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7" sheetId="1" r:id="rId4"/>
    <sheet state="hidden" name="18" sheetId="2" r:id="rId5"/>
    <sheet state="hidden" name="21" sheetId="3" r:id="rId6"/>
    <sheet state="hidden" name="20" sheetId="4" r:id="rId7"/>
    <sheet state="hidden" name="22" sheetId="5" r:id="rId8"/>
    <sheet state="hidden" name="23" sheetId="6" r:id="rId9"/>
    <sheet state="hidden" name="25" sheetId="7" r:id="rId10"/>
    <sheet state="hidden" name="RUMAS C- 26" sheetId="8" r:id="rId11"/>
    <sheet state="visible" name="Analisis comercial" sheetId="9" r:id="rId12"/>
    <sheet state="visible" name="Valorizacion" sheetId="10" r:id="rId13"/>
    <sheet state="visible" name="Liquidacion" sheetId="11" r:id="rId14"/>
    <sheet state="visible" name="Certificado" sheetId="12" r:id="rId15"/>
    <sheet state="hidden" name="Graph" sheetId="13" r:id="rId16"/>
    <sheet state="hidden" name="26" sheetId="14" r:id="rId17"/>
    <sheet state="hidden" name="27" sheetId="15" r:id="rId18"/>
    <sheet state="hidden" name="28" sheetId="16" r:id="rId19"/>
    <sheet state="hidden" name="29" sheetId="17" r:id="rId20"/>
    <sheet state="hidden" name="19" sheetId="18" r:id="rId21"/>
    <sheet state="hidden" name="24" sheetId="19" r:id="rId22"/>
    <sheet state="hidden" name="30" sheetId="20" r:id="rId23"/>
    <sheet state="hidden" name="31" sheetId="21" r:id="rId24"/>
    <sheet state="hidden" name="32" sheetId="22" r:id="rId25"/>
    <sheet state="hidden" name="33" sheetId="23" r:id="rId26"/>
    <sheet state="hidden" name="34" sheetId="24" r:id="rId27"/>
    <sheet state="hidden" name="35" sheetId="25" r:id="rId28"/>
    <sheet state="hidden" name="36" sheetId="26" r:id="rId29"/>
    <sheet state="hidden" name="37" sheetId="27" r:id="rId30"/>
    <sheet state="hidden" name="38" sheetId="28" r:id="rId31"/>
    <sheet state="hidden" name="39" sheetId="29" r:id="rId32"/>
    <sheet state="visible" name="40" sheetId="30" r:id="rId33"/>
    <sheet state="visible" name="41" sheetId="31" r:id="rId34"/>
    <sheet state="visible" name="42" sheetId="32" r:id="rId35"/>
    <sheet state="visible" name="Liquidacion con Ag" sheetId="33" r:id="rId36"/>
    <sheet state="visible" name="RUC" sheetId="34" r:id="rId37"/>
    <sheet state="hidden" name="RUMAS" sheetId="35" r:id="rId38"/>
    <sheet state="visible" name="resumen" sheetId="36" r:id="rId39"/>
    <sheet state="hidden" name="Posicion" sheetId="37" r:id="rId40"/>
    <sheet state="visible" name="Fix" sheetId="38" r:id="rId41"/>
    <sheet state="hidden" name="INVENTARIO " sheetId="39" r:id="rId42"/>
    <sheet state="visible" name="Shipments" sheetId="40" r:id="rId43"/>
    <sheet state="hidden" name="16" sheetId="41" r:id="rId44"/>
    <sheet state="hidden" name="15" sheetId="42" r:id="rId45"/>
    <sheet state="hidden" name="14" sheetId="43" r:id="rId46"/>
    <sheet state="hidden" name="12" sheetId="44" r:id="rId47"/>
    <sheet state="hidden" name="11" sheetId="45" r:id="rId48"/>
    <sheet state="hidden" name="10" sheetId="46" r:id="rId49"/>
    <sheet state="hidden" name="9" sheetId="47" r:id="rId50"/>
    <sheet state="hidden" name="8" sheetId="48" r:id="rId51"/>
    <sheet state="hidden" name="7" sheetId="49" r:id="rId52"/>
    <sheet state="hidden" name="6" sheetId="50" r:id="rId53"/>
    <sheet state="hidden" name="5" sheetId="51" r:id="rId54"/>
    <sheet state="hidden" name="4" sheetId="52" r:id="rId55"/>
    <sheet state="hidden" name="3" sheetId="53" r:id="rId56"/>
    <sheet state="hidden" name="2" sheetId="54" r:id="rId57"/>
    <sheet state="hidden" name="1.2" sheetId="55" r:id="rId58"/>
    <sheet state="hidden" name="1.1" sheetId="56" r:id="rId59"/>
    <sheet state="hidden" name="data 1" sheetId="57" r:id="rId60"/>
    <sheet state="hidden" name="data 2" sheetId="58" r:id="rId61"/>
    <sheet state="hidden" name="Liquidacion Ag" sheetId="59" r:id="rId62"/>
  </sheets>
  <externalReferences>
    <externalReference r:id="rId63"/>
  </externalReferences>
  <definedNames>
    <definedName name="DataProveedores">[1]Data!$B$1:$C$59</definedName>
    <definedName hidden="1" localSheetId="0" name="_xlnm._FilterDatabase">'17'!$A$3:$AL$4</definedName>
    <definedName hidden="1" localSheetId="1" name="_xlnm._FilterDatabase">'18'!$A$3:$AL$4</definedName>
    <definedName hidden="1" localSheetId="2" name="_xlnm._FilterDatabase">'21'!$A$3:$AL$4</definedName>
    <definedName hidden="1" localSheetId="3" name="_xlnm._FilterDatabase">'20'!$A$3:$AL$4</definedName>
    <definedName hidden="1" localSheetId="4" name="_xlnm._FilterDatabase">'22'!$A$3:$AL$4</definedName>
    <definedName hidden="1" localSheetId="5" name="_xlnm._FilterDatabase">'23'!$A$3:$AL$4</definedName>
    <definedName hidden="1" localSheetId="6" name="_xlnm._FilterDatabase">'25'!$A$3:$AO$101</definedName>
    <definedName hidden="1" localSheetId="8" name="_xlnm._FilterDatabase">'Analisis comercial'!$A$3:$AO$141</definedName>
    <definedName hidden="1" localSheetId="13" name="_xlnm._FilterDatabase">'26'!$A$3:$AO$102</definedName>
    <definedName hidden="1" localSheetId="14" name="_xlnm._FilterDatabase">'27'!$A$3:$AO$109</definedName>
    <definedName hidden="1" localSheetId="15" name="_xlnm._FilterDatabase">'28'!$A$3:$AO$104</definedName>
    <definedName hidden="1" localSheetId="16" name="_xlnm._FilterDatabase">'29'!$A$3:$AO$93</definedName>
    <definedName hidden="1" localSheetId="17" name="_xlnm._FilterDatabase">'19'!$A$3:$AL$4</definedName>
    <definedName hidden="1" localSheetId="18" name="_xlnm._FilterDatabase">'24'!$A$3:$AN$108</definedName>
    <definedName hidden="1" localSheetId="19" name="_xlnm._FilterDatabase">'30'!$A$3:$AO$93</definedName>
    <definedName hidden="1" localSheetId="20" name="_xlnm._FilterDatabase">'31'!$A$3:$AO$83</definedName>
    <definedName hidden="1" localSheetId="21" name="_xlnm._FilterDatabase">'32'!$A$3:$AO$112</definedName>
    <definedName hidden="1" localSheetId="22" name="_xlnm._FilterDatabase">'33'!$A$3:$AO$87</definedName>
    <definedName hidden="1" localSheetId="23" name="_xlnm._FilterDatabase">'34'!$A$3:$AO$70</definedName>
    <definedName hidden="1" localSheetId="24" name="_xlnm._FilterDatabase">'35'!$A$3:$AO$121</definedName>
    <definedName hidden="1" localSheetId="25" name="_xlnm._FilterDatabase">'36'!$A$3:$AO$64</definedName>
    <definedName hidden="1" localSheetId="26" name="_xlnm._FilterDatabase">'37'!$A$3:$AO$110</definedName>
    <definedName hidden="1" localSheetId="27" name="_xlnm._FilterDatabase">'38'!$A$3:$AO$128</definedName>
    <definedName hidden="1" localSheetId="28" name="_xlnm._FilterDatabase">'39'!$A$3:$AO$138</definedName>
    <definedName hidden="1" localSheetId="29" name="_xlnm._FilterDatabase">'40'!$A$3:$AO$109</definedName>
    <definedName hidden="1" localSheetId="30" name="_xlnm._FilterDatabase">'41'!$A$3:$AO$102</definedName>
    <definedName hidden="1" localSheetId="31" name="_xlnm._FilterDatabase">'42'!$A$3:$AO$117</definedName>
    <definedName hidden="1" localSheetId="33" name="_xlnm._FilterDatabase">RUC!$B$2:$M$83</definedName>
    <definedName hidden="1" localSheetId="40" name="_xlnm._FilterDatabase">'16'!$A$3:$AL$4</definedName>
    <definedName hidden="1" localSheetId="41" name="_xlnm._FilterDatabase">'15'!$A$3:$AL$4</definedName>
    <definedName hidden="1" localSheetId="42" name="_xlnm._FilterDatabase">'14'!$A$3:$AL$23</definedName>
    <definedName hidden="1" localSheetId="43" name="_xlnm._FilterDatabase">'12'!$A$3:$AL$34</definedName>
    <definedName hidden="1" localSheetId="44" name="_xlnm._FilterDatabase">'11'!$A$3:$AL$79</definedName>
    <definedName hidden="1" localSheetId="45" name="_xlnm._FilterDatabase">'10'!$A$3:$AL$41</definedName>
    <definedName hidden="1" localSheetId="46" name="_xlnm._FilterDatabase">'9'!$A$3:$AL$201</definedName>
    <definedName hidden="1" localSheetId="47" name="_xlnm._FilterDatabase">'8'!$A$3:$AL$623</definedName>
  </definedNames>
  <calcPr/>
  <extLst>
    <ext uri="GoogleSheetsCustomDataVersion2">
      <go:sheetsCustomData xmlns:go="http://customooxmlschemas.google.com/" r:id="rId64" roundtripDataChecksum="u3m6bKSKWM6NI/eT1MsMYna71jJUhfSNV6iSHO1lrE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86">
      <text>
        <t xml:space="preserve">======
ID#AAAB7IPfSig
IDEAPAD-1    (2026-05-04 18:12:02)
CAMBIO DE FORMULA A PARTIR DEL IP-3480</t>
      </text>
    </comment>
    <comment authorId="0" ref="M61">
      <text>
        <t xml:space="preserve">======
ID#AAAB7IPfSiM
IDEAPAD-1    (2026-05-04 18:12:02)
LEY INICIAL</t>
      </text>
    </comment>
  </commentList>
  <extLst>
    <ext uri="GoogleSheetsCustomDataVersion2">
      <go:sheetsCustomData xmlns:go="http://customooxmlschemas.google.com/" r:id="rId1" roundtripDataSignature="AMtx7mgVnyklkvobG4RiYgKi+xbkdPT5d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37">
      <text>
        <t xml:space="preserve">======
ID#AAAB7IPfSiU
IDEAPAD-1    (2026-05-04 18:12:02)
DIRIMENCIA</t>
      </text>
    </comment>
    <comment authorId="0" ref="O50">
      <text>
        <t xml:space="preserve">======
ID#AAAB7IPfSiQ
IDEAPAD-1    (2026-05-04 18:12:02)
DIRIMENCIA</t>
      </text>
    </comment>
    <comment authorId="0" ref="O35">
      <text>
        <t xml:space="preserve">======
ID#AAAB7IPfSiY
IDEAPAD-1    (2026-05-04 18:12:02)
DIRIMENCIA</t>
      </text>
    </comment>
  </commentList>
  <extLst>
    <ext uri="GoogleSheetsCustomDataVersion2">
      <go:sheetsCustomData xmlns:go="http://customooxmlschemas.google.com/" r:id="rId1" roundtripDataSignature="AMtx7mhiXFwGJXtK7GNmeMXM62CNiSyKJ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54">
      <text>
        <t xml:space="preserve">======
ID#AAAB7IPfSic
PLANTA PAITITI    (2026-05-04 18:12:02)
FINOS NO RECUPERABLES CALCULADO SEGÚN PRUEBA METALURGICA</t>
      </text>
    </comment>
  </commentList>
  <extLst>
    <ext uri="GoogleSheetsCustomDataVersion2">
      <go:sheetsCustomData xmlns:go="http://customooxmlschemas.google.com/" r:id="rId1" roundtripDataSignature="AMtx7mjX0x6VFWlj7PcnZ0a+Ki2+pssuXQ=="/>
    </ext>
  </extLst>
</comments>
</file>

<file path=xl/sharedStrings.xml><?xml version="1.0" encoding="utf-8"?>
<sst xmlns="http://schemas.openxmlformats.org/spreadsheetml/2006/main" count="20908" uniqueCount="5448">
  <si>
    <t>Profit Terminos</t>
  </si>
  <si>
    <t>Au Real (con Rec)</t>
  </si>
  <si>
    <t>Profit RC</t>
  </si>
  <si>
    <t>Au Comprado</t>
  </si>
  <si>
    <t>Valor</t>
  </si>
  <si>
    <t>Lote</t>
  </si>
  <si>
    <t>F emision</t>
  </si>
  <si>
    <t>F recepcion</t>
  </si>
  <si>
    <t>Nombre</t>
  </si>
  <si>
    <t>RUC</t>
  </si>
  <si>
    <t>Minero</t>
  </si>
  <si>
    <t>Sacos</t>
  </si>
  <si>
    <t>TMH</t>
  </si>
  <si>
    <t>%H2O</t>
  </si>
  <si>
    <t>TMS</t>
  </si>
  <si>
    <t>Oz/tc Planta</t>
  </si>
  <si>
    <t>Oz/tc comercial</t>
  </si>
  <si>
    <t>Oz/tc Minero</t>
  </si>
  <si>
    <t>Oz/tc Pomedio</t>
  </si>
  <si>
    <t>% Rec Liq</t>
  </si>
  <si>
    <t>% Rec Planta</t>
  </si>
  <si>
    <t>Inter US$</t>
  </si>
  <si>
    <t>TC US$ x tc</t>
  </si>
  <si>
    <t>Bono</t>
  </si>
  <si>
    <t>Riesgo</t>
  </si>
  <si>
    <t>Factor</t>
  </si>
  <si>
    <t>Soda</t>
  </si>
  <si>
    <t>Cianuro</t>
  </si>
  <si>
    <t>Gasto acopio x tm</t>
  </si>
  <si>
    <t>Insumos planta x tm</t>
  </si>
  <si>
    <t>Insumos liq x tm</t>
  </si>
  <si>
    <t>Precio x TMS</t>
  </si>
  <si>
    <t>profit maquila</t>
  </si>
  <si>
    <t>Profit Rec</t>
  </si>
  <si>
    <t>Profit Consumo</t>
  </si>
  <si>
    <t>Profit Leyes</t>
  </si>
  <si>
    <t>Profit Total $/TM</t>
  </si>
  <si>
    <t>IP-782</t>
  </si>
  <si>
    <t>ZICAMP S.A.C.</t>
  </si>
  <si>
    <t>Hernan Mamani</t>
  </si>
  <si>
    <t>LLAMPO</t>
  </si>
  <si>
    <t>IP-783</t>
  </si>
  <si>
    <t>IP-784</t>
  </si>
  <si>
    <t>IP-785</t>
  </si>
  <si>
    <t>IP-969</t>
  </si>
  <si>
    <t>SOTOMAYOR CORAZAO WISTHERMUNDO</t>
  </si>
  <si>
    <t>AGRANEL</t>
  </si>
  <si>
    <t>MINERAL</t>
  </si>
  <si>
    <t>IP-970</t>
  </si>
  <si>
    <t>IP-973</t>
  </si>
  <si>
    <t>IP-1004</t>
  </si>
  <si>
    <t>RONALD WILLIAN GARIBAY ESCUDERO</t>
  </si>
  <si>
    <t>IP-1006</t>
  </si>
  <si>
    <t>QUISPE MARTINEZ IZEQUIEL</t>
  </si>
  <si>
    <t>Dario Sanchez</t>
  </si>
  <si>
    <t>IP-1007</t>
  </si>
  <si>
    <t>IP-1008</t>
  </si>
  <si>
    <t>INVERSIONES Y SERVICIOS MULTIPLES SANTA LUCIA E.I.R.L</t>
  </si>
  <si>
    <t>IP-1009</t>
  </si>
  <si>
    <t>IP-1010</t>
  </si>
  <si>
    <t>IP-1011</t>
  </si>
  <si>
    <t>EMPRESA MINERA MARKATA CAS S.A.C.</t>
  </si>
  <si>
    <t>IP-1012</t>
  </si>
  <si>
    <t>LLASA YUCRA YOLANDA</t>
  </si>
  <si>
    <t>IP-1013</t>
  </si>
  <si>
    <t>IP-1014</t>
  </si>
  <si>
    <t>IP-1015</t>
  </si>
  <si>
    <t>GRUPO EL CAZADOR GOLD E.I.R.L</t>
  </si>
  <si>
    <t>IP-1016</t>
  </si>
  <si>
    <t>IP-1017</t>
  </si>
  <si>
    <t>METAL EXTRACTION COMPANY S.A.C.</t>
  </si>
  <si>
    <t>M.LLAMPO</t>
  </si>
  <si>
    <t>IP-1018</t>
  </si>
  <si>
    <t>IP-1020</t>
  </si>
  <si>
    <t>MELCHOR AGUSTIN VERA PACHECO</t>
  </si>
  <si>
    <t>IP-1025</t>
  </si>
  <si>
    <t>IP-1026</t>
  </si>
  <si>
    <t>IP-1029</t>
  </si>
  <si>
    <t>IP-1030</t>
  </si>
  <si>
    <t>SOTOMAYOR CORAZAO MORAYMA</t>
  </si>
  <si>
    <t>IP-1032</t>
  </si>
  <si>
    <t>IP-1033</t>
  </si>
  <si>
    <t>EXPLORACIONES CLAUDIA Y KAREN E.I.R.L.</t>
  </si>
  <si>
    <t>IP-1034</t>
  </si>
  <si>
    <t>IP-1035</t>
  </si>
  <si>
    <t>IP-1036</t>
  </si>
  <si>
    <t>IP-1037</t>
  </si>
  <si>
    <t>IP-1038</t>
  </si>
  <si>
    <t>MINERA AURIFERA 2 DE DICIEMBRE CALPA RENACE S.A.</t>
  </si>
  <si>
    <t>IP-1039</t>
  </si>
  <si>
    <t>IP-1040</t>
  </si>
  <si>
    <t>IP-1041</t>
  </si>
  <si>
    <t>IP-1042</t>
  </si>
  <si>
    <t>IP-1043</t>
  </si>
  <si>
    <t>IP-1044</t>
  </si>
  <si>
    <t>IP-1045</t>
  </si>
  <si>
    <t>IP-1046</t>
  </si>
  <si>
    <t>IP-1047</t>
  </si>
  <si>
    <t>IP-1048</t>
  </si>
  <si>
    <t>IP-1049</t>
  </si>
  <si>
    <t>IP-1050</t>
  </si>
  <si>
    <t>IP-1051</t>
  </si>
  <si>
    <t>IP-1052</t>
  </si>
  <si>
    <t>IP-1053</t>
  </si>
  <si>
    <t>LIMBER EDISON MONTALVO QUISPE</t>
  </si>
  <si>
    <t>IP-1054</t>
  </si>
  <si>
    <t>IP-1055</t>
  </si>
  <si>
    <t>IP-1056</t>
  </si>
  <si>
    <t>IP-1057</t>
  </si>
  <si>
    <t>IP-1058</t>
  </si>
  <si>
    <t>IP-1059</t>
  </si>
  <si>
    <t>IP-1060</t>
  </si>
  <si>
    <t>IP-1061</t>
  </si>
  <si>
    <t>IP-1062</t>
  </si>
  <si>
    <t>IP-1063</t>
  </si>
  <si>
    <t>IP-1064</t>
  </si>
  <si>
    <t>IP-1065</t>
  </si>
  <si>
    <t>IP-1066</t>
  </si>
  <si>
    <t>IP-1067</t>
  </si>
  <si>
    <t>IP-1068</t>
  </si>
  <si>
    <t>IP-1069</t>
  </si>
  <si>
    <t>J_M SOLUCIONES MINERAS E.I.R.L</t>
  </si>
  <si>
    <t>IP-1070</t>
  </si>
  <si>
    <t>IP-1071</t>
  </si>
  <si>
    <t>IP-1072</t>
  </si>
  <si>
    <t>IP-1073</t>
  </si>
  <si>
    <t>IP-1074</t>
  </si>
  <si>
    <t>IP-1075</t>
  </si>
  <si>
    <t>IP-1084</t>
  </si>
  <si>
    <t>IP-1085</t>
  </si>
  <si>
    <t>IP-1086</t>
  </si>
  <si>
    <t>IP-1087</t>
  </si>
  <si>
    <t>IP-1088</t>
  </si>
  <si>
    <t>IP-1089</t>
  </si>
  <si>
    <t>IP-1090</t>
  </si>
  <si>
    <t>IP-1091</t>
  </si>
  <si>
    <t>IP-1092</t>
  </si>
  <si>
    <t>IP-1093</t>
  </si>
  <si>
    <t>IP-1099</t>
  </si>
  <si>
    <t>IP-1100</t>
  </si>
  <si>
    <t>IP-1115</t>
  </si>
  <si>
    <t>IP-1116</t>
  </si>
  <si>
    <t>IP-1117</t>
  </si>
  <si>
    <t>IP-1118</t>
  </si>
  <si>
    <t>IP-1119</t>
  </si>
  <si>
    <t>IP-1120</t>
  </si>
  <si>
    <t>COMPAÑÍA MINERA CIKAM PERU SAC</t>
  </si>
  <si>
    <t>IP-1121</t>
  </si>
  <si>
    <t>IP-1122</t>
  </si>
  <si>
    <t>IP-1031</t>
  </si>
  <si>
    <t>IP-1076</t>
  </si>
  <si>
    <t>IP-1077</t>
  </si>
  <si>
    <t>rec</t>
  </si>
  <si>
    <t>IP-1078</t>
  </si>
  <si>
    <t>IP-1079</t>
  </si>
  <si>
    <t>IP-1080</t>
  </si>
  <si>
    <t>IP-1081</t>
  </si>
  <si>
    <t>IP-1095</t>
  </si>
  <si>
    <t>IP-1096</t>
  </si>
  <si>
    <t>IP-1097</t>
  </si>
  <si>
    <t>IP-1098</t>
  </si>
  <si>
    <t>IP-1101</t>
  </si>
  <si>
    <t>IP-1108</t>
  </si>
  <si>
    <t>IP-1109</t>
  </si>
  <si>
    <t>IP-1110</t>
  </si>
  <si>
    <t>IP-1111</t>
  </si>
  <si>
    <t>IP-1112</t>
  </si>
  <si>
    <t>IP-1113</t>
  </si>
  <si>
    <t>IP-1114</t>
  </si>
  <si>
    <t>IP-1123</t>
  </si>
  <si>
    <t>IP-1124</t>
  </si>
  <si>
    <t>IP-1125</t>
  </si>
  <si>
    <t>IP-1126</t>
  </si>
  <si>
    <t>IP-1127</t>
  </si>
  <si>
    <t>IP-1128</t>
  </si>
  <si>
    <t>IP-1129</t>
  </si>
  <si>
    <t>IP-1130</t>
  </si>
  <si>
    <t>PIMENTEL BATALLANOS JUAN CRISOSTOMO</t>
  </si>
  <si>
    <t>IP-1131</t>
  </si>
  <si>
    <t>IP-1132</t>
  </si>
  <si>
    <t>IP-1133</t>
  </si>
  <si>
    <t>ACS MINERA KORICANCHAQ I E.I.R.L</t>
  </si>
  <si>
    <t>IP-1134</t>
  </si>
  <si>
    <t>IP-1135</t>
  </si>
  <si>
    <t>IP-1136</t>
  </si>
  <si>
    <t>IP-1137</t>
  </si>
  <si>
    <t>IP-1138</t>
  </si>
  <si>
    <t>IP-1139</t>
  </si>
  <si>
    <t>IP-1140</t>
  </si>
  <si>
    <t>IP-1141</t>
  </si>
  <si>
    <t>IP-1142</t>
  </si>
  <si>
    <t>IP-1143 (1207)</t>
  </si>
  <si>
    <t>IP-1144 (1208)</t>
  </si>
  <si>
    <t>IP-1145</t>
  </si>
  <si>
    <t>IP-1146</t>
  </si>
  <si>
    <t>IP-1147</t>
  </si>
  <si>
    <t>IP-1148</t>
  </si>
  <si>
    <t>IP-1149</t>
  </si>
  <si>
    <t>IP-1150</t>
  </si>
  <si>
    <t>IP-1151</t>
  </si>
  <si>
    <t>IP-1152</t>
  </si>
  <si>
    <t>IP-1153</t>
  </si>
  <si>
    <t>IP-1154</t>
  </si>
  <si>
    <t>IP-1155</t>
  </si>
  <si>
    <t>IP-1158</t>
  </si>
  <si>
    <t>IP-1160</t>
  </si>
  <si>
    <t>IP-1167</t>
  </si>
  <si>
    <t>MINERA SOFI GOLD S.A.C.</t>
  </si>
  <si>
    <t>IP-1168</t>
  </si>
  <si>
    <t>IP-1169</t>
  </si>
  <si>
    <t>IP-1170</t>
  </si>
  <si>
    <t>IP-1181</t>
  </si>
  <si>
    <t>IP-1183</t>
  </si>
  <si>
    <t>IP-1184</t>
  </si>
  <si>
    <t>IP-1185</t>
  </si>
  <si>
    <t>IP-1186</t>
  </si>
  <si>
    <t>IP-1188</t>
  </si>
  <si>
    <t>IP-1189</t>
  </si>
  <si>
    <t>IP-1191</t>
  </si>
  <si>
    <t>IP-1193</t>
  </si>
  <si>
    <t>IP-1195</t>
  </si>
  <si>
    <t>IP-1198</t>
  </si>
  <si>
    <t>IP-1210</t>
  </si>
  <si>
    <t>IP-1211</t>
  </si>
  <si>
    <t>IP-1213</t>
  </si>
  <si>
    <t>TAMAYO BELLIDO ROBERTO CARLOS</t>
  </si>
  <si>
    <t>IP-1218</t>
  </si>
  <si>
    <t>IP-1219</t>
  </si>
  <si>
    <t>IP-1220</t>
  </si>
  <si>
    <t>IP-1221</t>
  </si>
  <si>
    <t>IP-1222</t>
  </si>
  <si>
    <t>IP-1223</t>
  </si>
  <si>
    <t>IP-1224</t>
  </si>
  <si>
    <t>IP-1225</t>
  </si>
  <si>
    <t>IP-1226</t>
  </si>
  <si>
    <t>IP-1227</t>
  </si>
  <si>
    <t>IP-1233</t>
  </si>
  <si>
    <t>NEGOCIOS CARRILLO LANDA E.I.R.L.</t>
  </si>
  <si>
    <t>IP-1234</t>
  </si>
  <si>
    <t>IP-1235</t>
  </si>
  <si>
    <t>IP-1237</t>
  </si>
  <si>
    <t>Valor compra</t>
  </si>
  <si>
    <t>Gr Au despues de rec</t>
  </si>
  <si>
    <t>Recuperacion</t>
  </si>
  <si>
    <t>IP-1289 (1451)</t>
  </si>
  <si>
    <t>IP-1290</t>
  </si>
  <si>
    <t>MENDOZA MENDOZA JULIO CESAR</t>
  </si>
  <si>
    <t>IP-1294</t>
  </si>
  <si>
    <t>IP-1296</t>
  </si>
  <si>
    <t>SOTOMAYOR CORAZAO JHONATHAN</t>
  </si>
  <si>
    <t>IP-1303</t>
  </si>
  <si>
    <t>IP-1306</t>
  </si>
  <si>
    <t>IP-1307</t>
  </si>
  <si>
    <t>IP-1313 (1378)</t>
  </si>
  <si>
    <t>JRJAJN E.I.R.L.</t>
  </si>
  <si>
    <t>IP-1314 (1379)</t>
  </si>
  <si>
    <t>IP-1315 (1380)</t>
  </si>
  <si>
    <t>IP-1316</t>
  </si>
  <si>
    <t>IP-1317 (1452)</t>
  </si>
  <si>
    <t>IP-1318 (1342)</t>
  </si>
  <si>
    <t>IP-1319 (1341)</t>
  </si>
  <si>
    <t>IP-1320 (1440)</t>
  </si>
  <si>
    <t>IP-1321 (1439)</t>
  </si>
  <si>
    <t>IP-1326</t>
  </si>
  <si>
    <t>MINERA CORDOVA FGA E.I.R.L</t>
  </si>
  <si>
    <t>IP-1327</t>
  </si>
  <si>
    <t>IP-1328</t>
  </si>
  <si>
    <t>IP-1330</t>
  </si>
  <si>
    <t>IP-1331</t>
  </si>
  <si>
    <t>IP-1332</t>
  </si>
  <si>
    <t>IP-1334</t>
  </si>
  <si>
    <t>IP-1335</t>
  </si>
  <si>
    <t>IP-1336</t>
  </si>
  <si>
    <t>IP-1337</t>
  </si>
  <si>
    <t>IP-1338</t>
  </si>
  <si>
    <t>IP-1339</t>
  </si>
  <si>
    <t>IP-1340</t>
  </si>
  <si>
    <t>IP-1341</t>
  </si>
  <si>
    <t>IP-1343</t>
  </si>
  <si>
    <t>IP-1345</t>
  </si>
  <si>
    <t>IP-1347</t>
  </si>
  <si>
    <t>IP-1349</t>
  </si>
  <si>
    <t>IP-1352</t>
  </si>
  <si>
    <t>IP-1353</t>
  </si>
  <si>
    <t>IP-1354</t>
  </si>
  <si>
    <t>IP-1355</t>
  </si>
  <si>
    <t>IP-1359</t>
  </si>
  <si>
    <t>IP-1361</t>
  </si>
  <si>
    <t>IP-1366</t>
  </si>
  <si>
    <t>IP-1374</t>
  </si>
  <si>
    <t>IP-1375</t>
  </si>
  <si>
    <t>IP-1376</t>
  </si>
  <si>
    <t>SAN ANDRES - CHALA GOLD MINING EIRL</t>
  </si>
  <si>
    <t>IP-1377</t>
  </si>
  <si>
    <t>IP-1378 (1313)</t>
  </si>
  <si>
    <t>CONSORCIO MINERO RENACER DEL SUR E.I.R.L.</t>
  </si>
  <si>
    <t>IP-1379 (1314)</t>
  </si>
  <si>
    <t>IP-1380 (1315)</t>
  </si>
  <si>
    <t>IP-1381</t>
  </si>
  <si>
    <t>IP-1382</t>
  </si>
  <si>
    <t>IP-1383</t>
  </si>
  <si>
    <t>IP-1384</t>
  </si>
  <si>
    <t>IP-1385 (1421)</t>
  </si>
  <si>
    <t>IP-1386 (1422)</t>
  </si>
  <si>
    <t>IP-1387</t>
  </si>
  <si>
    <t>IP-1388</t>
  </si>
  <si>
    <t>EMPRESA MINERA GRUPO GARIBAY ESCUDERO E.I.R.L</t>
  </si>
  <si>
    <t>IP-1389</t>
  </si>
  <si>
    <t>IP-1390</t>
  </si>
  <si>
    <t>IP-1391</t>
  </si>
  <si>
    <t>IP-1392</t>
  </si>
  <si>
    <t>IP-1393</t>
  </si>
  <si>
    <t>IP-1394</t>
  </si>
  <si>
    <t>IP-1395</t>
  </si>
  <si>
    <t>IP-1396</t>
  </si>
  <si>
    <t>IP-1397</t>
  </si>
  <si>
    <t>IP-1398</t>
  </si>
  <si>
    <t>IP-1399</t>
  </si>
  <si>
    <t>IP-1400</t>
  </si>
  <si>
    <t>IP-1401</t>
  </si>
  <si>
    <t>IP-1402</t>
  </si>
  <si>
    <t>IP-1403</t>
  </si>
  <si>
    <t>IP-1404</t>
  </si>
  <si>
    <t>IP-1405</t>
  </si>
  <si>
    <t>MULTISERVICIOS Y MINERA HUANUHUANU E.I.R.L</t>
  </si>
  <si>
    <t>IP-1406</t>
  </si>
  <si>
    <t>IP-1407</t>
  </si>
  <si>
    <t>IP-1408</t>
  </si>
  <si>
    <t>IP-1409</t>
  </si>
  <si>
    <t>IP-1410</t>
  </si>
  <si>
    <t>IP-1411</t>
  </si>
  <si>
    <t>IP-1412</t>
  </si>
  <si>
    <t>AGUSTIN MENDIVIL VELASQUE</t>
  </si>
  <si>
    <t>IP-1413</t>
  </si>
  <si>
    <t>IP-1414</t>
  </si>
  <si>
    <t>IP-1415</t>
  </si>
  <si>
    <t>IP-1416</t>
  </si>
  <si>
    <t>IP-1417</t>
  </si>
  <si>
    <t>IP-1418</t>
  </si>
  <si>
    <t>M. LLAMPO</t>
  </si>
  <si>
    <t>IP-1419</t>
  </si>
  <si>
    <t>IP-1420</t>
  </si>
  <si>
    <t>IP-1421 (1385)</t>
  </si>
  <si>
    <t>IP-1422 (1386)</t>
  </si>
  <si>
    <t>IP-1423</t>
  </si>
  <si>
    <t>IP-1424</t>
  </si>
  <si>
    <t>IP-1429</t>
  </si>
  <si>
    <t>IP-1430</t>
  </si>
  <si>
    <t>IP-1431</t>
  </si>
  <si>
    <t>IP-1439 (1321)</t>
  </si>
  <si>
    <t>IP-1440 (1320)</t>
  </si>
  <si>
    <t>IP-1441 (1319)</t>
  </si>
  <si>
    <t>IP-1442 (1318)</t>
  </si>
  <si>
    <t>IP-1451 (1289)</t>
  </si>
  <si>
    <t>IP-1452 (1317)</t>
  </si>
  <si>
    <t>IP-1094</t>
  </si>
  <si>
    <t>IP-1156</t>
  </si>
  <si>
    <t>IP-1157</t>
  </si>
  <si>
    <t>IP-1159</t>
  </si>
  <si>
    <t>IP-1161</t>
  </si>
  <si>
    <t>IP-1162</t>
  </si>
  <si>
    <t>IP-1163</t>
  </si>
  <si>
    <t>IP-1164</t>
  </si>
  <si>
    <t>IP-1165</t>
  </si>
  <si>
    <t>IP-1171</t>
  </si>
  <si>
    <t>IP-1172</t>
  </si>
  <si>
    <t>IP-1173</t>
  </si>
  <si>
    <t>IP-1174</t>
  </si>
  <si>
    <t>IP-1175</t>
  </si>
  <si>
    <t>IP-1176</t>
  </si>
  <si>
    <t>IP-1177</t>
  </si>
  <si>
    <t>IP-1178</t>
  </si>
  <si>
    <t>IP-1179</t>
  </si>
  <si>
    <t>IP-1180</t>
  </si>
  <si>
    <t>IP-1196</t>
  </si>
  <si>
    <t>IP-1197</t>
  </si>
  <si>
    <t>IP-1199</t>
  </si>
  <si>
    <t>IP-1200</t>
  </si>
  <si>
    <t>IP-1201</t>
  </si>
  <si>
    <t>IP-1202</t>
  </si>
  <si>
    <t>IP-1203</t>
  </si>
  <si>
    <t>IP-1204</t>
  </si>
  <si>
    <t>IP-1205</t>
  </si>
  <si>
    <t>IP-1207</t>
  </si>
  <si>
    <t>EXPLORACION G Y M E.I.R.L</t>
  </si>
  <si>
    <t>IP-1208</t>
  </si>
  <si>
    <t>IP-1215</t>
  </si>
  <si>
    <t>IP-1216</t>
  </si>
  <si>
    <t>IP-1217</t>
  </si>
  <si>
    <t>IP-1250</t>
  </si>
  <si>
    <t>IP-1254</t>
  </si>
  <si>
    <t>IP-1255</t>
  </si>
  <si>
    <t>IP-1256</t>
  </si>
  <si>
    <t>IP-1257</t>
  </si>
  <si>
    <t>IP-1258</t>
  </si>
  <si>
    <t>IP-1267</t>
  </si>
  <si>
    <t>IP-1268</t>
  </si>
  <si>
    <t>IP-1269</t>
  </si>
  <si>
    <t>IP-1273</t>
  </si>
  <si>
    <t>IP-1275</t>
  </si>
  <si>
    <t>IP-1277</t>
  </si>
  <si>
    <t>IP-1278</t>
  </si>
  <si>
    <t>IP-1279</t>
  </si>
  <si>
    <t>IP-1280</t>
  </si>
  <si>
    <t>IP-1281</t>
  </si>
  <si>
    <t>IP-1282</t>
  </si>
  <si>
    <t>IP-1283</t>
  </si>
  <si>
    <t>IP-1284</t>
  </si>
  <si>
    <t>IP-1285</t>
  </si>
  <si>
    <t>IP-1286</t>
  </si>
  <si>
    <t>IP-1287</t>
  </si>
  <si>
    <t>IP-1288</t>
  </si>
  <si>
    <t>IP-1292</t>
  </si>
  <si>
    <t>IP-1293</t>
  </si>
  <si>
    <t>IP-1295</t>
  </si>
  <si>
    <t>IP-1297</t>
  </si>
  <si>
    <t>IP-1298</t>
  </si>
  <si>
    <t>IP-1299</t>
  </si>
  <si>
    <t>IP-1300</t>
  </si>
  <si>
    <t>IP-1305</t>
  </si>
  <si>
    <t>IP-1322</t>
  </si>
  <si>
    <t>IP-1323</t>
  </si>
  <si>
    <t>IP-1324</t>
  </si>
  <si>
    <t>IP-1325</t>
  </si>
  <si>
    <t>IP-1329</t>
  </si>
  <si>
    <t>IP-1333</t>
  </si>
  <si>
    <t>IP-1342</t>
  </si>
  <si>
    <t>IP-1344</t>
  </si>
  <si>
    <t>IP-1346</t>
  </si>
  <si>
    <t>IP-1348</t>
  </si>
  <si>
    <t>HUAYHUA YUNQUE JOSE MELVIN</t>
  </si>
  <si>
    <t>IP-1350</t>
  </si>
  <si>
    <t>MINERA HNOS DANEDCE MONTOYA E.I.R.L.</t>
  </si>
  <si>
    <t>IP-1351</t>
  </si>
  <si>
    <t>IP-1367</t>
  </si>
  <si>
    <t>IP-1368</t>
  </si>
  <si>
    <t>IP-1369</t>
  </si>
  <si>
    <t>IP-1370</t>
  </si>
  <si>
    <t>IP-1371</t>
  </si>
  <si>
    <t>IP-1372</t>
  </si>
  <si>
    <t>IP-1373</t>
  </si>
  <si>
    <t>IP-1435 (1255)</t>
  </si>
  <si>
    <t>IP-1436 (1256)</t>
  </si>
  <si>
    <t>IP-1437 (1257)</t>
  </si>
  <si>
    <t>IP-1438 (1258)</t>
  </si>
  <si>
    <t>IP-1443 (1259)</t>
  </si>
  <si>
    <t>IP-1356</t>
  </si>
  <si>
    <t>IP-1357</t>
  </si>
  <si>
    <t>IP-1358</t>
  </si>
  <si>
    <t>IP-1360</t>
  </si>
  <si>
    <t>IP-1362</t>
  </si>
  <si>
    <t>IP-1363</t>
  </si>
  <si>
    <t>IP-1364</t>
  </si>
  <si>
    <t>IP-1365</t>
  </si>
  <si>
    <t>IP-1425</t>
  </si>
  <si>
    <t>IP-1426</t>
  </si>
  <si>
    <t>IP-1427</t>
  </si>
  <si>
    <t>IP-1428</t>
  </si>
  <si>
    <t>IP-1432</t>
  </si>
  <si>
    <t>IP-1433</t>
  </si>
  <si>
    <t>IP-1434</t>
  </si>
  <si>
    <t>IP-1444</t>
  </si>
  <si>
    <t>IP-1453</t>
  </si>
  <si>
    <t>IP-1454</t>
  </si>
  <si>
    <t>IP-1455</t>
  </si>
  <si>
    <t>IP-1456</t>
  </si>
  <si>
    <t>IP-1457</t>
  </si>
  <si>
    <t>IP-1458</t>
  </si>
  <si>
    <t>IP-1459</t>
  </si>
  <si>
    <t>IP-1460</t>
  </si>
  <si>
    <t>IP-1461</t>
  </si>
  <si>
    <t>IP-1463</t>
  </si>
  <si>
    <t>IP-1466</t>
  </si>
  <si>
    <t>IP-1467</t>
  </si>
  <si>
    <t>IP-1468</t>
  </si>
  <si>
    <t>IP-1472</t>
  </si>
  <si>
    <t>IP-1446</t>
  </si>
  <si>
    <t>IP-1447</t>
  </si>
  <si>
    <t>IP-1448</t>
  </si>
  <si>
    <t>IP-1449</t>
  </si>
  <si>
    <t>IP-1450</t>
  </si>
  <si>
    <t>IP-1462</t>
  </si>
  <si>
    <t>IP-1464</t>
  </si>
  <si>
    <t>IP-1465</t>
  </si>
  <si>
    <t>IP-1469</t>
  </si>
  <si>
    <t>IP-1470</t>
  </si>
  <si>
    <t>IP-1471</t>
  </si>
  <si>
    <t>IP-1473</t>
  </si>
  <si>
    <t>IP-1474</t>
  </si>
  <si>
    <t>IP-1475</t>
  </si>
  <si>
    <t>IP-1476</t>
  </si>
  <si>
    <t>IP-1477</t>
  </si>
  <si>
    <t>IP-1478</t>
  </si>
  <si>
    <t>IP-1479</t>
  </si>
  <si>
    <t>IP-1480</t>
  </si>
  <si>
    <t>IP-1481</t>
  </si>
  <si>
    <t>IP-1482</t>
  </si>
  <si>
    <t>IP-1483</t>
  </si>
  <si>
    <t>IP-1484</t>
  </si>
  <si>
    <t>IP-1485</t>
  </si>
  <si>
    <t>IP-1486</t>
  </si>
  <si>
    <t>IP-1490</t>
  </si>
  <si>
    <t>IP-1491</t>
  </si>
  <si>
    <t>IP-1492</t>
  </si>
  <si>
    <t>IP-1493</t>
  </si>
  <si>
    <t>IP-1494</t>
  </si>
  <si>
    <t>IP-1495</t>
  </si>
  <si>
    <t>IP-1497</t>
  </si>
  <si>
    <t>IP-1498</t>
  </si>
  <si>
    <t>IP-1499</t>
  </si>
  <si>
    <t>IP-1500</t>
  </si>
  <si>
    <t>IP-1501</t>
  </si>
  <si>
    <t>IP-1506</t>
  </si>
  <si>
    <t>IP-1507</t>
  </si>
  <si>
    <t>IP-1508</t>
  </si>
  <si>
    <t>IP-1509</t>
  </si>
  <si>
    <t>IP-1511</t>
  </si>
  <si>
    <t>IP-1512</t>
  </si>
  <si>
    <t>IP-1520</t>
  </si>
  <si>
    <t>IP-1521</t>
  </si>
  <si>
    <t>IP-1522</t>
  </si>
  <si>
    <t>IP-1523</t>
  </si>
  <si>
    <t>IP-1524</t>
  </si>
  <si>
    <t>IP-1525</t>
  </si>
  <si>
    <t>IP-1526</t>
  </si>
  <si>
    <t>IP-1527</t>
  </si>
  <si>
    <t>IP-1528</t>
  </si>
  <si>
    <t>IP-1529</t>
  </si>
  <si>
    <t>IP-1530</t>
  </si>
  <si>
    <t>IP-1531</t>
  </si>
  <si>
    <t>IP-1532</t>
  </si>
  <si>
    <t>IP-1534</t>
  </si>
  <si>
    <t>IP-1535</t>
  </si>
  <si>
    <t>IP-1536</t>
  </si>
  <si>
    <t>IP-1537</t>
  </si>
  <si>
    <t>IP-1538</t>
  </si>
  <si>
    <t>IP-1539</t>
  </si>
  <si>
    <t>IP-1540</t>
  </si>
  <si>
    <t>IP-1541</t>
  </si>
  <si>
    <t>IP-1542</t>
  </si>
  <si>
    <t>Gr Au al 100%</t>
  </si>
  <si>
    <t>Au Real 100%</t>
  </si>
  <si>
    <t>ACOPIADOR</t>
  </si>
  <si>
    <t>ESTADO</t>
  </si>
  <si>
    <t>GRR</t>
  </si>
  <si>
    <t>GRT</t>
  </si>
  <si>
    <t>IP-1510</t>
  </si>
  <si>
    <t>RUMA 3</t>
  </si>
  <si>
    <t>IP-1518</t>
  </si>
  <si>
    <t>RUMA 4</t>
  </si>
  <si>
    <t>IP-1533</t>
  </si>
  <si>
    <t>RUMA 2</t>
  </si>
  <si>
    <t>IP-1546</t>
  </si>
  <si>
    <t>IP-1556</t>
  </si>
  <si>
    <t>IP-1581</t>
  </si>
  <si>
    <t>IP-1583</t>
  </si>
  <si>
    <t>IP-1587</t>
  </si>
  <si>
    <t>IP-1600</t>
  </si>
  <si>
    <t>RUMA 1</t>
  </si>
  <si>
    <t>IP-1604</t>
  </si>
  <si>
    <t>IP-1609</t>
  </si>
  <si>
    <t>RUMA 5</t>
  </si>
  <si>
    <t>IP-1610</t>
  </si>
  <si>
    <t>IP-1618</t>
  </si>
  <si>
    <t>IP-1620</t>
  </si>
  <si>
    <t>IP-1621</t>
  </si>
  <si>
    <t>IP-1625</t>
  </si>
  <si>
    <t>IP-1627</t>
  </si>
  <si>
    <t>IP-1654</t>
  </si>
  <si>
    <t>IP-1655</t>
  </si>
  <si>
    <t>IP-1656</t>
  </si>
  <si>
    <t>IP-1657</t>
  </si>
  <si>
    <t>IP-1658</t>
  </si>
  <si>
    <t>EG07-0014</t>
  </si>
  <si>
    <t>EG03-0089</t>
  </si>
  <si>
    <t>IP-1659</t>
  </si>
  <si>
    <t>IP-1660</t>
  </si>
  <si>
    <t>IP-1661</t>
  </si>
  <si>
    <t>IP-1662</t>
  </si>
  <si>
    <t>IP-1663</t>
  </si>
  <si>
    <t>IP-1664</t>
  </si>
  <si>
    <t>IP-1665</t>
  </si>
  <si>
    <t>IP-1666</t>
  </si>
  <si>
    <t>IP-1667</t>
  </si>
  <si>
    <t>IP-1668</t>
  </si>
  <si>
    <t>IP-1669</t>
  </si>
  <si>
    <t>IP-1670</t>
  </si>
  <si>
    <t>EG07-0019</t>
  </si>
  <si>
    <t>EG03-0091</t>
  </si>
  <si>
    <t>IP-1671</t>
  </si>
  <si>
    <t>IP-1672</t>
  </si>
  <si>
    <t>IP-1673</t>
  </si>
  <si>
    <t>IP-1674</t>
  </si>
  <si>
    <t>IP-1675</t>
  </si>
  <si>
    <t>IP-1676</t>
  </si>
  <si>
    <t>IP-1677</t>
  </si>
  <si>
    <t>IP-1678</t>
  </si>
  <si>
    <t>IP-1680</t>
  </si>
  <si>
    <t>EG07-0044</t>
  </si>
  <si>
    <t>EG03-0132</t>
  </si>
  <si>
    <t>IP-1681</t>
  </si>
  <si>
    <t>IP-1684</t>
  </si>
  <si>
    <t>COMUNIDAD CAMPESINA DE UNTUCA</t>
  </si>
  <si>
    <t>EG07-3725</t>
  </si>
  <si>
    <t>EG03-0016</t>
  </si>
  <si>
    <t>IP-1685</t>
  </si>
  <si>
    <t>EG07-0015</t>
  </si>
  <si>
    <t>EG03-0092</t>
  </si>
  <si>
    <t>IP-1686</t>
  </si>
  <si>
    <t>IP-1687</t>
  </si>
  <si>
    <t>IP-1688</t>
  </si>
  <si>
    <t>IP-1689</t>
  </si>
  <si>
    <t>IP-1690</t>
  </si>
  <si>
    <t>IP-1691</t>
  </si>
  <si>
    <t>IP-1692</t>
  </si>
  <si>
    <t>IP-1693</t>
  </si>
  <si>
    <t>IP-1695</t>
  </si>
  <si>
    <t>EG07-3726</t>
  </si>
  <si>
    <t>EG03-0313</t>
  </si>
  <si>
    <t>IP-1696</t>
  </si>
  <si>
    <t>IP-1699</t>
  </si>
  <si>
    <t>IP-1705</t>
  </si>
  <si>
    <t>EXPLORACION G &amp; M EIRL</t>
  </si>
  <si>
    <t>EG07-0046</t>
  </si>
  <si>
    <t>EG03-0069</t>
  </si>
  <si>
    <t>IP-1707</t>
  </si>
  <si>
    <t>IP-1710</t>
  </si>
  <si>
    <t>EG07-0101</t>
  </si>
  <si>
    <t>EG03-0068</t>
  </si>
  <si>
    <t>IP-1712</t>
  </si>
  <si>
    <t>IP-1714</t>
  </si>
  <si>
    <t>IP-1715</t>
  </si>
  <si>
    <t>IP-1716</t>
  </si>
  <si>
    <t>IP-1717</t>
  </si>
  <si>
    <t>EG07-0102</t>
  </si>
  <si>
    <t>EG03-0098</t>
  </si>
  <si>
    <t>IP-1718</t>
  </si>
  <si>
    <t>IP-1719</t>
  </si>
  <si>
    <t>IP-1720</t>
  </si>
  <si>
    <t>IP-1721</t>
  </si>
  <si>
    <t>IP-1722</t>
  </si>
  <si>
    <t>IP-1723</t>
  </si>
  <si>
    <t>IP-1724</t>
  </si>
  <si>
    <t>IP-1725</t>
  </si>
  <si>
    <t>IP-1726</t>
  </si>
  <si>
    <t>IP-1727</t>
  </si>
  <si>
    <t>IP-1728</t>
  </si>
  <si>
    <t>IP-1729</t>
  </si>
  <si>
    <t>EG07-0049</t>
  </si>
  <si>
    <t>EG03-0012</t>
  </si>
  <si>
    <t>IP-1730</t>
  </si>
  <si>
    <t>IP-1731</t>
  </si>
  <si>
    <t>IP-1734</t>
  </si>
  <si>
    <t>EG07-0020</t>
  </si>
  <si>
    <t>EG03-0213</t>
  </si>
  <si>
    <t>IP-1735</t>
  </si>
  <si>
    <t>IP-1736</t>
  </si>
  <si>
    <t>IP-1737</t>
  </si>
  <si>
    <t>IP-1738</t>
  </si>
  <si>
    <t>IP-1739</t>
  </si>
  <si>
    <t>IP-1740</t>
  </si>
  <si>
    <t>IP-1741</t>
  </si>
  <si>
    <t>IP-1742</t>
  </si>
  <si>
    <t>IP-1743</t>
  </si>
  <si>
    <t>IP-1744</t>
  </si>
  <si>
    <t>MACC GOLD PERU EIRL</t>
  </si>
  <si>
    <t>EG07-0346</t>
  </si>
  <si>
    <t>EG03-0071</t>
  </si>
  <si>
    <t>IP-1748</t>
  </si>
  <si>
    <t>IP-1755</t>
  </si>
  <si>
    <t>EG07-0344</t>
  </si>
  <si>
    <t>EG03-6520</t>
  </si>
  <si>
    <t>IP-1760</t>
  </si>
  <si>
    <t>IP-1769</t>
  </si>
  <si>
    <t>EG07-0467</t>
  </si>
  <si>
    <t>EG03-0519</t>
  </si>
  <si>
    <t>IP-1770</t>
  </si>
  <si>
    <t>EG07-0105</t>
  </si>
  <si>
    <t>EG03-0168</t>
  </si>
  <si>
    <t>IP-1772</t>
  </si>
  <si>
    <t>IP-1776</t>
  </si>
  <si>
    <t>EG07-0469</t>
  </si>
  <si>
    <t>EG03-0520</t>
  </si>
  <si>
    <t>Oz/tc</t>
  </si>
  <si>
    <t>Cola Proy</t>
  </si>
  <si>
    <t>Rec Real</t>
  </si>
  <si>
    <t>Gr 100%</t>
  </si>
  <si>
    <t>Gr Rec</t>
  </si>
  <si>
    <t>Cola acum</t>
  </si>
  <si>
    <t>RUMA 6</t>
  </si>
  <si>
    <t>RUMA 7</t>
  </si>
  <si>
    <t>RUMA 8</t>
  </si>
  <si>
    <t>RUMA 9</t>
  </si>
  <si>
    <t>RUMA 10</t>
  </si>
  <si>
    <t>Stock</t>
  </si>
  <si>
    <t>ANÁLISIS CAMPAÑA 26 – Au</t>
  </si>
  <si>
    <t>ANÁLISIS CAMPAÑA 26 – Ag</t>
  </si>
  <si>
    <t>Rec Real %</t>
  </si>
  <si>
    <t>Cola Acum</t>
  </si>
  <si>
    <t>TMS Acum</t>
  </si>
  <si>
    <t>Rec</t>
  </si>
  <si>
    <t>STOCK</t>
  </si>
  <si>
    <t>STOCK SIN LEY</t>
  </si>
  <si>
    <t>TOTAL</t>
  </si>
  <si>
    <t>IP-2861</t>
  </si>
  <si>
    <t>GRUPO JEMALU E.I.R.L.</t>
  </si>
  <si>
    <t>EG07-0222</t>
  </si>
  <si>
    <t>EG03-0034</t>
  </si>
  <si>
    <t>ANÁLISIS CAMPAÑA 43– Au</t>
  </si>
  <si>
    <t>IP-2883</t>
  </si>
  <si>
    <t>EG07-0190</t>
  </si>
  <si>
    <t>EG03-3698</t>
  </si>
  <si>
    <t>IP-2971</t>
  </si>
  <si>
    <t>EG07-0263</t>
  </si>
  <si>
    <t>0002-4055</t>
  </si>
  <si>
    <t>IP-2983</t>
  </si>
  <si>
    <t>EG07-0202</t>
  </si>
  <si>
    <t>EG03-0308</t>
  </si>
  <si>
    <t>IP-2991</t>
  </si>
  <si>
    <t>EG07-0203</t>
  </si>
  <si>
    <t>EG03-3757</t>
  </si>
  <si>
    <t>IP-2992</t>
  </si>
  <si>
    <t>IP-3069</t>
  </si>
  <si>
    <t>MINERA LA VIRTUOSA DEL SUR E.I.R.L.</t>
  </si>
  <si>
    <t>EG07-0392</t>
  </si>
  <si>
    <t>EG03-0384</t>
  </si>
  <si>
    <t>IP-3081</t>
  </si>
  <si>
    <t>EG07-0140</t>
  </si>
  <si>
    <t>EG03-0488</t>
  </si>
  <si>
    <t>IP-3095</t>
  </si>
  <si>
    <t>MINERA CHAMACKA E.I.R.L.</t>
  </si>
  <si>
    <t>RETIRADO</t>
  </si>
  <si>
    <t>EG07-0223</t>
  </si>
  <si>
    <t>EG03-0001</t>
  </si>
  <si>
    <t>IP-3105</t>
  </si>
  <si>
    <t>GRANEL</t>
  </si>
  <si>
    <t>EG07-0151</t>
  </si>
  <si>
    <t>EG03-0007</t>
  </si>
  <si>
    <t>IP-3139</t>
  </si>
  <si>
    <t>EG07-0153</t>
  </si>
  <si>
    <t>EG03-0129</t>
  </si>
  <si>
    <t>IP-3308</t>
  </si>
  <si>
    <t>EG07-0039</t>
  </si>
  <si>
    <t>EG03-0154</t>
  </si>
  <si>
    <t>LEY PONDERADA + 0.002 MILESIMAS</t>
  </si>
  <si>
    <t>IP-3331</t>
  </si>
  <si>
    <t>EG07-6109</t>
  </si>
  <si>
    <t>EG03-0022</t>
  </si>
  <si>
    <t>IP-3367</t>
  </si>
  <si>
    <t>EG07-6232</t>
  </si>
  <si>
    <t>EG03-0241</t>
  </si>
  <si>
    <t>*RECUPERACION EN LIQUIDACION 85% (VALOR NOMINAL)</t>
  </si>
  <si>
    <t>IP-3374</t>
  </si>
  <si>
    <t>EG07-6248</t>
  </si>
  <si>
    <t>EG03-4075</t>
  </si>
  <si>
    <t>IP-3375</t>
  </si>
  <si>
    <t>CORPORACIÓN SANTA NANCY EIRL</t>
  </si>
  <si>
    <t>EG07-0099</t>
  </si>
  <si>
    <t>EG03-4076</t>
  </si>
  <si>
    <t>IP-3397</t>
  </si>
  <si>
    <t>EG07-0040</t>
  </si>
  <si>
    <t>EG03-0121</t>
  </si>
  <si>
    <t>*LEY PONDERADA + 2 MILESIMAS</t>
  </si>
  <si>
    <t>IP-3399</t>
  </si>
  <si>
    <t>EG07-0521</t>
  </si>
  <si>
    <t>EG03-0990</t>
  </si>
  <si>
    <t>IP-3401</t>
  </si>
  <si>
    <t>EG07-6267</t>
  </si>
  <si>
    <t>EG03-0989</t>
  </si>
  <si>
    <t>IP-3402</t>
  </si>
  <si>
    <t>IP-3403</t>
  </si>
  <si>
    <t>IP-3405</t>
  </si>
  <si>
    <t>ANÁLISIS CAMPAÑA 43 – Ag</t>
  </si>
  <si>
    <t>IP-3406</t>
  </si>
  <si>
    <t>IP-3407</t>
  </si>
  <si>
    <t>EG07-0231</t>
  </si>
  <si>
    <t>EG03-0064</t>
  </si>
  <si>
    <t>IP-3411</t>
  </si>
  <si>
    <t>EG07-0232</t>
  </si>
  <si>
    <t>EG03-0066</t>
  </si>
  <si>
    <t>IP-3412</t>
  </si>
  <si>
    <t>EG07-0260</t>
  </si>
  <si>
    <t>EG03-0008</t>
  </si>
  <si>
    <t>IP-3413</t>
  </si>
  <si>
    <t>IP-3417</t>
  </si>
  <si>
    <t>IP-3418</t>
  </si>
  <si>
    <t>IP-3422</t>
  </si>
  <si>
    <t>INVERSIONES MANAURY F E.I.R.L.</t>
  </si>
  <si>
    <t>EG07-0161</t>
  </si>
  <si>
    <t>EG03-0080</t>
  </si>
  <si>
    <t>IP-3423</t>
  </si>
  <si>
    <t>RONALD</t>
  </si>
  <si>
    <t>EG03-0246</t>
  </si>
  <si>
    <t>IP-3424</t>
  </si>
  <si>
    <t>IP-3425</t>
  </si>
  <si>
    <t>IP-3426</t>
  </si>
  <si>
    <t>IP-3427</t>
  </si>
  <si>
    <t>IP-3428</t>
  </si>
  <si>
    <t>IP-3429</t>
  </si>
  <si>
    <t>IP-3430</t>
  </si>
  <si>
    <t>IP-3431</t>
  </si>
  <si>
    <t>IP-3432</t>
  </si>
  <si>
    <t>IP-3433</t>
  </si>
  <si>
    <t>IP-3434</t>
  </si>
  <si>
    <t>IP-3435</t>
  </si>
  <si>
    <t>IP-3436</t>
  </si>
  <si>
    <t>INVERSIONES MAMA COCO EIRL</t>
  </si>
  <si>
    <t>EG07-0286</t>
  </si>
  <si>
    <t>EG03-0015</t>
  </si>
  <si>
    <t>IP-3437</t>
  </si>
  <si>
    <t>EG07-0287</t>
  </si>
  <si>
    <t>EG03-0103</t>
  </si>
  <si>
    <t>IP-3438</t>
  </si>
  <si>
    <t>IP-3439</t>
  </si>
  <si>
    <t>EG07-0387</t>
  </si>
  <si>
    <t>EG03-0025</t>
  </si>
  <si>
    <t>IP-3446</t>
  </si>
  <si>
    <t>EG07-0103</t>
  </si>
  <si>
    <t>EG03-0063</t>
  </si>
  <si>
    <t>IP-3447</t>
  </si>
  <si>
    <t>IP-3448</t>
  </si>
  <si>
    <t>IP-3449</t>
  </si>
  <si>
    <t>IP-3450</t>
  </si>
  <si>
    <t>IP-3451</t>
  </si>
  <si>
    <t>*EN LIQUIDACION CON RECUP 85</t>
  </si>
  <si>
    <t>IP-3452</t>
  </si>
  <si>
    <t>*EN LIQUIDACION CON RECUP 90</t>
  </si>
  <si>
    <t>IP-3453</t>
  </si>
  <si>
    <t>IP-3454</t>
  </si>
  <si>
    <t>IP-3455</t>
  </si>
  <si>
    <t>IP-3456</t>
  </si>
  <si>
    <t>IP-3457</t>
  </si>
  <si>
    <t>IP-3458</t>
  </si>
  <si>
    <t>IP-3459</t>
  </si>
  <si>
    <t>IP-3460</t>
  </si>
  <si>
    <t>ATAUCUSI ARIAS FRANK PAOLO.</t>
  </si>
  <si>
    <t>EG03-0346</t>
  </si>
  <si>
    <t>IP-3461</t>
  </si>
  <si>
    <t>EG03-0003</t>
  </si>
  <si>
    <t>IP-3462</t>
  </si>
  <si>
    <t>IP-3463</t>
  </si>
  <si>
    <t>IP-3464</t>
  </si>
  <si>
    <t>EG07-0391</t>
  </si>
  <si>
    <t>IP-3465</t>
  </si>
  <si>
    <t>EG03-0004</t>
  </si>
  <si>
    <t>IP-3466</t>
  </si>
  <si>
    <t>EG07-0393</t>
  </si>
  <si>
    <t>EG03-0005</t>
  </si>
  <si>
    <t>IP-3467</t>
  </si>
  <si>
    <t>EG07-0394</t>
  </si>
  <si>
    <t>EG03-0006</t>
  </si>
  <si>
    <t>IP-3468</t>
  </si>
  <si>
    <t>CORPORACIÓN SANTA NANCY E.I.R.L.</t>
  </si>
  <si>
    <t>EG07-0104</t>
  </si>
  <si>
    <t>EG03-4151</t>
  </si>
  <si>
    <t>IP-3469</t>
  </si>
  <si>
    <t>IP-3470</t>
  </si>
  <si>
    <t>IP-3471</t>
  </si>
  <si>
    <t>*EN LIQUIDACION RECUP% 85</t>
  </si>
  <si>
    <t>IP-3472</t>
  </si>
  <si>
    <t>EG07-0268</t>
  </si>
  <si>
    <t>EG03-4153</t>
  </si>
  <si>
    <t>IP-3473</t>
  </si>
  <si>
    <t>IP-3474</t>
  </si>
  <si>
    <t>IP-3475</t>
  </si>
  <si>
    <t>IP-3476</t>
  </si>
  <si>
    <t>IP-3477</t>
  </si>
  <si>
    <t>EG07-0204</t>
  </si>
  <si>
    <t>EG03-0633</t>
  </si>
  <si>
    <t>IP-3478</t>
  </si>
  <si>
    <t>EG07-0398</t>
  </si>
  <si>
    <t>IP-3479</t>
  </si>
  <si>
    <t>EG07-0399</t>
  </si>
  <si>
    <t>IP-3480</t>
  </si>
  <si>
    <t>EG07-0400</t>
  </si>
  <si>
    <t>EG03-0498</t>
  </si>
  <si>
    <t>IP-3481</t>
  </si>
  <si>
    <t>EG07-0401</t>
  </si>
  <si>
    <t>EG03-0027</t>
  </si>
  <si>
    <t>IP-3482</t>
  </si>
  <si>
    <t>EG03-1325</t>
  </si>
  <si>
    <t>IP-3483</t>
  </si>
  <si>
    <t>IP-3484</t>
  </si>
  <si>
    <t>EG03-0019</t>
  </si>
  <si>
    <t>IP-3485</t>
  </si>
  <si>
    <t>EG03-0247</t>
  </si>
  <si>
    <t>IP-3486</t>
  </si>
  <si>
    <t>IP-3487</t>
  </si>
  <si>
    <t>IP-3488</t>
  </si>
  <si>
    <t>IP-3489</t>
  </si>
  <si>
    <t>IP-3490</t>
  </si>
  <si>
    <t>IP-3491</t>
  </si>
  <si>
    <t>IP-3492</t>
  </si>
  <si>
    <t>*SE LIQUIDA CON LEY DIRIMENCIA</t>
  </si>
  <si>
    <t>IP-3493</t>
  </si>
  <si>
    <t>*EXCEPCIONALMENTE SE LIQUIDA CON LEY 0.100</t>
  </si>
  <si>
    <t>IP-3494</t>
  </si>
  <si>
    <t>IP-3495</t>
  </si>
  <si>
    <t>EG03-0072</t>
  </si>
  <si>
    <t>IP-3496</t>
  </si>
  <si>
    <t>EG03-0067</t>
  </si>
  <si>
    <t>IP-3497</t>
  </si>
  <si>
    <t>IP-3498</t>
  </si>
  <si>
    <t>IP-3499</t>
  </si>
  <si>
    <t>IP-3500</t>
  </si>
  <si>
    <t>IP-3501</t>
  </si>
  <si>
    <t>IP-3502</t>
  </si>
  <si>
    <t>IP-3503</t>
  </si>
  <si>
    <t>IP-3504</t>
  </si>
  <si>
    <t>EG03-0661</t>
  </si>
  <si>
    <t>IP-3505</t>
  </si>
  <si>
    <t>EG03-0663</t>
  </si>
  <si>
    <t>IP-3506</t>
  </si>
  <si>
    <t>EG03-4190</t>
  </si>
  <si>
    <t>IP-3507</t>
  </si>
  <si>
    <t>IP-3508</t>
  </si>
  <si>
    <t>IP-3509</t>
  </si>
  <si>
    <t>IP-3510</t>
  </si>
  <si>
    <t>IP-3511</t>
  </si>
  <si>
    <t>IP-3512</t>
  </si>
  <si>
    <t>IP-3513</t>
  </si>
  <si>
    <t>IP-3514</t>
  </si>
  <si>
    <t>EG03-0090</t>
  </si>
  <si>
    <t>IP-3515</t>
  </si>
  <si>
    <t>IP-3516</t>
  </si>
  <si>
    <t>IP-3517</t>
  </si>
  <si>
    <t>IP-3518</t>
  </si>
  <si>
    <t>IP-3519</t>
  </si>
  <si>
    <t>IP-3520</t>
  </si>
  <si>
    <t>IP-3521</t>
  </si>
  <si>
    <t>EG03-0370</t>
  </si>
  <si>
    <t>IP-3522</t>
  </si>
  <si>
    <t>IP-3523</t>
  </si>
  <si>
    <t>EMPRESA MINERA SAYMED E.I.R.L.</t>
  </si>
  <si>
    <t>IP-3524</t>
  </si>
  <si>
    <t>IP-3525</t>
  </si>
  <si>
    <t>IP-3526</t>
  </si>
  <si>
    <t>EG03-0371</t>
  </si>
  <si>
    <t>IP-3527</t>
  </si>
  <si>
    <t>IP-3528</t>
  </si>
  <si>
    <t>IP-3529</t>
  </si>
  <si>
    <t>IP-3530</t>
  </si>
  <si>
    <t>IP-3531</t>
  </si>
  <si>
    <t>IP-3532</t>
  </si>
  <si>
    <t>EG03-0031</t>
  </si>
  <si>
    <t>IP-3533</t>
  </si>
  <si>
    <t>IP-3534</t>
  </si>
  <si>
    <t>IP-3535</t>
  </si>
  <si>
    <t>|</t>
  </si>
  <si>
    <t xml:space="preserve"> Hoja de Valorizacion minerales auríferos</t>
  </si>
  <si>
    <t>DATOS DEL CLIENTE</t>
  </si>
  <si>
    <t>Razón social:</t>
  </si>
  <si>
    <t>Acopiador:</t>
  </si>
  <si>
    <t>Nro de RUC:</t>
  </si>
  <si>
    <t>Producto:</t>
  </si>
  <si>
    <t>Mineral aurifero sin procesar</t>
  </si>
  <si>
    <t>Fecha de entrega:</t>
  </si>
  <si>
    <t>GRR :</t>
  </si>
  <si>
    <t>Fecha de liquidación:</t>
  </si>
  <si>
    <t>GRT :</t>
  </si>
  <si>
    <t>Fecha de</t>
  </si>
  <si>
    <t>Ley Oz/tc</t>
  </si>
  <si>
    <t xml:space="preserve">% </t>
  </si>
  <si>
    <t>Inter</t>
  </si>
  <si>
    <t>Maquila</t>
  </si>
  <si>
    <t>Insumos</t>
  </si>
  <si>
    <t>Precio</t>
  </si>
  <si>
    <t>Total US$</t>
  </si>
  <si>
    <t>Recepcion</t>
  </si>
  <si>
    <t>Recup</t>
  </si>
  <si>
    <t>US$</t>
  </si>
  <si>
    <t>US$ x TC</t>
  </si>
  <si>
    <t>Comercial</t>
  </si>
  <si>
    <t>US$ x tc</t>
  </si>
  <si>
    <t>IP-0000</t>
  </si>
  <si>
    <t>Base imponible US$</t>
  </si>
  <si>
    <t>NOTA IMPORTANTE</t>
  </si>
  <si>
    <t>*Si existe una falsificación o adulteracion de los datos serán denunciados penalmente.</t>
  </si>
  <si>
    <t>*Si el proveedor minero desea retirar el mineral de nuestra planta debera realizar un pago por almacenaje, chancado y gastos operativos.</t>
  </si>
  <si>
    <t>*Se acepta reclamos y/o observaciones antes de que se efectue la factura y por ende el pago correspondiente, despues queda sin efecto todo reclamo.</t>
  </si>
  <si>
    <t>*Si el mineral ingresado es considerado Sin Valor Comercial (Ley Oz/tc menor a 0.100) y llega a cumplir los 30 dias en nuestro almacen. Se dispondra del mismo sin lugar a reclamo.</t>
  </si>
  <si>
    <t xml:space="preserve">*Si el mineral ingresado es considerado Con Valor Comercial (Ley Oz/tc mayor a 0.100) y llega a cumplir los 30 dias en nuestro almacen y no hay respuesta de confirmacion </t>
  </si>
  <si>
    <t xml:space="preserve">  del proveedor minero se liquidara con las condiciones comerciales de la empresa.</t>
  </si>
  <si>
    <t xml:space="preserve"> </t>
  </si>
  <si>
    <t xml:space="preserve"> Hoja de liquidación minerales auríferos</t>
  </si>
  <si>
    <t>INFORME DE ENSAYO</t>
  </si>
  <si>
    <t>N° LQ IP-202604-0512</t>
  </si>
  <si>
    <t>Cliente</t>
  </si>
  <si>
    <t>:</t>
  </si>
  <si>
    <t>Referencia</t>
  </si>
  <si>
    <t>Solicitud de Ensayo</t>
  </si>
  <si>
    <t>ANÁLISIS POR AU</t>
  </si>
  <si>
    <t>RECEPCIÓN DE MUESTRAS</t>
  </si>
  <si>
    <t>Cantidad</t>
  </si>
  <si>
    <t>Descripción</t>
  </si>
  <si>
    <t>POLVEADO</t>
  </si>
  <si>
    <t>Envase</t>
  </si>
  <si>
    <t>BOLSA DE PLÁSTICO</t>
  </si>
  <si>
    <t>Fecha de Recepción</t>
  </si>
  <si>
    <t>Término de Análisis</t>
  </si>
  <si>
    <t>Método de Ensayo</t>
  </si>
  <si>
    <t>NEWMONT</t>
  </si>
  <si>
    <t>DETALLE DEL INFORME</t>
  </si>
  <si>
    <t>N°</t>
  </si>
  <si>
    <t>CÓDIGO</t>
  </si>
  <si>
    <t>LEY AU Oz/Tc</t>
  </si>
  <si>
    <t>NOTA IMPORTANTE:</t>
  </si>
  <si>
    <t>El cliente cuenta con un plazo de tres (3) días, contados a partir de la recepción del certificado, para presentar el resultado de su contramuestra o solicitar un remuestreo. Vencido dicho plazo sin que se formulen observaciones, se considerará aceptada la ley reportada y se procederá a emitir la liquidación correspondiente.</t>
  </si>
  <si>
    <t>Los resultados obtenidos y que se consigna en el presente informe corresponde FIRE ASSAY o análisis gravimétrico en las muestras recepcionadas por el cliente.</t>
  </si>
  <si>
    <t>Costo fijo planta</t>
  </si>
  <si>
    <t>Costo variable</t>
  </si>
  <si>
    <t>C acopio</t>
  </si>
  <si>
    <t>Pi</t>
  </si>
  <si>
    <t>Consumo</t>
  </si>
  <si>
    <t>factor cortas</t>
  </si>
  <si>
    <t>Rec compra</t>
  </si>
  <si>
    <t>Rec venta</t>
  </si>
  <si>
    <t>Factor venta</t>
  </si>
  <si>
    <t>RC</t>
  </si>
  <si>
    <t>TM</t>
  </si>
  <si>
    <t>Oz</t>
  </si>
  <si>
    <t>U</t>
  </si>
  <si>
    <t>Venta</t>
  </si>
  <si>
    <t>compra</t>
  </si>
  <si>
    <t>Proceso+acopio</t>
  </si>
  <si>
    <t>IP-1445</t>
  </si>
  <si>
    <t>IP-1496</t>
  </si>
  <si>
    <t>IP-1513</t>
  </si>
  <si>
    <t>IP-1544</t>
  </si>
  <si>
    <t>IP-1545</t>
  </si>
  <si>
    <t>IP-1551</t>
  </si>
  <si>
    <t>IP-1578</t>
  </si>
  <si>
    <t>IP-1579</t>
  </si>
  <si>
    <t>IP-1597</t>
  </si>
  <si>
    <t>IP-1599</t>
  </si>
  <si>
    <t>IP-1601</t>
  </si>
  <si>
    <t>IP-1602</t>
  </si>
  <si>
    <t>IP-1603</t>
  </si>
  <si>
    <t>IP-1605</t>
  </si>
  <si>
    <t>IP-1619</t>
  </si>
  <si>
    <t>IP-1623</t>
  </si>
  <si>
    <t>IP-1626</t>
  </si>
  <si>
    <t>IP-1648</t>
  </si>
  <si>
    <t>IP-1649</t>
  </si>
  <si>
    <t>IP-1682</t>
  </si>
  <si>
    <t>IP-1683</t>
  </si>
  <si>
    <t>IP-1694</t>
  </si>
  <si>
    <t>IP-1697</t>
  </si>
  <si>
    <t>IP-1700</t>
  </si>
  <si>
    <t>IP-1701</t>
  </si>
  <si>
    <t>IP-1702</t>
  </si>
  <si>
    <t>EG07-0047</t>
  </si>
  <si>
    <t>EG03-0356</t>
  </si>
  <si>
    <t>IP-1704</t>
  </si>
  <si>
    <t>EG07-0045</t>
  </si>
  <si>
    <t>EG03-0172</t>
  </si>
  <si>
    <t>IP-1706</t>
  </si>
  <si>
    <t>EG07-0048</t>
  </si>
  <si>
    <t>EG03-0288</t>
  </si>
  <si>
    <t>IP-1708</t>
  </si>
  <si>
    <t>IP-1709</t>
  </si>
  <si>
    <t>IP-1711</t>
  </si>
  <si>
    <t>IP-1713</t>
  </si>
  <si>
    <t>IP-1732</t>
  </si>
  <si>
    <t>IP-1733</t>
  </si>
  <si>
    <t>IP-1745</t>
  </si>
  <si>
    <t>EG07-3844</t>
  </si>
  <si>
    <t>EG03-0070</t>
  </si>
  <si>
    <t>IP-1746</t>
  </si>
  <si>
    <t>IP-1747</t>
  </si>
  <si>
    <t>IP-1749</t>
  </si>
  <si>
    <t>IP-1750</t>
  </si>
  <si>
    <t>IP-1751</t>
  </si>
  <si>
    <t>IP-1752</t>
  </si>
  <si>
    <t>IP-1753</t>
  </si>
  <si>
    <t>IP-1754</t>
  </si>
  <si>
    <t>IP-1756</t>
  </si>
  <si>
    <t>IP-1757</t>
  </si>
  <si>
    <t>IP-1758</t>
  </si>
  <si>
    <t>EG07-3843</t>
  </si>
  <si>
    <t>EG03-6518</t>
  </si>
  <si>
    <t>IP-1759</t>
  </si>
  <si>
    <t>IP-1761</t>
  </si>
  <si>
    <t>error de andres en excell</t>
  </si>
  <si>
    <t>IP-1762</t>
  </si>
  <si>
    <t>IP-1763</t>
  </si>
  <si>
    <t>IP-1768</t>
  </si>
  <si>
    <t>IP-1771</t>
  </si>
  <si>
    <t>IP-1773</t>
  </si>
  <si>
    <t>IP-1774</t>
  </si>
  <si>
    <t>IP-1775</t>
  </si>
  <si>
    <t>IP-1777</t>
  </si>
  <si>
    <t>EG07-0021</t>
  </si>
  <si>
    <t>EG03-0095</t>
  </si>
  <si>
    <t>IP-1778</t>
  </si>
  <si>
    <t>IP-1779</t>
  </si>
  <si>
    <t>IP-1780</t>
  </si>
  <si>
    <t>IP-1781</t>
  </si>
  <si>
    <t>IP-1782</t>
  </si>
  <si>
    <t>IP-1783</t>
  </si>
  <si>
    <t>IP-1784</t>
  </si>
  <si>
    <t>IP-1785</t>
  </si>
  <si>
    <t>EG07-0356</t>
  </si>
  <si>
    <t>EG03-6565</t>
  </si>
  <si>
    <t>IP-1786</t>
  </si>
  <si>
    <t>IP-1787</t>
  </si>
  <si>
    <t>EG07-0107</t>
  </si>
  <si>
    <t>EG03-0073</t>
  </si>
  <si>
    <t>IP-1788</t>
  </si>
  <si>
    <t>IP-1789</t>
  </si>
  <si>
    <t>IP-1790</t>
  </si>
  <si>
    <t>EG07-0478</t>
  </si>
  <si>
    <t>EG03-0529</t>
  </si>
  <si>
    <t>IP-1791</t>
  </si>
  <si>
    <t>IP-1792</t>
  </si>
  <si>
    <t>IP-1793</t>
  </si>
  <si>
    <t>EG07-480</t>
  </si>
  <si>
    <t>EG03-532</t>
  </si>
  <si>
    <t>IP-1794</t>
  </si>
  <si>
    <t>EG07-44</t>
  </si>
  <si>
    <t>EG03-277</t>
  </si>
  <si>
    <t>IP-1795</t>
  </si>
  <si>
    <t>IP-1796</t>
  </si>
  <si>
    <t>EG07-45</t>
  </si>
  <si>
    <t>002-3995</t>
  </si>
  <si>
    <t>IP-1797</t>
  </si>
  <si>
    <t>EG07-0053</t>
  </si>
  <si>
    <t>001-8775</t>
  </si>
  <si>
    <t>IP-1798</t>
  </si>
  <si>
    <t>IP-1799</t>
  </si>
  <si>
    <t>EG07-108</t>
  </si>
  <si>
    <t>EG03-74</t>
  </si>
  <si>
    <t>IP-1800</t>
  </si>
  <si>
    <t>IP-1801</t>
  </si>
  <si>
    <t>IP-1802</t>
  </si>
  <si>
    <t>IP-1803</t>
  </si>
  <si>
    <t>IP-1804</t>
  </si>
  <si>
    <t>IP-1805</t>
  </si>
  <si>
    <t>IP-1806</t>
  </si>
  <si>
    <t>IP-1807</t>
  </si>
  <si>
    <t>EG07-22</t>
  </si>
  <si>
    <t>EG03-38</t>
  </si>
  <si>
    <t>IP-1808</t>
  </si>
  <si>
    <t>IP-1809</t>
  </si>
  <si>
    <t>IP-1810</t>
  </si>
  <si>
    <t>A GRANEL</t>
  </si>
  <si>
    <t>EG07-46</t>
  </si>
  <si>
    <t>002-3996</t>
  </si>
  <si>
    <t>IP-1811</t>
  </si>
  <si>
    <t>IP-1812</t>
  </si>
  <si>
    <t>IP-1813</t>
  </si>
  <si>
    <t>IP-1814</t>
  </si>
  <si>
    <t>IP-1815</t>
  </si>
  <si>
    <t>EG07-47</t>
  </si>
  <si>
    <t>002-3997</t>
  </si>
  <si>
    <t>IP-1816</t>
  </si>
  <si>
    <t>EG07-48</t>
  </si>
  <si>
    <t>002-3998</t>
  </si>
  <si>
    <t>IP-1817</t>
  </si>
  <si>
    <t>IP-1818</t>
  </si>
  <si>
    <t>IP-1819</t>
  </si>
  <si>
    <t>ANÁLISIS CAMPAÑA 27– Au</t>
  </si>
  <si>
    <t>IP-1698</t>
  </si>
  <si>
    <t>IP-1703</t>
  </si>
  <si>
    <t>EG03-0355</t>
  </si>
  <si>
    <t>IP-1764</t>
  </si>
  <si>
    <t>EG03-0157</t>
  </si>
  <si>
    <t>IP-1765</t>
  </si>
  <si>
    <t>IP-1766</t>
  </si>
  <si>
    <t>IP-1767</t>
  </si>
  <si>
    <t>IP-1820</t>
  </si>
  <si>
    <t>EG07-054</t>
  </si>
  <si>
    <t>EG03-004</t>
  </si>
  <si>
    <t>IP-1821</t>
  </si>
  <si>
    <t>IP-1822</t>
  </si>
  <si>
    <t>EG07-063</t>
  </si>
  <si>
    <t>EG03-269</t>
  </si>
  <si>
    <t>IP-1823</t>
  </si>
  <si>
    <t>IP-1824</t>
  </si>
  <si>
    <t>IP-1825</t>
  </si>
  <si>
    <t>EG07-111</t>
  </si>
  <si>
    <t>EG03-271</t>
  </si>
  <si>
    <t>IP-1826</t>
  </si>
  <si>
    <t>IP-1827</t>
  </si>
  <si>
    <t>IP-1828</t>
  </si>
  <si>
    <t>EG07-023</t>
  </si>
  <si>
    <t>EG03-097</t>
  </si>
  <si>
    <t>ANÁLISIS CAMPAÑA 27 – Ag</t>
  </si>
  <si>
    <t>IP-1829</t>
  </si>
  <si>
    <t>IP-1830</t>
  </si>
  <si>
    <t>IP-1832</t>
  </si>
  <si>
    <t>Total C-27</t>
  </si>
  <si>
    <t>IP-1833</t>
  </si>
  <si>
    <t>Saldo C-26</t>
  </si>
  <si>
    <t>IP-1834</t>
  </si>
  <si>
    <t>tk1 C-27</t>
  </si>
  <si>
    <t>IP-1836</t>
  </si>
  <si>
    <t>EG07-113</t>
  </si>
  <si>
    <t>001-271</t>
  </si>
  <si>
    <t>tk 2 en tk C-27</t>
  </si>
  <si>
    <t>IP-1837</t>
  </si>
  <si>
    <t>tk 3 en tk C-27</t>
  </si>
  <si>
    <t>IP-1847</t>
  </si>
  <si>
    <t>JAWASA S.A</t>
  </si>
  <si>
    <t>EG07-276</t>
  </si>
  <si>
    <t>EG03-555</t>
  </si>
  <si>
    <t>Saldo</t>
  </si>
  <si>
    <t>IP-1848</t>
  </si>
  <si>
    <t>IP-1849</t>
  </si>
  <si>
    <t>EG07-024</t>
  </si>
  <si>
    <t>EG03-039</t>
  </si>
  <si>
    <t>IP-1850</t>
  </si>
  <si>
    <t>IP-1851</t>
  </si>
  <si>
    <t>IP-1852</t>
  </si>
  <si>
    <t>IP-1853</t>
  </si>
  <si>
    <t>IP-1854</t>
  </si>
  <si>
    <t>IP-1855</t>
  </si>
  <si>
    <t>EG07-382</t>
  </si>
  <si>
    <t>EG03-310</t>
  </si>
  <si>
    <t>IP-1856</t>
  </si>
  <si>
    <t>EG07-4037</t>
  </si>
  <si>
    <t>EG03-0309</t>
  </si>
  <si>
    <t>IP-1857</t>
  </si>
  <si>
    <t>IP-1858</t>
  </si>
  <si>
    <t>IP-1860</t>
  </si>
  <si>
    <t>IP-1861</t>
  </si>
  <si>
    <t>IP-1862</t>
  </si>
  <si>
    <t>IP-1863</t>
  </si>
  <si>
    <t>IP-1865</t>
  </si>
  <si>
    <t>EG07-056</t>
  </si>
  <si>
    <t>EG03-003</t>
  </si>
  <si>
    <t>IP-1866</t>
  </si>
  <si>
    <t>EG07-4076</t>
  </si>
  <si>
    <t>EG03-2967</t>
  </si>
  <si>
    <t>IP-1867</t>
  </si>
  <si>
    <t>IP-1868</t>
  </si>
  <si>
    <t>IP-1869</t>
  </si>
  <si>
    <t>EG07-0384</t>
  </si>
  <si>
    <t>EG03-2966</t>
  </si>
  <si>
    <t>IP-1871</t>
  </si>
  <si>
    <t>EG07-059</t>
  </si>
  <si>
    <t>0001-0088</t>
  </si>
  <si>
    <t>IP-1872</t>
  </si>
  <si>
    <t>IP-1873</t>
  </si>
  <si>
    <t>EG07-058</t>
  </si>
  <si>
    <t>EG03-379</t>
  </si>
  <si>
    <t>IP-1874</t>
  </si>
  <si>
    <t>IP-1875</t>
  </si>
  <si>
    <t>EG07-057</t>
  </si>
  <si>
    <t>EG03-317</t>
  </si>
  <si>
    <t>IP-1876</t>
  </si>
  <si>
    <t>IP-1877</t>
  </si>
  <si>
    <t>EG07-391</t>
  </si>
  <si>
    <t>EG03-107</t>
  </si>
  <si>
    <t>IP-1879</t>
  </si>
  <si>
    <t>EG07-4109</t>
  </si>
  <si>
    <t>EG03-106</t>
  </si>
  <si>
    <t>IP-1880</t>
  </si>
  <si>
    <t>IP-1881</t>
  </si>
  <si>
    <t>IP-1883</t>
  </si>
  <si>
    <t>*Se analizo 3 veces recuperacion debido a que en 48h recuperaba 78.9 y 92.8;para verificar el valor correcto se hizo una prueba a 24 h con resultado 92.2. Se toma el mayor porcentaje.</t>
  </si>
  <si>
    <t>IP-1885</t>
  </si>
  <si>
    <t>IP-1886</t>
  </si>
  <si>
    <t>IP-1887</t>
  </si>
  <si>
    <t>IP-1888</t>
  </si>
  <si>
    <t>EG07-061</t>
  </si>
  <si>
    <t>EG03-038</t>
  </si>
  <si>
    <t>IP-1889</t>
  </si>
  <si>
    <t>IP-1890</t>
  </si>
  <si>
    <t>EG07-123</t>
  </si>
  <si>
    <t>EG03-199</t>
  </si>
  <si>
    <t>*Se hizo dirimencia en el laboratorio Analytica, en el pcp se INCLUYEN los valores dirimentes para el promedio.</t>
  </si>
  <si>
    <t>IP-1891</t>
  </si>
  <si>
    <t>IP-1892</t>
  </si>
  <si>
    <t>IP-1893</t>
  </si>
  <si>
    <t>IP-1894</t>
  </si>
  <si>
    <t>*La recup inicial dio resultado 62.5 se reensayo y el resultado es 93.97 se considera este ultimo porque visualmente se comprobo que es un mineral oxidado.</t>
  </si>
  <si>
    <t>IP-1895</t>
  </si>
  <si>
    <t>IP-1896</t>
  </si>
  <si>
    <t>IP-1897</t>
  </si>
  <si>
    <t>IP-1898</t>
  </si>
  <si>
    <t>IP-1899</t>
  </si>
  <si>
    <t>EG07-126</t>
  </si>
  <si>
    <t>EG03-358</t>
  </si>
  <si>
    <t>IP-1900</t>
  </si>
  <si>
    <t>IP-1901</t>
  </si>
  <si>
    <t>IP-1902</t>
  </si>
  <si>
    <t>IP-1903</t>
  </si>
  <si>
    <t>IP-1904</t>
  </si>
  <si>
    <t>IP-1905</t>
  </si>
  <si>
    <t>IP-1906</t>
  </si>
  <si>
    <t>EG07-0062</t>
  </si>
  <si>
    <t>EG03-0039</t>
  </si>
  <si>
    <t>IP-1909</t>
  </si>
  <si>
    <t>EG07-0127</t>
  </si>
  <si>
    <t>EG03-0081</t>
  </si>
  <si>
    <t>*Se hizo REE de recuperacion la primera fue 81.89 y la seguanda a 24h fue 89.91</t>
  </si>
  <si>
    <t>IP-1910</t>
  </si>
  <si>
    <t>IP-1911</t>
  </si>
  <si>
    <t>IP-1912</t>
  </si>
  <si>
    <t>EG07-0025</t>
  </si>
  <si>
    <t>EG03-0041</t>
  </si>
  <si>
    <t>IP-1913</t>
  </si>
  <si>
    <t>IP-1914</t>
  </si>
  <si>
    <t>IP-1915</t>
  </si>
  <si>
    <t>IP-1916</t>
  </si>
  <si>
    <t>IP-1918</t>
  </si>
  <si>
    <t>IP-1919</t>
  </si>
  <si>
    <t>IP-1921</t>
  </si>
  <si>
    <t>EG07-130</t>
  </si>
  <si>
    <t>EG03-133</t>
  </si>
  <si>
    <t>IP-1922</t>
  </si>
  <si>
    <t>IP-1923</t>
  </si>
  <si>
    <t>IP-1924</t>
  </si>
  <si>
    <t>IP-1925</t>
  </si>
  <si>
    <t>IP-1926</t>
  </si>
  <si>
    <t>EG07-4163</t>
  </si>
  <si>
    <t>EG03-2331</t>
  </si>
  <si>
    <t>IP-1927</t>
  </si>
  <si>
    <t>IP-1928</t>
  </si>
  <si>
    <t>IP-1930</t>
  </si>
  <si>
    <t>EG07-403</t>
  </si>
  <si>
    <t>EG03-034</t>
  </si>
  <si>
    <t>IP-1933</t>
  </si>
  <si>
    <t>IP-1935</t>
  </si>
  <si>
    <t>EG07-0060</t>
  </si>
  <si>
    <t>0002-4009</t>
  </si>
  <si>
    <t>IP-1942</t>
  </si>
  <si>
    <t>EG07-0063</t>
  </si>
  <si>
    <t>EG03-0044</t>
  </si>
  <si>
    <t>IP-1943</t>
  </si>
  <si>
    <t>IP-1944</t>
  </si>
  <si>
    <t>IP-1945</t>
  </si>
  <si>
    <t>EG07-0026</t>
  </si>
  <si>
    <t>EG03-0043</t>
  </si>
  <si>
    <t>IP-1950</t>
  </si>
  <si>
    <t>IP-1953</t>
  </si>
  <si>
    <t>EG07-4300</t>
  </si>
  <si>
    <t>EG03-0222</t>
  </si>
  <si>
    <t>IP-1954</t>
  </si>
  <si>
    <t>IP-1955</t>
  </si>
  <si>
    <t>IP-1679</t>
  </si>
  <si>
    <t>EG07-0043</t>
  </si>
  <si>
    <t>EG03-0131</t>
  </si>
  <si>
    <t>IP-1831</t>
  </si>
  <si>
    <t>ANÁLISIS CAMPAÑA 28– Au</t>
  </si>
  <si>
    <t>IP-1835</t>
  </si>
  <si>
    <t>IP-1859</t>
  </si>
  <si>
    <t>IP-1864</t>
  </si>
  <si>
    <t>IP-1870</t>
  </si>
  <si>
    <t>IP-1878</t>
  </si>
  <si>
    <t>IP-1882</t>
  </si>
  <si>
    <t>IP-1884</t>
  </si>
  <si>
    <t>IP-1907</t>
  </si>
  <si>
    <t>IP-1908</t>
  </si>
  <si>
    <t>EG07-4146</t>
  </si>
  <si>
    <t>EG03-0051</t>
  </si>
  <si>
    <t>*Se hizo remuestreo de la ley promedio es ma baja que la inicial.</t>
  </si>
  <si>
    <t>IP-1917</t>
  </si>
  <si>
    <t>IP-1920</t>
  </si>
  <si>
    <t>IP-1929</t>
  </si>
  <si>
    <t>EG07-0402</t>
  </si>
  <si>
    <t>EG03-2332</t>
  </si>
  <si>
    <t>IP-1931</t>
  </si>
  <si>
    <t>IP-1932</t>
  </si>
  <si>
    <t>IP-1934</t>
  </si>
  <si>
    <t>EG07-4164</t>
  </si>
  <si>
    <t>EG03-035</t>
  </si>
  <si>
    <t>ANÁLISIS CAMPAÑA 28 – Ag</t>
  </si>
  <si>
    <t>IP-1936</t>
  </si>
  <si>
    <t>IP-1937</t>
  </si>
  <si>
    <t>EG07-4184</t>
  </si>
  <si>
    <t>EG03-0083</t>
  </si>
  <si>
    <t>IP-1938</t>
  </si>
  <si>
    <t>Total C-28</t>
  </si>
  <si>
    <t>IP-1940</t>
  </si>
  <si>
    <t>EG07-0068</t>
  </si>
  <si>
    <t>0002-4010</t>
  </si>
  <si>
    <t>Saldo C-27</t>
  </si>
  <si>
    <t>IP-1941</t>
  </si>
  <si>
    <t>tk1 carbon piso</t>
  </si>
  <si>
    <t>IP-1947</t>
  </si>
  <si>
    <t>tk 2 en tanques</t>
  </si>
  <si>
    <t>IP-1948</t>
  </si>
  <si>
    <t>tk 3 en tanques</t>
  </si>
  <si>
    <t>IP-1949</t>
  </si>
  <si>
    <t>IP-1951</t>
  </si>
  <si>
    <t>IP-1952</t>
  </si>
  <si>
    <t>IP-1957</t>
  </si>
  <si>
    <t>EG07-0408</t>
  </si>
  <si>
    <t>EG03-0223</t>
  </si>
  <si>
    <t>IP-1959</t>
  </si>
  <si>
    <t>EG07-0074</t>
  </si>
  <si>
    <t>EG03-0353</t>
  </si>
  <si>
    <t>IP-1960</t>
  </si>
  <si>
    <t>EG07-0075</t>
  </si>
  <si>
    <t>0002-4013</t>
  </si>
  <si>
    <t>IP-1961</t>
  </si>
  <si>
    <t>EG07-0064</t>
  </si>
  <si>
    <t>EG03-0052</t>
  </si>
  <si>
    <t>IP-1962</t>
  </si>
  <si>
    <t>IP-1963</t>
  </si>
  <si>
    <t>IP-1964</t>
  </si>
  <si>
    <t>IP-1965</t>
  </si>
  <si>
    <t>IP-1966</t>
  </si>
  <si>
    <t>IP-1967</t>
  </si>
  <si>
    <t>EG07-0332</t>
  </si>
  <si>
    <t>EG03-0719</t>
  </si>
  <si>
    <t>IP-1968</t>
  </si>
  <si>
    <t>EG07-0076</t>
  </si>
  <si>
    <t>0002-4014</t>
  </si>
  <si>
    <t>IP-1969</t>
  </si>
  <si>
    <t>EG07-4327</t>
  </si>
  <si>
    <t>EG03-0085</t>
  </si>
  <si>
    <t>IP-1972</t>
  </si>
  <si>
    <t>EG07-0065</t>
  </si>
  <si>
    <t>EG03-0144</t>
  </si>
  <si>
    <t>IP-1973</t>
  </si>
  <si>
    <t>IP-1974</t>
  </si>
  <si>
    <t>IP-1975</t>
  </si>
  <si>
    <t>EG07-0080</t>
  </si>
  <si>
    <t>0002-4015</t>
  </si>
  <si>
    <t>IP-1976</t>
  </si>
  <si>
    <t>EG07-0081</t>
  </si>
  <si>
    <t>EG03-0354</t>
  </si>
  <si>
    <t>Por error en la formula se puso $120 de maquila</t>
  </si>
  <si>
    <t>IP-1977</t>
  </si>
  <si>
    <t>EG07-4344</t>
  </si>
  <si>
    <t>EG03-0174</t>
  </si>
  <si>
    <t>IP-1980</t>
  </si>
  <si>
    <t>EG07-0409</t>
  </si>
  <si>
    <t>EG03-0175</t>
  </si>
  <si>
    <t>IP-1981</t>
  </si>
  <si>
    <t>IP-1982</t>
  </si>
  <si>
    <t>IP-1984</t>
  </si>
  <si>
    <t>EG07-4355</t>
  </si>
  <si>
    <t>EG03-2236</t>
  </si>
  <si>
    <t>IP-1985</t>
  </si>
  <si>
    <t>EG07-0410</t>
  </si>
  <si>
    <t>EG03-2237</t>
  </si>
  <si>
    <t>Por error en la formula se puso $80 de maquila</t>
  </si>
  <si>
    <t>IP-1988</t>
  </si>
  <si>
    <t>IP-1989</t>
  </si>
  <si>
    <t>IP-1990</t>
  </si>
  <si>
    <t>IP-1991</t>
  </si>
  <si>
    <t>EG07-0411</t>
  </si>
  <si>
    <t>EG03-0087</t>
  </si>
  <si>
    <t>IP-1992</t>
  </si>
  <si>
    <t>IP-1993</t>
  </si>
  <si>
    <t>EG07-4374</t>
  </si>
  <si>
    <t>EG03-0086</t>
  </si>
  <si>
    <t>IP-1996</t>
  </si>
  <si>
    <t>IP-1997</t>
  </si>
  <si>
    <t>EG07-0027</t>
  </si>
  <si>
    <t>EG03-0046</t>
  </si>
  <si>
    <t>IP-1998</t>
  </si>
  <si>
    <t>IP-1999</t>
  </si>
  <si>
    <t>IP-2000</t>
  </si>
  <si>
    <t>IP-2001</t>
  </si>
  <si>
    <t>IP-2003</t>
  </si>
  <si>
    <t>IP-2004</t>
  </si>
  <si>
    <t>EG07-4379</t>
  </si>
  <si>
    <t>EG03-158</t>
  </si>
  <si>
    <t>IP-2007</t>
  </si>
  <si>
    <t>EG07-0066</t>
  </si>
  <si>
    <t>0001-0090</t>
  </si>
  <si>
    <t>IP-2008</t>
  </si>
  <si>
    <t>IP-2014</t>
  </si>
  <si>
    <t>EG03-0088</t>
  </si>
  <si>
    <t>IP-2015</t>
  </si>
  <si>
    <t>IP-2016</t>
  </si>
  <si>
    <t>IP-2017</t>
  </si>
  <si>
    <t>EG07-0067</t>
  </si>
  <si>
    <t>EG03-0400</t>
  </si>
  <si>
    <t>IP-2018</t>
  </si>
  <si>
    <t>IP-2019</t>
  </si>
  <si>
    <t>IP-2020</t>
  </si>
  <si>
    <t>IP-2021</t>
  </si>
  <si>
    <t>IP-2022</t>
  </si>
  <si>
    <t>EG07-0136</t>
  </si>
  <si>
    <t>IP-2023</t>
  </si>
  <si>
    <t>IP-2024</t>
  </si>
  <si>
    <t>IP-2025</t>
  </si>
  <si>
    <t>IP-2026</t>
  </si>
  <si>
    <t>IP-2027</t>
  </si>
  <si>
    <t>IP-2028</t>
  </si>
  <si>
    <t>IP-2029</t>
  </si>
  <si>
    <t>IP-2033</t>
  </si>
  <si>
    <t>EG07-4415</t>
  </si>
  <si>
    <t>EG03-1685</t>
  </si>
  <si>
    <t>IP-2038</t>
  </si>
  <si>
    <t>EG07-0137</t>
  </si>
  <si>
    <t>EG03-2447</t>
  </si>
  <si>
    <t>IP-2039</t>
  </si>
  <si>
    <t>IP-2040</t>
  </si>
  <si>
    <t>IP-2041</t>
  </si>
  <si>
    <t>IP-2042</t>
  </si>
  <si>
    <t>IP-2043</t>
  </si>
  <si>
    <t>IP-2044</t>
  </si>
  <si>
    <t>IP-2045</t>
  </si>
  <si>
    <t>IP-2046</t>
  </si>
  <si>
    <t>IP-2049</t>
  </si>
  <si>
    <t>EG03-0401</t>
  </si>
  <si>
    <t>IP-2051</t>
  </si>
  <si>
    <t>EG07-0028</t>
  </si>
  <si>
    <t>EG03-0684</t>
  </si>
  <si>
    <t>IP-2052</t>
  </si>
  <si>
    <t>IP-2054</t>
  </si>
  <si>
    <t>IP-2056</t>
  </si>
  <si>
    <t>IP-2057</t>
  </si>
  <si>
    <t>IP-2058</t>
  </si>
  <si>
    <t>IP-2062</t>
  </si>
  <si>
    <t>EG07-100</t>
  </si>
  <si>
    <t>EG03-364</t>
  </si>
  <si>
    <t>IP-1838</t>
  </si>
  <si>
    <t>MINERA DOS DE DICIEMBRE S.A. MIDDERSA</t>
  </si>
  <si>
    <t>EG07-189</t>
  </si>
  <si>
    <t>-</t>
  </si>
  <si>
    <t>ANÁLISIS CAMPAÑA 29– Au</t>
  </si>
  <si>
    <t>IP-1939</t>
  </si>
  <si>
    <t>IP-1946</t>
  </si>
  <si>
    <t>IP-1956</t>
  </si>
  <si>
    <t>IP-1958</t>
  </si>
  <si>
    <t>IP-1970</t>
  </si>
  <si>
    <t>IP-1971</t>
  </si>
  <si>
    <t>IP-1978</t>
  </si>
  <si>
    <t>IP-1979</t>
  </si>
  <si>
    <t>IP-1983</t>
  </si>
  <si>
    <t>IP-1986</t>
  </si>
  <si>
    <t>IP-1987</t>
  </si>
  <si>
    <t>IP-1994</t>
  </si>
  <si>
    <t>IP-1995</t>
  </si>
  <si>
    <t>IP-2002</t>
  </si>
  <si>
    <t>IP-2009</t>
  </si>
  <si>
    <t>ANÁLISIS CAMPAÑA 29 – Ag</t>
  </si>
  <si>
    <t>IP-2010</t>
  </si>
  <si>
    <t>EG07-4389</t>
  </si>
  <si>
    <t>IP-2011</t>
  </si>
  <si>
    <t>IP-2012</t>
  </si>
  <si>
    <t>Total C-29</t>
  </si>
  <si>
    <t>IP-2013</t>
  </si>
  <si>
    <t>Saldo C-28</t>
  </si>
  <si>
    <t>IP-2030</t>
  </si>
  <si>
    <t>RETAMOZO ARIAS KARINA JUDITH</t>
  </si>
  <si>
    <t>tk1 C-29</t>
  </si>
  <si>
    <t>IP-2031</t>
  </si>
  <si>
    <t>EG07-0414</t>
  </si>
  <si>
    <t>EG03-1686</t>
  </si>
  <si>
    <t>tk 2 en tk C-29</t>
  </si>
  <si>
    <t>IP-2034</t>
  </si>
  <si>
    <t>tk 3 en tk C-29</t>
  </si>
  <si>
    <t>IP-2035</t>
  </si>
  <si>
    <t>IP-2036</t>
  </si>
  <si>
    <t>IP-2047</t>
  </si>
  <si>
    <t>IP-2048</t>
  </si>
  <si>
    <t>IP-2050</t>
  </si>
  <si>
    <t>ATAUCUSI ARIAS FRANK PAOLO</t>
  </si>
  <si>
    <t>EG07-0168</t>
  </si>
  <si>
    <t>EG03-0374</t>
  </si>
  <si>
    <t>IP-2053</t>
  </si>
  <si>
    <t>IP-2055</t>
  </si>
  <si>
    <t>IP-2059</t>
  </si>
  <si>
    <t>EG07-4429</t>
  </si>
  <si>
    <t>IP-2060</t>
  </si>
  <si>
    <t>IP-2061</t>
  </si>
  <si>
    <t>IP-2063</t>
  </si>
  <si>
    <t>IP-2064</t>
  </si>
  <si>
    <t>EG07-0086</t>
  </si>
  <si>
    <t xml:space="preserve">EG03-0081 </t>
  </si>
  <si>
    <t>IP-2065</t>
  </si>
  <si>
    <t>EG07-0087</t>
  </si>
  <si>
    <t>EG03-0082</t>
  </si>
  <si>
    <t>IP-2066</t>
  </si>
  <si>
    <t>EG07-0389</t>
  </si>
  <si>
    <t>EG03-0623</t>
  </si>
  <si>
    <t>IP-2067</t>
  </si>
  <si>
    <t>IP-2068</t>
  </si>
  <si>
    <t>IP-2069</t>
  </si>
  <si>
    <t>IP-2070</t>
  </si>
  <si>
    <t>IP-2071</t>
  </si>
  <si>
    <t>IP-2072</t>
  </si>
  <si>
    <t>EG07-0052</t>
  </si>
  <si>
    <t>V002-0187</t>
  </si>
  <si>
    <t>IP-2073</t>
  </si>
  <si>
    <t>IP-2074</t>
  </si>
  <si>
    <t>IP-2075</t>
  </si>
  <si>
    <t>IP-2076</t>
  </si>
  <si>
    <t>IP-2077</t>
  </si>
  <si>
    <t>IP-2078</t>
  </si>
  <si>
    <t>IP-2079</t>
  </si>
  <si>
    <t>IP-2081</t>
  </si>
  <si>
    <t>IP-2082</t>
  </si>
  <si>
    <t>IP-2083</t>
  </si>
  <si>
    <t>EG07-4498</t>
  </si>
  <si>
    <t>EG03-3207</t>
  </si>
  <si>
    <t>IP-2084</t>
  </si>
  <si>
    <t>EG07-0421</t>
  </si>
  <si>
    <t>EG03-3205</t>
  </si>
  <si>
    <t>IP-2085</t>
  </si>
  <si>
    <t>IP-2086</t>
  </si>
  <si>
    <t>IP-2088</t>
  </si>
  <si>
    <t>EG07-0069</t>
  </si>
  <si>
    <t>EG03-0411</t>
  </si>
  <si>
    <t>IP-2089</t>
  </si>
  <si>
    <t>IP-2090</t>
  </si>
  <si>
    <t>EG07-0030</t>
  </si>
  <si>
    <t>EG03-0048</t>
  </si>
  <si>
    <t>IP-2091</t>
  </si>
  <si>
    <t>IP-2092</t>
  </si>
  <si>
    <t>IP-2093</t>
  </si>
  <si>
    <t>IP-2094</t>
  </si>
  <si>
    <t>IP-2095</t>
  </si>
  <si>
    <t>IP-2099</t>
  </si>
  <si>
    <t>EG07-0071</t>
  </si>
  <si>
    <t>EG03-0415</t>
  </si>
  <si>
    <t>IP-2101</t>
  </si>
  <si>
    <t>EG07-0116</t>
  </si>
  <si>
    <t>EG03-0375</t>
  </si>
  <si>
    <t>IP-2102</t>
  </si>
  <si>
    <t>IP-2105</t>
  </si>
  <si>
    <t>EG07-4546</t>
  </si>
  <si>
    <t>0001-0534</t>
  </si>
  <si>
    <t>IP-2106</t>
  </si>
  <si>
    <t>IP-2107</t>
  </si>
  <si>
    <t>IP-2108</t>
  </si>
  <si>
    <t>IP-2112</t>
  </si>
  <si>
    <t>EG07-4547</t>
  </si>
  <si>
    <t>EG03-0340</t>
  </si>
  <si>
    <t>IP-2114</t>
  </si>
  <si>
    <t>IP-2115</t>
  </si>
  <si>
    <t>IP-2116</t>
  </si>
  <si>
    <t>IP-2117</t>
  </si>
  <si>
    <t>IP-2118</t>
  </si>
  <si>
    <t>IP-2119</t>
  </si>
  <si>
    <t>*El profit es negativo pero es compensado con el profit del IP2116 ya que por tonelaje es mayor la ganacia, se acpto el promedio para poder cerrar negociacion con cliente.</t>
  </si>
  <si>
    <t>IP-2120</t>
  </si>
  <si>
    <t>EG07-0070</t>
  </si>
  <si>
    <t>IP-2121</t>
  </si>
  <si>
    <t>IP-2122</t>
  </si>
  <si>
    <t>EG07-0122</t>
  </si>
  <si>
    <t>0002-4025</t>
  </si>
  <si>
    <t>IP-2123</t>
  </si>
  <si>
    <t>IP-2124</t>
  </si>
  <si>
    <t>EG07-0032</t>
  </si>
  <si>
    <t>EG03-0112</t>
  </si>
  <si>
    <t>IP-2125</t>
  </si>
  <si>
    <t>IP-2126</t>
  </si>
  <si>
    <t>IP-2128</t>
  </si>
  <si>
    <t>IP-2129</t>
  </si>
  <si>
    <t>IP-2132</t>
  </si>
  <si>
    <t>IP-2155</t>
  </si>
  <si>
    <t>EG07-4583</t>
  </si>
  <si>
    <t>IP-1102</t>
  </si>
  <si>
    <t>IP-1103</t>
  </si>
  <si>
    <t>IP-1104</t>
  </si>
  <si>
    <t>IP-1105</t>
  </si>
  <si>
    <t>IP-1106</t>
  </si>
  <si>
    <t>IP-1107</t>
  </si>
  <si>
    <t>IP-1166</t>
  </si>
  <si>
    <t>IP-1182</t>
  </si>
  <si>
    <t>IP-1187</t>
  </si>
  <si>
    <t>IP-1190</t>
  </si>
  <si>
    <t>IP-1192</t>
  </si>
  <si>
    <t>IP-1194</t>
  </si>
  <si>
    <t>IP-1206</t>
  </si>
  <si>
    <t>IP-1209</t>
  </si>
  <si>
    <t>IP-1212</t>
  </si>
  <si>
    <t>IP-1214</t>
  </si>
  <si>
    <t>IP-1228</t>
  </si>
  <si>
    <t>IP-1229</t>
  </si>
  <si>
    <t>IP-1230</t>
  </si>
  <si>
    <t>IP-1231</t>
  </si>
  <si>
    <t>IP-1232</t>
  </si>
  <si>
    <t>IP-1236</t>
  </si>
  <si>
    <t>IP-1238</t>
  </si>
  <si>
    <t>IP-1239</t>
  </si>
  <si>
    <t>IP-1240</t>
  </si>
  <si>
    <t>IP-1241</t>
  </si>
  <si>
    <t>IP-1242</t>
  </si>
  <si>
    <t>IP-1243</t>
  </si>
  <si>
    <t>IP-1244</t>
  </si>
  <si>
    <t>IP-1245</t>
  </si>
  <si>
    <t>IP-1246</t>
  </si>
  <si>
    <t>IP-1247</t>
  </si>
  <si>
    <t>IP-1248</t>
  </si>
  <si>
    <t>IP-1249</t>
  </si>
  <si>
    <t>IP-1251</t>
  </si>
  <si>
    <t>IP-1252</t>
  </si>
  <si>
    <t>IP-1253</t>
  </si>
  <si>
    <t>IP-1259</t>
  </si>
  <si>
    <t>IP-1260</t>
  </si>
  <si>
    <t>IP-1261</t>
  </si>
  <si>
    <t>IP-1262</t>
  </si>
  <si>
    <t>IP-1263</t>
  </si>
  <si>
    <t>IP-1264</t>
  </si>
  <si>
    <t>IP-1265</t>
  </si>
  <si>
    <t>IP-1266</t>
  </si>
  <si>
    <t>IP-1270</t>
  </si>
  <si>
    <t>IP-1271</t>
  </si>
  <si>
    <t>IP-1272</t>
  </si>
  <si>
    <t>IP-1274</t>
  </si>
  <si>
    <t>IP-1276</t>
  </si>
  <si>
    <t>IP-1291</t>
  </si>
  <si>
    <t>IP-1301</t>
  </si>
  <si>
    <t>IP-1302</t>
  </si>
  <si>
    <t>IP-1304</t>
  </si>
  <si>
    <t>IP-1308</t>
  </si>
  <si>
    <t>IP-1309</t>
  </si>
  <si>
    <t>IP-1310</t>
  </si>
  <si>
    <t>IP-1311</t>
  </si>
  <si>
    <t>IP-1312</t>
  </si>
  <si>
    <t>IP-1487</t>
  </si>
  <si>
    <t>IP-1488</t>
  </si>
  <si>
    <t>IP-1489</t>
  </si>
  <si>
    <t>IP-1502</t>
  </si>
  <si>
    <t>IP-1503</t>
  </si>
  <si>
    <t>IP-1504</t>
  </si>
  <si>
    <t>IP-1505</t>
  </si>
  <si>
    <t>IP-1514</t>
  </si>
  <si>
    <t>IP-1515</t>
  </si>
  <si>
    <t>IP-1516</t>
  </si>
  <si>
    <t>IP-1517</t>
  </si>
  <si>
    <t>IP-1519</t>
  </si>
  <si>
    <t>IP-1543</t>
  </si>
  <si>
    <t>IP-1547</t>
  </si>
  <si>
    <t>IP-1548</t>
  </si>
  <si>
    <t>IP-1549</t>
  </si>
  <si>
    <t>IP-1550</t>
  </si>
  <si>
    <t>IP-1552</t>
  </si>
  <si>
    <t>IP-1553</t>
  </si>
  <si>
    <t>IP-1554</t>
  </si>
  <si>
    <t>IP-1555</t>
  </si>
  <si>
    <t>IP-1557</t>
  </si>
  <si>
    <t>IP-1558</t>
  </si>
  <si>
    <t>IP-1559</t>
  </si>
  <si>
    <t>IP-1560</t>
  </si>
  <si>
    <t>IP-1561</t>
  </si>
  <si>
    <t>IP-1562</t>
  </si>
  <si>
    <t>IP-1563</t>
  </si>
  <si>
    <t>IP-1564</t>
  </si>
  <si>
    <t>IP-1565</t>
  </si>
  <si>
    <t>IP-1566</t>
  </si>
  <si>
    <t>IP-1567</t>
  </si>
  <si>
    <t>IP-1568</t>
  </si>
  <si>
    <t>IP-1569</t>
  </si>
  <si>
    <t>IP-1570</t>
  </si>
  <si>
    <t>IP-1571</t>
  </si>
  <si>
    <t>IP-1572</t>
  </si>
  <si>
    <t>IP-1573</t>
  </si>
  <si>
    <t>IP-1574</t>
  </si>
  <si>
    <t>IP-1575</t>
  </si>
  <si>
    <t>IP-1576</t>
  </si>
  <si>
    <t>IP-1577</t>
  </si>
  <si>
    <t>IP-1580</t>
  </si>
  <si>
    <t>IP-1582</t>
  </si>
  <si>
    <t>IP-1584</t>
  </si>
  <si>
    <t>IP-1585</t>
  </si>
  <si>
    <t>IP-1586</t>
  </si>
  <si>
    <t>IP-1588</t>
  </si>
  <si>
    <t>IP-1589</t>
  </si>
  <si>
    <t>IP-1590</t>
  </si>
  <si>
    <t>IP-1591</t>
  </si>
  <si>
    <t>IP-1592</t>
  </si>
  <si>
    <t>IP-1593</t>
  </si>
  <si>
    <t>IP-1594</t>
  </si>
  <si>
    <t>IP-1595</t>
  </si>
  <si>
    <t>IP-1596</t>
  </si>
  <si>
    <t>IP-1598</t>
  </si>
  <si>
    <t>IP-1606</t>
  </si>
  <si>
    <t>IP-1607</t>
  </si>
  <si>
    <t>IP-1608</t>
  </si>
  <si>
    <t>IP-1611</t>
  </si>
  <si>
    <t>IP-1612</t>
  </si>
  <si>
    <t>IP-1613</t>
  </si>
  <si>
    <t>IP-1614</t>
  </si>
  <si>
    <t>IP-1615</t>
  </si>
  <si>
    <t>IP-1616</t>
  </si>
  <si>
    <t>IP-1617</t>
  </si>
  <si>
    <t>IP-1622</t>
  </si>
  <si>
    <t>IP-1624</t>
  </si>
  <si>
    <t>IP-1628</t>
  </si>
  <si>
    <t>IP-1629</t>
  </si>
  <si>
    <t>IP-1630</t>
  </si>
  <si>
    <t>IP-1631</t>
  </si>
  <si>
    <t>IP-1632</t>
  </si>
  <si>
    <t>IP-1633</t>
  </si>
  <si>
    <t>IP-1634</t>
  </si>
  <si>
    <t>IP-1635</t>
  </si>
  <si>
    <t>IP-1636</t>
  </si>
  <si>
    <t>IP-1637</t>
  </si>
  <si>
    <t>IP-1638</t>
  </si>
  <si>
    <t>IP-1639</t>
  </si>
  <si>
    <t>IP-1640</t>
  </si>
  <si>
    <t>IP-1641</t>
  </si>
  <si>
    <t>IP-1642</t>
  </si>
  <si>
    <t>IP-1643</t>
  </si>
  <si>
    <t>IP-1644</t>
  </si>
  <si>
    <t>IP-1645</t>
  </si>
  <si>
    <t>IP-1646</t>
  </si>
  <si>
    <t>IP-1647</t>
  </si>
  <si>
    <t>IP-1650</t>
  </si>
  <si>
    <t>IP-1651</t>
  </si>
  <si>
    <t>IP-1652</t>
  </si>
  <si>
    <t>IP-1653</t>
  </si>
  <si>
    <t>IP-2005</t>
  </si>
  <si>
    <t>IP-2006</t>
  </si>
  <si>
    <t>ANÁLISIS CAMPAÑA 30– Au</t>
  </si>
  <si>
    <t>IP-2032</t>
  </si>
  <si>
    <t>IP-2037</t>
  </si>
  <si>
    <t>IP-2080</t>
  </si>
  <si>
    <t>IP-2096</t>
  </si>
  <si>
    <t>EG07-0145</t>
  </si>
  <si>
    <t>EG03-1005</t>
  </si>
  <si>
    <t>IP-2097</t>
  </si>
  <si>
    <t>IP-2098</t>
  </si>
  <si>
    <t>IP-2100</t>
  </si>
  <si>
    <t>IP-2103</t>
  </si>
  <si>
    <t>EG07-0073</t>
  </si>
  <si>
    <t>EG03-0150</t>
  </si>
  <si>
    <t>IP-2104</t>
  </si>
  <si>
    <t>IP-2109</t>
  </si>
  <si>
    <t>EG07-0426</t>
  </si>
  <si>
    <t>0001-0535</t>
  </si>
  <si>
    <t>IP-2110</t>
  </si>
  <si>
    <t>EG07-0176</t>
  </si>
  <si>
    <t>EG03-0465</t>
  </si>
  <si>
    <t>IP-2127</t>
  </si>
  <si>
    <t>IP-2130</t>
  </si>
  <si>
    <t>IP-2133</t>
  </si>
  <si>
    <t>EG07-4579</t>
  </si>
  <si>
    <t>EG03-0119</t>
  </si>
  <si>
    <t>IP-2134</t>
  </si>
  <si>
    <t>ANÁLISIS CAMPAÑA 30 – Ag</t>
  </si>
  <si>
    <t>IP-2135</t>
  </si>
  <si>
    <t>IP-2136</t>
  </si>
  <si>
    <t>EG07-0146</t>
  </si>
  <si>
    <t>IP-2137</t>
  </si>
  <si>
    <t>Total C-30</t>
  </si>
  <si>
    <t>IP-2138</t>
  </si>
  <si>
    <t>Saldo C-29</t>
  </si>
  <si>
    <t>IP-2139</t>
  </si>
  <si>
    <t>tk1 C-30</t>
  </si>
  <si>
    <t>IP-2140</t>
  </si>
  <si>
    <t>tk 2 en tk C-30</t>
  </si>
  <si>
    <t>IP-2141</t>
  </si>
  <si>
    <t>tk 3 en tk C-30</t>
  </si>
  <si>
    <t>IP-2142</t>
  </si>
  <si>
    <t>IP-2143</t>
  </si>
  <si>
    <t>IP-2144</t>
  </si>
  <si>
    <t>IP-2145</t>
  </si>
  <si>
    <t>IP-2146</t>
  </si>
  <si>
    <t>IP-2147</t>
  </si>
  <si>
    <t>EG07-0177</t>
  </si>
  <si>
    <t>EG03-0167</t>
  </si>
  <si>
    <t>IP-2149</t>
  </si>
  <si>
    <t>IP-2150</t>
  </si>
  <si>
    <t>IP-2151</t>
  </si>
  <si>
    <t>IP-2152</t>
  </si>
  <si>
    <t>IP-2153</t>
  </si>
  <si>
    <t>*A solicitud del minero se liquidó con ley planta que es mas alta que la ley de remuestreo</t>
  </si>
  <si>
    <t>IP-2154</t>
  </si>
  <si>
    <t>IP-2156</t>
  </si>
  <si>
    <t>EG07-4584</t>
  </si>
  <si>
    <t>IP-2157</t>
  </si>
  <si>
    <t>IP-2158</t>
  </si>
  <si>
    <t>IP-2159</t>
  </si>
  <si>
    <t>EG07-0427</t>
  </si>
  <si>
    <t>IP-2160</t>
  </si>
  <si>
    <t>IP-2161</t>
  </si>
  <si>
    <t>IP-2162</t>
  </si>
  <si>
    <t>IP-2163</t>
  </si>
  <si>
    <t>IP-2164</t>
  </si>
  <si>
    <t>IP-2165</t>
  </si>
  <si>
    <t>EG07-4607</t>
  </si>
  <si>
    <t>EG03-0047</t>
  </si>
  <si>
    <t>IP-2166</t>
  </si>
  <si>
    <t>IP-2167</t>
  </si>
  <si>
    <t>IP-2168</t>
  </si>
  <si>
    <t>IP-2169</t>
  </si>
  <si>
    <t>IP-2170</t>
  </si>
  <si>
    <t>IP-2171</t>
  </si>
  <si>
    <t>EG03-0033</t>
  </si>
  <si>
    <t>IP-2173</t>
  </si>
  <si>
    <t>EG03-0151</t>
  </si>
  <si>
    <t>IP-2174</t>
  </si>
  <si>
    <t>IP-2175</t>
  </si>
  <si>
    <t>IP-2176</t>
  </si>
  <si>
    <t>IP-2178</t>
  </si>
  <si>
    <t>EG03-0555</t>
  </si>
  <si>
    <t>IP-2179</t>
  </si>
  <si>
    <t>IP-2183</t>
  </si>
  <si>
    <t>EG07-4643</t>
  </si>
  <si>
    <t>EG03-7252</t>
  </si>
  <si>
    <t>IP-2184</t>
  </si>
  <si>
    <t>IP-2191</t>
  </si>
  <si>
    <t>EG07-0147</t>
  </si>
  <si>
    <t>EG03-3304</t>
  </si>
  <si>
    <t>IP-2192</t>
  </si>
  <si>
    <t>IP-2193</t>
  </si>
  <si>
    <t>IP-2194</t>
  </si>
  <si>
    <t>IP-2195</t>
  </si>
  <si>
    <t>IP-2196</t>
  </si>
  <si>
    <t>EG07-0016</t>
  </si>
  <si>
    <t>EG03-0053</t>
  </si>
  <si>
    <t>IP-2197</t>
  </si>
  <si>
    <t>IP-2199</t>
  </si>
  <si>
    <t>IP-2200</t>
  </si>
  <si>
    <t>IP-2201</t>
  </si>
  <si>
    <t>IP-2202</t>
  </si>
  <si>
    <t>IP-2203</t>
  </si>
  <si>
    <t>IP-2207</t>
  </si>
  <si>
    <t>EG07-0433</t>
  </si>
  <si>
    <t>IP-2208</t>
  </si>
  <si>
    <t>IP-2209</t>
  </si>
  <si>
    <t>EG07-4701</t>
  </si>
  <si>
    <t>IP-2210</t>
  </si>
  <si>
    <t>IP-2211</t>
  </si>
  <si>
    <t>IP-2212</t>
  </si>
  <si>
    <t>IP-2223</t>
  </si>
  <si>
    <t>EG07-4731</t>
  </si>
  <si>
    <t>IP-2224</t>
  </si>
  <si>
    <t>Ley promedio, perdimo en el promedio</t>
  </si>
  <si>
    <t>IP-2225</t>
  </si>
  <si>
    <t>IP-2226</t>
  </si>
  <si>
    <t>IP-2232</t>
  </si>
  <si>
    <t>EG07-4772</t>
  </si>
  <si>
    <t>EG03-3318</t>
  </si>
  <si>
    <t>IP-2233</t>
  </si>
  <si>
    <t>IP-2236</t>
  </si>
  <si>
    <t>0002-3130</t>
  </si>
  <si>
    <t>IP-2237</t>
  </si>
  <si>
    <t>EG07-0181</t>
  </si>
  <si>
    <t>EG03-0477</t>
  </si>
  <si>
    <t>IP-2238</t>
  </si>
  <si>
    <t>EG07-0143</t>
  </si>
  <si>
    <t>EG03-0393</t>
  </si>
  <si>
    <t>IP-2239</t>
  </si>
  <si>
    <t>IP-2240</t>
  </si>
  <si>
    <t>IP-2087</t>
  </si>
  <si>
    <t>ANÁLISIS CAMPAÑA 31– Au</t>
  </si>
  <si>
    <t>IP-2148</t>
  </si>
  <si>
    <t>IP-2177</t>
  </si>
  <si>
    <t>IP-2180</t>
  </si>
  <si>
    <t>IP-2181</t>
  </si>
  <si>
    <t>IP-2182</t>
  </si>
  <si>
    <t>IP-2185</t>
  </si>
  <si>
    <t>EG07-4669</t>
  </si>
  <si>
    <t>EG03-7279</t>
  </si>
  <si>
    <t>IP-2186</t>
  </si>
  <si>
    <t>*se suben las recuperaciones y se pone gasto escondido para compensar</t>
  </si>
  <si>
    <t>IP-2187</t>
  </si>
  <si>
    <t>IP-2188</t>
  </si>
  <si>
    <t>IP-2189</t>
  </si>
  <si>
    <t>IP-2190</t>
  </si>
  <si>
    <t>IP-2205</t>
  </si>
  <si>
    <t>IP-2206</t>
  </si>
  <si>
    <t>IP-2214</t>
  </si>
  <si>
    <t>EG07-4702</t>
  </si>
  <si>
    <t>EG03-0056</t>
  </si>
  <si>
    <t>IP-2215</t>
  </si>
  <si>
    <t>ANÁLISIS CAMPAÑA 31 – Ag</t>
  </si>
  <si>
    <t>IP-2216</t>
  </si>
  <si>
    <t>IP-2217</t>
  </si>
  <si>
    <t>IP-2218</t>
  </si>
  <si>
    <t>EG07-0077</t>
  </si>
  <si>
    <t>EG04-0065</t>
  </si>
  <si>
    <t>Tenemos problemas con este cliente, vamos a subir el decuento de ley</t>
  </si>
  <si>
    <t>Total C-31</t>
  </si>
  <si>
    <t>IP-2219</t>
  </si>
  <si>
    <t>Saldo C-30</t>
  </si>
  <si>
    <t>IP-2220</t>
  </si>
  <si>
    <t>tk1 C-31</t>
  </si>
  <si>
    <t>IP-2221</t>
  </si>
  <si>
    <t>tk 2 en tk C-31</t>
  </si>
  <si>
    <t>IP-2222</t>
  </si>
  <si>
    <t>tk 3 en tk C-31</t>
  </si>
  <si>
    <t>IP-2227</t>
  </si>
  <si>
    <t>EG07-0437</t>
  </si>
  <si>
    <t>EG03-0074</t>
  </si>
  <si>
    <t>IP-2229</t>
  </si>
  <si>
    <t>EG07-0078</t>
  </si>
  <si>
    <t>EG03-0094</t>
  </si>
  <si>
    <t>IP-2230</t>
  </si>
  <si>
    <t>IP-2231</t>
  </si>
  <si>
    <t>EG07-0438</t>
  </si>
  <si>
    <t>EG03-3319</t>
  </si>
  <si>
    <t>IP-2234</t>
  </si>
  <si>
    <t>IP-2241</t>
  </si>
  <si>
    <t>EG07-0018</t>
  </si>
  <si>
    <t>EG03-0054</t>
  </si>
  <si>
    <t>IP-2242</t>
  </si>
  <si>
    <t>IP-2245</t>
  </si>
  <si>
    <t>IP-2246</t>
  </si>
  <si>
    <t>IP-2248</t>
  </si>
  <si>
    <t>IP-2249</t>
  </si>
  <si>
    <t>EG07-4781</t>
  </si>
  <si>
    <t>EG03-2576</t>
  </si>
  <si>
    <t>IP-2250</t>
  </si>
  <si>
    <t>Volado</t>
  </si>
  <si>
    <t>IP-2251</t>
  </si>
  <si>
    <t>IP-2252</t>
  </si>
  <si>
    <t>IP-2253</t>
  </si>
  <si>
    <t>IP-2254</t>
  </si>
  <si>
    <t>IP-2255</t>
  </si>
  <si>
    <t>EG03-0658</t>
  </si>
  <si>
    <t>IP-2256</t>
  </si>
  <si>
    <t>EG07-0440</t>
  </si>
  <si>
    <t>EG03-2577</t>
  </si>
  <si>
    <t>IP-2257</t>
  </si>
  <si>
    <t>IP-2258</t>
  </si>
  <si>
    <t>IP-2259</t>
  </si>
  <si>
    <t>INV STEFANY EIRL</t>
  </si>
  <si>
    <t>EG07-0404</t>
  </si>
  <si>
    <t>IP-2260</t>
  </si>
  <si>
    <t>IP-2261</t>
  </si>
  <si>
    <t>IP-2262</t>
  </si>
  <si>
    <t>IP-2263</t>
  </si>
  <si>
    <t>EG07-0079</t>
  </si>
  <si>
    <t>EG03-0438</t>
  </si>
  <si>
    <t>IP-2264</t>
  </si>
  <si>
    <t>EG07-0154</t>
  </si>
  <si>
    <t>EG03-0673</t>
  </si>
  <si>
    <t>IP-2265</t>
  </si>
  <si>
    <t>IP-2266</t>
  </si>
  <si>
    <t>IP-2267</t>
  </si>
  <si>
    <t>EG07-0149</t>
  </si>
  <si>
    <t>EG03-0675</t>
  </si>
  <si>
    <t>IP-2268</t>
  </si>
  <si>
    <t>EG03-0255</t>
  </si>
  <si>
    <t>IP-2270</t>
  </si>
  <si>
    <t>IP-2271</t>
  </si>
  <si>
    <t>IP-2272</t>
  </si>
  <si>
    <t>IP-2273</t>
  </si>
  <si>
    <t>EG07-0152</t>
  </si>
  <si>
    <t>0002-3133</t>
  </si>
  <si>
    <t>IP-2274</t>
  </si>
  <si>
    <t>IP-2276</t>
  </si>
  <si>
    <t>IP-2278</t>
  </si>
  <si>
    <t>EG03-0268</t>
  </si>
  <si>
    <t>IP-2279</t>
  </si>
  <si>
    <t>IP-2280</t>
  </si>
  <si>
    <t>IP-2281</t>
  </si>
  <si>
    <t>IP-2282</t>
  </si>
  <si>
    <t>IP-2283</t>
  </si>
  <si>
    <t>IP-2285</t>
  </si>
  <si>
    <t>IP-2297</t>
  </si>
  <si>
    <t>IP-2298</t>
  </si>
  <si>
    <t>IP-2299</t>
  </si>
  <si>
    <t>EG07-4842</t>
  </si>
  <si>
    <t>EG03-0156</t>
  </si>
  <si>
    <t>IP-2300</t>
  </si>
  <si>
    <t>IP-2301</t>
  </si>
  <si>
    <t>IP-2303</t>
  </si>
  <si>
    <t>IP-2304</t>
  </si>
  <si>
    <t>IP-2305</t>
  </si>
  <si>
    <t>IP-2306</t>
  </si>
  <si>
    <t>IP-2307</t>
  </si>
  <si>
    <t>IP-2308</t>
  </si>
  <si>
    <t>IP-2317</t>
  </si>
  <si>
    <t>EG03-0259</t>
  </si>
  <si>
    <t>IP-2322</t>
  </si>
  <si>
    <t>IP-2131</t>
  </si>
  <si>
    <t>ANÁLISIS CAMPAÑA 32– Au</t>
  </si>
  <si>
    <t>IP-2204</t>
  </si>
  <si>
    <t>IP-2213</t>
  </si>
  <si>
    <t>IP-2235</t>
  </si>
  <si>
    <t>EG07-0208</t>
  </si>
  <si>
    <t>EG03-0865</t>
  </si>
  <si>
    <t>IP-2243</t>
  </si>
  <si>
    <t>IP-2269</t>
  </si>
  <si>
    <t>IP-2275</t>
  </si>
  <si>
    <t>IP-2277</t>
  </si>
  <si>
    <t>IP-2284</t>
  </si>
  <si>
    <t>IP-2286</t>
  </si>
  <si>
    <t>IP-2287</t>
  </si>
  <si>
    <t>IP-2288</t>
  </si>
  <si>
    <t>IP-2289</t>
  </si>
  <si>
    <t>IP-2290</t>
  </si>
  <si>
    <t>IP-2291</t>
  </si>
  <si>
    <t>EG03-0440</t>
  </si>
  <si>
    <t>IP-2293</t>
  </si>
  <si>
    <t>ANÁLISIS CAMPAÑA 32 – Ag</t>
  </si>
  <si>
    <t>IP-2294</t>
  </si>
  <si>
    <t>IP-2295</t>
  </si>
  <si>
    <t>IP-2296</t>
  </si>
  <si>
    <t>Total C-32</t>
  </si>
  <si>
    <t>IP-2302</t>
  </si>
  <si>
    <t>Saldo C-31</t>
  </si>
  <si>
    <t>IP-2309</t>
  </si>
  <si>
    <t>tk1 C-32</t>
  </si>
  <si>
    <t>IP-2310</t>
  </si>
  <si>
    <t>tk 2 en tk C-32</t>
  </si>
  <si>
    <t>IP-2311</t>
  </si>
  <si>
    <t>tk 3 en tk C-32</t>
  </si>
  <si>
    <t>IP-2312</t>
  </si>
  <si>
    <t>IP-2313</t>
  </si>
  <si>
    <t>IP-2314</t>
  </si>
  <si>
    <t>IP-2315</t>
  </si>
  <si>
    <t>IP-2316</t>
  </si>
  <si>
    <t>EG07-0162</t>
  </si>
  <si>
    <t>IP-2318</t>
  </si>
  <si>
    <t>IP-2319</t>
  </si>
  <si>
    <t>IP-2320</t>
  </si>
  <si>
    <t>IP-2321</t>
  </si>
  <si>
    <t>*se hizo dirimencia</t>
  </si>
  <si>
    <t>IP-2323</t>
  </si>
  <si>
    <t>EG07-0155</t>
  </si>
  <si>
    <t>0001-0136</t>
  </si>
  <si>
    <t>IP-2324</t>
  </si>
  <si>
    <t>IP-2325</t>
  </si>
  <si>
    <t>IP-2326</t>
  </si>
  <si>
    <t>IP-2327</t>
  </si>
  <si>
    <t>IP-2328</t>
  </si>
  <si>
    <t>IP-2329</t>
  </si>
  <si>
    <t>IP-2330</t>
  </si>
  <si>
    <t>IP-2331</t>
  </si>
  <si>
    <t>IP-2332</t>
  </si>
  <si>
    <t>IP-2333</t>
  </si>
  <si>
    <t>IP-2334</t>
  </si>
  <si>
    <t>EG07-0213</t>
  </si>
  <si>
    <t>EG03-0017</t>
  </si>
  <si>
    <t>IP-2336</t>
  </si>
  <si>
    <t>INVERSIONES MAMA COCO E.I.R.L.</t>
  </si>
  <si>
    <t>EG07-0089</t>
  </si>
  <si>
    <t>EG03-0219</t>
  </si>
  <si>
    <t>IP-2337</t>
  </si>
  <si>
    <t>IP-2338</t>
  </si>
  <si>
    <t>IP-2339</t>
  </si>
  <si>
    <t>*SE HIZO DIRIMENCIA</t>
  </si>
  <si>
    <t>IP-2340</t>
  </si>
  <si>
    <t>EG07-0166</t>
  </si>
  <si>
    <t>0002-4028</t>
  </si>
  <si>
    <t>IP-2341</t>
  </si>
  <si>
    <t>IP-2342</t>
  </si>
  <si>
    <t>EG03-0251</t>
  </si>
  <si>
    <t>IP-2343</t>
  </si>
  <si>
    <t>IP-2344</t>
  </si>
  <si>
    <t>IP-2345</t>
  </si>
  <si>
    <t>IP-2346</t>
  </si>
  <si>
    <t>IP-2347</t>
  </si>
  <si>
    <t>IP-2348</t>
  </si>
  <si>
    <t>IP-2349</t>
  </si>
  <si>
    <t>IP-2350</t>
  </si>
  <si>
    <t>EG07-0093</t>
  </si>
  <si>
    <t>EG03-0180</t>
  </si>
  <si>
    <t>* SE LE RESTÓ $8 A LA MAQUILA POR QUE EL MATERIAL VINO CHANCADO</t>
  </si>
  <si>
    <t>IP-2351</t>
  </si>
  <si>
    <t>EG07-0094</t>
  </si>
  <si>
    <t>EG03-0181</t>
  </si>
  <si>
    <t>IP-2353</t>
  </si>
  <si>
    <t>CRUCES CHIPANA CEFERINO EVARISTO</t>
  </si>
  <si>
    <t>EG07-0459</t>
  </si>
  <si>
    <t>VVV1-0210</t>
  </si>
  <si>
    <t>IP-2354</t>
  </si>
  <si>
    <t>EG07-0170</t>
  </si>
  <si>
    <t>IP-2355</t>
  </si>
  <si>
    <t>EG07-0083</t>
  </si>
  <si>
    <t>EG03-108</t>
  </si>
  <si>
    <t>IP-2356</t>
  </si>
  <si>
    <t>IP-2358</t>
  </si>
  <si>
    <t>IP-2359</t>
  </si>
  <si>
    <t>IP-2360</t>
  </si>
  <si>
    <t>IP-2361</t>
  </si>
  <si>
    <t>EG07-0084</t>
  </si>
  <si>
    <t>EG03-0567</t>
  </si>
  <si>
    <t>IP-2363</t>
  </si>
  <si>
    <t>CHOCCARE HUAMANI JULIO</t>
  </si>
  <si>
    <t>EG07-0005</t>
  </si>
  <si>
    <t>EG03-0304</t>
  </si>
  <si>
    <t>IP-2364</t>
  </si>
  <si>
    <t>IP-2365</t>
  </si>
  <si>
    <t>EG07-0172</t>
  </si>
  <si>
    <t>IP-2366</t>
  </si>
  <si>
    <t>EG07-5000</t>
  </si>
  <si>
    <t>IP-2367</t>
  </si>
  <si>
    <t>EG07-0452</t>
  </si>
  <si>
    <t>EG03-0269</t>
  </si>
  <si>
    <t>IP-2369</t>
  </si>
  <si>
    <t>IP-2370</t>
  </si>
  <si>
    <t>IP-2371</t>
  </si>
  <si>
    <t>IP-2372</t>
  </si>
  <si>
    <t>EG07-0215</t>
  </si>
  <si>
    <t>EG03-0020</t>
  </si>
  <si>
    <t>IP-2373</t>
  </si>
  <si>
    <t>IP-2374</t>
  </si>
  <si>
    <t>IP-2375</t>
  </si>
  <si>
    <t>IP-2376</t>
  </si>
  <si>
    <t>IP-2378</t>
  </si>
  <si>
    <t>Robinson</t>
  </si>
  <si>
    <t>EG03-0204</t>
  </si>
  <si>
    <t>IP-2379</t>
  </si>
  <si>
    <t>EG07-0179</t>
  </si>
  <si>
    <t>0002-4029</t>
  </si>
  <si>
    <t>IP-2380</t>
  </si>
  <si>
    <t>EG07-0010</t>
  </si>
  <si>
    <t>EG03-0310</t>
  </si>
  <si>
    <t>IP-2382</t>
  </si>
  <si>
    <t>EG07-0180</t>
  </si>
  <si>
    <t>0002-4031</t>
  </si>
  <si>
    <t>IP-2383</t>
  </si>
  <si>
    <t>EG07-0012</t>
  </si>
  <si>
    <t>EG03-0311</t>
  </si>
  <si>
    <t>IP-2384</t>
  </si>
  <si>
    <t>0002-4032</t>
  </si>
  <si>
    <t>IP-2385</t>
  </si>
  <si>
    <t>EG07-5048</t>
  </si>
  <si>
    <t>EG03-143</t>
  </si>
  <si>
    <t>IP-2386</t>
  </si>
  <si>
    <t>IP-2387</t>
  </si>
  <si>
    <t>IP-2388</t>
  </si>
  <si>
    <t>IP-2389</t>
  </si>
  <si>
    <t>*EN LIQUIDACION APARACE RECUP 90 (NOMINAL)</t>
  </si>
  <si>
    <t>IP-2390</t>
  </si>
  <si>
    <t>IP-2397</t>
  </si>
  <si>
    <t>EG07-459</t>
  </si>
  <si>
    <t>EG03-3438</t>
  </si>
  <si>
    <t>IP-2398</t>
  </si>
  <si>
    <t>IP-2399</t>
  </si>
  <si>
    <t>IP-2401</t>
  </si>
  <si>
    <t>IP-2402</t>
  </si>
  <si>
    <t>IP-2403</t>
  </si>
  <si>
    <t>IP-2404</t>
  </si>
  <si>
    <t>CONSORCIO MINERO RENACER DEL SUR E.I.R.L.*</t>
  </si>
  <si>
    <t>EG07-0158</t>
  </si>
  <si>
    <t>EG03-3454</t>
  </si>
  <si>
    <t>IP-2405</t>
  </si>
  <si>
    <t>IP-2406</t>
  </si>
  <si>
    <t>IP-2407</t>
  </si>
  <si>
    <t>IP-2408</t>
  </si>
  <si>
    <t>IP-2409</t>
  </si>
  <si>
    <t>IP-2410</t>
  </si>
  <si>
    <t>IP-2412</t>
  </si>
  <si>
    <t>IP-2413</t>
  </si>
  <si>
    <t>IP-2113</t>
  </si>
  <si>
    <t>EG07-0121</t>
  </si>
  <si>
    <t>0002-4023</t>
  </si>
  <si>
    <t>ANÁLISIS CAMPAÑA 33– Au</t>
  </si>
  <si>
    <t>IP-2172</t>
  </si>
  <si>
    <t>IP-2198</t>
  </si>
  <si>
    <t>IP-2228</t>
  </si>
  <si>
    <t>IP-2244</t>
  </si>
  <si>
    <t>IP-2247</t>
  </si>
  <si>
    <t>IP-2292</t>
  </si>
  <si>
    <t>IP-2335</t>
  </si>
  <si>
    <t>EG07-0163</t>
  </si>
  <si>
    <t>0002-3135</t>
  </si>
  <si>
    <t>IP-2352</t>
  </si>
  <si>
    <t>IP-2357</t>
  </si>
  <si>
    <t>IP-2362</t>
  </si>
  <si>
    <t>IP-2368</t>
  </si>
  <si>
    <t>IP-2377</t>
  </si>
  <si>
    <t>EG07-0217</t>
  </si>
  <si>
    <t>EG03-0021</t>
  </si>
  <si>
    <t>IP-2381</t>
  </si>
  <si>
    <t>IP-2391</t>
  </si>
  <si>
    <t>IP-2392</t>
  </si>
  <si>
    <t>EG07-456</t>
  </si>
  <si>
    <t>EG03-144</t>
  </si>
  <si>
    <t>SE REPORTÓ AL 93% / SE HIZO DIRIMENCIA *EN LIQUIDACION APARACE RECUP 90 (NOMINAL)</t>
  </si>
  <si>
    <t>IP-2393</t>
  </si>
  <si>
    <t>IP-2394</t>
  </si>
  <si>
    <t>IP-2395</t>
  </si>
  <si>
    <t>EG07-184</t>
  </si>
  <si>
    <t>EG03-005</t>
  </si>
  <si>
    <t>Total C-33</t>
  </si>
  <si>
    <t>IP-2396</t>
  </si>
  <si>
    <t>EG07-5061</t>
  </si>
  <si>
    <t>EG03-3437</t>
  </si>
  <si>
    <t>Saldo C-32</t>
  </si>
  <si>
    <t>IP-2400</t>
  </si>
  <si>
    <t>tk1 C-33</t>
  </si>
  <si>
    <t>IP-2411</t>
  </si>
  <si>
    <t>tk 2 en tk C-33</t>
  </si>
  <si>
    <t>IP-2414</t>
  </si>
  <si>
    <t>EG07-0192</t>
  </si>
  <si>
    <t>EG03-0427</t>
  </si>
  <si>
    <t>tk 3 en tk C-33</t>
  </si>
  <si>
    <t>IP-2415</t>
  </si>
  <si>
    <t>IP-2416</t>
  </si>
  <si>
    <t>0002-3145</t>
  </si>
  <si>
    <t>IP-2417</t>
  </si>
  <si>
    <t>EG07-0196</t>
  </si>
  <si>
    <t>IP-2418</t>
  </si>
  <si>
    <t>EG03-0055</t>
  </si>
  <si>
    <t>IP-2419</t>
  </si>
  <si>
    <t>IP-2420</t>
  </si>
  <si>
    <t>IP-2421</t>
  </si>
  <si>
    <t>IP-2422</t>
  </si>
  <si>
    <t>IP-2423</t>
  </si>
  <si>
    <t>IP-2424</t>
  </si>
  <si>
    <t>IP-2425</t>
  </si>
  <si>
    <t>IP-2426</t>
  </si>
  <si>
    <t>EG07-5147</t>
  </si>
  <si>
    <t>EG03-0040</t>
  </si>
  <si>
    <t>IP-2427</t>
  </si>
  <si>
    <t>IP-2428</t>
  </si>
  <si>
    <t>IP-2429</t>
  </si>
  <si>
    <t>IP-2430</t>
  </si>
  <si>
    <t>EG07-0198</t>
  </si>
  <si>
    <t>0002-4038</t>
  </si>
  <si>
    <t>IP-2431</t>
  </si>
  <si>
    <t>EG03-0453</t>
  </si>
  <si>
    <t>IP-2432</t>
  </si>
  <si>
    <t>IP-2433</t>
  </si>
  <si>
    <t>IP-2434</t>
  </si>
  <si>
    <t>IP-2435</t>
  </si>
  <si>
    <t>EG03-0166</t>
  </si>
  <si>
    <t>IP-2436</t>
  </si>
  <si>
    <t>IP-2437</t>
  </si>
  <si>
    <t>EG07-0090</t>
  </si>
  <si>
    <t>0001-0096</t>
  </si>
  <si>
    <t>IP-2438</t>
  </si>
  <si>
    <t>IP-2439</t>
  </si>
  <si>
    <t>IP-2440</t>
  </si>
  <si>
    <t>IP-2441</t>
  </si>
  <si>
    <t>IP-2442</t>
  </si>
  <si>
    <t>IP-2443</t>
  </si>
  <si>
    <t>EG03-0429</t>
  </si>
  <si>
    <t>IP-2445</t>
  </si>
  <si>
    <t>IP-2446</t>
  </si>
  <si>
    <t>EG07-0092</t>
  </si>
  <si>
    <t>EG03-0455</t>
  </si>
  <si>
    <t>IP-2447</t>
  </si>
  <si>
    <t>IP-2448</t>
  </si>
  <si>
    <t>IP-2449</t>
  </si>
  <si>
    <t>IP-2450</t>
  </si>
  <si>
    <t>IP-2451</t>
  </si>
  <si>
    <t>IP-2452</t>
  </si>
  <si>
    <t>IP-2453</t>
  </si>
  <si>
    <t>EG07-0207</t>
  </si>
  <si>
    <t>IP-2454</t>
  </si>
  <si>
    <t>0002-3147</t>
  </si>
  <si>
    <t>IP-2455</t>
  </si>
  <si>
    <t>EG07-0466</t>
  </si>
  <si>
    <t>EG03-0152</t>
  </si>
  <si>
    <t>IP-2456</t>
  </si>
  <si>
    <t>IP-2457</t>
  </si>
  <si>
    <t>IP-2458</t>
  </si>
  <si>
    <t>EG07-5235</t>
  </si>
  <si>
    <t>EG03-0153</t>
  </si>
  <si>
    <t>IP-2462</t>
  </si>
  <si>
    <t>EG07-0159</t>
  </si>
  <si>
    <t>EG03-3505</t>
  </si>
  <si>
    <t>IP-2465</t>
  </si>
  <si>
    <t>IP-2467</t>
  </si>
  <si>
    <t>EG03-0200</t>
  </si>
  <si>
    <t>IP-2468</t>
  </si>
  <si>
    <t>IP-2475</t>
  </si>
  <si>
    <t>EG07-5263</t>
  </si>
  <si>
    <t>EG03-0176</t>
  </si>
  <si>
    <t>IP-2476</t>
  </si>
  <si>
    <t>IP-2477</t>
  </si>
  <si>
    <t>IP-2478</t>
  </si>
  <si>
    <t>IP-2479</t>
  </si>
  <si>
    <t>IP-2480</t>
  </si>
  <si>
    <t>IP-2481</t>
  </si>
  <si>
    <t>IP-2483</t>
  </si>
  <si>
    <t>EG07-5273</t>
  </si>
  <si>
    <t>0001-2284</t>
  </si>
  <si>
    <t>IP-2484</t>
  </si>
  <si>
    <t>IP-2485</t>
  </si>
  <si>
    <t>IP-2489</t>
  </si>
  <si>
    <t>IP-2490</t>
  </si>
  <si>
    <t>IP-2491</t>
  </si>
  <si>
    <t>EG07-0096</t>
  </si>
  <si>
    <t>EG03-0459</t>
  </si>
  <si>
    <t>IP-2459</t>
  </si>
  <si>
    <t>*SE HIZO DIRIMENCIA EN ANALYTICA Y SE HACE CALCULO CON LEY DIRIMENTE</t>
  </si>
  <si>
    <t>ANÁLISIS CAMPAÑA 34– Au</t>
  </si>
  <si>
    <t>IP-2460</t>
  </si>
  <si>
    <t>IP-2463</t>
  </si>
  <si>
    <t>IP-2464</t>
  </si>
  <si>
    <t>IP-2466</t>
  </si>
  <si>
    <t>IP-2470</t>
  </si>
  <si>
    <t>IP-2471</t>
  </si>
  <si>
    <t>IP-2472</t>
  </si>
  <si>
    <t>EG07-0456</t>
  </si>
  <si>
    <t>IP-2473</t>
  </si>
  <si>
    <t>IP-2474</t>
  </si>
  <si>
    <t>IP-2482</t>
  </si>
  <si>
    <t>IP-2486</t>
  </si>
  <si>
    <t>EG07-0095</t>
  </si>
  <si>
    <t>EG03-0569</t>
  </si>
  <si>
    <t>IP-2487</t>
  </si>
  <si>
    <t>0001-2285</t>
  </si>
  <si>
    <t>IP-2488</t>
  </si>
  <si>
    <t>IP-2492</t>
  </si>
  <si>
    <t>EG07-0160</t>
  </si>
  <si>
    <t>IP-2493</t>
  </si>
  <si>
    <t>ANÁLISIS CAMPAÑA 34 – Ag</t>
  </si>
  <si>
    <t>IP-2494</t>
  </si>
  <si>
    <t>EG07-0098</t>
  </si>
  <si>
    <t>EG03-0206</t>
  </si>
  <si>
    <t>IP-2495</t>
  </si>
  <si>
    <t>IP-2496</t>
  </si>
  <si>
    <t>Total C-34</t>
  </si>
  <si>
    <t>IP-2497</t>
  </si>
  <si>
    <t>Saldo C-33</t>
  </si>
  <si>
    <t>IP-2498</t>
  </si>
  <si>
    <t>tk1 C-34</t>
  </si>
  <si>
    <t>IP-2499</t>
  </si>
  <si>
    <t>EG07-0209</t>
  </si>
  <si>
    <t>tk 2 en tk C-34</t>
  </si>
  <si>
    <t>IP-2500</t>
  </si>
  <si>
    <t>EG07-0471</t>
  </si>
  <si>
    <t>tk 3 en tk C-34</t>
  </si>
  <si>
    <t>IP-2501</t>
  </si>
  <si>
    <t>EG07-5276</t>
  </si>
  <si>
    <t>EG03-0199</t>
  </si>
  <si>
    <t>IP-2502</t>
  </si>
  <si>
    <t>IP-2503</t>
  </si>
  <si>
    <t>IP-2504</t>
  </si>
  <si>
    <t>IP-2505</t>
  </si>
  <si>
    <t>IP-2506</t>
  </si>
  <si>
    <t>*SE HIZO DIRIMENCIA EN QUANTUM Y SE CALCULÓ CON LEY DIRIMENTE</t>
  </si>
  <si>
    <t>IP-2509</t>
  </si>
  <si>
    <t>EG07-0211</t>
  </si>
  <si>
    <t>EG03-0009</t>
  </si>
  <si>
    <t>IP-2510</t>
  </si>
  <si>
    <t>EG03-0057</t>
  </si>
  <si>
    <t>IP-2511</t>
  </si>
  <si>
    <t>IP-2512</t>
  </si>
  <si>
    <t>IP-2513</t>
  </si>
  <si>
    <t>IP-2514</t>
  </si>
  <si>
    <t>IP-2515</t>
  </si>
  <si>
    <t>IP-2516</t>
  </si>
  <si>
    <t>IP-2517</t>
  </si>
  <si>
    <t>IP-2518</t>
  </si>
  <si>
    <t>EG03-7684</t>
  </si>
  <si>
    <t>IP-2519</t>
  </si>
  <si>
    <t>IP-2520</t>
  </si>
  <si>
    <t>IP-2521</t>
  </si>
  <si>
    <t>EG03-0202</t>
  </si>
  <si>
    <t>IP-2522</t>
  </si>
  <si>
    <t>IP-2523</t>
  </si>
  <si>
    <t>IP-2524</t>
  </si>
  <si>
    <t>IP-2525</t>
  </si>
  <si>
    <t>IP-2526</t>
  </si>
  <si>
    <t>IP-2527</t>
  </si>
  <si>
    <t>IP-2528</t>
  </si>
  <si>
    <t>IP-2529</t>
  </si>
  <si>
    <t>IP-2530</t>
  </si>
  <si>
    <t>IP-2531</t>
  </si>
  <si>
    <t>EG07-0183</t>
  </si>
  <si>
    <t>EG03-1358</t>
  </si>
  <si>
    <t>IP-2532</t>
  </si>
  <si>
    <t>IP-2533</t>
  </si>
  <si>
    <t>IP-2534</t>
  </si>
  <si>
    <t>EG07-0216</t>
  </si>
  <si>
    <t>EG03-0430</t>
  </si>
  <si>
    <t>IP-2535</t>
  </si>
  <si>
    <t>IP-2536</t>
  </si>
  <si>
    <t>EG07-0110</t>
  </si>
  <si>
    <t>IP-2537</t>
  </si>
  <si>
    <t>0001-2292</t>
  </si>
  <si>
    <t>IP-2538</t>
  </si>
  <si>
    <t>IP-2539</t>
  </si>
  <si>
    <t>IP-2540</t>
  </si>
  <si>
    <t>EG07-0219</t>
  </si>
  <si>
    <t>EG03-0010</t>
  </si>
  <si>
    <t>IP-2552</t>
  </si>
  <si>
    <t>EG07-0112</t>
  </si>
  <si>
    <t>EG03-0463</t>
  </si>
  <si>
    <t>IP-2557</t>
  </si>
  <si>
    <t>EG07-0476</t>
  </si>
  <si>
    <t>IP-2558</t>
  </si>
  <si>
    <t>IP-2569</t>
  </si>
  <si>
    <t>0002-4049</t>
  </si>
  <si>
    <t>IP-2587</t>
  </si>
  <si>
    <t>EG07-0224</t>
  </si>
  <si>
    <t>0002-4050</t>
  </si>
  <si>
    <t>IP-2469</t>
  </si>
  <si>
    <t>ANÁLISIS CAMPAÑA 35– Au</t>
  </si>
  <si>
    <t>IP-2507</t>
  </si>
  <si>
    <t>IP-2508</t>
  </si>
  <si>
    <t>IP-2553</t>
  </si>
  <si>
    <t>EG07-0167</t>
  </si>
  <si>
    <t>EG03-0116</t>
  </si>
  <si>
    <t>IP-2554</t>
  </si>
  <si>
    <t>IP-2555</t>
  </si>
  <si>
    <t>EG07-5379</t>
  </si>
  <si>
    <t>EG03-0014</t>
  </si>
  <si>
    <t>IP-2556</t>
  </si>
  <si>
    <t>IP-2559</t>
  </si>
  <si>
    <t>IP-2560</t>
  </si>
  <si>
    <t>IP-2561</t>
  </si>
  <si>
    <t>IP-2562</t>
  </si>
  <si>
    <t>EG03-0038</t>
  </si>
  <si>
    <t>IP-2563</t>
  </si>
  <si>
    <t>IP-2564</t>
  </si>
  <si>
    <t>IP-2565</t>
  </si>
  <si>
    <t>IP-2566</t>
  </si>
  <si>
    <t>IP-2567</t>
  </si>
  <si>
    <t>EG03-0362</t>
  </si>
  <si>
    <t>ANÁLISIS CAMPAÑA 35 – Ag</t>
  </si>
  <si>
    <t>IP-2568</t>
  </si>
  <si>
    <t>IP-2570</t>
  </si>
  <si>
    <t>IP-2571</t>
  </si>
  <si>
    <t>Total C-35</t>
  </si>
  <si>
    <t>IP-2572</t>
  </si>
  <si>
    <t>Saldo C-34</t>
  </si>
  <si>
    <t>IP-2573</t>
  </si>
  <si>
    <t>tk1 C-35</t>
  </si>
  <si>
    <t>IP-2574</t>
  </si>
  <si>
    <t>tk 2 en tk C-35</t>
  </si>
  <si>
    <t>IP-2575</t>
  </si>
  <si>
    <t>tk 3 en tk C-35</t>
  </si>
  <si>
    <t>IP-2576</t>
  </si>
  <si>
    <t>IP-2577</t>
  </si>
  <si>
    <t>IP-2578</t>
  </si>
  <si>
    <t>IP-2580</t>
  </si>
  <si>
    <t>EG07-5396</t>
  </si>
  <si>
    <t>EG03-0149</t>
  </si>
  <si>
    <t>IP-2581</t>
  </si>
  <si>
    <t>EG07-0477</t>
  </si>
  <si>
    <t>EG03-0148</t>
  </si>
  <si>
    <t>IP-2582</t>
  </si>
  <si>
    <t>IP-2583</t>
  </si>
  <si>
    <t>IP-2584</t>
  </si>
  <si>
    <t>IP-2585</t>
  </si>
  <si>
    <t>IP-2586</t>
  </si>
  <si>
    <t>IP-2588</t>
  </si>
  <si>
    <t>EG07-0171</t>
  </si>
  <si>
    <t>EG03-0062</t>
  </si>
  <si>
    <t>IP-2589</t>
  </si>
  <si>
    <t>EG07-0225</t>
  </si>
  <si>
    <t>0001-0286</t>
  </si>
  <si>
    <t>IP-2590</t>
  </si>
  <si>
    <t>IP-2591</t>
  </si>
  <si>
    <t>IP-2592</t>
  </si>
  <si>
    <t>IP-2593</t>
  </si>
  <si>
    <t>IP-2594</t>
  </si>
  <si>
    <t>IP-2595</t>
  </si>
  <si>
    <t>IP-2599</t>
  </si>
  <si>
    <t>EG07-5406</t>
  </si>
  <si>
    <t>EG03-7761</t>
  </si>
  <si>
    <t>IP-2604</t>
  </si>
  <si>
    <t>IP-2605</t>
  </si>
  <si>
    <t>*SE LIQUIDÓ CON LEY DE MUESTREO / RECUPERACION NOMINAL 77%</t>
  </si>
  <si>
    <t>IP-2608</t>
  </si>
  <si>
    <t>EG07-0114</t>
  </si>
  <si>
    <t>0001-0099</t>
  </si>
  <si>
    <t>IP-2609</t>
  </si>
  <si>
    <t>IP-2611</t>
  </si>
  <si>
    <t>IP-2614</t>
  </si>
  <si>
    <t>ENLACES MINEROS Y OBRAS CIVILES S.A.C</t>
  </si>
  <si>
    <t>EG07-0001</t>
  </si>
  <si>
    <t>EG03-0065</t>
  </si>
  <si>
    <t>IP-2615</t>
  </si>
  <si>
    <t>IP-2616</t>
  </si>
  <si>
    <t>IP-2617</t>
  </si>
  <si>
    <t>IP-2618</t>
  </si>
  <si>
    <t>IP-2619</t>
  </si>
  <si>
    <t>IP-2620</t>
  </si>
  <si>
    <t>IP-2622</t>
  </si>
  <si>
    <t>EG07-0480</t>
  </si>
  <si>
    <t>IP-2623</t>
  </si>
  <si>
    <t>IP-2624</t>
  </si>
  <si>
    <t>IP-2627</t>
  </si>
  <si>
    <t>IP-2628</t>
  </si>
  <si>
    <t>IP-2629</t>
  </si>
  <si>
    <t>IP-2630</t>
  </si>
  <si>
    <t>IP-2631</t>
  </si>
  <si>
    <t>IP-2637</t>
  </si>
  <si>
    <t>EG07-0173</t>
  </si>
  <si>
    <t>IP-2640</t>
  </si>
  <si>
    <t>IP-2651</t>
  </si>
  <si>
    <t>EG07-0175</t>
  </si>
  <si>
    <t>IP-2652</t>
  </si>
  <si>
    <t>IP-2653</t>
  </si>
  <si>
    <t>IP-2654</t>
  </si>
  <si>
    <t>IP-2655</t>
  </si>
  <si>
    <t>IP-2656</t>
  </si>
  <si>
    <t>IP-2658</t>
  </si>
  <si>
    <t>IP-2659</t>
  </si>
  <si>
    <t>IP-2660</t>
  </si>
  <si>
    <t>IP-2663</t>
  </si>
  <si>
    <t>0001-0763</t>
  </si>
  <si>
    <t>IP-2664</t>
  </si>
  <si>
    <t>IP-2669</t>
  </si>
  <si>
    <t>EG07-0481</t>
  </si>
  <si>
    <t>IP-2672</t>
  </si>
  <si>
    <t>IP-2674</t>
  </si>
  <si>
    <t xml:space="preserve">BEDIA FERRO FELICIANO	</t>
  </si>
  <si>
    <t>EG03-0209</t>
  </si>
  <si>
    <t>IP-2677</t>
  </si>
  <si>
    <t>EG03-0285</t>
  </si>
  <si>
    <t>IP-2678</t>
  </si>
  <si>
    <t>IP-2679</t>
  </si>
  <si>
    <t>IP-2680</t>
  </si>
  <si>
    <t>IP-2683</t>
  </si>
  <si>
    <t>IP-2684</t>
  </si>
  <si>
    <t>IP-2685</t>
  </si>
  <si>
    <t>IP-2686</t>
  </si>
  <si>
    <t>EG07-0119</t>
  </si>
  <si>
    <t>EG03-0472</t>
  </si>
  <si>
    <t>IP-2687</t>
  </si>
  <si>
    <t>IP-2690</t>
  </si>
  <si>
    <t>IP-2691</t>
  </si>
  <si>
    <t>IP-2692</t>
  </si>
  <si>
    <t>IP-2693</t>
  </si>
  <si>
    <t>IP-2694</t>
  </si>
  <si>
    <t>EG07-0482</t>
  </si>
  <si>
    <t>EG03-2816</t>
  </si>
  <si>
    <t>IP-2696</t>
  </si>
  <si>
    <t>IP-2698</t>
  </si>
  <si>
    <t>IP-2700</t>
  </si>
  <si>
    <t>IP-2702</t>
  </si>
  <si>
    <t>IP-2703</t>
  </si>
  <si>
    <t>EG07-5459</t>
  </si>
  <si>
    <t>EG03-2815</t>
  </si>
  <si>
    <t>IP-2705</t>
  </si>
  <si>
    <t>IP-2706</t>
  </si>
  <si>
    <t>IP-2707</t>
  </si>
  <si>
    <t>IP-2709</t>
  </si>
  <si>
    <t>IP-2733</t>
  </si>
  <si>
    <t>0001-0100</t>
  </si>
  <si>
    <t>IP-2734</t>
  </si>
  <si>
    <t>IP-2735</t>
  </si>
  <si>
    <t>IP-2739</t>
  </si>
  <si>
    <t>EG07-0128</t>
  </si>
  <si>
    <t>IP-2743</t>
  </si>
  <si>
    <t>EG07-0125</t>
  </si>
  <si>
    <t>EG03-0258</t>
  </si>
  <si>
    <t>IP-2744</t>
  </si>
  <si>
    <t>IP-2745</t>
  </si>
  <si>
    <t>EG07-0129</t>
  </si>
  <si>
    <t>IP-2746</t>
  </si>
  <si>
    <t>EG07-0034</t>
  </si>
  <si>
    <t>*INTER DEL 21/12/2025</t>
  </si>
  <si>
    <t>IP-2747</t>
  </si>
  <si>
    <t>IP-2748</t>
  </si>
  <si>
    <t>IP-2749</t>
  </si>
  <si>
    <t>IP-2750</t>
  </si>
  <si>
    <t>IP-2751</t>
  </si>
  <si>
    <t>IP-2752</t>
  </si>
  <si>
    <t>IP-2753</t>
  </si>
  <si>
    <t>EG07-0238</t>
  </si>
  <si>
    <t>0001-0771</t>
  </si>
  <si>
    <t>IP-2754</t>
  </si>
  <si>
    <t>IP-2111</t>
  </si>
  <si>
    <t>ANÁLISIS CAMPAÑA 36– Au</t>
  </si>
  <si>
    <t>IP-2444</t>
  </si>
  <si>
    <t>0002-4041</t>
  </si>
  <si>
    <t>IP-2461</t>
  </si>
  <si>
    <t>IP-2541</t>
  </si>
  <si>
    <t>EG07-0221</t>
  </si>
  <si>
    <t>0002-3150</t>
  </si>
  <si>
    <t>IP-2547</t>
  </si>
  <si>
    <t>EG03-7730</t>
  </si>
  <si>
    <t>IP-2548</t>
  </si>
  <si>
    <t>IP-2549</t>
  </si>
  <si>
    <t>IP-2550</t>
  </si>
  <si>
    <t>IP-2579</t>
  </si>
  <si>
    <t>IP-2596</t>
  </si>
  <si>
    <t>EG03-0728</t>
  </si>
  <si>
    <t>IP-2597</t>
  </si>
  <si>
    <t>IP-2601</t>
  </si>
  <si>
    <t>*SE LIQUIDÓ CON LEY DE MUESTREO</t>
  </si>
  <si>
    <t>IP-2602</t>
  </si>
  <si>
    <t>IP-2603</t>
  </si>
  <si>
    <t>IP-2607</t>
  </si>
  <si>
    <t>Ronald Miranda</t>
  </si>
  <si>
    <t>*SE LIQUIDÓ CON LEY DE MUESTREO /RECUPERACION NOMINAL 81%</t>
  </si>
  <si>
    <t>IP-2612</t>
  </si>
  <si>
    <t>IP-2613</t>
  </si>
  <si>
    <t>IP-2625</t>
  </si>
  <si>
    <t>EG07-5422</t>
  </si>
  <si>
    <t>IP-2626</t>
  </si>
  <si>
    <t>IP-2632</t>
  </si>
  <si>
    <t>IP-2633</t>
  </si>
  <si>
    <t>IP-2634</t>
  </si>
  <si>
    <t>ANÁLISIS CAMPAÑA 36 – Ag</t>
  </si>
  <si>
    <t>IP-2638</t>
  </si>
  <si>
    <t>IP-2639</t>
  </si>
  <si>
    <t>IP-2641</t>
  </si>
  <si>
    <t>Total C-36</t>
  </si>
  <si>
    <t>IP-2642</t>
  </si>
  <si>
    <t>Saldo C-35</t>
  </si>
  <si>
    <t>IP-2643</t>
  </si>
  <si>
    <t>tk1 C-36</t>
  </si>
  <si>
    <t>IP-2657</t>
  </si>
  <si>
    <t>tk 2 en tk C-36</t>
  </si>
  <si>
    <t>IP-2661</t>
  </si>
  <si>
    <t>tk 3 en tk C-36</t>
  </si>
  <si>
    <t>IP-2666</t>
  </si>
  <si>
    <t>IP-2667</t>
  </si>
  <si>
    <t>IP-2668</t>
  </si>
  <si>
    <t>*SE LIQUIDÓ CON RECUPERACION NOMINAL DE 75%</t>
  </si>
  <si>
    <t>IP-2675</t>
  </si>
  <si>
    <t>IP-2676</t>
  </si>
  <si>
    <t>IP-2681</t>
  </si>
  <si>
    <t>Walter Achulla</t>
  </si>
  <si>
    <t>IP-2682</t>
  </si>
  <si>
    <t>IP-2688</t>
  </si>
  <si>
    <t>IP-2689</t>
  </si>
  <si>
    <t>Richard Sapacayo</t>
  </si>
  <si>
    <t>IP-2695</t>
  </si>
  <si>
    <t>Renzo</t>
  </si>
  <si>
    <t>IP-2697</t>
  </si>
  <si>
    <t>*RESULTADO DE REMUESTREO</t>
  </si>
  <si>
    <t>IP-2704</t>
  </si>
  <si>
    <t>IP-2711</t>
  </si>
  <si>
    <t>EG07-0120</t>
  </si>
  <si>
    <t>V001-0290</t>
  </si>
  <si>
    <t>IP-2712</t>
  </si>
  <si>
    <t>IP-2713</t>
  </si>
  <si>
    <t>IP-2718</t>
  </si>
  <si>
    <t>EG07-0488</t>
  </si>
  <si>
    <t>EG03-0366</t>
  </si>
  <si>
    <t>IP-2721</t>
  </si>
  <si>
    <t>IP-2737</t>
  </si>
  <si>
    <t>EG07-0139</t>
  </si>
  <si>
    <t>EG03-0358</t>
  </si>
  <si>
    <t>IP-2738</t>
  </si>
  <si>
    <t>IP-2740</t>
  </si>
  <si>
    <t>EG07-0123</t>
  </si>
  <si>
    <t>EG03-1107</t>
  </si>
  <si>
    <t>IP-2741</t>
  </si>
  <si>
    <t>EG03-1108</t>
  </si>
  <si>
    <t>IP-2742</t>
  </si>
  <si>
    <t>IP-2755</t>
  </si>
  <si>
    <t>EG07-0142</t>
  </si>
  <si>
    <t>EG03-361</t>
  </si>
  <si>
    <t>IP-2758</t>
  </si>
  <si>
    <t>CONSORCIO MINERO RENACER DEL SUR EIRL</t>
  </si>
  <si>
    <t>EG03-3655</t>
  </si>
  <si>
    <t>IP-2760</t>
  </si>
  <si>
    <t>IP-2780</t>
  </si>
  <si>
    <t>EG07-0182</t>
  </si>
  <si>
    <t>EG03-0291</t>
  </si>
  <si>
    <t>IP-2781</t>
  </si>
  <si>
    <t>IP-2782</t>
  </si>
  <si>
    <t>IP-2784</t>
  </si>
  <si>
    <t>IP-2792</t>
  </si>
  <si>
    <t>IP-2794</t>
  </si>
  <si>
    <t>EG07-0240</t>
  </si>
  <si>
    <t>0001-0774</t>
  </si>
  <si>
    <t>IP-2542</t>
  </si>
  <si>
    <t>ANÁLISIS CAMPAÑA 37– Au</t>
  </si>
  <si>
    <t>IP-2543</t>
  </si>
  <si>
    <t>IP-2544</t>
  </si>
  <si>
    <t>IP-2545</t>
  </si>
  <si>
    <t>IP-2546</t>
  </si>
  <si>
    <t>IP-2551</t>
  </si>
  <si>
    <t>IP-2598</t>
  </si>
  <si>
    <t>IP-2600</t>
  </si>
  <si>
    <t>IP-2606</t>
  </si>
  <si>
    <t>IP-2610</t>
  </si>
  <si>
    <t>EG07-0115</t>
  </si>
  <si>
    <t>IP-2621</t>
  </si>
  <si>
    <t>IP-2635</t>
  </si>
  <si>
    <t>IP-2636</t>
  </si>
  <si>
    <t>EG07-0191</t>
  </si>
  <si>
    <t>VVV1-0234</t>
  </si>
  <si>
    <t>IP-2644</t>
  </si>
  <si>
    <t>EG07-0117</t>
  </si>
  <si>
    <t>EG03-0113</t>
  </si>
  <si>
    <t>IP-2645</t>
  </si>
  <si>
    <t>IP-2646</t>
  </si>
  <si>
    <t>IP-2647</t>
  </si>
  <si>
    <t>IP-2662</t>
  </si>
  <si>
    <t>IP-2673</t>
  </si>
  <si>
    <t>IP-2699</t>
  </si>
  <si>
    <t>IP-2701</t>
  </si>
  <si>
    <t>IP-2708</t>
  </si>
  <si>
    <t>ANÁLISIS CAMPAÑA 37 – Ag</t>
  </si>
  <si>
    <t>IP-2710</t>
  </si>
  <si>
    <t>IP-2714</t>
  </si>
  <si>
    <t>EG07-0485</t>
  </si>
  <si>
    <t>EG03-2820</t>
  </si>
  <si>
    <t>IP-2715</t>
  </si>
  <si>
    <t>Total C-37</t>
  </si>
  <si>
    <t>IP-2719</t>
  </si>
  <si>
    <t>Saldo C-36</t>
  </si>
  <si>
    <t>IP-2722</t>
  </si>
  <si>
    <t>EG07-5465</t>
  </si>
  <si>
    <t>EG03-0364</t>
  </si>
  <si>
    <t>* SE LIQUIDO CON RECUPERACION NOMINAL 90%</t>
  </si>
  <si>
    <t>tk1+tk2 C-37</t>
  </si>
  <si>
    <t>IP-2723</t>
  </si>
  <si>
    <t>tk 2 en tk C-37</t>
  </si>
  <si>
    <t>IP-2724</t>
  </si>
  <si>
    <t>* SE LIQUIDO CON RECUPERACION NOMINAL 84%</t>
  </si>
  <si>
    <t>tk 3 en tk C-37</t>
  </si>
  <si>
    <t>IP-2725</t>
  </si>
  <si>
    <t>INVERSIONES MAMA COCO EIRL*</t>
  </si>
  <si>
    <t>EG07-0134</t>
  </si>
  <si>
    <t>IP-2728</t>
  </si>
  <si>
    <t>EG07-0489</t>
  </si>
  <si>
    <t>IP-2759</t>
  </si>
  <si>
    <t>IP-2761</t>
  </si>
  <si>
    <t>EG03-0600</t>
  </si>
  <si>
    <t>IP-2767</t>
  </si>
  <si>
    <t>EG07-0492</t>
  </si>
  <si>
    <t>EG03-0026</t>
  </si>
  <si>
    <t>IP-2768</t>
  </si>
  <si>
    <t>IP-2769</t>
  </si>
  <si>
    <t>IP-2770</t>
  </si>
  <si>
    <t>IP-2771</t>
  </si>
  <si>
    <t>IP-2779</t>
  </si>
  <si>
    <t>IP-2786</t>
  </si>
  <si>
    <t>EG03-7892</t>
  </si>
  <si>
    <t>IP-2787</t>
  </si>
  <si>
    <t>IP-2788</t>
  </si>
  <si>
    <t>IP-2789</t>
  </si>
  <si>
    <t>IP-2790</t>
  </si>
  <si>
    <t>IP-2791</t>
  </si>
  <si>
    <t>IP-2793</t>
  </si>
  <si>
    <t>IP-2795</t>
  </si>
  <si>
    <t>IP-2796</t>
  </si>
  <si>
    <t>EG07-0243</t>
  </si>
  <si>
    <t>0001-0775</t>
  </si>
  <si>
    <t>IP-2797</t>
  </si>
  <si>
    <t>JAWASA SA</t>
  </si>
  <si>
    <t>EG07-0559</t>
  </si>
  <si>
    <t>EG03-0805</t>
  </si>
  <si>
    <t>IP-2799</t>
  </si>
  <si>
    <t>EG07-0493</t>
  </si>
  <si>
    <t>IP-2800</t>
  </si>
  <si>
    <t>IP-2801</t>
  </si>
  <si>
    <t>IP-2802</t>
  </si>
  <si>
    <t>IP-2803</t>
  </si>
  <si>
    <t>EG03-0991</t>
  </si>
  <si>
    <t>*SE INCLUYE EL VALOR DE LA DIRIMENCIA EN EL PCP</t>
  </si>
  <si>
    <t>IP-2804</t>
  </si>
  <si>
    <t>IP-2808</t>
  </si>
  <si>
    <t>EG07-0035</t>
  </si>
  <si>
    <t>IP-2814</t>
  </si>
  <si>
    <t>EG07-0184</t>
  </si>
  <si>
    <t>IP-2815</t>
  </si>
  <si>
    <t>IP-2816</t>
  </si>
  <si>
    <t>IP-2817</t>
  </si>
  <si>
    <t>IP-2818</t>
  </si>
  <si>
    <t>IP-2819</t>
  </si>
  <si>
    <t>IP-2820</t>
  </si>
  <si>
    <t>IP-2821</t>
  </si>
  <si>
    <t>IP-2822</t>
  </si>
  <si>
    <t>IP-2824</t>
  </si>
  <si>
    <t>IP-2825</t>
  </si>
  <si>
    <t>EG07-0185</t>
  </si>
  <si>
    <t>EG03-0564</t>
  </si>
  <si>
    <t>IP-2826</t>
  </si>
  <si>
    <t>IP-2827</t>
  </si>
  <si>
    <t>IP-2828</t>
  </si>
  <si>
    <t>IP-2829</t>
  </si>
  <si>
    <t>IP-2830</t>
  </si>
  <si>
    <t>IP-2831</t>
  </si>
  <si>
    <t>IP-2832</t>
  </si>
  <si>
    <t>IP-2833</t>
  </si>
  <si>
    <t>IP-2839</t>
  </si>
  <si>
    <t>EG07-0569</t>
  </si>
  <si>
    <t>EG03-0808</t>
  </si>
  <si>
    <t>IP-2840</t>
  </si>
  <si>
    <t>IP-2841</t>
  </si>
  <si>
    <t>IP-2842</t>
  </si>
  <si>
    <t>IP-2843</t>
  </si>
  <si>
    <t>IP-2844</t>
  </si>
  <si>
    <t>IP-2845</t>
  </si>
  <si>
    <t>IP-2846</t>
  </si>
  <si>
    <t>EG07-0187</t>
  </si>
  <si>
    <t>IP-2847</t>
  </si>
  <si>
    <t>IP-2848</t>
  </si>
  <si>
    <t>IP-2849</t>
  </si>
  <si>
    <t>IP-2850</t>
  </si>
  <si>
    <t>IP-2851</t>
  </si>
  <si>
    <t>IP-2852</t>
  </si>
  <si>
    <t>IP-2853</t>
  </si>
  <si>
    <t>IP-2854</t>
  </si>
  <si>
    <t>IP-2865</t>
  </si>
  <si>
    <t>EG07-0495</t>
  </si>
  <si>
    <t>IP-2866</t>
  </si>
  <si>
    <t>IP-2867</t>
  </si>
  <si>
    <t>IP-2874</t>
  </si>
  <si>
    <t>EG07-0189</t>
  </si>
  <si>
    <t>EG03-3697</t>
  </si>
  <si>
    <t>IP-2875</t>
  </si>
  <si>
    <t>IP-2876</t>
  </si>
  <si>
    <t>IP-2877</t>
  </si>
  <si>
    <t>IP-2878</t>
  </si>
  <si>
    <t>IP-2879</t>
  </si>
  <si>
    <t>IP-2880</t>
  </si>
  <si>
    <t>IP-2886</t>
  </si>
  <si>
    <t>EG03-0125</t>
  </si>
  <si>
    <t>IP-2887</t>
  </si>
  <si>
    <t>IP-2888</t>
  </si>
  <si>
    <t>IP-2889</t>
  </si>
  <si>
    <t>IP-2890</t>
  </si>
  <si>
    <t xml:space="preserve">    </t>
  </si>
  <si>
    <t>IP-2648</t>
  </si>
  <si>
    <t>EG07-0118</t>
  </si>
  <si>
    <t>EG03-0114</t>
  </si>
  <si>
    <t>ANÁLISIS CAMPAÑA 38– Au</t>
  </si>
  <si>
    <t>IP-2665</t>
  </si>
  <si>
    <t>*PENDIENTE DIRIMENCIA</t>
  </si>
  <si>
    <t>IP-2670</t>
  </si>
  <si>
    <t>IP-2671</t>
  </si>
  <si>
    <t>IP-2716</t>
  </si>
  <si>
    <t>* SE LIQUIDO CON LEY DE MUESTREO</t>
  </si>
  <si>
    <t>IP-2717</t>
  </si>
  <si>
    <t>IP-2720</t>
  </si>
  <si>
    <t>IP-2726</t>
  </si>
  <si>
    <t>IP-2727</t>
  </si>
  <si>
    <t>IP-2729</t>
  </si>
  <si>
    <t>IP-2730</t>
  </si>
  <si>
    <t>IP-2731</t>
  </si>
  <si>
    <t>IP-2732</t>
  </si>
  <si>
    <t>IP-2736</t>
  </si>
  <si>
    <t>IP-2756</t>
  </si>
  <si>
    <t>IP-2757</t>
  </si>
  <si>
    <t>IP-2762</t>
  </si>
  <si>
    <t>IP-2763</t>
  </si>
  <si>
    <t>IP-2764</t>
  </si>
  <si>
    <t>IP-2765</t>
  </si>
  <si>
    <t>IP-2766</t>
  </si>
  <si>
    <t>IP-2772</t>
  </si>
  <si>
    <t>EG07-0242</t>
  </si>
  <si>
    <t>EG03-0111</t>
  </si>
  <si>
    <t>ANÁLISIS CAMPAÑA 38 – Ag</t>
  </si>
  <si>
    <t>IP-2773</t>
  </si>
  <si>
    <t>EG03-0208</t>
  </si>
  <si>
    <t>IP-2774</t>
  </si>
  <si>
    <t>*SE ESTA LIQUIDANDO CON LA LEY DE MUESTREO</t>
  </si>
  <si>
    <t>IP-2775</t>
  </si>
  <si>
    <t>EG07-0555</t>
  </si>
  <si>
    <t>EG03-0798</t>
  </si>
  <si>
    <t>LEY COMERCIAL SEGÚN LIQUIDACION DE ALFRED</t>
  </si>
  <si>
    <t>Total C-38</t>
  </si>
  <si>
    <t>IP-2776</t>
  </si>
  <si>
    <t>INTER Y MAQUILA SEGÚN LIQUIDACION DE ALFRED</t>
  </si>
  <si>
    <t>Saldo C-37</t>
  </si>
  <si>
    <t>IP-2777</t>
  </si>
  <si>
    <t>tk1+tk2 C-38</t>
  </si>
  <si>
    <t>IP-2778</t>
  </si>
  <si>
    <t>tk 2 en tk C-38</t>
  </si>
  <si>
    <t>IP-2783</t>
  </si>
  <si>
    <t>tk 3 en tk C-38</t>
  </si>
  <si>
    <t>IP-2785</t>
  </si>
  <si>
    <t>EG03-0988</t>
  </si>
  <si>
    <t>IP-2798</t>
  </si>
  <si>
    <t>IP-2805</t>
  </si>
  <si>
    <t>*EN EL PCP SE INCLUYE EL VALOR DE LA LEY MINERO YA QUE UBO UN RESULTADO DIRIMENTE MAYOR</t>
  </si>
  <si>
    <t>IP-2806</t>
  </si>
  <si>
    <t>IP-2807</t>
  </si>
  <si>
    <t>IP-2809</t>
  </si>
  <si>
    <t>IP-2810</t>
  </si>
  <si>
    <t>IP-2811</t>
  </si>
  <si>
    <t>IP-2812</t>
  </si>
  <si>
    <t>IP-2813</t>
  </si>
  <si>
    <t>IP-2823</t>
  </si>
  <si>
    <t>VVV1-0241</t>
  </si>
  <si>
    <t>IP-2834</t>
  </si>
  <si>
    <t>EG07-0130</t>
  </si>
  <si>
    <t>0002-0393</t>
  </si>
  <si>
    <t>IP-2835</t>
  </si>
  <si>
    <t>IP-2836</t>
  </si>
  <si>
    <t>IP-2837</t>
  </si>
  <si>
    <t>EG03-0368</t>
  </si>
  <si>
    <t>IP-2838</t>
  </si>
  <si>
    <t>IP-2856</t>
  </si>
  <si>
    <t>IP-2857</t>
  </si>
  <si>
    <t>IP-2858</t>
  </si>
  <si>
    <t>IP-2859</t>
  </si>
  <si>
    <t>IP-2860</t>
  </si>
  <si>
    <t>IP-2868</t>
  </si>
  <si>
    <t>EG07-0188</t>
  </si>
  <si>
    <t>EG03-0296</t>
  </si>
  <si>
    <t>IP-2869</t>
  </si>
  <si>
    <t>IP-2870</t>
  </si>
  <si>
    <t>IP-2871</t>
  </si>
  <si>
    <t>IP-2872</t>
  </si>
  <si>
    <t>EG07-0157</t>
  </si>
  <si>
    <t>EG03-0216</t>
  </si>
  <si>
    <t>IP-2873</t>
  </si>
  <si>
    <t>IP-2881</t>
  </si>
  <si>
    <t>IP-2882</t>
  </si>
  <si>
    <t>IP-2884</t>
  </si>
  <si>
    <t>IP-2885</t>
  </si>
  <si>
    <t>EG07-0218</t>
  </si>
  <si>
    <t>EG03-0028</t>
  </si>
  <si>
    <t>IP-2891</t>
  </si>
  <si>
    <t>EG07-0131</t>
  </si>
  <si>
    <t>EG03-0286</t>
  </si>
  <si>
    <t>IP-2892</t>
  </si>
  <si>
    <t>EG07-0132</t>
  </si>
  <si>
    <t>EG03-0314</t>
  </si>
  <si>
    <t>IP-2893</t>
  </si>
  <si>
    <t>IP-2894</t>
  </si>
  <si>
    <t>EG03-1006</t>
  </si>
  <si>
    <t>IP-2895</t>
  </si>
  <si>
    <t>IP-2897</t>
  </si>
  <si>
    <t>EG03-0032</t>
  </si>
  <si>
    <t>IP-2898</t>
  </si>
  <si>
    <t>IP-2899</t>
  </si>
  <si>
    <t>IP-2900</t>
  </si>
  <si>
    <t>EG03-1007</t>
  </si>
  <si>
    <t>IP-2901</t>
  </si>
  <si>
    <t>*RECUP 88% EN LIQ (VALOR NOMINAL)</t>
  </si>
  <si>
    <t>IP-2902</t>
  </si>
  <si>
    <t>*RECUP 80% EN LIQ (VALOR NOMINAL)</t>
  </si>
  <si>
    <t>IP-2903</t>
  </si>
  <si>
    <t>*RECUP 87% EN LIQ (VALOR NOMINAL)</t>
  </si>
  <si>
    <t>IP-2904</t>
  </si>
  <si>
    <t>EG07-0036</t>
  </si>
  <si>
    <t>IP-2905</t>
  </si>
  <si>
    <t>IP-2906</t>
  </si>
  <si>
    <t>IP-2907</t>
  </si>
  <si>
    <t>IP-2908</t>
  </si>
  <si>
    <t>IP-2909</t>
  </si>
  <si>
    <t>IP-2910</t>
  </si>
  <si>
    <t>IP-2911</t>
  </si>
  <si>
    <t>IP-2912</t>
  </si>
  <si>
    <t>EG07-0193</t>
  </si>
  <si>
    <t>IP-2913</t>
  </si>
  <si>
    <t>IP-2914</t>
  </si>
  <si>
    <t>IP-2915</t>
  </si>
  <si>
    <t>EG07-0165</t>
  </si>
  <si>
    <t>EG03-1014</t>
  </si>
  <si>
    <t>IP-2916</t>
  </si>
  <si>
    <t>IP-2917</t>
  </si>
  <si>
    <t>IP-2918</t>
  </si>
  <si>
    <t>IP-2919</t>
  </si>
  <si>
    <t>EG07-0194</t>
  </si>
  <si>
    <t>EG03-3721</t>
  </si>
  <si>
    <t>IP-2920</t>
  </si>
  <si>
    <t>IP-2921</t>
  </si>
  <si>
    <t>IP-2922</t>
  </si>
  <si>
    <t>IP-2923</t>
  </si>
  <si>
    <t>EG03-1016</t>
  </si>
  <si>
    <t>IP-2924</t>
  </si>
  <si>
    <t>IP-2925</t>
  </si>
  <si>
    <t>IP-2926</t>
  </si>
  <si>
    <t>IP-2927</t>
  </si>
  <si>
    <t>IP-2928</t>
  </si>
  <si>
    <t>IP-2929</t>
  </si>
  <si>
    <t>IP-2930</t>
  </si>
  <si>
    <t>*ALFRED MODIFICO LA LEY DE 0.109 A 0.110; CONSUMO Y MAQUILA</t>
  </si>
  <si>
    <t>IP-2931</t>
  </si>
  <si>
    <t>EG03-0183</t>
  </si>
  <si>
    <t>* SE LIQUIDÓ CON LEY DIRIMENTE</t>
  </si>
  <si>
    <t>IP-2932</t>
  </si>
  <si>
    <t>IP-2933</t>
  </si>
  <si>
    <t>IP-2934</t>
  </si>
  <si>
    <t>IP-2935</t>
  </si>
  <si>
    <t>EG07-0195</t>
  </si>
  <si>
    <t>EG03-3723</t>
  </si>
  <si>
    <t>IP-2936</t>
  </si>
  <si>
    <t>IP-2940</t>
  </si>
  <si>
    <t>IP-2942</t>
  </si>
  <si>
    <t>IP-2943</t>
  </si>
  <si>
    <t>IP-2944</t>
  </si>
  <si>
    <t>IP-2945</t>
  </si>
  <si>
    <t>EG07-0199</t>
  </si>
  <si>
    <t>EG03-0573</t>
  </si>
  <si>
    <t>IP-2946</t>
  </si>
  <si>
    <t>IP-2947</t>
  </si>
  <si>
    <t>IP-2948</t>
  </si>
  <si>
    <t>IP-2949</t>
  </si>
  <si>
    <t>IP-2950</t>
  </si>
  <si>
    <t>IP-2957</t>
  </si>
  <si>
    <t>EG07-0375</t>
  </si>
  <si>
    <t>EG03-0657</t>
  </si>
  <si>
    <t>IP-2958</t>
  </si>
  <si>
    <t>IP-2959</t>
  </si>
  <si>
    <t>IP-2960</t>
  </si>
  <si>
    <t>IP-2961</t>
  </si>
  <si>
    <t>IP-2963</t>
  </si>
  <si>
    <t>EG03-1025</t>
  </si>
  <si>
    <t>IP-2964</t>
  </si>
  <si>
    <t>IP-2967</t>
  </si>
  <si>
    <t>EG03-0229</t>
  </si>
  <si>
    <t>IP-3080</t>
  </si>
  <si>
    <t>EG07-0284</t>
  </si>
  <si>
    <t>IP-2855</t>
  </si>
  <si>
    <t>ANÁLISIS CAMPAÑA 39– Au</t>
  </si>
  <si>
    <t>IP-2862</t>
  </si>
  <si>
    <t>IP-2937</t>
  </si>
  <si>
    <t>EG07-0169</t>
  </si>
  <si>
    <t>EG03-1020</t>
  </si>
  <si>
    <t>IP-2939</t>
  </si>
  <si>
    <t>IP-2941</t>
  </si>
  <si>
    <t>IP-2951</t>
  </si>
  <si>
    <t>EG07-0135</t>
  </si>
  <si>
    <t>IP-2952</t>
  </si>
  <si>
    <t>IP-2953</t>
  </si>
  <si>
    <t>IP-2954</t>
  </si>
  <si>
    <t>EG07-0259</t>
  </si>
  <si>
    <t>0001-0287</t>
  </si>
  <si>
    <t>IP-2955</t>
  </si>
  <si>
    <t>IP-2956</t>
  </si>
  <si>
    <t>IP-2962</t>
  </si>
  <si>
    <t>IP-2966</t>
  </si>
  <si>
    <t>EG07-0262</t>
  </si>
  <si>
    <t>0001-0288</t>
  </si>
  <si>
    <t>IP-2968</t>
  </si>
  <si>
    <t>EG03-1028</t>
  </si>
  <si>
    <t>IP-2969</t>
  </si>
  <si>
    <t>IP-2970</t>
  </si>
  <si>
    <t>IP-2973</t>
  </si>
  <si>
    <t>IP-2974</t>
  </si>
  <si>
    <t>EG07-0267</t>
  </si>
  <si>
    <t>EG03-0451</t>
  </si>
  <si>
    <t>IP-2975</t>
  </si>
  <si>
    <t>IP-2976</t>
  </si>
  <si>
    <t>EG07-0250</t>
  </si>
  <si>
    <t>EG03-0307</t>
  </si>
  <si>
    <t>IP-2977</t>
  </si>
  <si>
    <t>IP-2978</t>
  </si>
  <si>
    <t>ANÁLISIS CAMPAÑA 39 – Ag</t>
  </si>
  <si>
    <t>IP-2980</t>
  </si>
  <si>
    <t>IP-2982</t>
  </si>
  <si>
    <t>IP-2984</t>
  </si>
  <si>
    <t>Total C-39</t>
  </si>
  <si>
    <t>IP-2985</t>
  </si>
  <si>
    <t>Saldo C-38</t>
  </si>
  <si>
    <t>IP-2986</t>
  </si>
  <si>
    <t>tk1 +tk2 C-39</t>
  </si>
  <si>
    <t>IP-2987</t>
  </si>
  <si>
    <t>tk 2 en tk C-39</t>
  </si>
  <si>
    <t>IP-2988</t>
  </si>
  <si>
    <t>tk 3 en tk C-39</t>
  </si>
  <si>
    <t>IP-2993</t>
  </si>
  <si>
    <t>MINERA SEBASTIAN E.I.R.L.</t>
  </si>
  <si>
    <t>EG07-0004</t>
  </si>
  <si>
    <t>0002-4056</t>
  </si>
  <si>
    <t>IP-2996</t>
  </si>
  <si>
    <t>EG07-0205</t>
  </si>
  <si>
    <t>EG03-3768</t>
  </si>
  <si>
    <t>IP-2997</t>
  </si>
  <si>
    <t>IP-2998</t>
  </si>
  <si>
    <t>Perdida C39</t>
  </si>
  <si>
    <t>IP-2999</t>
  </si>
  <si>
    <t>Perdida C40</t>
  </si>
  <si>
    <t>IP-3000</t>
  </si>
  <si>
    <t>IP-3001</t>
  </si>
  <si>
    <t>Sacos sucios</t>
  </si>
  <si>
    <t>IP-3002</t>
  </si>
  <si>
    <t>IP-3003</t>
  </si>
  <si>
    <t>Neto C39 y C40</t>
  </si>
  <si>
    <t>IP-3004</t>
  </si>
  <si>
    <t>IP-3007</t>
  </si>
  <si>
    <t>IP-3008</t>
  </si>
  <si>
    <t>IP-3009</t>
  </si>
  <si>
    <t>IP-3010</t>
  </si>
  <si>
    <t>IP-3011</t>
  </si>
  <si>
    <t>IP-3012</t>
  </si>
  <si>
    <t>IP-3013</t>
  </si>
  <si>
    <t>EG07-0206</t>
  </si>
  <si>
    <t>EG03-8084</t>
  </si>
  <si>
    <t>IP-3014</t>
  </si>
  <si>
    <t>IP-3015</t>
  </si>
  <si>
    <t>IP-3016</t>
  </si>
  <si>
    <t>IP-3018</t>
  </si>
  <si>
    <t>IP-3019</t>
  </si>
  <si>
    <t>IP-3020</t>
  </si>
  <si>
    <t>IP-3021</t>
  </si>
  <si>
    <t>IP-3024</t>
  </si>
  <si>
    <t>EG03-8081</t>
  </si>
  <si>
    <t>IP-3025</t>
  </si>
  <si>
    <t>IP-3027</t>
  </si>
  <si>
    <t>IP-3028</t>
  </si>
  <si>
    <t>IP-3029</t>
  </si>
  <si>
    <t>IP-3030</t>
  </si>
  <si>
    <t>IP-3031</t>
  </si>
  <si>
    <t>IP-3032</t>
  </si>
  <si>
    <t>IP-3033</t>
  </si>
  <si>
    <t>EG07-0212</t>
  </si>
  <si>
    <t>EG03-3801</t>
  </si>
  <si>
    <t>IP-3034</t>
  </si>
  <si>
    <t>IP-3035</t>
  </si>
  <si>
    <t>IP-3036</t>
  </si>
  <si>
    <t>IP-3037</t>
  </si>
  <si>
    <t>IP-3038</t>
  </si>
  <si>
    <t>IP-3039</t>
  </si>
  <si>
    <t>IP-3040</t>
  </si>
  <si>
    <t>IP-3041</t>
  </si>
  <si>
    <t>IP-3042</t>
  </si>
  <si>
    <t>IP-3043</t>
  </si>
  <si>
    <t>IP-3044</t>
  </si>
  <si>
    <t>IP-3045</t>
  </si>
  <si>
    <t>IP-3046</t>
  </si>
  <si>
    <t>IP-3047</t>
  </si>
  <si>
    <t>IP-3048</t>
  </si>
  <si>
    <t>IP-3049</t>
  </si>
  <si>
    <t>EG07-0037</t>
  </si>
  <si>
    <t>IP-3050</t>
  </si>
  <si>
    <t>IP-3051</t>
  </si>
  <si>
    <t>IP-3052</t>
  </si>
  <si>
    <t>IP-3053</t>
  </si>
  <si>
    <t>IP-3054</t>
  </si>
  <si>
    <t>IP-3055</t>
  </si>
  <si>
    <t>IP-3056</t>
  </si>
  <si>
    <t>IP-3057</t>
  </si>
  <si>
    <t>0001-0103</t>
  </si>
  <si>
    <t>IP-3058</t>
  </si>
  <si>
    <t>IP-3059</t>
  </si>
  <si>
    <t>IP-3060</t>
  </si>
  <si>
    <t>IP-3061</t>
  </si>
  <si>
    <t>EG07-0501</t>
  </si>
  <si>
    <t>EG03-0192</t>
  </si>
  <si>
    <t>IP-3062</t>
  </si>
  <si>
    <t>IP-3063</t>
  </si>
  <si>
    <t>IP-3064</t>
  </si>
  <si>
    <t>IP-3065</t>
  </si>
  <si>
    <t>IP-3066</t>
  </si>
  <si>
    <t>IP-3067</t>
  </si>
  <si>
    <t>EG07-0282</t>
  </si>
  <si>
    <t>EG03-0457</t>
  </si>
  <si>
    <t>IP-3068</t>
  </si>
  <si>
    <t>IP-3074</t>
  </si>
  <si>
    <t>EG07-5629</t>
  </si>
  <si>
    <t>EG03-4734</t>
  </si>
  <si>
    <t>IP-3075</t>
  </si>
  <si>
    <t>IP-3076</t>
  </si>
  <si>
    <t>IP-3077</t>
  </si>
  <si>
    <t>IP-3078</t>
  </si>
  <si>
    <t>IP-3083</t>
  </si>
  <si>
    <t>EG03-0205</t>
  </si>
  <si>
    <t>IP-3084</t>
  </si>
  <si>
    <t>IP-3085</t>
  </si>
  <si>
    <t>IP-3088</t>
  </si>
  <si>
    <t>EG07-0148</t>
  </si>
  <si>
    <t>EG03-0260</t>
  </si>
  <si>
    <t>IP-3090</t>
  </si>
  <si>
    <t>IP-3092</t>
  </si>
  <si>
    <t>EG03-0135</t>
  </si>
  <si>
    <t>IP-3093</t>
  </si>
  <si>
    <t>EG03-0013</t>
  </si>
  <si>
    <t>IP-3096</t>
  </si>
  <si>
    <t>EG07-0082</t>
  </si>
  <si>
    <t>EG03-0378</t>
  </si>
  <si>
    <t>IP-3099</t>
  </si>
  <si>
    <t>IP-3100</t>
  </si>
  <si>
    <t>IP-3101</t>
  </si>
  <si>
    <t>IP-3102</t>
  </si>
  <si>
    <t>IP-3110</t>
  </si>
  <si>
    <t>EG03-0196</t>
  </si>
  <si>
    <t>*LOTE CON BILLAS</t>
  </si>
  <si>
    <t>IP-3111</t>
  </si>
  <si>
    <t>IP-3112</t>
  </si>
  <si>
    <t>IP-3113</t>
  </si>
  <si>
    <t>IP-3114</t>
  </si>
  <si>
    <t>IP-3127</t>
  </si>
  <si>
    <t>EG07-0220</t>
  </si>
  <si>
    <t>EG03-0609</t>
  </si>
  <si>
    <t>IP-3128</t>
  </si>
  <si>
    <t>IP-3129</t>
  </si>
  <si>
    <t>IP-3130</t>
  </si>
  <si>
    <t>IP-3131</t>
  </si>
  <si>
    <t>IP-3132</t>
  </si>
  <si>
    <t>IP-3133</t>
  </si>
  <si>
    <t>IP-3134</t>
  </si>
  <si>
    <t>IP-3135</t>
  </si>
  <si>
    <t>IP-3136</t>
  </si>
  <si>
    <t>IP-3148</t>
  </si>
  <si>
    <t>EG03-0687</t>
  </si>
  <si>
    <t>IP-3149</t>
  </si>
  <si>
    <t>IP-3153</t>
  </si>
  <si>
    <t>IP-3154</t>
  </si>
  <si>
    <t>IP-3161</t>
  </si>
  <si>
    <t>EG03-0289</t>
  </si>
  <si>
    <t>IP-2649</t>
  </si>
  <si>
    <t>* TMS: 20.378     /    OZ/TC: 0.021</t>
  </si>
  <si>
    <t>ANÁLISIS CAMPAÑA 40– Au</t>
  </si>
  <si>
    <t>IP-2650</t>
  </si>
  <si>
    <t>* TMS: 25.946    /    OZ/TC: 0.015</t>
  </si>
  <si>
    <t>IP-2896</t>
  </si>
  <si>
    <t>IP-2938</t>
  </si>
  <si>
    <t>IP-2981</t>
  </si>
  <si>
    <t>IP-2989</t>
  </si>
  <si>
    <t>IP-2990</t>
  </si>
  <si>
    <t>IP-2995</t>
  </si>
  <si>
    <t>EG03-0235</t>
  </si>
  <si>
    <t>IP-3005</t>
  </si>
  <si>
    <t>IP-3017</t>
  </si>
  <si>
    <t>IP-3022</t>
  </si>
  <si>
    <t>IP-3023</t>
  </si>
  <si>
    <t>IP-3026</t>
  </si>
  <si>
    <t>IP-3073</t>
  </si>
  <si>
    <t>IP-3086</t>
  </si>
  <si>
    <t>IP-3094</t>
  </si>
  <si>
    <t>EG03-0002</t>
  </si>
  <si>
    <t>IP-3097</t>
  </si>
  <si>
    <t>IP-3115</t>
  </si>
  <si>
    <t>EG03-1067</t>
  </si>
  <si>
    <t>IP-3118</t>
  </si>
  <si>
    <t>EG03-0323</t>
  </si>
  <si>
    <t>IP-3119</t>
  </si>
  <si>
    <t>IP-3120</t>
  </si>
  <si>
    <t>IP-3121</t>
  </si>
  <si>
    <t>ANÁLISIS CAMPAÑA 40 – Ag</t>
  </si>
  <si>
    <t>IP-3123</t>
  </si>
  <si>
    <t>IP-3124</t>
  </si>
  <si>
    <t>IP-3125</t>
  </si>
  <si>
    <t>EG07-0201</t>
  </si>
  <si>
    <t>Total C-40</t>
  </si>
  <si>
    <t>IP-3126</t>
  </si>
  <si>
    <t>Saldo C-39</t>
  </si>
  <si>
    <t>IP-3138</t>
  </si>
  <si>
    <t>tk1 C-40</t>
  </si>
  <si>
    <t>IP-3140</t>
  </si>
  <si>
    <t>tk 2 en tk C-40</t>
  </si>
  <si>
    <t>IP-3141</t>
  </si>
  <si>
    <t>tk 3 en tk C-40</t>
  </si>
  <si>
    <t>IP-3142</t>
  </si>
  <si>
    <t>IP-3143</t>
  </si>
  <si>
    <t>IP-3144</t>
  </si>
  <si>
    <t>IP-3145</t>
  </si>
  <si>
    <t>IP-3146</t>
  </si>
  <si>
    <t>IP-3147</t>
  </si>
  <si>
    <t>IP-3150</t>
  </si>
  <si>
    <t>IP-3151</t>
  </si>
  <si>
    <t>IP-3152</t>
  </si>
  <si>
    <t>IP-3155</t>
  </si>
  <si>
    <t>IP-3156</t>
  </si>
  <si>
    <t>IP-3157</t>
  </si>
  <si>
    <t>IP-3158</t>
  </si>
  <si>
    <t>IP-3159</t>
  </si>
  <si>
    <t>IP-3162</t>
  </si>
  <si>
    <t>IP-3163</t>
  </si>
  <si>
    <t>IP-3164</t>
  </si>
  <si>
    <t>EG07-0298</t>
  </si>
  <si>
    <t>EG03-0461</t>
  </si>
  <si>
    <t xml:space="preserve">*SE LIQUIDA CON LEY DIRIMENCIA </t>
  </si>
  <si>
    <t>IP-3166</t>
  </si>
  <si>
    <t>IP-3171</t>
  </si>
  <si>
    <t>EG07-0304</t>
  </si>
  <si>
    <t>0002-4070</t>
  </si>
  <si>
    <t>IP-3172</t>
  </si>
  <si>
    <t>EG07-0305</t>
  </si>
  <si>
    <t>0002-4071</t>
  </si>
  <si>
    <t>IP-3173</t>
  </si>
  <si>
    <t>EG07-0306</t>
  </si>
  <si>
    <t>0002-4072</t>
  </si>
  <si>
    <t>IP-3174</t>
  </si>
  <si>
    <t>EG07-0311</t>
  </si>
  <si>
    <t>0002-4073</t>
  </si>
  <si>
    <t>IP-3175</t>
  </si>
  <si>
    <t>EG07-0316</t>
  </si>
  <si>
    <t>0002-4074</t>
  </si>
  <si>
    <t>IP-3176</t>
  </si>
  <si>
    <t>IP-3177</t>
  </si>
  <si>
    <t>EG07-0317</t>
  </si>
  <si>
    <t>0002-4075</t>
  </si>
  <si>
    <t>IP-3178</t>
  </si>
  <si>
    <t>EG07-0038</t>
  </si>
  <si>
    <t>EG03-0078</t>
  </si>
  <si>
    <t>IP-3179</t>
  </si>
  <si>
    <t>IP-3180</t>
  </si>
  <si>
    <t>IP-3182</t>
  </si>
  <si>
    <t>IP-3187</t>
  </si>
  <si>
    <t>J &amp; M SOLUCIONES MINERAS EIRL*</t>
  </si>
  <si>
    <t>EG07-0051</t>
  </si>
  <si>
    <t>IP-3188</t>
  </si>
  <si>
    <t>IP-3189</t>
  </si>
  <si>
    <t>EG07-0791</t>
  </si>
  <si>
    <t>0001-0436</t>
  </si>
  <si>
    <t>IP-3190</t>
  </si>
  <si>
    <t>EG07-0266</t>
  </si>
  <si>
    <t>EG03-0336</t>
  </si>
  <si>
    <t>IP-3191</t>
  </si>
  <si>
    <t>IP-3192</t>
  </si>
  <si>
    <t>IP-3193</t>
  </si>
  <si>
    <t>EG07-0229</t>
  </si>
  <si>
    <t>EG03-0337</t>
  </si>
  <si>
    <t>IP-3194</t>
  </si>
  <si>
    <t>IP-3195</t>
  </si>
  <si>
    <t>IP-3196</t>
  </si>
  <si>
    <t>IP-3197</t>
  </si>
  <si>
    <t>EG07-0230</t>
  </si>
  <si>
    <t>EG03-0146</t>
  </si>
  <si>
    <t>IP-3198</t>
  </si>
  <si>
    <t>IP-3199</t>
  </si>
  <si>
    <t>IP-3200</t>
  </si>
  <si>
    <t>IP-3201</t>
  </si>
  <si>
    <t>IP-3202</t>
  </si>
  <si>
    <t>IP-3203</t>
  </si>
  <si>
    <t>IP-3204</t>
  </si>
  <si>
    <t>IP-3205</t>
  </si>
  <si>
    <t>EG07-0794</t>
  </si>
  <si>
    <t>0001-0437</t>
  </si>
  <si>
    <t>IP-3206</t>
  </si>
  <si>
    <t>IP-3207</t>
  </si>
  <si>
    <t>IP-3208</t>
  </si>
  <si>
    <t>IP-3209</t>
  </si>
  <si>
    <t>IP-3210</t>
  </si>
  <si>
    <t>IP-3212</t>
  </si>
  <si>
    <t>EG07-0329</t>
  </si>
  <si>
    <t>EG03-0467</t>
  </si>
  <si>
    <t>IP-3213</t>
  </si>
  <si>
    <t>EG07-0330</t>
  </si>
  <si>
    <t>IP-3214</t>
  </si>
  <si>
    <t>INVERSIONES LAS GEMELAS LM E.I.R.L.</t>
  </si>
  <si>
    <t>EG03-1718</t>
  </si>
  <si>
    <t>IP-3215</t>
  </si>
  <si>
    <t>IP-3216</t>
  </si>
  <si>
    <t>IP-3217</t>
  </si>
  <si>
    <t>IP-3218</t>
  </si>
  <si>
    <t>IP-3219</t>
  </si>
  <si>
    <t>IP-3220</t>
  </si>
  <si>
    <t>IP-3221</t>
  </si>
  <si>
    <t>EG07-0237</t>
  </si>
  <si>
    <t>IP-3222</t>
  </si>
  <si>
    <t>EG07-0334</t>
  </si>
  <si>
    <t>IP-3225</t>
  </si>
  <si>
    <t>EG07-0088</t>
  </si>
  <si>
    <t>EG03-0142</t>
  </si>
  <si>
    <t>IP-3226</t>
  </si>
  <si>
    <t>IP-3227</t>
  </si>
  <si>
    <t>IP-3228</t>
  </si>
  <si>
    <t>IP-3229</t>
  </si>
  <si>
    <t>IP-3230</t>
  </si>
  <si>
    <t>IP-3231</t>
  </si>
  <si>
    <t>IP-3232</t>
  </si>
  <si>
    <t>IP-3233</t>
  </si>
  <si>
    <t>IP-3234</t>
  </si>
  <si>
    <t>IP-3235</t>
  </si>
  <si>
    <t>IP-3236</t>
  </si>
  <si>
    <t>IP-2965</t>
  </si>
  <si>
    <t>EG03-1026</t>
  </si>
  <si>
    <t>ANÁLISIS CAMPAÑA 41– Au</t>
  </si>
  <si>
    <t>IP-2972</t>
  </si>
  <si>
    <t>IP-2979</t>
  </si>
  <si>
    <t>EG03-1034</t>
  </si>
  <si>
    <t>IP-2994</t>
  </si>
  <si>
    <t>IP-3087</t>
  </si>
  <si>
    <t>IP-3089</t>
  </si>
  <si>
    <t>IP-3091</t>
  </si>
  <si>
    <t>IP-3098</t>
  </si>
  <si>
    <t>*SE LIQUIDO CON LEY DE MUESTREO</t>
  </si>
  <si>
    <t>IP-3103</t>
  </si>
  <si>
    <t>EG07-0150</t>
  </si>
  <si>
    <t>EG04-0081</t>
  </si>
  <si>
    <t>IP-3107</t>
  </si>
  <si>
    <t>EG03-1066</t>
  </si>
  <si>
    <t>IP-3108</t>
  </si>
  <si>
    <t>IP-3109</t>
  </si>
  <si>
    <t>IP-3117</t>
  </si>
  <si>
    <t>IP-3122</t>
  </si>
  <si>
    <t>IP-3167</t>
  </si>
  <si>
    <t>EG07-0301</t>
  </si>
  <si>
    <t>EG03-0462</t>
  </si>
  <si>
    <t>IP-3168</t>
  </si>
  <si>
    <t>IP-3169</t>
  </si>
  <si>
    <t>IP-3170</t>
  </si>
  <si>
    <t>EG07-0214</t>
  </si>
  <si>
    <t>VVV1-0257</t>
  </si>
  <si>
    <t>IP-3183</t>
  </si>
  <si>
    <t>IP-3184</t>
  </si>
  <si>
    <t>EG07-0156</t>
  </si>
  <si>
    <t>EG03-0266</t>
  </si>
  <si>
    <t>IP-3185</t>
  </si>
  <si>
    <t>IP-3186</t>
  </si>
  <si>
    <t>EG07-0320</t>
  </si>
  <si>
    <t>ANÁLISIS CAMPAÑA 41 – Ag</t>
  </si>
  <si>
    <t>IP-3211</t>
  </si>
  <si>
    <t>IP-3223</t>
  </si>
  <si>
    <t>EG07-0336</t>
  </si>
  <si>
    <t>EG03-0425</t>
  </si>
  <si>
    <t>IP-3224</t>
  </si>
  <si>
    <t>EG07-0335</t>
  </si>
  <si>
    <t>EG03-0468</t>
  </si>
  <si>
    <t>Total C-41</t>
  </si>
  <si>
    <t>IP-3237</t>
  </si>
  <si>
    <t>Saldo C-40</t>
  </si>
  <si>
    <t>IP-3238</t>
  </si>
  <si>
    <t>tk1 C-41</t>
  </si>
  <si>
    <t>IP-3239</t>
  </si>
  <si>
    <t>tk 2 en tk C-41</t>
  </si>
  <si>
    <t>IP-3240</t>
  </si>
  <si>
    <t>EG07-0337</t>
  </si>
  <si>
    <t>EG03-0426</t>
  </si>
  <si>
    <t>tk 3 en tk C-41</t>
  </si>
  <si>
    <t>IP-3241</t>
  </si>
  <si>
    <t>EG07-0241</t>
  </si>
  <si>
    <t>VVV1-0277</t>
  </si>
  <si>
    <t>IP-3242</t>
  </si>
  <si>
    <t>Nota: aquí entro barridos 308 gr</t>
  </si>
  <si>
    <t>IP-3243</t>
  </si>
  <si>
    <t>IP-3244</t>
  </si>
  <si>
    <t>EG07-0354</t>
  </si>
  <si>
    <t>0002-4082</t>
  </si>
  <si>
    <t>Nuevo saldo</t>
  </si>
  <si>
    <t>IP-3245</t>
  </si>
  <si>
    <t>IP-3246</t>
  </si>
  <si>
    <t>IP-3247</t>
  </si>
  <si>
    <t>IP-3248</t>
  </si>
  <si>
    <t>IP-3249</t>
  </si>
  <si>
    <t>IP-3250</t>
  </si>
  <si>
    <t>IP-3251</t>
  </si>
  <si>
    <t>IP-3252</t>
  </si>
  <si>
    <t>IP-3253</t>
  </si>
  <si>
    <t>IP-3254</t>
  </si>
  <si>
    <t>IP-3255</t>
  </si>
  <si>
    <t>IP-3256</t>
  </si>
  <si>
    <t>IP-3257</t>
  </si>
  <si>
    <t>EG07-0227</t>
  </si>
  <si>
    <t>IP-3258</t>
  </si>
  <si>
    <t>IP-3259</t>
  </si>
  <si>
    <t>EG07-0007</t>
  </si>
  <si>
    <t>0002-4083</t>
  </si>
  <si>
    <t>IP-3260</t>
  </si>
  <si>
    <t>IP-3261</t>
  </si>
  <si>
    <t>EG07-5975</t>
  </si>
  <si>
    <t>EG03-0042</t>
  </si>
  <si>
    <t>IP-3262</t>
  </si>
  <si>
    <t>IP-3263</t>
  </si>
  <si>
    <t>IP-3264</t>
  </si>
  <si>
    <t>IP-3265</t>
  </si>
  <si>
    <t>IP-3266</t>
  </si>
  <si>
    <t>IP-3267</t>
  </si>
  <si>
    <t>IP-3268</t>
  </si>
  <si>
    <t>EG07-0244</t>
  </si>
  <si>
    <t>EG03-0431</t>
  </si>
  <si>
    <t>IP-3269</t>
  </si>
  <si>
    <t>EG03-0389</t>
  </si>
  <si>
    <t>IP-3270</t>
  </si>
  <si>
    <t>IP-3271</t>
  </si>
  <si>
    <t>IP-3272</t>
  </si>
  <si>
    <t>0001-0105</t>
  </si>
  <si>
    <t>IP-3273</t>
  </si>
  <si>
    <t>IP-3274</t>
  </si>
  <si>
    <t>IP-3275</t>
  </si>
  <si>
    <t>IP-3276</t>
  </si>
  <si>
    <t>EG07-0249</t>
  </si>
  <si>
    <t>IP-3277</t>
  </si>
  <si>
    <t>IP-3279</t>
  </si>
  <si>
    <t>MINERA MARQUEZ NMU SERVICIOS MULTIPLES E.I.R.L.</t>
  </si>
  <si>
    <t>IP-3280</t>
  </si>
  <si>
    <t>IP-3281</t>
  </si>
  <si>
    <t>EG07-0251</t>
  </si>
  <si>
    <t>IP-3282</t>
  </si>
  <si>
    <t>IP-3283</t>
  </si>
  <si>
    <t>SE LIQUIDO CON LEY DE MUESTREO</t>
  </si>
  <si>
    <t>IP-3285</t>
  </si>
  <si>
    <t>IP-3287</t>
  </si>
  <si>
    <t>IP-3288</t>
  </si>
  <si>
    <t>IP-3289</t>
  </si>
  <si>
    <t>IP-3290</t>
  </si>
  <si>
    <t>EG07-0255</t>
  </si>
  <si>
    <t>IP-MERMA</t>
  </si>
  <si>
    <t>LIMPIEZA CHANCADO - MERMA</t>
  </si>
  <si>
    <t>IP-3291</t>
  </si>
  <si>
    <t>EG07-0257</t>
  </si>
  <si>
    <t>EG03-1140</t>
  </si>
  <si>
    <t>IP-3295</t>
  </si>
  <si>
    <t>EG07-0245</t>
  </si>
  <si>
    <t>IP-3298</t>
  </si>
  <si>
    <t>INVERSIONES QORI SONQO E.I.R.L</t>
  </si>
  <si>
    <t>IP-3304</t>
  </si>
  <si>
    <t>IP-3305</t>
  </si>
  <si>
    <t>IP-3306</t>
  </si>
  <si>
    <t>IP-3307</t>
  </si>
  <si>
    <t>IP-3309</t>
  </si>
  <si>
    <t>IP-3310</t>
  </si>
  <si>
    <t>IP-3311</t>
  </si>
  <si>
    <t>EG03-8391</t>
  </si>
  <si>
    <t>IP-3312</t>
  </si>
  <si>
    <t>IP-3313</t>
  </si>
  <si>
    <t>IP-3314</t>
  </si>
  <si>
    <t>IP-3315</t>
  </si>
  <si>
    <t>IP-3316</t>
  </si>
  <si>
    <t>IP-3317</t>
  </si>
  <si>
    <t>IP-3318</t>
  </si>
  <si>
    <t>IP-3319</t>
  </si>
  <si>
    <t>IP-3321</t>
  </si>
  <si>
    <t>IP-3322</t>
  </si>
  <si>
    <t>IP-3336</t>
  </si>
  <si>
    <t>SE HIZO DIRIMENCIA</t>
  </si>
  <si>
    <t>IP-2863</t>
  </si>
  <si>
    <t>ANÁLISIS CAMPAÑA 42– Au</t>
  </si>
  <si>
    <t>IP-2864</t>
  </si>
  <si>
    <t>IP-3006</t>
  </si>
  <si>
    <t>IP-3070</t>
  </si>
  <si>
    <t>IP-3071</t>
  </si>
  <si>
    <t>IP-3072</t>
  </si>
  <si>
    <t>IP-3079</t>
  </si>
  <si>
    <t>EG07-0141</t>
  </si>
  <si>
    <t>EG03-0177</t>
  </si>
  <si>
    <t>IP-3082</t>
  </si>
  <si>
    <t>IP-3104</t>
  </si>
  <si>
    <t>IP-3137</t>
  </si>
  <si>
    <t>IP-3160</t>
  </si>
  <si>
    <t>IP-3181</t>
  </si>
  <si>
    <t>IP-3278</t>
  </si>
  <si>
    <t>EG07-0358</t>
  </si>
  <si>
    <t>IP-3284</t>
  </si>
  <si>
    <t>EG07-0807</t>
  </si>
  <si>
    <t>EG03-0706</t>
  </si>
  <si>
    <t>IP-3286</t>
  </si>
  <si>
    <t>IP-3292</t>
  </si>
  <si>
    <t>IP-3293</t>
  </si>
  <si>
    <t>IP-3294</t>
  </si>
  <si>
    <t>IP-3296</t>
  </si>
  <si>
    <t>EG07-0258</t>
  </si>
  <si>
    <t>EG03-1141</t>
  </si>
  <si>
    <t>IP-3297</t>
  </si>
  <si>
    <t>EG07-0057</t>
  </si>
  <si>
    <t>IP-3299</t>
  </si>
  <si>
    <t>IP-3300</t>
  </si>
  <si>
    <t>EG04-0084</t>
  </si>
  <si>
    <t>ANÁLISIS CAMPAÑA 42 – Ag</t>
  </si>
  <si>
    <t>IP-3301</t>
  </si>
  <si>
    <t>IP-3302</t>
  </si>
  <si>
    <t>IP-3303</t>
  </si>
  <si>
    <t>PELAYO VARGAS MIGUEL ANGEL</t>
  </si>
  <si>
    <t>EG07-0009</t>
  </si>
  <si>
    <t>EG03-0173</t>
  </si>
  <si>
    <t>Total C-42</t>
  </si>
  <si>
    <t>IP-3320</t>
  </si>
  <si>
    <t>EG07-0370</t>
  </si>
  <si>
    <t>Saldo C-41</t>
  </si>
  <si>
    <t>*saldo percy, saldo milton fue 1,000.89</t>
  </si>
  <si>
    <t>IP-3323</t>
  </si>
  <si>
    <t>tk1 C-42</t>
  </si>
  <si>
    <t>IP-3324</t>
  </si>
  <si>
    <t>tk 2 en tk C-42</t>
  </si>
  <si>
    <t>IP-3325</t>
  </si>
  <si>
    <t>tk 3 en tk C-42</t>
  </si>
  <si>
    <t>IP-3326</t>
  </si>
  <si>
    <t>EG03-0023</t>
  </si>
  <si>
    <t>*RECUP 85% EN LIQUIDACION</t>
  </si>
  <si>
    <t>IP-3327</t>
  </si>
  <si>
    <t>*RECUP 70% EN LIQUIDACION</t>
  </si>
  <si>
    <t>IP-3328</t>
  </si>
  <si>
    <t>IP-3329</t>
  </si>
  <si>
    <t>IP-3330</t>
  </si>
  <si>
    <t>IP-3332</t>
  </si>
  <si>
    <t>IP-3333</t>
  </si>
  <si>
    <t>IP-3334</t>
  </si>
  <si>
    <t>IP-3335</t>
  </si>
  <si>
    <t>IP-3337</t>
  </si>
  <si>
    <t>EG03-0060</t>
  </si>
  <si>
    <t>IP-3338</t>
  </si>
  <si>
    <t>EG03-0059</t>
  </si>
  <si>
    <t>IP-3339</t>
  </si>
  <si>
    <t>EG07-0252</t>
  </si>
  <si>
    <t>IP-3340</t>
  </si>
  <si>
    <t>IP-3341</t>
  </si>
  <si>
    <t>IP-3342</t>
  </si>
  <si>
    <t>IP-3343</t>
  </si>
  <si>
    <t>IP-3344</t>
  </si>
  <si>
    <t>IP-3345</t>
  </si>
  <si>
    <t>EG07-6157</t>
  </si>
  <si>
    <t>EG03-0392</t>
  </si>
  <si>
    <t>SE PUSO UNA RECUPERACION NOMINAL DE 78%</t>
  </si>
  <si>
    <t>IP-3346</t>
  </si>
  <si>
    <t>IP-3347</t>
  </si>
  <si>
    <t>IP-3348</t>
  </si>
  <si>
    <t>IP-3349</t>
  </si>
  <si>
    <t>IP-3350</t>
  </si>
  <si>
    <t>IP-3351</t>
  </si>
  <si>
    <t>EG07-0517</t>
  </si>
  <si>
    <t>IP-3352</t>
  </si>
  <si>
    <t>EG07-0374</t>
  </si>
  <si>
    <t>IP-3353</t>
  </si>
  <si>
    <t>INVERSIONES MAMA COCO Eirl</t>
  </si>
  <si>
    <t>EG03-0061</t>
  </si>
  <si>
    <t>IP-3354</t>
  </si>
  <si>
    <t>EG07-0379</t>
  </si>
  <si>
    <t>EG03-0486</t>
  </si>
  <si>
    <t>IP-3355</t>
  </si>
  <si>
    <t>EG07-0380</t>
  </si>
  <si>
    <t>IP-3356</t>
  </si>
  <si>
    <t>EG07-6221</t>
  </si>
  <si>
    <t>VQQ1-5975</t>
  </si>
  <si>
    <t>IP-3357</t>
  </si>
  <si>
    <t>IP-3358</t>
  </si>
  <si>
    <t>IP-3359</t>
  </si>
  <si>
    <t>IP-3360</t>
  </si>
  <si>
    <t>IP-3361</t>
  </si>
  <si>
    <t>IP-3362</t>
  </si>
  <si>
    <t>IP-3363</t>
  </si>
  <si>
    <t>IP-3364</t>
  </si>
  <si>
    <t>IP-3365</t>
  </si>
  <si>
    <t>IP-3366</t>
  </si>
  <si>
    <t>IP-3368</t>
  </si>
  <si>
    <t>IP-3369</t>
  </si>
  <si>
    <t>IP-3370</t>
  </si>
  <si>
    <t>*RECUPERACION EN LIQUIDACION 90% (VALOR NOMINAL)</t>
  </si>
  <si>
    <t>IP-3371</t>
  </si>
  <si>
    <t>IP-3372</t>
  </si>
  <si>
    <t>IP-3373</t>
  </si>
  <si>
    <t>IP-3376</t>
  </si>
  <si>
    <t>IP-3377</t>
  </si>
  <si>
    <t>EG07-0256</t>
  </si>
  <si>
    <t>IP-3378</t>
  </si>
  <si>
    <t>IP-3379</t>
  </si>
  <si>
    <t>IP-3380</t>
  </si>
  <si>
    <t>IP-3381</t>
  </si>
  <si>
    <t>IP-3382</t>
  </si>
  <si>
    <t>IP-3383</t>
  </si>
  <si>
    <t>IP-3384</t>
  </si>
  <si>
    <t>IP-3385</t>
  </si>
  <si>
    <t>IP-3386</t>
  </si>
  <si>
    <t>IP-3387</t>
  </si>
  <si>
    <t>IP-3388</t>
  </si>
  <si>
    <t>IP-3389</t>
  </si>
  <si>
    <t>IP-3390</t>
  </si>
  <si>
    <t>IP-3391</t>
  </si>
  <si>
    <t>IP-3392</t>
  </si>
  <si>
    <t>IP-3393</t>
  </si>
  <si>
    <t>IP-3394</t>
  </si>
  <si>
    <t>IP-3395</t>
  </si>
  <si>
    <t>IP-3396</t>
  </si>
  <si>
    <t>IP-3398</t>
  </si>
  <si>
    <t>IP-3400</t>
  </si>
  <si>
    <t>IP-3404</t>
  </si>
  <si>
    <t>IP-3408</t>
  </si>
  <si>
    <t>EG07-0385</t>
  </si>
  <si>
    <t>EG03-0489</t>
  </si>
  <si>
    <t>IP-3409</t>
  </si>
  <si>
    <t>IP-3410</t>
  </si>
  <si>
    <t>IP-3414</t>
  </si>
  <si>
    <t>IP-3415</t>
  </si>
  <si>
    <t>IP-3416</t>
  </si>
  <si>
    <t>IP-3419</t>
  </si>
  <si>
    <t>IP-3420</t>
  </si>
  <si>
    <t>IP-3421</t>
  </si>
  <si>
    <t>IP-3440</t>
  </si>
  <si>
    <t>EG03-0458</t>
  </si>
  <si>
    <t>IP-3441</t>
  </si>
  <si>
    <t>IP-3442</t>
  </si>
  <si>
    <t>EG07-0054</t>
  </si>
  <si>
    <t>IP-3443</t>
  </si>
  <si>
    <t>EG07-0055</t>
  </si>
  <si>
    <t>EG03-0315</t>
  </si>
  <si>
    <t>IP-3444</t>
  </si>
  <si>
    <t>EG07-0289</t>
  </si>
  <si>
    <t>IP-3445</t>
  </si>
  <si>
    <t>&lt;</t>
  </si>
  <si>
    <t>Hoja de Liquidación minerales auriferos</t>
  </si>
  <si>
    <t>Razon social</t>
  </si>
  <si>
    <t>Nro de RUC</t>
  </si>
  <si>
    <t>Mineral argentifero sin procesar</t>
  </si>
  <si>
    <t>Fecha de entrega</t>
  </si>
  <si>
    <t>Fecha de liquidacion</t>
  </si>
  <si>
    <t xml:space="preserve">Fecha </t>
  </si>
  <si>
    <t>Inter AG</t>
  </si>
  <si>
    <t>AG</t>
  </si>
  <si>
    <t>a pagar</t>
  </si>
  <si>
    <t>*Todo lote que no sea liquidado y/o retirado en un plazo maximo de 30 dias sera desechado. Sin opcion a reclamo</t>
  </si>
  <si>
    <t>El pago por plata sera solo para los lotes que tengan contenido mayor a 4.5 oz/tc</t>
  </si>
  <si>
    <t>MAQUILA</t>
  </si>
  <si>
    <t>NOMBRE</t>
  </si>
  <si>
    <t>REFERENCIA / PROCEDENCIA</t>
  </si>
  <si>
    <t>LEY +</t>
  </si>
  <si>
    <t>RIESGO COMERCIAL</t>
  </si>
  <si>
    <t>GASTO ACOPIO</t>
  </si>
  <si>
    <t>GASTO CONSUMO</t>
  </si>
  <si>
    <t>% LEY</t>
  </si>
  <si>
    <t xml:space="preserve">DIFERENCIA MIN LEY </t>
  </si>
  <si>
    <t xml:space="preserve">LEY MINIMA </t>
  </si>
  <si>
    <t>COMISION</t>
  </si>
  <si>
    <t>PROMEDIO</t>
  </si>
  <si>
    <t>RECUPERACION</t>
  </si>
  <si>
    <t>Alfred Torres</t>
  </si>
  <si>
    <t>*Se promedia diferencia de leyes desde 0.030 hasta 0.099 oz/Tc</t>
  </si>
  <si>
    <t>INVERSIONES Y SERVICIOS MULTIPLES SANTA LUCÍA EIRL</t>
  </si>
  <si>
    <t>SOTOMAYOR PEÑA DERMILUZ</t>
  </si>
  <si>
    <t>SOTOMAYOR CORAZAO JHONATAN</t>
  </si>
  <si>
    <t>MULTISERVICIOS Y Y NEGOCIACIONES ROGOHUA</t>
  </si>
  <si>
    <t>*Se promedia diferencia de leyes desde 0.040 hasta 0.099 oz/Tc</t>
  </si>
  <si>
    <t>CONCESIÓN MINERA: EL INGE 2006-OTOCA-LUCANAS-AYACUCHO</t>
  </si>
  <si>
    <t>Alfred Torres  *</t>
  </si>
  <si>
    <t>*Se promedia diferencia de leyes desde 0.035 hasta 0.099 oz/Tc</t>
  </si>
  <si>
    <t>CONCESIÓN MINERA DELICIA - CURPAHUASI-GRAU-APURIMAC</t>
  </si>
  <si>
    <t>CONCESIÓN MINERA: DELICIA - CURPAHUASI-GRAU-APURIMAC</t>
  </si>
  <si>
    <t>C.M. THE FUTURE AQP III LOS MOLLES</t>
  </si>
  <si>
    <t>Melchor Vera</t>
  </si>
  <si>
    <t>*Se promedia diferencia de leyes desde 0.020 hasta 0.099 oz/Tc</t>
  </si>
  <si>
    <t>Ley &lt;0.130 80%; Ley&lt;0.150  85%; Ley&gt; 0.15 90%</t>
  </si>
  <si>
    <t>se le descuenta 0.035 a la ley planta para obtener la ley comercial</t>
  </si>
  <si>
    <t>CONCESIÓN MINERA: SAÑAICA I - PAMPACHIRI-ANDAHUAYLAS-APURIMAC</t>
  </si>
  <si>
    <t>CONCESIÓN MINERA: NUEVA ALICIA Nº 1 - SAÑAYCA-AYMARAES-APURIMAC</t>
  </si>
  <si>
    <t>CONCESIÓN MINERA: DOMITILA I - EL ORO-ANTABAMBA-APURIMAC</t>
  </si>
  <si>
    <t>CONCESIÓN MINERA: MARIA AUXILIADORA - HUANUHUANU-CARAVELI-AREQUIPA</t>
  </si>
  <si>
    <t>Ronald Garibay</t>
  </si>
  <si>
    <t>CONCESIÓN MINERA MARIA AUXILIADORA - HUANUHUANU-CARAVELI-AREQUIPA</t>
  </si>
  <si>
    <t>CONCESIÓN MINERA SAN MIGUEL DE UNTUCA -QUIACA-SANDIA-PUNO- C.U: 13006826X01</t>
  </si>
  <si>
    <t>Ley&lt;0.15 80%, Ley &lt;0.20 85%, Ley&gt;0.20 90%</t>
  </si>
  <si>
    <t>CONCESIÓN MINERA ACUMULACION LOS ROSALES  - VILQUE-PUNO-PUNO</t>
  </si>
  <si>
    <t>CONCESIÓN MINERO: COLONIA 1 - RIO GRANDE-CONDESUYOS-AREQUIPA</t>
  </si>
  <si>
    <t>20601769396-</t>
  </si>
  <si>
    <t>CONCESIÓN MINERA: MINA SANTA NANCY-CABANILLA-LAMPA-PUNO</t>
  </si>
  <si>
    <t>20610807004*</t>
  </si>
  <si>
    <t>CONCESION MINERA: CERRO VERDE BL - PUNO - SANDIA - PHARA</t>
  </si>
  <si>
    <t>CONCESIÓN MINERA: COLONIA 1 - RIO GRANDE-CONDESUYOS-AREQUIPA</t>
  </si>
  <si>
    <t>Evelyn</t>
  </si>
  <si>
    <t>Ley&lt;0.13 80%, Ley &lt;0.17 85%, Ley&gt;0.17 90%</t>
  </si>
  <si>
    <t>CONCESIÓN MINERA:  JULISSA VI PULLO-PARINACOCHAS-AYACUCHO -CU 010198104</t>
  </si>
  <si>
    <t xml:space="preserve">Walter Achulla </t>
  </si>
  <si>
    <t>Yuri Rospigliossi</t>
  </si>
  <si>
    <t>MINERA CORDOVA FGA EIRL</t>
  </si>
  <si>
    <t>GRUPO LINKOS NGLK E.I.R.L</t>
  </si>
  <si>
    <t>NEGOCIOS CARRILLO LANDA EIRL</t>
  </si>
  <si>
    <t>MINERA PUAQ NAV E.I.R.L.</t>
  </si>
  <si>
    <t>KORI APUS I - APLAO-CASTILLA-AREQUIPA</t>
  </si>
  <si>
    <t>CONCESIÓN MINERA: TRACIA II - JAQUI-CARAVELI-AREQUIPA</t>
  </si>
  <si>
    <t>Robinson Tuya</t>
  </si>
  <si>
    <t xml:space="preserve">ley&lt;0.149 80%, ley &lt;0.199 85% , ley&gt;0.200 90%; </t>
  </si>
  <si>
    <t>SABE LIQUIDAR</t>
  </si>
  <si>
    <t>CONCESIÓN MINERA:  VANGUARDIA-HUANUHUANU-CARAVELI-AREQUIPA</t>
  </si>
  <si>
    <t>20614284740*</t>
  </si>
  <si>
    <t>CONCESIÓN ZORRO 5 - SANCOS-LUCANAS-AYACUCHO</t>
  </si>
  <si>
    <t>CONCESIÓN SAN ALEJANDRO I - MARIANO NICOLAS VALCARCEL-CAMANA-AREQUIPA</t>
  </si>
  <si>
    <t>CONCESIÓN SALCOCHA 101 - HUANUHUANU-CARAVELI-AREQUIPA</t>
  </si>
  <si>
    <t>20611329556*</t>
  </si>
  <si>
    <t>CONCESIÓN POSCO-MARIANO NICOLAS VALCARCEL-CAMANA-AREQUIPA</t>
  </si>
  <si>
    <t>CONCESIÓN MINERA: LA MINA AS DE ORO-NASCA-NASCA-ICA - CODIGO UNICO 010110501</t>
  </si>
  <si>
    <t>CONCESION MINERA SANTA ROSA DE SOPHIA-OCAÑA-LUCANAS-AYACUCHO - C.U. 010022399</t>
  </si>
  <si>
    <t>Ley&lt;0.12 80%, Ley &lt;0.20 85%, Ley&gt;0.20 90%</t>
  </si>
  <si>
    <t>CONCESIÓN MINERA: ADMIRABLE-HUANUHUANU-CARAVELI-AREQUIPA</t>
  </si>
  <si>
    <t xml:space="preserve">Dante </t>
  </si>
  <si>
    <t>$35 COMISION</t>
  </si>
  <si>
    <t>CONCESIÓN MINERA: VANGUARDIA-HUANUHUANU-CARAVELI-AREQUIPA</t>
  </si>
  <si>
    <t>PAUCARA INCACUTIPA OSMAR FREDY</t>
  </si>
  <si>
    <t>INVERMIN VOLCAL DEL SUR E.R.I.L</t>
  </si>
  <si>
    <t>JAWASA I -APLAO-CASTILLA-AREQUIPA</t>
  </si>
  <si>
    <t>BETO ZEVALLOS</t>
  </si>
  <si>
    <t>Beto Zevallos</t>
  </si>
  <si>
    <t>CONCESIÓN MINERA: EL REY NUEVO-CHAPARRA-CARAVELI-AREQUIPA</t>
  </si>
  <si>
    <t>Martin</t>
  </si>
  <si>
    <t>Karina Retamozo</t>
  </si>
  <si>
    <t>10486077447,</t>
  </si>
  <si>
    <t>SIN ACOPIO</t>
  </si>
  <si>
    <t>S/30 XTMH</t>
  </si>
  <si>
    <t>SACOS X CARGA (400 sacos X 30TN)</t>
  </si>
  <si>
    <t>*Diff ley comercial 0.024</t>
  </si>
  <si>
    <t>VANGUARDIA-HUANUHUANU-CARAVELI-AREQUIPA</t>
  </si>
  <si>
    <t>JULISSA VII-PULLO - PARINACOCHAS-AYACUCHO</t>
  </si>
  <si>
    <t>*Se promedia diferencia de leyes desde 0.050 hasta 0.099 oz/Tc</t>
  </si>
  <si>
    <t>S/30 * TMH</t>
  </si>
  <si>
    <t>DEVOLUCION DE SACOS</t>
  </si>
  <si>
    <t>SABE LEER LIQUIDACION</t>
  </si>
  <si>
    <t>CONCESION MINERO: COLONIA 1 - RIO GRANDE-CONDESUYOS-AREQUIPA</t>
  </si>
  <si>
    <t>20601769396*</t>
  </si>
  <si>
    <t>Zudaire</t>
  </si>
  <si>
    <t>S/ 1 * SACO (carguio)</t>
  </si>
  <si>
    <t>CON.MIN.MET.MARIA.LUZ.II.2006  - VITOR - AREQUIPA - AREQUIPA</t>
  </si>
  <si>
    <t>Valorizacion</t>
  </si>
  <si>
    <t>CRUZ DE LA CRUZ DENNIS DARWIN</t>
  </si>
  <si>
    <t>INVERSIONES LUCERO DE LOS ANDES E.I.R.L</t>
  </si>
  <si>
    <t>LOPEZ ROCCA SANTOS</t>
  </si>
  <si>
    <t>VISTA GOLD SAC</t>
  </si>
  <si>
    <t>CACERES RAMOS JESUS RUBEN</t>
  </si>
  <si>
    <t>EMPRESA MINERA KHALEF EIRL</t>
  </si>
  <si>
    <t>SAMANCO MINING S.A.C.</t>
  </si>
  <si>
    <t>Prueba</t>
  </si>
  <si>
    <t>xxxxxx</t>
  </si>
  <si>
    <t>Andres</t>
  </si>
  <si>
    <t>diff</t>
  </si>
  <si>
    <t>Tu</t>
  </si>
  <si>
    <t>Total</t>
  </si>
  <si>
    <t>pagado</t>
  </si>
  <si>
    <t>Sin pagar</t>
  </si>
  <si>
    <t>Rec proyectada</t>
  </si>
  <si>
    <t>Dmt</t>
  </si>
  <si>
    <t>Gr Recuperables</t>
  </si>
  <si>
    <t>Total $ (sin IGV)</t>
  </si>
  <si>
    <t>Stock al dia 05-11-2024</t>
  </si>
  <si>
    <t>Au</t>
  </si>
  <si>
    <t>Mes</t>
  </si>
  <si>
    <t>Costo planta</t>
  </si>
  <si>
    <t>Proceso</t>
  </si>
  <si>
    <t>Gr (despues de Rec)</t>
  </si>
  <si>
    <t>DMT</t>
  </si>
  <si>
    <t>Valor mercado</t>
  </si>
  <si>
    <t>Costo de compra</t>
  </si>
  <si>
    <t>Costo de proceso</t>
  </si>
  <si>
    <t>Costo total</t>
  </si>
  <si>
    <t>Stock + por liquidar</t>
  </si>
  <si>
    <t>Stock al dia 05/11-2024</t>
  </si>
  <si>
    <t>Comprado</t>
  </si>
  <si>
    <t>Sin comprar</t>
  </si>
  <si>
    <t>Stock al dia 15-11-2024</t>
  </si>
  <si>
    <t>Roger</t>
  </si>
  <si>
    <t>Stock al dia 15-11-2024 -Roger</t>
  </si>
  <si>
    <t>Comprado - Roger</t>
  </si>
  <si>
    <t>ton al 14/11</t>
  </si>
  <si>
    <t>Los numeros estan bien</t>
  </si>
  <si>
    <t>No lo puedo explicar</t>
  </si>
  <si>
    <t>pienso que el IGV que estamos recibiendo (compra minerales o pagando planillas, o comprando materiales ) lo estamos incluyendo en este numero, a parte de que estamos haciendo una ganancia</t>
  </si>
  <si>
    <t>Actualice los tonelajes, 1000 toneladas -328 ( samanco ) = 672 tm compradas en 10 dias</t>
  </si>
  <si>
    <t>Stock al dia 23-11-2024</t>
  </si>
  <si>
    <t>Valor Compra</t>
  </si>
  <si>
    <t>Costo proceso</t>
  </si>
  <si>
    <t>Detalle de pagos pendientes</t>
  </si>
  <si>
    <t>Samanco</t>
  </si>
  <si>
    <t>Varios</t>
  </si>
  <si>
    <t>Stock al dia 23-11-2024 -Roger</t>
  </si>
  <si>
    <t>exportacion 10</t>
  </si>
  <si>
    <t>Pago Lunes 25/11</t>
  </si>
  <si>
    <t>exportacion 11</t>
  </si>
  <si>
    <t>Cocecha domingo 24/11</t>
  </si>
  <si>
    <t>Stock al dia 18-12-2024</t>
  </si>
  <si>
    <t>Stock al dia 16-12-2024</t>
  </si>
  <si>
    <t>exportacion greisy 13</t>
  </si>
  <si>
    <t>Pago Lunes 23-12</t>
  </si>
  <si>
    <t>tc</t>
  </si>
  <si>
    <t>Soles</t>
  </si>
  <si>
    <t>Dolares</t>
  </si>
  <si>
    <t>Caja soles</t>
  </si>
  <si>
    <t>Caja dolares</t>
  </si>
  <si>
    <t>Exportacion 13 greisy</t>
  </si>
  <si>
    <t>IGV Inicial</t>
  </si>
  <si>
    <t>IGV final</t>
  </si>
  <si>
    <t>Caja -  Bancos -  IGV - Detraccion</t>
  </si>
  <si>
    <t>Stock al dia 10-01-2025</t>
  </si>
  <si>
    <t>Stock al dia 04-12-2025</t>
  </si>
  <si>
    <t>Nota 1, pasaron 2 campañas desde el ultimo corte</t>
  </si>
  <si>
    <t>Aporte LF</t>
  </si>
  <si>
    <t>Exportacion 15</t>
  </si>
  <si>
    <t>Stock al dia 24-03-2025</t>
  </si>
  <si>
    <t>C19-Tk 2</t>
  </si>
  <si>
    <t>C20-Tk 2</t>
  </si>
  <si>
    <t>C20-Tk 3</t>
  </si>
  <si>
    <t>Amalgamas</t>
  </si>
  <si>
    <t>Total proceso chala (gr)</t>
  </si>
  <si>
    <t>Exportacion 20</t>
  </si>
  <si>
    <t xml:space="preserve">Caja -  Bancos -  IGV </t>
  </si>
  <si>
    <t>Total dolares</t>
  </si>
  <si>
    <t>Fix</t>
  </si>
  <si>
    <t>E006</t>
  </si>
  <si>
    <t>GREYSI</t>
  </si>
  <si>
    <t>AJ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</si>
  <si>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</si>
  <si>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</si>
  <si>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</si>
  <si>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</si>
  <si>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</si>
  <si>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</si>
  <si>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</si>
  <si>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</si>
  <si>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</si>
  <si>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</si>
  <si>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</si>
  <si>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</si>
  <si>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C-30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</si>
  <si>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</si>
  <si>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</si>
  <si>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</si>
  <si>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</si>
  <si>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</si>
  <si>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</si>
  <si>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</si>
  <si>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</si>
  <si>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</si>
  <si>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</si>
  <si>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</si>
  <si>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</si>
  <si>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</si>
  <si>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</si>
  <si>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</si>
  <si>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</si>
  <si>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INVENTARIO EN PLANTA PAITITI</t>
  </si>
  <si>
    <t>Inventarios - AGOSTO 2025</t>
  </si>
  <si>
    <t>Al 27/08/2025 a las 10:00 hr</t>
  </si>
  <si>
    <t>Planta PAITITI Arequipa - Perú</t>
  </si>
  <si>
    <r>
      <rPr>
        <rFont val="Calibri"/>
        <b/>
        <color theme="1"/>
        <sz val="10.0"/>
        <u/>
      </rPr>
      <t>Mineral en almacén de planta a observar</t>
    </r>
    <r>
      <rPr>
        <rFont val="Calibri"/>
        <b/>
        <color theme="1"/>
        <sz val="10.0"/>
        <u/>
      </rPr>
      <t>:</t>
    </r>
  </si>
  <si>
    <t>Ubicación</t>
  </si>
  <si>
    <t>Equipo</t>
  </si>
  <si>
    <t>Existencia</t>
  </si>
  <si>
    <r>
      <rPr>
        <rFont val="Calibri"/>
        <b/>
        <color theme="0"/>
        <sz val="10.0"/>
      </rPr>
      <t>m</t>
    </r>
    <r>
      <rPr>
        <rFont val="Calibri"/>
        <b/>
        <color theme="0"/>
        <sz val="10.0"/>
        <vertAlign val="superscript"/>
      </rPr>
      <t>3</t>
    </r>
  </si>
  <si>
    <t>Kg</t>
  </si>
  <si>
    <t>LEYES</t>
  </si>
  <si>
    <t>FINOS gr. 100%</t>
  </si>
  <si>
    <t>FINOS gr. Recup</t>
  </si>
  <si>
    <t>Comentarios</t>
  </si>
  <si>
    <t>Ag</t>
  </si>
  <si>
    <t>RECEPCION</t>
  </si>
  <si>
    <t>STOCK CANCHA</t>
  </si>
  <si>
    <t>LEY</t>
  </si>
  <si>
    <t>SIN LEY</t>
  </si>
  <si>
    <t xml:space="preserve">LOZA </t>
  </si>
  <si>
    <t>BLENDING #1</t>
  </si>
  <si>
    <t>BLENDING #2</t>
  </si>
  <si>
    <t>BLENDING #3</t>
  </si>
  <si>
    <t xml:space="preserve">TOTAL GR AG RECP C-26 </t>
  </si>
  <si>
    <t>BLENDING #4</t>
  </si>
  <si>
    <t>BLENDING #5</t>
  </si>
  <si>
    <t>TOTAL GR AU RECUP C-26</t>
  </si>
  <si>
    <t>BLENDING #6</t>
  </si>
  <si>
    <t>MOLIENDA</t>
  </si>
  <si>
    <t>TOLVA DE FINOS N° 1</t>
  </si>
  <si>
    <t>Mineral (Blends)</t>
  </si>
  <si>
    <t>MOLINO N° 1 (Acum)</t>
  </si>
  <si>
    <t>Au grueso</t>
  </si>
  <si>
    <t>MOLINO N° 2 (Acum)</t>
  </si>
  <si>
    <t>CAJONES</t>
  </si>
  <si>
    <t>MOLINOS</t>
  </si>
  <si>
    <t xml:space="preserve">TRAMPA N° 1 </t>
  </si>
  <si>
    <t>TRAMPA N° 2</t>
  </si>
  <si>
    <t>AGITACION - ADS</t>
  </si>
  <si>
    <t>TANQUE N° 1 - 19' x 20'</t>
  </si>
  <si>
    <t>pulpa (Solidos)</t>
  </si>
  <si>
    <t>TANQUE N° 2 - 19' x 20'</t>
  </si>
  <si>
    <t>TANQUE N° 3 - 20' x 20'</t>
  </si>
  <si>
    <t>pulpa (Liquido)</t>
  </si>
  <si>
    <t>Carbon Activado Cargado</t>
  </si>
  <si>
    <t>DESORCION</t>
  </si>
  <si>
    <t>TANQUE N°2</t>
  </si>
  <si>
    <t>TANQUE N°</t>
  </si>
  <si>
    <t>FUNDICION</t>
  </si>
  <si>
    <t>BARRA FUNDIDA 1</t>
  </si>
  <si>
    <t xml:space="preserve">METAL Ag </t>
  </si>
  <si>
    <t>BARRA FUNDIDA 2</t>
  </si>
  <si>
    <t>BARRA FUNDIDA 3</t>
  </si>
  <si>
    <t>BARRA FUNDIDA 4</t>
  </si>
  <si>
    <t>BOVEDA</t>
  </si>
  <si>
    <t>Resguardo Almacen</t>
  </si>
  <si>
    <t>C-22 TK-1</t>
  </si>
  <si>
    <t>TOTAL AU BOVEDA</t>
  </si>
  <si>
    <t>C-22 TK -1</t>
  </si>
  <si>
    <t>C-24 TK-3 (PARTE N° 3)</t>
  </si>
  <si>
    <t>TOTAL AG BOVEDA</t>
  </si>
  <si>
    <t>C-25 TK-1</t>
  </si>
  <si>
    <t>C-25 TK-1 (ESCORIAS Y HORNO II)</t>
  </si>
  <si>
    <t>C-25 TK-1 (TRAMPAS Y CAJONES)</t>
  </si>
  <si>
    <t>BARRA BULLON (ESCORIAS C-22 a C-25)</t>
  </si>
  <si>
    <t>BARRA BULLON (C-26, TK-3)</t>
  </si>
  <si>
    <t>PENDIENTE</t>
  </si>
  <si>
    <t>LOZA DE COSECHA</t>
  </si>
  <si>
    <t xml:space="preserve">TK 3 </t>
  </si>
  <si>
    <t>RUMA 2 BAJA RECUPERACION</t>
  </si>
  <si>
    <t>TANQUES</t>
  </si>
  <si>
    <t>TK 1</t>
  </si>
  <si>
    <t>TK 2</t>
  </si>
  <si>
    <t>TOTAL PLANTA PAITITI</t>
  </si>
  <si>
    <t>SALIDAS DEL SISTEMA en la semana:</t>
  </si>
  <si>
    <t>Relavera</t>
  </si>
  <si>
    <t xml:space="preserve">FINO NO RECUPERABLE RUMA </t>
  </si>
  <si>
    <t>Nro</t>
  </si>
  <si>
    <t>Fecha</t>
  </si>
  <si>
    <t>WMT</t>
  </si>
  <si>
    <t>Au Real</t>
  </si>
  <si>
    <t>Au real</t>
  </si>
  <si>
    <t>Au comprado</t>
  </si>
  <si>
    <t>Au Vendido</t>
  </si>
  <si>
    <t>Rec Avg</t>
  </si>
  <si>
    <t>Profit terminos</t>
  </si>
  <si>
    <t>Supuestos</t>
  </si>
  <si>
    <t>Nelvin</t>
  </si>
  <si>
    <t>Antes de Rec</t>
  </si>
  <si>
    <t>Despues de Rec</t>
  </si>
  <si>
    <t>Liquidacion</t>
  </si>
  <si>
    <t>Planta</t>
  </si>
  <si>
    <t>Compra/venta</t>
  </si>
  <si>
    <t>US$/dmt</t>
  </si>
  <si>
    <t>Acopio</t>
  </si>
  <si>
    <t>E-001.1</t>
  </si>
  <si>
    <t>E-001.2</t>
  </si>
  <si>
    <t>E-002</t>
  </si>
  <si>
    <t>E-003</t>
  </si>
  <si>
    <t>E-004</t>
  </si>
  <si>
    <t>E-005</t>
  </si>
  <si>
    <t>E-006</t>
  </si>
  <si>
    <t>E-007</t>
  </si>
  <si>
    <t>E-008</t>
  </si>
  <si>
    <t>E-009</t>
  </si>
  <si>
    <t>E-010</t>
  </si>
  <si>
    <t>E-011</t>
  </si>
  <si>
    <t>barrido no cuantificado</t>
  </si>
  <si>
    <t>E-012</t>
  </si>
  <si>
    <t>E-014</t>
  </si>
  <si>
    <t>E-015</t>
  </si>
  <si>
    <t>E-016</t>
  </si>
  <si>
    <t>E-017</t>
  </si>
  <si>
    <t>512.19 gr tk 3 se quedaron</t>
  </si>
  <si>
    <t>E-018</t>
  </si>
  <si>
    <t>Tk 3 ??</t>
  </si>
  <si>
    <t>E-019</t>
  </si>
  <si>
    <t>E-020</t>
  </si>
  <si>
    <t>E-021</t>
  </si>
  <si>
    <t>Diff</t>
  </si>
  <si>
    <t xml:space="preserve"> + / -  Gramos</t>
  </si>
  <si>
    <t>E-028</t>
  </si>
  <si>
    <t>E-029</t>
  </si>
  <si>
    <t>E-030</t>
  </si>
  <si>
    <t>E-031</t>
  </si>
  <si>
    <t>E-032</t>
  </si>
  <si>
    <t>E-033</t>
  </si>
  <si>
    <t>E-034</t>
  </si>
  <si>
    <t>E-035</t>
  </si>
  <si>
    <t>E-036</t>
  </si>
  <si>
    <t>E-037</t>
  </si>
  <si>
    <t>E-038</t>
  </si>
  <si>
    <t>E-039</t>
  </si>
  <si>
    <t>E-040</t>
  </si>
  <si>
    <t>E-041</t>
  </si>
  <si>
    <t>E-042</t>
  </si>
  <si>
    <t>E-043</t>
  </si>
  <si>
    <t>E-044</t>
  </si>
  <si>
    <t>E-045</t>
  </si>
  <si>
    <t>E-046</t>
  </si>
  <si>
    <t>E-047</t>
  </si>
  <si>
    <t>E-048</t>
  </si>
  <si>
    <t>E-049</t>
  </si>
  <si>
    <t>IP-775</t>
  </si>
  <si>
    <t>julio Chocjari</t>
  </si>
  <si>
    <t>Granel</t>
  </si>
  <si>
    <t>IP-776</t>
  </si>
  <si>
    <t>IP-780</t>
  </si>
  <si>
    <t>Moises Mamani</t>
  </si>
  <si>
    <t>IP-801</t>
  </si>
  <si>
    <t>I-RM-RM-JAIME PORTUGAL</t>
  </si>
  <si>
    <t>IP-804</t>
  </si>
  <si>
    <t>IP-878</t>
  </si>
  <si>
    <t>IP-883</t>
  </si>
  <si>
    <t>IP-884</t>
  </si>
  <si>
    <t>IP-885</t>
  </si>
  <si>
    <t>IP-886</t>
  </si>
  <si>
    <t>IP-887</t>
  </si>
  <si>
    <t>IP-888</t>
  </si>
  <si>
    <t>IP-889</t>
  </si>
  <si>
    <t>IP-890</t>
  </si>
  <si>
    <t>IP-891</t>
  </si>
  <si>
    <t>IP-892</t>
  </si>
  <si>
    <t>IP-893</t>
  </si>
  <si>
    <t>IP-894</t>
  </si>
  <si>
    <t>IP-895</t>
  </si>
  <si>
    <t>IP-898</t>
  </si>
  <si>
    <t>IP-899 (841)</t>
  </si>
  <si>
    <t>IP-900 (842)</t>
  </si>
  <si>
    <t>IP-901</t>
  </si>
  <si>
    <t>IP-902</t>
  </si>
  <si>
    <t>IP-903</t>
  </si>
  <si>
    <t>IP-905</t>
  </si>
  <si>
    <t>IP-906</t>
  </si>
  <si>
    <t>IP-907</t>
  </si>
  <si>
    <t>IP-908</t>
  </si>
  <si>
    <t>IP-909</t>
  </si>
  <si>
    <t>IP-910</t>
  </si>
  <si>
    <t>IP-911</t>
  </si>
  <si>
    <t>IP-912</t>
  </si>
  <si>
    <t>IP-913</t>
  </si>
  <si>
    <t>IP-914</t>
  </si>
  <si>
    <t>Percy Tipo</t>
  </si>
  <si>
    <t>IP-915</t>
  </si>
  <si>
    <t>IP-916</t>
  </si>
  <si>
    <t>IP-918</t>
  </si>
  <si>
    <t>IP-925</t>
  </si>
  <si>
    <t>Tony Gomez</t>
  </si>
  <si>
    <t>IP-926</t>
  </si>
  <si>
    <t>IP-933 (1082)</t>
  </si>
  <si>
    <t>IP-934 (1083)</t>
  </si>
  <si>
    <t>IP-935</t>
  </si>
  <si>
    <t>IP-936</t>
  </si>
  <si>
    <t>IP-937</t>
  </si>
  <si>
    <t>IP-946</t>
  </si>
  <si>
    <t>IP-947</t>
  </si>
  <si>
    <t>IP-948</t>
  </si>
  <si>
    <t>IP-949</t>
  </si>
  <si>
    <t>IP-950</t>
  </si>
  <si>
    <t>IP-951</t>
  </si>
  <si>
    <t>IP-952</t>
  </si>
  <si>
    <t>IP-953</t>
  </si>
  <si>
    <t>IP-954</t>
  </si>
  <si>
    <t>IP-955</t>
  </si>
  <si>
    <t>IP-956</t>
  </si>
  <si>
    <t>IP-957</t>
  </si>
  <si>
    <t>IP-958</t>
  </si>
  <si>
    <t>IP-959</t>
  </si>
  <si>
    <t>IP-960</t>
  </si>
  <si>
    <t>IP-961</t>
  </si>
  <si>
    <t>IP-962</t>
  </si>
  <si>
    <t>SOTOMAYOR  PEÑA DEMILUZ</t>
  </si>
  <si>
    <t>IP-963</t>
  </si>
  <si>
    <t>Wilfredo Cuaresma</t>
  </si>
  <si>
    <t>IP-964</t>
  </si>
  <si>
    <t>IP-965</t>
  </si>
  <si>
    <t>IP-966</t>
  </si>
  <si>
    <t>IP-967</t>
  </si>
  <si>
    <t>IP-968</t>
  </si>
  <si>
    <t>IP-971</t>
  </si>
  <si>
    <t>IP-972</t>
  </si>
  <si>
    <t>IP-974</t>
  </si>
  <si>
    <t>IP-975</t>
  </si>
  <si>
    <t>IP-976</t>
  </si>
  <si>
    <t>IP-977</t>
  </si>
  <si>
    <t>IP-980</t>
  </si>
  <si>
    <t>Yanet Pargua</t>
  </si>
  <si>
    <t>IP-981</t>
  </si>
  <si>
    <t>Clena</t>
  </si>
  <si>
    <t>IP-982</t>
  </si>
  <si>
    <t>IP-983</t>
  </si>
  <si>
    <t>IP-984</t>
  </si>
  <si>
    <t>IP-985</t>
  </si>
  <si>
    <t>IP-986</t>
  </si>
  <si>
    <t>IP-987</t>
  </si>
  <si>
    <t xml:space="preserve"> PAUCARA INCACUTIPA OSMAR FREDY</t>
  </si>
  <si>
    <t>IP-988</t>
  </si>
  <si>
    <t>IP-989</t>
  </si>
  <si>
    <t>IP-990</t>
  </si>
  <si>
    <t>IP-991</t>
  </si>
  <si>
    <t>IP-992</t>
  </si>
  <si>
    <t>IP-993</t>
  </si>
  <si>
    <t>IP-994</t>
  </si>
  <si>
    <t>IP-996</t>
  </si>
  <si>
    <t>Roberto layme</t>
  </si>
  <si>
    <t>IP-997</t>
  </si>
  <si>
    <t>Yulma Mamani</t>
  </si>
  <si>
    <t>IP-998</t>
  </si>
  <si>
    <t>Percy Puma</t>
  </si>
  <si>
    <t>IP-999</t>
  </si>
  <si>
    <t>IP-1000</t>
  </si>
  <si>
    <t>IP-1001</t>
  </si>
  <si>
    <t>IP-1002</t>
  </si>
  <si>
    <t>IP-1003</t>
  </si>
  <si>
    <t>IP-1005</t>
  </si>
  <si>
    <t>IP-1019</t>
  </si>
  <si>
    <t>IP-1021</t>
  </si>
  <si>
    <t>IP-1022</t>
  </si>
  <si>
    <t>IP-1023</t>
  </si>
  <si>
    <t>IP-1024</t>
  </si>
  <si>
    <t>IP-1027</t>
  </si>
  <si>
    <t>IP-1028</t>
  </si>
  <si>
    <t>IP-1082 (933)</t>
  </si>
  <si>
    <t>MINERA AURIFERA JIREH E.I.R.L.</t>
  </si>
  <si>
    <t>IP-1083 (934)</t>
  </si>
  <si>
    <t>IP-803</t>
  </si>
  <si>
    <t>IP-805</t>
  </si>
  <si>
    <t>I-AZ-AZ-GABRIEL PACHA</t>
  </si>
  <si>
    <t>IP-806</t>
  </si>
  <si>
    <t>IP-807</t>
  </si>
  <si>
    <t>IP-808</t>
  </si>
  <si>
    <t>E-GC-AT-SOTOMAYOR MORAYMA</t>
  </si>
  <si>
    <t>IP-809</t>
  </si>
  <si>
    <t>IP-810</t>
  </si>
  <si>
    <t>IP-811</t>
  </si>
  <si>
    <t>IP-812</t>
  </si>
  <si>
    <t>IP-813</t>
  </si>
  <si>
    <t>IP-814</t>
  </si>
  <si>
    <t>IP-815 (931)</t>
  </si>
  <si>
    <t>IP-816</t>
  </si>
  <si>
    <t>granel</t>
  </si>
  <si>
    <t>IP-817(932)</t>
  </si>
  <si>
    <t>IP-818</t>
  </si>
  <si>
    <t>IP-819</t>
  </si>
  <si>
    <t>IP-820</t>
  </si>
  <si>
    <t>IP-821 (932)</t>
  </si>
  <si>
    <t>IP-823</t>
  </si>
  <si>
    <t>IP-824</t>
  </si>
  <si>
    <t>IP-825</t>
  </si>
  <si>
    <t>IP-826</t>
  </si>
  <si>
    <t>IP-827</t>
  </si>
  <si>
    <t>IP-828</t>
  </si>
  <si>
    <t>IP-829</t>
  </si>
  <si>
    <t>IP-830</t>
  </si>
  <si>
    <t>IP-831</t>
  </si>
  <si>
    <t>IP-832 (999)</t>
  </si>
  <si>
    <t>IP-833 (1000)</t>
  </si>
  <si>
    <t>IP-834</t>
  </si>
  <si>
    <t>IP-835</t>
  </si>
  <si>
    <t>IP-836</t>
  </si>
  <si>
    <t>IP-837</t>
  </si>
  <si>
    <t>IP-838</t>
  </si>
  <si>
    <t>IP-839</t>
  </si>
  <si>
    <t>IP-840</t>
  </si>
  <si>
    <t>IP-841 (899)</t>
  </si>
  <si>
    <t>IP-842 (900)</t>
  </si>
  <si>
    <t>IP-843</t>
  </si>
  <si>
    <t>EMPRESA MINERA MARKATA "TREF" S.A.C.</t>
  </si>
  <si>
    <t>IP-844</t>
  </si>
  <si>
    <t>IP-845</t>
  </si>
  <si>
    <t>IP-846</t>
  </si>
  <si>
    <t>IP-847</t>
  </si>
  <si>
    <t>IP-848</t>
  </si>
  <si>
    <t>IP-849</t>
  </si>
  <si>
    <t>IP-852</t>
  </si>
  <si>
    <t>IP-853</t>
  </si>
  <si>
    <t>IP-854</t>
  </si>
  <si>
    <t>IP-855</t>
  </si>
  <si>
    <t>IP-856</t>
  </si>
  <si>
    <t>IP-857</t>
  </si>
  <si>
    <t>MULTISERVICIOS Y NEGOCIACIONES ROGOHUA E.I.R.L.</t>
  </si>
  <si>
    <t>IP-858</t>
  </si>
  <si>
    <t>IP-859</t>
  </si>
  <si>
    <t>IP-860</t>
  </si>
  <si>
    <t>IP-861</t>
  </si>
  <si>
    <t>IP-862</t>
  </si>
  <si>
    <t>IP-863</t>
  </si>
  <si>
    <t>IP-864</t>
  </si>
  <si>
    <t>IP-865</t>
  </si>
  <si>
    <t>IP-866</t>
  </si>
  <si>
    <t>IP-867</t>
  </si>
  <si>
    <t>IP-868</t>
  </si>
  <si>
    <t>IP-869</t>
  </si>
  <si>
    <t>IP-870</t>
  </si>
  <si>
    <t>IP-871</t>
  </si>
  <si>
    <t>IP-872</t>
  </si>
  <si>
    <t>IP-873</t>
  </si>
  <si>
    <t>IP-874</t>
  </si>
  <si>
    <t>IP-875</t>
  </si>
  <si>
    <t>IP-876</t>
  </si>
  <si>
    <t>IP-877</t>
  </si>
  <si>
    <t>IP-879</t>
  </si>
  <si>
    <t>IP-880</t>
  </si>
  <si>
    <t>IP-881</t>
  </si>
  <si>
    <t>IP-882</t>
  </si>
  <si>
    <t>IP-896 (943)</t>
  </si>
  <si>
    <t>IP-897 (944)</t>
  </si>
  <si>
    <t>IP-904</t>
  </si>
  <si>
    <t>IP-917</t>
  </si>
  <si>
    <t>IP-919</t>
  </si>
  <si>
    <t>IP-920</t>
  </si>
  <si>
    <t>IP-921</t>
  </si>
  <si>
    <t>IP-922</t>
  </si>
  <si>
    <t>IP-923</t>
  </si>
  <si>
    <t>IP-924</t>
  </si>
  <si>
    <t>IP-927</t>
  </si>
  <si>
    <t>IP-928</t>
  </si>
  <si>
    <t>IP-929</t>
  </si>
  <si>
    <t>IP-931 (815)</t>
  </si>
  <si>
    <t>Minantaya</t>
  </si>
  <si>
    <t>IP-932 (817-821)</t>
  </si>
  <si>
    <t>IP-938</t>
  </si>
  <si>
    <t>Salomino Ticona</t>
  </si>
  <si>
    <t>IP-939</t>
  </si>
  <si>
    <t>IP-940</t>
  </si>
  <si>
    <t>IP-941</t>
  </si>
  <si>
    <t>IP-942</t>
  </si>
  <si>
    <t>IP-943 (896)</t>
  </si>
  <si>
    <t>IP-944 (897)</t>
  </si>
  <si>
    <t>IP-945</t>
  </si>
  <si>
    <t>IP-978</t>
  </si>
  <si>
    <t>IP-979</t>
  </si>
  <si>
    <t>IP-995</t>
  </si>
  <si>
    <t>IP-650</t>
  </si>
  <si>
    <t>MINANTAYA PERÚ S.A.C</t>
  </si>
  <si>
    <t>IP-651</t>
  </si>
  <si>
    <t>IP-692</t>
  </si>
  <si>
    <t>IP-696</t>
  </si>
  <si>
    <t>Guillermo Mayta</t>
  </si>
  <si>
    <t>IP-697</t>
  </si>
  <si>
    <t>IP-698</t>
  </si>
  <si>
    <t>IP-699</t>
  </si>
  <si>
    <t>IP-700</t>
  </si>
  <si>
    <t>IP-701</t>
  </si>
  <si>
    <t>IP-703</t>
  </si>
  <si>
    <t>IP-724</t>
  </si>
  <si>
    <t>Grover Mamani 661</t>
  </si>
  <si>
    <t>IP-726</t>
  </si>
  <si>
    <t>John Chipana 664</t>
  </si>
  <si>
    <t>IP-727</t>
  </si>
  <si>
    <t>Antony Lujan 665</t>
  </si>
  <si>
    <t>IP-728</t>
  </si>
  <si>
    <t>Antony Lujan 666</t>
  </si>
  <si>
    <t>IP-729</t>
  </si>
  <si>
    <t>IP-730</t>
  </si>
  <si>
    <t>GC-S (raul richard) 559</t>
  </si>
  <si>
    <t>IP-737</t>
  </si>
  <si>
    <t>IP-738</t>
  </si>
  <si>
    <t>IP-739</t>
  </si>
  <si>
    <t>IP-740</t>
  </si>
  <si>
    <t>IP-741</t>
  </si>
  <si>
    <t>IP-742</t>
  </si>
  <si>
    <t>IP-743</t>
  </si>
  <si>
    <t>IP-744</t>
  </si>
  <si>
    <t>IP-745</t>
  </si>
  <si>
    <t>IP-746</t>
  </si>
  <si>
    <t>IP-747</t>
  </si>
  <si>
    <t>IP-748</t>
  </si>
  <si>
    <t>IP-749</t>
  </si>
  <si>
    <t>IP-750</t>
  </si>
  <si>
    <t>IP-754</t>
  </si>
  <si>
    <t>IP-755</t>
  </si>
  <si>
    <t>IP-756</t>
  </si>
  <si>
    <t>IP-757</t>
  </si>
  <si>
    <t>IP-758</t>
  </si>
  <si>
    <t>IP-759</t>
  </si>
  <si>
    <t>MINANTAYA  (yolanda) 652</t>
  </si>
  <si>
    <t>IP-760</t>
  </si>
  <si>
    <t>MINANTAYA  (yolanda) 653</t>
  </si>
  <si>
    <t>IP-761</t>
  </si>
  <si>
    <t>IP-762</t>
  </si>
  <si>
    <t>IP-763</t>
  </si>
  <si>
    <t>IP-764</t>
  </si>
  <si>
    <t>IP-765</t>
  </si>
  <si>
    <t>IP-766</t>
  </si>
  <si>
    <t>IP-767</t>
  </si>
  <si>
    <t>IP-768</t>
  </si>
  <si>
    <t>IP-769</t>
  </si>
  <si>
    <t>IP-770</t>
  </si>
  <si>
    <t>Richard Yucra</t>
  </si>
  <si>
    <t>IP-771</t>
  </si>
  <si>
    <t>Adrian Mancilla</t>
  </si>
  <si>
    <t>IP-772</t>
  </si>
  <si>
    <t>IP-773</t>
  </si>
  <si>
    <t>IP-774</t>
  </si>
  <si>
    <t>IP-777</t>
  </si>
  <si>
    <t>IP-778</t>
  </si>
  <si>
    <t>IP-779</t>
  </si>
  <si>
    <t>IP-781</t>
  </si>
  <si>
    <t>Victoria Zuñiga</t>
  </si>
  <si>
    <t>IP-786</t>
  </si>
  <si>
    <t>E-MV-MV-MELCHOR VERA</t>
  </si>
  <si>
    <t>IP-787</t>
  </si>
  <si>
    <t>IP-788</t>
  </si>
  <si>
    <t>IP-789</t>
  </si>
  <si>
    <t>IP-790</t>
  </si>
  <si>
    <t>IP-791</t>
  </si>
  <si>
    <t>IP-792</t>
  </si>
  <si>
    <t>IP-793</t>
  </si>
  <si>
    <t>IP-794</t>
  </si>
  <si>
    <t>IP-795</t>
  </si>
  <si>
    <t>IP-796</t>
  </si>
  <si>
    <t>IP-797</t>
  </si>
  <si>
    <t>IP-798</t>
  </si>
  <si>
    <t>IP-799</t>
  </si>
  <si>
    <t>IP-800</t>
  </si>
  <si>
    <t>IP-802</t>
  </si>
  <si>
    <t>IP-822</t>
  </si>
  <si>
    <t>IP-850</t>
  </si>
  <si>
    <t>IP-851</t>
  </si>
  <si>
    <t>IP-930 (636)</t>
  </si>
  <si>
    <t>IP-603</t>
  </si>
  <si>
    <t>Anderson Noa</t>
  </si>
  <si>
    <t>IP-654</t>
  </si>
  <si>
    <t>IP-662</t>
  </si>
  <si>
    <t>GRUPO EL CAZADOR GOLD</t>
  </si>
  <si>
    <t>Jose Huamani</t>
  </si>
  <si>
    <t>IP-672</t>
  </si>
  <si>
    <t>Franco Llanos</t>
  </si>
  <si>
    <t>IP-681</t>
  </si>
  <si>
    <t>IP-691</t>
  </si>
  <si>
    <t>Pedro Gonzales Martinez</t>
  </si>
  <si>
    <t>IP-693</t>
  </si>
  <si>
    <t>IP-694</t>
  </si>
  <si>
    <t>IP-695</t>
  </si>
  <si>
    <t>IP-702</t>
  </si>
  <si>
    <t>IP-704</t>
  </si>
  <si>
    <t>IP-705</t>
  </si>
  <si>
    <t>IP-706</t>
  </si>
  <si>
    <t>IP-707</t>
  </si>
  <si>
    <t>IP-708</t>
  </si>
  <si>
    <t>IP-709</t>
  </si>
  <si>
    <t>IP-710</t>
  </si>
  <si>
    <t>IP-711</t>
  </si>
  <si>
    <t>IP-712</t>
  </si>
  <si>
    <t>IP-713</t>
  </si>
  <si>
    <t>IP-714</t>
  </si>
  <si>
    <t>IP-715</t>
  </si>
  <si>
    <t>IP-716</t>
  </si>
  <si>
    <t>IP-717</t>
  </si>
  <si>
    <t>IP-718</t>
  </si>
  <si>
    <t>IP-719</t>
  </si>
  <si>
    <t>IP-720</t>
  </si>
  <si>
    <t>Dario (Leoncio) 610</t>
  </si>
  <si>
    <t>IP-721</t>
  </si>
  <si>
    <t>Dario (Leoncio) 611</t>
  </si>
  <si>
    <t>IP-722</t>
  </si>
  <si>
    <t>Dario (Leoncio) 613</t>
  </si>
  <si>
    <t>IP-725</t>
  </si>
  <si>
    <t>Edison Huamani 663</t>
  </si>
  <si>
    <t>IP-751</t>
  </si>
  <si>
    <t>MINANTAYA  (J y M) 649</t>
  </si>
  <si>
    <t>Comienzo de campaña</t>
  </si>
  <si>
    <t>Termino de campaña</t>
  </si>
  <si>
    <t>Costo</t>
  </si>
  <si>
    <t>IP-547</t>
  </si>
  <si>
    <t>Rolando Anaya</t>
  </si>
  <si>
    <t>IP-560</t>
  </si>
  <si>
    <t>Whistermundo</t>
  </si>
  <si>
    <t>IP-561</t>
  </si>
  <si>
    <t>IP-565</t>
  </si>
  <si>
    <t>ZICAMP S.A.C</t>
  </si>
  <si>
    <t>Maxi Carrizales</t>
  </si>
  <si>
    <t>IP-566</t>
  </si>
  <si>
    <t>IP-570</t>
  </si>
  <si>
    <t>Marisol Condori</t>
  </si>
  <si>
    <t>IP-571</t>
  </si>
  <si>
    <t>Zulma Paye</t>
  </si>
  <si>
    <t>IP-580</t>
  </si>
  <si>
    <t>IP-581</t>
  </si>
  <si>
    <t>IP-585</t>
  </si>
  <si>
    <t>Paul Alarcon</t>
  </si>
  <si>
    <t>IP-590</t>
  </si>
  <si>
    <t>IP-591</t>
  </si>
  <si>
    <t>Ermelinda Quispe</t>
  </si>
  <si>
    <t>IP-592</t>
  </si>
  <si>
    <t>IP-593</t>
  </si>
  <si>
    <t>David Medina</t>
  </si>
  <si>
    <t>IP-594</t>
  </si>
  <si>
    <t>Nelly taboada</t>
  </si>
  <si>
    <t>IP-595</t>
  </si>
  <si>
    <t>Edgar Taype</t>
  </si>
  <si>
    <t>IP-596</t>
  </si>
  <si>
    <t>Noe Amachi</t>
  </si>
  <si>
    <t>IP-598</t>
  </si>
  <si>
    <t>IP-599</t>
  </si>
  <si>
    <t>Cesar Alvarez</t>
  </si>
  <si>
    <t>IP-605</t>
  </si>
  <si>
    <t>IP-606</t>
  </si>
  <si>
    <t>EMPRESA MINERA "KHALAF" E.I.R.L.</t>
  </si>
  <si>
    <t>Yuver moreno</t>
  </si>
  <si>
    <t>IP-607</t>
  </si>
  <si>
    <t>IP-608</t>
  </si>
  <si>
    <t>David de la Cruz</t>
  </si>
  <si>
    <t>IP-612</t>
  </si>
  <si>
    <t>IP-614</t>
  </si>
  <si>
    <t>IP-615</t>
  </si>
  <si>
    <t>IP-616</t>
  </si>
  <si>
    <t>IP-617</t>
  </si>
  <si>
    <t>Jaime mamani</t>
  </si>
  <si>
    <t>IP-619</t>
  </si>
  <si>
    <t>IP-620</t>
  </si>
  <si>
    <t>Jose Necochea</t>
  </si>
  <si>
    <t>IP-622</t>
  </si>
  <si>
    <t>Cristobal Llacsa</t>
  </si>
  <si>
    <t>IP-623</t>
  </si>
  <si>
    <t>IP-630</t>
  </si>
  <si>
    <t>IP-631</t>
  </si>
  <si>
    <t>IP-633</t>
  </si>
  <si>
    <t>IP-635</t>
  </si>
  <si>
    <t>IP-637</t>
  </si>
  <si>
    <t>Ronal Alvaro</t>
  </si>
  <si>
    <t>IP-638</t>
  </si>
  <si>
    <t>IP-639</t>
  </si>
  <si>
    <t>Zenaida Aroni</t>
  </si>
  <si>
    <t>IP-640</t>
  </si>
  <si>
    <t>IP-641</t>
  </si>
  <si>
    <t>IP-642</t>
  </si>
  <si>
    <t>IP-643</t>
  </si>
  <si>
    <t>IP-644</t>
  </si>
  <si>
    <t>IP-645</t>
  </si>
  <si>
    <t>IP-646</t>
  </si>
  <si>
    <t>IP-647</t>
  </si>
  <si>
    <t>IP-648</t>
  </si>
  <si>
    <t>IP-655</t>
  </si>
  <si>
    <t>IP-656</t>
  </si>
  <si>
    <t xml:space="preserve">LOPEZ ROCCA SANTOS </t>
  </si>
  <si>
    <t>IP-657</t>
  </si>
  <si>
    <t>IP-658</t>
  </si>
  <si>
    <t>IP-659</t>
  </si>
  <si>
    <t>IP-667</t>
  </si>
  <si>
    <t>IP-668</t>
  </si>
  <si>
    <t>IP-669</t>
  </si>
  <si>
    <t>IP-670</t>
  </si>
  <si>
    <t>IP-673</t>
  </si>
  <si>
    <t>IP-674</t>
  </si>
  <si>
    <t>IP-675</t>
  </si>
  <si>
    <t>Rosalia Brado Zuñiga</t>
  </si>
  <si>
    <t>IP-676</t>
  </si>
  <si>
    <t>Yudith Mamani Brado</t>
  </si>
  <si>
    <t>IP-677</t>
  </si>
  <si>
    <t>Lucio Mamani</t>
  </si>
  <si>
    <t>IP-678</t>
  </si>
  <si>
    <t>Wilder Lema</t>
  </si>
  <si>
    <t>IP-679</t>
  </si>
  <si>
    <t>IP-680</t>
  </si>
  <si>
    <t>IP-682</t>
  </si>
  <si>
    <t>IP-683</t>
  </si>
  <si>
    <t>IP-684</t>
  </si>
  <si>
    <t>Elida Mullisaca</t>
  </si>
  <si>
    <t>IP-685</t>
  </si>
  <si>
    <t>IP-686</t>
  </si>
  <si>
    <t>Rolando Ramos</t>
  </si>
  <si>
    <t>IP-687</t>
  </si>
  <si>
    <t>IP-688</t>
  </si>
  <si>
    <t>IP-689</t>
  </si>
  <si>
    <t>IP-690</t>
  </si>
  <si>
    <t>IP-723</t>
  </si>
  <si>
    <t>Jorge Flores 660</t>
  </si>
  <si>
    <t>IP-731</t>
  </si>
  <si>
    <t>IP-732</t>
  </si>
  <si>
    <t>IP-733</t>
  </si>
  <si>
    <t>IP-734</t>
  </si>
  <si>
    <t>IP-735</t>
  </si>
  <si>
    <t>IP-736</t>
  </si>
  <si>
    <t>IP-479</t>
  </si>
  <si>
    <t>JAFET ANTONIO MAMANI HEREDIA</t>
  </si>
  <si>
    <t>Armando</t>
  </si>
  <si>
    <t>IP-480</t>
  </si>
  <si>
    <t>IP-545</t>
  </si>
  <si>
    <t>Mauro Condori</t>
  </si>
  <si>
    <t>IP-546</t>
  </si>
  <si>
    <t>Alexander Condori</t>
  </si>
  <si>
    <t>IP-568</t>
  </si>
  <si>
    <t>Jimena Portugal</t>
  </si>
  <si>
    <t>IP-569</t>
  </si>
  <si>
    <t>Fredy Quilla</t>
  </si>
  <si>
    <t>IP-572</t>
  </si>
  <si>
    <t>Gladis Urbiola</t>
  </si>
  <si>
    <t>IP-573</t>
  </si>
  <si>
    <t>Ofelia Urbiola</t>
  </si>
  <si>
    <t>IP-574</t>
  </si>
  <si>
    <t>Clena Carrizales</t>
  </si>
  <si>
    <t>IP-575</t>
  </si>
  <si>
    <t>MINERA E INVERSIONES JAH E.I.R.L.</t>
  </si>
  <si>
    <t>IP-576</t>
  </si>
  <si>
    <t>IP-577</t>
  </si>
  <si>
    <t>Ubaldo Quiroz</t>
  </si>
  <si>
    <t>IP-578</t>
  </si>
  <si>
    <t>IP-579</t>
  </si>
  <si>
    <t>Elisban Ayamamani</t>
  </si>
  <si>
    <t>IP-582</t>
  </si>
  <si>
    <t>IP-583</t>
  </si>
  <si>
    <t>Luisa Mancilla (alfonso surco)</t>
  </si>
  <si>
    <t>IP-584</t>
  </si>
  <si>
    <t>Felicitas Mancilla (alfonso surco)</t>
  </si>
  <si>
    <t>IP-586</t>
  </si>
  <si>
    <t>Jorge Luis Machaca</t>
  </si>
  <si>
    <t>IP-587</t>
  </si>
  <si>
    <t>Fredy Bizarro</t>
  </si>
  <si>
    <t>IP-588</t>
  </si>
  <si>
    <t>John Mancilla</t>
  </si>
  <si>
    <t>IP-589</t>
  </si>
  <si>
    <t>IP-597</t>
  </si>
  <si>
    <t>CRUZ DE LA CRUZ DARWIN</t>
  </si>
  <si>
    <t>Marcos Mayorga Ananpa</t>
  </si>
  <si>
    <t>IP-600</t>
  </si>
  <si>
    <t>IP-601</t>
  </si>
  <si>
    <t>IP-602</t>
  </si>
  <si>
    <t>IP-604</t>
  </si>
  <si>
    <t>IP-609</t>
  </si>
  <si>
    <t>IP-618</t>
  </si>
  <si>
    <t>Nancy Rodriguez (celso)</t>
  </si>
  <si>
    <t>IP-621</t>
  </si>
  <si>
    <t>Vicente Flores</t>
  </si>
  <si>
    <t>IP-624</t>
  </si>
  <si>
    <t>IP-625</t>
  </si>
  <si>
    <t>IP-626</t>
  </si>
  <si>
    <t>IP-627</t>
  </si>
  <si>
    <t>IP-628</t>
  </si>
  <si>
    <t>IP-629</t>
  </si>
  <si>
    <t>IP-632</t>
  </si>
  <si>
    <t>IP-634</t>
  </si>
  <si>
    <t>IP-462</t>
  </si>
  <si>
    <t>Emilio Chipana</t>
  </si>
  <si>
    <t>IP-463</t>
  </si>
  <si>
    <t>IP-469</t>
  </si>
  <si>
    <t>IP-473</t>
  </si>
  <si>
    <t>VISTA GOLD S.A.C</t>
  </si>
  <si>
    <t>GC-S</t>
  </si>
  <si>
    <t>IP-474</t>
  </si>
  <si>
    <t>IP-475</t>
  </si>
  <si>
    <t>IP-492</t>
  </si>
  <si>
    <t>IP-495</t>
  </si>
  <si>
    <t>Rony Lima</t>
  </si>
  <si>
    <t>IP-496</t>
  </si>
  <si>
    <t>IP-497</t>
  </si>
  <si>
    <t>IP-498</t>
  </si>
  <si>
    <t>IP-517</t>
  </si>
  <si>
    <t>Jaime Portugal</t>
  </si>
  <si>
    <t>IP-527</t>
  </si>
  <si>
    <t>Wisther</t>
  </si>
  <si>
    <t>IP-528</t>
  </si>
  <si>
    <t>Morayma</t>
  </si>
  <si>
    <t>IP-529</t>
  </si>
  <si>
    <t>IP-530</t>
  </si>
  <si>
    <t>IP-531</t>
  </si>
  <si>
    <t>IP-534</t>
  </si>
  <si>
    <t>Edison Huamani (capaya)</t>
  </si>
  <si>
    <t>IP-535</t>
  </si>
  <si>
    <t>Jorge Flores (capaya)</t>
  </si>
  <si>
    <t>IP-536</t>
  </si>
  <si>
    <t>Juan Chuquihuamani (capaya)</t>
  </si>
  <si>
    <t>IP-539</t>
  </si>
  <si>
    <t>Alfonso Surco</t>
  </si>
  <si>
    <t>IP-540</t>
  </si>
  <si>
    <t>IP-541</t>
  </si>
  <si>
    <t>Julio Huaman</t>
  </si>
  <si>
    <t>IP-542</t>
  </si>
  <si>
    <t>IP-543</t>
  </si>
  <si>
    <t>Cecilia Mamani Lanza</t>
  </si>
  <si>
    <t>IP-548</t>
  </si>
  <si>
    <t>Aquilino Mancilla</t>
  </si>
  <si>
    <t>IP-549</t>
  </si>
  <si>
    <t>IP-550</t>
  </si>
  <si>
    <t>Abdon Zuñiga</t>
  </si>
  <si>
    <t>IP-551</t>
  </si>
  <si>
    <t>IP-552</t>
  </si>
  <si>
    <t>Yulma Carrizales</t>
  </si>
  <si>
    <t>IP-553</t>
  </si>
  <si>
    <t>IP-554</t>
  </si>
  <si>
    <t>IP-555</t>
  </si>
  <si>
    <t>IP-556</t>
  </si>
  <si>
    <t>IP-557</t>
  </si>
  <si>
    <t>IP-558</t>
  </si>
  <si>
    <t>IP-562</t>
  </si>
  <si>
    <t>Ruben mamani Lima</t>
  </si>
  <si>
    <t>IP-563</t>
  </si>
  <si>
    <t>Mario Carrizales</t>
  </si>
  <si>
    <t>IP-564</t>
  </si>
  <si>
    <t>IP-567</t>
  </si>
  <si>
    <t>Fredy Carrizales</t>
  </si>
  <si>
    <t>IP-451</t>
  </si>
  <si>
    <t>Ccori Llancai</t>
  </si>
  <si>
    <t>IP-452</t>
  </si>
  <si>
    <t>IP-470</t>
  </si>
  <si>
    <t>IP-471</t>
  </si>
  <si>
    <t>IP-472</t>
  </si>
  <si>
    <t>IP-477</t>
  </si>
  <si>
    <t>Lucy Cruz</t>
  </si>
  <si>
    <t>IP-478</t>
  </si>
  <si>
    <t>John Palomino</t>
  </si>
  <si>
    <t>IP-482</t>
  </si>
  <si>
    <t>Feli Lipa</t>
  </si>
  <si>
    <t>IP-483</t>
  </si>
  <si>
    <t>IP-484</t>
  </si>
  <si>
    <t>David Tamayo</t>
  </si>
  <si>
    <t>IP-490</t>
  </si>
  <si>
    <t>IP-491</t>
  </si>
  <si>
    <t>IP-493</t>
  </si>
  <si>
    <t>IP-494</t>
  </si>
  <si>
    <t>IP-499</t>
  </si>
  <si>
    <t>Edgar Carrizales</t>
  </si>
  <si>
    <t>IP-500</t>
  </si>
  <si>
    <t>IP-501</t>
  </si>
  <si>
    <t>IP-502</t>
  </si>
  <si>
    <t>IP-503</t>
  </si>
  <si>
    <t>IP-504</t>
  </si>
  <si>
    <t>IP-505</t>
  </si>
  <si>
    <t>IP-506</t>
  </si>
  <si>
    <t>IP-507</t>
  </si>
  <si>
    <t>IP-508</t>
  </si>
  <si>
    <t>DARIO MILARIO SANCHEZ BARAUNA</t>
  </si>
  <si>
    <t>Dario (Leoncio)</t>
  </si>
  <si>
    <t>IP-509</t>
  </si>
  <si>
    <t>IP-510</t>
  </si>
  <si>
    <t>IP-511</t>
  </si>
  <si>
    <t>IP-512</t>
  </si>
  <si>
    <t>IP-513</t>
  </si>
  <si>
    <t>Marcos Taipe (leoncio)</t>
  </si>
  <si>
    <t>IP-514</t>
  </si>
  <si>
    <t>IP-515</t>
  </si>
  <si>
    <t>Cecilia</t>
  </si>
  <si>
    <t>IP-516</t>
  </si>
  <si>
    <t>IP-518</t>
  </si>
  <si>
    <t>IP-519</t>
  </si>
  <si>
    <t>IP-520</t>
  </si>
  <si>
    <t>IP-521</t>
  </si>
  <si>
    <t>IP-522</t>
  </si>
  <si>
    <t>Sandra Lopez</t>
  </si>
  <si>
    <t>IP-523</t>
  </si>
  <si>
    <t>IP-524</t>
  </si>
  <si>
    <t>IP-525</t>
  </si>
  <si>
    <t>IP-526</t>
  </si>
  <si>
    <t>Orlando Anaya</t>
  </si>
  <si>
    <t>IP-532</t>
  </si>
  <si>
    <t>IP-533</t>
  </si>
  <si>
    <t>Yolanda</t>
  </si>
  <si>
    <t>IP-537</t>
  </si>
  <si>
    <t>Donato Ticona Ortiz</t>
  </si>
  <si>
    <t>IP-538</t>
  </si>
  <si>
    <t>IP-544</t>
  </si>
  <si>
    <t>Humberto Mamani</t>
  </si>
  <si>
    <t>Au Real x Rec</t>
  </si>
  <si>
    <t>RUC / DNI</t>
  </si>
  <si>
    <t>Au gramos</t>
  </si>
  <si>
    <t>IP-443</t>
  </si>
  <si>
    <t>Carlos crispin Ticona</t>
  </si>
  <si>
    <t>IP-444</t>
  </si>
  <si>
    <t>IP-447</t>
  </si>
  <si>
    <t>IP-450</t>
  </si>
  <si>
    <t>Julio Chojari</t>
  </si>
  <si>
    <t>IP-453</t>
  </si>
  <si>
    <t>Belizario</t>
  </si>
  <si>
    <t>IP-454</t>
  </si>
  <si>
    <t>IP-455</t>
  </si>
  <si>
    <t>Ojaralla</t>
  </si>
  <si>
    <t>IP-456</t>
  </si>
  <si>
    <t>IP-457</t>
  </si>
  <si>
    <t>IP-458</t>
  </si>
  <si>
    <t>IP-459</t>
  </si>
  <si>
    <t>IP-460</t>
  </si>
  <si>
    <t>IP-461</t>
  </si>
  <si>
    <t>IP-464</t>
  </si>
  <si>
    <t>IP-465</t>
  </si>
  <si>
    <t>IP-466</t>
  </si>
  <si>
    <t>IP-467</t>
  </si>
  <si>
    <t>IP-468</t>
  </si>
  <si>
    <t>IP-476</t>
  </si>
  <si>
    <t>IP-481</t>
  </si>
  <si>
    <t>Marco Taipe</t>
  </si>
  <si>
    <t>IP-485</t>
  </si>
  <si>
    <t>IP-486</t>
  </si>
  <si>
    <t>IP-487</t>
  </si>
  <si>
    <t>Jorge Paricahua</t>
  </si>
  <si>
    <t>IP-488</t>
  </si>
  <si>
    <t>IP-489</t>
  </si>
  <si>
    <t>Profit Avg</t>
  </si>
  <si>
    <t>Au Real despues de REC</t>
  </si>
  <si>
    <t>Inter final</t>
  </si>
  <si>
    <t>IP-292-01</t>
  </si>
  <si>
    <t>YANETH Pargua Martinez</t>
  </si>
  <si>
    <t>IP-292-02</t>
  </si>
  <si>
    <t>IP-363</t>
  </si>
  <si>
    <t>IP-364</t>
  </si>
  <si>
    <t>IP-371</t>
  </si>
  <si>
    <t>Edwin Sucasaire Condori</t>
  </si>
  <si>
    <t>IP-372</t>
  </si>
  <si>
    <t>IP-373</t>
  </si>
  <si>
    <t>Yola Pampamallco Mamani</t>
  </si>
  <si>
    <t>IP-374</t>
  </si>
  <si>
    <t>Jaime Mamani</t>
  </si>
  <si>
    <t>IP-375</t>
  </si>
  <si>
    <t>IP-377</t>
  </si>
  <si>
    <t>IP-378</t>
  </si>
  <si>
    <t>IP-380</t>
  </si>
  <si>
    <t>IP-387</t>
  </si>
  <si>
    <t>Quintin Alarcon</t>
  </si>
  <si>
    <t>IP-388</t>
  </si>
  <si>
    <t>IP-389</t>
  </si>
  <si>
    <t>IP-390</t>
  </si>
  <si>
    <t>IP-391</t>
  </si>
  <si>
    <t>IP-392</t>
  </si>
  <si>
    <t>IP-393</t>
  </si>
  <si>
    <t>Cesar Romero Vega (Capaya)</t>
  </si>
  <si>
    <t>IP-394</t>
  </si>
  <si>
    <t>Frank Li Enciso (capaya)</t>
  </si>
  <si>
    <t>IP-395</t>
  </si>
  <si>
    <t>Roberto Carlos Tamayo (capaya)</t>
  </si>
  <si>
    <t>IP-396</t>
  </si>
  <si>
    <t>HuanuHuanu</t>
  </si>
  <si>
    <t>IP-397</t>
  </si>
  <si>
    <t>Juan Mancilla</t>
  </si>
  <si>
    <t>IP-398</t>
  </si>
  <si>
    <t>IP-399</t>
  </si>
  <si>
    <t>IP-400</t>
  </si>
  <si>
    <t>IP-401</t>
  </si>
  <si>
    <t>Crispin Mancilla</t>
  </si>
  <si>
    <t>IP-402</t>
  </si>
  <si>
    <t>IP-403</t>
  </si>
  <si>
    <t>IP-404</t>
  </si>
  <si>
    <t>IP-405</t>
  </si>
  <si>
    <t>IP-406</t>
  </si>
  <si>
    <t>IP-407</t>
  </si>
  <si>
    <t>IP-408</t>
  </si>
  <si>
    <t>IP-409</t>
  </si>
  <si>
    <t>IP-410</t>
  </si>
  <si>
    <t>IP-411</t>
  </si>
  <si>
    <t>IP-412</t>
  </si>
  <si>
    <t>IP-413</t>
  </si>
  <si>
    <t>Beltran Ticona</t>
  </si>
  <si>
    <t>IP-414</t>
  </si>
  <si>
    <t>IP-415</t>
  </si>
  <si>
    <t>Zenon Demetrio Ticona Mamani</t>
  </si>
  <si>
    <t>IP-416</t>
  </si>
  <si>
    <t>IP-417</t>
  </si>
  <si>
    <t>Henry Gemio</t>
  </si>
  <si>
    <t>IP-418</t>
  </si>
  <si>
    <t>Lucy Gemio</t>
  </si>
  <si>
    <t>IP-419</t>
  </si>
  <si>
    <t>Juan Jose</t>
  </si>
  <si>
    <t>IP-420</t>
  </si>
  <si>
    <t>Juana Lizbeth Molina</t>
  </si>
  <si>
    <t>IP-421</t>
  </si>
  <si>
    <t>Teofila Mancilla</t>
  </si>
  <si>
    <t>IP-422</t>
  </si>
  <si>
    <t>Franco</t>
  </si>
  <si>
    <t>IP-423</t>
  </si>
  <si>
    <t>IP-424</t>
  </si>
  <si>
    <t>IP-425</t>
  </si>
  <si>
    <t>IP-426</t>
  </si>
  <si>
    <t>Yoni</t>
  </si>
  <si>
    <t>IP-427</t>
  </si>
  <si>
    <t>IP-428</t>
  </si>
  <si>
    <t>IP-429</t>
  </si>
  <si>
    <t>IP-430</t>
  </si>
  <si>
    <t>IP-431</t>
  </si>
  <si>
    <t>Vidal Linares</t>
  </si>
  <si>
    <t>IP-432</t>
  </si>
  <si>
    <t>IP-433</t>
  </si>
  <si>
    <t>IP-434</t>
  </si>
  <si>
    <t>IP-435</t>
  </si>
  <si>
    <t>IP-436</t>
  </si>
  <si>
    <t>IP-437</t>
  </si>
  <si>
    <t>IP-438</t>
  </si>
  <si>
    <t>IP-439</t>
  </si>
  <si>
    <t>IP-440</t>
  </si>
  <si>
    <t>IP-441</t>
  </si>
  <si>
    <t>IP-442</t>
  </si>
  <si>
    <t>IP-445</t>
  </si>
  <si>
    <t>Juan Mamani Gemio</t>
  </si>
  <si>
    <t>IP-446</t>
  </si>
  <si>
    <t>IP-448</t>
  </si>
  <si>
    <t>Nancy Rodriguez (edgar)</t>
  </si>
  <si>
    <t>IP-449</t>
  </si>
  <si>
    <t>DNI</t>
  </si>
  <si>
    <t>IP-330</t>
  </si>
  <si>
    <t>NUEVA ALICIA Nº 1</t>
  </si>
  <si>
    <t>IP-331</t>
  </si>
  <si>
    <t>Ley tecmin nos complico el promedio</t>
  </si>
  <si>
    <t>IP-332</t>
  </si>
  <si>
    <t>IP-333</t>
  </si>
  <si>
    <t>IP-334</t>
  </si>
  <si>
    <t>IP-335</t>
  </si>
  <si>
    <t>IP-336</t>
  </si>
  <si>
    <t>IP-337</t>
  </si>
  <si>
    <t>IP-338</t>
  </si>
  <si>
    <t>IP-339</t>
  </si>
  <si>
    <t>IP-340</t>
  </si>
  <si>
    <t>Fransico Sucasaca</t>
  </si>
  <si>
    <t>IP-341</t>
  </si>
  <si>
    <t>Hilaria Palle</t>
  </si>
  <si>
    <t>IP-342</t>
  </si>
  <si>
    <t>Fransico Palle</t>
  </si>
  <si>
    <t>IP-343</t>
  </si>
  <si>
    <t xml:space="preserve">Jose Carlos Marron </t>
  </si>
  <si>
    <t>IP-344</t>
  </si>
  <si>
    <t>IP-345</t>
  </si>
  <si>
    <t>IP-346</t>
  </si>
  <si>
    <t>OLAM COOPPER S.A.C.</t>
  </si>
  <si>
    <t>IP-347</t>
  </si>
  <si>
    <t>Eduardo Gonzales</t>
  </si>
  <si>
    <t>baja ley de nuestro chofer en chalhuanca</t>
  </si>
  <si>
    <t>IP-348</t>
  </si>
  <si>
    <t>IP-349</t>
  </si>
  <si>
    <t>IP-350</t>
  </si>
  <si>
    <t>IP-351</t>
  </si>
  <si>
    <t>IP-352</t>
  </si>
  <si>
    <t>Ing Agustin</t>
  </si>
  <si>
    <t>IP-353</t>
  </si>
  <si>
    <t>IP-354</t>
  </si>
  <si>
    <t>IP-355</t>
  </si>
  <si>
    <t>IP-356</t>
  </si>
  <si>
    <t>IP-357</t>
  </si>
  <si>
    <t>IP-358</t>
  </si>
  <si>
    <t>IP-359</t>
  </si>
  <si>
    <t>Marcial Borda</t>
  </si>
  <si>
    <t>IP-360</t>
  </si>
  <si>
    <t>Ley muy diferente</t>
  </si>
  <si>
    <t>IP-361</t>
  </si>
  <si>
    <t>IP-362</t>
  </si>
  <si>
    <t>IP-365</t>
  </si>
  <si>
    <t>Dario /Leoncio</t>
  </si>
  <si>
    <t>IP-366</t>
  </si>
  <si>
    <t>IP-367</t>
  </si>
  <si>
    <t>IP-368</t>
  </si>
  <si>
    <t>IP-369</t>
  </si>
  <si>
    <t>Isaac Quispe</t>
  </si>
  <si>
    <t>IP-370</t>
  </si>
  <si>
    <t>IP-376</t>
  </si>
  <si>
    <t>IP-379</t>
  </si>
  <si>
    <t>Moises Mamani Laura</t>
  </si>
  <si>
    <t>IP-381</t>
  </si>
  <si>
    <t>IP-382</t>
  </si>
  <si>
    <t>IP-383</t>
  </si>
  <si>
    <t>IP-384</t>
  </si>
  <si>
    <t>IP-385</t>
  </si>
  <si>
    <t>IP-386</t>
  </si>
  <si>
    <t>IP-271</t>
  </si>
  <si>
    <t>Carlos Crispin Ticona</t>
  </si>
  <si>
    <t>IP-272</t>
  </si>
  <si>
    <t>IP-273</t>
  </si>
  <si>
    <t>IP-274</t>
  </si>
  <si>
    <t>IP-275</t>
  </si>
  <si>
    <t>IP-276</t>
  </si>
  <si>
    <t>IP-277</t>
  </si>
  <si>
    <t>IP-278</t>
  </si>
  <si>
    <t>Bequer Urviola</t>
  </si>
  <si>
    <t>La primera ley que salio de analisis salio mas alta… y le dimos esa</t>
  </si>
  <si>
    <t>IP-279</t>
  </si>
  <si>
    <t>IP-280</t>
  </si>
  <si>
    <t>IP-281</t>
  </si>
  <si>
    <t>IP-282</t>
  </si>
  <si>
    <t>RONALD GARIBAY ESCUDERO</t>
  </si>
  <si>
    <t>IP-283</t>
  </si>
  <si>
    <t>IP-284</t>
  </si>
  <si>
    <t>IP-285</t>
  </si>
  <si>
    <t>IP-286</t>
  </si>
  <si>
    <t>IP-287</t>
  </si>
  <si>
    <t>IP-288</t>
  </si>
  <si>
    <t>IP-289</t>
  </si>
  <si>
    <t>IP-290</t>
  </si>
  <si>
    <t>IP-291</t>
  </si>
  <si>
    <t>Abdon Zuñiga (Juvenal)</t>
  </si>
  <si>
    <t>IP-293</t>
  </si>
  <si>
    <t>IP-294</t>
  </si>
  <si>
    <t>IP-295</t>
  </si>
  <si>
    <t>IP-296</t>
  </si>
  <si>
    <t>Richard Colque</t>
  </si>
  <si>
    <t>IP-297</t>
  </si>
  <si>
    <t>IP-298</t>
  </si>
  <si>
    <t>IP-299</t>
  </si>
  <si>
    <t>IP-300</t>
  </si>
  <si>
    <t>SANCHEZ BARAUNA DARIO MILARIO</t>
  </si>
  <si>
    <t>Dario</t>
  </si>
  <si>
    <t>IP-301</t>
  </si>
  <si>
    <t>IP-302</t>
  </si>
  <si>
    <t>IP-303</t>
  </si>
  <si>
    <t>IP-304</t>
  </si>
  <si>
    <t>IP-305</t>
  </si>
  <si>
    <t>Ley de parte muy alta 95 milesimas</t>
  </si>
  <si>
    <t>IP-306</t>
  </si>
  <si>
    <t>Relave</t>
  </si>
  <si>
    <t>IP-307</t>
  </si>
  <si>
    <t>IP-308</t>
  </si>
  <si>
    <t>Abdon Zuñiga  (Juvenal)</t>
  </si>
  <si>
    <t>IP-309</t>
  </si>
  <si>
    <t>Timoteo Mamani</t>
  </si>
  <si>
    <t>IP-310</t>
  </si>
  <si>
    <t>IP-311</t>
  </si>
  <si>
    <t>Rolando</t>
  </si>
  <si>
    <t>IP-312</t>
  </si>
  <si>
    <t>Abdon Zuñiga (Abdon)</t>
  </si>
  <si>
    <t>IP-313</t>
  </si>
  <si>
    <t>Abdon Zuñiga  (Maicol)</t>
  </si>
  <si>
    <t>IP-314</t>
  </si>
  <si>
    <t>Walter y Denis</t>
  </si>
  <si>
    <t>Mineral</t>
  </si>
  <si>
    <t>IP-315</t>
  </si>
  <si>
    <t>IP-316</t>
  </si>
  <si>
    <t>IP-317</t>
  </si>
  <si>
    <t>Carmen Mamani</t>
  </si>
  <si>
    <t>IP-318</t>
  </si>
  <si>
    <t>IP-319</t>
  </si>
  <si>
    <t>IP-320</t>
  </si>
  <si>
    <t>Jose Tipo</t>
  </si>
  <si>
    <t>IP-321</t>
  </si>
  <si>
    <t>IP-322</t>
  </si>
  <si>
    <t>IP-323</t>
  </si>
  <si>
    <t>Lucas Roque Cruz</t>
  </si>
  <si>
    <t>IP-324</t>
  </si>
  <si>
    <t>Comunidad Ojaralla</t>
  </si>
  <si>
    <t>Leyes con alto oro grueso LEY DE MINERO DE PEPAS</t>
  </si>
  <si>
    <t>IP-325</t>
  </si>
  <si>
    <t>IP-326</t>
  </si>
  <si>
    <t>Jose Garay</t>
  </si>
  <si>
    <t>IP-327</t>
  </si>
  <si>
    <t>QUIPE QUISPE  CRISTIANLEE FAKIR</t>
  </si>
  <si>
    <t>Victor Huamani</t>
  </si>
  <si>
    <t>IP-328</t>
  </si>
  <si>
    <t>Ley de planta dio dos veces por encima de 0.6.. Y una a0.40.. Eso baja el promedio</t>
  </si>
  <si>
    <t>IP-329</t>
  </si>
  <si>
    <t>Martin Chapla</t>
  </si>
  <si>
    <t>Contribuye al blend con 90 dolares de gasto de acopio y NO TIENE</t>
  </si>
  <si>
    <t>IP-220</t>
  </si>
  <si>
    <t>IP-223</t>
  </si>
  <si>
    <t>IP-231</t>
  </si>
  <si>
    <t>IP-232</t>
  </si>
  <si>
    <t>IP-233</t>
  </si>
  <si>
    <t>IP-234</t>
  </si>
  <si>
    <t>IP-235</t>
  </si>
  <si>
    <t>IP-238</t>
  </si>
  <si>
    <t>Eusebio (Quintin) Alarcon</t>
  </si>
  <si>
    <t>IP-239</t>
  </si>
  <si>
    <t>IP-240</t>
  </si>
  <si>
    <t>IP-241</t>
  </si>
  <si>
    <t>Alex Ticona ( Gerald Mamani)</t>
  </si>
  <si>
    <t>IP-242</t>
  </si>
  <si>
    <t>IP-243</t>
  </si>
  <si>
    <t>IP-244</t>
  </si>
  <si>
    <t>IP-245</t>
  </si>
  <si>
    <t>IP-246</t>
  </si>
  <si>
    <t>Reymundo Mamani</t>
  </si>
  <si>
    <t>IP-247</t>
  </si>
  <si>
    <t>IP-248</t>
  </si>
  <si>
    <t>Efrain Yelsin Ticona</t>
  </si>
  <si>
    <t>IP-249</t>
  </si>
  <si>
    <t>Promediando leyes perdimos</t>
  </si>
  <si>
    <t>IP-250</t>
  </si>
  <si>
    <t>Ubaldo Ortiz</t>
  </si>
  <si>
    <t>IP-251</t>
  </si>
  <si>
    <t>Santos Mancilla Ortiz</t>
  </si>
  <si>
    <t>IP-252</t>
  </si>
  <si>
    <t>Reynaldo Molina</t>
  </si>
  <si>
    <t>IP-253</t>
  </si>
  <si>
    <t>BORDA PILCO MANUEL tintai</t>
  </si>
  <si>
    <t>IP-254</t>
  </si>
  <si>
    <t>IP-255</t>
  </si>
  <si>
    <t>IP-256</t>
  </si>
  <si>
    <t>JUVENAL TICONA ZUÑIGA</t>
  </si>
  <si>
    <t>IP-257</t>
  </si>
  <si>
    <t>IP-258</t>
  </si>
  <si>
    <t>WALTER-RINCONADA</t>
  </si>
  <si>
    <t>IP-259</t>
  </si>
  <si>
    <t>Julian</t>
  </si>
  <si>
    <t>IP-260</t>
  </si>
  <si>
    <t>IP-261</t>
  </si>
  <si>
    <t>IP-262</t>
  </si>
  <si>
    <t>IP-263</t>
  </si>
  <si>
    <t>Ronald</t>
  </si>
  <si>
    <t>IP-264</t>
  </si>
  <si>
    <t>IP-265</t>
  </si>
  <si>
    <t>MINERA RIO PIZON METAL S.C.R.L.</t>
  </si>
  <si>
    <t>Felipe Valderrama</t>
  </si>
  <si>
    <t>IP-266</t>
  </si>
  <si>
    <t>IP-267</t>
  </si>
  <si>
    <t>IP-268</t>
  </si>
  <si>
    <t>IP-269</t>
  </si>
  <si>
    <t>IP-270</t>
  </si>
  <si>
    <t>IP-162</t>
  </si>
  <si>
    <t>UNTUCA</t>
  </si>
  <si>
    <t>Froilan Ticona</t>
  </si>
  <si>
    <t>IP-163</t>
  </si>
  <si>
    <t>IP-164</t>
  </si>
  <si>
    <t>Jesus Urviola</t>
  </si>
  <si>
    <t>IP-165</t>
  </si>
  <si>
    <t>IP-166</t>
  </si>
  <si>
    <t>IP-167</t>
  </si>
  <si>
    <t>JAFET MAMANI HEREDIA</t>
  </si>
  <si>
    <t>1) Belizario, presiono con paraiso terminos de compra 2) recuperaciones en planta</t>
  </si>
  <si>
    <t>IP-168</t>
  </si>
  <si>
    <t>recuperaciones planta 85% apurimac</t>
  </si>
  <si>
    <t>IP-169</t>
  </si>
  <si>
    <t>IP-170</t>
  </si>
  <si>
    <t>IP-171</t>
  </si>
  <si>
    <t>IP-172</t>
  </si>
  <si>
    <t>APURIMAC</t>
  </si>
  <si>
    <t>IP-173</t>
  </si>
  <si>
    <t>IP-174</t>
  </si>
  <si>
    <t>Problemas de ley… primera muestra diferencia muy grande, segunda muestra acerco… contra la ley proveedor primer muestreo</t>
  </si>
  <si>
    <t>IP-175</t>
  </si>
  <si>
    <t>Gerardo Condori (Jesus)</t>
  </si>
  <si>
    <t>RELAVE</t>
  </si>
  <si>
    <t>IP-176</t>
  </si>
  <si>
    <t>Ofelia Mamani</t>
  </si>
  <si>
    <t>Recuperacion con problemas, reportado a nelvin, aprobado por luis</t>
  </si>
  <si>
    <t>IP-177</t>
  </si>
  <si>
    <t>Fabian Ortiz</t>
  </si>
  <si>
    <t>IP-178</t>
  </si>
  <si>
    <t>Eulalia  Lima Ticona</t>
  </si>
  <si>
    <t>IP-179</t>
  </si>
  <si>
    <t>Jose Sucasaca</t>
  </si>
  <si>
    <t>IP-180</t>
  </si>
  <si>
    <t>Percy Gemio</t>
  </si>
  <si>
    <t>Remuestreo de noche en crudo bajo la ley despues</t>
  </si>
  <si>
    <t>IP-181</t>
  </si>
  <si>
    <t>IP-182</t>
  </si>
  <si>
    <t>Nestor Paco</t>
  </si>
  <si>
    <t>Recuperacion 77%, siguen los problemas en planta, liquide con historico aprobado por luis felipe</t>
  </si>
  <si>
    <t>IP-183</t>
  </si>
  <si>
    <t>IP-184</t>
  </si>
  <si>
    <t>CLAUDIO GUTIERREZ</t>
  </si>
  <si>
    <t>Apurimac, recuperaciones de 88%</t>
  </si>
  <si>
    <t>IP-185</t>
  </si>
  <si>
    <t>COMUNIDAD OJARALLA</t>
  </si>
  <si>
    <t>IP-186</t>
  </si>
  <si>
    <t>IP-187</t>
  </si>
  <si>
    <t>IP-188</t>
  </si>
  <si>
    <t>IP-189</t>
  </si>
  <si>
    <t>IP-190</t>
  </si>
  <si>
    <t>IP-191</t>
  </si>
  <si>
    <t>Nancy Rodriguez</t>
  </si>
  <si>
    <t>IP-192</t>
  </si>
  <si>
    <t>IP-193</t>
  </si>
  <si>
    <t>Geronimo Chipana</t>
  </si>
  <si>
    <t>IP-194</t>
  </si>
  <si>
    <t>IP-195</t>
  </si>
  <si>
    <t>IP-196</t>
  </si>
  <si>
    <t>Comunidad Huarquiza</t>
  </si>
  <si>
    <t>IP-197</t>
  </si>
  <si>
    <t>IP-198</t>
  </si>
  <si>
    <t>IP-199</t>
  </si>
  <si>
    <t>Se remuestreo este lote, y la ley del remuestreo no fue colocada en pcp … solo,o se dijo que esta confirmada</t>
  </si>
  <si>
    <t>IP-200</t>
  </si>
  <si>
    <t>IP-201</t>
  </si>
  <si>
    <t>IP-202</t>
  </si>
  <si>
    <t>IP-203</t>
  </si>
  <si>
    <t>IP-204</t>
  </si>
  <si>
    <t>IP-205</t>
  </si>
  <si>
    <t>IP-206</t>
  </si>
  <si>
    <t>IP-207</t>
  </si>
  <si>
    <t>Ronald William Garibay</t>
  </si>
  <si>
    <t>IP-208</t>
  </si>
  <si>
    <t>IP-209</t>
  </si>
  <si>
    <t>IP-210</t>
  </si>
  <si>
    <t>IP-211</t>
  </si>
  <si>
    <t>IP-212</t>
  </si>
  <si>
    <t>IP-213</t>
  </si>
  <si>
    <t>IP-214</t>
  </si>
  <si>
    <t>Gerardo Mamani (alex ticona)</t>
  </si>
  <si>
    <t>IP-215</t>
  </si>
  <si>
    <t>IP-216</t>
  </si>
  <si>
    <t>IP-217</t>
  </si>
  <si>
    <t>IP-219</t>
  </si>
  <si>
    <t>IP-221</t>
  </si>
  <si>
    <t>IP-222</t>
  </si>
  <si>
    <t>IP-224</t>
  </si>
  <si>
    <t>IP-225</t>
  </si>
  <si>
    <t>IP-226</t>
  </si>
  <si>
    <t>IP-227</t>
  </si>
  <si>
    <t>IP-228</t>
  </si>
  <si>
    <t>IP-229</t>
  </si>
  <si>
    <t>IP-230</t>
  </si>
  <si>
    <t>IP-236</t>
  </si>
  <si>
    <t>DARIO SANCHEZ</t>
  </si>
  <si>
    <t>Fernando Ramirez PEPAS</t>
  </si>
  <si>
    <t>IP-237</t>
  </si>
  <si>
    <t>Gr</t>
  </si>
  <si>
    <t>Ley Oz/tc Planta</t>
  </si>
  <si>
    <t>Ley Oz/tc comercial</t>
  </si>
  <si>
    <t>Ley Oz/tc Minero</t>
  </si>
  <si>
    <t>Ley Oz/tc Pomedio</t>
  </si>
  <si>
    <t>Gasto de acopio x tm</t>
  </si>
  <si>
    <t>IP-096</t>
  </si>
  <si>
    <t>EMPRESA MINERA SANTA CRUZ DE PISCOYA S.A</t>
  </si>
  <si>
    <t>IP-097</t>
  </si>
  <si>
    <t>IP-098</t>
  </si>
  <si>
    <t>Angel  ayala Mamani</t>
  </si>
  <si>
    <t>IP-099</t>
  </si>
  <si>
    <t>Edson Ticona</t>
  </si>
  <si>
    <t>IP-100</t>
  </si>
  <si>
    <t>J C Marron /Fredy Bizarro</t>
  </si>
  <si>
    <t>IP-101</t>
  </si>
  <si>
    <t>IP-102</t>
  </si>
  <si>
    <t>IP-103</t>
  </si>
  <si>
    <t>Juan David Mamani Lipa</t>
  </si>
  <si>
    <t>IP-104</t>
  </si>
  <si>
    <t>Jesus Urbiola</t>
  </si>
  <si>
    <t>IP-105</t>
  </si>
  <si>
    <t>IP-106</t>
  </si>
  <si>
    <t>IP-107</t>
  </si>
  <si>
    <t>David Ticona</t>
  </si>
  <si>
    <t>IP-108</t>
  </si>
  <si>
    <t>Marcelina Condori</t>
  </si>
  <si>
    <t>IP-109</t>
  </si>
  <si>
    <t>IP-110</t>
  </si>
  <si>
    <t>Hugo Rene Sacaca Condori</t>
  </si>
  <si>
    <t>IP-111</t>
  </si>
  <si>
    <t>Nicacio Ticona, Hugo Limache</t>
  </si>
  <si>
    <t>IP-112</t>
  </si>
  <si>
    <t>ZICAMP SAC</t>
  </si>
  <si>
    <t>Beltran Mamani</t>
  </si>
  <si>
    <t>IP-113</t>
  </si>
  <si>
    <t>IP-114</t>
  </si>
  <si>
    <t>IP-115</t>
  </si>
  <si>
    <t>Angel David Ayala Mamani</t>
  </si>
  <si>
    <t>IP-116</t>
  </si>
  <si>
    <t>IP-117</t>
  </si>
  <si>
    <t>IP-118</t>
  </si>
  <si>
    <t>IP-119</t>
  </si>
  <si>
    <t>IP-120</t>
  </si>
  <si>
    <t>IP-121</t>
  </si>
  <si>
    <t>Vidal Linares, Ever, Belizario Julio</t>
  </si>
  <si>
    <t>IP-122</t>
  </si>
  <si>
    <t>IP-123</t>
  </si>
  <si>
    <t>Percy Gemio (Carrizales, Feli)</t>
  </si>
  <si>
    <t>IP-124</t>
  </si>
  <si>
    <t>IP-125</t>
  </si>
  <si>
    <t>IP-126</t>
  </si>
  <si>
    <t>IP-127</t>
  </si>
  <si>
    <t>Rene Ticona</t>
  </si>
  <si>
    <t>IP-128</t>
  </si>
  <si>
    <t>IP-129</t>
  </si>
  <si>
    <t>Ever Linares, Julio Chojari, Belizario Julio</t>
  </si>
  <si>
    <t>IP-130</t>
  </si>
  <si>
    <t>IP-131</t>
  </si>
  <si>
    <t>IP-132</t>
  </si>
  <si>
    <t>IP-133</t>
  </si>
  <si>
    <t>Benito Mamani Ticona</t>
  </si>
  <si>
    <t>IP-134</t>
  </si>
  <si>
    <t>IP-135</t>
  </si>
  <si>
    <t>IP-136</t>
  </si>
  <si>
    <t>IP-137</t>
  </si>
  <si>
    <t>IP-138</t>
  </si>
  <si>
    <t>Julian Bravo, Wilfredo Cuaresma</t>
  </si>
  <si>
    <t>IP-139</t>
  </si>
  <si>
    <t>IP-140</t>
  </si>
  <si>
    <t>IP-141</t>
  </si>
  <si>
    <t>Feli</t>
  </si>
  <si>
    <t>IP-142</t>
  </si>
  <si>
    <t>IP-143</t>
  </si>
  <si>
    <t>Angel Ayala</t>
  </si>
  <si>
    <t>IP-144</t>
  </si>
  <si>
    <t>Esteban Rodriguez</t>
  </si>
  <si>
    <t>IP-145</t>
  </si>
  <si>
    <t>IP-146</t>
  </si>
  <si>
    <t>Gumercinda Ticona</t>
  </si>
  <si>
    <t>IP-147</t>
  </si>
  <si>
    <t>Marino Condori</t>
  </si>
  <si>
    <t>IP-148</t>
  </si>
  <si>
    <t>Maria Martha Condori</t>
  </si>
  <si>
    <t>IP-149</t>
  </si>
  <si>
    <t>Se promedio dias despues de liquidar</t>
  </si>
  <si>
    <t>IP-150</t>
  </si>
  <si>
    <t>Solin Mamani</t>
  </si>
  <si>
    <t>IP-151</t>
  </si>
  <si>
    <t>IP-152</t>
  </si>
  <si>
    <t>IP-153</t>
  </si>
  <si>
    <t>IP-154</t>
  </si>
  <si>
    <t>IP-155</t>
  </si>
  <si>
    <t>Alberto Condori</t>
  </si>
  <si>
    <t>IP-156</t>
  </si>
  <si>
    <t>IP-157</t>
  </si>
  <si>
    <t>IP-158</t>
  </si>
  <si>
    <t>IP-159</t>
  </si>
  <si>
    <t>IP-160</t>
  </si>
  <si>
    <t>IP-161</t>
  </si>
  <si>
    <t>IP-031</t>
  </si>
  <si>
    <t>IP-033</t>
  </si>
  <si>
    <t>IP-044</t>
  </si>
  <si>
    <t>Wilfredo Zuñiga</t>
  </si>
  <si>
    <t>IP-045</t>
  </si>
  <si>
    <t>IP-046</t>
  </si>
  <si>
    <t>Feli Mamani</t>
  </si>
  <si>
    <t>IP-047</t>
  </si>
  <si>
    <t>IP-049</t>
  </si>
  <si>
    <t>IP-050</t>
  </si>
  <si>
    <t>Anastacio Mancilla</t>
  </si>
  <si>
    <t>IP-051</t>
  </si>
  <si>
    <t>IP-052</t>
  </si>
  <si>
    <t>IP-053</t>
  </si>
  <si>
    <t>Cristia Machaca</t>
  </si>
  <si>
    <t>IP-055</t>
  </si>
  <si>
    <t>Javier Lipa</t>
  </si>
  <si>
    <t>IP-059</t>
  </si>
  <si>
    <t>Militon</t>
  </si>
  <si>
    <t>IP-063</t>
  </si>
  <si>
    <t>IP-065</t>
  </si>
  <si>
    <t>IP-066</t>
  </si>
  <si>
    <t>IP-067</t>
  </si>
  <si>
    <t>Monserrat (simon)</t>
  </si>
  <si>
    <t>IP-068</t>
  </si>
  <si>
    <t>IP-069</t>
  </si>
  <si>
    <t>Monserrat</t>
  </si>
  <si>
    <t>IP-070</t>
  </si>
  <si>
    <t>Zaida Yon Mancilla</t>
  </si>
  <si>
    <t>IP-071</t>
  </si>
  <si>
    <t>IP-072</t>
  </si>
  <si>
    <t>David Mamani</t>
  </si>
  <si>
    <t>IP-073</t>
  </si>
  <si>
    <t>IP-074</t>
  </si>
  <si>
    <t>Yoni Caceres</t>
  </si>
  <si>
    <t>IP-075</t>
  </si>
  <si>
    <t>IP-076</t>
  </si>
  <si>
    <t>Nancy rodriguez</t>
  </si>
  <si>
    <t>IP-077</t>
  </si>
  <si>
    <t>IP-078</t>
  </si>
  <si>
    <t>IP-079</t>
  </si>
  <si>
    <t>IP-080</t>
  </si>
  <si>
    <t>IP-081</t>
  </si>
  <si>
    <t>IP-082</t>
  </si>
  <si>
    <t>Justo Carrizales</t>
  </si>
  <si>
    <t>IP-083</t>
  </si>
  <si>
    <t>IP-084</t>
  </si>
  <si>
    <t>IP-085</t>
  </si>
  <si>
    <t>IP-086</t>
  </si>
  <si>
    <t>Wilber Carrizales</t>
  </si>
  <si>
    <t>IP-087</t>
  </si>
  <si>
    <t>IP-088</t>
  </si>
  <si>
    <t>IP-089</t>
  </si>
  <si>
    <t>Clemente Lima</t>
  </si>
  <si>
    <t>IP-090</t>
  </si>
  <si>
    <t>IP-091</t>
  </si>
  <si>
    <t>IP-092</t>
  </si>
  <si>
    <t>IP-093</t>
  </si>
  <si>
    <t>Simon Mancilla</t>
  </si>
  <si>
    <t>IP-094</t>
  </si>
  <si>
    <t>IP-095</t>
  </si>
  <si>
    <t>Washington</t>
  </si>
  <si>
    <t>AU Comprado</t>
  </si>
  <si>
    <t>IP-004</t>
  </si>
  <si>
    <t>Minera JAH</t>
  </si>
  <si>
    <t>IP-005</t>
  </si>
  <si>
    <t>YURGEN GAMARRA NAVEDA</t>
  </si>
  <si>
    <t>IP-006</t>
  </si>
  <si>
    <t>IP-007</t>
  </si>
  <si>
    <t>IP-008</t>
  </si>
  <si>
    <t>IP-009</t>
  </si>
  <si>
    <t>IP-010</t>
  </si>
  <si>
    <t>MINERA RIO PIZON METAL S.C.R.L</t>
  </si>
  <si>
    <t>IP-011</t>
  </si>
  <si>
    <t>IP-012</t>
  </si>
  <si>
    <t>IP-013</t>
  </si>
  <si>
    <t>IP-014</t>
  </si>
  <si>
    <t>VEGA BRAVO ZENON ISAIAS</t>
  </si>
  <si>
    <t>Wilfredo</t>
  </si>
  <si>
    <t>IP-015</t>
  </si>
  <si>
    <t>IP-016</t>
  </si>
  <si>
    <t>IP-017</t>
  </si>
  <si>
    <t>CCORI LLANCAY</t>
  </si>
  <si>
    <t>IP-018</t>
  </si>
  <si>
    <t>IP-019</t>
  </si>
  <si>
    <t>IP-020</t>
  </si>
  <si>
    <t>IP-021</t>
  </si>
  <si>
    <t>IP-022</t>
  </si>
  <si>
    <t>IP-023</t>
  </si>
  <si>
    <t>IP-024</t>
  </si>
  <si>
    <t>IP-025</t>
  </si>
  <si>
    <t>IP-026</t>
  </si>
  <si>
    <t>Valderrama</t>
  </si>
  <si>
    <t>IP-027</t>
  </si>
  <si>
    <t>IP-028</t>
  </si>
  <si>
    <t>IP-029</t>
  </si>
  <si>
    <t>IP-030</t>
  </si>
  <si>
    <t>Washi/Gonzalo</t>
  </si>
  <si>
    <t>IP-032</t>
  </si>
  <si>
    <t>IP-034</t>
  </si>
  <si>
    <t>ZENON ISAIAS VEGA BRAVO</t>
  </si>
  <si>
    <t>IP-035</t>
  </si>
  <si>
    <t>IP-036</t>
  </si>
  <si>
    <t>Waldo Quiros</t>
  </si>
  <si>
    <t>IP-037</t>
  </si>
  <si>
    <t>IP-038</t>
  </si>
  <si>
    <t>IP-039</t>
  </si>
  <si>
    <t>IP-040</t>
  </si>
  <si>
    <t>IP-041</t>
  </si>
  <si>
    <t>IP-042</t>
  </si>
  <si>
    <t>Leonarda Carrizales</t>
  </si>
  <si>
    <t>IP-043</t>
  </si>
  <si>
    <t>IP-048</t>
  </si>
  <si>
    <t>Marisol Mamani</t>
  </si>
  <si>
    <t>IP-054</t>
  </si>
  <si>
    <t>Silverio Ticona</t>
  </si>
  <si>
    <t>IP-056</t>
  </si>
  <si>
    <t>Sofia</t>
  </si>
  <si>
    <t>IP-057</t>
  </si>
  <si>
    <t>IP-058</t>
  </si>
  <si>
    <t>IP-060</t>
  </si>
  <si>
    <t>IP-061</t>
  </si>
  <si>
    <t>IP-062</t>
  </si>
  <si>
    <t>IP-064</t>
  </si>
  <si>
    <t>Parametros de compra</t>
  </si>
  <si>
    <t>Parametros de planta</t>
  </si>
  <si>
    <t>Parametros de venta</t>
  </si>
  <si>
    <t>Dólar</t>
  </si>
  <si>
    <t>Recuperacion planta</t>
  </si>
  <si>
    <t>Comision venta</t>
  </si>
  <si>
    <t>Consumos planta</t>
  </si>
  <si>
    <t>Recuperacion venta</t>
  </si>
  <si>
    <t>Maquila Planta</t>
  </si>
  <si>
    <t>Ley</t>
  </si>
  <si>
    <t>Gastos acopio</t>
  </si>
  <si>
    <t>Maquila C</t>
  </si>
  <si>
    <t>Riesgo Precio</t>
  </si>
  <si>
    <t>Recuperacion C</t>
  </si>
  <si>
    <t>Consumo C</t>
  </si>
  <si>
    <t>Gastos de acopio</t>
  </si>
  <si>
    <t>S/</t>
  </si>
  <si>
    <t>US$ /TM</t>
  </si>
  <si>
    <t>Sueldo acopiador (3000 x mes)</t>
  </si>
  <si>
    <t>sueldos</t>
  </si>
  <si>
    <t>Petroleo tancada 300</t>
  </si>
  <si>
    <t>tancadas</t>
  </si>
  <si>
    <t>Gastos de acopio (alcohol, cola, coca)</t>
  </si>
  <si>
    <t>dias</t>
  </si>
  <si>
    <t>Alquiler (700 depa +100 cochera +50 servicios)</t>
  </si>
  <si>
    <t>Comida</t>
  </si>
  <si>
    <t>diarias</t>
  </si>
  <si>
    <t>sacos</t>
  </si>
  <si>
    <t>Total Gastos de acopio por TM, si compramos</t>
  </si>
  <si>
    <t>TM / mes</t>
  </si>
  <si>
    <t>Costo Planta</t>
  </si>
  <si>
    <t>Costo acopio</t>
  </si>
  <si>
    <t>Costo Acopio</t>
  </si>
  <si>
    <t>I-APU-RS</t>
  </si>
  <si>
    <t>I-Puno</t>
  </si>
  <si>
    <t>E-RW Garibay</t>
  </si>
  <si>
    <t>E-MA Vera</t>
  </si>
  <si>
    <t>E-Y     Rospigliosi</t>
  </si>
  <si>
    <t>Ley +80</t>
  </si>
  <si>
    <t>E-GC</t>
  </si>
  <si>
    <t xml:space="preserve">E-A    Torres </t>
  </si>
  <si>
    <t xml:space="preserve">                                                                                                                       Hoja de Liquidacion minerales auriferos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</si>
</sst>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5">
    <numFmt numFmtId="164" formatCode="[$-F800]dddd\,\ mmmm\ dd\,\ yyyy"/>
    <numFmt numFmtId="165" formatCode="_(* #,##0.000_);_(* \(#,##0.000\);_(* &quot;-&quot;??_);_(@_)"/>
    <numFmt numFmtId="166" formatCode="_-* #,##0.000_-;\-* #,##0.000_-;_-* &quot;-&quot;??_-;_-@"/>
    <numFmt numFmtId="167" formatCode="0.000"/>
    <numFmt numFmtId="168" formatCode="0.00_ ;[Red]\-0.00\ "/>
    <numFmt numFmtId="169" formatCode="_-* #,##0.00_-;\-* #,##0.00_-;_-* &quot;-&quot;??_-;_-@"/>
    <numFmt numFmtId="170" formatCode="_-* #,##0_-;\-* #,##0_-;_-* &quot;-&quot;??_-;_-@"/>
    <numFmt numFmtId="171" formatCode="D/M/YYYY"/>
    <numFmt numFmtId="172" formatCode="_(* #,##0.00_);_(* \(#,##0.00\);_(* &quot;-&quot;??_);_(@_)"/>
    <numFmt numFmtId="173" formatCode="#,##0.000;[Red]\-#,##0.000"/>
    <numFmt numFmtId="174" formatCode="&quot;EG07-&quot;0000"/>
    <numFmt numFmtId="175" formatCode="0.0000"/>
    <numFmt numFmtId="176" formatCode="_(#,##0.00000_);[Red](#,##0.00000)"/>
    <numFmt numFmtId="177" formatCode="dd\-mm\-yy"/>
    <numFmt numFmtId="178" formatCode="d/m/yy"/>
    <numFmt numFmtId="179" formatCode="&quot; &quot;d\ &quot;de&quot;\ mmmm\ &quot;del&quot;\ yyyy"/>
    <numFmt numFmtId="180" formatCode="dd/mm/yy"/>
    <numFmt numFmtId="181" formatCode="d/m/yyyy"/>
    <numFmt numFmtId="182" formatCode="_(* #,##0_);_(* \(#,##0\);_(* &quot;-&quot;??_);_(@_)"/>
    <numFmt numFmtId="183" formatCode="_(* #,##0.0000_);_(* \(#,##0.0000\);_(* &quot;-&quot;??_);_(@_)"/>
    <numFmt numFmtId="184" formatCode="0.0&quot;%&quot;"/>
    <numFmt numFmtId="185" formatCode="0.0"/>
    <numFmt numFmtId="186" formatCode="_-* #,##0.0000_-;\-* #,##0.0000_-;_-* &quot;-&quot;??_-;_-@"/>
    <numFmt numFmtId="187" formatCode="_-* #,##0_-;\-* #,##0_-;_-* &quot;-&quot;????_-;_-@"/>
    <numFmt numFmtId="188" formatCode="_ * #,##0.000_ ;_ * \-#,##0.000_ ;_ * &quot;-&quot;??_ ;_ @_ "/>
    <numFmt numFmtId="189" formatCode="_-* #,##0.00\ _€_-;\-* #,##0.00\ _€_-;_-* &quot;-&quot;??\ _€_-;_-@"/>
    <numFmt numFmtId="190" formatCode="#,##0.00_ ;[Red]\-#,##0.00\ "/>
    <numFmt numFmtId="191" formatCode="[$$-409]#,##0.00;[Red][$$-409]#,##0.00"/>
    <numFmt numFmtId="192" formatCode="#,##0_ ;[Red]\-#,##0\ "/>
    <numFmt numFmtId="193" formatCode="yyyy\-mm\-dd"/>
    <numFmt numFmtId="194" formatCode="0.000\ \ \ &quot;Oz/TC&quot;"/>
    <numFmt numFmtId="195" formatCode="0.000\ \ \ &quot;g/Kg&quot;"/>
    <numFmt numFmtId="196" formatCode="0.000\ \ \ &quot;%&quot;"/>
    <numFmt numFmtId="197" formatCode="#,##0.000"/>
    <numFmt numFmtId="198" formatCode="dd/mm/yyyy"/>
  </numFmts>
  <fonts count="78">
    <font>
      <sz val="11.0"/>
      <color theme="1"/>
      <name val="Calibri"/>
      <scheme val="minor"/>
    </font>
    <font>
      <sz val="11.0"/>
      <color theme="1"/>
      <name val="Calibri"/>
    </font>
    <font>
      <sz val="11.0"/>
      <color theme="1"/>
      <name val="Times New Roman"/>
    </font>
    <font>
      <sz val="11.0"/>
      <color rgb="FFFF0000"/>
      <name val="Times New Roman"/>
    </font>
    <font>
      <i/>
      <sz val="11.0"/>
      <color theme="1"/>
      <name val="Times New Roman"/>
    </font>
    <font>
      <b/>
      <sz val="11.0"/>
      <color theme="1"/>
      <name val="Times New Roman"/>
    </font>
    <font>
      <sz val="11.0"/>
      <color rgb="FFFF0000"/>
      <name val="Calibri"/>
    </font>
    <font>
      <b/>
      <u/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11.0"/>
      <color rgb="FFFF0000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/>
    <font>
      <u/>
      <sz val="11.0"/>
      <color theme="1"/>
      <name val="Calibri"/>
    </font>
    <font>
      <u/>
      <sz val="11.0"/>
      <color theme="1"/>
      <name val="Calibri"/>
    </font>
    <font>
      <sz val="12.0"/>
      <color rgb="FFD4C47A"/>
      <name val="Rajdhani"/>
    </font>
    <font>
      <b/>
      <i/>
      <u/>
      <sz val="10.0"/>
      <color theme="1"/>
      <name val="Arial"/>
    </font>
    <font>
      <b/>
      <i/>
      <sz val="10.0"/>
      <color theme="1"/>
      <name val="Arial"/>
    </font>
    <font>
      <sz val="8.0"/>
      <color theme="1"/>
      <name val="Arial"/>
    </font>
    <font>
      <b/>
      <sz val="24.0"/>
      <color rgb="FF000000"/>
      <name val="Calibri"/>
    </font>
    <font>
      <b/>
      <sz val="20.0"/>
      <color rgb="FF000000"/>
      <name val="Arial Rounded"/>
    </font>
    <font>
      <b/>
      <u/>
      <sz val="11.0"/>
      <color rgb="FF000000"/>
      <name val="Times New Roman"/>
    </font>
    <font>
      <sz val="11.0"/>
      <color rgb="FFFFFF00"/>
      <name val="Times New Roman"/>
    </font>
    <font>
      <sz val="11.0"/>
      <color rgb="FFFFFF00"/>
      <name val="Calibri"/>
    </font>
    <font>
      <sz val="10.0"/>
      <color theme="1"/>
      <name val="Times New Roman"/>
    </font>
    <font>
      <sz val="12.0"/>
      <color theme="1"/>
      <name val="Arial"/>
    </font>
    <font>
      <b/>
      <sz val="11.0"/>
      <color rgb="FF000000"/>
      <name val="Times New Roman"/>
    </font>
    <font>
      <b/>
      <sz val="8.0"/>
      <color rgb="FF000000"/>
      <name val="Times New Roman"/>
    </font>
    <font>
      <sz val="8.0"/>
      <color theme="1"/>
      <name val="Times New Roman"/>
    </font>
    <font>
      <sz val="12.0"/>
      <color theme="1"/>
      <name val="Times New Roman"/>
    </font>
    <font>
      <b/>
      <sz val="10.0"/>
      <color theme="1"/>
      <name val="Times New Roman"/>
    </font>
    <font>
      <i/>
      <sz val="11.0"/>
      <color rgb="FF000000"/>
      <name val="Times New Roman"/>
    </font>
    <font>
      <i/>
      <sz val="8.0"/>
      <color theme="1"/>
      <name val="Times New Roman"/>
    </font>
    <font>
      <b/>
      <i/>
      <sz val="11.0"/>
      <color rgb="FF000000"/>
      <name val="Times New Roman"/>
    </font>
    <font>
      <b/>
      <i/>
      <sz val="11.0"/>
      <color theme="1"/>
      <name val="Times New Roman"/>
    </font>
    <font>
      <b/>
      <sz val="18.0"/>
      <color theme="1"/>
      <name val="Times New Roman"/>
    </font>
    <font>
      <i/>
      <sz val="10.0"/>
      <color theme="1"/>
      <name val="Times New Roman"/>
    </font>
    <font>
      <i/>
      <sz val="9.0"/>
      <color theme="1"/>
      <name val="Times New Roman"/>
    </font>
    <font>
      <i/>
      <sz val="11.0"/>
      <color theme="1"/>
      <name val="Calibri"/>
    </font>
    <font>
      <b/>
      <i/>
      <sz val="10.0"/>
      <color theme="1"/>
      <name val="Times New Roman"/>
    </font>
    <font>
      <b/>
      <sz val="10.0"/>
      <color theme="1"/>
      <name val="Calibri"/>
    </font>
    <font>
      <b/>
      <sz val="10.0"/>
      <color rgb="FFFF0000"/>
      <name val="Calibri"/>
    </font>
    <font>
      <sz val="10.0"/>
      <color theme="1"/>
      <name val="Calibri"/>
    </font>
    <font>
      <sz val="10.0"/>
      <color rgb="FFFF0000"/>
      <name val="Calibri"/>
    </font>
    <font>
      <b/>
      <sz val="18.0"/>
      <color theme="1"/>
      <name val="Calibri"/>
    </font>
    <font>
      <b/>
      <sz val="14.0"/>
      <color rgb="FFA48A1C"/>
      <name val="Calibri"/>
    </font>
    <font>
      <b/>
      <sz val="10.0"/>
      <color rgb="FFDBC01B"/>
      <name val="Calibri"/>
    </font>
    <font>
      <sz val="12.0"/>
      <color theme="1"/>
      <name val="Calibri"/>
    </font>
    <font>
      <sz val="11.0"/>
      <color rgb="FFDBC01B"/>
      <name val="Calibri"/>
    </font>
    <font>
      <b/>
      <sz val="11.0"/>
      <color rgb="FFDBC01B"/>
      <name val="Calibri"/>
    </font>
    <font>
      <b/>
      <u/>
      <sz val="10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sz val="11.0"/>
      <color rgb="FF000000"/>
      <name val="Calibri"/>
    </font>
    <font>
      <b/>
      <i/>
      <sz val="11.0"/>
      <color theme="1"/>
      <name val="Calibri"/>
    </font>
    <font>
      <sz val="11.0"/>
      <color rgb="FF000000"/>
      <name val="Times New Roman"/>
    </font>
    <font>
      <b/>
      <sz val="12.0"/>
      <color rgb="FFFF0000"/>
      <name val="Times New Roman"/>
    </font>
    <font>
      <b/>
      <u/>
      <sz val="11.0"/>
      <color theme="1"/>
      <name val="Calibri"/>
    </font>
    <font>
      <b/>
      <u/>
      <sz val="10.0"/>
      <color theme="1"/>
      <name val="Calibri"/>
    </font>
    <font>
      <b/>
      <sz val="10.0"/>
      <color theme="0"/>
      <name val="Calibri"/>
    </font>
    <font>
      <sz val="8.0"/>
      <color theme="1"/>
      <name val="Calibri"/>
    </font>
    <font>
      <sz val="8.0"/>
      <color rgb="FF000000"/>
      <name val="Calibri"/>
    </font>
    <font>
      <b/>
      <sz val="8.0"/>
      <color theme="1"/>
      <name val="Calibri"/>
    </font>
    <font>
      <sz val="8.0"/>
      <color rgb="FFFF0000"/>
      <name val="Calibri"/>
    </font>
    <font>
      <b/>
      <sz val="8.0"/>
      <color rgb="FFFF0000"/>
      <name val="Calibri"/>
    </font>
    <font>
      <sz val="11.0"/>
      <color theme="0"/>
      <name val="Calibri"/>
    </font>
    <font>
      <b/>
      <sz val="8.0"/>
      <color rgb="FF000000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sz val="11.0"/>
      <color theme="5"/>
      <name val="Calibri"/>
    </font>
    <font>
      <sz val="10.0"/>
      <color theme="1"/>
      <name val="Arial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</fonts>
  <fills count="40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FC000"/>
        <bgColor rgb="FFFFC000"/>
      </patternFill>
    </fill>
    <fill>
      <patternFill patternType="solid">
        <fgColor theme="4"/>
        <bgColor theme="4"/>
      </patternFill>
    </fill>
    <fill>
      <patternFill patternType="solid">
        <fgColor rgb="FFFF0000"/>
        <bgColor rgb="FFFF000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0070C0"/>
        <bgColor rgb="FF0070C0"/>
      </patternFill>
    </fill>
    <fill>
      <patternFill patternType="solid">
        <fgColor theme="1"/>
        <bgColor theme="1"/>
      </patternFill>
    </fill>
    <fill>
      <patternFill patternType="solid">
        <fgColor theme="5"/>
        <bgColor theme="5"/>
      </patternFill>
    </fill>
    <fill>
      <patternFill patternType="solid">
        <fgColor rgb="FF92D050"/>
        <bgColor rgb="FF92D050"/>
      </patternFill>
    </fill>
    <fill>
      <patternFill patternType="solid">
        <fgColor rgb="FF23231A"/>
        <bgColor rgb="FF23231A"/>
      </patternFill>
    </fill>
    <fill>
      <patternFill patternType="solid">
        <fgColor rgb="FFBFBFBF"/>
        <bgColor rgb="FFBFBFBF"/>
      </patternFill>
    </fill>
    <fill>
      <patternFill patternType="solid">
        <fgColor rgb="FFDDB565"/>
        <bgColor rgb="FFDDB565"/>
      </patternFill>
    </fill>
    <fill>
      <patternFill patternType="solid">
        <fgColor rgb="FFF8F5B6"/>
        <bgColor rgb="FFF8F5B6"/>
      </patternFill>
    </fill>
    <fill>
      <patternFill patternType="solid">
        <fgColor rgb="FFE2EFD9"/>
        <bgColor rgb="FFE2EFD9"/>
      </patternFill>
    </fill>
    <fill>
      <patternFill patternType="solid">
        <fgColor rgb="FFF4B083"/>
        <bgColor rgb="FFF4B083"/>
      </patternFill>
    </fill>
    <fill>
      <patternFill patternType="solid">
        <fgColor rgb="FFB7ECFF"/>
        <bgColor rgb="FFB7ECFF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8DF78D"/>
        <bgColor rgb="FF8DF78D"/>
      </patternFill>
    </fill>
    <fill>
      <patternFill patternType="solid">
        <fgColor rgb="FFD9E2F3"/>
        <bgColor rgb="FFD9E2F3"/>
      </patternFill>
    </fill>
    <fill>
      <patternFill patternType="solid">
        <fgColor rgb="FF2E75B5"/>
        <bgColor rgb="FF2E75B5"/>
      </patternFill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8EAADB"/>
        <bgColor rgb="FF8EAADB"/>
      </patternFill>
    </fill>
    <fill>
      <patternFill patternType="solid">
        <fgColor rgb="FFBF9000"/>
        <bgColor rgb="FFBF9000"/>
      </patternFill>
    </fill>
    <fill>
      <patternFill patternType="solid">
        <fgColor rgb="FFC55A11"/>
        <bgColor rgb="FFC55A11"/>
      </patternFill>
    </fill>
    <fill>
      <patternFill patternType="solid">
        <fgColor rgb="FF9CC2E5"/>
        <bgColor rgb="FF9CC2E5"/>
      </patternFill>
    </fill>
    <fill>
      <patternFill patternType="solid">
        <fgColor rgb="FFF2F2F2"/>
        <bgColor rgb="FFF2F2F2"/>
      </patternFill>
    </fill>
    <fill>
      <patternFill patternType="solid">
        <fgColor rgb="FFA8D08D"/>
        <bgColor rgb="FFA8D08D"/>
      </patternFill>
    </fill>
  </fills>
  <borders count="132">
    <border/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/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</border>
    <border>
      <left style="medium">
        <color rgb="FF000000"/>
      </left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/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left/>
      <right/>
      <top/>
    </border>
    <border>
      <top/>
    </border>
    <border>
      <left/>
      <bottom/>
    </border>
    <border>
      <right/>
      <bottom/>
    </border>
    <border>
      <left/>
      <right/>
      <bottom/>
    </border>
    <border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</border>
    <border>
      <right/>
    </border>
    <border>
      <left style="thin">
        <color rgb="FF000000"/>
      </left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 style="medium">
        <color rgb="FF000000"/>
      </right>
      <top/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/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/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n">
        <color rgb="FF000000"/>
      </right>
      <top/>
      <bottom/>
    </border>
    <border>
      <left style="hair">
        <color rgb="FF000000"/>
      </left>
      <right style="thin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bottom/>
    </border>
    <border>
      <left style="hair">
        <color rgb="FF000000"/>
      </left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/>
      <right style="hair">
        <color rgb="FF000000"/>
      </right>
      <top/>
      <bottom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 style="thin">
        <color rgb="FFD8D8D8"/>
      </top>
      <bottom/>
    </border>
    <border>
      <left/>
      <right style="thin">
        <color rgb="FFD8D8D8"/>
      </right>
      <top style="thin">
        <color rgb="FFD8D8D8"/>
      </top>
      <bottom style="thin">
        <color rgb="FFD8D8D8"/>
      </bottom>
    </border>
    <border>
      <left style="thin">
        <color rgb="FFD8D8D8"/>
      </left>
      <right style="thin">
        <color rgb="FFD8D8D8"/>
      </right>
      <top/>
      <bottom/>
    </border>
    <border>
      <left/>
      <right style="thin">
        <color rgb="FFD8D8D8"/>
      </right>
      <top/>
      <bottom style="thin">
        <color rgb="FFD8D8D8"/>
      </bottom>
    </border>
    <border>
      <left/>
      <right style="thin">
        <color rgb="FFD8D8D8"/>
      </right>
      <top/>
      <bottom/>
    </border>
    <border>
      <left style="thin">
        <color rgb="FFD8D8D8"/>
      </left>
      <right style="thin">
        <color rgb="FFD8D8D8"/>
      </right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85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" numFmtId="40" xfId="0" applyFont="1" applyNumberFormat="1"/>
    <xf borderId="1" fillId="2" fontId="1" numFmtId="40" xfId="0" applyAlignment="1" applyBorder="1" applyFill="1" applyFont="1" applyNumberFormat="1">
      <alignment horizontal="center"/>
    </xf>
    <xf borderId="2" fillId="2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0" fillId="0" fontId="1" numFmtId="168" xfId="0" applyFont="1" applyNumberFormat="1"/>
    <xf borderId="4" fillId="0" fontId="1" numFmtId="169" xfId="0" applyAlignment="1" applyBorder="1" applyFont="1" applyNumberFormat="1">
      <alignment horizontal="center"/>
    </xf>
    <xf borderId="0" fillId="0" fontId="1" numFmtId="170" xfId="0" applyAlignment="1" applyFont="1" applyNumberFormat="1">
      <alignment horizontal="center"/>
    </xf>
    <xf borderId="4" fillId="0" fontId="1" numFmtId="165" xfId="0" applyBorder="1" applyFont="1" applyNumberFormat="1"/>
    <xf borderId="2" fillId="3" fontId="1" numFmtId="167" xfId="0" applyAlignment="1" applyBorder="1" applyFill="1" applyFont="1" applyNumberFormat="1">
      <alignment horizontal="center" vertical="center"/>
    </xf>
    <xf borderId="4" fillId="0" fontId="1" numFmtId="2" xfId="0" applyAlignment="1" applyBorder="1" applyFont="1" applyNumberFormat="1">
      <alignment horizontal="center"/>
    </xf>
    <xf borderId="5" fillId="2" fontId="1" numFmtId="40" xfId="0" applyAlignment="1" applyBorder="1" applyFont="1" applyNumberFormat="1">
      <alignment horizontal="center"/>
    </xf>
    <xf borderId="6" fillId="0" fontId="1" numFmtId="0" xfId="0" applyBorder="1" applyFont="1"/>
    <xf borderId="7" fillId="4" fontId="1" numFmtId="170" xfId="0" applyAlignment="1" applyBorder="1" applyFill="1" applyFont="1" applyNumberFormat="1">
      <alignment horizontal="center"/>
    </xf>
    <xf borderId="8" fillId="3" fontId="1" numFmtId="169" xfId="0" applyAlignment="1" applyBorder="1" applyFont="1" applyNumberFormat="1">
      <alignment horizontal="center"/>
    </xf>
    <xf borderId="6" fillId="0" fontId="1" numFmtId="169" xfId="0" applyAlignment="1" applyBorder="1" applyFont="1" applyNumberFormat="1">
      <alignment horizontal="center"/>
    </xf>
    <xf borderId="9" fillId="5" fontId="2" numFmtId="0" xfId="0" applyBorder="1" applyFill="1" applyFont="1"/>
    <xf borderId="9" fillId="5" fontId="2" numFmtId="0" xfId="0" applyAlignment="1" applyBorder="1" applyFont="1">
      <alignment horizontal="center"/>
    </xf>
    <xf borderId="10" fillId="5" fontId="2" numFmtId="0" xfId="0" applyAlignment="1" applyBorder="1" applyFont="1">
      <alignment horizontal="center"/>
    </xf>
    <xf borderId="11" fillId="6" fontId="2" numFmtId="0" xfId="0" applyAlignment="1" applyBorder="1" applyFill="1" applyFont="1">
      <alignment horizontal="center"/>
    </xf>
    <xf borderId="12" fillId="6" fontId="2" numFmtId="0" xfId="0" applyBorder="1" applyFont="1"/>
    <xf borderId="11" fillId="5" fontId="2" numFmtId="0" xfId="0" applyAlignment="1" applyBorder="1" applyFont="1">
      <alignment horizontal="center"/>
    </xf>
    <xf borderId="13" fillId="6" fontId="3" numFmtId="0" xfId="0" applyAlignment="1" applyBorder="1" applyFont="1">
      <alignment horizontal="center"/>
    </xf>
    <xf borderId="9" fillId="6" fontId="3" numFmtId="0" xfId="0" applyAlignment="1" applyBorder="1" applyFont="1">
      <alignment horizontal="center"/>
    </xf>
    <xf borderId="10" fillId="6" fontId="2" numFmtId="0" xfId="0" applyAlignment="1" applyBorder="1" applyFont="1">
      <alignment horizontal="center"/>
    </xf>
    <xf borderId="13" fillId="6" fontId="2" numFmtId="0" xfId="0" applyAlignment="1" applyBorder="1" applyFont="1">
      <alignment horizontal="center"/>
    </xf>
    <xf borderId="9" fillId="6" fontId="4" numFmtId="0" xfId="0" applyBorder="1" applyFont="1"/>
    <xf borderId="9" fillId="5" fontId="4" numFmtId="0" xfId="0" applyBorder="1" applyFont="1"/>
    <xf borderId="9" fillId="6" fontId="2" numFmtId="0" xfId="0" applyAlignment="1" applyBorder="1" applyFont="1">
      <alignment horizontal="center"/>
    </xf>
    <xf borderId="9" fillId="5" fontId="2" numFmtId="40" xfId="0" applyAlignment="1" applyBorder="1" applyFont="1" applyNumberFormat="1">
      <alignment horizontal="center"/>
    </xf>
    <xf borderId="9" fillId="5" fontId="5" numFmtId="40" xfId="0" applyBorder="1" applyFont="1" applyNumberFormat="1"/>
    <xf borderId="9" fillId="5" fontId="5" numFmtId="40" xfId="0" applyAlignment="1" applyBorder="1" applyFont="1" applyNumberFormat="1">
      <alignment horizontal="center"/>
    </xf>
    <xf borderId="14" fillId="2" fontId="6" numFmtId="40" xfId="0" applyBorder="1" applyFont="1" applyNumberFormat="1"/>
    <xf borderId="15" fillId="0" fontId="1" numFmtId="40" xfId="0" applyAlignment="1" applyBorder="1" applyFont="1" applyNumberFormat="1">
      <alignment horizontal="center"/>
    </xf>
    <xf borderId="16" fillId="0" fontId="1" numFmtId="169" xfId="0" applyAlignment="1" applyBorder="1" applyFont="1" applyNumberFormat="1">
      <alignment horizontal="center"/>
    </xf>
    <xf borderId="14" fillId="3" fontId="2" numFmtId="0" xfId="0" applyBorder="1" applyFont="1"/>
    <xf borderId="7" fillId="3" fontId="2" numFmtId="0" xfId="0" applyBorder="1" applyFont="1"/>
    <xf borderId="7" fillId="3" fontId="2" numFmtId="0" xfId="0" applyAlignment="1" applyBorder="1" applyFont="1">
      <alignment horizontal="center"/>
    </xf>
    <xf borderId="7" fillId="3" fontId="3" numFmtId="0" xfId="0" applyAlignment="1" applyBorder="1" applyFont="1">
      <alignment horizontal="center"/>
    </xf>
    <xf borderId="7" fillId="3" fontId="4" numFmtId="0" xfId="0" applyBorder="1" applyFont="1"/>
    <xf borderId="7" fillId="3" fontId="2" numFmtId="40" xfId="0" applyAlignment="1" applyBorder="1" applyFont="1" applyNumberFormat="1">
      <alignment horizontal="center"/>
    </xf>
    <xf borderId="7" fillId="3" fontId="5" numFmtId="40" xfId="0" applyBorder="1" applyFont="1" applyNumberFormat="1"/>
    <xf borderId="7" fillId="3" fontId="5" numFmtId="40" xfId="0" applyAlignment="1" applyBorder="1" applyFont="1" applyNumberFormat="1">
      <alignment horizontal="center"/>
    </xf>
    <xf borderId="7" fillId="2" fontId="6" numFmtId="40" xfId="0" applyBorder="1" applyFont="1" applyNumberFormat="1"/>
    <xf borderId="7" fillId="3" fontId="6" numFmtId="40" xfId="0" applyAlignment="1" applyBorder="1" applyFont="1" applyNumberFormat="1">
      <alignment horizontal="center"/>
    </xf>
    <xf borderId="7" fillId="3" fontId="1" numFmtId="169" xfId="0" applyAlignment="1" applyBorder="1" applyFont="1" applyNumberFormat="1">
      <alignment horizontal="center"/>
    </xf>
    <xf borderId="7" fillId="3" fontId="1" numFmtId="40" xfId="0" applyAlignment="1" applyBorder="1" applyFont="1" applyNumberFormat="1">
      <alignment horizontal="center"/>
    </xf>
    <xf borderId="7" fillId="3" fontId="1" numFmtId="168" xfId="0" applyBorder="1" applyFont="1" applyNumberFormat="1"/>
    <xf borderId="14" fillId="7" fontId="7" numFmtId="0" xfId="0" applyAlignment="1" applyBorder="1" applyFill="1" applyFont="1">
      <alignment horizontal="center"/>
    </xf>
    <xf borderId="7" fillId="8" fontId="1" numFmtId="171" xfId="0" applyBorder="1" applyFill="1" applyFont="1" applyNumberFormat="1"/>
    <xf borderId="0" fillId="0" fontId="1" numFmtId="171" xfId="0" applyFont="1" applyNumberFormat="1"/>
    <xf borderId="0" fillId="0" fontId="8" numFmtId="0" xfId="0" applyFont="1"/>
    <xf borderId="0" fillId="0" fontId="1" numFmtId="2" xfId="0" applyFont="1" applyNumberFormat="1"/>
    <xf borderId="7" fillId="3" fontId="1" numFmtId="167" xfId="0" applyBorder="1" applyFont="1" applyNumberFormat="1"/>
    <xf borderId="0" fillId="0" fontId="1" numFmtId="167" xfId="0" applyAlignment="1" applyFont="1" applyNumberFormat="1">
      <alignment horizontal="center"/>
    </xf>
    <xf borderId="7" fillId="4" fontId="1" numFmtId="167" xfId="0" applyAlignment="1" applyBorder="1" applyFont="1" applyNumberFormat="1">
      <alignment horizontal="center"/>
    </xf>
    <xf borderId="0" fillId="0" fontId="6" numFmtId="167" xfId="0" applyAlignment="1" applyFont="1" applyNumberFormat="1">
      <alignment horizontal="center"/>
    </xf>
    <xf borderId="0" fillId="0" fontId="6" numFmtId="0" xfId="0" applyFont="1"/>
    <xf borderId="0" fillId="0" fontId="6" numFmtId="2" xfId="0" applyFont="1" applyNumberFormat="1"/>
    <xf borderId="0" fillId="0" fontId="1" numFmtId="169" xfId="0" applyFont="1" applyNumberFormat="1"/>
    <xf borderId="7" fillId="4" fontId="1" numFmtId="1" xfId="0" applyAlignment="1" applyBorder="1" applyFont="1" applyNumberFormat="1">
      <alignment horizontal="center"/>
    </xf>
    <xf borderId="7" fillId="3" fontId="1" numFmtId="0" xfId="0" applyBorder="1" applyFont="1"/>
    <xf borderId="7" fillId="4" fontId="1" numFmtId="0" xfId="0" applyBorder="1" applyFont="1"/>
    <xf borderId="7" fillId="3" fontId="1" numFmtId="2" xfId="0" applyBorder="1" applyFont="1" applyNumberFormat="1"/>
    <xf borderId="7" fillId="3" fontId="1" numFmtId="169" xfId="0" applyBorder="1" applyFont="1" applyNumberFormat="1"/>
    <xf borderId="7" fillId="3" fontId="1" numFmtId="40" xfId="0" applyBorder="1" applyFont="1" applyNumberFormat="1"/>
    <xf borderId="7" fillId="2" fontId="1" numFmtId="40" xfId="0" applyBorder="1" applyFont="1" applyNumberFormat="1"/>
    <xf borderId="7" fillId="3" fontId="1" numFmtId="2" xfId="0" applyAlignment="1" applyBorder="1" applyFont="1" applyNumberFormat="1">
      <alignment horizontal="center"/>
    </xf>
    <xf borderId="7" fillId="4" fontId="1" numFmtId="171" xfId="0" applyBorder="1" applyFont="1" applyNumberFormat="1"/>
    <xf borderId="0" fillId="0" fontId="9" numFmtId="167" xfId="0" applyAlignment="1" applyFont="1" applyNumberFormat="1">
      <alignment horizontal="center"/>
    </xf>
    <xf borderId="7" fillId="3" fontId="1" numFmtId="1" xfId="0" applyAlignment="1" applyBorder="1" applyFont="1" applyNumberFormat="1">
      <alignment horizontal="center"/>
    </xf>
    <xf borderId="7" fillId="9" fontId="9" numFmtId="2" xfId="0" applyBorder="1" applyFill="1" applyFont="1" applyNumberFormat="1"/>
    <xf borderId="7" fillId="10" fontId="1" numFmtId="40" xfId="0" applyBorder="1" applyFill="1" applyFont="1" applyNumberFormat="1"/>
    <xf borderId="7" fillId="9" fontId="9" numFmtId="167" xfId="0" applyAlignment="1" applyBorder="1" applyFont="1" applyNumberFormat="1">
      <alignment horizontal="center"/>
    </xf>
    <xf borderId="0" fillId="0" fontId="10" numFmtId="0" xfId="0" applyFont="1"/>
    <xf borderId="7" fillId="10" fontId="1" numFmtId="171" xfId="0" applyBorder="1" applyFont="1" applyNumberFormat="1"/>
    <xf borderId="0" fillId="0" fontId="9" numFmtId="169" xfId="0" applyFont="1" applyNumberFormat="1"/>
    <xf borderId="7" fillId="9" fontId="9" numFmtId="169" xfId="0" applyBorder="1" applyFont="1" applyNumberFormat="1"/>
    <xf borderId="0" fillId="0" fontId="10" numFmtId="167" xfId="0" applyAlignment="1" applyFont="1" applyNumberFormat="1">
      <alignment horizontal="center"/>
    </xf>
    <xf borderId="7" fillId="3" fontId="9" numFmtId="0" xfId="0" applyBorder="1" applyFont="1"/>
    <xf borderId="7" fillId="11" fontId="1" numFmtId="1" xfId="0" applyAlignment="1" applyBorder="1" applyFill="1" applyFont="1" applyNumberFormat="1">
      <alignment horizontal="center"/>
    </xf>
    <xf borderId="7" fillId="9" fontId="9" numFmtId="0" xfId="0" applyBorder="1" applyFont="1"/>
    <xf borderId="14" fillId="12" fontId="11" numFmtId="0" xfId="0" applyAlignment="1" applyBorder="1" applyFill="1" applyFont="1">
      <alignment horizontal="center"/>
    </xf>
    <xf borderId="14" fillId="13" fontId="12" numFmtId="0" xfId="0" applyAlignment="1" applyBorder="1" applyFill="1" applyFont="1">
      <alignment horizontal="center"/>
    </xf>
    <xf borderId="0" fillId="0" fontId="9" numFmtId="171" xfId="0" applyFont="1" applyNumberFormat="1"/>
    <xf borderId="7" fillId="2" fontId="1" numFmtId="0" xfId="0" applyBorder="1" applyFont="1"/>
    <xf borderId="14" fillId="2" fontId="9" numFmtId="0" xfId="0" applyAlignment="1" applyBorder="1" applyFont="1">
      <alignment horizontal="center"/>
    </xf>
    <xf borderId="7" fillId="14" fontId="1" numFmtId="171" xfId="0" applyBorder="1" applyFill="1" applyFont="1" applyNumberFormat="1"/>
    <xf borderId="7" fillId="2" fontId="9" numFmtId="40" xfId="0" applyBorder="1" applyFont="1" applyNumberFormat="1"/>
    <xf borderId="7" fillId="3" fontId="1" numFmtId="171" xfId="0" applyBorder="1" applyFont="1" applyNumberFormat="1"/>
    <xf borderId="7" fillId="3" fontId="9" numFmtId="1" xfId="0" applyAlignment="1" applyBorder="1" applyFont="1" applyNumberFormat="1">
      <alignment horizontal="center"/>
    </xf>
    <xf borderId="17" fillId="0" fontId="1" numFmtId="164" xfId="0" applyBorder="1" applyFont="1" applyNumberFormat="1"/>
    <xf borderId="18" fillId="0" fontId="1" numFmtId="40" xfId="0" applyBorder="1" applyFont="1" applyNumberFormat="1"/>
    <xf borderId="17" fillId="0" fontId="1" numFmtId="0" xfId="0" applyBorder="1" applyFont="1"/>
    <xf borderId="18" fillId="0" fontId="1" numFmtId="169" xfId="0" applyAlignment="1" applyBorder="1" applyFont="1" applyNumberFormat="1">
      <alignment horizontal="center"/>
    </xf>
    <xf borderId="19" fillId="5" fontId="2" numFmtId="0" xfId="0" applyBorder="1" applyFont="1"/>
    <xf borderId="19" fillId="5" fontId="2" numFmtId="0" xfId="0" applyAlignment="1" applyBorder="1" applyFont="1">
      <alignment horizontal="center"/>
    </xf>
    <xf borderId="7" fillId="15" fontId="1" numFmtId="171" xfId="0" applyBorder="1" applyFill="1" applyFont="1" applyNumberFormat="1"/>
    <xf borderId="7" fillId="3" fontId="9" numFmtId="40" xfId="0" applyBorder="1" applyFont="1" applyNumberFormat="1"/>
    <xf borderId="7" fillId="13" fontId="1" numFmtId="171" xfId="0" applyBorder="1" applyFont="1" applyNumberFormat="1"/>
    <xf borderId="7" fillId="3" fontId="1" numFmtId="167" xfId="0" applyAlignment="1" applyBorder="1" applyFont="1" applyNumberFormat="1">
      <alignment horizontal="center"/>
    </xf>
    <xf borderId="7" fillId="12" fontId="1" numFmtId="167" xfId="0" applyAlignment="1" applyBorder="1" applyFont="1" applyNumberFormat="1">
      <alignment horizontal="center"/>
    </xf>
    <xf borderId="7" fillId="4" fontId="1" numFmtId="40" xfId="0" applyBorder="1" applyFont="1" applyNumberFormat="1"/>
    <xf borderId="7" fillId="12" fontId="1" numFmtId="171" xfId="0" applyBorder="1" applyFont="1" applyNumberFormat="1"/>
    <xf borderId="7" fillId="12" fontId="1" numFmtId="0" xfId="0" applyBorder="1" applyFont="1"/>
    <xf borderId="7" fillId="3" fontId="9" numFmtId="167" xfId="0" applyAlignment="1" applyBorder="1" applyFont="1" applyNumberFormat="1">
      <alignment horizontal="center"/>
    </xf>
    <xf borderId="7" fillId="9" fontId="1" numFmtId="171" xfId="0" applyBorder="1" applyFont="1" applyNumberFormat="1"/>
    <xf borderId="0" fillId="0" fontId="1" numFmtId="171" xfId="0" applyAlignment="1" applyFont="1" applyNumberFormat="1">
      <alignment horizontal="left"/>
    </xf>
    <xf borderId="7" fillId="4" fontId="6" numFmtId="167" xfId="0" applyAlignment="1" applyBorder="1" applyFont="1" applyNumberFormat="1">
      <alignment horizontal="center"/>
    </xf>
    <xf borderId="7" fillId="4" fontId="1" numFmtId="169" xfId="0" applyAlignment="1" applyBorder="1" applyFont="1" applyNumberFormat="1">
      <alignment horizontal="center"/>
    </xf>
    <xf borderId="14" fillId="12" fontId="9" numFmtId="0" xfId="0" applyAlignment="1" applyBorder="1" applyFont="1">
      <alignment horizontal="center"/>
    </xf>
    <xf borderId="14" fillId="16" fontId="9" numFmtId="0" xfId="0" applyAlignment="1" applyBorder="1" applyFill="1" applyFont="1">
      <alignment horizontal="center"/>
    </xf>
    <xf borderId="7" fillId="13" fontId="1" numFmtId="167" xfId="0" applyBorder="1" applyFont="1" applyNumberFormat="1"/>
    <xf borderId="7" fillId="16" fontId="1" numFmtId="167" xfId="0" applyBorder="1" applyFont="1" applyNumberFormat="1"/>
    <xf borderId="7" fillId="13" fontId="9" numFmtId="167" xfId="0" applyAlignment="1" applyBorder="1" applyFont="1" applyNumberFormat="1">
      <alignment horizontal="center"/>
    </xf>
    <xf borderId="7" fillId="9" fontId="9" numFmtId="1" xfId="0" applyAlignment="1" applyBorder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7" fillId="4" fontId="9" numFmtId="167" xfId="0" applyAlignment="1" applyBorder="1" applyFont="1" applyNumberFormat="1">
      <alignment horizontal="center"/>
    </xf>
    <xf borderId="14" fillId="9" fontId="9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4" fillId="0" fontId="1" numFmtId="167" xfId="0" applyAlignment="1" applyBorder="1" applyFont="1" applyNumberFormat="1">
      <alignment horizontal="center"/>
    </xf>
    <xf borderId="20" fillId="0" fontId="1" numFmtId="40" xfId="0" applyAlignment="1" applyBorder="1" applyFont="1" applyNumberFormat="1">
      <alignment horizontal="center"/>
    </xf>
    <xf borderId="21" fillId="5" fontId="2" numFmtId="40" xfId="0" applyBorder="1" applyFont="1" applyNumberFormat="1"/>
    <xf borderId="22" fillId="0" fontId="1" numFmtId="40" xfId="0" applyAlignment="1" applyBorder="1" applyFont="1" applyNumberFormat="1">
      <alignment horizontal="center"/>
    </xf>
    <xf borderId="7" fillId="4" fontId="1" numFmtId="2" xfId="0" applyBorder="1" applyFont="1" applyNumberFormat="1"/>
    <xf borderId="0" fillId="0" fontId="9" numFmtId="0" xfId="0" applyAlignment="1" applyFont="1">
      <alignment horizontal="center"/>
    </xf>
    <xf borderId="14" fillId="10" fontId="9" numFmtId="0" xfId="0" applyAlignment="1" applyBorder="1" applyFont="1">
      <alignment horizontal="center"/>
    </xf>
    <xf borderId="0" fillId="0" fontId="1" numFmtId="1" xfId="0" applyAlignment="1" applyFont="1" applyNumberFormat="1">
      <alignment horizontal="center"/>
    </xf>
    <xf borderId="7" fillId="3" fontId="1" numFmtId="0" xfId="0" applyAlignment="1" applyBorder="1" applyFont="1">
      <alignment horizontal="center"/>
    </xf>
    <xf borderId="7" fillId="3" fontId="6" numFmtId="167" xfId="0" applyAlignment="1" applyBorder="1" applyFont="1" applyNumberFormat="1">
      <alignment horizontal="center"/>
    </xf>
    <xf borderId="7" fillId="3" fontId="6" numFmtId="0" xfId="0" applyBorder="1" applyFont="1"/>
    <xf borderId="7" fillId="3" fontId="9" numFmtId="0" xfId="0" applyAlignment="1" applyBorder="1" applyFont="1">
      <alignment horizontal="center"/>
    </xf>
    <xf borderId="0" fillId="0" fontId="1" numFmtId="0" xfId="0" applyAlignment="1" applyFont="1">
      <alignment horizontal="left"/>
    </xf>
    <xf borderId="0" fillId="0" fontId="1" numFmtId="167" xfId="0" applyAlignment="1" applyFont="1" applyNumberFormat="1">
      <alignment horizontal="center" vertical="center"/>
    </xf>
    <xf borderId="7" fillId="9" fontId="1" numFmtId="2" xfId="0" applyBorder="1" applyFont="1" applyNumberFormat="1"/>
    <xf borderId="0" fillId="0" fontId="1" numFmtId="0" xfId="0" applyAlignment="1" applyFont="1">
      <alignment horizontal="center" vertical="center"/>
    </xf>
    <xf borderId="14" fillId="13" fontId="9" numFmtId="0" xfId="0" applyAlignment="1" applyBorder="1" applyFont="1">
      <alignment horizontal="center"/>
    </xf>
    <xf borderId="7" fillId="4" fontId="1" numFmtId="0" xfId="0" applyAlignment="1" applyBorder="1" applyFont="1">
      <alignment horizontal="center"/>
    </xf>
    <xf borderId="0" fillId="0" fontId="1" numFmtId="9" xfId="0" applyFont="1" applyNumberFormat="1"/>
    <xf borderId="7" fillId="4" fontId="1" numFmtId="167" xfId="0" applyBorder="1" applyFont="1" applyNumberFormat="1"/>
    <xf borderId="0" fillId="0" fontId="1" numFmtId="10" xfId="0" applyFont="1" applyNumberFormat="1"/>
    <xf borderId="0" fillId="0" fontId="13" numFmtId="0" xfId="0" applyFont="1"/>
    <xf borderId="22" fillId="0" fontId="1" numFmtId="169" xfId="0" applyBorder="1" applyFont="1" applyNumberFormat="1"/>
    <xf borderId="17" fillId="0" fontId="9" numFmtId="0" xfId="0" applyAlignment="1" applyBorder="1" applyFont="1">
      <alignment horizontal="center"/>
    </xf>
    <xf borderId="23" fillId="0" fontId="14" numFmtId="0" xfId="0" applyBorder="1" applyFont="1"/>
    <xf borderId="18" fillId="0" fontId="14" numFmtId="0" xfId="0" applyBorder="1" applyFont="1"/>
    <xf borderId="24" fillId="0" fontId="1" numFmtId="0" xfId="0" applyBorder="1" applyFont="1"/>
    <xf borderId="3" fillId="0" fontId="1" numFmtId="9" xfId="0" applyBorder="1" applyFont="1" applyNumberFormat="1"/>
    <xf borderId="3" fillId="0" fontId="1" numFmtId="167" xfId="0" applyBorder="1" applyFont="1" applyNumberFormat="1"/>
    <xf borderId="25" fillId="4" fontId="1" numFmtId="167" xfId="0" applyBorder="1" applyFont="1" applyNumberFormat="1"/>
    <xf borderId="3" fillId="0" fontId="1" numFmtId="169" xfId="0" applyBorder="1" applyFont="1" applyNumberFormat="1"/>
    <xf borderId="3" fillId="0" fontId="1" numFmtId="2" xfId="0" applyBorder="1" applyFont="1" applyNumberFormat="1"/>
    <xf borderId="26" fillId="0" fontId="1" numFmtId="169" xfId="0" applyBorder="1" applyFont="1" applyNumberFormat="1"/>
    <xf borderId="26" fillId="0" fontId="1" numFmtId="2" xfId="0" applyBorder="1" applyFont="1" applyNumberFormat="1"/>
    <xf borderId="20" fillId="0" fontId="1" numFmtId="0" xfId="0" applyBorder="1" applyFont="1"/>
    <xf borderId="27" fillId="0" fontId="1" numFmtId="169" xfId="0" applyBorder="1" applyFont="1" applyNumberFormat="1"/>
    <xf borderId="27" fillId="0" fontId="1" numFmtId="2" xfId="0" applyBorder="1" applyFont="1" applyNumberFormat="1"/>
    <xf borderId="28" fillId="0" fontId="1" numFmtId="0" xfId="0" applyBorder="1" applyFont="1"/>
    <xf borderId="16" fillId="0" fontId="1" numFmtId="10" xfId="0" applyBorder="1" applyFont="1" applyNumberFormat="1"/>
    <xf borderId="16" fillId="0" fontId="1" numFmtId="167" xfId="0" applyBorder="1" applyFont="1" applyNumberFormat="1"/>
    <xf borderId="29" fillId="4" fontId="1" numFmtId="167" xfId="0" applyBorder="1" applyFont="1" applyNumberFormat="1"/>
    <xf borderId="16" fillId="0" fontId="1" numFmtId="169" xfId="0" applyBorder="1" applyFont="1" applyNumberFormat="1"/>
    <xf borderId="16" fillId="0" fontId="1" numFmtId="2" xfId="0" applyBorder="1" applyFont="1" applyNumberFormat="1"/>
    <xf borderId="30" fillId="0" fontId="1" numFmtId="169" xfId="0" applyBorder="1" applyFont="1" applyNumberFormat="1"/>
    <xf borderId="16" fillId="0" fontId="1" numFmtId="0" xfId="0" applyBorder="1" applyFont="1"/>
    <xf borderId="30" fillId="0" fontId="1" numFmtId="2" xfId="0" applyBorder="1" applyFont="1" applyNumberFormat="1"/>
    <xf borderId="28" fillId="0" fontId="15" numFmtId="0" xfId="0" applyBorder="1" applyFont="1"/>
    <xf borderId="17" fillId="0" fontId="16" numFmtId="0" xfId="0" applyBorder="1" applyFont="1"/>
    <xf borderId="23" fillId="0" fontId="1" numFmtId="10" xfId="0" applyBorder="1" applyFont="1" applyNumberFormat="1"/>
    <xf borderId="23" fillId="0" fontId="1" numFmtId="167" xfId="0" applyBorder="1" applyFont="1" applyNumberFormat="1"/>
    <xf borderId="23" fillId="0" fontId="1" numFmtId="0" xfId="0" applyBorder="1" applyFont="1"/>
    <xf borderId="23" fillId="0" fontId="1" numFmtId="2" xfId="0" applyBorder="1" applyFont="1" applyNumberFormat="1"/>
    <xf borderId="18" fillId="0" fontId="1" numFmtId="2" xfId="0" applyBorder="1" applyFont="1" applyNumberFormat="1"/>
    <xf borderId="31" fillId="4" fontId="1" numFmtId="167" xfId="0" applyBorder="1" applyFont="1" applyNumberFormat="1"/>
    <xf borderId="23" fillId="0" fontId="1" numFmtId="169" xfId="0" applyBorder="1" applyFont="1" applyNumberFormat="1"/>
    <xf borderId="18" fillId="0" fontId="1" numFmtId="169" xfId="0" applyBorder="1" applyFont="1" applyNumberFormat="1"/>
    <xf borderId="0" fillId="0" fontId="1" numFmtId="171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4" fillId="0" fontId="1" numFmtId="172" xfId="0" applyBorder="1" applyFont="1" applyNumberFormat="1"/>
    <xf borderId="9" fillId="5" fontId="2" numFmtId="171" xfId="0" applyAlignment="1" applyBorder="1" applyFont="1" applyNumberFormat="1">
      <alignment horizontal="center"/>
    </xf>
    <xf borderId="15" fillId="0" fontId="1" numFmtId="173" xfId="0" applyAlignment="1" applyBorder="1" applyFont="1" applyNumberFormat="1">
      <alignment horizontal="center"/>
    </xf>
    <xf borderId="16" fillId="0" fontId="1" numFmtId="169" xfId="0" applyAlignment="1" applyBorder="1" applyFont="1" applyNumberFormat="1">
      <alignment horizontal="center" vertical="center"/>
    </xf>
    <xf borderId="21" fillId="5" fontId="2" numFmtId="40" xfId="0" applyAlignment="1" applyBorder="1" applyFont="1" applyNumberFormat="1">
      <alignment horizontal="center"/>
    </xf>
    <xf borderId="0" fillId="0" fontId="9" numFmtId="0" xfId="0" applyAlignment="1" applyFont="1">
      <alignment horizontal="center" vertical="center"/>
    </xf>
    <xf borderId="7" fillId="3" fontId="2" numFmtId="171" xfId="0" applyAlignment="1" applyBorder="1" applyFont="1" applyNumberFormat="1">
      <alignment horizontal="center"/>
    </xf>
    <xf borderId="7" fillId="3" fontId="1" numFmtId="0" xfId="0" applyAlignment="1" applyBorder="1" applyFont="1">
      <alignment horizontal="center" vertical="center"/>
    </xf>
    <xf borderId="14" fillId="8" fontId="9" numFmtId="0" xfId="0" applyAlignment="1" applyBorder="1" applyFont="1">
      <alignment horizontal="center"/>
    </xf>
    <xf borderId="7" fillId="3" fontId="1" numFmtId="173" xfId="0" applyAlignment="1" applyBorder="1" applyFont="1" applyNumberFormat="1">
      <alignment horizontal="center"/>
    </xf>
    <xf borderId="7" fillId="17" fontId="1" numFmtId="171" xfId="0" applyAlignment="1" applyBorder="1" applyFill="1" applyFont="1" applyNumberFormat="1">
      <alignment horizontal="center"/>
    </xf>
    <xf borderId="0" fillId="0" fontId="9" numFmtId="167" xfId="0" applyFont="1" applyNumberFormat="1"/>
    <xf borderId="0" fillId="0" fontId="9" numFmtId="166" xfId="0" applyFont="1" applyNumberFormat="1"/>
    <xf borderId="0" fillId="0" fontId="9" numFmtId="0" xfId="0" applyFont="1"/>
    <xf borderId="0" fillId="0" fontId="9" numFmtId="10" xfId="0" applyFont="1" applyNumberFormat="1"/>
    <xf borderId="7" fillId="9" fontId="1" numFmtId="0" xfId="0" applyBorder="1" applyFont="1"/>
    <xf borderId="3" fillId="0" fontId="1" numFmtId="166" xfId="0" applyBorder="1" applyFont="1" applyNumberFormat="1"/>
    <xf borderId="7" fillId="4" fontId="6" numFmtId="0" xfId="0" applyBorder="1" applyFont="1"/>
    <xf borderId="14" fillId="4" fontId="9" numFmtId="0" xfId="0" applyAlignment="1" applyBorder="1" applyFont="1">
      <alignment horizontal="center"/>
    </xf>
    <xf borderId="0" fillId="0" fontId="9" numFmtId="2" xfId="0" applyFont="1" applyNumberFormat="1"/>
    <xf borderId="16" fillId="0" fontId="1" numFmtId="0" xfId="0" applyAlignment="1" applyBorder="1" applyFont="1">
      <alignment horizontal="center"/>
    </xf>
    <xf borderId="0" fillId="0" fontId="1" numFmtId="174" xfId="0" applyAlignment="1" applyFont="1" applyNumberFormat="1">
      <alignment horizontal="center" vertical="center"/>
    </xf>
    <xf borderId="0" fillId="0" fontId="1" numFmtId="167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7" xfId="0" applyAlignment="1" applyFont="1" applyNumberFormat="1">
      <alignment horizontal="center" readingOrder="0"/>
    </xf>
    <xf borderId="0" fillId="0" fontId="1" numFmtId="175" xfId="0" applyAlignment="1" applyFont="1" applyNumberFormat="1">
      <alignment horizontal="center"/>
    </xf>
    <xf borderId="0" fillId="18" fontId="17" numFmtId="0" xfId="0" applyAlignment="1" applyFill="1" applyFont="1">
      <alignment readingOrder="0"/>
    </xf>
    <xf borderId="7" fillId="3" fontId="1" numFmtId="176" xfId="0" applyBorder="1" applyFont="1" applyNumberFormat="1"/>
    <xf borderId="0" fillId="0" fontId="1" numFmtId="175" xfId="0" applyAlignment="1" applyFont="1" applyNumberFormat="1">
      <alignment horizontal="center" readingOrder="0"/>
    </xf>
    <xf borderId="0" fillId="0" fontId="8" numFmtId="2" xfId="0" applyFont="1" applyNumberFormat="1"/>
    <xf borderId="0" fillId="0" fontId="8" numFmtId="0" xfId="0" applyAlignment="1" applyFont="1">
      <alignment readingOrder="0"/>
    </xf>
    <xf borderId="0" fillId="0" fontId="8" numFmtId="175" xfId="0" applyFont="1" applyNumberFormat="1"/>
    <xf borderId="0" fillId="0" fontId="8" numFmtId="1" xfId="0" applyFont="1" applyNumberFormat="1"/>
    <xf borderId="24" fillId="0" fontId="18" numFmtId="0" xfId="0" applyBorder="1" applyFont="1"/>
    <xf borderId="3" fillId="0" fontId="19" numFmtId="0" xfId="0" applyBorder="1" applyFont="1"/>
    <xf borderId="3" fillId="0" fontId="1" numFmtId="0" xfId="0" applyBorder="1" applyFont="1"/>
    <xf borderId="3" fillId="0" fontId="20" numFmtId="0" xfId="0" applyBorder="1" applyFont="1"/>
    <xf borderId="26" fillId="0" fontId="1" numFmtId="0" xfId="0" applyBorder="1" applyFont="1"/>
    <xf borderId="20" fillId="0" fontId="21" numFmtId="0" xfId="0" applyAlignment="1" applyBorder="1" applyFont="1">
      <alignment horizontal="center"/>
    </xf>
    <xf borderId="27" fillId="0" fontId="14" numFmtId="0" xfId="0" applyBorder="1" applyFont="1"/>
    <xf borderId="20" fillId="0" fontId="22" numFmtId="0" xfId="0" applyAlignment="1" applyBorder="1" applyFont="1">
      <alignment horizontal="center"/>
    </xf>
    <xf borderId="27" fillId="0" fontId="1" numFmtId="0" xfId="0" applyBorder="1" applyFont="1"/>
    <xf borderId="20" fillId="0" fontId="23" numFmtId="0" xfId="0" applyAlignment="1" applyBorder="1" applyFont="1">
      <alignment vertical="center"/>
    </xf>
    <xf borderId="0" fillId="0" fontId="4" numFmtId="177" xfId="0" applyFont="1" applyNumberFormat="1"/>
    <xf borderId="0" fillId="0" fontId="24" numFmtId="178" xfId="0" applyAlignment="1" applyFont="1" applyNumberFormat="1">
      <alignment horizontal="center"/>
    </xf>
    <xf borderId="0" fillId="0" fontId="25" numFmtId="179" xfId="0" applyFont="1" applyNumberFormat="1"/>
    <xf borderId="0" fillId="0" fontId="26" numFmtId="0" xfId="0" applyFont="1"/>
    <xf borderId="0" fillId="0" fontId="1" numFmtId="179" xfId="0" applyFont="1" applyNumberFormat="1"/>
    <xf borderId="0" fillId="0" fontId="4" numFmtId="2" xfId="0" applyFont="1" applyNumberFormat="1"/>
    <xf borderId="0" fillId="0" fontId="27" numFmtId="0" xfId="0" applyFont="1"/>
    <xf borderId="27" fillId="0" fontId="19" numFmtId="0" xfId="0" applyBorder="1" applyFont="1"/>
    <xf borderId="0" fillId="0" fontId="19" numFmtId="0" xfId="0" applyFont="1"/>
    <xf borderId="20" fillId="0" fontId="28" numFmtId="0" xfId="0" applyAlignment="1" applyBorder="1" applyFont="1">
      <alignment vertical="center"/>
    </xf>
    <xf borderId="0" fillId="0" fontId="4" numFmtId="177" xfId="0" applyAlignment="1" applyFont="1" applyNumberFormat="1">
      <alignment vertical="center"/>
    </xf>
    <xf borderId="7" fillId="4" fontId="25" numFmtId="179" xfId="0" applyAlignment="1" applyBorder="1" applyFont="1" applyNumberFormat="1">
      <alignment vertical="center"/>
    </xf>
    <xf borderId="0" fillId="0" fontId="1" numFmtId="179" xfId="0" applyAlignment="1" applyFont="1" applyNumberFormat="1">
      <alignment vertical="center"/>
    </xf>
    <xf borderId="0" fillId="0" fontId="4" numFmtId="2" xfId="0" applyAlignment="1" applyFont="1" applyNumberFormat="1">
      <alignment vertical="center"/>
    </xf>
    <xf borderId="0" fillId="0" fontId="28" numFmtId="0" xfId="0" applyAlignment="1" applyFont="1">
      <alignment horizontal="right" vertical="center"/>
    </xf>
    <xf borderId="0" fillId="0" fontId="2" numFmtId="178" xfId="0" applyAlignment="1" applyFont="1" applyNumberFormat="1">
      <alignment horizontal="left" vertical="center"/>
    </xf>
    <xf borderId="0" fillId="0" fontId="2" numFmtId="179" xfId="0" applyAlignment="1" applyFont="1" applyNumberFormat="1">
      <alignment vertical="center"/>
    </xf>
    <xf borderId="0" fillId="0" fontId="26" numFmtId="0" xfId="0" applyAlignment="1" applyFont="1">
      <alignment vertical="center"/>
    </xf>
    <xf borderId="0" fillId="0" fontId="29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30" numFmtId="0" xfId="0" applyAlignment="1" applyFont="1">
      <alignment vertical="center"/>
    </xf>
    <xf borderId="0" fillId="0" fontId="31" numFmtId="0" xfId="0" applyAlignment="1" applyFont="1">
      <alignment vertical="center"/>
    </xf>
    <xf borderId="0" fillId="0" fontId="32" numFmtId="0" xfId="0" applyAlignment="1" applyFont="1">
      <alignment horizontal="right" vertical="center"/>
    </xf>
    <xf borderId="0" fillId="0" fontId="1" numFmtId="0" xfId="0" applyAlignment="1" applyFont="1">
      <alignment vertical="center"/>
    </xf>
    <xf borderId="0" fillId="0" fontId="26" numFmtId="169" xfId="0" applyFont="1" applyNumberFormat="1"/>
    <xf borderId="7" fillId="3" fontId="2" numFmtId="180" xfId="0" applyAlignment="1" applyBorder="1" applyFont="1" applyNumberFormat="1">
      <alignment horizontal="center" vertical="center"/>
    </xf>
    <xf borderId="0" fillId="0" fontId="2" numFmtId="178" xfId="0" applyAlignment="1" applyFont="1" applyNumberFormat="1">
      <alignment horizontal="center" vertical="center"/>
    </xf>
    <xf borderId="7" fillId="3" fontId="2" numFmtId="0" xfId="0" applyAlignment="1" applyBorder="1" applyFont="1">
      <alignment vertical="center"/>
    </xf>
    <xf borderId="20" fillId="0" fontId="28" numFmtId="0" xfId="0" applyBorder="1" applyFont="1"/>
    <xf borderId="0" fillId="0" fontId="29" numFmtId="0" xfId="0" applyAlignment="1" applyFont="1">
      <alignment horizontal="center"/>
    </xf>
    <xf borderId="0" fillId="0" fontId="2" numFmtId="1" xfId="0" applyAlignment="1" applyFont="1" applyNumberFormat="1">
      <alignment horizontal="center"/>
    </xf>
    <xf borderId="0" fillId="0" fontId="28" numFmtId="0" xfId="0" applyAlignment="1" applyFont="1">
      <alignment horizontal="right"/>
    </xf>
    <xf borderId="0" fillId="0" fontId="32" numFmtId="0" xfId="0" applyFont="1"/>
    <xf borderId="0" fillId="0" fontId="2" numFmtId="178" xfId="0" applyAlignment="1" applyFont="1" applyNumberFormat="1">
      <alignment horizontal="center"/>
    </xf>
    <xf borderId="0" fillId="0" fontId="2" numFmtId="181" xfId="0" applyAlignment="1" applyFont="1" applyNumberFormat="1">
      <alignment horizontal="left"/>
    </xf>
    <xf borderId="0" fillId="0" fontId="2" numFmtId="49" xfId="0" applyAlignment="1" applyFont="1" applyNumberFormat="1">
      <alignment horizontal="center"/>
    </xf>
    <xf borderId="0" fillId="0" fontId="30" numFmtId="0" xfId="0" applyFont="1"/>
    <xf borderId="0" fillId="0" fontId="31" numFmtId="0" xfId="0" applyFont="1"/>
    <xf borderId="0" fillId="0" fontId="32" numFmtId="0" xfId="0" applyAlignment="1" applyFont="1">
      <alignment horizontal="right"/>
    </xf>
    <xf borderId="0" fillId="0" fontId="33" numFmtId="0" xfId="0" applyFont="1"/>
    <xf borderId="1" fillId="5" fontId="2" numFmtId="0" xfId="0" applyAlignment="1" applyBorder="1" applyFont="1">
      <alignment horizontal="center" vertical="center"/>
    </xf>
    <xf borderId="25" fillId="5" fontId="2" numFmtId="0" xfId="0" applyAlignment="1" applyBorder="1" applyFont="1">
      <alignment horizontal="center" vertical="center"/>
    </xf>
    <xf borderId="25" fillId="5" fontId="4" numFmtId="0" xfId="0" applyAlignment="1" applyBorder="1" applyFont="1">
      <alignment horizontal="center" vertical="center"/>
    </xf>
    <xf borderId="32" fillId="5" fontId="5" numFmtId="169" xfId="0" applyAlignment="1" applyBorder="1" applyFont="1" applyNumberFormat="1">
      <alignment horizontal="center" vertical="center"/>
    </xf>
    <xf borderId="0" fillId="0" fontId="9" numFmtId="167" xfId="0" applyAlignment="1" applyFont="1" applyNumberFormat="1">
      <alignment horizontal="center" vertical="center"/>
    </xf>
    <xf borderId="7" fillId="3" fontId="1" numFmtId="167" xfId="0" applyAlignment="1" applyBorder="1" applyFont="1" applyNumberFormat="1">
      <alignment vertical="center"/>
    </xf>
    <xf borderId="5" fillId="5" fontId="4" numFmtId="15" xfId="0" applyAlignment="1" applyBorder="1" applyFont="1" applyNumberFormat="1">
      <alignment horizontal="center" vertical="center"/>
    </xf>
    <xf borderId="29" fillId="5" fontId="2" numFmtId="0" xfId="0" applyAlignment="1" applyBorder="1" applyFont="1">
      <alignment horizontal="center" vertical="center"/>
    </xf>
    <xf borderId="29" fillId="5" fontId="4" numFmtId="15" xfId="0" applyAlignment="1" applyBorder="1" applyFont="1" applyNumberFormat="1">
      <alignment horizontal="center" vertical="center"/>
    </xf>
    <xf borderId="29" fillId="5" fontId="34" numFmtId="15" xfId="0" applyAlignment="1" applyBorder="1" applyFont="1" applyNumberFormat="1">
      <alignment horizontal="center" vertical="center"/>
    </xf>
    <xf borderId="29" fillId="5" fontId="4" numFmtId="0" xfId="0" applyAlignment="1" applyBorder="1" applyFont="1">
      <alignment horizontal="center" vertical="center"/>
    </xf>
    <xf borderId="33" fillId="5" fontId="4" numFmtId="169" xfId="0" applyAlignment="1" applyBorder="1" applyFont="1" applyNumberFormat="1">
      <alignment horizontal="center" vertical="center"/>
    </xf>
    <xf borderId="1" fillId="19" fontId="32" numFmtId="0" xfId="0" applyAlignment="1" applyBorder="1" applyFill="1" applyFont="1">
      <alignment horizontal="center"/>
    </xf>
    <xf borderId="3" fillId="0" fontId="2" numFmtId="178" xfId="0" applyAlignment="1" applyBorder="1" applyFont="1" applyNumberFormat="1">
      <alignment horizontal="center"/>
    </xf>
    <xf borderId="3" fillId="0" fontId="2" numFmtId="165" xfId="0" applyAlignment="1" applyBorder="1" applyFont="1" applyNumberFormat="1">
      <alignment horizontal="center"/>
    </xf>
    <xf borderId="25" fillId="5" fontId="2" numFmtId="1" xfId="0" applyAlignment="1" applyBorder="1" applyFont="1" applyNumberFormat="1">
      <alignment horizontal="center"/>
    </xf>
    <xf borderId="3" fillId="0" fontId="2" numFmtId="182" xfId="0" applyAlignment="1" applyBorder="1" applyFont="1" applyNumberFormat="1">
      <alignment horizontal="center"/>
    </xf>
    <xf borderId="3" fillId="0" fontId="2" numFmtId="183" xfId="0" applyAlignment="1" applyBorder="1" applyFont="1" applyNumberFormat="1">
      <alignment horizontal="center"/>
    </xf>
    <xf borderId="3" fillId="0" fontId="2" numFmtId="172" xfId="0" applyAlignment="1" applyBorder="1" applyFont="1" applyNumberFormat="1">
      <alignment horizontal="center"/>
    </xf>
    <xf borderId="26" fillId="0" fontId="2" numFmtId="169" xfId="0" applyAlignment="1" applyBorder="1" applyFont="1" applyNumberFormat="1">
      <alignment horizontal="center"/>
    </xf>
    <xf borderId="21" fillId="19" fontId="32" numFmtId="0" xfId="0" applyAlignment="1" applyBorder="1" applyFont="1">
      <alignment horizontal="center"/>
    </xf>
    <xf borderId="0" fillId="0" fontId="2" numFmtId="165" xfId="0" applyAlignment="1" applyFont="1" applyNumberFormat="1">
      <alignment horizontal="center"/>
    </xf>
    <xf borderId="0" fillId="0" fontId="2" numFmtId="172" xfId="0" applyAlignment="1" applyFont="1" applyNumberFormat="1">
      <alignment horizontal="center" vertical="center"/>
    </xf>
    <xf borderId="7" fillId="4" fontId="2" numFmtId="165" xfId="0" applyAlignment="1" applyBorder="1" applyFont="1" applyNumberFormat="1">
      <alignment horizontal="center" vertical="center"/>
    </xf>
    <xf borderId="7" fillId="5" fontId="2" numFmtId="1" xfId="0" applyAlignment="1" applyBorder="1" applyFont="1" applyNumberFormat="1">
      <alignment horizontal="center" vertical="top"/>
    </xf>
    <xf borderId="7" fillId="4" fontId="2" numFmtId="165" xfId="0" applyAlignment="1" applyBorder="1" applyFont="1" applyNumberFormat="1">
      <alignment horizontal="center"/>
    </xf>
    <xf borderId="7" fillId="4" fontId="2" numFmtId="0" xfId="0" applyAlignment="1" applyBorder="1" applyFont="1">
      <alignment horizontal="center"/>
    </xf>
    <xf borderId="7" fillId="4" fontId="2" numFmtId="172" xfId="0" applyAlignment="1" applyBorder="1" applyFont="1" applyNumberFormat="1">
      <alignment horizontal="center"/>
    </xf>
    <xf borderId="0" fillId="0" fontId="2" numFmtId="172" xfId="0" applyAlignment="1" applyFont="1" applyNumberFormat="1">
      <alignment horizontal="center"/>
    </xf>
    <xf borderId="0" fillId="0" fontId="2" numFmtId="182" xfId="0" applyAlignment="1" applyFont="1" applyNumberFormat="1">
      <alignment horizontal="center"/>
    </xf>
    <xf borderId="0" fillId="0" fontId="2" numFmtId="183" xfId="0" applyAlignment="1" applyFont="1" applyNumberFormat="1">
      <alignment horizontal="center"/>
    </xf>
    <xf borderId="27" fillId="0" fontId="2" numFmtId="169" xfId="0" applyAlignment="1" applyBorder="1" applyFont="1" applyNumberFormat="1">
      <alignment horizontal="center"/>
    </xf>
    <xf borderId="0" fillId="0" fontId="2" numFmtId="165" xfId="0" applyAlignment="1" applyFont="1" applyNumberFormat="1">
      <alignment horizontal="center" vertical="center"/>
    </xf>
    <xf borderId="0" fillId="0" fontId="2" numFmtId="0" xfId="0" applyAlignment="1" applyFont="1">
      <alignment horizontal="center"/>
    </xf>
    <xf borderId="0" fillId="0" fontId="2" numFmtId="180" xfId="0" applyAlignment="1" applyFont="1" applyNumberFormat="1">
      <alignment horizontal="center"/>
    </xf>
    <xf borderId="0" fillId="0" fontId="35" numFmtId="0" xfId="0" applyAlignment="1" applyFont="1">
      <alignment horizontal="right" vertical="top"/>
    </xf>
    <xf borderId="7" fillId="5" fontId="2" numFmtId="170" xfId="0" applyAlignment="1" applyBorder="1" applyFont="1" applyNumberFormat="1">
      <alignment horizontal="center" vertical="top"/>
    </xf>
    <xf borderId="0" fillId="0" fontId="33" numFmtId="0" xfId="0" applyAlignment="1" applyFont="1">
      <alignment horizontal="right" vertical="top"/>
    </xf>
    <xf borderId="0" fillId="0" fontId="2" numFmtId="165" xfId="0" applyAlignment="1" applyFont="1" applyNumberFormat="1">
      <alignment horizontal="left" vertical="center"/>
    </xf>
    <xf borderId="0" fillId="0" fontId="2" numFmtId="170" xfId="0" applyAlignment="1" applyFont="1" applyNumberFormat="1">
      <alignment horizontal="left" vertical="top"/>
    </xf>
    <xf borderId="27" fillId="0" fontId="5" numFmtId="169" xfId="0" applyAlignment="1" applyBorder="1" applyFont="1" applyNumberFormat="1">
      <alignment horizontal="center" vertical="top"/>
    </xf>
    <xf borderId="21" fillId="19" fontId="32" numFmtId="0" xfId="0" applyAlignment="1" applyBorder="1" applyFont="1">
      <alignment horizontal="center" vertical="top"/>
    </xf>
    <xf borderId="0" fillId="0" fontId="36" numFmtId="165" xfId="0" applyFont="1" applyNumberFormat="1"/>
    <xf borderId="0" fillId="0" fontId="4" numFmtId="165" xfId="0" applyAlignment="1" applyFont="1" applyNumberFormat="1">
      <alignment horizontal="center" vertical="top"/>
    </xf>
    <xf borderId="0" fillId="0" fontId="34" numFmtId="184" xfId="0" applyAlignment="1" applyFont="1" applyNumberFormat="1">
      <alignment horizontal="center" vertical="top"/>
    </xf>
    <xf borderId="0" fillId="0" fontId="4" numFmtId="165" xfId="0" applyAlignment="1" applyFont="1" applyNumberFormat="1">
      <alignment vertical="top"/>
    </xf>
    <xf borderId="0" fillId="0" fontId="1" numFmtId="0" xfId="0" applyAlignment="1" applyFont="1">
      <alignment vertical="top"/>
    </xf>
    <xf borderId="0" fillId="0" fontId="37" numFmtId="165" xfId="0" applyAlignment="1" applyFont="1" applyNumberFormat="1">
      <alignment horizontal="center" vertical="top"/>
    </xf>
    <xf borderId="27" fillId="0" fontId="2" numFmtId="169" xfId="0" applyAlignment="1" applyBorder="1" applyFont="1" applyNumberFormat="1">
      <alignment horizontal="center" vertical="top"/>
    </xf>
    <xf borderId="0" fillId="0" fontId="9" numFmtId="167" xfId="0" applyAlignment="1" applyFont="1" applyNumberFormat="1">
      <alignment horizontal="center" vertical="top"/>
    </xf>
    <xf borderId="0" fillId="0" fontId="1" numFmtId="167" xfId="0" applyAlignment="1" applyFont="1" applyNumberFormat="1">
      <alignment horizontal="center" vertical="top"/>
    </xf>
    <xf borderId="0" fillId="0" fontId="1" numFmtId="167" xfId="0" applyAlignment="1" applyFont="1" applyNumberFormat="1">
      <alignment vertical="top"/>
    </xf>
    <xf borderId="0" fillId="0" fontId="38" numFmtId="0" xfId="0" applyFont="1"/>
    <xf borderId="0" fillId="0" fontId="33" numFmtId="2" xfId="0" applyAlignment="1" applyFont="1" applyNumberFormat="1">
      <alignment horizontal="center"/>
    </xf>
    <xf borderId="0" fillId="0" fontId="34" numFmtId="165" xfId="0" applyFont="1" applyNumberFormat="1"/>
    <xf borderId="0" fillId="0" fontId="4" numFmtId="165" xfId="0" applyFont="1" applyNumberFormat="1"/>
    <xf borderId="0" fillId="0" fontId="39" numFmtId="165" xfId="0" applyFont="1" applyNumberFormat="1"/>
    <xf borderId="0" fillId="0" fontId="35" numFmtId="0" xfId="0" applyAlignment="1" applyFont="1">
      <alignment horizontal="right"/>
    </xf>
    <xf borderId="27" fillId="0" fontId="35" numFmtId="172" xfId="0" applyBorder="1" applyFont="1" applyNumberFormat="1"/>
    <xf borderId="0" fillId="0" fontId="38" numFmtId="0" xfId="0" applyAlignment="1" applyFont="1">
      <alignment horizontal="center"/>
    </xf>
    <xf borderId="27" fillId="0" fontId="5" numFmtId="169" xfId="0" applyBorder="1" applyFont="1" applyNumberFormat="1"/>
    <xf borderId="0" fillId="0" fontId="40" numFmtId="0" xfId="0" applyFont="1"/>
    <xf borderId="5" fillId="19" fontId="32" numFmtId="0" xfId="0" applyAlignment="1" applyBorder="1" applyFont="1">
      <alignment horizontal="center"/>
    </xf>
    <xf borderId="16" fillId="0" fontId="38" numFmtId="165" xfId="0" applyBorder="1" applyFont="1" applyNumberFormat="1"/>
    <xf borderId="16" fillId="0" fontId="41" numFmtId="0" xfId="0" applyBorder="1" applyFont="1"/>
    <xf borderId="16" fillId="0" fontId="40" numFmtId="0" xfId="0" applyBorder="1" applyFont="1"/>
    <xf borderId="16" fillId="0" fontId="4" numFmtId="165" xfId="0" applyBorder="1" applyFont="1" applyNumberFormat="1"/>
    <xf borderId="16" fillId="0" fontId="4" numFmtId="184" xfId="0" applyBorder="1" applyFont="1" applyNumberFormat="1"/>
    <xf borderId="16" fillId="0" fontId="4" numFmtId="2" xfId="0" applyBorder="1" applyFont="1" applyNumberFormat="1"/>
    <xf borderId="16" fillId="0" fontId="4" numFmtId="184" xfId="0" applyAlignment="1" applyBorder="1" applyFont="1" applyNumberFormat="1">
      <alignment horizontal="center"/>
    </xf>
    <xf borderId="16" fillId="0" fontId="35" numFmtId="0" xfId="0" applyBorder="1" applyFont="1"/>
    <xf borderId="16" fillId="0" fontId="35" numFmtId="0" xfId="0" applyAlignment="1" applyBorder="1" applyFont="1">
      <alignment horizontal="right"/>
    </xf>
    <xf borderId="30" fillId="0" fontId="5" numFmtId="169" xfId="0" applyBorder="1" applyFont="1" applyNumberFormat="1"/>
    <xf borderId="7" fillId="3" fontId="2" numFmtId="174" xfId="0" applyAlignment="1" applyBorder="1" applyFont="1" applyNumberFormat="1">
      <alignment horizontal="center" vertical="center"/>
    </xf>
    <xf borderId="7" fillId="3" fontId="2" numFmtId="0" xfId="0" applyAlignment="1" applyBorder="1" applyFont="1">
      <alignment horizontal="center" vertical="center"/>
    </xf>
    <xf borderId="7" fillId="3" fontId="42" numFmtId="0" xfId="0" applyAlignment="1" applyBorder="1" applyFont="1">
      <alignment shrinkToFit="0" vertical="center" wrapText="1"/>
    </xf>
    <xf borderId="7" fillId="3" fontId="43" numFmtId="0" xfId="0" applyAlignment="1" applyBorder="1" applyFont="1">
      <alignment shrinkToFit="0" vertical="center" wrapText="1"/>
    </xf>
    <xf borderId="7" fillId="3" fontId="44" numFmtId="0" xfId="0" applyAlignment="1" applyBorder="1" applyFont="1">
      <alignment vertical="center"/>
    </xf>
    <xf borderId="7" fillId="3" fontId="1" numFmtId="0" xfId="0" applyAlignment="1" applyBorder="1" applyFont="1">
      <alignment vertical="center"/>
    </xf>
    <xf borderId="7" fillId="3" fontId="45" numFmtId="0" xfId="0" applyAlignment="1" applyBorder="1" applyFont="1">
      <alignment vertical="center"/>
    </xf>
    <xf borderId="34" fillId="3" fontId="46" numFmtId="0" xfId="0" applyAlignment="1" applyBorder="1" applyFont="1">
      <alignment horizontal="center" vertical="center"/>
    </xf>
    <xf borderId="35" fillId="0" fontId="14" numFmtId="0" xfId="0" applyBorder="1" applyFont="1"/>
    <xf borderId="36" fillId="0" fontId="14" numFmtId="0" xfId="0" applyBorder="1" applyFont="1"/>
    <xf borderId="34" fillId="3" fontId="47" numFmtId="0" xfId="0" applyAlignment="1" applyBorder="1" applyFont="1">
      <alignment horizontal="center" vertical="center"/>
    </xf>
    <xf borderId="7" fillId="3" fontId="42" numFmtId="0" xfId="0" applyAlignment="1" applyBorder="1" applyFont="1">
      <alignment vertical="center"/>
    </xf>
    <xf borderId="7" fillId="3" fontId="48" numFmtId="0" xfId="0" applyAlignment="1" applyBorder="1" applyFont="1">
      <alignment vertical="center"/>
    </xf>
    <xf borderId="7" fillId="3" fontId="44" numFmtId="171" xfId="0" applyAlignment="1" applyBorder="1" applyFont="1" applyNumberFormat="1">
      <alignment vertical="center"/>
    </xf>
    <xf borderId="7" fillId="3" fontId="45" numFmtId="171" xfId="0" applyAlignment="1" applyBorder="1" applyFont="1" applyNumberFormat="1">
      <alignment vertical="center"/>
    </xf>
    <xf borderId="37" fillId="3" fontId="9" numFmtId="0" xfId="0" applyAlignment="1" applyBorder="1" applyFont="1">
      <alignment horizontal="left" vertical="center"/>
    </xf>
    <xf borderId="38" fillId="0" fontId="14" numFmtId="0" xfId="0" applyBorder="1" applyFont="1"/>
    <xf borderId="39" fillId="3" fontId="9" numFmtId="0" xfId="0" applyAlignment="1" applyBorder="1" applyFont="1">
      <alignment horizontal="right" vertical="center"/>
    </xf>
    <xf borderId="37" fillId="3" fontId="49" numFmtId="0" xfId="0" applyAlignment="1" applyBorder="1" applyFont="1">
      <alignment horizontal="left" shrinkToFit="0" vertical="center" wrapText="1"/>
    </xf>
    <xf borderId="40" fillId="0" fontId="14" numFmtId="0" xfId="0" applyBorder="1" applyFont="1"/>
    <xf borderId="7" fillId="3" fontId="42" numFmtId="0" xfId="0" applyAlignment="1" applyBorder="1" applyFont="1">
      <alignment horizontal="left" vertical="center"/>
    </xf>
    <xf borderId="41" fillId="0" fontId="14" numFmtId="0" xfId="0" applyBorder="1" applyFont="1"/>
    <xf borderId="42" fillId="0" fontId="14" numFmtId="0" xfId="0" applyBorder="1" applyFont="1"/>
    <xf borderId="43" fillId="0" fontId="14" numFmtId="0" xfId="0" applyBorder="1" applyFont="1"/>
    <xf borderId="44" fillId="0" fontId="14" numFmtId="0" xfId="0" applyBorder="1" applyFont="1"/>
    <xf borderId="37" fillId="3" fontId="9" numFmtId="0" xfId="0" applyAlignment="1" applyBorder="1" applyFont="1">
      <alignment horizontal="left" vertical="top"/>
    </xf>
    <xf borderId="39" fillId="3" fontId="9" numFmtId="0" xfId="0" applyAlignment="1" applyBorder="1" applyFont="1">
      <alignment horizontal="right" vertical="top"/>
    </xf>
    <xf borderId="37" fillId="3" fontId="1" numFmtId="0" xfId="0" applyAlignment="1" applyBorder="1" applyFont="1">
      <alignment horizontal="left" shrinkToFit="0" vertical="top" wrapText="1"/>
    </xf>
    <xf borderId="34" fillId="3" fontId="9" numFmtId="0" xfId="0" applyAlignment="1" applyBorder="1" applyFont="1">
      <alignment horizontal="left"/>
    </xf>
    <xf borderId="7" fillId="3" fontId="9" numFmtId="0" xfId="0" applyAlignment="1" applyBorder="1" applyFont="1">
      <alignment horizontal="right"/>
    </xf>
    <xf borderId="7" fillId="3" fontId="9" numFmtId="0" xfId="0" applyAlignment="1" applyBorder="1" applyFont="1">
      <alignment vertical="center"/>
    </xf>
    <xf borderId="7" fillId="3" fontId="6" numFmtId="0" xfId="0" applyAlignment="1" applyBorder="1" applyFont="1">
      <alignment vertical="center"/>
    </xf>
    <xf borderId="7" fillId="3" fontId="9" numFmtId="0" xfId="0" applyAlignment="1" applyBorder="1" applyFont="1">
      <alignment horizontal="right" vertical="center"/>
    </xf>
    <xf borderId="7" fillId="3" fontId="9" numFmtId="0" xfId="0" applyAlignment="1" applyBorder="1" applyFont="1">
      <alignment horizontal="left" vertical="top"/>
    </xf>
    <xf borderId="7" fillId="3" fontId="1" numFmtId="0" xfId="0" applyAlignment="1" applyBorder="1" applyFont="1">
      <alignment horizontal="left" vertical="center"/>
    </xf>
    <xf borderId="7" fillId="3" fontId="1" numFmtId="1" xfId="0" applyAlignment="1" applyBorder="1" applyFont="1" applyNumberFormat="1">
      <alignment horizontal="left" vertical="center"/>
    </xf>
    <xf borderId="7" fillId="3" fontId="9" numFmtId="0" xfId="0" applyAlignment="1" applyBorder="1" applyFont="1">
      <alignment horizontal="left" vertical="center"/>
    </xf>
    <xf borderId="7" fillId="3" fontId="1" numFmtId="177" xfId="0" applyAlignment="1" applyBorder="1" applyFont="1" applyNumberFormat="1">
      <alignment horizontal="left" vertical="center"/>
    </xf>
    <xf borderId="7" fillId="3" fontId="48" numFmtId="0" xfId="0" applyAlignment="1" applyBorder="1" applyFont="1">
      <alignment horizontal="left" vertical="center"/>
    </xf>
    <xf borderId="7" fillId="3" fontId="50" numFmtId="0" xfId="0" applyAlignment="1" applyBorder="1" applyFont="1">
      <alignment vertical="center"/>
    </xf>
    <xf borderId="7" fillId="3" fontId="51" numFmtId="0" xfId="0" applyAlignment="1" applyBorder="1" applyFont="1">
      <alignment horizontal="right" vertical="center"/>
    </xf>
    <xf borderId="7" fillId="3" fontId="50" numFmtId="0" xfId="0" applyAlignment="1" applyBorder="1" applyFont="1">
      <alignment horizontal="left" vertical="center"/>
    </xf>
    <xf borderId="7" fillId="3" fontId="9" numFmtId="0" xfId="0" applyAlignment="1" applyBorder="1" applyFont="1">
      <alignment horizontal="left"/>
    </xf>
    <xf borderId="7" fillId="3" fontId="1" numFmtId="171" xfId="0" applyAlignment="1" applyBorder="1" applyFont="1" applyNumberFormat="1">
      <alignment horizontal="left" vertical="center"/>
    </xf>
    <xf borderId="7" fillId="3" fontId="44" numFmtId="185" xfId="0" applyAlignment="1" applyBorder="1" applyFont="1" applyNumberFormat="1">
      <alignment horizontal="left" vertical="center"/>
    </xf>
    <xf borderId="0" fillId="0" fontId="43" numFmtId="0" xfId="0" applyAlignment="1" applyFont="1">
      <alignment shrinkToFit="0" vertical="center" wrapText="1"/>
    </xf>
    <xf borderId="45" fillId="20" fontId="9" numFmtId="0" xfId="0" applyAlignment="1" applyBorder="1" applyFill="1" applyFont="1">
      <alignment horizontal="center" vertical="center"/>
    </xf>
    <xf borderId="46" fillId="20" fontId="9" numFmtId="0" xfId="0" applyAlignment="1" applyBorder="1" applyFont="1">
      <alignment horizontal="center" vertical="center"/>
    </xf>
    <xf borderId="47" fillId="0" fontId="14" numFmtId="0" xfId="0" applyBorder="1" applyFont="1"/>
    <xf borderId="48" fillId="20" fontId="9" numFmtId="0" xfId="0" applyAlignment="1" applyBorder="1" applyFont="1">
      <alignment horizontal="center" vertical="center"/>
    </xf>
    <xf borderId="49" fillId="0" fontId="14" numFmtId="0" xfId="0" applyBorder="1" applyFont="1"/>
    <xf borderId="50" fillId="0" fontId="14" numFmtId="0" xfId="0" applyBorder="1" applyFont="1"/>
    <xf borderId="7" fillId="3" fontId="9" numFmtId="171" xfId="0" applyAlignment="1" applyBorder="1" applyFont="1" applyNumberFormat="1">
      <alignment horizontal="center" shrinkToFit="0" vertical="center" wrapText="1"/>
    </xf>
    <xf borderId="0" fillId="0" fontId="9" numFmtId="171" xfId="0" applyAlignment="1" applyFont="1" applyNumberFormat="1">
      <alignment shrinkToFit="0" vertical="center" wrapText="1"/>
    </xf>
    <xf borderId="45" fillId="3" fontId="1" numFmtId="0" xfId="0" applyAlignment="1" applyBorder="1" applyFont="1">
      <alignment horizontal="center" vertical="center"/>
    </xf>
    <xf borderId="51" fillId="3" fontId="9" numFmtId="167" xfId="0" applyAlignment="1" applyBorder="1" applyFont="1" applyNumberFormat="1">
      <alignment horizontal="right" vertical="center"/>
    </xf>
    <xf borderId="52" fillId="3" fontId="9" numFmtId="167" xfId="0" applyAlignment="1" applyBorder="1" applyFont="1" applyNumberFormat="1">
      <alignment horizontal="left" vertical="center"/>
    </xf>
    <xf borderId="53" fillId="11" fontId="1" numFmtId="167" xfId="0" applyAlignment="1" applyBorder="1" applyFont="1" applyNumberFormat="1">
      <alignment horizontal="center" vertical="center"/>
    </xf>
    <xf borderId="7" fillId="3" fontId="1" numFmtId="2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vertical="center"/>
    </xf>
    <xf borderId="7" fillId="3" fontId="9" numFmtId="167" xfId="0" applyAlignment="1" applyBorder="1" applyFont="1" applyNumberFormat="1">
      <alignment horizontal="right" vertical="center"/>
    </xf>
    <xf borderId="7" fillId="3" fontId="9" numFmtId="167" xfId="0" applyAlignment="1" applyBorder="1" applyFont="1" applyNumberFormat="1">
      <alignment horizontal="left" vertical="center"/>
    </xf>
    <xf borderId="34" fillId="11" fontId="1" numFmtId="167" xfId="0" applyAlignment="1" applyBorder="1" applyFont="1" applyNumberFormat="1">
      <alignment horizontal="center" vertical="center"/>
    </xf>
    <xf borderId="7" fillId="11" fontId="1" numFmtId="167" xfId="0" applyAlignment="1" applyBorder="1" applyFont="1" applyNumberFormat="1">
      <alignment horizontal="center" vertical="center"/>
    </xf>
    <xf borderId="34" fillId="3" fontId="1" numFmtId="167" xfId="0" applyAlignment="1" applyBorder="1" applyFont="1" applyNumberFormat="1">
      <alignment horizontal="center" vertical="center"/>
    </xf>
    <xf borderId="7" fillId="3" fontId="1" numFmtId="167" xfId="0" applyAlignment="1" applyBorder="1" applyFont="1" applyNumberFormat="1">
      <alignment horizontal="center" vertical="center"/>
    </xf>
    <xf borderId="7" fillId="21" fontId="52" numFmtId="0" xfId="0" applyAlignment="1" applyBorder="1" applyFill="1" applyFont="1">
      <alignment horizontal="left" vertical="center"/>
    </xf>
    <xf borderId="7" fillId="21" fontId="1" numFmtId="0" xfId="0" applyAlignment="1" applyBorder="1" applyFont="1">
      <alignment horizontal="center" vertical="center"/>
    </xf>
    <xf borderId="7" fillId="21" fontId="1" numFmtId="167" xfId="0" applyAlignment="1" applyBorder="1" applyFont="1" applyNumberFormat="1">
      <alignment horizontal="center" vertical="center"/>
    </xf>
    <xf borderId="37" fillId="3" fontId="1" numFmtId="0" xfId="0" applyAlignment="1" applyBorder="1" applyFont="1">
      <alignment shrinkToFit="0" vertical="top" wrapText="1"/>
    </xf>
    <xf borderId="54" fillId="0" fontId="14" numFmtId="0" xfId="0" applyBorder="1" applyFont="1"/>
    <xf borderId="55" fillId="0" fontId="14" numFmtId="0" xfId="0" applyBorder="1" applyFont="1"/>
    <xf borderId="7" fillId="3" fontId="45" numFmtId="2" xfId="0" applyAlignment="1" applyBorder="1" applyFont="1" applyNumberFormat="1">
      <alignment vertical="center"/>
    </xf>
    <xf borderId="37" fillId="3" fontId="44" numFmtId="0" xfId="0" applyAlignment="1" applyBorder="1" applyFont="1">
      <alignment horizontal="left" shrinkToFit="0" vertical="center" wrapText="1"/>
    </xf>
    <xf borderId="7" fillId="3" fontId="42" numFmtId="0" xfId="0" applyAlignment="1" applyBorder="1" applyFont="1">
      <alignment horizontal="left"/>
    </xf>
    <xf borderId="7" fillId="3" fontId="53" numFmtId="0" xfId="0" applyAlignment="1" applyBorder="1" applyFont="1">
      <alignment vertical="center"/>
    </xf>
    <xf borderId="7" fillId="3" fontId="54" numFmtId="0" xfId="0" applyAlignment="1" applyBorder="1" applyFont="1">
      <alignment vertical="center"/>
    </xf>
    <xf borderId="34" fillId="3" fontId="54" numFmtId="0" xfId="0" applyAlignment="1" applyBorder="1" applyFont="1">
      <alignment horizontal="left" vertical="center"/>
    </xf>
    <xf borderId="7" fillId="22" fontId="1" numFmtId="170" xfId="0" applyBorder="1" applyFill="1" applyFont="1" applyNumberFormat="1"/>
    <xf borderId="7" fillId="22" fontId="1" numFmtId="170" xfId="0" applyAlignment="1" applyBorder="1" applyFont="1" applyNumberFormat="1">
      <alignment horizontal="center" vertical="center"/>
    </xf>
    <xf borderId="7" fillId="22" fontId="1" numFmtId="186" xfId="0" applyAlignment="1" applyBorder="1" applyFont="1" applyNumberFormat="1">
      <alignment horizontal="center" vertical="center"/>
    </xf>
    <xf borderId="0" fillId="0" fontId="1" numFmtId="167" xfId="0" applyAlignment="1" applyFont="1" applyNumberFormat="1">
      <alignment horizontal="left"/>
    </xf>
    <xf borderId="7" fillId="22" fontId="1" numFmtId="10" xfId="0" applyAlignment="1" applyBorder="1" applyFont="1" applyNumberFormat="1">
      <alignment horizontal="right" vertical="center"/>
    </xf>
    <xf borderId="7" fillId="12" fontId="1" numFmtId="170" xfId="0" applyAlignment="1" applyBorder="1" applyFont="1" applyNumberFormat="1">
      <alignment horizontal="center" vertical="center"/>
    </xf>
    <xf borderId="7" fillId="4" fontId="1" numFmtId="187" xfId="0" applyBorder="1" applyFont="1" applyNumberFormat="1"/>
    <xf borderId="0" fillId="0" fontId="1" numFmtId="170" xfId="0" applyFont="1" applyNumberFormat="1"/>
    <xf borderId="7" fillId="13" fontId="1" numFmtId="2" xfId="0" applyBorder="1" applyFont="1" applyNumberFormat="1"/>
    <xf borderId="0" fillId="0" fontId="6" numFmtId="0" xfId="0" applyAlignment="1" applyFont="1">
      <alignment horizontal="center"/>
    </xf>
    <xf borderId="0" fillId="0" fontId="1" numFmtId="188" xfId="0" applyFont="1" applyNumberFormat="1"/>
    <xf borderId="7" fillId="22" fontId="1" numFmtId="0" xfId="0" applyBorder="1" applyFont="1"/>
    <xf borderId="7" fillId="22" fontId="1" numFmtId="169" xfId="0" applyBorder="1" applyFont="1" applyNumberFormat="1"/>
    <xf borderId="7" fillId="6" fontId="1" numFmtId="0" xfId="0" applyBorder="1" applyFont="1"/>
    <xf borderId="7" fillId="6" fontId="1" numFmtId="169" xfId="0" applyBorder="1" applyFont="1" applyNumberFormat="1"/>
    <xf borderId="7" fillId="4" fontId="1" numFmtId="169" xfId="0" applyBorder="1" applyFont="1" applyNumberFormat="1"/>
    <xf borderId="0" fillId="0" fontId="6" numFmtId="0" xfId="0" applyAlignment="1" applyFont="1">
      <alignment horizontal="center" vertical="center"/>
    </xf>
    <xf borderId="0" fillId="0" fontId="6" numFmtId="167" xfId="0" applyAlignment="1" applyFont="1" applyNumberFormat="1">
      <alignment horizontal="center" vertical="center"/>
    </xf>
    <xf borderId="7" fillId="9" fontId="1" numFmtId="167" xfId="0" applyAlignment="1" applyBorder="1" applyFont="1" applyNumberFormat="1">
      <alignment horizontal="center"/>
    </xf>
    <xf borderId="0" fillId="0" fontId="1" numFmtId="0" xfId="0" applyAlignment="1" applyFont="1">
      <alignment horizontal="left" shrinkToFit="0" wrapText="1"/>
    </xf>
    <xf borderId="7" fillId="4" fontId="1" numFmtId="171" xfId="0" applyAlignment="1" applyBorder="1" applyFont="1" applyNumberFormat="1">
      <alignment horizontal="center"/>
    </xf>
    <xf borderId="0" fillId="0" fontId="55" numFmtId="2" xfId="0" applyFont="1" applyNumberFormat="1"/>
    <xf borderId="14" fillId="12" fontId="1" numFmtId="171" xfId="0" applyAlignment="1" applyBorder="1" applyFont="1" applyNumberFormat="1">
      <alignment horizontal="center"/>
    </xf>
    <xf borderId="14" fillId="12" fontId="9" numFmtId="171" xfId="0" applyAlignment="1" applyBorder="1" applyFont="1" applyNumberFormat="1">
      <alignment horizontal="center"/>
    </xf>
    <xf borderId="0" fillId="0" fontId="1" numFmtId="189" xfId="0" applyFont="1" applyNumberFormat="1"/>
    <xf borderId="14" fillId="12" fontId="56" numFmtId="0" xfId="0" applyAlignment="1" applyBorder="1" applyFont="1">
      <alignment horizontal="center"/>
    </xf>
    <xf borderId="7" fillId="3" fontId="6" numFmtId="2" xfId="0" applyBorder="1" applyFont="1" applyNumberFormat="1"/>
    <xf borderId="56" fillId="0" fontId="9" numFmtId="171" xfId="0" applyAlignment="1" applyBorder="1" applyFont="1" applyNumberFormat="1">
      <alignment horizontal="center"/>
    </xf>
    <xf borderId="7" fillId="11" fontId="1" numFmtId="0" xfId="0" applyBorder="1" applyFont="1"/>
    <xf borderId="7" fillId="9" fontId="9" numFmtId="40" xfId="0" applyBorder="1" applyFont="1" applyNumberFormat="1"/>
    <xf borderId="7" fillId="3" fontId="1" numFmtId="171" xfId="0" applyAlignment="1" applyBorder="1" applyFont="1" applyNumberFormat="1">
      <alignment horizontal="center"/>
    </xf>
    <xf borderId="10" fillId="22" fontId="1" numFmtId="0" xfId="0" applyBorder="1" applyFont="1"/>
    <xf borderId="13" fillId="22" fontId="1" numFmtId="169" xfId="0" applyBorder="1" applyFont="1" applyNumberFormat="1"/>
    <xf borderId="14" fillId="22" fontId="1" numFmtId="0" xfId="0" applyBorder="1" applyFont="1"/>
    <xf borderId="57" fillId="22" fontId="1" numFmtId="169" xfId="0" applyBorder="1" applyFont="1" applyNumberFormat="1"/>
    <xf borderId="7" fillId="12" fontId="1" numFmtId="171" xfId="0" applyAlignment="1" applyBorder="1" applyFont="1" applyNumberFormat="1">
      <alignment horizontal="center"/>
    </xf>
    <xf borderId="14" fillId="6" fontId="1" numFmtId="0" xfId="0" applyBorder="1" applyFont="1"/>
    <xf borderId="57" fillId="6" fontId="1" numFmtId="169" xfId="0" applyBorder="1" applyFont="1" applyNumberFormat="1"/>
    <xf borderId="58" fillId="4" fontId="1" numFmtId="0" xfId="0" applyBorder="1" applyFont="1"/>
    <xf borderId="59" fillId="4" fontId="1" numFmtId="169" xfId="0" applyBorder="1" applyFont="1" applyNumberFormat="1"/>
    <xf borderId="0" fillId="0" fontId="1" numFmtId="2" xfId="0" applyAlignment="1" applyFont="1" applyNumberFormat="1">
      <alignment horizontal="right"/>
    </xf>
    <xf borderId="57" fillId="3" fontId="1" numFmtId="169" xfId="0" applyBorder="1" applyFont="1" applyNumberFormat="1"/>
    <xf borderId="0" fillId="0" fontId="1" numFmtId="173" xfId="0" applyFont="1" applyNumberFormat="1"/>
    <xf borderId="0" fillId="0" fontId="55" numFmtId="2" xfId="0" applyAlignment="1" applyFont="1" applyNumberFormat="1">
      <alignment horizontal="right"/>
    </xf>
    <xf borderId="7" fillId="9" fontId="1" numFmtId="1" xfId="0" applyAlignment="1" applyBorder="1" applyFont="1" applyNumberFormat="1">
      <alignment horizontal="center"/>
    </xf>
    <xf borderId="7" fillId="9" fontId="9" numFmtId="0" xfId="0" applyAlignment="1" applyBorder="1" applyFont="1">
      <alignment horizontal="center" vertical="center"/>
    </xf>
    <xf borderId="7" fillId="4" fontId="1" numFmtId="2" xfId="0" applyAlignment="1" applyBorder="1" applyFont="1" applyNumberFormat="1">
      <alignment horizontal="right"/>
    </xf>
    <xf borderId="56" fillId="0" fontId="9" numFmtId="0" xfId="0" applyAlignment="1" applyBorder="1" applyFont="1">
      <alignment horizontal="center"/>
    </xf>
    <xf borderId="14" fillId="23" fontId="9" numFmtId="0" xfId="0" applyAlignment="1" applyBorder="1" applyFill="1" applyFont="1">
      <alignment horizontal="center"/>
    </xf>
    <xf borderId="7" fillId="8" fontId="1" numFmtId="167" xfId="0" applyAlignment="1" applyBorder="1" applyFont="1" applyNumberFormat="1">
      <alignment horizontal="center"/>
    </xf>
    <xf borderId="7" fillId="8" fontId="1" numFmtId="167" xfId="0" applyAlignment="1" applyBorder="1" applyFont="1" applyNumberFormat="1">
      <alignment horizontal="center" vertical="center"/>
    </xf>
    <xf borderId="7" fillId="9" fontId="1" numFmtId="169" xfId="0" applyBorder="1" applyFont="1" applyNumberFormat="1"/>
    <xf borderId="57" fillId="3" fontId="6" numFmtId="169" xfId="0" applyBorder="1" applyFont="1" applyNumberFormat="1"/>
    <xf borderId="7" fillId="4" fontId="9" numFmtId="0" xfId="0" applyAlignment="1" applyBorder="1" applyFont="1">
      <alignment horizontal="center" vertical="center"/>
    </xf>
    <xf borderId="7" fillId="11" fontId="1" numFmtId="2" xfId="0" applyBorder="1" applyFont="1" applyNumberFormat="1"/>
    <xf borderId="59" fillId="4" fontId="1" numFmtId="190" xfId="0" applyBorder="1" applyFont="1" applyNumberFormat="1"/>
    <xf borderId="0" fillId="0" fontId="1" numFmtId="190" xfId="0" applyFont="1" applyNumberFormat="1"/>
    <xf borderId="0" fillId="0" fontId="1" numFmtId="174" xfId="0" applyFont="1" applyNumberFormat="1"/>
    <xf borderId="14" fillId="3" fontId="1" numFmtId="0" xfId="0" applyBorder="1" applyFont="1"/>
    <xf borderId="22" fillId="4" fontId="1" numFmtId="169" xfId="0" applyBorder="1" applyFont="1" applyNumberFormat="1"/>
    <xf borderId="7" fillId="4" fontId="1" numFmtId="0" xfId="0" applyAlignment="1" applyBorder="1" applyFont="1">
      <alignment horizontal="center" vertical="center"/>
    </xf>
    <xf borderId="0" fillId="0" fontId="2" numFmtId="178" xfId="0" applyAlignment="1" applyFont="1" applyNumberFormat="1">
      <alignment horizontal="left"/>
    </xf>
    <xf borderId="0" fillId="0" fontId="2" numFmtId="165" xfId="0" applyAlignment="1" applyFont="1" applyNumberFormat="1">
      <alignment horizontal="left" vertical="top"/>
    </xf>
    <xf borderId="0" fillId="0" fontId="2" numFmtId="0" xfId="0" applyAlignment="1" applyFont="1">
      <alignment horizontal="left" vertical="top"/>
    </xf>
    <xf borderId="16" fillId="0" fontId="32" numFmtId="0" xfId="0" applyAlignment="1" applyBorder="1" applyFont="1">
      <alignment horizontal="right"/>
    </xf>
    <xf borderId="16" fillId="0" fontId="14" numFmtId="0" xfId="0" applyBorder="1" applyFont="1"/>
    <xf borderId="1" fillId="5" fontId="2" numFmtId="0" xfId="0" applyAlignment="1" applyBorder="1" applyFont="1">
      <alignment horizontal="center"/>
    </xf>
    <xf borderId="25" fillId="5" fontId="2" numFmtId="0" xfId="0" applyAlignment="1" applyBorder="1" applyFont="1">
      <alignment horizontal="center"/>
    </xf>
    <xf borderId="25" fillId="5" fontId="4" numFmtId="0" xfId="0" applyAlignment="1" applyBorder="1" applyFont="1">
      <alignment horizontal="center"/>
    </xf>
    <xf borderId="25" fillId="4" fontId="2" numFmtId="0" xfId="0" applyAlignment="1" applyBorder="1" applyFont="1">
      <alignment horizontal="center"/>
    </xf>
    <xf borderId="25" fillId="5" fontId="5" numFmtId="0" xfId="0" applyAlignment="1" applyBorder="1" applyFont="1">
      <alignment horizontal="center"/>
    </xf>
    <xf borderId="32" fillId="5" fontId="5" numFmtId="169" xfId="0" applyAlignment="1" applyBorder="1" applyFont="1" applyNumberFormat="1">
      <alignment horizontal="center"/>
    </xf>
    <xf borderId="5" fillId="5" fontId="4" numFmtId="15" xfId="0" applyAlignment="1" applyBorder="1" applyFont="1" applyNumberFormat="1">
      <alignment horizontal="center"/>
    </xf>
    <xf borderId="29" fillId="5" fontId="2" numFmtId="0" xfId="0" applyAlignment="1" applyBorder="1" applyFont="1">
      <alignment horizontal="center"/>
    </xf>
    <xf borderId="29" fillId="5" fontId="4" numFmtId="15" xfId="0" applyAlignment="1" applyBorder="1" applyFont="1" applyNumberFormat="1">
      <alignment horizontal="center"/>
    </xf>
    <xf borderId="29" fillId="5" fontId="34" numFmtId="15" xfId="0" applyAlignment="1" applyBorder="1" applyFont="1" applyNumberFormat="1">
      <alignment horizontal="center"/>
    </xf>
    <xf borderId="29" fillId="4" fontId="5" numFmtId="0" xfId="0" applyAlignment="1" applyBorder="1" applyFont="1">
      <alignment horizontal="center"/>
    </xf>
    <xf borderId="29" fillId="5" fontId="4" numFmtId="0" xfId="0" applyAlignment="1" applyBorder="1" applyFont="1">
      <alignment horizontal="center"/>
    </xf>
    <xf borderId="33" fillId="5" fontId="4" numFmtId="169" xfId="0" applyAlignment="1" applyBorder="1" applyFont="1" applyNumberFormat="1">
      <alignment horizontal="center"/>
    </xf>
    <xf borderId="1" fillId="19" fontId="32" numFmtId="0" xfId="0" applyBorder="1" applyFont="1"/>
    <xf borderId="7" fillId="5" fontId="2" numFmtId="170" xfId="0" applyAlignment="1" applyBorder="1" applyFont="1" applyNumberFormat="1">
      <alignment horizontal="left" vertical="top"/>
    </xf>
    <xf borderId="21" fillId="19" fontId="32" numFmtId="0" xfId="0" applyBorder="1" applyFont="1"/>
    <xf borderId="0" fillId="0" fontId="34" numFmtId="184" xfId="0" applyAlignment="1" applyFont="1" applyNumberFormat="1">
      <alignment horizontal="center"/>
    </xf>
    <xf borderId="0" fillId="0" fontId="37" numFmtId="165" xfId="0" applyAlignment="1" applyFont="1" applyNumberFormat="1">
      <alignment horizontal="center"/>
    </xf>
    <xf borderId="0" fillId="0" fontId="57" numFmtId="2" xfId="0" applyFont="1" applyNumberFormat="1"/>
    <xf borderId="0" fillId="0" fontId="58" numFmtId="191" xfId="0" applyAlignment="1" applyFont="1" applyNumberFormat="1">
      <alignment vertical="center"/>
    </xf>
    <xf borderId="5" fillId="19" fontId="32" numFmtId="0" xfId="0" applyBorder="1" applyFont="1"/>
    <xf borderId="16" fillId="0" fontId="32" numFmtId="0" xfId="0" applyBorder="1" applyFont="1"/>
    <xf borderId="0" fillId="0" fontId="44" numFmtId="0" xfId="0" applyAlignment="1" applyFont="1">
      <alignment vertical="top"/>
    </xf>
    <xf borderId="45" fillId="0" fontId="42" numFmtId="0" xfId="0" applyAlignment="1" applyBorder="1" applyFont="1">
      <alignment horizontal="center" shrinkToFit="0" vertical="top" wrapText="1"/>
    </xf>
    <xf borderId="0" fillId="0" fontId="42" numFmtId="0" xfId="0" applyAlignment="1" applyFont="1">
      <alignment horizontal="center" shrinkToFit="0" vertical="top" wrapText="1"/>
    </xf>
    <xf borderId="0" fillId="0" fontId="42" numFmtId="0" xfId="0" applyAlignment="1" applyFont="1">
      <alignment horizontal="center" vertical="top"/>
    </xf>
    <xf borderId="0" fillId="0" fontId="42" numFmtId="0" xfId="0" applyAlignment="1" applyFont="1">
      <alignment vertical="top"/>
    </xf>
    <xf borderId="45" fillId="24" fontId="1" numFmtId="0" xfId="0" applyBorder="1" applyFill="1" applyFont="1"/>
    <xf borderId="45" fillId="24" fontId="1" numFmtId="0" xfId="0" applyAlignment="1" applyBorder="1" applyFont="1">
      <alignment horizontal="center"/>
    </xf>
    <xf borderId="7" fillId="24" fontId="1" numFmtId="0" xfId="0" applyBorder="1" applyFont="1"/>
    <xf borderId="7" fillId="24" fontId="1" numFmtId="0" xfId="0" applyAlignment="1" applyBorder="1" applyFont="1">
      <alignment horizontal="center" vertical="center"/>
    </xf>
    <xf borderId="45" fillId="0" fontId="1" numFmtId="0" xfId="0" applyBorder="1" applyFont="1"/>
    <xf borderId="45" fillId="0" fontId="1" numFmtId="0" xfId="0" applyAlignment="1" applyBorder="1" applyFont="1">
      <alignment horizontal="center"/>
    </xf>
    <xf borderId="45" fillId="25" fontId="1" numFmtId="0" xfId="0" applyBorder="1" applyFill="1" applyFont="1"/>
    <xf borderId="45" fillId="25" fontId="1" numFmtId="0" xfId="0" applyAlignment="1" applyBorder="1" applyFont="1">
      <alignment horizontal="center"/>
    </xf>
    <xf borderId="7" fillId="25" fontId="1" numFmtId="0" xfId="0" applyBorder="1" applyFont="1"/>
    <xf borderId="7" fillId="25" fontId="1" numFmtId="0" xfId="0" applyAlignment="1" applyBorder="1" applyFont="1">
      <alignment horizontal="center" vertical="center"/>
    </xf>
    <xf borderId="45" fillId="6" fontId="1" numFmtId="0" xfId="0" applyBorder="1" applyFont="1"/>
    <xf borderId="45" fillId="6" fontId="1" numFmtId="0" xfId="0" applyAlignment="1" applyBorder="1" applyFont="1">
      <alignment horizontal="center"/>
    </xf>
    <xf borderId="7" fillId="6" fontId="1" numFmtId="0" xfId="0" applyAlignment="1" applyBorder="1" applyFont="1">
      <alignment horizontal="center" vertical="center"/>
    </xf>
    <xf borderId="45" fillId="4" fontId="1" numFmtId="0" xfId="0" applyBorder="1" applyFont="1"/>
    <xf borderId="45" fillId="4" fontId="1" numFmtId="0" xfId="0" applyAlignment="1" applyBorder="1" applyFont="1">
      <alignment horizontal="center"/>
    </xf>
    <xf borderId="45" fillId="26" fontId="1" numFmtId="0" xfId="0" applyBorder="1" applyFill="1" applyFont="1"/>
    <xf borderId="45" fillId="26" fontId="1" numFmtId="0" xfId="0" applyAlignment="1" applyBorder="1" applyFont="1">
      <alignment horizontal="center"/>
    </xf>
    <xf borderId="7" fillId="26" fontId="1" numFmtId="0" xfId="0" applyBorder="1" applyFont="1"/>
    <xf borderId="7" fillId="26" fontId="1" numFmtId="0" xfId="0" applyAlignment="1" applyBorder="1" applyFont="1">
      <alignment horizontal="center" vertical="center"/>
    </xf>
    <xf borderId="45" fillId="27" fontId="1" numFmtId="0" xfId="0" applyBorder="1" applyFill="1" applyFont="1"/>
    <xf borderId="45" fillId="27" fontId="1" numFmtId="0" xfId="0" applyAlignment="1" applyBorder="1" applyFont="1">
      <alignment horizontal="center"/>
    </xf>
    <xf borderId="7" fillId="27" fontId="1" numFmtId="0" xfId="0" applyBorder="1" applyFont="1"/>
    <xf borderId="7" fillId="27" fontId="1" numFmtId="0" xfId="0" applyAlignment="1" applyBorder="1" applyFont="1">
      <alignment horizontal="center" vertical="center"/>
    </xf>
    <xf borderId="19" fillId="27" fontId="1" numFmtId="0" xfId="0" applyAlignment="1" applyBorder="1" applyFont="1">
      <alignment horizontal="center"/>
    </xf>
    <xf borderId="9" fillId="27" fontId="1" numFmtId="0" xfId="0" applyBorder="1" applyFont="1"/>
    <xf borderId="19" fillId="27" fontId="1" numFmtId="0" xfId="0" applyBorder="1" applyFont="1"/>
    <xf borderId="45" fillId="28" fontId="1" numFmtId="0" xfId="0" applyBorder="1" applyFill="1" applyFont="1"/>
    <xf borderId="45" fillId="28" fontId="1" numFmtId="0" xfId="0" applyAlignment="1" applyBorder="1" applyFont="1">
      <alignment horizontal="center"/>
    </xf>
    <xf borderId="7" fillId="28" fontId="1" numFmtId="0" xfId="0" applyBorder="1" applyFont="1"/>
    <xf borderId="7" fillId="28" fontId="1" numFmtId="0" xfId="0" applyAlignment="1" applyBorder="1" applyFont="1">
      <alignment horizontal="center" vertical="center"/>
    </xf>
    <xf borderId="45" fillId="29" fontId="1" numFmtId="0" xfId="0" applyBorder="1" applyFill="1" applyFont="1"/>
    <xf borderId="45" fillId="29" fontId="1" numFmtId="0" xfId="0" applyAlignment="1" applyBorder="1" applyFont="1">
      <alignment horizontal="center"/>
    </xf>
    <xf borderId="7" fillId="29" fontId="1" numFmtId="0" xfId="0" applyBorder="1" applyFont="1"/>
    <xf borderId="7" fillId="29" fontId="1" numFmtId="0" xfId="0" applyAlignment="1" applyBorder="1" applyFont="1">
      <alignment horizontal="center" vertical="center"/>
    </xf>
    <xf borderId="22" fillId="4" fontId="1" numFmtId="0" xfId="0" applyBorder="1" applyFont="1"/>
    <xf borderId="31" fillId="4" fontId="1" numFmtId="0" xfId="0" applyBorder="1" applyFont="1"/>
    <xf borderId="60" fillId="4" fontId="1" numFmtId="0" xfId="0" applyBorder="1" applyFont="1"/>
    <xf borderId="8" fillId="4" fontId="1" numFmtId="0" xfId="0" applyAlignment="1" applyBorder="1" applyFont="1">
      <alignment horizontal="right"/>
    </xf>
    <xf borderId="27" fillId="0" fontId="1" numFmtId="10" xfId="0" applyBorder="1" applyFont="1" applyNumberFormat="1"/>
    <xf borderId="27" fillId="0" fontId="6" numFmtId="170" xfId="0" applyBorder="1" applyFont="1" applyNumberFormat="1"/>
    <xf borderId="61" fillId="4" fontId="1" numFmtId="0" xfId="0" applyBorder="1" applyFont="1"/>
    <xf borderId="16" fillId="0" fontId="1" numFmtId="170" xfId="0" applyBorder="1" applyFont="1" applyNumberFormat="1"/>
    <xf borderId="30" fillId="0" fontId="1" numFmtId="170" xfId="0" applyBorder="1" applyFont="1" applyNumberFormat="1"/>
    <xf borderId="18" fillId="0" fontId="1" numFmtId="0" xfId="0" applyBorder="1" applyFont="1"/>
    <xf borderId="1" fillId="4" fontId="1" numFmtId="0" xfId="0" applyBorder="1" applyFont="1"/>
    <xf borderId="32" fillId="4" fontId="1" numFmtId="170" xfId="0" applyBorder="1" applyFont="1" applyNumberFormat="1"/>
    <xf borderId="5" fillId="4" fontId="1" numFmtId="0" xfId="0" applyBorder="1" applyFont="1"/>
    <xf borderId="33" fillId="4" fontId="1" numFmtId="170" xfId="0" applyBorder="1" applyFont="1" applyNumberFormat="1"/>
    <xf borderId="56" fillId="0" fontId="1" numFmtId="0" xfId="0" applyBorder="1" applyFont="1"/>
    <xf borderId="62" fillId="0" fontId="1" numFmtId="0" xfId="0" applyBorder="1" applyFont="1"/>
    <xf borderId="63" fillId="0" fontId="1" numFmtId="0" xfId="0" applyAlignment="1" applyBorder="1" applyFont="1">
      <alignment horizontal="center"/>
    </xf>
    <xf borderId="64" fillId="0" fontId="1" numFmtId="0" xfId="0" applyBorder="1" applyFont="1"/>
    <xf borderId="64" fillId="0" fontId="1" numFmtId="0" xfId="0" applyAlignment="1" applyBorder="1" applyFont="1">
      <alignment horizontal="center"/>
    </xf>
    <xf borderId="65" fillId="0" fontId="1" numFmtId="0" xfId="0" applyAlignment="1" applyBorder="1" applyFont="1">
      <alignment horizontal="center"/>
    </xf>
    <xf borderId="66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62" fillId="0" fontId="1" numFmtId="169" xfId="0" applyBorder="1" applyFont="1" applyNumberFormat="1"/>
    <xf borderId="67" fillId="0" fontId="1" numFmtId="0" xfId="0" applyBorder="1" applyFont="1"/>
    <xf borderId="62" fillId="0" fontId="1" numFmtId="0" xfId="0" applyAlignment="1" applyBorder="1" applyFont="1">
      <alignment horizontal="center"/>
    </xf>
    <xf borderId="67" fillId="0" fontId="1" numFmtId="0" xfId="0" applyAlignment="1" applyBorder="1" applyFont="1">
      <alignment horizontal="center"/>
    </xf>
    <xf borderId="56" fillId="0" fontId="1" numFmtId="0" xfId="0" applyAlignment="1" applyBorder="1" applyFont="1">
      <alignment horizontal="center"/>
    </xf>
    <xf borderId="67" fillId="0" fontId="1" numFmtId="170" xfId="0" applyBorder="1" applyFont="1" applyNumberFormat="1"/>
    <xf borderId="62" fillId="0" fontId="1" numFmtId="169" xfId="0" applyAlignment="1" applyBorder="1" applyFont="1" applyNumberFormat="1">
      <alignment horizontal="center"/>
    </xf>
    <xf borderId="68" fillId="0" fontId="1" numFmtId="0" xfId="0" applyBorder="1" applyFont="1"/>
    <xf borderId="69" fillId="0" fontId="1" numFmtId="0" xfId="0" applyBorder="1" applyFont="1"/>
    <xf borderId="70" fillId="0" fontId="1" numFmtId="170" xfId="0" applyBorder="1" applyFont="1" applyNumberFormat="1"/>
    <xf borderId="71" fillId="0" fontId="1" numFmtId="0" xfId="0" applyBorder="1" applyFont="1"/>
    <xf borderId="71" fillId="0" fontId="1" numFmtId="0" xfId="0" applyAlignment="1" applyBorder="1" applyFont="1">
      <alignment horizontal="center"/>
    </xf>
    <xf borderId="69" fillId="0" fontId="1" numFmtId="169" xfId="0" applyAlignment="1" applyBorder="1" applyFont="1" applyNumberFormat="1">
      <alignment horizontal="center"/>
    </xf>
    <xf borderId="70" fillId="0" fontId="1" numFmtId="170" xfId="0" applyAlignment="1" applyBorder="1" applyFont="1" applyNumberFormat="1">
      <alignment horizontal="center"/>
    </xf>
    <xf borderId="68" fillId="0" fontId="1" numFmtId="170" xfId="0" applyAlignment="1" applyBorder="1" applyFont="1" applyNumberFormat="1">
      <alignment horizontal="center"/>
    </xf>
    <xf borderId="15" fillId="0" fontId="1" numFmtId="170" xfId="0" applyBorder="1" applyFont="1" applyNumberFormat="1"/>
    <xf borderId="21" fillId="4" fontId="1" numFmtId="0" xfId="0" applyBorder="1" applyFont="1"/>
    <xf borderId="72" fillId="4" fontId="1" numFmtId="170" xfId="0" applyBorder="1" applyFont="1" applyNumberFormat="1"/>
    <xf borderId="66" fillId="0" fontId="1" numFmtId="0" xfId="0" applyBorder="1" applyFont="1"/>
    <xf borderId="65" fillId="0" fontId="1" numFmtId="0" xfId="0" applyBorder="1" applyFont="1"/>
    <xf borderId="0" fillId="0" fontId="1" numFmtId="0" xfId="0" applyAlignment="1" applyFont="1">
      <alignment horizontal="right"/>
    </xf>
    <xf borderId="67" fillId="0" fontId="9" numFmtId="170" xfId="0" applyBorder="1" applyFont="1" applyNumberFormat="1"/>
    <xf borderId="10" fillId="3" fontId="1" numFmtId="0" xfId="0" applyAlignment="1" applyBorder="1" applyFont="1">
      <alignment horizontal="left"/>
    </xf>
    <xf borderId="13" fillId="3" fontId="1" numFmtId="170" xfId="0" applyBorder="1" applyFont="1" applyNumberFormat="1"/>
    <xf borderId="56" fillId="0" fontId="1" numFmtId="170" xfId="0" applyAlignment="1" applyBorder="1" applyFont="1" applyNumberFormat="1">
      <alignment horizontal="center"/>
    </xf>
    <xf borderId="62" fillId="0" fontId="1" numFmtId="170" xfId="0" applyAlignment="1" applyBorder="1" applyFont="1" applyNumberFormat="1">
      <alignment horizontal="center"/>
    </xf>
    <xf borderId="14" fillId="3" fontId="1" numFmtId="0" xfId="0" applyAlignment="1" applyBorder="1" applyFont="1">
      <alignment horizontal="right"/>
    </xf>
    <xf borderId="57" fillId="3" fontId="1" numFmtId="170" xfId="0" applyBorder="1" applyFont="1" applyNumberFormat="1"/>
    <xf borderId="67" fillId="0" fontId="1" numFmtId="170" xfId="0" applyAlignment="1" applyBorder="1" applyFont="1" applyNumberFormat="1">
      <alignment horizontal="center"/>
    </xf>
    <xf borderId="67" fillId="0" fontId="1" numFmtId="192" xfId="0" applyAlignment="1" applyBorder="1" applyFont="1" applyNumberFormat="1">
      <alignment horizontal="center"/>
    </xf>
    <xf borderId="10" fillId="2" fontId="1" numFmtId="0" xfId="0" applyAlignment="1" applyBorder="1" applyFont="1">
      <alignment horizontal="right"/>
    </xf>
    <xf borderId="13" fillId="2" fontId="1" numFmtId="192" xfId="0" applyBorder="1" applyFont="1" applyNumberFormat="1"/>
    <xf borderId="14" fillId="2" fontId="1" numFmtId="0" xfId="0" applyAlignment="1" applyBorder="1" applyFont="1">
      <alignment horizontal="right"/>
    </xf>
    <xf borderId="57" fillId="2" fontId="1" numFmtId="192" xfId="0" applyBorder="1" applyFont="1" applyNumberFormat="1"/>
    <xf borderId="71" fillId="0" fontId="1" numFmtId="170" xfId="0" applyAlignment="1" applyBorder="1" applyFont="1" applyNumberFormat="1">
      <alignment horizontal="center"/>
    </xf>
    <xf borderId="69" fillId="0" fontId="1" numFmtId="170" xfId="0" applyAlignment="1" applyBorder="1" applyFont="1" applyNumberFormat="1">
      <alignment horizontal="center"/>
    </xf>
    <xf borderId="70" fillId="0" fontId="1" numFmtId="0" xfId="0" applyAlignment="1" applyBorder="1" applyFont="1">
      <alignment horizontal="center"/>
    </xf>
    <xf borderId="70" fillId="0" fontId="1" numFmtId="192" xfId="0" applyAlignment="1" applyBorder="1" applyFont="1" applyNumberFormat="1">
      <alignment horizontal="center"/>
    </xf>
    <xf borderId="0" fillId="0" fontId="1" numFmtId="192" xfId="0" applyAlignment="1" applyFont="1" applyNumberFormat="1">
      <alignment horizontal="center"/>
    </xf>
    <xf borderId="7" fillId="4" fontId="1" numFmtId="170" xfId="0" applyBorder="1" applyFont="1" applyNumberFormat="1"/>
    <xf borderId="7" fillId="7" fontId="1" numFmtId="0" xfId="0" applyBorder="1" applyFont="1"/>
    <xf borderId="7" fillId="7" fontId="1" numFmtId="0" xfId="0" applyAlignment="1" applyBorder="1" applyFont="1">
      <alignment horizontal="center"/>
    </xf>
    <xf borderId="51" fillId="30" fontId="1" numFmtId="0" xfId="0" applyBorder="1" applyFill="1" applyFont="1"/>
    <xf borderId="52" fillId="30" fontId="1" numFmtId="0" xfId="0" applyBorder="1" applyFont="1"/>
    <xf borderId="73" fillId="30" fontId="1" numFmtId="0" xfId="0" applyBorder="1" applyFont="1"/>
    <xf borderId="73" fillId="30" fontId="1" numFmtId="0" xfId="0" applyAlignment="1" applyBorder="1" applyFont="1">
      <alignment horizontal="center"/>
    </xf>
    <xf borderId="52" fillId="30" fontId="1" numFmtId="0" xfId="0" applyAlignment="1" applyBorder="1" applyFont="1">
      <alignment horizontal="center"/>
    </xf>
    <xf borderId="14" fillId="30" fontId="1" numFmtId="0" xfId="0" applyBorder="1" applyFont="1"/>
    <xf borderId="19" fillId="30" fontId="1" numFmtId="0" xfId="0" applyBorder="1" applyFont="1"/>
    <xf borderId="7" fillId="30" fontId="1" numFmtId="0" xfId="0" applyBorder="1" applyFont="1"/>
    <xf borderId="7" fillId="30" fontId="1" numFmtId="170" xfId="0" applyBorder="1" applyFont="1" applyNumberFormat="1"/>
    <xf borderId="57" fillId="30" fontId="1" numFmtId="170" xfId="0" applyBorder="1" applyFont="1" applyNumberFormat="1"/>
    <xf borderId="19" fillId="30" fontId="1" numFmtId="170" xfId="0" applyBorder="1" applyFont="1" applyNumberFormat="1"/>
    <xf borderId="58" fillId="30" fontId="1" numFmtId="0" xfId="0" applyBorder="1" applyFont="1"/>
    <xf borderId="74" fillId="30" fontId="1" numFmtId="170" xfId="0" applyBorder="1" applyFont="1" applyNumberFormat="1"/>
    <xf borderId="75" fillId="30" fontId="1" numFmtId="0" xfId="0" applyBorder="1" applyFont="1"/>
    <xf borderId="75" fillId="30" fontId="1" numFmtId="170" xfId="0" applyBorder="1" applyFont="1" applyNumberFormat="1"/>
    <xf borderId="59" fillId="30" fontId="1" numFmtId="170" xfId="0" applyBorder="1" applyFont="1" applyNumberFormat="1"/>
    <xf borderId="22" fillId="30" fontId="1" numFmtId="192" xfId="0" applyAlignment="1" applyBorder="1" applyFont="1" applyNumberFormat="1">
      <alignment horizontal="center"/>
    </xf>
    <xf borderId="7" fillId="2" fontId="1" numFmtId="192" xfId="0" applyAlignment="1" applyBorder="1" applyFont="1" applyNumberFormat="1">
      <alignment horizontal="center"/>
    </xf>
    <xf borderId="7" fillId="4" fontId="9" numFmtId="0" xfId="0" applyAlignment="1" applyBorder="1" applyFont="1">
      <alignment horizontal="left"/>
    </xf>
    <xf borderId="7" fillId="4" fontId="9" numFmtId="0" xfId="0" applyBorder="1" applyFont="1"/>
    <xf borderId="76" fillId="0" fontId="1" numFmtId="0" xfId="0" applyBorder="1" applyFont="1"/>
    <xf borderId="77" fillId="0" fontId="1" numFmtId="0" xfId="0" applyAlignment="1" applyBorder="1" applyFont="1">
      <alignment horizontal="center"/>
    </xf>
    <xf borderId="78" fillId="0" fontId="1" numFmtId="0" xfId="0" applyAlignment="1" applyBorder="1" applyFont="1">
      <alignment horizontal="center"/>
    </xf>
    <xf borderId="76" fillId="0" fontId="1" numFmtId="0" xfId="0" applyAlignment="1" applyBorder="1" applyFont="1">
      <alignment horizontal="center"/>
    </xf>
    <xf borderId="79" fillId="0" fontId="1" numFmtId="0" xfId="0" applyAlignment="1" applyBorder="1" applyFont="1">
      <alignment horizontal="center"/>
    </xf>
    <xf borderId="1" fillId="22" fontId="1" numFmtId="0" xfId="0" applyAlignment="1" applyBorder="1" applyFont="1">
      <alignment horizontal="right"/>
    </xf>
    <xf borderId="32" fillId="22" fontId="1" numFmtId="0" xfId="0" applyBorder="1" applyFont="1"/>
    <xf borderId="80" fillId="0" fontId="1" numFmtId="0" xfId="0" applyAlignment="1" applyBorder="1" applyFont="1">
      <alignment horizontal="center"/>
    </xf>
    <xf borderId="21" fillId="22" fontId="1" numFmtId="0" xfId="0" applyAlignment="1" applyBorder="1" applyFont="1">
      <alignment horizontal="right"/>
    </xf>
    <xf borderId="72" fillId="22" fontId="1" numFmtId="0" xfId="0" applyBorder="1" applyFont="1"/>
    <xf borderId="80" fillId="0" fontId="1" numFmtId="192" xfId="0" applyAlignment="1" applyBorder="1" applyFont="1" applyNumberFormat="1">
      <alignment horizontal="center"/>
    </xf>
    <xf borderId="81" fillId="0" fontId="1" numFmtId="0" xfId="0" applyBorder="1" applyFont="1"/>
    <xf borderId="82" fillId="0" fontId="1" numFmtId="170" xfId="0" applyBorder="1" applyFont="1" applyNumberFormat="1"/>
    <xf borderId="83" fillId="0" fontId="1" numFmtId="170" xfId="0" applyAlignment="1" applyBorder="1" applyFont="1" applyNumberFormat="1">
      <alignment horizontal="center"/>
    </xf>
    <xf borderId="16" fillId="0" fontId="1" numFmtId="170" xfId="0" applyAlignment="1" applyBorder="1" applyFont="1" applyNumberFormat="1">
      <alignment horizontal="center"/>
    </xf>
    <xf borderId="81" fillId="0" fontId="1" numFmtId="170" xfId="0" applyAlignment="1" applyBorder="1" applyFont="1" applyNumberFormat="1">
      <alignment horizontal="center"/>
    </xf>
    <xf borderId="82" fillId="0" fontId="1" numFmtId="0" xfId="0" applyAlignment="1" applyBorder="1" applyFont="1">
      <alignment horizontal="center"/>
    </xf>
    <xf borderId="84" fillId="0" fontId="1" numFmtId="192" xfId="0" applyAlignment="1" applyBorder="1" applyFont="1" applyNumberFormat="1">
      <alignment horizontal="center"/>
    </xf>
    <xf borderId="5" fillId="22" fontId="9" numFmtId="0" xfId="0" applyAlignment="1" applyBorder="1" applyFont="1">
      <alignment horizontal="right"/>
    </xf>
    <xf borderId="33" fillId="22" fontId="9" numFmtId="0" xfId="0" applyBorder="1" applyFont="1"/>
    <xf borderId="0" fillId="0" fontId="1" numFmtId="192" xfId="0" applyAlignment="1" applyFont="1" applyNumberFormat="1">
      <alignment horizontal="right"/>
    </xf>
    <xf borderId="32" fillId="22" fontId="1" numFmtId="170" xfId="0" applyBorder="1" applyFont="1" applyNumberFormat="1"/>
    <xf borderId="72" fillId="22" fontId="1" numFmtId="170" xfId="0" applyBorder="1" applyFont="1" applyNumberFormat="1"/>
    <xf borderId="33" fillId="22" fontId="9" numFmtId="170" xfId="0" applyBorder="1" applyFont="1" applyNumberFormat="1"/>
    <xf borderId="22" fillId="30" fontId="1" numFmtId="170" xfId="0" applyAlignment="1" applyBorder="1" applyFont="1" applyNumberFormat="1">
      <alignment horizontal="center"/>
    </xf>
    <xf borderId="0" fillId="0" fontId="1" numFmtId="16" xfId="0" applyFont="1" applyNumberFormat="1"/>
    <xf borderId="7" fillId="4" fontId="1" numFmtId="16" xfId="0" applyBorder="1" applyFont="1" applyNumberFormat="1"/>
    <xf borderId="0" fillId="0" fontId="1" numFmtId="193" xfId="0" applyFont="1" applyNumberFormat="1"/>
    <xf borderId="0" fillId="0" fontId="59" numFmtId="0" xfId="0" applyAlignment="1" applyFont="1">
      <alignment horizontal="center" shrinkToFit="0" vertical="center" wrapText="1"/>
    </xf>
    <xf borderId="0" fillId="0" fontId="42" numFmtId="0" xfId="0" applyAlignment="1" applyFon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42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60" numFmtId="0" xfId="0" applyAlignment="1" applyFont="1">
      <alignment horizontal="left" vertical="center"/>
    </xf>
    <xf borderId="16" fillId="0" fontId="1" numFmtId="0" xfId="0" applyAlignment="1" applyBorder="1" applyFont="1">
      <alignment shrinkToFit="0" vertical="center" wrapText="1"/>
    </xf>
    <xf borderId="16" fillId="0" fontId="1" numFmtId="0" xfId="0" applyAlignment="1" applyBorder="1" applyFont="1">
      <alignment shrinkToFit="0" wrapText="1"/>
    </xf>
    <xf borderId="85" fillId="31" fontId="61" numFmtId="0" xfId="0" applyAlignment="1" applyBorder="1" applyFill="1" applyFont="1">
      <alignment horizontal="center" vertical="center"/>
    </xf>
    <xf borderId="77" fillId="31" fontId="61" numFmtId="0" xfId="0" applyAlignment="1" applyBorder="1" applyFont="1">
      <alignment horizontal="center" vertical="center"/>
    </xf>
    <xf borderId="4" fillId="31" fontId="61" numFmtId="0" xfId="0" applyAlignment="1" applyBorder="1" applyFont="1">
      <alignment horizontal="center" vertical="center"/>
    </xf>
    <xf borderId="86" fillId="31" fontId="61" numFmtId="0" xfId="0" applyAlignment="1" applyBorder="1" applyFont="1">
      <alignment horizontal="center" vertical="center"/>
    </xf>
    <xf borderId="87" fillId="0" fontId="14" numFmtId="0" xfId="0" applyBorder="1" applyFont="1"/>
    <xf borderId="79" fillId="31" fontId="61" numFmtId="0" xfId="0" applyAlignment="1" applyBorder="1" applyFont="1">
      <alignment horizontal="center" shrinkToFit="0" vertical="center" wrapText="1"/>
    </xf>
    <xf borderId="0" fillId="0" fontId="25" numFmtId="4" xfId="0" applyFont="1" applyNumberFormat="1"/>
    <xf borderId="0" fillId="0" fontId="25" numFmtId="0" xfId="0" applyFont="1"/>
    <xf borderId="88" fillId="0" fontId="14" numFmtId="0" xfId="0" applyBorder="1" applyFont="1"/>
    <xf borderId="82" fillId="0" fontId="14" numFmtId="0" xfId="0" applyBorder="1" applyFont="1"/>
    <xf borderId="15" fillId="0" fontId="14" numFmtId="0" xfId="0" applyBorder="1" applyFont="1"/>
    <xf borderId="89" fillId="0" fontId="14" numFmtId="0" xfId="0" applyBorder="1" applyFont="1"/>
    <xf borderId="90" fillId="31" fontId="61" numFmtId="0" xfId="0" applyAlignment="1" applyBorder="1" applyFont="1">
      <alignment horizontal="center" vertical="center"/>
    </xf>
    <xf borderId="84" fillId="0" fontId="14" numFmtId="0" xfId="0" applyBorder="1" applyFont="1"/>
    <xf borderId="7" fillId="3" fontId="25" numFmtId="0" xfId="0" applyBorder="1" applyFont="1"/>
    <xf borderId="7" fillId="3" fontId="25" numFmtId="167" xfId="0" applyBorder="1" applyFont="1" applyNumberFormat="1"/>
    <xf borderId="91" fillId="0" fontId="62" numFmtId="0" xfId="0" applyAlignment="1" applyBorder="1" applyFont="1">
      <alignment horizontal="center"/>
    </xf>
    <xf borderId="92" fillId="0" fontId="62" numFmtId="0" xfId="0" applyAlignment="1" applyBorder="1" applyFont="1">
      <alignment horizontal="left" vertical="center"/>
    </xf>
    <xf borderId="93" fillId="0" fontId="63" numFmtId="0" xfId="0" applyAlignment="1" applyBorder="1" applyFont="1">
      <alignment horizontal="left" vertical="center"/>
    </xf>
    <xf borderId="93" fillId="0" fontId="62" numFmtId="0" xfId="0" applyAlignment="1" applyBorder="1" applyFont="1">
      <alignment horizontal="left" vertical="center"/>
    </xf>
    <xf borderId="94" fillId="0" fontId="62" numFmtId="0" xfId="0" applyAlignment="1" applyBorder="1" applyFont="1">
      <alignment vertical="center"/>
    </xf>
    <xf borderId="93" fillId="0" fontId="62" numFmtId="172" xfId="0" applyBorder="1" applyFont="1" applyNumberFormat="1"/>
    <xf borderId="0" fillId="0" fontId="62" numFmtId="0" xfId="0" applyAlignment="1" applyFont="1">
      <alignment vertical="center"/>
    </xf>
    <xf borderId="93" fillId="0" fontId="62" numFmtId="194" xfId="0" applyAlignment="1" applyBorder="1" applyFont="1" applyNumberFormat="1">
      <alignment vertical="center"/>
    </xf>
    <xf borderId="95" fillId="0" fontId="62" numFmtId="172" xfId="0" applyBorder="1" applyFont="1" applyNumberFormat="1"/>
    <xf borderId="96" fillId="0" fontId="62" numFmtId="0" xfId="0" applyAlignment="1" applyBorder="1" applyFont="1">
      <alignment vertical="center"/>
    </xf>
    <xf borderId="7" fillId="3" fontId="6" numFmtId="167" xfId="0" applyBorder="1" applyFont="1" applyNumberFormat="1"/>
    <xf borderId="96" fillId="0" fontId="62" numFmtId="0" xfId="0" applyAlignment="1" applyBorder="1" applyFont="1">
      <alignment horizontal="center" vertical="center"/>
    </xf>
    <xf borderId="96" fillId="0" fontId="64" numFmtId="172" xfId="0" applyAlignment="1" applyBorder="1" applyFont="1" applyNumberFormat="1">
      <alignment vertical="center"/>
    </xf>
    <xf borderId="96" fillId="4" fontId="64" numFmtId="172" xfId="0" applyAlignment="1" applyBorder="1" applyFont="1" applyNumberFormat="1">
      <alignment vertical="center"/>
    </xf>
    <xf borderId="97" fillId="10" fontId="62" numFmtId="0" xfId="0" applyAlignment="1" applyBorder="1" applyFont="1">
      <alignment horizontal="left" vertical="center"/>
    </xf>
    <xf borderId="98" fillId="0" fontId="63" numFmtId="0" xfId="0" applyAlignment="1" applyBorder="1" applyFont="1">
      <alignment horizontal="left" vertical="center"/>
    </xf>
    <xf borderId="98" fillId="0" fontId="62" numFmtId="0" xfId="0" applyAlignment="1" applyBorder="1" applyFont="1">
      <alignment horizontal="left" vertical="center"/>
    </xf>
    <xf borderId="99" fillId="0" fontId="62" numFmtId="0" xfId="0" applyAlignment="1" applyBorder="1" applyFont="1">
      <alignment vertical="center"/>
    </xf>
    <xf borderId="98" fillId="0" fontId="62" numFmtId="172" xfId="0" applyBorder="1" applyFont="1" applyNumberFormat="1"/>
    <xf borderId="64" fillId="0" fontId="62" numFmtId="0" xfId="0" applyAlignment="1" applyBorder="1" applyFont="1">
      <alignment vertical="center"/>
    </xf>
    <xf borderId="98" fillId="0" fontId="62" numFmtId="194" xfId="0" applyAlignment="1" applyBorder="1" applyFont="1" applyNumberFormat="1">
      <alignment vertical="center"/>
    </xf>
    <xf borderId="7" fillId="3" fontId="65" numFmtId="0" xfId="0" applyBorder="1" applyFont="1"/>
    <xf borderId="0" fillId="0" fontId="65" numFmtId="0" xfId="0" applyFont="1"/>
    <xf borderId="7" fillId="3" fontId="65" numFmtId="4" xfId="0" applyBorder="1" applyFont="1" applyNumberFormat="1"/>
    <xf borderId="7" fillId="3" fontId="66" numFmtId="2" xfId="0" applyAlignment="1" applyBorder="1" applyFont="1" applyNumberFormat="1">
      <alignment horizontal="right" vertical="center"/>
    </xf>
    <xf borderId="0" fillId="0" fontId="66" numFmtId="2" xfId="0" applyAlignment="1" applyFont="1" applyNumberFormat="1">
      <alignment horizontal="right" vertical="center"/>
    </xf>
    <xf borderId="92" fillId="10" fontId="62" numFmtId="0" xfId="0" applyAlignment="1" applyBorder="1" applyFont="1">
      <alignment horizontal="left" vertical="center"/>
    </xf>
    <xf borderId="93" fillId="0" fontId="62" numFmtId="4" xfId="0" applyAlignment="1" applyBorder="1" applyFont="1" applyNumberFormat="1">
      <alignment horizontal="right" vertical="center"/>
    </xf>
    <xf borderId="93" fillId="0" fontId="62" numFmtId="2" xfId="0" applyAlignment="1" applyBorder="1" applyFont="1" applyNumberFormat="1">
      <alignment horizontal="right" vertical="center"/>
    </xf>
    <xf borderId="7" fillId="3" fontId="6" numFmtId="4" xfId="0" applyAlignment="1" applyBorder="1" applyFont="1" applyNumberFormat="1">
      <alignment horizontal="center"/>
    </xf>
    <xf borderId="7" fillId="3" fontId="6" numFmtId="4" xfId="0" applyBorder="1" applyFont="1" applyNumberFormat="1"/>
    <xf borderId="100" fillId="10" fontId="62" numFmtId="0" xfId="0" applyAlignment="1" applyBorder="1" applyFont="1">
      <alignment horizontal="left" vertical="center"/>
    </xf>
    <xf borderId="101" fillId="0" fontId="63" numFmtId="0" xfId="0" applyAlignment="1" applyBorder="1" applyFont="1">
      <alignment horizontal="left" vertical="center"/>
    </xf>
    <xf borderId="101" fillId="0" fontId="62" numFmtId="0" xfId="0" applyAlignment="1" applyBorder="1" applyFont="1">
      <alignment horizontal="left" vertical="center"/>
    </xf>
    <xf borderId="102" fillId="0" fontId="62" numFmtId="0" xfId="0" applyAlignment="1" applyBorder="1" applyFont="1">
      <alignment vertical="center"/>
    </xf>
    <xf borderId="101" fillId="0" fontId="62" numFmtId="172" xfId="0" applyBorder="1" applyFont="1" applyNumberFormat="1"/>
    <xf borderId="101" fillId="0" fontId="62" numFmtId="194" xfId="0" applyAlignment="1" applyBorder="1" applyFont="1" applyNumberFormat="1">
      <alignment vertical="center"/>
    </xf>
    <xf borderId="101" fillId="0" fontId="62" numFmtId="4" xfId="0" applyAlignment="1" applyBorder="1" applyFont="1" applyNumberFormat="1">
      <alignment horizontal="right" vertical="center"/>
    </xf>
    <xf borderId="101" fillId="0" fontId="62" numFmtId="2" xfId="0" applyAlignment="1" applyBorder="1" applyFont="1" applyNumberFormat="1">
      <alignment horizontal="right" vertical="center"/>
    </xf>
    <xf borderId="103" fillId="0" fontId="62" numFmtId="0" xfId="0" applyAlignment="1" applyBorder="1" applyFont="1">
      <alignment vertical="center"/>
    </xf>
    <xf borderId="104" fillId="10" fontId="63" numFmtId="0" xfId="0" applyAlignment="1" applyBorder="1" applyFont="1">
      <alignment horizontal="left" vertical="center"/>
    </xf>
    <xf borderId="95" fillId="0" fontId="63" numFmtId="0" xfId="0" applyAlignment="1" applyBorder="1" applyFont="1">
      <alignment horizontal="left" vertical="center"/>
    </xf>
    <xf borderId="95" fillId="0" fontId="62" numFmtId="194" xfId="0" applyAlignment="1" applyBorder="1" applyFont="1" applyNumberFormat="1">
      <alignment vertical="center"/>
    </xf>
    <xf borderId="95" fillId="0" fontId="62" numFmtId="4" xfId="0" applyAlignment="1" applyBorder="1" applyFont="1" applyNumberFormat="1">
      <alignment horizontal="right" vertical="center"/>
    </xf>
    <xf borderId="95" fillId="0" fontId="62" numFmtId="2" xfId="0" applyAlignment="1" applyBorder="1" applyFont="1" applyNumberFormat="1">
      <alignment horizontal="right" vertical="center"/>
    </xf>
    <xf borderId="105" fillId="0" fontId="62" numFmtId="2" xfId="0" applyAlignment="1" applyBorder="1" applyFont="1" applyNumberFormat="1">
      <alignment horizontal="right" vertical="center"/>
    </xf>
    <xf borderId="91" fillId="0" fontId="62" numFmtId="2" xfId="0" applyAlignment="1" applyBorder="1" applyFont="1" applyNumberFormat="1">
      <alignment horizontal="right" vertical="center"/>
    </xf>
    <xf borderId="101" fillId="0" fontId="62" numFmtId="167" xfId="0" applyAlignment="1" applyBorder="1" applyFont="1" applyNumberFormat="1">
      <alignment horizontal="right" vertical="center"/>
    </xf>
    <xf borderId="103" fillId="0" fontId="62" numFmtId="2" xfId="0" applyAlignment="1" applyBorder="1" applyFont="1" applyNumberFormat="1">
      <alignment horizontal="right" vertical="center"/>
    </xf>
    <xf borderId="104" fillId="10" fontId="62" numFmtId="0" xfId="0" applyAlignment="1" applyBorder="1" applyFont="1">
      <alignment horizontal="left" vertical="center"/>
    </xf>
    <xf borderId="95" fillId="0" fontId="62" numFmtId="0" xfId="0" applyAlignment="1" applyBorder="1" applyFont="1">
      <alignment horizontal="left" vertical="center"/>
    </xf>
    <xf borderId="94" fillId="0" fontId="62" numFmtId="0" xfId="0" applyAlignment="1" applyBorder="1" applyFont="1">
      <alignment horizontal="center" vertical="center"/>
    </xf>
    <xf borderId="106" fillId="0" fontId="62" numFmtId="0" xfId="0" applyAlignment="1" applyBorder="1" applyFont="1">
      <alignment vertical="center"/>
    </xf>
    <xf borderId="105" fillId="0" fontId="62" numFmtId="0" xfId="0" applyAlignment="1" applyBorder="1" applyFont="1">
      <alignment horizontal="center"/>
    </xf>
    <xf borderId="107" fillId="10" fontId="62" numFmtId="0" xfId="0" applyAlignment="1" applyBorder="1" applyFont="1">
      <alignment horizontal="left" vertical="center"/>
    </xf>
    <xf borderId="94" fillId="0" fontId="14" numFmtId="0" xfId="0" applyBorder="1" applyFont="1"/>
    <xf borderId="0" fillId="0" fontId="6" numFmtId="4" xfId="0" applyFont="1" applyNumberFormat="1"/>
    <xf borderId="91" fillId="0" fontId="62" numFmtId="0" xfId="0" applyBorder="1" applyFont="1"/>
    <xf borderId="108" fillId="10" fontId="62" numFmtId="0" xfId="0" applyAlignment="1" applyBorder="1" applyFont="1">
      <alignment horizontal="left" vertical="center"/>
    </xf>
    <xf borderId="99" fillId="0" fontId="62" numFmtId="4" xfId="0" applyAlignment="1" applyBorder="1" applyFont="1" applyNumberFormat="1">
      <alignment horizontal="center" vertical="center"/>
    </xf>
    <xf borderId="7" fillId="3" fontId="6" numFmtId="169" xfId="0" applyBorder="1" applyFont="1" applyNumberFormat="1"/>
    <xf borderId="91" fillId="0" fontId="62" numFmtId="4" xfId="0" applyAlignment="1" applyBorder="1" applyFont="1" applyNumberFormat="1">
      <alignment horizontal="center" vertical="center"/>
    </xf>
    <xf borderId="98" fillId="3" fontId="62" numFmtId="172" xfId="0" applyBorder="1" applyFont="1" applyNumberFormat="1"/>
    <xf borderId="91" fillId="3" fontId="62" numFmtId="2" xfId="0" applyAlignment="1" applyBorder="1" applyFont="1" applyNumberFormat="1">
      <alignment horizontal="center" vertical="center"/>
    </xf>
    <xf borderId="0" fillId="0" fontId="62" numFmtId="0" xfId="0" applyFont="1"/>
    <xf borderId="93" fillId="3" fontId="62" numFmtId="172" xfId="0" applyBorder="1" applyFont="1" applyNumberFormat="1"/>
    <xf borderId="91" fillId="3" fontId="62" numFmtId="0" xfId="0" applyAlignment="1" applyBorder="1" applyFont="1">
      <alignment horizontal="center"/>
    </xf>
    <xf borderId="7" fillId="3" fontId="62" numFmtId="4" xfId="0" applyBorder="1" applyFont="1" applyNumberFormat="1"/>
    <xf borderId="0" fillId="0" fontId="67" numFmtId="0" xfId="0" applyFont="1"/>
    <xf borderId="102" fillId="0" fontId="62" numFmtId="172" xfId="0" applyBorder="1" applyFont="1" applyNumberFormat="1"/>
    <xf borderId="101" fillId="3" fontId="62" numFmtId="172" xfId="0" applyBorder="1" applyFont="1" applyNumberFormat="1"/>
    <xf borderId="103" fillId="3" fontId="62" numFmtId="2" xfId="0" applyAlignment="1" applyBorder="1" applyFont="1" applyNumberFormat="1">
      <alignment horizontal="center" vertical="center"/>
    </xf>
    <xf borderId="64" fillId="0" fontId="1" numFmtId="0" xfId="0" applyAlignment="1" applyBorder="1" applyFont="1">
      <alignment shrinkToFit="0" vertical="center" wrapText="1"/>
    </xf>
    <xf borderId="109" fillId="3" fontId="62" numFmtId="2" xfId="0" applyAlignment="1" applyBorder="1" applyFont="1" applyNumberFormat="1">
      <alignment horizontal="center" vertical="center"/>
    </xf>
    <xf borderId="71" fillId="0" fontId="1" numFmtId="0" xfId="0" applyAlignment="1" applyBorder="1" applyFont="1">
      <alignment shrinkToFit="0" vertical="center" wrapText="1"/>
    </xf>
    <xf borderId="101" fillId="3" fontId="62" numFmtId="195" xfId="0" applyAlignment="1" applyBorder="1" applyFont="1" applyNumberFormat="1">
      <alignment vertical="center"/>
    </xf>
    <xf borderId="110" fillId="0" fontId="62" numFmtId="0" xfId="0" applyAlignment="1" applyBorder="1" applyFont="1">
      <alignment horizontal="left" vertical="center"/>
    </xf>
    <xf borderId="111" fillId="3" fontId="62" numFmtId="0" xfId="0" applyAlignment="1" applyBorder="1" applyFont="1">
      <alignment horizontal="center" vertical="center"/>
    </xf>
    <xf borderId="93" fillId="3" fontId="62" numFmtId="196" xfId="0" applyAlignment="1" applyBorder="1" applyFont="1" applyNumberFormat="1">
      <alignment vertical="center"/>
    </xf>
    <xf borderId="112" fillId="3" fontId="62" numFmtId="172" xfId="0" applyBorder="1" applyFont="1" applyNumberFormat="1"/>
    <xf borderId="113" fillId="3" fontId="62" numFmtId="2" xfId="0" applyAlignment="1" applyBorder="1" applyFont="1" applyNumberFormat="1">
      <alignment horizontal="center" vertical="center"/>
    </xf>
    <xf borderId="91" fillId="3" fontId="62" numFmtId="4" xfId="0" applyAlignment="1" applyBorder="1" applyFont="1" applyNumberFormat="1">
      <alignment horizontal="center" vertical="center"/>
    </xf>
    <xf borderId="114" fillId="3" fontId="62" numFmtId="2" xfId="0" applyAlignment="1" applyBorder="1" applyFont="1" applyNumberFormat="1">
      <alignment horizontal="center" vertical="center"/>
    </xf>
    <xf borderId="94" fillId="0" fontId="62" numFmtId="0" xfId="0" applyAlignment="1" applyBorder="1" applyFont="1">
      <alignment horizontal="left" vertical="center"/>
    </xf>
    <xf borderId="115" fillId="0" fontId="14" numFmtId="0" xfId="0" applyBorder="1" applyFont="1"/>
    <xf borderId="116" fillId="3" fontId="62" numFmtId="196" xfId="0" applyAlignment="1" applyBorder="1" applyFont="1" applyNumberFormat="1">
      <alignment vertical="center"/>
    </xf>
    <xf borderId="117" fillId="3" fontId="62" numFmtId="172" xfId="0" applyBorder="1" applyFont="1" applyNumberFormat="1"/>
    <xf borderId="91" fillId="32" fontId="62" numFmtId="0" xfId="0" applyAlignment="1" applyBorder="1" applyFill="1" applyFont="1">
      <alignment horizontal="center"/>
    </xf>
    <xf borderId="118" fillId="32" fontId="62" numFmtId="0" xfId="0" applyAlignment="1" applyBorder="1" applyFont="1">
      <alignment horizontal="left" vertical="center"/>
    </xf>
    <xf borderId="119" fillId="32" fontId="63" numFmtId="0" xfId="0" applyAlignment="1" applyBorder="1" applyFont="1">
      <alignment horizontal="left" vertical="center"/>
    </xf>
    <xf borderId="112" fillId="32" fontId="62" numFmtId="0" xfId="0" applyAlignment="1" applyBorder="1" applyFont="1">
      <alignment horizontal="left" vertical="center"/>
    </xf>
    <xf borderId="73" fillId="32" fontId="62" numFmtId="0" xfId="0" applyAlignment="1" applyBorder="1" applyFont="1">
      <alignment vertical="center"/>
    </xf>
    <xf borderId="73" fillId="32" fontId="62" numFmtId="4" xfId="0" applyAlignment="1" applyBorder="1" applyFont="1" applyNumberFormat="1">
      <alignment vertical="center"/>
    </xf>
    <xf borderId="119" fillId="32" fontId="62" numFmtId="172" xfId="0" applyBorder="1" applyFont="1" applyNumberFormat="1"/>
    <xf borderId="119" fillId="32" fontId="62" numFmtId="196" xfId="0" applyAlignment="1" applyBorder="1" applyFont="1" applyNumberFormat="1">
      <alignment vertical="center"/>
    </xf>
    <xf borderId="112" fillId="32" fontId="62" numFmtId="172" xfId="0" applyBorder="1" applyFont="1" applyNumberFormat="1"/>
    <xf borderId="113" fillId="32" fontId="62" numFmtId="2" xfId="0" applyAlignment="1" applyBorder="1" applyFont="1" applyNumberFormat="1">
      <alignment horizontal="center" vertical="center"/>
    </xf>
    <xf borderId="120" fillId="32" fontId="62" numFmtId="169" xfId="0" applyBorder="1" applyFont="1" applyNumberFormat="1"/>
    <xf borderId="120" fillId="32" fontId="62" numFmtId="2" xfId="0" applyBorder="1" applyFont="1" applyNumberFormat="1"/>
    <xf borderId="119" fillId="4" fontId="62" numFmtId="172" xfId="0" applyBorder="1" applyFont="1" applyNumberFormat="1"/>
    <xf borderId="119" fillId="32" fontId="62" numFmtId="2" xfId="0" applyAlignment="1" applyBorder="1" applyFont="1" applyNumberFormat="1">
      <alignment horizontal="right" vertical="center"/>
    </xf>
    <xf borderId="110" fillId="0" fontId="62" numFmtId="0" xfId="0" applyAlignment="1" applyBorder="1" applyFont="1">
      <alignment vertical="center"/>
    </xf>
    <xf borderId="7" fillId="3" fontId="62" numFmtId="0" xfId="0" applyAlignment="1" applyBorder="1" applyFont="1">
      <alignment vertical="center"/>
    </xf>
    <xf borderId="7" fillId="3" fontId="62" numFmtId="4" xfId="0" applyAlignment="1" applyBorder="1" applyFont="1" applyNumberFormat="1">
      <alignment vertical="center"/>
    </xf>
    <xf borderId="112" fillId="3" fontId="62" numFmtId="195" xfId="0" applyAlignment="1" applyBorder="1" applyFont="1" applyNumberFormat="1">
      <alignment vertical="center"/>
    </xf>
    <xf borderId="112" fillId="4" fontId="62" numFmtId="172" xfId="0" applyBorder="1" applyFont="1" applyNumberFormat="1"/>
    <xf borderId="121" fillId="0" fontId="62" numFmtId="0" xfId="0" applyAlignment="1" applyBorder="1" applyFont="1">
      <alignment vertical="center"/>
    </xf>
    <xf borderId="93" fillId="3" fontId="62" numFmtId="195" xfId="0" applyAlignment="1" applyBorder="1" applyFont="1" applyNumberFormat="1">
      <alignment vertical="center"/>
    </xf>
    <xf borderId="93" fillId="4" fontId="62" numFmtId="172" xfId="0" applyBorder="1" applyFont="1" applyNumberFormat="1"/>
    <xf borderId="7" fillId="33" fontId="68" numFmtId="0" xfId="0" applyAlignment="1" applyBorder="1" applyFill="1" applyFont="1">
      <alignment horizontal="center" vertical="center"/>
    </xf>
    <xf borderId="116" fillId="33" fontId="68" numFmtId="0" xfId="0" applyAlignment="1" applyBorder="1" applyFont="1">
      <alignment horizontal="left" vertical="center"/>
    </xf>
    <xf borderId="7" fillId="33" fontId="68" numFmtId="0" xfId="0" applyAlignment="1" applyBorder="1" applyFont="1">
      <alignment horizontal="left" vertical="center"/>
    </xf>
    <xf borderId="7" fillId="33" fontId="62" numFmtId="4" xfId="0" applyAlignment="1" applyBorder="1" applyFont="1" applyNumberFormat="1">
      <alignment horizontal="right" vertical="center"/>
    </xf>
    <xf borderId="7" fillId="33" fontId="62" numFmtId="197" xfId="0" applyAlignment="1" applyBorder="1" applyFont="1" applyNumberFormat="1">
      <alignment horizontal="right" vertical="center"/>
    </xf>
    <xf borderId="7" fillId="33" fontId="64" numFmtId="4" xfId="0" applyAlignment="1" applyBorder="1" applyFont="1" applyNumberFormat="1">
      <alignment horizontal="right" vertical="center"/>
    </xf>
    <xf borderId="95" fillId="0" fontId="62" numFmtId="0" xfId="0" applyAlignment="1" applyBorder="1" applyFont="1">
      <alignment vertical="center"/>
    </xf>
    <xf borderId="122" fillId="0" fontId="54" numFmtId="0" xfId="0" applyBorder="1" applyFont="1"/>
    <xf borderId="0" fillId="0" fontId="54" numFmtId="0" xfId="0" applyFont="1"/>
    <xf borderId="0" fillId="0" fontId="53" numFmtId="4" xfId="0" applyFont="1" applyNumberFormat="1"/>
    <xf borderId="45" fillId="0" fontId="62" numFmtId="0" xfId="0" applyAlignment="1" applyBorder="1" applyFont="1">
      <alignment horizontal="left" vertical="center"/>
    </xf>
    <xf borderId="45" fillId="0" fontId="63" numFmtId="0" xfId="0" applyAlignment="1" applyBorder="1" applyFont="1">
      <alignment horizontal="left" vertical="center"/>
    </xf>
    <xf borderId="45" fillId="0" fontId="62" numFmtId="0" xfId="0" applyAlignment="1" applyBorder="1" applyFont="1">
      <alignment vertical="center"/>
    </xf>
    <xf borderId="45" fillId="0" fontId="62" numFmtId="172" xfId="0" applyBorder="1" applyFont="1" applyNumberFormat="1"/>
    <xf borderId="45" fillId="0" fontId="62" numFmtId="194" xfId="0" applyAlignment="1" applyBorder="1" applyFont="1" applyNumberFormat="1">
      <alignment vertical="center"/>
    </xf>
    <xf borderId="112" fillId="25" fontId="62" numFmtId="2" xfId="0" applyAlignment="1" applyBorder="1" applyFont="1" applyNumberFormat="1">
      <alignment horizontal="right" vertical="center"/>
    </xf>
    <xf borderId="0" fillId="0" fontId="62" numFmtId="172" xfId="0" applyFont="1" applyNumberFormat="1"/>
    <xf borderId="0" fillId="0" fontId="20" numFmtId="4" xfId="0" applyFont="1" applyNumberFormat="1"/>
    <xf borderId="0" fillId="0" fontId="64" numFmtId="4" xfId="0" applyAlignment="1" applyFont="1" applyNumberFormat="1">
      <alignment horizontal="right" vertical="center"/>
    </xf>
    <xf borderId="0" fillId="0" fontId="62" numFmtId="171" xfId="0" applyFont="1" applyNumberFormat="1"/>
    <xf borderId="0" fillId="0" fontId="65" numFmtId="171" xfId="0" applyFont="1" applyNumberFormat="1"/>
    <xf borderId="0" fillId="0" fontId="62" numFmtId="167" xfId="0" applyFont="1" applyNumberFormat="1"/>
    <xf borderId="24" fillId="0" fontId="1" numFmtId="0" xfId="0" applyAlignment="1" applyBorder="1" applyFont="1">
      <alignment horizontal="center"/>
    </xf>
    <xf borderId="26" fillId="0" fontId="14" numFmtId="0" xfId="0" applyBorder="1" applyFont="1"/>
    <xf borderId="28" fillId="0" fontId="1" numFmtId="0" xfId="0" applyAlignment="1" applyBorder="1" applyFont="1">
      <alignment horizontal="center"/>
    </xf>
    <xf borderId="15" fillId="0" fontId="1" numFmtId="169" xfId="0" applyAlignment="1" applyBorder="1" applyFont="1" applyNumberFormat="1">
      <alignment horizontal="center"/>
    </xf>
    <xf borderId="61" fillId="2" fontId="1" numFmtId="0" xfId="0" applyAlignment="1" applyBorder="1" applyFont="1">
      <alignment horizontal="center"/>
    </xf>
    <xf borderId="15" fillId="0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0" fillId="0" fontId="1" numFmtId="15" xfId="0" applyAlignment="1" applyFont="1" applyNumberFormat="1">
      <alignment horizontal="center"/>
    </xf>
    <xf borderId="8" fillId="30" fontId="1" numFmtId="169" xfId="0" applyAlignment="1" applyBorder="1" applyFont="1" applyNumberFormat="1">
      <alignment horizontal="center"/>
    </xf>
    <xf borderId="8" fillId="4" fontId="1" numFmtId="169" xfId="0" applyAlignment="1" applyBorder="1" applyFont="1" applyNumberFormat="1">
      <alignment horizontal="center"/>
    </xf>
    <xf borderId="8" fillId="10" fontId="1" numFmtId="169" xfId="0" applyAlignment="1" applyBorder="1" applyFont="1" applyNumberFormat="1">
      <alignment horizontal="center"/>
    </xf>
    <xf borderId="24" fillId="0" fontId="1" numFmtId="170" xfId="0" applyAlignment="1" applyBorder="1" applyFont="1" applyNumberFormat="1">
      <alignment horizontal="center"/>
    </xf>
    <xf borderId="26" fillId="0" fontId="1" numFmtId="170" xfId="0" applyAlignment="1" applyBorder="1" applyFont="1" applyNumberFormat="1">
      <alignment horizontal="center"/>
    </xf>
    <xf borderId="20" fillId="0" fontId="1" numFmtId="170" xfId="0" applyAlignment="1" applyBorder="1" applyFont="1" applyNumberFormat="1">
      <alignment horizontal="center"/>
    </xf>
    <xf borderId="27" fillId="0" fontId="1" numFmtId="170" xfId="0" applyAlignment="1" applyBorder="1" applyFont="1" applyNumberFormat="1">
      <alignment horizontal="center"/>
    </xf>
    <xf borderId="7" fillId="4" fontId="1" numFmtId="15" xfId="0" applyAlignment="1" applyBorder="1" applyFont="1" applyNumberFormat="1">
      <alignment horizontal="center"/>
    </xf>
    <xf borderId="21" fillId="4" fontId="1" numFmtId="170" xfId="0" applyAlignment="1" applyBorder="1" applyFont="1" applyNumberFormat="1">
      <alignment horizontal="center"/>
    </xf>
    <xf borderId="8" fillId="3" fontId="9" numFmtId="169" xfId="0" applyAlignment="1" applyBorder="1" applyFont="1" applyNumberFormat="1">
      <alignment horizontal="center"/>
    </xf>
    <xf borderId="8" fillId="2" fontId="6" numFmtId="169" xfId="0" applyAlignment="1" applyBorder="1" applyFont="1" applyNumberFormat="1">
      <alignment horizontal="center"/>
    </xf>
    <xf borderId="8" fillId="3" fontId="6" numFmtId="169" xfId="0" applyAlignment="1" applyBorder="1" applyFont="1" applyNumberFormat="1">
      <alignment horizontal="center"/>
    </xf>
    <xf borderId="15" fillId="0" fontId="1" numFmtId="169" xfId="0" applyBorder="1" applyFont="1" applyNumberFormat="1"/>
    <xf borderId="61" fillId="30" fontId="1" numFmtId="0" xfId="0" applyBorder="1" applyFont="1"/>
    <xf borderId="15" fillId="0" fontId="1" numFmtId="0" xfId="0" applyBorder="1" applyFont="1"/>
    <xf borderId="28" fillId="0" fontId="1" numFmtId="170" xfId="0" applyAlignment="1" applyBorder="1" applyFont="1" applyNumberFormat="1">
      <alignment horizontal="center"/>
    </xf>
    <xf borderId="30" fillId="0" fontId="1" numFmtId="170" xfId="0" applyAlignment="1" applyBorder="1" applyFont="1" applyNumberFormat="1">
      <alignment horizontal="center"/>
    </xf>
    <xf borderId="8" fillId="4" fontId="1" numFmtId="190" xfId="0" applyAlignment="1" applyBorder="1" applyFont="1" applyNumberFormat="1">
      <alignment horizontal="right"/>
    </xf>
    <xf borderId="15" fillId="0" fontId="1" numFmtId="0" xfId="0" applyAlignment="1" applyBorder="1" applyFont="1">
      <alignment horizontal="right"/>
    </xf>
    <xf borderId="14" fillId="2" fontId="69" numFmtId="0" xfId="0" applyAlignment="1" applyBorder="1" applyFont="1">
      <alignment horizontal="center"/>
    </xf>
    <xf borderId="0" fillId="0" fontId="1" numFmtId="4" xfId="0" applyFont="1" applyNumberFormat="1"/>
    <xf borderId="7" fillId="3" fontId="1" numFmtId="181" xfId="0" applyBorder="1" applyFont="1" applyNumberFormat="1"/>
    <xf borderId="7" fillId="13" fontId="6" numFmtId="167" xfId="0" applyAlignment="1" applyBorder="1" applyFont="1" applyNumberFormat="1">
      <alignment horizontal="center"/>
    </xf>
    <xf borderId="7" fillId="4" fontId="10" numFmtId="167" xfId="0" applyAlignment="1" applyBorder="1" applyFont="1" applyNumberFormat="1">
      <alignment horizontal="center"/>
    </xf>
    <xf borderId="14" fillId="7" fontId="9" numFmtId="0" xfId="0" applyAlignment="1" applyBorder="1" applyFont="1">
      <alignment horizontal="center"/>
    </xf>
    <xf borderId="0" fillId="0" fontId="1" numFmtId="186" xfId="0" applyFont="1" applyNumberFormat="1"/>
    <xf borderId="7" fillId="3" fontId="9" numFmtId="2" xfId="0" applyBorder="1" applyFont="1" applyNumberFormat="1"/>
    <xf borderId="7" fillId="12" fontId="9" numFmtId="167" xfId="0" applyAlignment="1" applyBorder="1" applyFont="1" applyNumberFormat="1">
      <alignment horizontal="center"/>
    </xf>
    <xf borderId="7" fillId="12" fontId="10" numFmtId="167" xfId="0" applyAlignment="1" applyBorder="1" applyFont="1" applyNumberFormat="1">
      <alignment horizontal="center"/>
    </xf>
    <xf borderId="7" fillId="4" fontId="9" numFmtId="1" xfId="0" applyAlignment="1" applyBorder="1" applyFont="1" applyNumberFormat="1">
      <alignment horizontal="center"/>
    </xf>
    <xf borderId="7" fillId="2" fontId="1" numFmtId="40" xfId="0" applyAlignment="1" applyBorder="1" applyFont="1" applyNumberFormat="1">
      <alignment horizontal="center"/>
    </xf>
    <xf borderId="29" fillId="2" fontId="1" numFmtId="40" xfId="0" applyAlignment="1" applyBorder="1" applyFont="1" applyNumberFormat="1">
      <alignment horizontal="center"/>
    </xf>
    <xf borderId="19" fillId="5" fontId="5" numFmtId="40" xfId="0" applyBorder="1" applyFont="1" applyNumberFormat="1"/>
    <xf borderId="19" fillId="5" fontId="5" numFmtId="40" xfId="0" applyAlignment="1" applyBorder="1" applyFont="1" applyNumberFormat="1">
      <alignment horizontal="center"/>
    </xf>
    <xf borderId="0" fillId="0" fontId="1" numFmtId="198" xfId="0" applyFont="1" applyNumberFormat="1"/>
    <xf borderId="7" fillId="2" fontId="1" numFmtId="181" xfId="0" applyBorder="1" applyFont="1" applyNumberFormat="1"/>
    <xf borderId="7" fillId="2" fontId="1" numFmtId="198" xfId="0" applyBorder="1" applyFont="1" applyNumberFormat="1"/>
    <xf borderId="7" fillId="3" fontId="1" numFmtId="2" xfId="0" applyAlignment="1" applyBorder="1" applyFont="1" applyNumberFormat="1">
      <alignment horizontal="right"/>
    </xf>
    <xf borderId="0" fillId="0" fontId="6" numFmtId="2" xfId="0" applyAlignment="1" applyFont="1" applyNumberFormat="1">
      <alignment horizontal="right"/>
    </xf>
    <xf borderId="7" fillId="3" fontId="1" numFmtId="185" xfId="0" applyBorder="1" applyFont="1" applyNumberFormat="1"/>
    <xf borderId="7" fillId="3" fontId="1" numFmtId="198" xfId="0" applyBorder="1" applyFont="1" applyNumberFormat="1"/>
    <xf borderId="7" fillId="3" fontId="10" numFmtId="1" xfId="0" applyAlignment="1" applyBorder="1" applyFont="1" applyNumberFormat="1">
      <alignment horizontal="center"/>
    </xf>
    <xf borderId="1" fillId="7" fontId="1" numFmtId="40" xfId="0" applyAlignment="1" applyBorder="1" applyFont="1" applyNumberFormat="1">
      <alignment horizontal="center"/>
    </xf>
    <xf borderId="5" fillId="7" fontId="1" numFmtId="40" xfId="0" applyAlignment="1" applyBorder="1" applyFont="1" applyNumberFormat="1">
      <alignment horizontal="center"/>
    </xf>
    <xf borderId="14" fillId="7" fontId="6" numFmtId="40" xfId="0" applyBorder="1" applyFont="1" applyNumberFormat="1"/>
    <xf borderId="14" fillId="3" fontId="9" numFmtId="0" xfId="0" applyAlignment="1" applyBorder="1" applyFont="1">
      <alignment horizontal="center"/>
    </xf>
    <xf borderId="7" fillId="7" fontId="6" numFmtId="40" xfId="0" applyBorder="1" applyFont="1" applyNumberFormat="1"/>
    <xf borderId="7" fillId="31" fontId="1" numFmtId="0" xfId="0" applyBorder="1" applyFont="1"/>
    <xf borderId="7" fillId="7" fontId="1" numFmtId="40" xfId="0" applyBorder="1" applyFont="1" applyNumberFormat="1"/>
    <xf borderId="7" fillId="14" fontId="1" numFmtId="0" xfId="0" applyBorder="1" applyFont="1"/>
    <xf borderId="0" fillId="0" fontId="1" numFmtId="181" xfId="0" applyFont="1" applyNumberFormat="1"/>
    <xf borderId="0" fillId="0" fontId="1" numFmtId="2" xfId="0" applyAlignment="1" applyFont="1" applyNumberFormat="1">
      <alignment horizontal="center"/>
    </xf>
    <xf borderId="24" fillId="0" fontId="1" numFmtId="40" xfId="0" applyAlignment="1" applyBorder="1" applyFont="1" applyNumberFormat="1">
      <alignment horizontal="center"/>
    </xf>
    <xf borderId="4" fillId="0" fontId="1" numFmtId="165" xfId="0" applyAlignment="1" applyBorder="1" applyFont="1" applyNumberFormat="1">
      <alignment horizontal="center"/>
    </xf>
    <xf borderId="28" fillId="0" fontId="1" numFmtId="40" xfId="0" applyAlignment="1" applyBorder="1" applyFont="1" applyNumberFormat="1">
      <alignment horizontal="center"/>
    </xf>
    <xf borderId="56" fillId="0" fontId="6" numFmtId="40" xfId="0" applyBorder="1" applyFont="1" applyNumberFormat="1"/>
    <xf borderId="7" fillId="3" fontId="6" numFmtId="40" xfId="0" applyBorder="1" applyFont="1" applyNumberFormat="1"/>
    <xf borderId="7" fillId="12" fontId="9" numFmtId="0" xfId="0" applyAlignment="1" applyBorder="1" applyFont="1">
      <alignment horizontal="center"/>
    </xf>
    <xf borderId="4" fillId="0" fontId="1" numFmtId="40" xfId="0" applyAlignment="1" applyBorder="1" applyFont="1" applyNumberFormat="1">
      <alignment horizontal="center"/>
    </xf>
    <xf borderId="6" fillId="0" fontId="1" numFmtId="40" xfId="0" applyAlignment="1" applyBorder="1" applyFont="1" applyNumberFormat="1">
      <alignment horizontal="center"/>
    </xf>
    <xf borderId="45" fillId="5" fontId="2" numFmtId="0" xfId="0" applyBorder="1" applyFont="1"/>
    <xf borderId="45" fillId="5" fontId="2" numFmtId="0" xfId="0" applyAlignment="1" applyBorder="1" applyFont="1">
      <alignment horizontal="center"/>
    </xf>
    <xf borderId="51" fillId="5" fontId="2" numFmtId="0" xfId="0" applyAlignment="1" applyBorder="1" applyFont="1">
      <alignment horizontal="center"/>
    </xf>
    <xf borderId="123" fillId="6" fontId="2" numFmtId="0" xfId="0" applyAlignment="1" applyBorder="1" applyFont="1">
      <alignment horizontal="center"/>
    </xf>
    <xf borderId="73" fillId="6" fontId="2" numFmtId="0" xfId="0" applyBorder="1" applyFont="1"/>
    <xf borderId="123" fillId="5" fontId="2" numFmtId="0" xfId="0" applyAlignment="1" applyBorder="1" applyFont="1">
      <alignment horizontal="center"/>
    </xf>
    <xf borderId="52" fillId="6" fontId="3" numFmtId="0" xfId="0" applyAlignment="1" applyBorder="1" applyFont="1">
      <alignment horizontal="center"/>
    </xf>
    <xf borderId="45" fillId="6" fontId="3" numFmtId="0" xfId="0" applyAlignment="1" applyBorder="1" applyFont="1">
      <alignment horizontal="center"/>
    </xf>
    <xf borderId="51" fillId="6" fontId="2" numFmtId="0" xfId="0" applyAlignment="1" applyBorder="1" applyFont="1">
      <alignment horizontal="center"/>
    </xf>
    <xf borderId="52" fillId="6" fontId="2" numFmtId="0" xfId="0" applyAlignment="1" applyBorder="1" applyFont="1">
      <alignment horizontal="center"/>
    </xf>
    <xf borderId="45" fillId="6" fontId="4" numFmtId="0" xfId="0" applyBorder="1" applyFont="1"/>
    <xf borderId="45" fillId="5" fontId="4" numFmtId="0" xfId="0" applyBorder="1" applyFont="1"/>
    <xf borderId="45" fillId="6" fontId="2" numFmtId="0" xfId="0" applyAlignment="1" applyBorder="1" applyFont="1">
      <alignment horizontal="center"/>
    </xf>
    <xf borderId="45" fillId="5" fontId="2" numFmtId="40" xfId="0" applyAlignment="1" applyBorder="1" applyFont="1" applyNumberFormat="1">
      <alignment horizontal="center"/>
    </xf>
    <xf borderId="45" fillId="5" fontId="5" numFmtId="40" xfId="0" applyBorder="1" applyFont="1" applyNumberFormat="1"/>
    <xf borderId="45" fillId="5" fontId="5" numFmtId="40" xfId="0" applyAlignment="1" applyBorder="1" applyFont="1" applyNumberFormat="1">
      <alignment horizontal="center"/>
    </xf>
    <xf borderId="58" fillId="7" fontId="6" numFmtId="40" xfId="0" applyBorder="1" applyFont="1" applyNumberFormat="1"/>
    <xf borderId="123" fillId="0" fontId="6" numFmtId="40" xfId="0" applyAlignment="1" applyBorder="1" applyFont="1" applyNumberFormat="1">
      <alignment horizontal="center"/>
    </xf>
    <xf borderId="28" fillId="0" fontId="1" numFmtId="169" xfId="0" applyAlignment="1" applyBorder="1" applyFont="1" applyNumberFormat="1">
      <alignment horizontal="center"/>
    </xf>
    <xf borderId="10" fillId="3" fontId="2" numFmtId="0" xfId="0" applyBorder="1" applyFont="1"/>
    <xf borderId="12" fillId="3" fontId="2" numFmtId="0" xfId="0" applyBorder="1" applyFont="1"/>
    <xf borderId="12" fillId="3" fontId="2" numFmtId="0" xfId="0" applyAlignment="1" applyBorder="1" applyFont="1">
      <alignment horizontal="center"/>
    </xf>
    <xf borderId="12" fillId="3" fontId="3" numFmtId="0" xfId="0" applyAlignment="1" applyBorder="1" applyFont="1">
      <alignment horizontal="center"/>
    </xf>
    <xf borderId="12" fillId="3" fontId="4" numFmtId="0" xfId="0" applyBorder="1" applyFont="1"/>
    <xf borderId="12" fillId="3" fontId="2" numFmtId="40" xfId="0" applyAlignment="1" applyBorder="1" applyFont="1" applyNumberFormat="1">
      <alignment horizontal="center"/>
    </xf>
    <xf borderId="12" fillId="3" fontId="5" numFmtId="40" xfId="0" applyBorder="1" applyFont="1" applyNumberFormat="1"/>
    <xf borderId="12" fillId="3" fontId="5" numFmtId="40" xfId="0" applyAlignment="1" applyBorder="1" applyFont="1" applyNumberFormat="1">
      <alignment horizontal="center"/>
    </xf>
    <xf borderId="12" fillId="7" fontId="6" numFmtId="40" xfId="0" applyBorder="1" applyFont="1" applyNumberFormat="1"/>
    <xf borderId="14" fillId="12" fontId="70" numFmtId="0" xfId="0" applyAlignment="1" applyBorder="1" applyFont="1">
      <alignment horizontal="center"/>
    </xf>
    <xf borderId="7" fillId="3" fontId="9" numFmtId="169" xfId="0" applyBorder="1" applyFont="1" applyNumberFormat="1"/>
    <xf borderId="0" fillId="0" fontId="1" numFmtId="40" xfId="0" applyAlignment="1" applyFont="1" applyNumberFormat="1">
      <alignment horizontal="center"/>
    </xf>
    <xf borderId="45" fillId="6" fontId="2" numFmtId="0" xfId="0" applyBorder="1" applyFont="1"/>
    <xf borderId="45" fillId="0" fontId="6" numFmtId="40" xfId="0" applyBorder="1" applyFont="1" applyNumberFormat="1"/>
    <xf borderId="63" fillId="0" fontId="6" numFmtId="40" xfId="0" applyBorder="1" applyFont="1" applyNumberFormat="1"/>
    <xf borderId="12" fillId="3" fontId="6" numFmtId="40" xfId="0" applyBorder="1" applyFont="1" applyNumberFormat="1"/>
    <xf borderId="7" fillId="3" fontId="2" numFmtId="0" xfId="0" applyAlignment="1" applyBorder="1" applyFont="1">
      <alignment horizontal="right" vertical="center"/>
    </xf>
    <xf borderId="7" fillId="3" fontId="1" numFmtId="170" xfId="0" applyAlignment="1" applyBorder="1" applyFont="1" applyNumberFormat="1">
      <alignment horizontal="center"/>
    </xf>
    <xf borderId="7" fillId="3" fontId="9" numFmtId="0" xfId="0" applyAlignment="1" applyBorder="1" applyFont="1">
      <alignment horizontal="center" vertical="center"/>
    </xf>
    <xf borderId="7" fillId="34" fontId="1" numFmtId="40" xfId="0" applyBorder="1" applyFill="1" applyFont="1" applyNumberFormat="1"/>
    <xf borderId="7" fillId="34" fontId="1" numFmtId="181" xfId="0" applyBorder="1" applyFont="1" applyNumberFormat="1"/>
    <xf borderId="7" fillId="34" fontId="1" numFmtId="0" xfId="0" applyBorder="1" applyFont="1"/>
    <xf borderId="7" fillId="34" fontId="9" numFmtId="0" xfId="0" applyBorder="1" applyFont="1"/>
    <xf borderId="7" fillId="34" fontId="1" numFmtId="170" xfId="0" applyAlignment="1" applyBorder="1" applyFont="1" applyNumberFormat="1">
      <alignment horizontal="center"/>
    </xf>
    <xf borderId="7" fillId="34" fontId="1" numFmtId="2" xfId="0" applyBorder="1" applyFont="1" applyNumberFormat="1"/>
    <xf borderId="7" fillId="34" fontId="1" numFmtId="167" xfId="0" applyBorder="1" applyFont="1" applyNumberFormat="1"/>
    <xf borderId="7" fillId="34" fontId="1" numFmtId="0" xfId="0" applyAlignment="1" applyBorder="1" applyFont="1">
      <alignment horizontal="center"/>
    </xf>
    <xf borderId="7" fillId="34" fontId="1" numFmtId="167" xfId="0" applyAlignment="1" applyBorder="1" applyFont="1" applyNumberFormat="1">
      <alignment horizontal="center"/>
    </xf>
    <xf borderId="7" fillId="34" fontId="9" numFmtId="167" xfId="0" applyAlignment="1" applyBorder="1" applyFont="1" applyNumberFormat="1">
      <alignment horizontal="center"/>
    </xf>
    <xf borderId="7" fillId="34" fontId="6" numFmtId="0" xfId="0" applyBorder="1" applyFont="1"/>
    <xf borderId="7" fillId="34" fontId="1" numFmtId="169" xfId="0" applyBorder="1" applyFont="1" applyNumberFormat="1"/>
    <xf borderId="7" fillId="34" fontId="9" numFmtId="40" xfId="0" applyBorder="1" applyFont="1" applyNumberFormat="1"/>
    <xf borderId="7" fillId="34" fontId="1" numFmtId="168" xfId="0" applyBorder="1" applyFont="1" applyNumberFormat="1"/>
    <xf borderId="7" fillId="4" fontId="1" numFmtId="181" xfId="0" applyBorder="1" applyFont="1" applyNumberFormat="1"/>
    <xf borderId="7" fillId="4" fontId="1" numFmtId="168" xfId="0" applyBorder="1" applyFont="1" applyNumberFormat="1"/>
    <xf borderId="7" fillId="3" fontId="1" numFmtId="1" xfId="0" applyBorder="1" applyFont="1" applyNumberFormat="1"/>
    <xf borderId="7" fillId="10" fontId="9" numFmtId="167" xfId="0" applyAlignment="1" applyBorder="1" applyFont="1" applyNumberFormat="1">
      <alignment horizontal="center"/>
    </xf>
    <xf borderId="0" fillId="0" fontId="71" numFmtId="167" xfId="0" applyAlignment="1" applyFont="1" applyNumberFormat="1">
      <alignment horizontal="center"/>
    </xf>
    <xf borderId="7" fillId="9" fontId="1" numFmtId="40" xfId="0" applyBorder="1" applyFont="1" applyNumberFormat="1"/>
    <xf borderId="7" fillId="26" fontId="1" numFmtId="181" xfId="0" applyBorder="1" applyFont="1" applyNumberFormat="1"/>
    <xf borderId="7" fillId="26" fontId="1" numFmtId="0" xfId="0" applyAlignment="1" applyBorder="1" applyFont="1">
      <alignment horizontal="center"/>
    </xf>
    <xf borderId="7" fillId="26" fontId="1" numFmtId="2" xfId="0" applyBorder="1" applyFont="1" applyNumberFormat="1"/>
    <xf borderId="7" fillId="26" fontId="1" numFmtId="167" xfId="0" applyBorder="1" applyFont="1" applyNumberFormat="1"/>
    <xf borderId="7" fillId="26" fontId="1" numFmtId="167" xfId="0" applyAlignment="1" applyBorder="1" applyFont="1" applyNumberFormat="1">
      <alignment horizontal="center"/>
    </xf>
    <xf borderId="7" fillId="26" fontId="9" numFmtId="167" xfId="0" applyAlignment="1" applyBorder="1" applyFont="1" applyNumberFormat="1">
      <alignment horizontal="center"/>
    </xf>
    <xf borderId="7" fillId="26" fontId="1" numFmtId="169" xfId="0" applyBorder="1" applyFont="1" applyNumberFormat="1"/>
    <xf borderId="7" fillId="35" fontId="1" numFmtId="2" xfId="0" applyBorder="1" applyFill="1" applyFont="1" applyNumberFormat="1"/>
    <xf borderId="7" fillId="35" fontId="9" numFmtId="2" xfId="0" applyBorder="1" applyFont="1" applyNumberFormat="1"/>
    <xf borderId="7" fillId="26" fontId="1" numFmtId="40" xfId="0" applyBorder="1" applyFont="1" applyNumberFormat="1"/>
    <xf borderId="7" fillId="26" fontId="1" numFmtId="168" xfId="0" applyBorder="1" applyFont="1" applyNumberFormat="1"/>
    <xf borderId="7" fillId="36" fontId="1" numFmtId="167" xfId="0" applyAlignment="1" applyBorder="1" applyFill="1" applyFont="1" applyNumberFormat="1">
      <alignment horizontal="center"/>
    </xf>
    <xf borderId="7" fillId="23" fontId="9" numFmtId="2" xfId="0" applyBorder="1" applyFont="1" applyNumberFormat="1"/>
    <xf borderId="14" fillId="37" fontId="9" numFmtId="0" xfId="0" applyAlignment="1" applyBorder="1" applyFill="1" applyFont="1">
      <alignment horizontal="center"/>
    </xf>
    <xf borderId="7" fillId="37" fontId="1" numFmtId="181" xfId="0" applyBorder="1" applyFont="1" applyNumberFormat="1"/>
    <xf borderId="7" fillId="37" fontId="1" numFmtId="0" xfId="0" applyBorder="1" applyFont="1"/>
    <xf borderId="7" fillId="37" fontId="9" numFmtId="0" xfId="0" applyBorder="1" applyFont="1"/>
    <xf borderId="7" fillId="37" fontId="1" numFmtId="0" xfId="0" applyAlignment="1" applyBorder="1" applyFont="1">
      <alignment horizontal="center"/>
    </xf>
    <xf borderId="7" fillId="37" fontId="1" numFmtId="2" xfId="0" applyBorder="1" applyFont="1" applyNumberFormat="1"/>
    <xf borderId="7" fillId="37" fontId="1" numFmtId="167" xfId="0" applyBorder="1" applyFont="1" applyNumberFormat="1"/>
    <xf borderId="7" fillId="37" fontId="1" numFmtId="167" xfId="0" applyAlignment="1" applyBorder="1" applyFont="1" applyNumberFormat="1">
      <alignment horizontal="center"/>
    </xf>
    <xf borderId="7" fillId="37" fontId="9" numFmtId="167" xfId="0" applyAlignment="1" applyBorder="1" applyFont="1" applyNumberFormat="1">
      <alignment horizontal="center"/>
    </xf>
    <xf borderId="7" fillId="37" fontId="1" numFmtId="169" xfId="0" applyBorder="1" applyFont="1" applyNumberFormat="1"/>
    <xf borderId="7" fillId="37" fontId="9" numFmtId="2" xfId="0" applyBorder="1" applyFont="1" applyNumberFormat="1"/>
    <xf borderId="7" fillId="37" fontId="1" numFmtId="40" xfId="0" applyBorder="1" applyFont="1" applyNumberFormat="1"/>
    <xf borderId="7" fillId="37" fontId="9" numFmtId="40" xfId="0" applyBorder="1" applyFont="1" applyNumberFormat="1"/>
    <xf borderId="7" fillId="37" fontId="1" numFmtId="168" xfId="0" applyBorder="1" applyFont="1" applyNumberFormat="1"/>
    <xf borderId="7" fillId="37" fontId="6" numFmtId="167" xfId="0" applyAlignment="1" applyBorder="1" applyFont="1" applyNumberFormat="1">
      <alignment horizontal="center"/>
    </xf>
    <xf borderId="7" fillId="28" fontId="9" numFmtId="2" xfId="0" applyBorder="1" applyFont="1" applyNumberFormat="1"/>
    <xf borderId="7" fillId="3" fontId="6" numFmtId="0" xfId="0" applyAlignment="1" applyBorder="1" applyFont="1">
      <alignment horizontal="center"/>
    </xf>
    <xf borderId="7" fillId="3" fontId="6" numFmtId="167" xfId="0" applyAlignment="1" applyBorder="1" applyFont="1" applyNumberFormat="1">
      <alignment horizontal="center" vertical="center"/>
    </xf>
    <xf borderId="7" fillId="3" fontId="9" numFmtId="167" xfId="0" applyAlignment="1" applyBorder="1" applyFont="1" applyNumberFormat="1">
      <alignment horizontal="center" vertical="center"/>
    </xf>
    <xf borderId="7" fillId="3" fontId="6" numFmtId="0" xfId="0" applyAlignment="1" applyBorder="1" applyFont="1">
      <alignment horizontal="center" vertical="center"/>
    </xf>
    <xf borderId="0" fillId="0" fontId="9" numFmtId="168" xfId="0" applyFont="1" applyNumberFormat="1"/>
    <xf borderId="7" fillId="4" fontId="2" numFmtId="0" xfId="0" applyAlignment="1" applyBorder="1" applyFont="1">
      <alignment horizontal="right" vertical="center"/>
    </xf>
    <xf borderId="7" fillId="4" fontId="1" numFmtId="167" xfId="0" applyAlignment="1" applyBorder="1" applyFont="1" applyNumberFormat="1">
      <alignment horizontal="center" vertical="center"/>
    </xf>
    <xf borderId="7" fillId="4" fontId="9" numFmtId="167" xfId="0" applyAlignment="1" applyBorder="1" applyFont="1" applyNumberFormat="1">
      <alignment horizontal="center" vertical="center"/>
    </xf>
    <xf borderId="7" fillId="4" fontId="6" numFmtId="167" xfId="0" applyAlignment="1" applyBorder="1" applyFont="1" applyNumberFormat="1">
      <alignment horizontal="center" vertical="center"/>
    </xf>
    <xf borderId="7" fillId="4" fontId="1" numFmtId="1" xfId="0" applyBorder="1" applyFont="1" applyNumberFormat="1"/>
    <xf borderId="0" fillId="0" fontId="1" numFmtId="181" xfId="0" applyAlignment="1" applyFont="1" applyNumberFormat="1">
      <alignment horizontal="left"/>
    </xf>
    <xf borderId="7" fillId="3" fontId="1" numFmtId="181" xfId="0" applyAlignment="1" applyBorder="1" applyFont="1" applyNumberFormat="1">
      <alignment horizontal="left"/>
    </xf>
    <xf borderId="7" fillId="2" fontId="2" numFmtId="0" xfId="0" applyAlignment="1" applyBorder="1" applyFont="1">
      <alignment horizontal="right" vertical="center"/>
    </xf>
    <xf borderId="7" fillId="2" fontId="1" numFmtId="170" xfId="0" applyAlignment="1" applyBorder="1" applyFont="1" applyNumberFormat="1">
      <alignment horizontal="center"/>
    </xf>
    <xf borderId="7" fillId="2" fontId="1" numFmtId="167" xfId="0" applyBorder="1" applyFont="1" applyNumberFormat="1"/>
    <xf borderId="7" fillId="2" fontId="1" numFmtId="2" xfId="0" applyBorder="1" applyFont="1" applyNumberFormat="1"/>
    <xf borderId="7" fillId="2" fontId="1" numFmtId="167" xfId="0" applyAlignment="1" applyBorder="1" applyFont="1" applyNumberFormat="1">
      <alignment horizontal="center" vertical="center"/>
    </xf>
    <xf borderId="7" fillId="2" fontId="6" numFmtId="167" xfId="0" applyAlignment="1" applyBorder="1" applyFont="1" applyNumberFormat="1">
      <alignment horizontal="center" vertical="center"/>
    </xf>
    <xf borderId="7" fillId="2" fontId="1" numFmtId="1" xfId="0" applyBorder="1" applyFont="1" applyNumberFormat="1"/>
    <xf borderId="7" fillId="2" fontId="1" numFmtId="169" xfId="0" applyBorder="1" applyFont="1" applyNumberFormat="1"/>
    <xf borderId="7" fillId="2" fontId="1" numFmtId="168" xfId="0" applyBorder="1" applyFont="1" applyNumberFormat="1"/>
    <xf borderId="7" fillId="2" fontId="6" numFmtId="167" xfId="0" applyAlignment="1" applyBorder="1" applyFont="1" applyNumberFormat="1">
      <alignment horizontal="center"/>
    </xf>
    <xf borderId="7" fillId="2" fontId="6" numFmtId="0" xfId="0" applyAlignment="1" applyBorder="1" applyFont="1">
      <alignment horizontal="center" vertical="center"/>
    </xf>
    <xf borderId="7" fillId="2" fontId="1" numFmtId="167" xfId="0" applyAlignment="1" applyBorder="1" applyFont="1" applyNumberFormat="1">
      <alignment horizontal="center"/>
    </xf>
    <xf borderId="26" fillId="0" fontId="1" numFmtId="168" xfId="0" applyBorder="1" applyFont="1" applyNumberFormat="1"/>
    <xf borderId="27" fillId="0" fontId="1" numFmtId="168" xfId="0" applyBorder="1" applyFont="1" applyNumberFormat="1"/>
    <xf borderId="20" fillId="0" fontId="1" numFmtId="169" xfId="0" applyBorder="1" applyFont="1" applyNumberFormat="1"/>
    <xf borderId="0" fillId="0" fontId="1" numFmtId="1" xfId="0" applyFont="1" applyNumberFormat="1"/>
    <xf borderId="7" fillId="3" fontId="10" numFmtId="2" xfId="0" applyBorder="1" applyFont="1" applyNumberFormat="1"/>
    <xf borderId="7" fillId="4" fontId="10" numFmtId="2" xfId="0" applyBorder="1" applyFont="1" applyNumberFormat="1"/>
    <xf borderId="7" fillId="3" fontId="10" numFmtId="0" xfId="0" applyBorder="1" applyFont="1"/>
    <xf borderId="7" fillId="3" fontId="10" numFmtId="167" xfId="0" applyAlignment="1" applyBorder="1" applyFont="1" applyNumberFormat="1">
      <alignment horizontal="center" vertical="center"/>
    </xf>
    <xf borderId="7" fillId="3" fontId="9" numFmtId="170" xfId="0" applyAlignment="1" applyBorder="1" applyFont="1" applyNumberFormat="1">
      <alignment horizontal="center"/>
    </xf>
    <xf borderId="7" fillId="2" fontId="1" numFmtId="169" xfId="0" applyAlignment="1" applyBorder="1" applyFont="1" applyNumberFormat="1">
      <alignment horizontal="center"/>
    </xf>
    <xf borderId="10" fillId="12" fontId="1" numFmtId="0" xfId="0" applyAlignment="1" applyBorder="1" applyFont="1">
      <alignment horizontal="center"/>
    </xf>
    <xf borderId="12" fillId="3" fontId="1" numFmtId="181" xfId="0" applyBorder="1" applyFont="1" applyNumberFormat="1"/>
    <xf borderId="12" fillId="3" fontId="1" numFmtId="0" xfId="0" applyBorder="1" applyFont="1"/>
    <xf borderId="12" fillId="3" fontId="2" numFmtId="0" xfId="0" applyAlignment="1" applyBorder="1" applyFont="1">
      <alignment horizontal="right" vertical="center"/>
    </xf>
    <xf borderId="12" fillId="3" fontId="1" numFmtId="170" xfId="0" applyAlignment="1" applyBorder="1" applyFont="1" applyNumberFormat="1">
      <alignment horizontal="center"/>
    </xf>
    <xf borderId="64" fillId="0" fontId="1" numFmtId="170" xfId="0" applyAlignment="1" applyBorder="1" applyFont="1" applyNumberFormat="1">
      <alignment horizontal="center"/>
    </xf>
    <xf borderId="64" fillId="0" fontId="1" numFmtId="167" xfId="0" applyBorder="1" applyFont="1" applyNumberFormat="1"/>
    <xf borderId="64" fillId="0" fontId="1" numFmtId="2" xfId="0" applyBorder="1" applyFont="1" applyNumberFormat="1"/>
    <xf borderId="64" fillId="0" fontId="1" numFmtId="167" xfId="0" applyAlignment="1" applyBorder="1" applyFont="1" applyNumberFormat="1">
      <alignment horizontal="center" vertical="center"/>
    </xf>
    <xf borderId="64" fillId="0" fontId="1" numFmtId="167" xfId="0" applyAlignment="1" applyBorder="1" applyFont="1" applyNumberFormat="1">
      <alignment horizontal="center"/>
    </xf>
    <xf borderId="12" fillId="3" fontId="1" numFmtId="167" xfId="0" applyAlignment="1" applyBorder="1" applyFont="1" applyNumberFormat="1">
      <alignment horizontal="center" vertical="center"/>
    </xf>
    <xf borderId="12" fillId="3" fontId="1" numFmtId="2" xfId="0" applyBorder="1" applyFont="1" applyNumberFormat="1"/>
    <xf borderId="64" fillId="0" fontId="1" numFmtId="169" xfId="0" applyBorder="1" applyFont="1" applyNumberFormat="1"/>
    <xf borderId="12" fillId="3" fontId="1" numFmtId="169" xfId="0" applyBorder="1" applyFont="1" applyNumberFormat="1"/>
    <xf borderId="12" fillId="3" fontId="1" numFmtId="40" xfId="0" applyBorder="1" applyFont="1" applyNumberFormat="1"/>
    <xf borderId="13" fillId="3" fontId="1" numFmtId="40" xfId="0" applyBorder="1" applyFont="1" applyNumberFormat="1"/>
    <xf borderId="58" fillId="12" fontId="1" numFmtId="0" xfId="0" applyAlignment="1" applyBorder="1" applyFont="1">
      <alignment horizontal="center"/>
    </xf>
    <xf borderId="75" fillId="3" fontId="1" numFmtId="181" xfId="0" applyBorder="1" applyFont="1" applyNumberFormat="1"/>
    <xf borderId="75" fillId="3" fontId="1" numFmtId="0" xfId="0" applyBorder="1" applyFont="1"/>
    <xf borderId="75" fillId="3" fontId="2" numFmtId="0" xfId="0" applyAlignment="1" applyBorder="1" applyFont="1">
      <alignment horizontal="right" vertical="center"/>
    </xf>
    <xf borderId="75" fillId="3" fontId="1" numFmtId="170" xfId="0" applyAlignment="1" applyBorder="1" applyFont="1" applyNumberFormat="1">
      <alignment horizontal="center"/>
    </xf>
    <xf borderId="71" fillId="0" fontId="1" numFmtId="167" xfId="0" applyBorder="1" applyFont="1" applyNumberFormat="1"/>
    <xf borderId="71" fillId="0" fontId="1" numFmtId="2" xfId="0" applyBorder="1" applyFont="1" applyNumberFormat="1"/>
    <xf borderId="71" fillId="0" fontId="1" numFmtId="167" xfId="0" applyAlignment="1" applyBorder="1" applyFont="1" applyNumberFormat="1">
      <alignment horizontal="center" vertical="center"/>
    </xf>
    <xf borderId="71" fillId="0" fontId="1" numFmtId="167" xfId="0" applyAlignment="1" applyBorder="1" applyFont="1" applyNumberFormat="1">
      <alignment horizontal="center"/>
    </xf>
    <xf borderId="75" fillId="3" fontId="1" numFmtId="167" xfId="0" applyAlignment="1" applyBorder="1" applyFont="1" applyNumberFormat="1">
      <alignment horizontal="center" vertical="center"/>
    </xf>
    <xf borderId="75" fillId="3" fontId="1" numFmtId="2" xfId="0" applyBorder="1" applyFont="1" applyNumberFormat="1"/>
    <xf borderId="71" fillId="0" fontId="1" numFmtId="169" xfId="0" applyBorder="1" applyFont="1" applyNumberFormat="1"/>
    <xf borderId="75" fillId="3" fontId="1" numFmtId="169" xfId="0" applyBorder="1" applyFont="1" applyNumberFormat="1"/>
    <xf borderId="75" fillId="3" fontId="1" numFmtId="40" xfId="0" applyBorder="1" applyFont="1" applyNumberFormat="1"/>
    <xf borderId="59" fillId="3" fontId="1" numFmtId="40" xfId="0" applyBorder="1" applyFont="1" applyNumberFormat="1"/>
    <xf borderId="12" fillId="4" fontId="1" numFmtId="167" xfId="0" applyAlignment="1" applyBorder="1" applyFont="1" applyNumberFormat="1">
      <alignment horizontal="center" vertical="center"/>
    </xf>
    <xf borderId="12" fillId="4" fontId="1" numFmtId="0" xfId="0" applyBorder="1" applyFont="1"/>
    <xf borderId="14" fillId="12" fontId="1" numFmtId="0" xfId="0" applyAlignment="1" applyBorder="1" applyFont="1">
      <alignment horizontal="center"/>
    </xf>
    <xf borderId="57" fillId="3" fontId="1" numFmtId="40" xfId="0" applyBorder="1" applyFont="1" applyNumberFormat="1"/>
    <xf borderId="124" fillId="3" fontId="72" numFmtId="165" xfId="0" applyBorder="1" applyFont="1" applyNumberFormat="1"/>
    <xf borderId="125" fillId="3" fontId="72" numFmtId="165" xfId="0" applyBorder="1" applyFont="1" applyNumberFormat="1"/>
    <xf borderId="12" fillId="4" fontId="1" numFmtId="0" xfId="0" applyAlignment="1" applyBorder="1" applyFont="1">
      <alignment horizontal="center"/>
    </xf>
    <xf borderId="7" fillId="4" fontId="1" numFmtId="2" xfId="0" applyAlignment="1" applyBorder="1" applyFont="1" applyNumberFormat="1">
      <alignment horizontal="center"/>
    </xf>
    <xf borderId="7" fillId="3" fontId="1" numFmtId="197" xfId="0" applyAlignment="1" applyBorder="1" applyFont="1" applyNumberFormat="1">
      <alignment horizontal="center" vertical="center"/>
    </xf>
    <xf borderId="75" fillId="4" fontId="1" numFmtId="0" xfId="0" applyAlignment="1" applyBorder="1" applyFont="1">
      <alignment horizontal="center" vertical="center"/>
    </xf>
    <xf borderId="7" fillId="12" fontId="1" numFmtId="0" xfId="0" applyAlignment="1" applyBorder="1" applyFont="1">
      <alignment horizontal="center"/>
    </xf>
    <xf borderId="7" fillId="5" fontId="1" numFmtId="181" xfId="0" applyBorder="1" applyFont="1" applyNumberFormat="1"/>
    <xf borderId="7" fillId="22" fontId="1" numFmtId="181" xfId="0" applyBorder="1" applyFont="1" applyNumberFormat="1"/>
    <xf borderId="7" fillId="5" fontId="1" numFmtId="0" xfId="0" applyAlignment="1" applyBorder="1" applyFont="1">
      <alignment horizontal="center"/>
    </xf>
    <xf borderId="7" fillId="5" fontId="1" numFmtId="0" xfId="0" applyBorder="1" applyFont="1"/>
    <xf borderId="7" fillId="22" fontId="1" numFmtId="40" xfId="0" applyBorder="1" applyFont="1" applyNumberFormat="1"/>
    <xf borderId="7" fillId="38" fontId="1" numFmtId="181" xfId="0" applyBorder="1" applyFill="1" applyFont="1" applyNumberFormat="1"/>
    <xf borderId="7" fillId="3" fontId="1" numFmtId="166" xfId="0" applyBorder="1" applyFont="1" applyNumberFormat="1"/>
    <xf borderId="7" fillId="3" fontId="1" numFmtId="169" xfId="0" applyAlignment="1" applyBorder="1" applyFont="1" applyNumberFormat="1">
      <alignment vertical="center"/>
    </xf>
    <xf borderId="7" fillId="38" fontId="1" numFmtId="0" xfId="0" applyBorder="1" applyFont="1"/>
    <xf borderId="7" fillId="38" fontId="2" numFmtId="0" xfId="0" applyAlignment="1" applyBorder="1" applyFont="1">
      <alignment horizontal="right" vertical="center"/>
    </xf>
    <xf borderId="7" fillId="38" fontId="1" numFmtId="170" xfId="0" applyAlignment="1" applyBorder="1" applyFont="1" applyNumberFormat="1">
      <alignment horizontal="center"/>
    </xf>
    <xf borderId="7" fillId="38" fontId="1" numFmtId="167" xfId="0" applyBorder="1" applyFont="1" applyNumberFormat="1"/>
    <xf borderId="7" fillId="38" fontId="1" numFmtId="2" xfId="0" applyBorder="1" applyFont="1" applyNumberFormat="1"/>
    <xf borderId="7" fillId="38" fontId="1" numFmtId="166" xfId="0" applyBorder="1" applyFont="1" applyNumberFormat="1"/>
    <xf borderId="7" fillId="38" fontId="1" numFmtId="167" xfId="0" applyAlignment="1" applyBorder="1" applyFont="1" applyNumberFormat="1">
      <alignment horizontal="center" vertical="center"/>
    </xf>
    <xf borderId="7" fillId="38" fontId="1" numFmtId="0" xfId="0" applyAlignment="1" applyBorder="1" applyFont="1">
      <alignment horizontal="center" vertical="center"/>
    </xf>
    <xf borderId="7" fillId="38" fontId="40" numFmtId="0" xfId="0" applyAlignment="1" applyBorder="1" applyFont="1">
      <alignment horizontal="center" vertical="center"/>
    </xf>
    <xf borderId="7" fillId="38" fontId="9" numFmtId="167" xfId="0" applyAlignment="1" applyBorder="1" applyFont="1" applyNumberFormat="1">
      <alignment horizontal="center"/>
    </xf>
    <xf borderId="7" fillId="38" fontId="1" numFmtId="169" xfId="0" applyBorder="1" applyFont="1" applyNumberFormat="1"/>
    <xf borderId="7" fillId="38" fontId="1" numFmtId="0" xfId="0" applyAlignment="1" applyBorder="1" applyFont="1">
      <alignment horizontal="center"/>
    </xf>
    <xf borderId="7" fillId="38" fontId="1" numFmtId="169" xfId="0" applyAlignment="1" applyBorder="1" applyFont="1" applyNumberFormat="1">
      <alignment vertical="center"/>
    </xf>
    <xf borderId="7" fillId="38" fontId="1" numFmtId="40" xfId="0" applyBorder="1" applyFont="1" applyNumberFormat="1"/>
    <xf borderId="7" fillId="38" fontId="1" numFmtId="169" xfId="0" applyAlignment="1" applyBorder="1" applyFont="1" applyNumberFormat="1">
      <alignment horizontal="right"/>
    </xf>
    <xf borderId="12" fillId="25" fontId="1" numFmtId="181" xfId="0" applyBorder="1" applyFont="1" applyNumberFormat="1"/>
    <xf borderId="12" fillId="25" fontId="1" numFmtId="0" xfId="0" applyBorder="1" applyFont="1"/>
    <xf borderId="12" fillId="25" fontId="2" numFmtId="0" xfId="0" applyAlignment="1" applyBorder="1" applyFont="1">
      <alignment horizontal="right" vertical="center"/>
    </xf>
    <xf borderId="12" fillId="25" fontId="1" numFmtId="170" xfId="0" applyAlignment="1" applyBorder="1" applyFont="1" applyNumberFormat="1">
      <alignment horizontal="center"/>
    </xf>
    <xf borderId="12" fillId="25" fontId="1" numFmtId="167" xfId="0" applyBorder="1" applyFont="1" applyNumberFormat="1"/>
    <xf borderId="12" fillId="25" fontId="1" numFmtId="2" xfId="0" applyBorder="1" applyFont="1" applyNumberFormat="1"/>
    <xf borderId="12" fillId="25" fontId="1" numFmtId="166" xfId="0" applyBorder="1" applyFont="1" applyNumberFormat="1"/>
    <xf borderId="12" fillId="25" fontId="1" numFmtId="167" xfId="0" applyAlignment="1" applyBorder="1" applyFont="1" applyNumberFormat="1">
      <alignment horizontal="center"/>
    </xf>
    <xf borderId="12" fillId="25" fontId="9" numFmtId="167" xfId="0" applyAlignment="1" applyBorder="1" applyFont="1" applyNumberFormat="1">
      <alignment horizontal="center"/>
    </xf>
    <xf borderId="12" fillId="25" fontId="1" numFmtId="169" xfId="0" applyBorder="1" applyFont="1" applyNumberFormat="1"/>
    <xf borderId="12" fillId="25" fontId="1" numFmtId="0" xfId="0" applyAlignment="1" applyBorder="1" applyFont="1">
      <alignment horizontal="center"/>
    </xf>
    <xf borderId="12" fillId="25" fontId="1" numFmtId="169" xfId="0" applyAlignment="1" applyBorder="1" applyFont="1" applyNumberFormat="1">
      <alignment vertical="center"/>
    </xf>
    <xf borderId="12" fillId="25" fontId="1" numFmtId="40" xfId="0" applyBorder="1" applyFont="1" applyNumberFormat="1"/>
    <xf borderId="13" fillId="25" fontId="1" numFmtId="40" xfId="0" applyBorder="1" applyFont="1" applyNumberFormat="1"/>
    <xf borderId="7" fillId="25" fontId="9" numFmtId="181" xfId="0" applyBorder="1" applyFont="1" applyNumberFormat="1"/>
    <xf borderId="7" fillId="25" fontId="9" numFmtId="0" xfId="0" applyBorder="1" applyFont="1"/>
    <xf borderId="7" fillId="25" fontId="2" numFmtId="0" xfId="0" applyAlignment="1" applyBorder="1" applyFont="1">
      <alignment horizontal="right" vertical="center"/>
    </xf>
    <xf borderId="7" fillId="25" fontId="9" numFmtId="170" xfId="0" applyAlignment="1" applyBorder="1" applyFont="1" applyNumberFormat="1">
      <alignment horizontal="center"/>
    </xf>
    <xf borderId="7" fillId="25" fontId="9" numFmtId="167" xfId="0" applyBorder="1" applyFont="1" applyNumberFormat="1"/>
    <xf borderId="7" fillId="25" fontId="9" numFmtId="2" xfId="0" applyBorder="1" applyFont="1" applyNumberFormat="1"/>
    <xf borderId="7" fillId="25" fontId="9" numFmtId="166" xfId="0" applyBorder="1" applyFont="1" applyNumberFormat="1"/>
    <xf borderId="7" fillId="25" fontId="9" numFmtId="167" xfId="0" applyAlignment="1" applyBorder="1" applyFont="1" applyNumberFormat="1">
      <alignment horizontal="center"/>
    </xf>
    <xf borderId="7" fillId="25" fontId="9" numFmtId="169" xfId="0" applyBorder="1" applyFont="1" applyNumberFormat="1"/>
    <xf borderId="7" fillId="25" fontId="9" numFmtId="0" xfId="0" applyAlignment="1" applyBorder="1" applyFont="1">
      <alignment horizontal="center"/>
    </xf>
    <xf borderId="7" fillId="25" fontId="9" numFmtId="40" xfId="0" applyBorder="1" applyFont="1" applyNumberFormat="1"/>
    <xf borderId="57" fillId="25" fontId="9" numFmtId="40" xfId="0" applyBorder="1" applyFont="1" applyNumberFormat="1"/>
    <xf borderId="7" fillId="25" fontId="1" numFmtId="181" xfId="0" applyBorder="1" applyFont="1" applyNumberFormat="1"/>
    <xf borderId="7" fillId="25" fontId="1" numFmtId="170" xfId="0" applyAlignment="1" applyBorder="1" applyFont="1" applyNumberFormat="1">
      <alignment horizontal="center"/>
    </xf>
    <xf borderId="7" fillId="25" fontId="1" numFmtId="167" xfId="0" applyBorder="1" applyFont="1" applyNumberFormat="1"/>
    <xf borderId="7" fillId="25" fontId="1" numFmtId="2" xfId="0" applyBorder="1" applyFont="1" applyNumberFormat="1"/>
    <xf borderId="7" fillId="25" fontId="1" numFmtId="166" xfId="0" applyBorder="1" applyFont="1" applyNumberFormat="1"/>
    <xf borderId="7" fillId="25" fontId="1" numFmtId="167" xfId="0" applyAlignment="1" applyBorder="1" applyFont="1" applyNumberFormat="1">
      <alignment horizontal="center"/>
    </xf>
    <xf borderId="7" fillId="25" fontId="1" numFmtId="169" xfId="0" applyBorder="1" applyFont="1" applyNumberFormat="1"/>
    <xf borderId="7" fillId="25" fontId="1" numFmtId="0" xfId="0" applyAlignment="1" applyBorder="1" applyFont="1">
      <alignment horizontal="center"/>
    </xf>
    <xf borderId="7" fillId="25" fontId="1" numFmtId="40" xfId="0" applyBorder="1" applyFont="1" applyNumberFormat="1"/>
    <xf borderId="57" fillId="25" fontId="1" numFmtId="40" xfId="0" applyBorder="1" applyFont="1" applyNumberFormat="1"/>
    <xf borderId="7" fillId="5" fontId="2" numFmtId="0" xfId="0" applyAlignment="1" applyBorder="1" applyFont="1">
      <alignment horizontal="right" vertical="center"/>
    </xf>
    <xf borderId="7" fillId="5" fontId="1" numFmtId="170" xfId="0" applyAlignment="1" applyBorder="1" applyFont="1" applyNumberFormat="1">
      <alignment horizontal="center"/>
    </xf>
    <xf borderId="7" fillId="5" fontId="1" numFmtId="167" xfId="0" applyBorder="1" applyFont="1" applyNumberFormat="1"/>
    <xf borderId="7" fillId="5" fontId="1" numFmtId="2" xfId="0" applyBorder="1" applyFont="1" applyNumberFormat="1"/>
    <xf borderId="7" fillId="5" fontId="1" numFmtId="167" xfId="0" applyAlignment="1" applyBorder="1" applyFont="1" applyNumberFormat="1">
      <alignment horizontal="center" vertical="center"/>
    </xf>
    <xf borderId="7" fillId="5" fontId="9" numFmtId="167" xfId="0" applyAlignment="1" applyBorder="1" applyFont="1" applyNumberFormat="1">
      <alignment horizontal="center"/>
    </xf>
    <xf borderId="7" fillId="5" fontId="1" numFmtId="169" xfId="0" applyBorder="1" applyFont="1" applyNumberFormat="1"/>
    <xf borderId="7" fillId="5" fontId="1" numFmtId="40" xfId="0" applyBorder="1" applyFont="1" applyNumberFormat="1"/>
    <xf borderId="57" fillId="5" fontId="1" numFmtId="40" xfId="0" applyBorder="1" applyFont="1" applyNumberFormat="1"/>
    <xf borderId="75" fillId="3" fontId="1" numFmtId="0" xfId="0" applyAlignment="1" applyBorder="1" applyFont="1">
      <alignment horizontal="center" vertical="center"/>
    </xf>
    <xf borderId="7" fillId="39" fontId="1" numFmtId="0" xfId="0" applyAlignment="1" applyBorder="1" applyFill="1" applyFont="1">
      <alignment horizontal="center" vertical="center"/>
    </xf>
    <xf borderId="7" fillId="39" fontId="1" numFmtId="167" xfId="0" applyAlignment="1" applyBorder="1" applyFont="1" applyNumberFormat="1">
      <alignment horizontal="center" vertical="center"/>
    </xf>
    <xf borderId="75" fillId="39" fontId="1" numFmtId="0" xfId="0" applyAlignment="1" applyBorder="1" applyFont="1">
      <alignment horizontal="center" vertical="center"/>
    </xf>
    <xf borderId="12" fillId="6" fontId="1" numFmtId="0" xfId="0" applyAlignment="1" applyBorder="1" applyFont="1">
      <alignment horizontal="center" vertical="center"/>
    </xf>
    <xf borderId="7" fillId="6" fontId="1" numFmtId="167" xfId="0" applyAlignment="1" applyBorder="1" applyFont="1" applyNumberFormat="1">
      <alignment horizontal="center" vertical="center"/>
    </xf>
    <xf borderId="75" fillId="6" fontId="1" numFmtId="167" xfId="0" applyAlignment="1" applyBorder="1" applyFont="1" applyNumberForma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7" fillId="3" fontId="1" numFmtId="169" xfId="0" applyAlignment="1" applyBorder="1" applyFont="1" applyNumberFormat="1">
      <alignment horizontal="center" vertical="center"/>
    </xf>
    <xf borderId="7" fillId="39" fontId="1" numFmtId="181" xfId="0" applyBorder="1" applyFont="1" applyNumberFormat="1"/>
    <xf borderId="126" fillId="25" fontId="72" numFmtId="167" xfId="0" applyAlignment="1" applyBorder="1" applyFont="1" applyNumberFormat="1">
      <alignment horizontal="right"/>
    </xf>
    <xf borderId="7" fillId="27" fontId="1" numFmtId="2" xfId="0" applyAlignment="1" applyBorder="1" applyFont="1" applyNumberFormat="1">
      <alignment horizontal="center"/>
    </xf>
    <xf borderId="7" fillId="33" fontId="1" numFmtId="166" xfId="0" applyBorder="1" applyFont="1" applyNumberFormat="1"/>
    <xf borderId="7" fillId="39" fontId="9" numFmtId="167" xfId="0" applyAlignment="1" applyBorder="1" applyFont="1" applyNumberFormat="1">
      <alignment horizontal="center"/>
    </xf>
    <xf borderId="0" fillId="0" fontId="2" numFmtId="170" xfId="0" applyAlignment="1" applyFont="1" applyNumberFormat="1">
      <alignment horizontal="left" vertical="center"/>
    </xf>
    <xf borderId="0" fillId="0" fontId="2" numFmtId="169" xfId="0" applyAlignment="1" applyFont="1" applyNumberFormat="1">
      <alignment horizontal="center"/>
    </xf>
    <xf borderId="7" fillId="39" fontId="1" numFmtId="0" xfId="0" applyBorder="1" applyFont="1"/>
    <xf borderId="14" fillId="39" fontId="1" numFmtId="2" xfId="0" applyAlignment="1" applyBorder="1" applyFont="1" applyNumberFormat="1">
      <alignment horizontal="center" shrinkToFit="0" vertical="center" wrapText="1"/>
    </xf>
    <xf borderId="7" fillId="39" fontId="1" numFmtId="169" xfId="0" applyBorder="1" applyFont="1" applyNumberFormat="1"/>
    <xf borderId="7" fillId="39" fontId="6" numFmtId="40" xfId="0" applyBorder="1" applyFont="1" applyNumberFormat="1"/>
    <xf borderId="7" fillId="39" fontId="1" numFmtId="40" xfId="0" applyBorder="1" applyFont="1" applyNumberFormat="1"/>
    <xf borderId="7" fillId="39" fontId="9" numFmtId="40" xfId="0" applyBorder="1" applyFont="1" applyNumberFormat="1"/>
    <xf borderId="7" fillId="39" fontId="1" numFmtId="181" xfId="0" applyAlignment="1" applyBorder="1" applyFont="1" applyNumberFormat="1">
      <alignment horizontal="center"/>
    </xf>
    <xf borderId="7" fillId="39" fontId="1" numFmtId="170" xfId="0" applyAlignment="1" applyBorder="1" applyFont="1" applyNumberFormat="1">
      <alignment horizontal="center"/>
    </xf>
    <xf borderId="126" fillId="39" fontId="72" numFmtId="167" xfId="0" applyAlignment="1" applyBorder="1" applyFont="1" applyNumberFormat="1">
      <alignment horizontal="right"/>
    </xf>
    <xf borderId="7" fillId="39" fontId="1" numFmtId="2" xfId="0" applyAlignment="1" applyBorder="1" applyFont="1" applyNumberFormat="1">
      <alignment horizontal="center"/>
    </xf>
    <xf borderId="7" fillId="39" fontId="2" numFmtId="170" xfId="0" applyAlignment="1" applyBorder="1" applyFont="1" applyNumberFormat="1">
      <alignment horizontal="left" vertical="center"/>
    </xf>
    <xf borderId="7" fillId="39" fontId="2" numFmtId="169" xfId="0" applyAlignment="1" applyBorder="1" applyFont="1" applyNumberFormat="1">
      <alignment horizontal="center"/>
    </xf>
    <xf borderId="7" fillId="39" fontId="2" numFmtId="1" xfId="0" applyAlignment="1" applyBorder="1" applyFont="1" applyNumberFormat="1">
      <alignment horizontal="center"/>
    </xf>
    <xf borderId="7" fillId="39" fontId="1" numFmtId="167" xfId="0" applyAlignment="1" applyBorder="1" applyFont="1" applyNumberFormat="1">
      <alignment horizontal="center"/>
    </xf>
    <xf borderId="7" fillId="25" fontId="1" numFmtId="181" xfId="0" applyAlignment="1" applyBorder="1" applyFont="1" applyNumberFormat="1">
      <alignment horizontal="center"/>
    </xf>
    <xf borderId="7" fillId="27" fontId="9" numFmtId="167" xfId="0" applyAlignment="1" applyBorder="1" applyFont="1" applyNumberFormat="1">
      <alignment horizontal="center"/>
    </xf>
    <xf borderId="7" fillId="25" fontId="2" numFmtId="170" xfId="0" applyAlignment="1" applyBorder="1" applyFont="1" applyNumberFormat="1">
      <alignment horizontal="left" vertical="center"/>
    </xf>
    <xf borderId="7" fillId="25" fontId="2" numFmtId="169" xfId="0" applyAlignment="1" applyBorder="1" applyFont="1" applyNumberFormat="1">
      <alignment horizontal="center"/>
    </xf>
    <xf borderId="7" fillId="25" fontId="2" numFmtId="1" xfId="0" applyAlignment="1" applyBorder="1" applyFont="1" applyNumberFormat="1">
      <alignment horizontal="center"/>
    </xf>
    <xf borderId="14" fillId="25" fontId="1" numFmtId="2" xfId="0" applyAlignment="1" applyBorder="1" applyFont="1" applyNumberFormat="1">
      <alignment horizontal="center" shrinkToFit="0" vertical="center" wrapText="1"/>
    </xf>
    <xf borderId="7" fillId="25" fontId="6" numFmtId="40" xfId="0" applyBorder="1" applyFont="1" applyNumberFormat="1"/>
    <xf borderId="7" fillId="27" fontId="1" numFmtId="40" xfId="0" applyBorder="1" applyFont="1" applyNumberFormat="1"/>
    <xf borderId="7" fillId="25" fontId="1" numFmtId="181" xfId="0" applyAlignment="1" applyBorder="1" applyFont="1" applyNumberFormat="1">
      <alignment shrinkToFit="0" wrapText="1"/>
    </xf>
    <xf borderId="127" fillId="34" fontId="72" numFmtId="167" xfId="0" applyAlignment="1" applyBorder="1" applyFont="1" applyNumberFormat="1">
      <alignment horizontal="right"/>
    </xf>
    <xf borderId="7" fillId="34" fontId="72" numFmtId="2" xfId="0" applyAlignment="1" applyBorder="1" applyFont="1" applyNumberFormat="1">
      <alignment horizontal="right"/>
    </xf>
    <xf borderId="128" fillId="34" fontId="72" numFmtId="167" xfId="0" applyAlignment="1" applyBorder="1" applyFont="1" applyNumberFormat="1">
      <alignment horizontal="right"/>
    </xf>
    <xf borderId="129" fillId="34" fontId="10" numFmtId="167" xfId="0" applyAlignment="1" applyBorder="1" applyFont="1" applyNumberFormat="1">
      <alignment horizontal="center"/>
    </xf>
    <xf borderId="7" fillId="34" fontId="2" numFmtId="170" xfId="0" applyAlignment="1" applyBorder="1" applyFont="1" applyNumberFormat="1">
      <alignment horizontal="left" vertical="center"/>
    </xf>
    <xf borderId="7" fillId="34" fontId="3" numFmtId="169" xfId="0" applyAlignment="1" applyBorder="1" applyFont="1" applyNumberFormat="1">
      <alignment horizontal="center"/>
    </xf>
    <xf borderId="7" fillId="34" fontId="2" numFmtId="1" xfId="0" applyAlignment="1" applyBorder="1" applyFont="1" applyNumberFormat="1">
      <alignment horizontal="center"/>
    </xf>
    <xf borderId="7" fillId="34" fontId="6" numFmtId="40" xfId="0" applyBorder="1" applyFont="1" applyNumberFormat="1"/>
    <xf borderId="125" fillId="34" fontId="72" numFmtId="167" xfId="0" applyAlignment="1" applyBorder="1" applyFont="1" applyNumberFormat="1">
      <alignment horizontal="right"/>
    </xf>
    <xf borderId="126" fillId="34" fontId="72" numFmtId="167" xfId="0" applyAlignment="1" applyBorder="1" applyFont="1" applyNumberFormat="1">
      <alignment horizontal="right"/>
    </xf>
    <xf borderId="7" fillId="30" fontId="1" numFmtId="181" xfId="0" applyBorder="1" applyFont="1" applyNumberFormat="1"/>
    <xf borderId="7" fillId="30" fontId="1" numFmtId="170" xfId="0" applyAlignment="1" applyBorder="1" applyFont="1" applyNumberFormat="1">
      <alignment horizontal="center"/>
    </xf>
    <xf borderId="125" fillId="30" fontId="72" numFmtId="167" xfId="0" applyAlignment="1" applyBorder="1" applyFont="1" applyNumberFormat="1">
      <alignment horizontal="right"/>
    </xf>
    <xf borderId="7" fillId="30" fontId="72" numFmtId="2" xfId="0" applyAlignment="1" applyBorder="1" applyFont="1" applyNumberFormat="1">
      <alignment horizontal="right"/>
    </xf>
    <xf borderId="126" fillId="30" fontId="72" numFmtId="167" xfId="0" applyAlignment="1" applyBorder="1" applyFont="1" applyNumberFormat="1">
      <alignment horizontal="right"/>
    </xf>
    <xf borderId="129" fillId="30" fontId="10" numFmtId="167" xfId="0" applyAlignment="1" applyBorder="1" applyFont="1" applyNumberFormat="1">
      <alignment horizontal="center"/>
    </xf>
    <xf borderId="7" fillId="30" fontId="1" numFmtId="0" xfId="0" applyAlignment="1" applyBorder="1" applyFont="1">
      <alignment horizontal="center"/>
    </xf>
    <xf borderId="7" fillId="30" fontId="9" numFmtId="167" xfId="0" applyAlignment="1" applyBorder="1" applyFont="1" applyNumberFormat="1">
      <alignment horizontal="center"/>
    </xf>
    <xf borderId="7" fillId="30" fontId="2" numFmtId="170" xfId="0" applyAlignment="1" applyBorder="1" applyFont="1" applyNumberFormat="1">
      <alignment horizontal="left" vertical="center"/>
    </xf>
    <xf borderId="7" fillId="30" fontId="3" numFmtId="169" xfId="0" applyAlignment="1" applyBorder="1" applyFont="1" applyNumberFormat="1">
      <alignment horizontal="center"/>
    </xf>
    <xf borderId="7" fillId="30" fontId="2" numFmtId="1" xfId="0" applyAlignment="1" applyBorder="1" applyFont="1" applyNumberFormat="1">
      <alignment horizontal="center"/>
    </xf>
    <xf borderId="7" fillId="30" fontId="1" numFmtId="169" xfId="0" applyBorder="1" applyFont="1" applyNumberFormat="1"/>
    <xf borderId="7" fillId="30" fontId="6" numFmtId="40" xfId="0" applyBorder="1" applyFont="1" applyNumberFormat="1"/>
    <xf borderId="7" fillId="30" fontId="1" numFmtId="40" xfId="0" applyBorder="1" applyFont="1" applyNumberFormat="1"/>
    <xf borderId="7" fillId="33" fontId="1" numFmtId="181" xfId="0" applyBorder="1" applyFont="1" applyNumberFormat="1"/>
    <xf borderId="7" fillId="33" fontId="1" numFmtId="0" xfId="0" applyBorder="1" applyFont="1"/>
    <xf borderId="7" fillId="33" fontId="1" numFmtId="170" xfId="0" applyAlignment="1" applyBorder="1" applyFont="1" applyNumberFormat="1">
      <alignment horizontal="center"/>
    </xf>
    <xf borderId="7" fillId="33" fontId="2" numFmtId="165" xfId="0" applyAlignment="1" applyBorder="1" applyFont="1" applyNumberFormat="1">
      <alignment horizontal="center"/>
    </xf>
    <xf borderId="7" fillId="33" fontId="1" numFmtId="167" xfId="0" applyBorder="1" applyFont="1" applyNumberFormat="1"/>
    <xf borderId="7" fillId="33" fontId="1" numFmtId="167" xfId="0" applyAlignment="1" applyBorder="1" applyFont="1" applyNumberFormat="1">
      <alignment horizontal="center" vertical="center"/>
    </xf>
    <xf borderId="7" fillId="33" fontId="9" numFmtId="167" xfId="0" applyAlignment="1" applyBorder="1" applyFont="1" applyNumberFormat="1">
      <alignment horizontal="center"/>
    </xf>
    <xf borderId="7" fillId="33" fontId="2" numFmtId="170" xfId="0" applyAlignment="1" applyBorder="1" applyFont="1" applyNumberFormat="1">
      <alignment horizontal="left" vertical="center"/>
    </xf>
    <xf borderId="7" fillId="33" fontId="2" numFmtId="169" xfId="0" applyAlignment="1" applyBorder="1" applyFont="1" applyNumberFormat="1">
      <alignment horizontal="center"/>
    </xf>
    <xf borderId="7" fillId="33" fontId="2" numFmtId="1" xfId="0" applyAlignment="1" applyBorder="1" applyFont="1" applyNumberFormat="1">
      <alignment horizontal="center"/>
    </xf>
    <xf borderId="7" fillId="33" fontId="1" numFmtId="169" xfId="0" applyBorder="1" applyFont="1" applyNumberFormat="1"/>
    <xf borderId="7" fillId="33" fontId="6" numFmtId="40" xfId="0" applyBorder="1" applyFont="1" applyNumberFormat="1"/>
    <xf borderId="7" fillId="33" fontId="1" numFmtId="40" xfId="0" applyBorder="1" applyFont="1" applyNumberFormat="1"/>
    <xf borderId="7" fillId="28" fontId="1" numFmtId="181" xfId="0" applyBorder="1" applyFont="1" applyNumberFormat="1"/>
    <xf borderId="7" fillId="28" fontId="1" numFmtId="170" xfId="0" applyAlignment="1" applyBorder="1" applyFont="1" applyNumberFormat="1">
      <alignment horizontal="center"/>
    </xf>
    <xf borderId="130" fillId="0" fontId="72" numFmtId="167" xfId="0" applyAlignment="1" applyBorder="1" applyFont="1" applyNumberFormat="1">
      <alignment horizontal="right"/>
    </xf>
    <xf borderId="7" fillId="27" fontId="72" numFmtId="2" xfId="0" applyAlignment="1" applyBorder="1" applyFont="1" applyNumberFormat="1">
      <alignment horizontal="right"/>
    </xf>
    <xf borderId="7" fillId="28" fontId="40" numFmtId="167" xfId="0" applyAlignment="1" applyBorder="1" applyFont="1" applyNumberFormat="1">
      <alignment horizontal="center" vertical="center"/>
    </xf>
    <xf borderId="7" fillId="3" fontId="40" numFmtId="167" xfId="0" applyAlignment="1" applyBorder="1" applyFont="1" applyNumberFormat="1">
      <alignment horizontal="center" vertical="center"/>
    </xf>
    <xf borderId="7" fillId="28" fontId="2" numFmtId="170" xfId="0" applyAlignment="1" applyBorder="1" applyFont="1" applyNumberFormat="1">
      <alignment horizontal="left" vertical="center"/>
    </xf>
    <xf borderId="7" fillId="28" fontId="2" numFmtId="169" xfId="0" applyAlignment="1" applyBorder="1" applyFont="1" applyNumberFormat="1">
      <alignment horizontal="left" vertical="center"/>
    </xf>
    <xf borderId="7" fillId="28" fontId="2" numFmtId="169" xfId="0" applyAlignment="1" applyBorder="1" applyFont="1" applyNumberFormat="1">
      <alignment horizontal="center"/>
    </xf>
    <xf borderId="7" fillId="28" fontId="2" numFmtId="1" xfId="0" applyAlignment="1" applyBorder="1" applyFont="1" applyNumberFormat="1">
      <alignment horizontal="center"/>
    </xf>
    <xf borderId="7" fillId="28" fontId="1" numFmtId="169" xfId="0" applyBorder="1" applyFont="1" applyNumberFormat="1"/>
    <xf borderId="7" fillId="28" fontId="1" numFmtId="2" xfId="0" applyBorder="1" applyFont="1" applyNumberFormat="1"/>
    <xf borderId="7" fillId="28" fontId="6" numFmtId="40" xfId="0" applyBorder="1" applyFont="1" applyNumberFormat="1"/>
    <xf borderId="7" fillId="28" fontId="1" numFmtId="40" xfId="0" applyBorder="1" applyFont="1" applyNumberFormat="1"/>
    <xf borderId="7" fillId="28" fontId="1" numFmtId="166" xfId="0" applyBorder="1" applyFont="1" applyNumberFormat="1"/>
    <xf borderId="7" fillId="28" fontId="1" numFmtId="167" xfId="0" applyAlignment="1" applyBorder="1" applyFont="1" applyNumberFormat="1">
      <alignment horizontal="center" vertical="center"/>
    </xf>
    <xf borderId="7" fillId="28" fontId="9" numFmtId="167" xfId="0" applyAlignment="1" applyBorder="1" applyFont="1" applyNumberFormat="1">
      <alignment horizontal="center"/>
    </xf>
    <xf borderId="7" fillId="5" fontId="1" numFmtId="170" xfId="0" applyBorder="1" applyFont="1" applyNumberFormat="1"/>
    <xf borderId="127" fillId="5" fontId="72" numFmtId="167" xfId="0" applyAlignment="1" applyBorder="1" applyFont="1" applyNumberFormat="1">
      <alignment horizontal="right"/>
    </xf>
    <xf borderId="7" fillId="5" fontId="72" numFmtId="2" xfId="0" applyAlignment="1" applyBorder="1" applyFont="1" applyNumberFormat="1">
      <alignment horizontal="right"/>
    </xf>
    <xf borderId="7" fillId="5" fontId="1" numFmtId="166" xfId="0" applyBorder="1" applyFont="1" applyNumberFormat="1"/>
    <xf borderId="7" fillId="5" fontId="1" numFmtId="167" xfId="0" applyAlignment="1" applyBorder="1" applyFont="1" applyNumberFormat="1">
      <alignment horizontal="center"/>
    </xf>
    <xf borderId="7" fillId="5" fontId="2" numFmtId="170" xfId="0" applyAlignment="1" applyBorder="1" applyFont="1" applyNumberFormat="1">
      <alignment horizontal="left" vertical="center"/>
    </xf>
    <xf borderId="7" fillId="5" fontId="2" numFmtId="169" xfId="0" applyAlignment="1" applyBorder="1" applyFont="1" applyNumberFormat="1">
      <alignment horizontal="center"/>
    </xf>
    <xf borderId="7" fillId="5" fontId="72" numFmtId="167" xfId="0" applyAlignment="1" applyBorder="1" applyFont="1" applyNumberFormat="1">
      <alignment horizontal="right"/>
    </xf>
    <xf borderId="7" fillId="3" fontId="1" numFmtId="170" xfId="0" applyBorder="1" applyFont="1" applyNumberFormat="1"/>
    <xf borderId="7" fillId="3" fontId="2" numFmtId="170" xfId="0" applyAlignment="1" applyBorder="1" applyFont="1" applyNumberFormat="1">
      <alignment horizontal="left" vertical="center"/>
    </xf>
    <xf borderId="7" fillId="3" fontId="2" numFmtId="169" xfId="0" applyAlignment="1" applyBorder="1" applyFont="1" applyNumberFormat="1">
      <alignment horizontal="center"/>
    </xf>
    <xf borderId="7" fillId="22" fontId="1" numFmtId="170" xfId="0" applyAlignment="1" applyBorder="1" applyFont="1" applyNumberFormat="1">
      <alignment horizontal="center"/>
    </xf>
    <xf borderId="7" fillId="22" fontId="1" numFmtId="2" xfId="0" applyBorder="1" applyFont="1" applyNumberFormat="1"/>
    <xf borderId="7" fillId="22" fontId="1" numFmtId="167" xfId="0" applyBorder="1" applyFont="1" applyNumberFormat="1"/>
    <xf borderId="7" fillId="22" fontId="1" numFmtId="0" xfId="0" applyAlignment="1" applyBorder="1" applyFont="1">
      <alignment horizontal="center"/>
    </xf>
    <xf borderId="0" fillId="0" fontId="1" numFmtId="169" xfId="0" applyAlignment="1" applyFont="1" applyNumberFormat="1">
      <alignment horizontal="right"/>
    </xf>
    <xf borderId="0" fillId="0" fontId="1" numFmtId="15" xfId="0" applyFont="1" applyNumberFormat="1"/>
    <xf borderId="7" fillId="3" fontId="1" numFmtId="169" xfId="0" applyAlignment="1" applyBorder="1" applyFont="1" applyNumberFormat="1">
      <alignment horizontal="right"/>
    </xf>
    <xf borderId="7" fillId="3" fontId="40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center"/>
    </xf>
    <xf borderId="58" fillId="3" fontId="1" numFmtId="0" xfId="0" applyAlignment="1" applyBorder="1" applyFont="1">
      <alignment horizontal="center"/>
    </xf>
    <xf borderId="75" fillId="25" fontId="1" numFmtId="181" xfId="0" applyBorder="1" applyFont="1" applyNumberFormat="1"/>
    <xf borderId="75" fillId="25" fontId="1" numFmtId="0" xfId="0" applyBorder="1" applyFont="1"/>
    <xf borderId="75" fillId="25" fontId="2" numFmtId="0" xfId="0" applyAlignment="1" applyBorder="1" applyFont="1">
      <alignment horizontal="right" vertical="center"/>
    </xf>
    <xf borderId="75" fillId="25" fontId="1" numFmtId="170" xfId="0" applyAlignment="1" applyBorder="1" applyFont="1" applyNumberFormat="1">
      <alignment horizontal="center"/>
    </xf>
    <xf borderId="75" fillId="25" fontId="1" numFmtId="167" xfId="0" applyBorder="1" applyFont="1" applyNumberFormat="1"/>
    <xf borderId="75" fillId="25" fontId="1" numFmtId="2" xfId="0" applyBorder="1" applyFont="1" applyNumberFormat="1"/>
    <xf borderId="75" fillId="25" fontId="1" numFmtId="166" xfId="0" applyBorder="1" applyFont="1" applyNumberFormat="1"/>
    <xf borderId="75" fillId="25" fontId="1" numFmtId="167" xfId="0" applyAlignment="1" applyBorder="1" applyFont="1" applyNumberFormat="1">
      <alignment horizontal="center"/>
    </xf>
    <xf borderId="75" fillId="25" fontId="9" numFmtId="167" xfId="0" applyAlignment="1" applyBorder="1" applyFont="1" applyNumberFormat="1">
      <alignment horizontal="center"/>
    </xf>
    <xf borderId="75" fillId="25" fontId="1" numFmtId="169" xfId="0" applyBorder="1" applyFont="1" applyNumberFormat="1"/>
    <xf borderId="75" fillId="25" fontId="1" numFmtId="0" xfId="0" applyAlignment="1" applyBorder="1" applyFont="1">
      <alignment horizontal="center"/>
    </xf>
    <xf borderId="75" fillId="25" fontId="1" numFmtId="40" xfId="0" applyBorder="1" applyFont="1" applyNumberFormat="1"/>
    <xf borderId="59" fillId="25" fontId="1" numFmtId="40" xfId="0" applyBorder="1" applyFont="1" applyNumberFormat="1"/>
    <xf borderId="10" fillId="3" fontId="1" numFmtId="0" xfId="0" applyAlignment="1" applyBorder="1" applyFont="1">
      <alignment horizontal="center"/>
    </xf>
    <xf borderId="12" fillId="5" fontId="1" numFmtId="0" xfId="0" applyBorder="1" applyFont="1"/>
    <xf borderId="12" fillId="5" fontId="1" numFmtId="181" xfId="0" applyBorder="1" applyFont="1" applyNumberFormat="1"/>
    <xf borderId="12" fillId="5" fontId="2" numFmtId="0" xfId="0" applyAlignment="1" applyBorder="1" applyFont="1">
      <alignment horizontal="right" vertical="center"/>
    </xf>
    <xf borderId="12" fillId="5" fontId="1" numFmtId="170" xfId="0" applyAlignment="1" applyBorder="1" applyFont="1" applyNumberFormat="1">
      <alignment horizontal="center"/>
    </xf>
    <xf borderId="12" fillId="5" fontId="1" numFmtId="167" xfId="0" applyBorder="1" applyFont="1" applyNumberFormat="1"/>
    <xf borderId="12" fillId="5" fontId="1" numFmtId="2" xfId="0" applyBorder="1" applyFont="1" applyNumberFormat="1"/>
    <xf borderId="12" fillId="5" fontId="1" numFmtId="167" xfId="0" applyAlignment="1" applyBorder="1" applyFont="1" applyNumberFormat="1">
      <alignment horizontal="center" vertical="center"/>
    </xf>
    <xf borderId="12" fillId="5" fontId="1" numFmtId="0" xfId="0" applyAlignment="1" applyBorder="1" applyFont="1">
      <alignment horizontal="center"/>
    </xf>
    <xf borderId="12" fillId="5" fontId="9" numFmtId="167" xfId="0" applyAlignment="1" applyBorder="1" applyFont="1" applyNumberFormat="1">
      <alignment horizontal="center"/>
    </xf>
    <xf borderId="12" fillId="5" fontId="1" numFmtId="169" xfId="0" applyBorder="1" applyFont="1" applyNumberFormat="1"/>
    <xf borderId="12" fillId="5" fontId="1" numFmtId="40" xfId="0" applyBorder="1" applyFont="1" applyNumberFormat="1"/>
    <xf borderId="13" fillId="5" fontId="1" numFmtId="40" xfId="0" applyBorder="1" applyFont="1" applyNumberFormat="1"/>
    <xf borderId="75" fillId="5" fontId="1" numFmtId="0" xfId="0" applyBorder="1" applyFont="1"/>
    <xf borderId="75" fillId="5" fontId="1" numFmtId="181" xfId="0" applyBorder="1" applyFont="1" applyNumberFormat="1"/>
    <xf borderId="75" fillId="5" fontId="2" numFmtId="0" xfId="0" applyAlignment="1" applyBorder="1" applyFont="1">
      <alignment horizontal="right" vertical="center"/>
    </xf>
    <xf borderId="75" fillId="5" fontId="1" numFmtId="170" xfId="0" applyAlignment="1" applyBorder="1" applyFont="1" applyNumberFormat="1">
      <alignment horizontal="center"/>
    </xf>
    <xf borderId="75" fillId="5" fontId="1" numFmtId="167" xfId="0" applyBorder="1" applyFont="1" applyNumberFormat="1"/>
    <xf borderId="75" fillId="5" fontId="1" numFmtId="2" xfId="0" applyBorder="1" applyFont="1" applyNumberFormat="1"/>
    <xf borderId="75" fillId="5" fontId="1" numFmtId="167" xfId="0" applyAlignment="1" applyBorder="1" applyFont="1" applyNumberFormat="1">
      <alignment horizontal="center" vertical="center"/>
    </xf>
    <xf borderId="75" fillId="5" fontId="1" numFmtId="167" xfId="0" applyAlignment="1" applyBorder="1" applyFont="1" applyNumberFormat="1">
      <alignment horizontal="center"/>
    </xf>
    <xf borderId="75" fillId="5" fontId="9" numFmtId="167" xfId="0" applyAlignment="1" applyBorder="1" applyFont="1" applyNumberFormat="1">
      <alignment horizontal="center"/>
    </xf>
    <xf borderId="75" fillId="5" fontId="1" numFmtId="169" xfId="0" applyBorder="1" applyFont="1" applyNumberFormat="1"/>
    <xf borderId="75" fillId="5" fontId="1" numFmtId="0" xfId="0" applyAlignment="1" applyBorder="1" applyFont="1">
      <alignment horizontal="center"/>
    </xf>
    <xf borderId="75" fillId="5" fontId="1" numFmtId="40" xfId="0" applyBorder="1" applyFont="1" applyNumberFormat="1"/>
    <xf borderId="59" fillId="5" fontId="1" numFmtId="40" xfId="0" applyBorder="1" applyFont="1" applyNumberFormat="1"/>
    <xf borderId="12" fillId="3" fontId="1" numFmtId="0" xfId="0" applyAlignment="1" applyBorder="1" applyFont="1">
      <alignment horizontal="center" vertical="center"/>
    </xf>
    <xf borderId="7" fillId="39" fontId="73" numFmtId="0" xfId="0" applyBorder="1" applyFont="1"/>
    <xf borderId="7" fillId="6" fontId="74" numFmtId="0" xfId="0" applyBorder="1" applyFont="1"/>
    <xf borderId="7" fillId="6" fontId="1" numFmtId="170" xfId="0" applyAlignment="1" applyBorder="1" applyFont="1" applyNumberFormat="1">
      <alignment horizontal="center"/>
    </xf>
    <xf borderId="7" fillId="22" fontId="1" numFmtId="170" xfId="0" applyAlignment="1" applyBorder="1" applyFont="1" applyNumberFormat="1">
      <alignment horizontal="left"/>
    </xf>
    <xf borderId="7" fillId="22" fontId="1" numFmtId="10" xfId="0" applyBorder="1" applyFont="1" applyNumberFormat="1"/>
    <xf borderId="7" fillId="6" fontId="1" numFmtId="170" xfId="0" applyBorder="1" applyFont="1" applyNumberFormat="1"/>
    <xf borderId="7" fillId="39" fontId="1" numFmtId="169" xfId="0" applyAlignment="1" applyBorder="1" applyFont="1" applyNumberFormat="1">
      <alignment horizontal="center"/>
    </xf>
    <xf borderId="3" fillId="0" fontId="1" numFmtId="170" xfId="0" applyAlignment="1" applyBorder="1" applyFont="1" applyNumberFormat="1">
      <alignment horizontal="center"/>
    </xf>
    <xf borderId="26" fillId="0" fontId="1" numFmtId="0" xfId="0" applyAlignment="1" applyBorder="1" applyFont="1">
      <alignment horizontal="center"/>
    </xf>
    <xf borderId="131" fillId="6" fontId="1" numFmtId="0" xfId="0" applyBorder="1" applyFont="1"/>
    <xf borderId="31" fillId="6" fontId="1" numFmtId="0" xfId="0" applyBorder="1" applyFont="1"/>
    <xf borderId="31" fillId="6" fontId="1" numFmtId="169" xfId="0" applyBorder="1" applyFont="1" applyNumberFormat="1"/>
    <xf borderId="31" fillId="6" fontId="1" numFmtId="170" xfId="0" applyAlignment="1" applyBorder="1" applyFont="1" applyNumberFormat="1">
      <alignment horizontal="center"/>
    </xf>
    <xf borderId="60" fillId="6" fontId="1" numFmtId="169" xfId="0" applyBorder="1" applyFont="1" applyNumberFormat="1"/>
    <xf borderId="131" fillId="3" fontId="75" numFmtId="0" xfId="0" applyBorder="1" applyFont="1"/>
    <xf borderId="7" fillId="3" fontId="76" numFmtId="0" xfId="0" applyBorder="1" applyFont="1"/>
    <xf borderId="5" fillId="3" fontId="77" numFmtId="0" xfId="0" applyBorder="1" applyFont="1"/>
    <xf borderId="61" fillId="4" fontId="1" numFmtId="169" xfId="0" applyBorder="1" applyFont="1" applyNumberFormat="1"/>
    <xf borderId="7" fillId="3" fontId="1" numFmtId="170" xfId="0" applyAlignment="1" applyBorder="1" applyFont="1" applyNumberFormat="1">
      <alignment horizontal="left"/>
    </xf>
    <xf borderId="7" fillId="3" fontId="1" numFmtId="10" xfId="0" applyBorder="1" applyFont="1" applyNumberFormat="1"/>
  </cellXfs>
  <cellStyles count="1">
    <cellStyle xfId="0" name="Normal" builtinId="0"/>
  </cellStyles>
  <dxfs count="3">
    <dxf>
      <font/>
      <fill>
        <patternFill patternType="solid">
          <fgColor rgb="FFB4A7D6"/>
          <bgColor rgb="FFB4A7D6"/>
        </patternFill>
      </fill>
      <border/>
    </dxf>
    <dxf>
      <font>
        <color rgb="FFFF0000"/>
      </font>
      <fill>
        <patternFill patternType="none"/>
      </fill>
      <border/>
    </dxf>
    <dxf>
      <font>
        <i/>
        <color rgb="FF7F7F7F"/>
      </font>
      <fill>
        <patternFill patternType="none"/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customschemas.google.com/relationships/workbookmetadata" Target="metadata"/><Relationship Id="rId63" Type="http://schemas.openxmlformats.org/officeDocument/2006/relationships/externalLink" Target="externalLinks/externalLink1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33720766"/>
        <c:axId val="1117194975"/>
      </c:scatterChart>
      <c:valAx>
        <c:axId val="143372076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7194975"/>
      </c:valAx>
      <c:valAx>
        <c:axId val="111719497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433720766"/>
      </c:valAx>
    </c:plotArea>
    <c:plotVisOnly val="1"/>
  </c:chart>
</c:chartSpace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28575</xdr:rowOff>
    </xdr:from>
    <xdr:ext cx="3486150" cy="733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1</xdr:row>
      <xdr:rowOff>28575</xdr:rowOff>
    </xdr:from>
    <xdr:ext cx="3486150" cy="733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133350</xdr:rowOff>
    </xdr:from>
    <xdr:ext cx="6105525" cy="38100"/>
    <xdr:grpSp>
      <xdr:nvGrpSpPr>
        <xdr:cNvPr id="2" name="Shape 2"/>
        <xdr:cNvGrpSpPr/>
      </xdr:nvGrpSpPr>
      <xdr:grpSpPr>
        <a:xfrm>
          <a:off x="2293238" y="3765713"/>
          <a:ext cx="6105525" cy="28575"/>
          <a:chOff x="2293238" y="3765713"/>
          <a:chExt cx="6105525" cy="28575"/>
        </a:xfrm>
      </xdr:grpSpPr>
      <xdr:cxnSp>
        <xdr:nvCxnSpPr>
          <xdr:cNvPr id="3" name="Shape 3"/>
          <xdr:cNvCxnSpPr/>
        </xdr:nvCxnSpPr>
        <xdr:spPr>
          <a:xfrm flipH="1" rot="10800000">
            <a:off x="2293238" y="3765713"/>
            <a:ext cx="6105525" cy="28575"/>
          </a:xfrm>
          <a:prstGeom prst="straightConnector1">
            <a:avLst/>
          </a:prstGeom>
          <a:noFill/>
          <a:ln cap="flat" cmpd="sng" w="38100">
            <a:solidFill>
              <a:srgbClr val="A48A1C"/>
            </a:solidFill>
            <a:prstDash val="solid"/>
            <a:miter lim="800000"/>
            <a:headEnd len="sm" w="sm" type="none"/>
            <a:tailEnd len="sm" w="sm" type="none"/>
          </a:ln>
          <a:effectLst>
            <a:outerShdw blurRad="50800" rotWithShape="0" algn="tl" dir="2700000" dist="38100">
              <a:srgbClr val="000000">
                <a:alpha val="40000"/>
              </a:srgbClr>
            </a:outerShdw>
          </a:effectLst>
        </xdr:spPr>
      </xdr:cxnSp>
    </xdr:grpSp>
    <xdr:clientData fLocksWithSheet="0"/>
  </xdr:oneCellAnchor>
  <xdr:oneCellAnchor>
    <xdr:from>
      <xdr:col>0</xdr:col>
      <xdr:colOff>28575</xdr:colOff>
      <xdr:row>14</xdr:row>
      <xdr:rowOff>85725</xdr:rowOff>
    </xdr:from>
    <xdr:ext cx="5819775" cy="38100"/>
    <xdr:grpSp>
      <xdr:nvGrpSpPr>
        <xdr:cNvPr id="2" name="Shape 2"/>
        <xdr:cNvGrpSpPr/>
      </xdr:nvGrpSpPr>
      <xdr:grpSpPr>
        <a:xfrm>
          <a:off x="2436113" y="3780000"/>
          <a:ext cx="5819775" cy="0"/>
          <a:chOff x="2436113" y="3780000"/>
          <a:chExt cx="5819775" cy="0"/>
        </a:xfrm>
      </xdr:grpSpPr>
      <xdr:cxnSp>
        <xdr:nvCxnSpPr>
          <xdr:cNvPr id="4" name="Shape 4"/>
          <xdr:cNvCxnSpPr/>
        </xdr:nvCxnSpPr>
        <xdr:spPr>
          <a:xfrm>
            <a:off x="2436113" y="3780000"/>
            <a:ext cx="5819775" cy="0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19050</xdr:colOff>
      <xdr:row>24</xdr:row>
      <xdr:rowOff>133350</xdr:rowOff>
    </xdr:from>
    <xdr:ext cx="5819775" cy="38100"/>
    <xdr:grpSp>
      <xdr:nvGrpSpPr>
        <xdr:cNvPr id="2" name="Shape 2"/>
        <xdr:cNvGrpSpPr/>
      </xdr:nvGrpSpPr>
      <xdr:grpSpPr>
        <a:xfrm>
          <a:off x="2436113" y="3780000"/>
          <a:ext cx="5819775" cy="0"/>
          <a:chOff x="2436113" y="3780000"/>
          <a:chExt cx="5819775" cy="0"/>
        </a:xfrm>
      </xdr:grpSpPr>
      <xdr:cxnSp>
        <xdr:nvCxnSpPr>
          <xdr:cNvPr id="4" name="Shape 4"/>
          <xdr:cNvCxnSpPr/>
        </xdr:nvCxnSpPr>
        <xdr:spPr>
          <a:xfrm>
            <a:off x="2436113" y="3780000"/>
            <a:ext cx="5819775" cy="0"/>
          </a:xfrm>
          <a:prstGeom prst="straightConnector1">
            <a:avLst/>
          </a:prstGeom>
          <a:noFill/>
          <a:ln cap="flat" cmpd="sng" w="19050">
            <a:solidFill>
              <a:schemeClr val="dk1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0</xdr:col>
      <xdr:colOff>19050</xdr:colOff>
      <xdr:row>46</xdr:row>
      <xdr:rowOff>85725</xdr:rowOff>
    </xdr:from>
    <xdr:ext cx="6105525" cy="38100"/>
    <xdr:grpSp>
      <xdr:nvGrpSpPr>
        <xdr:cNvPr id="2" name="Shape 2"/>
        <xdr:cNvGrpSpPr/>
      </xdr:nvGrpSpPr>
      <xdr:grpSpPr>
        <a:xfrm>
          <a:off x="2293238" y="3765713"/>
          <a:ext cx="6105525" cy="28575"/>
          <a:chOff x="2293238" y="3765713"/>
          <a:chExt cx="6105525" cy="28575"/>
        </a:xfrm>
      </xdr:grpSpPr>
      <xdr:cxnSp>
        <xdr:nvCxnSpPr>
          <xdr:cNvPr id="3" name="Shape 3"/>
          <xdr:cNvCxnSpPr/>
        </xdr:nvCxnSpPr>
        <xdr:spPr>
          <a:xfrm flipH="1" rot="10800000">
            <a:off x="2293238" y="3765713"/>
            <a:ext cx="6105525" cy="28575"/>
          </a:xfrm>
          <a:prstGeom prst="straightConnector1">
            <a:avLst/>
          </a:prstGeom>
          <a:noFill/>
          <a:ln cap="flat" cmpd="sng" w="38100">
            <a:solidFill>
              <a:srgbClr val="A48A1C"/>
            </a:solidFill>
            <a:prstDash val="solid"/>
            <a:miter lim="800000"/>
            <a:headEnd len="sm" w="sm" type="none"/>
            <a:tailEnd len="sm" w="sm" type="none"/>
          </a:ln>
          <a:effectLst>
            <a:outerShdw blurRad="50800" rotWithShape="0" algn="tl" dir="2700000" dist="38100">
              <a:srgbClr val="000000">
                <a:alpha val="40000"/>
              </a:srgbClr>
            </a:outerShdw>
          </a:effectLst>
        </xdr:spPr>
      </xdr:cxnSp>
    </xdr:grpSp>
    <xdr:clientData fLocksWithSheet="0"/>
  </xdr:oneCellAnchor>
  <xdr:oneCellAnchor>
    <xdr:from>
      <xdr:col>0</xdr:col>
      <xdr:colOff>0</xdr:colOff>
      <xdr:row>0</xdr:row>
      <xdr:rowOff>47625</xdr:rowOff>
    </xdr:from>
    <xdr:ext cx="2181225" cy="504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5</xdr:row>
      <xdr:rowOff>114300</xdr:rowOff>
    </xdr:from>
    <xdr:ext cx="5495925" cy="3505200"/>
    <xdr:graphicFrame>
      <xdr:nvGraphicFramePr>
        <xdr:cNvPr id="54040036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</xdr:row>
      <xdr:rowOff>38100</xdr:rowOff>
    </xdr:from>
    <xdr:ext cx="3609975" cy="8382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</xdr:row>
      <xdr:rowOff>38100</xdr:rowOff>
    </xdr:from>
    <xdr:ext cx="4772025" cy="11620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nidades%20compartidas/COMERCIAL%20PAITITI/1.%20DOCUMENTACION%20ACOPIO%202025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"/>
      <sheetName val="2025"/>
      <sheetName val="2024"/>
      <sheetName val="2024-1"/>
      <sheetName val="LOTES 2026"/>
      <sheetName val="RESUMEN"/>
      <sheetName val="por pagar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D1" s="1"/>
      <c r="F1" s="2"/>
      <c r="G1" s="3"/>
      <c r="H1" s="4"/>
      <c r="I1" s="5"/>
      <c r="K1" s="6">
        <v>668.077</v>
      </c>
      <c r="L1" s="5"/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</row>
    <row r="2" ht="15.0" customHeight="1">
      <c r="D2" s="1"/>
      <c r="G2" s="13"/>
      <c r="H2" s="13"/>
      <c r="I2" s="14">
        <f>SUBTOTAL(9,I4:I9311)</f>
        <v>702.8</v>
      </c>
      <c r="J2" s="4"/>
      <c r="K2" s="14">
        <f>SUBTOTAL(9,K4:K9311)</f>
        <v>667.447417</v>
      </c>
      <c r="L2" s="15">
        <f>SUMPRODUCT(L5:L142,K5:K142)/K2</f>
        <v>0.3647003909</v>
      </c>
      <c r="M2" s="2"/>
      <c r="P2" s="2"/>
      <c r="Q2" s="16">
        <f>+SUMPRODUCT(Q5:Q94,AH5:AH94)/SUM(AH5:AH94)</f>
        <v>89.91431299</v>
      </c>
      <c r="R2" s="12">
        <f>+SUMPRODUCT(R5:R94,AH5:AH94)/SUM(AH5:AH94)</f>
        <v>2662.292287</v>
      </c>
      <c r="S2" s="2"/>
      <c r="AB2" s="7"/>
      <c r="AC2" s="7"/>
      <c r="AD2" s="7"/>
      <c r="AE2" s="7"/>
      <c r="AF2" s="7"/>
      <c r="AG2" s="17">
        <f>SUMPRODUCT($AG5:$AG94,$K5:$K94)/SUM($K5:$K94)</f>
        <v>68.04761992</v>
      </c>
      <c r="AH2" s="18"/>
      <c r="AI2" s="19">
        <v>2820.0</v>
      </c>
      <c r="AJ2" s="20"/>
      <c r="AK2" s="11"/>
      <c r="AL2" s="21"/>
    </row>
    <row r="3" ht="15.0" customHeight="1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3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SUBTOTAL(9,AH5:AH9312)</f>
        <v>7503.746493</v>
      </c>
      <c r="AI3" s="40">
        <f>SUMPRODUCT(K5:K94,AI5:AI94)/K2</f>
        <v>92.39303101</v>
      </c>
      <c r="AJ3" s="39">
        <f>SUBTOTAL(9,AJ5:AJ9312)</f>
        <v>7351.008945</v>
      </c>
      <c r="AK3" s="11"/>
      <c r="AL3" s="39">
        <f>SUBTOTAL(9,AL5:AL9312)</f>
        <v>499002.4111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</row>
    <row r="5" ht="15.75" customHeight="1">
      <c r="A5" s="54" t="s">
        <v>37</v>
      </c>
      <c r="B5" s="55"/>
      <c r="C5" s="56">
        <v>45624.0</v>
      </c>
      <c r="D5" s="57" t="s">
        <v>38</v>
      </c>
      <c r="E5" s="57" t="str">
        <f t="array" ref="E5">XLOOKUP(D5,RUC!$B$3:$B$79,RUC!$D$3:$D$79)</f>
        <v>#N/A</v>
      </c>
      <c r="F5" s="2" t="s">
        <v>39</v>
      </c>
      <c r="G5" s="3"/>
      <c r="H5" s="57" t="s">
        <v>40</v>
      </c>
      <c r="I5" s="58">
        <v>9.36</v>
      </c>
      <c r="J5" s="58">
        <v>17.35</v>
      </c>
      <c r="K5" s="59">
        <f t="shared" ref="K5:K82" si="1">+I5-(I5*(J5/100))</f>
        <v>7.73604</v>
      </c>
      <c r="L5" s="60">
        <v>0.079</v>
      </c>
      <c r="M5" s="61">
        <v>0.069</v>
      </c>
      <c r="N5" s="62">
        <v>0.069</v>
      </c>
      <c r="O5" s="60">
        <f t="shared" ref="O5:O24" si="2">+ROUND((M5+N5)/2,3)</f>
        <v>0.069</v>
      </c>
      <c r="P5" s="63">
        <v>90.0</v>
      </c>
      <c r="Q5" s="64">
        <v>85.3</v>
      </c>
      <c r="R5" s="65">
        <v>2641.85</v>
      </c>
      <c r="S5" s="66">
        <f t="shared" ref="S5:S8" si="3">IF((90+ROUNDDOWN(O5,1)*100)&lt;95,95,(90+ROUNDDOWN(O5,1)*100))</f>
        <v>95</v>
      </c>
      <c r="U5" s="67">
        <v>100.0</v>
      </c>
      <c r="V5" s="67">
        <v>1.1023</v>
      </c>
      <c r="Y5" s="68">
        <v>20.0</v>
      </c>
      <c r="Z5" s="69">
        <f t="shared" ref="Z5:Z8" si="4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28" si="5">+Y5+Z5</f>
        <v>50</v>
      </c>
      <c r="AB5" s="71">
        <v>0.0</v>
      </c>
      <c r="AC5" s="71">
        <f>+(S5-T5)*V5-'data 1'!$F$4</f>
        <v>24.7185</v>
      </c>
      <c r="AD5" s="71">
        <f t="shared" ref="AD5:AD82" si="6">+(Q5-P5)*(R5-U5)*L5*V5/100</f>
        <v>-10.4033851</v>
      </c>
      <c r="AE5" s="71">
        <f t="shared" ref="AE5:AE82" si="7">+(Y5*V5-70)+V5*(Z5-IF(D5="UNTUCA",IF(+((W5-3)*2.5+(X5-3)*3.1)&gt;0,+((W5-3)*1.5+(X5-3)*3.1),0),IF(+((W5-3)*1.5+(X5-3)*3.1)&gt;0,+((W5-3)*1.5+(X5-3)*3.1),0)))</f>
        <v>-14.885</v>
      </c>
      <c r="AF5" s="71">
        <f t="shared" ref="AF5:AF82" si="8">(L5-O5)*(R5-U5)*Q5*V5/100</f>
        <v>23.90004711</v>
      </c>
      <c r="AG5" s="72">
        <f t="shared" ref="AG5:AG8" si="9">+IF(D5="RONALD WILLIAN GARIBAY ESCUDERO",AC5+AD5+AE5+AF5+70,AC5+AD5+AE5+AF5)</f>
        <v>23.33016201</v>
      </c>
      <c r="AH5" s="52">
        <f t="shared" ref="AH5:AH82" si="10">31.1035*L5*Q5*1.1023*K5/100</f>
        <v>17.87326516</v>
      </c>
      <c r="AI5" s="73">
        <f t="shared" ref="AI5:AI82" si="11">+((+$AI$2-R5+U5)*L5*Q5*V5)/100</f>
        <v>20.66117395</v>
      </c>
      <c r="AJ5" s="73">
        <f t="shared" ref="AJ5:AJ82" si="12">31.1035*1.1023*K5*P5*O5/100</f>
        <v>16.47097758</v>
      </c>
      <c r="AK5" s="11"/>
      <c r="AL5" s="51">
        <v>0.0</v>
      </c>
    </row>
    <row r="6" ht="15.75" customHeight="1">
      <c r="A6" s="54" t="s">
        <v>41</v>
      </c>
      <c r="B6" s="55"/>
      <c r="C6" s="56">
        <v>45624.0</v>
      </c>
      <c r="D6" s="57" t="s">
        <v>38</v>
      </c>
      <c r="E6" s="57" t="str">
        <f t="array" ref="E6">XLOOKUP(D6,RUC!$B$3:$B$79,RUC!$D$3:$D$79)</f>
        <v>#N/A</v>
      </c>
      <c r="F6" s="2" t="s">
        <v>39</v>
      </c>
      <c r="G6" s="3"/>
      <c r="H6" s="57" t="s">
        <v>40</v>
      </c>
      <c r="I6" s="58">
        <v>4.62</v>
      </c>
      <c r="J6" s="58">
        <v>18.15</v>
      </c>
      <c r="K6" s="59">
        <f t="shared" si="1"/>
        <v>3.78147</v>
      </c>
      <c r="L6" s="60">
        <v>0.072</v>
      </c>
      <c r="M6" s="61">
        <v>0.062</v>
      </c>
      <c r="N6" s="62">
        <v>0.062</v>
      </c>
      <c r="O6" s="60">
        <f t="shared" si="2"/>
        <v>0.062</v>
      </c>
      <c r="P6" s="63">
        <v>90.0</v>
      </c>
      <c r="Q6" s="64">
        <v>85.42</v>
      </c>
      <c r="R6" s="65">
        <v>2641.85</v>
      </c>
      <c r="S6" s="66">
        <f t="shared" si="3"/>
        <v>95</v>
      </c>
      <c r="U6" s="67">
        <v>100.0</v>
      </c>
      <c r="V6" s="67">
        <v>1.1023</v>
      </c>
      <c r="Y6" s="68">
        <v>20.0</v>
      </c>
      <c r="Z6" s="69">
        <f t="shared" si="4"/>
        <v>30</v>
      </c>
      <c r="AA6" s="70">
        <f t="shared" si="5"/>
        <v>50</v>
      </c>
      <c r="AB6" s="71">
        <v>0.0</v>
      </c>
      <c r="AC6" s="71">
        <f>+(S6-T6)*V6-'data 1'!$F$4</f>
        <v>24.7185</v>
      </c>
      <c r="AD6" s="71">
        <f t="shared" si="6"/>
        <v>-9.239483626</v>
      </c>
      <c r="AE6" s="71">
        <f t="shared" si="7"/>
        <v>-14.885</v>
      </c>
      <c r="AF6" s="71">
        <f t="shared" si="8"/>
        <v>23.93366968</v>
      </c>
      <c r="AG6" s="72">
        <f t="shared" si="9"/>
        <v>24.52768605</v>
      </c>
      <c r="AH6" s="52">
        <f t="shared" si="10"/>
        <v>7.973734888</v>
      </c>
      <c r="AI6" s="73">
        <f t="shared" si="11"/>
        <v>18.85692767</v>
      </c>
      <c r="AJ6" s="73">
        <f t="shared" si="12"/>
        <v>7.234423482</v>
      </c>
      <c r="AK6" s="11"/>
      <c r="AL6" s="51">
        <v>0.0</v>
      </c>
    </row>
    <row r="7" ht="15.75" customHeight="1">
      <c r="A7" s="54" t="s">
        <v>42</v>
      </c>
      <c r="B7" s="55"/>
      <c r="C7" s="56">
        <v>45624.0</v>
      </c>
      <c r="D7" s="57" t="s">
        <v>38</v>
      </c>
      <c r="E7" s="57" t="str">
        <f t="array" ref="E7">XLOOKUP(D7,RUC!$B$3:$B$79,RUC!$D$3:$D$79)</f>
        <v>#N/A</v>
      </c>
      <c r="F7" s="2" t="s">
        <v>39</v>
      </c>
      <c r="G7" s="3"/>
      <c r="H7" s="57" t="s">
        <v>40</v>
      </c>
      <c r="I7" s="58">
        <v>8.98</v>
      </c>
      <c r="J7" s="58">
        <v>16.0</v>
      </c>
      <c r="K7" s="59">
        <f t="shared" si="1"/>
        <v>7.5432</v>
      </c>
      <c r="L7" s="60">
        <v>0.078</v>
      </c>
      <c r="M7" s="61">
        <v>0.068</v>
      </c>
      <c r="N7" s="62">
        <v>0.068</v>
      </c>
      <c r="O7" s="60">
        <f t="shared" si="2"/>
        <v>0.068</v>
      </c>
      <c r="P7" s="63">
        <v>90.0</v>
      </c>
      <c r="Q7" s="64">
        <v>85.07</v>
      </c>
      <c r="R7" s="65">
        <v>2641.85</v>
      </c>
      <c r="S7" s="66">
        <f t="shared" si="3"/>
        <v>95</v>
      </c>
      <c r="U7" s="67">
        <v>100.0</v>
      </c>
      <c r="V7" s="67">
        <v>1.1023</v>
      </c>
      <c r="Y7" s="68">
        <v>20.0</v>
      </c>
      <c r="Z7" s="69">
        <f t="shared" si="4"/>
        <v>30</v>
      </c>
      <c r="AA7" s="70">
        <f t="shared" si="5"/>
        <v>50</v>
      </c>
      <c r="AB7" s="71">
        <v>0.0</v>
      </c>
      <c r="AC7" s="71">
        <f>+(S7-T7)*V7-'data 1'!$F$4</f>
        <v>24.7185</v>
      </c>
      <c r="AD7" s="71">
        <f t="shared" si="6"/>
        <v>-10.77435418</v>
      </c>
      <c r="AE7" s="71">
        <f t="shared" si="7"/>
        <v>-14.885</v>
      </c>
      <c r="AF7" s="71">
        <f t="shared" si="8"/>
        <v>23.83560384</v>
      </c>
      <c r="AG7" s="72">
        <f t="shared" si="9"/>
        <v>22.89474966</v>
      </c>
      <c r="AH7" s="52">
        <f t="shared" si="10"/>
        <v>17.16072878</v>
      </c>
      <c r="AI7" s="73">
        <f t="shared" si="11"/>
        <v>20.34463521</v>
      </c>
      <c r="AJ7" s="73">
        <f t="shared" si="12"/>
        <v>15.8276382</v>
      </c>
      <c r="AK7" s="11"/>
      <c r="AL7" s="51">
        <v>0.0</v>
      </c>
    </row>
    <row r="8" ht="15.75" customHeight="1">
      <c r="A8" s="54" t="s">
        <v>43</v>
      </c>
      <c r="B8" s="55"/>
      <c r="C8" s="56">
        <v>45624.0</v>
      </c>
      <c r="D8" s="57" t="s">
        <v>38</v>
      </c>
      <c r="E8" s="57" t="str">
        <f t="array" ref="E8">XLOOKUP(D8,RUC!$B$3:$B$79,RUC!$D$3:$D$79)</f>
        <v>#N/A</v>
      </c>
      <c r="F8" s="2" t="s">
        <v>39</v>
      </c>
      <c r="G8" s="3"/>
      <c r="H8" s="57" t="s">
        <v>40</v>
      </c>
      <c r="I8" s="58">
        <v>4.48</v>
      </c>
      <c r="J8" s="58">
        <v>17.5</v>
      </c>
      <c r="K8" s="59">
        <f t="shared" si="1"/>
        <v>3.696</v>
      </c>
      <c r="L8" s="60">
        <v>0.084</v>
      </c>
      <c r="M8" s="61">
        <v>0.074</v>
      </c>
      <c r="N8" s="62">
        <v>0.074</v>
      </c>
      <c r="O8" s="60">
        <f t="shared" si="2"/>
        <v>0.074</v>
      </c>
      <c r="P8" s="63">
        <v>90.0</v>
      </c>
      <c r="Q8" s="64">
        <v>85.7</v>
      </c>
      <c r="R8" s="65">
        <v>2641.85</v>
      </c>
      <c r="S8" s="66">
        <f t="shared" si="3"/>
        <v>95</v>
      </c>
      <c r="U8" s="67">
        <v>100.0</v>
      </c>
      <c r="V8" s="67">
        <v>1.1023</v>
      </c>
      <c r="Y8" s="68">
        <v>20.0</v>
      </c>
      <c r="Z8" s="69">
        <f t="shared" si="4"/>
        <v>30</v>
      </c>
      <c r="AA8" s="70">
        <f t="shared" si="5"/>
        <v>50</v>
      </c>
      <c r="AB8" s="71">
        <v>0.0</v>
      </c>
      <c r="AC8" s="71">
        <f>+(S8-T8)*V8-'data 1'!$F$4</f>
        <v>24.7185</v>
      </c>
      <c r="AD8" s="71">
        <f t="shared" si="6"/>
        <v>-10.12039509</v>
      </c>
      <c r="AE8" s="71">
        <f t="shared" si="7"/>
        <v>-14.885</v>
      </c>
      <c r="AF8" s="71">
        <f t="shared" si="8"/>
        <v>24.01212236</v>
      </c>
      <c r="AG8" s="72">
        <f t="shared" si="9"/>
        <v>23.72522726</v>
      </c>
      <c r="AH8" s="52">
        <f t="shared" si="10"/>
        <v>9.122232559</v>
      </c>
      <c r="AI8" s="73">
        <f t="shared" si="11"/>
        <v>22.07186238</v>
      </c>
      <c r="AJ8" s="73">
        <f t="shared" si="12"/>
        <v>8.439471696</v>
      </c>
      <c r="AK8" s="11"/>
      <c r="AL8" s="51">
        <v>0.0</v>
      </c>
    </row>
    <row r="9" ht="15.75" customHeight="1">
      <c r="A9" s="54" t="s">
        <v>44</v>
      </c>
      <c r="B9" s="74">
        <v>45666.0</v>
      </c>
      <c r="C9" s="56">
        <v>45649.0</v>
      </c>
      <c r="D9" s="57" t="s">
        <v>45</v>
      </c>
      <c r="E9" s="57">
        <f t="array" ref="E9">XLOOKUP(D9,RUC!$B$3:$B$79,RUC!$D$3:$D$79)</f>
        <v>10416085884</v>
      </c>
      <c r="F9" s="2"/>
      <c r="G9" s="3" t="s">
        <v>46</v>
      </c>
      <c r="H9" s="57" t="s">
        <v>47</v>
      </c>
      <c r="I9" s="58">
        <v>33.74</v>
      </c>
      <c r="J9" s="58">
        <v>6.1</v>
      </c>
      <c r="K9" s="59">
        <f t="shared" si="1"/>
        <v>31.68186</v>
      </c>
      <c r="L9" s="60">
        <v>0.15050000000000002</v>
      </c>
      <c r="M9" s="60">
        <v>0.14071750000000002</v>
      </c>
      <c r="N9" s="75">
        <v>0.163</v>
      </c>
      <c r="O9" s="60">
        <f t="shared" si="2"/>
        <v>0.152</v>
      </c>
      <c r="P9" s="63">
        <v>90.0</v>
      </c>
      <c r="Q9" s="64">
        <v>89.74</v>
      </c>
      <c r="R9" s="65">
        <v>2613.8</v>
      </c>
      <c r="S9" s="76">
        <v>85.0</v>
      </c>
      <c r="U9" s="67">
        <v>90.0</v>
      </c>
      <c r="V9" s="67">
        <v>1.1023</v>
      </c>
      <c r="Z9" s="77">
        <v>15.0</v>
      </c>
      <c r="AA9" s="70">
        <f t="shared" si="5"/>
        <v>15</v>
      </c>
      <c r="AB9" s="71">
        <f t="shared" ref="AB9:AB23" si="13">+((O9*P9*(R9-U9)/100)-S9-AA9+T9)*V9</f>
        <v>270.3455124</v>
      </c>
      <c r="AC9" s="71">
        <f>+(S9-T9)*V9-'data 1'!$F$4</f>
        <v>13.6955</v>
      </c>
      <c r="AD9" s="71">
        <f t="shared" si="6"/>
        <v>-1.088590629</v>
      </c>
      <c r="AE9" s="71">
        <f t="shared" si="7"/>
        <v>-53.4655</v>
      </c>
      <c r="AF9" s="71">
        <f t="shared" si="8"/>
        <v>-3.744829659</v>
      </c>
      <c r="AG9" s="72">
        <f t="shared" ref="AG9:AG10" si="14">+IF(D9="RONALD WILLIAN GARIBAY ESCUDERO",AC9+AD9+AE9+AF9+70,AC9+AD9+AE9+AF9)+70-10</f>
        <v>15.39657971</v>
      </c>
      <c r="AH9" s="52">
        <f t="shared" si="10"/>
        <v>146.7041181</v>
      </c>
      <c r="AI9" s="73">
        <f t="shared" si="11"/>
        <v>44.09683572</v>
      </c>
      <c r="AJ9" s="73">
        <f t="shared" si="12"/>
        <v>148.5955614</v>
      </c>
      <c r="AK9" s="11"/>
      <c r="AL9" s="51">
        <f t="shared" ref="AL9:AL82" si="15">+IF(AB9*K9&gt;0,AB9*K9,0)</f>
        <v>8565.048676</v>
      </c>
    </row>
    <row r="10" ht="15.75" customHeight="1">
      <c r="A10" s="54" t="s">
        <v>48</v>
      </c>
      <c r="B10" s="74">
        <v>45666.0</v>
      </c>
      <c r="C10" s="56">
        <v>45649.0</v>
      </c>
      <c r="D10" s="57" t="s">
        <v>45</v>
      </c>
      <c r="E10" s="57">
        <f t="array" ref="E10">XLOOKUP(D10,RUC!$B$3:$B$79,RUC!$D$3:$D$79)</f>
        <v>10416085884</v>
      </c>
      <c r="G10" s="3">
        <v>26.0</v>
      </c>
      <c r="H10" s="57" t="s">
        <v>47</v>
      </c>
      <c r="I10" s="58">
        <v>1.5</v>
      </c>
      <c r="J10" s="58">
        <v>7.45</v>
      </c>
      <c r="K10" s="59">
        <f t="shared" si="1"/>
        <v>1.38825</v>
      </c>
      <c r="L10" s="60">
        <v>0.3205</v>
      </c>
      <c r="M10" s="60">
        <v>0.30768</v>
      </c>
      <c r="N10" s="75">
        <v>0.355</v>
      </c>
      <c r="O10" s="60">
        <f t="shared" si="2"/>
        <v>0.331</v>
      </c>
      <c r="P10" s="63">
        <v>90.0</v>
      </c>
      <c r="Q10" s="64">
        <v>89.62</v>
      </c>
      <c r="R10" s="65">
        <v>2613.8</v>
      </c>
      <c r="S10" s="76">
        <v>100.0</v>
      </c>
      <c r="U10" s="67">
        <v>90.0</v>
      </c>
      <c r="V10" s="67">
        <v>1.1023</v>
      </c>
      <c r="Z10" s="77">
        <v>15.0</v>
      </c>
      <c r="AA10" s="70">
        <f t="shared" si="5"/>
        <v>15</v>
      </c>
      <c r="AB10" s="71">
        <f t="shared" si="13"/>
        <v>701.988754</v>
      </c>
      <c r="AC10" s="71">
        <f>+(S10-T10)*V10-'data 1'!$F$4</f>
        <v>30.23</v>
      </c>
      <c r="AD10" s="71">
        <f t="shared" si="6"/>
        <v>-3.388179215</v>
      </c>
      <c r="AE10" s="71">
        <f t="shared" si="7"/>
        <v>-53.4655</v>
      </c>
      <c r="AF10" s="71">
        <f t="shared" si="8"/>
        <v>-26.1787546</v>
      </c>
      <c r="AG10" s="72">
        <f t="shared" si="14"/>
        <v>7.197566183</v>
      </c>
      <c r="AH10" s="52">
        <f t="shared" si="10"/>
        <v>13.67129721</v>
      </c>
      <c r="AI10" s="73">
        <f t="shared" si="11"/>
        <v>93.78164256</v>
      </c>
      <c r="AJ10" s="73">
        <f t="shared" si="12"/>
        <v>14.17905394</v>
      </c>
      <c r="AK10" s="11"/>
      <c r="AL10" s="51">
        <f t="shared" si="15"/>
        <v>974.5358878</v>
      </c>
    </row>
    <row r="11" ht="15.75" customHeight="1">
      <c r="A11" s="54" t="s">
        <v>49</v>
      </c>
      <c r="B11" s="56">
        <v>45657.0</v>
      </c>
      <c r="C11" s="56">
        <v>45649.0</v>
      </c>
      <c r="D11" s="57" t="s">
        <v>45</v>
      </c>
      <c r="E11" s="57">
        <f t="array" ref="E11">XLOOKUP(D11,RUC!$B$3:$B$79,RUC!$D$3:$D$79)</f>
        <v>10416085884</v>
      </c>
      <c r="G11" s="3" t="s">
        <v>46</v>
      </c>
      <c r="H11" s="57" t="s">
        <v>47</v>
      </c>
      <c r="I11" s="58">
        <v>26.91</v>
      </c>
      <c r="J11" s="58">
        <v>3.9</v>
      </c>
      <c r="K11" s="59">
        <f t="shared" si="1"/>
        <v>25.86051</v>
      </c>
      <c r="L11" s="60">
        <v>0.1025</v>
      </c>
      <c r="M11" s="60">
        <v>0.097</v>
      </c>
      <c r="N11" s="62">
        <v>0.108</v>
      </c>
      <c r="O11" s="60">
        <f t="shared" si="2"/>
        <v>0.103</v>
      </c>
      <c r="P11" s="63">
        <v>80.0</v>
      </c>
      <c r="Q11" s="64">
        <v>89.39</v>
      </c>
      <c r="R11" s="65">
        <v>2613.8</v>
      </c>
      <c r="S11" s="76">
        <v>110.0</v>
      </c>
      <c r="U11" s="67">
        <v>90.0</v>
      </c>
      <c r="V11" s="67">
        <v>1.1023</v>
      </c>
      <c r="Z11" s="69">
        <f t="shared" ref="Z11:Z25" si="16">IF(IF(D11="UNTUCA",IF(+((W11-3)*1.5+(X11-3)*3.1)&gt;0,+((W11-3)*1.5+(X11-3)*3.1),0),IF(+((W11-3)*1.5+(X11-3)*3.1)&gt;0,+((W11-3)*1.5+(X11-3)*3.1),0))&lt;30,30,IF(D11="UNTUCA",IF(+((W11-3)*1.5+(X11-3)*3.1)&gt;0,+((W11-3)*1.5+(X11-3)*3.1),0),IF(+((W11-3)*1.5+(X11-3)*3.1)&gt;0,+((W11-3)*1.5+(X11-3)*3.1),0)))</f>
        <v>30</v>
      </c>
      <c r="AA11" s="70">
        <f t="shared" si="5"/>
        <v>30</v>
      </c>
      <c r="AB11" s="71">
        <f t="shared" si="13"/>
        <v>74.91354258</v>
      </c>
      <c r="AC11" s="71">
        <f>+(S11-T11)*V11-'data 1'!$F$4</f>
        <v>41.253</v>
      </c>
      <c r="AD11" s="71">
        <f t="shared" si="6"/>
        <v>26.77590763</v>
      </c>
      <c r="AE11" s="71">
        <f t="shared" si="7"/>
        <v>-36.931</v>
      </c>
      <c r="AF11" s="71">
        <f t="shared" si="8"/>
        <v>-1.24340808</v>
      </c>
      <c r="AG11" s="72">
        <f>+IF(D11="RONALD WILLIAN GARIBAY ESCUDERO",AC11+AD11+AE11+AF11+70,AC11+AD11+AE11+AF11)+70-53</f>
        <v>46.85449955</v>
      </c>
      <c r="AH11" s="52">
        <f t="shared" si="10"/>
        <v>81.23795032</v>
      </c>
      <c r="AI11" s="73">
        <f t="shared" si="11"/>
        <v>29.91559632</v>
      </c>
      <c r="AJ11" s="73">
        <f t="shared" si="12"/>
        <v>73.05893993</v>
      </c>
      <c r="AK11" s="11"/>
      <c r="AL11" s="51">
        <f t="shared" si="15"/>
        <v>1937.302417</v>
      </c>
    </row>
    <row r="12" ht="15.75" customHeight="1">
      <c r="A12" s="54" t="s">
        <v>50</v>
      </c>
      <c r="B12" s="56">
        <v>45657.0</v>
      </c>
      <c r="C12" s="56">
        <v>45654.0</v>
      </c>
      <c r="D12" s="57" t="s">
        <v>51</v>
      </c>
      <c r="E12" s="57" t="str">
        <f t="array" ref="E12">XLOOKUP(D12,RUC!$B$3:$B$79,RUC!$D$3:$D$79)</f>
        <v>#N/A</v>
      </c>
      <c r="G12" s="3" t="s">
        <v>46</v>
      </c>
      <c r="H12" s="57" t="s">
        <v>47</v>
      </c>
      <c r="I12" s="58">
        <v>9.58</v>
      </c>
      <c r="J12" s="58">
        <v>1.2</v>
      </c>
      <c r="K12" s="59">
        <f t="shared" si="1"/>
        <v>9.46504</v>
      </c>
      <c r="L12" s="60">
        <v>0.414</v>
      </c>
      <c r="M12" s="60">
        <v>0.397</v>
      </c>
      <c r="N12" s="75">
        <v>0.456</v>
      </c>
      <c r="O12" s="60">
        <f t="shared" si="2"/>
        <v>0.427</v>
      </c>
      <c r="P12" s="63">
        <v>90.0</v>
      </c>
      <c r="Q12" s="64">
        <v>89.79</v>
      </c>
      <c r="R12" s="65">
        <v>2615.95</v>
      </c>
      <c r="S12" s="76">
        <v>120.0</v>
      </c>
      <c r="U12" s="67">
        <v>100.0</v>
      </c>
      <c r="V12" s="67">
        <v>1.1023</v>
      </c>
      <c r="Y12" s="57">
        <v>0.0</v>
      </c>
      <c r="Z12" s="69">
        <f t="shared" si="16"/>
        <v>30</v>
      </c>
      <c r="AA12" s="70">
        <f t="shared" si="5"/>
        <v>30</v>
      </c>
      <c r="AB12" s="71">
        <f t="shared" si="13"/>
        <v>900.4463665</v>
      </c>
      <c r="AC12" s="71">
        <f>+(S12-T12)*V12-'data 1'!$F$4</f>
        <v>52.276</v>
      </c>
      <c r="AD12" s="71">
        <f t="shared" si="6"/>
        <v>-2.411134567</v>
      </c>
      <c r="AE12" s="71">
        <f t="shared" si="7"/>
        <v>-36.931</v>
      </c>
      <c r="AF12" s="71">
        <f t="shared" si="8"/>
        <v>-32.37226876</v>
      </c>
      <c r="AG12" s="72">
        <f t="shared" ref="AG12:AG14" si="17">+IF(D12="RONALD WILLIAN GARIBAY ESCUDERO",AC12+AD12+AE12+AF12+70,AC12+AD12+AE12+AF12)</f>
        <v>50.56159667</v>
      </c>
      <c r="AH12" s="52">
        <f t="shared" si="10"/>
        <v>120.6312521</v>
      </c>
      <c r="AI12" s="73">
        <f t="shared" si="11"/>
        <v>124.5871146</v>
      </c>
      <c r="AJ12" s="73">
        <f t="shared" si="12"/>
        <v>124.7101804</v>
      </c>
      <c r="AK12" s="11"/>
      <c r="AL12" s="51">
        <f t="shared" si="15"/>
        <v>8522.760877</v>
      </c>
    </row>
    <row r="13" ht="15.75" customHeight="1">
      <c r="A13" s="54" t="s">
        <v>52</v>
      </c>
      <c r="B13" s="56">
        <v>45660.0</v>
      </c>
      <c r="C13" s="56">
        <v>45655.0</v>
      </c>
      <c r="D13" s="57" t="s">
        <v>53</v>
      </c>
      <c r="E13" s="57">
        <f t="array" ref="E13">XLOOKUP(D13,RUC!$B$3:$B$79,RUC!$D$3:$D$79)</f>
        <v>10457401928</v>
      </c>
      <c r="F13" s="2" t="s">
        <v>54</v>
      </c>
      <c r="G13" s="3">
        <v>80.0</v>
      </c>
      <c r="H13" s="57" t="s">
        <v>47</v>
      </c>
      <c r="I13" s="58">
        <v>33.91</v>
      </c>
      <c r="J13" s="58">
        <v>15.4</v>
      </c>
      <c r="K13" s="59">
        <f t="shared" si="1"/>
        <v>28.68786</v>
      </c>
      <c r="L13" s="60">
        <v>0.585</v>
      </c>
      <c r="M13" s="60">
        <v>0.561</v>
      </c>
      <c r="N13" s="75">
        <v>0.598</v>
      </c>
      <c r="O13" s="60">
        <f t="shared" si="2"/>
        <v>0.58</v>
      </c>
      <c r="P13" s="63">
        <v>90.0</v>
      </c>
      <c r="Q13" s="64">
        <v>89.66</v>
      </c>
      <c r="R13" s="65">
        <v>2615.95</v>
      </c>
      <c r="S13" s="76">
        <v>130.0</v>
      </c>
      <c r="U13" s="67">
        <v>100.0</v>
      </c>
      <c r="V13" s="67">
        <v>1.1023</v>
      </c>
      <c r="Z13" s="69">
        <f t="shared" si="16"/>
        <v>30</v>
      </c>
      <c r="AA13" s="70">
        <f t="shared" si="5"/>
        <v>30</v>
      </c>
      <c r="AB13" s="71">
        <f t="shared" si="13"/>
        <v>1271.31114</v>
      </c>
      <c r="AC13" s="71">
        <f>+(S13-T13)*V13-'data 1'!$F$4</f>
        <v>63.299</v>
      </c>
      <c r="AD13" s="71">
        <f t="shared" si="6"/>
        <v>-5.516156721</v>
      </c>
      <c r="AE13" s="71">
        <f t="shared" si="7"/>
        <v>-36.931</v>
      </c>
      <c r="AF13" s="71">
        <f t="shared" si="8"/>
        <v>12.43284594</v>
      </c>
      <c r="AG13" s="72">
        <f t="shared" si="17"/>
        <v>33.28468922</v>
      </c>
      <c r="AH13" s="52">
        <f t="shared" si="10"/>
        <v>515.8955986</v>
      </c>
      <c r="AI13" s="73">
        <f t="shared" si="11"/>
        <v>175.7921249</v>
      </c>
      <c r="AJ13" s="73">
        <f t="shared" si="12"/>
        <v>513.4258433</v>
      </c>
      <c r="AK13" s="11"/>
      <c r="AL13" s="51">
        <f t="shared" si="15"/>
        <v>36471.19599</v>
      </c>
    </row>
    <row r="14" ht="15.75" customHeight="1">
      <c r="A14" s="54" t="s">
        <v>55</v>
      </c>
      <c r="B14" s="56">
        <v>45660.0</v>
      </c>
      <c r="C14" s="56">
        <v>45655.0</v>
      </c>
      <c r="D14" s="57" t="s">
        <v>53</v>
      </c>
      <c r="E14" s="57">
        <f t="array" ref="E14">XLOOKUP(D14,RUC!$B$3:$B$79,RUC!$D$3:$D$79)</f>
        <v>10457401928</v>
      </c>
      <c r="F14" s="2" t="s">
        <v>54</v>
      </c>
      <c r="G14" s="3">
        <v>90.0</v>
      </c>
      <c r="H14" s="57" t="s">
        <v>47</v>
      </c>
      <c r="I14" s="58">
        <v>34.66</v>
      </c>
      <c r="J14" s="58">
        <v>16.35</v>
      </c>
      <c r="K14" s="59">
        <f t="shared" si="1"/>
        <v>28.99309</v>
      </c>
      <c r="L14" s="60">
        <v>0.576</v>
      </c>
      <c r="M14" s="60">
        <v>0.553</v>
      </c>
      <c r="N14" s="75">
        <v>0.574</v>
      </c>
      <c r="O14" s="60">
        <f t="shared" si="2"/>
        <v>0.564</v>
      </c>
      <c r="P14" s="63">
        <v>90.0</v>
      </c>
      <c r="Q14" s="64">
        <v>89.71</v>
      </c>
      <c r="R14" s="65">
        <v>2615.95</v>
      </c>
      <c r="S14" s="76">
        <v>130.0</v>
      </c>
      <c r="U14" s="67">
        <v>100.0</v>
      </c>
      <c r="V14" s="67">
        <v>1.1023</v>
      </c>
      <c r="Z14" s="69">
        <f t="shared" si="16"/>
        <v>30</v>
      </c>
      <c r="AA14" s="70">
        <f t="shared" si="5"/>
        <v>30</v>
      </c>
      <c r="AB14" s="71">
        <f t="shared" si="13"/>
        <v>1231.375163</v>
      </c>
      <c r="AC14" s="71">
        <f>+(S14-T14)*V14-'data 1'!$F$4</f>
        <v>63.299</v>
      </c>
      <c r="AD14" s="71">
        <f t="shared" si="6"/>
        <v>-4.632573247</v>
      </c>
      <c r="AE14" s="71">
        <f t="shared" si="7"/>
        <v>-36.931</v>
      </c>
      <c r="AF14" s="71">
        <f t="shared" si="8"/>
        <v>29.85547026</v>
      </c>
      <c r="AG14" s="72">
        <f t="shared" si="17"/>
        <v>51.59089701</v>
      </c>
      <c r="AH14" s="52">
        <f t="shared" si="10"/>
        <v>513.6495513</v>
      </c>
      <c r="AI14" s="73">
        <f t="shared" si="11"/>
        <v>173.1841551</v>
      </c>
      <c r="AJ14" s="73">
        <f t="shared" si="12"/>
        <v>504.5743697</v>
      </c>
      <c r="AK14" s="11"/>
      <c r="AL14" s="51">
        <f t="shared" si="15"/>
        <v>35701.37093</v>
      </c>
    </row>
    <row r="15" ht="15.75" customHeight="1">
      <c r="A15" s="54" t="s">
        <v>56</v>
      </c>
      <c r="B15" s="56">
        <v>45660.0</v>
      </c>
      <c r="C15" s="56">
        <v>45655.0</v>
      </c>
      <c r="D15" s="57" t="s">
        <v>57</v>
      </c>
      <c r="E15" s="57">
        <f t="array" ref="E15">XLOOKUP(D15,RUC!$B$3:$B$79,RUC!$D$3:$D$79)</f>
        <v>20610873309</v>
      </c>
      <c r="G15" s="3">
        <v>144.0</v>
      </c>
      <c r="H15" s="57" t="s">
        <v>47</v>
      </c>
      <c r="I15" s="58">
        <v>11.96</v>
      </c>
      <c r="J15" s="58">
        <v>1.0</v>
      </c>
      <c r="K15" s="59">
        <f t="shared" si="1"/>
        <v>11.8404</v>
      </c>
      <c r="L15" s="60">
        <v>0.559</v>
      </c>
      <c r="M15" s="60">
        <v>0.537</v>
      </c>
      <c r="N15" s="75">
        <v>0.647</v>
      </c>
      <c r="O15" s="60">
        <f t="shared" si="2"/>
        <v>0.592</v>
      </c>
      <c r="P15" s="63">
        <v>90.0</v>
      </c>
      <c r="Q15" s="64">
        <v>89.46</v>
      </c>
      <c r="R15" s="65">
        <v>2615.95</v>
      </c>
      <c r="S15" s="66">
        <f>IF((90+ROUNDDOWN(O15,1)*100)&lt;95,95,(90+ROUNDDOWN(O15,1)*100))</f>
        <v>140</v>
      </c>
      <c r="U15" s="67">
        <v>120.0</v>
      </c>
      <c r="V15" s="67">
        <v>1.1023</v>
      </c>
      <c r="Y15" s="57">
        <v>20.0</v>
      </c>
      <c r="Z15" s="69">
        <f t="shared" si="16"/>
        <v>30</v>
      </c>
      <c r="AA15" s="70">
        <f t="shared" si="5"/>
        <v>50</v>
      </c>
      <c r="AB15" s="71">
        <f t="shared" si="13"/>
        <v>1256.448013</v>
      </c>
      <c r="AC15" s="71">
        <f>+(S15-T15)*V15-'data 1'!$F$4</f>
        <v>74.322</v>
      </c>
      <c r="AD15" s="71">
        <f t="shared" si="6"/>
        <v>-8.305030969</v>
      </c>
      <c r="AE15" s="71">
        <f t="shared" si="7"/>
        <v>-14.885</v>
      </c>
      <c r="AF15" s="71">
        <f t="shared" si="8"/>
        <v>-81.22290574</v>
      </c>
      <c r="AG15" s="72">
        <f>+IF(D15="RONALD WILLIAN GARIBAY ESCUDERO",AC15+AD15+AE15+AF15+70,AC15+AD15+AE15+AF15)+70-53</f>
        <v>-13.0909367</v>
      </c>
      <c r="AH15" s="52">
        <f t="shared" si="10"/>
        <v>203.0093989</v>
      </c>
      <c r="AI15" s="73">
        <f t="shared" si="11"/>
        <v>178.6292336</v>
      </c>
      <c r="AJ15" s="73">
        <f t="shared" si="12"/>
        <v>216.2916032</v>
      </c>
      <c r="AK15" s="11"/>
      <c r="AL15" s="51">
        <f t="shared" si="15"/>
        <v>14876.84705</v>
      </c>
    </row>
    <row r="16" ht="15.75" customHeight="1">
      <c r="A16" s="54" t="s">
        <v>58</v>
      </c>
      <c r="B16" s="56">
        <v>45657.0</v>
      </c>
      <c r="C16" s="56">
        <v>45655.0</v>
      </c>
      <c r="D16" s="57" t="s">
        <v>51</v>
      </c>
      <c r="E16" s="57" t="str">
        <f t="array" ref="E16">XLOOKUP(D16,RUC!$B$3:$B$79,RUC!$D$3:$D$79)</f>
        <v>#N/A</v>
      </c>
      <c r="G16" s="3">
        <v>94.0</v>
      </c>
      <c r="H16" s="57" t="s">
        <v>40</v>
      </c>
      <c r="I16" s="58">
        <v>7.16</v>
      </c>
      <c r="J16" s="58">
        <v>1.5</v>
      </c>
      <c r="K16" s="59">
        <f t="shared" si="1"/>
        <v>7.0526</v>
      </c>
      <c r="L16" s="60">
        <v>0.389</v>
      </c>
      <c r="M16" s="60">
        <v>0.373</v>
      </c>
      <c r="N16" s="62">
        <v>0.459</v>
      </c>
      <c r="O16" s="60">
        <f t="shared" si="2"/>
        <v>0.416</v>
      </c>
      <c r="P16" s="63">
        <v>90.0</v>
      </c>
      <c r="Q16" s="64">
        <v>89.84</v>
      </c>
      <c r="R16" s="65">
        <v>2615.95</v>
      </c>
      <c r="S16" s="76">
        <v>120.0</v>
      </c>
      <c r="U16" s="67">
        <v>100.0</v>
      </c>
      <c r="V16" s="67">
        <v>1.1023</v>
      </c>
      <c r="Y16" s="57">
        <v>0.0</v>
      </c>
      <c r="Z16" s="69">
        <f t="shared" si="16"/>
        <v>30</v>
      </c>
      <c r="AA16" s="70">
        <f t="shared" si="5"/>
        <v>30</v>
      </c>
      <c r="AB16" s="71">
        <f t="shared" si="13"/>
        <v>872.9903829</v>
      </c>
      <c r="AC16" s="71">
        <f>+(S16-T16)*V16-'data 1'!$F$4</f>
        <v>52.276</v>
      </c>
      <c r="AD16" s="71">
        <f t="shared" si="6"/>
        <v>-1.726121641</v>
      </c>
      <c r="AE16" s="71">
        <f t="shared" si="7"/>
        <v>-36.931</v>
      </c>
      <c r="AF16" s="71">
        <f t="shared" si="8"/>
        <v>-67.27215202</v>
      </c>
      <c r="AG16" s="72">
        <f>+IF(D16="RONALD WILLIAN GARIBAY ESCUDERO",AC16+AD16+AE16+AF16+70,AC16+AD16+AE16+AF16)</f>
        <v>16.34672634</v>
      </c>
      <c r="AH16" s="52">
        <f t="shared" si="10"/>
        <v>84.50407781</v>
      </c>
      <c r="AI16" s="73">
        <f t="shared" si="11"/>
        <v>117.1289256</v>
      </c>
      <c r="AJ16" s="73">
        <f t="shared" si="12"/>
        <v>90.53034223</v>
      </c>
      <c r="AK16" s="11"/>
      <c r="AL16" s="51">
        <f t="shared" si="15"/>
        <v>6156.851974</v>
      </c>
    </row>
    <row r="17" ht="15.75" customHeight="1">
      <c r="A17" s="54" t="s">
        <v>59</v>
      </c>
      <c r="B17" s="56">
        <v>45661.0</v>
      </c>
      <c r="C17" s="56">
        <v>45655.0</v>
      </c>
      <c r="D17" s="2" t="s">
        <v>57</v>
      </c>
      <c r="E17" s="57">
        <f t="array" ref="E17">XLOOKUP(D17,RUC!$B$3:$B$79,RUC!$D$3:$D$79)</f>
        <v>20610873309</v>
      </c>
      <c r="G17" s="3">
        <v>80.0</v>
      </c>
      <c r="H17" s="57" t="s">
        <v>47</v>
      </c>
      <c r="I17" s="58">
        <v>7.66</v>
      </c>
      <c r="J17" s="58">
        <v>1.6</v>
      </c>
      <c r="K17" s="59">
        <f t="shared" si="1"/>
        <v>7.53744</v>
      </c>
      <c r="L17" s="60">
        <v>0.199</v>
      </c>
      <c r="M17" s="60">
        <v>0.189</v>
      </c>
      <c r="N17" s="62">
        <v>0.189</v>
      </c>
      <c r="O17" s="60">
        <f t="shared" si="2"/>
        <v>0.189</v>
      </c>
      <c r="P17" s="63">
        <v>90.0</v>
      </c>
      <c r="Q17" s="64">
        <v>89.77</v>
      </c>
      <c r="R17" s="65">
        <v>2615.95</v>
      </c>
      <c r="S17" s="66">
        <f t="shared" ref="S17:S25" si="18">IF((90+ROUNDDOWN(O17,1)*100)&lt;95,95,(90+ROUNDDOWN(O17,1)*100))</f>
        <v>100</v>
      </c>
      <c r="U17" s="67">
        <v>120.0</v>
      </c>
      <c r="V17" s="67">
        <v>1.1023</v>
      </c>
      <c r="Y17" s="57">
        <v>10.0</v>
      </c>
      <c r="Z17" s="69">
        <f t="shared" si="16"/>
        <v>30</v>
      </c>
      <c r="AA17" s="70">
        <f t="shared" si="5"/>
        <v>40</v>
      </c>
      <c r="AB17" s="71">
        <f t="shared" si="13"/>
        <v>313.671695</v>
      </c>
      <c r="AC17" s="71">
        <f>+(S17-T17)*V17-'data 1'!$F$4</f>
        <v>30.23</v>
      </c>
      <c r="AD17" s="71">
        <f t="shared" si="6"/>
        <v>-1.259263458</v>
      </c>
      <c r="AE17" s="71">
        <f t="shared" si="7"/>
        <v>-25.908</v>
      </c>
      <c r="AF17" s="71">
        <f t="shared" si="8"/>
        <v>24.69829159</v>
      </c>
      <c r="AG17" s="72">
        <f t="shared" ref="AG17:AG25" si="19">+IF(D17="RONALD WILLIAN GARIBAY ESCUDERO",AC17+AD17+AE17+AF17+70,AC17+AD17+AE17+AF17)+70-53</f>
        <v>44.76102814</v>
      </c>
      <c r="AH17" s="52">
        <f t="shared" si="10"/>
        <v>46.16546761</v>
      </c>
      <c r="AI17" s="73">
        <f t="shared" si="11"/>
        <v>63.81108583</v>
      </c>
      <c r="AJ17" s="73">
        <f t="shared" si="12"/>
        <v>43.95793181</v>
      </c>
      <c r="AK17" s="11"/>
      <c r="AL17" s="51">
        <f t="shared" si="15"/>
        <v>2364.281581</v>
      </c>
    </row>
    <row r="18" ht="15.75" customHeight="1">
      <c r="A18" s="54" t="s">
        <v>60</v>
      </c>
      <c r="B18" s="56">
        <v>45660.0</v>
      </c>
      <c r="C18" s="56">
        <v>45655.0</v>
      </c>
      <c r="D18" s="57" t="s">
        <v>61</v>
      </c>
      <c r="E18" s="57">
        <f t="array" ref="E18">XLOOKUP(D18,RUC!$B$3:$B$79,RUC!$D$3:$D$79)</f>
        <v>20606526599</v>
      </c>
      <c r="G18" s="3">
        <v>110.0</v>
      </c>
      <c r="H18" s="57" t="s">
        <v>47</v>
      </c>
      <c r="I18" s="58">
        <v>9.23</v>
      </c>
      <c r="J18" s="58">
        <v>1.1</v>
      </c>
      <c r="K18" s="59">
        <f t="shared" si="1"/>
        <v>9.12847</v>
      </c>
      <c r="L18" s="60">
        <v>0.334</v>
      </c>
      <c r="M18" s="60">
        <v>0.32</v>
      </c>
      <c r="N18" s="62">
        <v>0.32</v>
      </c>
      <c r="O18" s="60">
        <f t="shared" si="2"/>
        <v>0.32</v>
      </c>
      <c r="P18" s="63">
        <v>90.0</v>
      </c>
      <c r="Q18" s="64">
        <v>89.56</v>
      </c>
      <c r="R18" s="65">
        <v>2615.95</v>
      </c>
      <c r="S18" s="66">
        <f t="shared" si="18"/>
        <v>120</v>
      </c>
      <c r="U18" s="67">
        <v>120.0</v>
      </c>
      <c r="V18" s="67">
        <v>1.1023</v>
      </c>
      <c r="Y18" s="57">
        <v>20.0</v>
      </c>
      <c r="Z18" s="69">
        <f t="shared" si="16"/>
        <v>30</v>
      </c>
      <c r="AA18" s="70">
        <f t="shared" si="5"/>
        <v>50</v>
      </c>
      <c r="AB18" s="71">
        <f t="shared" si="13"/>
        <v>604.9792773</v>
      </c>
      <c r="AC18" s="71">
        <f>+(S18-T18)*V18-'data 1'!$F$4</f>
        <v>52.276</v>
      </c>
      <c r="AD18" s="71">
        <f t="shared" si="6"/>
        <v>-4.043289443</v>
      </c>
      <c r="AE18" s="71">
        <f t="shared" si="7"/>
        <v>-14.885</v>
      </c>
      <c r="AF18" s="71">
        <f t="shared" si="8"/>
        <v>34.49672043</v>
      </c>
      <c r="AG18" s="72">
        <f t="shared" si="19"/>
        <v>84.84443099</v>
      </c>
      <c r="AH18" s="52">
        <f t="shared" si="10"/>
        <v>93.61977944</v>
      </c>
      <c r="AI18" s="73">
        <f t="shared" si="11"/>
        <v>106.8494731</v>
      </c>
      <c r="AJ18" s="73">
        <f t="shared" si="12"/>
        <v>90.13626324</v>
      </c>
      <c r="AK18" s="11"/>
      <c r="AL18" s="51">
        <f t="shared" si="15"/>
        <v>5522.535183</v>
      </c>
    </row>
    <row r="19" ht="15.75" customHeight="1">
      <c r="A19" s="54" t="s">
        <v>62</v>
      </c>
      <c r="B19" s="56">
        <v>45660.0</v>
      </c>
      <c r="C19" s="56">
        <v>45656.0</v>
      </c>
      <c r="D19" s="57" t="s">
        <v>63</v>
      </c>
      <c r="E19" s="57" t="str">
        <f t="array" ref="E19">XLOOKUP(D19,RUC!$B$3:$B$79,RUC!$D$3:$D$79)</f>
        <v>#N/A</v>
      </c>
      <c r="G19" s="3">
        <v>12.0</v>
      </c>
      <c r="H19" s="57" t="s">
        <v>47</v>
      </c>
      <c r="I19" s="58">
        <v>1.07</v>
      </c>
      <c r="J19" s="58">
        <v>1.3</v>
      </c>
      <c r="K19" s="59">
        <f t="shared" si="1"/>
        <v>1.05609</v>
      </c>
      <c r="L19" s="60">
        <v>0.234</v>
      </c>
      <c r="M19" s="60">
        <v>0.224</v>
      </c>
      <c r="N19" s="62">
        <v>0.224</v>
      </c>
      <c r="O19" s="60">
        <f t="shared" si="2"/>
        <v>0.224</v>
      </c>
      <c r="P19" s="63">
        <v>90.0</v>
      </c>
      <c r="Q19" s="64">
        <v>89.56</v>
      </c>
      <c r="R19" s="65">
        <v>2609.1</v>
      </c>
      <c r="S19" s="66">
        <f t="shared" si="18"/>
        <v>110</v>
      </c>
      <c r="U19" s="67">
        <v>110.0</v>
      </c>
      <c r="V19" s="67">
        <v>1.1023</v>
      </c>
      <c r="Y19" s="57">
        <v>20.0</v>
      </c>
      <c r="Z19" s="69">
        <f t="shared" si="16"/>
        <v>30</v>
      </c>
      <c r="AA19" s="70">
        <f t="shared" si="5"/>
        <v>50</v>
      </c>
      <c r="AB19" s="71">
        <f t="shared" si="13"/>
        <v>378.9911987</v>
      </c>
      <c r="AC19" s="71">
        <f>+(S19-T19)*V19-'data 1'!$F$4</f>
        <v>41.253</v>
      </c>
      <c r="AD19" s="71">
        <f t="shared" si="6"/>
        <v>-2.836298765</v>
      </c>
      <c r="AE19" s="71">
        <f t="shared" si="7"/>
        <v>-14.885</v>
      </c>
      <c r="AF19" s="71">
        <f t="shared" si="8"/>
        <v>24.67161202</v>
      </c>
      <c r="AG19" s="72">
        <f t="shared" si="19"/>
        <v>65.20331326</v>
      </c>
      <c r="AH19" s="52">
        <f t="shared" si="10"/>
        <v>7.588220495</v>
      </c>
      <c r="AI19" s="73">
        <f t="shared" si="11"/>
        <v>74.13093312</v>
      </c>
      <c r="AJ19" s="73">
        <f t="shared" si="12"/>
        <v>7.299624622</v>
      </c>
      <c r="AK19" s="11"/>
      <c r="AL19" s="51">
        <f t="shared" si="15"/>
        <v>400.248815</v>
      </c>
    </row>
    <row r="20" ht="15.75" customHeight="1">
      <c r="A20" s="54" t="s">
        <v>64</v>
      </c>
      <c r="B20" s="56">
        <v>45660.0</v>
      </c>
      <c r="C20" s="56">
        <v>45656.0</v>
      </c>
      <c r="D20" s="57" t="s">
        <v>63</v>
      </c>
      <c r="E20" s="57" t="str">
        <f t="array" ref="E20">XLOOKUP(D20,RUC!$B$3:$B$79,RUC!$D$3:$D$79)</f>
        <v>#N/A</v>
      </c>
      <c r="G20" s="3">
        <v>22.0</v>
      </c>
      <c r="H20" s="57" t="s">
        <v>47</v>
      </c>
      <c r="I20" s="58">
        <v>1.92</v>
      </c>
      <c r="J20" s="58">
        <v>1.4</v>
      </c>
      <c r="K20" s="59">
        <f t="shared" si="1"/>
        <v>1.89312</v>
      </c>
      <c r="L20" s="60">
        <v>0.158</v>
      </c>
      <c r="M20" s="60">
        <v>0.148</v>
      </c>
      <c r="N20" s="62">
        <v>0.148</v>
      </c>
      <c r="O20" s="60">
        <f t="shared" si="2"/>
        <v>0.148</v>
      </c>
      <c r="P20" s="63">
        <v>90.0</v>
      </c>
      <c r="Q20" s="64">
        <v>89.79</v>
      </c>
      <c r="R20" s="65">
        <v>2609.1</v>
      </c>
      <c r="S20" s="66">
        <f t="shared" si="18"/>
        <v>100</v>
      </c>
      <c r="U20" s="67">
        <v>110.0</v>
      </c>
      <c r="V20" s="67">
        <v>1.1023</v>
      </c>
      <c r="Y20" s="57">
        <v>20.0</v>
      </c>
      <c r="Z20" s="69">
        <f t="shared" si="16"/>
        <v>30</v>
      </c>
      <c r="AA20" s="70">
        <f t="shared" si="5"/>
        <v>50</v>
      </c>
      <c r="AB20" s="71">
        <f t="shared" si="13"/>
        <v>201.5887563</v>
      </c>
      <c r="AC20" s="71">
        <f>+(S20-T20)*V20-'data 1'!$F$4</f>
        <v>30.23</v>
      </c>
      <c r="AD20" s="71">
        <f t="shared" si="6"/>
        <v>-0.9140286812</v>
      </c>
      <c r="AE20" s="71">
        <f t="shared" si="7"/>
        <v>-14.885</v>
      </c>
      <c r="AF20" s="71">
        <f t="shared" si="8"/>
        <v>24.73497145</v>
      </c>
      <c r="AG20" s="72">
        <f t="shared" si="19"/>
        <v>56.16594277</v>
      </c>
      <c r="AH20" s="52">
        <f t="shared" si="10"/>
        <v>9.208147586</v>
      </c>
      <c r="AI20" s="73">
        <f t="shared" si="11"/>
        <v>50.18276458</v>
      </c>
      <c r="AJ20" s="73">
        <f t="shared" si="12"/>
        <v>8.64552633</v>
      </c>
      <c r="AK20" s="11"/>
      <c r="AL20" s="51">
        <f t="shared" si="15"/>
        <v>381.6317063</v>
      </c>
    </row>
    <row r="21" ht="15.75" customHeight="1">
      <c r="A21" s="54" t="s">
        <v>65</v>
      </c>
      <c r="B21" s="56">
        <v>45660.0</v>
      </c>
      <c r="C21" s="56">
        <v>45656.0</v>
      </c>
      <c r="D21" s="57" t="s">
        <v>63</v>
      </c>
      <c r="E21" s="57" t="str">
        <f t="array" ref="E21">XLOOKUP(D21,RUC!$B$3:$B$79,RUC!$D$3:$D$79)</f>
        <v>#N/A</v>
      </c>
      <c r="G21" s="3">
        <v>22.0</v>
      </c>
      <c r="H21" s="57" t="s">
        <v>47</v>
      </c>
      <c r="I21" s="58">
        <v>1.97</v>
      </c>
      <c r="J21" s="58">
        <v>1.5</v>
      </c>
      <c r="K21" s="59">
        <f t="shared" si="1"/>
        <v>1.94045</v>
      </c>
      <c r="L21" s="60">
        <v>0.171</v>
      </c>
      <c r="M21" s="60">
        <v>0.161</v>
      </c>
      <c r="N21" s="62">
        <v>0.161</v>
      </c>
      <c r="O21" s="60">
        <f t="shared" si="2"/>
        <v>0.161</v>
      </c>
      <c r="P21" s="63">
        <v>90.0</v>
      </c>
      <c r="Q21" s="64">
        <v>89.72</v>
      </c>
      <c r="R21" s="65">
        <v>2609.1</v>
      </c>
      <c r="S21" s="66">
        <f t="shared" si="18"/>
        <v>100</v>
      </c>
      <c r="U21" s="67">
        <v>110.0</v>
      </c>
      <c r="V21" s="67">
        <v>1.1023</v>
      </c>
      <c r="Y21" s="57">
        <v>20.0</v>
      </c>
      <c r="Z21" s="69">
        <f t="shared" si="16"/>
        <v>30</v>
      </c>
      <c r="AA21" s="70">
        <f t="shared" si="5"/>
        <v>50</v>
      </c>
      <c r="AB21" s="71">
        <f t="shared" si="13"/>
        <v>233.8194241</v>
      </c>
      <c r="AC21" s="71">
        <f>+(S21-T21)*V21-'data 1'!$F$4</f>
        <v>30.23</v>
      </c>
      <c r="AD21" s="71">
        <f t="shared" si="6"/>
        <v>-1.318978097</v>
      </c>
      <c r="AE21" s="71">
        <f t="shared" si="7"/>
        <v>-14.885</v>
      </c>
      <c r="AF21" s="71">
        <f t="shared" si="8"/>
        <v>24.71568815</v>
      </c>
      <c r="AG21" s="72">
        <f t="shared" si="19"/>
        <v>55.74171005</v>
      </c>
      <c r="AH21" s="52">
        <f t="shared" si="10"/>
        <v>10.20697148</v>
      </c>
      <c r="AI21" s="73">
        <f t="shared" si="11"/>
        <v>54.26938497</v>
      </c>
      <c r="AJ21" s="73">
        <f t="shared" si="12"/>
        <v>9.640063872</v>
      </c>
      <c r="AK21" s="11"/>
      <c r="AL21" s="51">
        <f t="shared" si="15"/>
        <v>453.7149014</v>
      </c>
    </row>
    <row r="22" ht="15.75" customHeight="1">
      <c r="A22" s="54" t="s">
        <v>66</v>
      </c>
      <c r="B22" s="56">
        <v>45664.0</v>
      </c>
      <c r="C22" s="56">
        <v>45656.0</v>
      </c>
      <c r="D22" s="57" t="s">
        <v>67</v>
      </c>
      <c r="E22" s="57">
        <f t="array" ref="E22">XLOOKUP(D22,RUC!$B$3:$B$79,RUC!$D$3:$D$79)</f>
        <v>20606094010</v>
      </c>
      <c r="G22" s="3">
        <v>30.0</v>
      </c>
      <c r="H22" s="57" t="s">
        <v>47</v>
      </c>
      <c r="I22" s="58">
        <v>2.66</v>
      </c>
      <c r="J22" s="58">
        <v>1.6</v>
      </c>
      <c r="K22" s="59">
        <f t="shared" si="1"/>
        <v>2.61744</v>
      </c>
      <c r="L22" s="60">
        <v>0.157</v>
      </c>
      <c r="M22" s="60">
        <v>0.147</v>
      </c>
      <c r="N22" s="75">
        <v>0.188</v>
      </c>
      <c r="O22" s="60">
        <f t="shared" si="2"/>
        <v>0.168</v>
      </c>
      <c r="P22" s="63">
        <v>90.0</v>
      </c>
      <c r="Q22" s="64">
        <v>89.79</v>
      </c>
      <c r="R22" s="65">
        <v>2609.1</v>
      </c>
      <c r="S22" s="66">
        <f t="shared" si="18"/>
        <v>100</v>
      </c>
      <c r="U22" s="67">
        <v>120.0</v>
      </c>
      <c r="V22" s="67">
        <v>1.1023</v>
      </c>
      <c r="Y22" s="57">
        <v>20.0</v>
      </c>
      <c r="Z22" s="69">
        <f t="shared" si="16"/>
        <v>30</v>
      </c>
      <c r="AA22" s="70">
        <f t="shared" si="5"/>
        <v>50</v>
      </c>
      <c r="AB22" s="71">
        <f t="shared" si="13"/>
        <v>249.5077214</v>
      </c>
      <c r="AC22" s="71">
        <f>+(S22-T22)*V22-'data 1'!$F$4</f>
        <v>30.23</v>
      </c>
      <c r="AD22" s="71">
        <f t="shared" si="6"/>
        <v>-0.9046094064</v>
      </c>
      <c r="AE22" s="71">
        <f t="shared" si="7"/>
        <v>-14.885</v>
      </c>
      <c r="AF22" s="71">
        <f t="shared" si="8"/>
        <v>-27.09959553</v>
      </c>
      <c r="AG22" s="72">
        <f t="shared" si="19"/>
        <v>4.340795063</v>
      </c>
      <c r="AH22" s="52">
        <f t="shared" si="10"/>
        <v>12.65066712</v>
      </c>
      <c r="AI22" s="73">
        <f t="shared" si="11"/>
        <v>51.41906776</v>
      </c>
      <c r="AJ22" s="73">
        <f t="shared" si="12"/>
        <v>13.56867985</v>
      </c>
      <c r="AK22" s="11"/>
      <c r="AL22" s="51">
        <f t="shared" si="15"/>
        <v>653.0714903</v>
      </c>
    </row>
    <row r="23" ht="15.75" customHeight="1">
      <c r="A23" s="54" t="s">
        <v>68</v>
      </c>
      <c r="B23" s="56">
        <v>45660.0</v>
      </c>
      <c r="C23" s="56">
        <v>45656.0</v>
      </c>
      <c r="D23" s="57" t="s">
        <v>61</v>
      </c>
      <c r="E23" s="57">
        <f t="array" ref="E23">XLOOKUP(D23,RUC!$B$3:$B$79,RUC!$D$3:$D$79)</f>
        <v>20606526599</v>
      </c>
      <c r="G23" s="3">
        <v>65.0</v>
      </c>
      <c r="H23" s="57" t="s">
        <v>47</v>
      </c>
      <c r="I23" s="58">
        <v>5.03</v>
      </c>
      <c r="J23" s="58">
        <v>1.9</v>
      </c>
      <c r="K23" s="59">
        <f t="shared" si="1"/>
        <v>4.93443</v>
      </c>
      <c r="L23" s="60">
        <v>0.278</v>
      </c>
      <c r="M23" s="60">
        <v>0.266</v>
      </c>
      <c r="N23" s="62">
        <v>0.266</v>
      </c>
      <c r="O23" s="60">
        <f t="shared" si="2"/>
        <v>0.266</v>
      </c>
      <c r="P23" s="63">
        <v>90.0</v>
      </c>
      <c r="Q23" s="64">
        <v>89.82</v>
      </c>
      <c r="R23" s="65">
        <v>2609.1</v>
      </c>
      <c r="S23" s="66">
        <f t="shared" si="18"/>
        <v>110</v>
      </c>
      <c r="U23" s="67">
        <v>120.0</v>
      </c>
      <c r="V23" s="67">
        <v>1.1023</v>
      </c>
      <c r="Y23" s="57">
        <v>20.0</v>
      </c>
      <c r="Z23" s="69">
        <f t="shared" si="16"/>
        <v>30</v>
      </c>
      <c r="AA23" s="70">
        <f t="shared" si="5"/>
        <v>50</v>
      </c>
      <c r="AB23" s="71">
        <f t="shared" si="13"/>
        <v>480.4821422</v>
      </c>
      <c r="AC23" s="71">
        <f>+(S23-T23)*V23-'data 1'!$F$4</f>
        <v>41.253</v>
      </c>
      <c r="AD23" s="71">
        <f t="shared" si="6"/>
        <v>-1.372964959</v>
      </c>
      <c r="AE23" s="71">
        <f t="shared" si="7"/>
        <v>-14.885</v>
      </c>
      <c r="AF23" s="71">
        <f t="shared" si="8"/>
        <v>29.57307257</v>
      </c>
      <c r="AG23" s="72">
        <f t="shared" si="19"/>
        <v>71.56810761</v>
      </c>
      <c r="AH23" s="52">
        <f t="shared" si="10"/>
        <v>42.24389051</v>
      </c>
      <c r="AI23" s="73">
        <f t="shared" si="11"/>
        <v>91.07819628</v>
      </c>
      <c r="AJ23" s="73">
        <f t="shared" si="12"/>
        <v>40.50141606</v>
      </c>
      <c r="AK23" s="11"/>
      <c r="AL23" s="51">
        <f t="shared" si="15"/>
        <v>2370.905497</v>
      </c>
    </row>
    <row r="24" ht="15.75" customHeight="1">
      <c r="A24" s="54" t="s">
        <v>69</v>
      </c>
      <c r="B24" s="56">
        <v>45663.0</v>
      </c>
      <c r="C24" s="56">
        <v>45657.0</v>
      </c>
      <c r="D24" s="57" t="s">
        <v>70</v>
      </c>
      <c r="E24" s="57">
        <f t="array" ref="E24">XLOOKUP(D24,RUC!$B$3:$B$79,RUC!$D$3:$D$79)</f>
        <v>20606527439</v>
      </c>
      <c r="G24" s="3">
        <v>94.0</v>
      </c>
      <c r="H24" s="57" t="s">
        <v>71</v>
      </c>
      <c r="I24" s="58">
        <v>10.48</v>
      </c>
      <c r="J24" s="58">
        <v>1.1</v>
      </c>
      <c r="K24" s="59">
        <f t="shared" si="1"/>
        <v>10.36472</v>
      </c>
      <c r="L24" s="60">
        <v>0.072</v>
      </c>
      <c r="M24" s="60">
        <v>0.062</v>
      </c>
      <c r="N24" s="62">
        <v>0.062</v>
      </c>
      <c r="O24" s="60">
        <f t="shared" si="2"/>
        <v>0.062</v>
      </c>
      <c r="P24" s="63">
        <v>90.0</v>
      </c>
      <c r="Q24" s="64">
        <v>87.8</v>
      </c>
      <c r="R24" s="65">
        <v>2609.1</v>
      </c>
      <c r="S24" s="66">
        <f t="shared" si="18"/>
        <v>95</v>
      </c>
      <c r="U24" s="67">
        <v>120.0</v>
      </c>
      <c r="V24" s="67">
        <v>1.1023</v>
      </c>
      <c r="Y24" s="57">
        <v>20.0</v>
      </c>
      <c r="Z24" s="69">
        <f t="shared" si="16"/>
        <v>30</v>
      </c>
      <c r="AA24" s="70">
        <f t="shared" si="5"/>
        <v>50</v>
      </c>
      <c r="AB24" s="78">
        <v>0.0</v>
      </c>
      <c r="AC24" s="71">
        <f>+(S24-T24)*V24-'data 1'!$F$4</f>
        <v>24.7185</v>
      </c>
      <c r="AD24" s="71">
        <f t="shared" si="6"/>
        <v>-4.346076129</v>
      </c>
      <c r="AE24" s="71">
        <f t="shared" si="7"/>
        <v>-14.885</v>
      </c>
      <c r="AF24" s="71">
        <f t="shared" si="8"/>
        <v>24.08999269</v>
      </c>
      <c r="AG24" s="72">
        <f t="shared" si="19"/>
        <v>46.57741656</v>
      </c>
      <c r="AH24" s="52">
        <f t="shared" si="10"/>
        <v>22.4643396</v>
      </c>
      <c r="AI24" s="73">
        <f t="shared" si="11"/>
        <v>23.05810364</v>
      </c>
      <c r="AJ24" s="73">
        <f t="shared" si="12"/>
        <v>19.82900136</v>
      </c>
      <c r="AK24" s="11"/>
      <c r="AL24" s="51">
        <f t="shared" si="15"/>
        <v>0</v>
      </c>
    </row>
    <row r="25" ht="15.75" customHeight="1">
      <c r="A25" s="54" t="s">
        <v>72</v>
      </c>
      <c r="B25" s="74">
        <v>45663.0</v>
      </c>
      <c r="C25" s="56">
        <v>45657.0</v>
      </c>
      <c r="D25" s="57" t="s">
        <v>70</v>
      </c>
      <c r="E25" s="57">
        <f t="array" ref="E25">XLOOKUP(D25,RUC!$B$3:$B$79,RUC!$D$3:$D$79)</f>
        <v>20606527439</v>
      </c>
      <c r="G25" s="3">
        <v>32.0</v>
      </c>
      <c r="H25" s="57" t="s">
        <v>47</v>
      </c>
      <c r="I25" s="58">
        <v>2.52</v>
      </c>
      <c r="J25" s="58">
        <v>1.2</v>
      </c>
      <c r="K25" s="59">
        <f t="shared" si="1"/>
        <v>2.48976</v>
      </c>
      <c r="L25" s="60">
        <v>0.145</v>
      </c>
      <c r="M25" s="60">
        <v>0.135</v>
      </c>
      <c r="N25" s="62">
        <v>0.166</v>
      </c>
      <c r="O25" s="79">
        <v>0.15</v>
      </c>
      <c r="P25" s="80">
        <v>90.0</v>
      </c>
      <c r="Q25" s="64">
        <v>89.7</v>
      </c>
      <c r="R25" s="65">
        <v>2609.1</v>
      </c>
      <c r="S25" s="66">
        <f t="shared" si="18"/>
        <v>100</v>
      </c>
      <c r="U25" s="67">
        <v>90.0</v>
      </c>
      <c r="V25" s="67">
        <v>1.1023</v>
      </c>
      <c r="Y25" s="57">
        <v>20.0</v>
      </c>
      <c r="Z25" s="69">
        <f t="shared" si="16"/>
        <v>30</v>
      </c>
      <c r="AA25" s="70">
        <f t="shared" si="5"/>
        <v>50</v>
      </c>
      <c r="AB25" s="71">
        <f t="shared" ref="AB25:AB81" si="20">+((O25*P25*(R25-U25)/100)-S25-AA25+T25)*V25</f>
        <v>209.5235306</v>
      </c>
      <c r="AC25" s="71">
        <f>+(S25-T25)*V25-'data 1'!$F$4</f>
        <v>30.23</v>
      </c>
      <c r="AD25" s="71">
        <f t="shared" si="6"/>
        <v>-1.20790971</v>
      </c>
      <c r="AE25" s="71">
        <f t="shared" si="7"/>
        <v>-14.885</v>
      </c>
      <c r="AF25" s="71">
        <f t="shared" si="8"/>
        <v>-12.45396563</v>
      </c>
      <c r="AG25" s="72">
        <f t="shared" si="19"/>
        <v>18.68312466</v>
      </c>
      <c r="AH25" s="52">
        <f t="shared" si="10"/>
        <v>11.10265896</v>
      </c>
      <c r="AI25" s="73">
        <f t="shared" si="11"/>
        <v>43.14022843</v>
      </c>
      <c r="AJ25" s="73">
        <f t="shared" si="12"/>
        <v>11.52392235</v>
      </c>
      <c r="AK25" s="11"/>
      <c r="AL25" s="51">
        <f t="shared" si="15"/>
        <v>521.6633054</v>
      </c>
    </row>
    <row r="26" ht="15.75" customHeight="1">
      <c r="A26" s="54" t="s">
        <v>73</v>
      </c>
      <c r="B26" s="56">
        <v>45660.0</v>
      </c>
      <c r="C26" s="56">
        <v>45657.0</v>
      </c>
      <c r="D26" s="57" t="s">
        <v>74</v>
      </c>
      <c r="E26" s="57">
        <f t="array" ref="E26">XLOOKUP(D26,RUC!$B$3:$B$79,RUC!$D$3:$D$79)</f>
        <v>10082235774</v>
      </c>
      <c r="G26" s="3">
        <v>68.0</v>
      </c>
      <c r="H26" s="57" t="s">
        <v>47</v>
      </c>
      <c r="I26" s="58">
        <v>7.1</v>
      </c>
      <c r="J26" s="58">
        <v>1.5</v>
      </c>
      <c r="K26" s="59">
        <f t="shared" si="1"/>
        <v>6.9935</v>
      </c>
      <c r="L26" s="60">
        <v>0.662</v>
      </c>
      <c r="M26" s="60">
        <v>0.652</v>
      </c>
      <c r="N26" s="62">
        <v>0.652</v>
      </c>
      <c r="O26" s="60">
        <f t="shared" ref="O26:O82" si="21">+ROUND((M26+N26)/2,3)</f>
        <v>0.652</v>
      </c>
      <c r="P26" s="63">
        <v>90.0</v>
      </c>
      <c r="Q26" s="64">
        <v>89.72</v>
      </c>
      <c r="R26" s="65">
        <v>2609.1</v>
      </c>
      <c r="S26" s="76">
        <v>125.0</v>
      </c>
      <c r="U26" s="67">
        <v>80.0</v>
      </c>
      <c r="V26" s="67">
        <v>1.1023</v>
      </c>
      <c r="Z26" s="77">
        <v>10.0</v>
      </c>
      <c r="AA26" s="70">
        <f t="shared" si="5"/>
        <v>10</v>
      </c>
      <c r="AB26" s="71">
        <f t="shared" si="20"/>
        <v>1487.086343</v>
      </c>
      <c r="AC26" s="71">
        <f>+(S26-T26)*V26-'data 1'!$F$4</f>
        <v>57.7875</v>
      </c>
      <c r="AD26" s="71">
        <f t="shared" si="6"/>
        <v>-5.167515997</v>
      </c>
      <c r="AE26" s="71">
        <f t="shared" si="7"/>
        <v>-58.977</v>
      </c>
      <c r="AF26" s="71">
        <f t="shared" si="8"/>
        <v>25.01238322</v>
      </c>
      <c r="AG26" s="72">
        <f>+IF(D26="RONALD WILLIAN GARIBAY ESCUDERO",AC26+AD26+AE26+AF26+70,AC26+AD26+AE26+AF26)+70</f>
        <v>88.65536722</v>
      </c>
      <c r="AH26" s="52">
        <f t="shared" si="10"/>
        <v>142.4134157</v>
      </c>
      <c r="AI26" s="73">
        <f t="shared" si="11"/>
        <v>190.4543003</v>
      </c>
      <c r="AJ26" s="73">
        <f t="shared" si="12"/>
        <v>140.6998886</v>
      </c>
      <c r="AK26" s="11"/>
      <c r="AL26" s="51">
        <f t="shared" si="15"/>
        <v>10399.93834</v>
      </c>
    </row>
    <row r="27" ht="15.75" customHeight="1">
      <c r="A27" s="54" t="s">
        <v>75</v>
      </c>
      <c r="B27" s="81">
        <v>45683.0</v>
      </c>
      <c r="C27" s="56">
        <v>45657.0</v>
      </c>
      <c r="D27" s="57" t="s">
        <v>51</v>
      </c>
      <c r="E27" s="57" t="str">
        <f t="array" ref="E27">XLOOKUP(D27,RUC!$B$3:$B$79,RUC!$D$3:$D$79)</f>
        <v>#N/A</v>
      </c>
      <c r="G27" s="3"/>
      <c r="H27" s="57" t="s">
        <v>47</v>
      </c>
      <c r="I27" s="58">
        <v>7.53</v>
      </c>
      <c r="J27" s="58">
        <v>1.6</v>
      </c>
      <c r="K27" s="59">
        <f t="shared" si="1"/>
        <v>7.40952</v>
      </c>
      <c r="L27" s="60">
        <v>0.062</v>
      </c>
      <c r="M27" s="60">
        <v>0.052079999999999994</v>
      </c>
      <c r="N27" s="62">
        <v>0.213</v>
      </c>
      <c r="O27" s="60">
        <f t="shared" si="21"/>
        <v>0.133</v>
      </c>
      <c r="P27" s="63">
        <v>88.0</v>
      </c>
      <c r="Q27" s="64">
        <v>88.29</v>
      </c>
      <c r="R27" s="65">
        <v>2609.1</v>
      </c>
      <c r="S27" s="66">
        <f t="shared" ref="S27:S28" si="22">IF((90+ROUNDDOWN(O27,1)*100)&lt;95,95,(90+ROUNDDOWN(O27,1)*100))</f>
        <v>100</v>
      </c>
      <c r="U27" s="67">
        <v>100.0</v>
      </c>
      <c r="V27" s="67">
        <v>1.1023</v>
      </c>
      <c r="Z27" s="69">
        <f t="shared" ref="Z27:Z28" si="23">IF(IF(D27="UNTUCA",IF(+((W27-3)*1.5+(X27-3)*3.1)&gt;0,+((W27-3)*1.5+(X27-3)*3.1),0),IF(+((W27-3)*1.5+(X27-3)*3.1)&gt;0,+((W27-3)*1.5+(X27-3)*3.1),0))&lt;30,30,IF(D27="UNTUCA",IF(+((W27-3)*1.5+(X27-3)*3.1)&gt;0,+((W27-3)*1.5+(X27-3)*3.1),0),IF(+((W27-3)*1.5+(X27-3)*3.1)&gt;0,+((W27-3)*1.5+(X27-3)*3.1),0)))</f>
        <v>30</v>
      </c>
      <c r="AA27" s="70">
        <f t="shared" si="5"/>
        <v>30</v>
      </c>
      <c r="AB27" s="71">
        <f t="shared" si="20"/>
        <v>180.408</v>
      </c>
      <c r="AC27" s="71">
        <f>+(S27-T27)*V27-'data 1'!$F$4</f>
        <v>30.23</v>
      </c>
      <c r="AD27" s="71">
        <f t="shared" si="6"/>
        <v>0.4972874112</v>
      </c>
      <c r="AE27" s="71">
        <f t="shared" si="7"/>
        <v>-36.931</v>
      </c>
      <c r="AF27" s="71">
        <f t="shared" si="8"/>
        <v>-173.3754668</v>
      </c>
      <c r="AG27" s="72">
        <f t="shared" ref="AG27:AG28" si="24">+IF(D27="RONALD WILLIAN GARIBAY ESCUDERO",AC27+AD27+AE27+AF27+70,AC27+AD27+AE27+AF27)+70-53</f>
        <v>-92.57917939</v>
      </c>
      <c r="AH27" s="52">
        <f t="shared" si="10"/>
        <v>13.90600401</v>
      </c>
      <c r="AI27" s="73">
        <f t="shared" si="11"/>
        <v>18.75960699</v>
      </c>
      <c r="AJ27" s="73">
        <f t="shared" si="12"/>
        <v>29.73263894</v>
      </c>
      <c r="AK27" s="11"/>
      <c r="AL27" s="51">
        <f t="shared" si="15"/>
        <v>1336.736685</v>
      </c>
    </row>
    <row r="28" ht="15.75" customHeight="1">
      <c r="A28" s="54" t="s">
        <v>76</v>
      </c>
      <c r="B28" s="81">
        <v>45683.0</v>
      </c>
      <c r="C28" s="56">
        <v>45657.0</v>
      </c>
      <c r="D28" s="57" t="s">
        <v>51</v>
      </c>
      <c r="E28" s="57" t="str">
        <f t="array" ref="E28">XLOOKUP(D28,RUC!$B$3:$B$79,RUC!$D$3:$D$79)</f>
        <v>#N/A</v>
      </c>
      <c r="G28" s="3"/>
      <c r="H28" s="57" t="s">
        <v>47</v>
      </c>
      <c r="I28" s="58">
        <v>14.73</v>
      </c>
      <c r="J28" s="58">
        <v>1.7</v>
      </c>
      <c r="K28" s="59">
        <f t="shared" si="1"/>
        <v>14.47959</v>
      </c>
      <c r="L28" s="60">
        <v>0.0965</v>
      </c>
      <c r="M28" s="60">
        <v>0.08685000000000001</v>
      </c>
      <c r="N28" s="62">
        <v>0.133</v>
      </c>
      <c r="O28" s="60">
        <f t="shared" si="21"/>
        <v>0.11</v>
      </c>
      <c r="P28" s="63">
        <v>88.0</v>
      </c>
      <c r="Q28" s="64">
        <v>89.12</v>
      </c>
      <c r="R28" s="65">
        <v>2609.1</v>
      </c>
      <c r="S28" s="66">
        <f t="shared" si="22"/>
        <v>100</v>
      </c>
      <c r="U28" s="67">
        <v>100.0</v>
      </c>
      <c r="V28" s="67">
        <v>1.1023</v>
      </c>
      <c r="Z28" s="69">
        <f t="shared" si="23"/>
        <v>30</v>
      </c>
      <c r="AA28" s="70">
        <f t="shared" si="5"/>
        <v>30</v>
      </c>
      <c r="AB28" s="71">
        <f t="shared" si="20"/>
        <v>124.428594</v>
      </c>
      <c r="AC28" s="71">
        <f>+(S28-T28)*V28-'data 1'!$F$4</f>
        <v>30.23</v>
      </c>
      <c r="AD28" s="71">
        <f t="shared" si="6"/>
        <v>2.989256029</v>
      </c>
      <c r="AE28" s="71">
        <f t="shared" si="7"/>
        <v>-36.931</v>
      </c>
      <c r="AF28" s="71">
        <f t="shared" si="8"/>
        <v>-33.27566353</v>
      </c>
      <c r="AG28" s="72">
        <f t="shared" si="24"/>
        <v>50.0125925</v>
      </c>
      <c r="AH28" s="52">
        <f t="shared" si="10"/>
        <v>42.69409628</v>
      </c>
      <c r="AI28" s="73">
        <f t="shared" si="11"/>
        <v>29.47291018</v>
      </c>
      <c r="AJ28" s="73">
        <f t="shared" si="12"/>
        <v>48.05523344</v>
      </c>
      <c r="AK28" s="11"/>
      <c r="AL28" s="51">
        <f t="shared" si="15"/>
        <v>1801.675026</v>
      </c>
    </row>
    <row r="29" ht="15.75" customHeight="1">
      <c r="A29" s="54" t="s">
        <v>77</v>
      </c>
      <c r="B29" s="56">
        <v>45674.0</v>
      </c>
      <c r="C29" s="56">
        <v>45660.0</v>
      </c>
      <c r="D29" s="57" t="s">
        <v>45</v>
      </c>
      <c r="E29" s="57">
        <f t="array" ref="E29">XLOOKUP(D29,RUC!$B$3:$B$79,RUC!$D$3:$D$79)</f>
        <v>10416085884</v>
      </c>
      <c r="G29" s="3" t="s">
        <v>46</v>
      </c>
      <c r="H29" s="57" t="s">
        <v>47</v>
      </c>
      <c r="I29" s="58">
        <v>30.58</v>
      </c>
      <c r="J29" s="58">
        <v>5.05</v>
      </c>
      <c r="K29" s="59">
        <f t="shared" si="1"/>
        <v>29.03571</v>
      </c>
      <c r="L29" s="60">
        <v>0.168</v>
      </c>
      <c r="M29" s="60">
        <v>0.158</v>
      </c>
      <c r="N29" s="62">
        <v>0.158</v>
      </c>
      <c r="O29" s="60">
        <f t="shared" si="21"/>
        <v>0.158</v>
      </c>
      <c r="P29" s="63">
        <v>90.0</v>
      </c>
      <c r="Q29" s="64">
        <v>89.75</v>
      </c>
      <c r="R29" s="82">
        <v>2616.45</v>
      </c>
      <c r="S29" s="76">
        <v>85.0</v>
      </c>
      <c r="U29" s="67">
        <v>90.0</v>
      </c>
      <c r="V29" s="67">
        <v>1.1023</v>
      </c>
      <c r="Z29" s="83">
        <v>15.0</v>
      </c>
      <c r="AA29" s="83">
        <v>15.0</v>
      </c>
      <c r="AB29" s="71">
        <f t="shared" si="20"/>
        <v>285.7836097</v>
      </c>
      <c r="AC29" s="71">
        <f>+(S29-T29)*V29-'data 1'!$F$4</f>
        <v>13.6955</v>
      </c>
      <c r="AD29" s="71">
        <f t="shared" si="6"/>
        <v>-1.169660451</v>
      </c>
      <c r="AE29" s="71">
        <f t="shared" si="7"/>
        <v>-53.4655</v>
      </c>
      <c r="AF29" s="71">
        <f t="shared" si="8"/>
        <v>24.99452987</v>
      </c>
      <c r="AG29" s="72">
        <f t="shared" ref="AG29:AG30" si="25">+IF(D29="RONALD WILLIAN GARIBAY ESCUDERO",AC29+AD29+AE29+AF29+70,AC29+AD29+AE29+AF29)+70-10</f>
        <v>44.05486942</v>
      </c>
      <c r="AH29" s="52">
        <f t="shared" si="10"/>
        <v>150.1015782</v>
      </c>
      <c r="AI29" s="73">
        <f t="shared" si="11"/>
        <v>48.78941728</v>
      </c>
      <c r="AJ29" s="73">
        <f t="shared" si="12"/>
        <v>141.5601831</v>
      </c>
      <c r="AK29" s="11"/>
      <c r="AL29" s="51">
        <f t="shared" si="15"/>
        <v>8297.930015</v>
      </c>
    </row>
    <row r="30" ht="15.75" customHeight="1">
      <c r="A30" s="54" t="s">
        <v>78</v>
      </c>
      <c r="B30" s="56">
        <v>45674.0</v>
      </c>
      <c r="C30" s="56">
        <v>45660.0</v>
      </c>
      <c r="D30" s="57" t="s">
        <v>79</v>
      </c>
      <c r="E30" s="57">
        <f t="array" ref="E30">XLOOKUP(D30,RUC!$B$3:$B$79,RUC!$D$3:$D$79)</f>
        <v>10421580605</v>
      </c>
      <c r="G30" s="3" t="s">
        <v>46</v>
      </c>
      <c r="H30" s="57" t="s">
        <v>47</v>
      </c>
      <c r="I30" s="58">
        <v>29.75</v>
      </c>
      <c r="J30" s="58">
        <v>10.2</v>
      </c>
      <c r="K30" s="59">
        <f t="shared" si="1"/>
        <v>26.7155</v>
      </c>
      <c r="L30" s="60">
        <v>0.164</v>
      </c>
      <c r="M30" s="60">
        <v>0.154</v>
      </c>
      <c r="N30" s="62">
        <v>0.154</v>
      </c>
      <c r="O30" s="60">
        <f t="shared" si="21"/>
        <v>0.154</v>
      </c>
      <c r="P30" s="63">
        <v>90.0</v>
      </c>
      <c r="Q30" s="64">
        <v>89.84</v>
      </c>
      <c r="R30" s="82">
        <v>2616.45</v>
      </c>
      <c r="S30" s="76">
        <v>85.0</v>
      </c>
      <c r="U30" s="67">
        <v>90.0</v>
      </c>
      <c r="V30" s="67">
        <v>1.1023</v>
      </c>
      <c r="Y30" s="57">
        <v>30.0</v>
      </c>
      <c r="Z30" s="83">
        <v>15.0</v>
      </c>
      <c r="AA30" s="83">
        <v>15.0</v>
      </c>
      <c r="AB30" s="71">
        <f t="shared" si="20"/>
        <v>275.7579487</v>
      </c>
      <c r="AC30" s="71">
        <f>+(S30-T30)*V30-'data 1'!$F$4</f>
        <v>13.6955</v>
      </c>
      <c r="AD30" s="71">
        <f t="shared" si="6"/>
        <v>-0.7307592911</v>
      </c>
      <c r="AE30" s="71">
        <f t="shared" si="7"/>
        <v>-20.3965</v>
      </c>
      <c r="AF30" s="71">
        <f t="shared" si="8"/>
        <v>25.01959402</v>
      </c>
      <c r="AG30" s="72">
        <f t="shared" si="25"/>
        <v>77.58783473</v>
      </c>
      <c r="AH30" s="52">
        <f t="shared" si="10"/>
        <v>134.954064</v>
      </c>
      <c r="AI30" s="73">
        <f t="shared" si="11"/>
        <v>47.67552492</v>
      </c>
      <c r="AJ30" s="73">
        <f t="shared" si="12"/>
        <v>126.950848</v>
      </c>
      <c r="AK30" s="11"/>
      <c r="AL30" s="51">
        <f t="shared" si="15"/>
        <v>7367.011479</v>
      </c>
    </row>
    <row r="31" ht="15.75" customHeight="1">
      <c r="A31" s="54" t="s">
        <v>80</v>
      </c>
      <c r="B31" s="56">
        <v>45667.0</v>
      </c>
      <c r="C31" s="56">
        <v>45661.0</v>
      </c>
      <c r="D31" s="57" t="s">
        <v>61</v>
      </c>
      <c r="E31" s="57">
        <f t="array" ref="E31">XLOOKUP(D31,RUC!$B$3:$B$79,RUC!$D$3:$D$79)</f>
        <v>20606526599</v>
      </c>
      <c r="G31" s="3">
        <v>180.0</v>
      </c>
      <c r="H31" s="57" t="s">
        <v>47</v>
      </c>
      <c r="I31" s="58">
        <v>14.74</v>
      </c>
      <c r="J31" s="58">
        <v>1.5</v>
      </c>
      <c r="K31" s="59">
        <f t="shared" si="1"/>
        <v>14.5189</v>
      </c>
      <c r="L31" s="60">
        <v>0.368</v>
      </c>
      <c r="M31" s="60">
        <v>0.353</v>
      </c>
      <c r="N31" s="62">
        <v>0.353</v>
      </c>
      <c r="O31" s="60">
        <f t="shared" si="21"/>
        <v>0.353</v>
      </c>
      <c r="P31" s="63">
        <v>90.0</v>
      </c>
      <c r="Q31" s="64">
        <v>89.86</v>
      </c>
      <c r="R31" s="65">
        <v>2646.8</v>
      </c>
      <c r="S31" s="66">
        <f>IF((90+ROUNDDOWN(O31,1)*100)&lt;95,95,(90+ROUNDDOWN(O31,1)*100))</f>
        <v>120</v>
      </c>
      <c r="U31" s="67">
        <v>120.0</v>
      </c>
      <c r="V31" s="67">
        <v>1.1023</v>
      </c>
      <c r="Y31" s="57">
        <v>20.0</v>
      </c>
      <c r="Z31" s="69">
        <f t="shared" ref="Z31:Z36" si="26">IF(IF(D31="UNTUCA",IF(+((W31-3)*1.5+(X31-3)*3.1)&gt;0,+((W31-3)*1.5+(X31-3)*3.1),0),IF(+((W31-3)*1.5+(X31-3)*3.1)&gt;0,+((W31-3)*1.5+(X31-3)*3.1),0))&lt;30,30,IF(D31="UNTUCA",IF(+((W31-3)*1.5+(X31-3)*3.1)&gt;0,+((W31-3)*1.5+(X31-3)*3.1),0),IF(+((W31-3)*1.5+(X31-3)*3.1)&gt;0,+((W31-3)*1.5+(X31-3)*3.1),0)))</f>
        <v>30</v>
      </c>
      <c r="AA31" s="70">
        <f t="shared" ref="AA31:AA82" si="27">+Y31+Z31</f>
        <v>50</v>
      </c>
      <c r="AB31" s="71">
        <f t="shared" si="20"/>
        <v>697.496154</v>
      </c>
      <c r="AC31" s="71">
        <f>+(S31-T31)*V31-'data 1'!$F$4</f>
        <v>52.276</v>
      </c>
      <c r="AD31" s="71">
        <f t="shared" si="6"/>
        <v>-1.434982253</v>
      </c>
      <c r="AE31" s="71">
        <f t="shared" si="7"/>
        <v>-14.885</v>
      </c>
      <c r="AF31" s="71">
        <f t="shared" si="8"/>
        <v>37.54294602</v>
      </c>
      <c r="AG31" s="72">
        <f t="shared" ref="AG31:AG36" si="28">+IF(D31="RONALD WILLIAN GARIBAY ESCUDERO",AC31+AD31+AE31+AF31+70,AC31+AD31+AE31+AF31)+70-53</f>
        <v>90.49896376</v>
      </c>
      <c r="AH31" s="52">
        <f t="shared" si="10"/>
        <v>164.6103037</v>
      </c>
      <c r="AI31" s="73">
        <f t="shared" si="11"/>
        <v>106.8754623</v>
      </c>
      <c r="AJ31" s="73">
        <f t="shared" si="12"/>
        <v>158.1466505</v>
      </c>
      <c r="AK31" s="11"/>
      <c r="AL31" s="51">
        <f t="shared" si="15"/>
        <v>10126.87691</v>
      </c>
    </row>
    <row r="32" ht="15.75" customHeight="1">
      <c r="A32" s="54" t="s">
        <v>81</v>
      </c>
      <c r="B32" s="56">
        <v>45673.0</v>
      </c>
      <c r="C32" s="56">
        <v>45666.0</v>
      </c>
      <c r="D32" s="57" t="s">
        <v>82</v>
      </c>
      <c r="E32" s="57">
        <f t="array" ref="E32">XLOOKUP(D32,RUC!$B$3:$B$79,RUC!$D$3:$D$79)</f>
        <v>20601620147</v>
      </c>
      <c r="G32" s="3">
        <v>51.0</v>
      </c>
      <c r="H32" s="57" t="s">
        <v>71</v>
      </c>
      <c r="I32" s="77">
        <v>4.06</v>
      </c>
      <c r="J32" s="58">
        <v>1.1</v>
      </c>
      <c r="K32" s="59">
        <f t="shared" si="1"/>
        <v>4.01534</v>
      </c>
      <c r="L32" s="60">
        <v>0.457</v>
      </c>
      <c r="M32" s="60">
        <v>0.438</v>
      </c>
      <c r="N32" s="62">
        <v>0.438</v>
      </c>
      <c r="O32" s="60">
        <f t="shared" si="21"/>
        <v>0.438</v>
      </c>
      <c r="P32" s="63">
        <v>90.0</v>
      </c>
      <c r="Q32" s="64">
        <v>90.25</v>
      </c>
      <c r="R32" s="65">
        <v>2650.85</v>
      </c>
      <c r="S32" s="66">
        <v>100.0</v>
      </c>
      <c r="U32" s="67">
        <v>90.0</v>
      </c>
      <c r="V32" s="67">
        <v>1.1023</v>
      </c>
      <c r="Y32" s="57">
        <v>10.0</v>
      </c>
      <c r="Z32" s="69">
        <f t="shared" si="26"/>
        <v>30</v>
      </c>
      <c r="AA32" s="70">
        <f t="shared" si="27"/>
        <v>40</v>
      </c>
      <c r="AB32" s="71">
        <f t="shared" si="20"/>
        <v>958.4355973</v>
      </c>
      <c r="AC32" s="71">
        <f>+(S32-T32)*V32-'data 1'!$F$4</f>
        <v>30.23</v>
      </c>
      <c r="AD32" s="71">
        <f t="shared" si="6"/>
        <v>3.225077511</v>
      </c>
      <c r="AE32" s="71">
        <f t="shared" si="7"/>
        <v>-25.908</v>
      </c>
      <c r="AF32" s="71">
        <f t="shared" si="8"/>
        <v>48.40439092</v>
      </c>
      <c r="AG32" s="72">
        <f t="shared" si="28"/>
        <v>72.95146843</v>
      </c>
      <c r="AH32" s="52">
        <f t="shared" si="10"/>
        <v>56.77992377</v>
      </c>
      <c r="AI32" s="73">
        <f t="shared" si="11"/>
        <v>117.8187556</v>
      </c>
      <c r="AJ32" s="73">
        <f t="shared" si="12"/>
        <v>54.26852458</v>
      </c>
      <c r="AK32" s="11"/>
      <c r="AL32" s="51">
        <f t="shared" si="15"/>
        <v>3848.444791</v>
      </c>
    </row>
    <row r="33" ht="15.75" customHeight="1">
      <c r="A33" s="54" t="s">
        <v>83</v>
      </c>
      <c r="B33" s="56">
        <v>45673.0</v>
      </c>
      <c r="C33" s="56">
        <v>45666.0</v>
      </c>
      <c r="D33" s="57" t="s">
        <v>82</v>
      </c>
      <c r="E33" s="57">
        <f t="array" ref="E33">XLOOKUP(D33,RUC!$B$3:$B$79,RUC!$D$3:$D$79)</f>
        <v>20601620147</v>
      </c>
      <c r="G33" s="3">
        <v>11.0</v>
      </c>
      <c r="H33" s="57" t="s">
        <v>71</v>
      </c>
      <c r="I33" s="58">
        <v>0.78</v>
      </c>
      <c r="J33" s="58">
        <v>1.2</v>
      </c>
      <c r="K33" s="59">
        <f t="shared" si="1"/>
        <v>0.77064</v>
      </c>
      <c r="L33" s="60">
        <v>0.574</v>
      </c>
      <c r="M33" s="60">
        <v>0.551</v>
      </c>
      <c r="N33" s="62">
        <v>0.61</v>
      </c>
      <c r="O33" s="60">
        <f t="shared" si="21"/>
        <v>0.581</v>
      </c>
      <c r="P33" s="63">
        <v>90.0</v>
      </c>
      <c r="Q33" s="64">
        <v>90.4</v>
      </c>
      <c r="R33" s="65">
        <v>2650.85</v>
      </c>
      <c r="S33" s="76">
        <v>110.0</v>
      </c>
      <c r="U33" s="67">
        <v>90.0</v>
      </c>
      <c r="V33" s="67">
        <v>1.1023</v>
      </c>
      <c r="Y33" s="57">
        <v>10.0</v>
      </c>
      <c r="Z33" s="69">
        <f t="shared" si="26"/>
        <v>30</v>
      </c>
      <c r="AA33" s="70">
        <f t="shared" si="27"/>
        <v>40</v>
      </c>
      <c r="AB33" s="71">
        <f t="shared" si="20"/>
        <v>1310.710169</v>
      </c>
      <c r="AC33" s="71">
        <f>+(S33-T33)*V33-'data 1'!$F$4</f>
        <v>41.253</v>
      </c>
      <c r="AD33" s="71">
        <f t="shared" si="6"/>
        <v>6.481206097</v>
      </c>
      <c r="AE33" s="71">
        <f t="shared" si="7"/>
        <v>-25.908</v>
      </c>
      <c r="AF33" s="71">
        <f t="shared" si="8"/>
        <v>-17.86283632</v>
      </c>
      <c r="AG33" s="72">
        <f t="shared" si="28"/>
        <v>20.96336978</v>
      </c>
      <c r="AH33" s="52">
        <f t="shared" si="10"/>
        <v>13.71011001</v>
      </c>
      <c r="AI33" s="73">
        <f t="shared" si="11"/>
        <v>148.2283736</v>
      </c>
      <c r="AJ33" s="73">
        <f t="shared" si="12"/>
        <v>13.81590246</v>
      </c>
      <c r="AK33" s="11"/>
      <c r="AL33" s="51">
        <f t="shared" si="15"/>
        <v>1010.085685</v>
      </c>
    </row>
    <row r="34" ht="15.75" customHeight="1">
      <c r="A34" s="54" t="s">
        <v>84</v>
      </c>
      <c r="B34" s="56">
        <v>45673.0</v>
      </c>
      <c r="C34" s="56">
        <v>45666.0</v>
      </c>
      <c r="D34" s="57" t="s">
        <v>82</v>
      </c>
      <c r="E34" s="57">
        <f t="array" ref="E34">XLOOKUP(D34,RUC!$B$3:$B$79,RUC!$D$3:$D$79)</f>
        <v>20601620147</v>
      </c>
      <c r="G34" s="3" t="s">
        <v>46</v>
      </c>
      <c r="H34" s="57" t="s">
        <v>47</v>
      </c>
      <c r="I34" s="77">
        <v>8.45</v>
      </c>
      <c r="J34" s="58">
        <v>6.85</v>
      </c>
      <c r="K34" s="59">
        <f t="shared" si="1"/>
        <v>7.871175</v>
      </c>
      <c r="L34" s="60">
        <v>0.105</v>
      </c>
      <c r="M34" s="60">
        <v>0.095</v>
      </c>
      <c r="N34" s="62">
        <v>0.116</v>
      </c>
      <c r="O34" s="60">
        <f t="shared" si="21"/>
        <v>0.106</v>
      </c>
      <c r="P34" s="63">
        <v>85.0</v>
      </c>
      <c r="Q34" s="64">
        <v>90.12</v>
      </c>
      <c r="R34" s="65">
        <v>2650.85</v>
      </c>
      <c r="S34" s="76">
        <v>110.0</v>
      </c>
      <c r="U34" s="67">
        <v>90.0</v>
      </c>
      <c r="V34" s="67">
        <v>1.1023</v>
      </c>
      <c r="Z34" s="69">
        <f t="shared" si="26"/>
        <v>30</v>
      </c>
      <c r="AA34" s="70">
        <f t="shared" si="27"/>
        <v>30</v>
      </c>
      <c r="AB34" s="71">
        <f t="shared" si="20"/>
        <v>100.0145284</v>
      </c>
      <c r="AC34" s="71">
        <f>+(S34-T34)*V34-'data 1'!$F$4</f>
        <v>41.253</v>
      </c>
      <c r="AD34" s="71">
        <f t="shared" si="6"/>
        <v>15.17550696</v>
      </c>
      <c r="AE34" s="71">
        <f t="shared" si="7"/>
        <v>-36.931</v>
      </c>
      <c r="AF34" s="71">
        <f t="shared" si="8"/>
        <v>-2.543929849</v>
      </c>
      <c r="AG34" s="72">
        <f t="shared" si="28"/>
        <v>33.95357711</v>
      </c>
      <c r="AH34" s="52">
        <f t="shared" si="10"/>
        <v>25.53636749</v>
      </c>
      <c r="AI34" s="73">
        <f t="shared" si="11"/>
        <v>27.03096204</v>
      </c>
      <c r="AJ34" s="73">
        <f t="shared" si="12"/>
        <v>24.31495266</v>
      </c>
      <c r="AK34" s="11"/>
      <c r="AL34" s="51">
        <f t="shared" si="15"/>
        <v>787.2318559</v>
      </c>
    </row>
    <row r="35" ht="15.75" customHeight="1">
      <c r="A35" s="54" t="s">
        <v>85</v>
      </c>
      <c r="B35" s="56">
        <v>45673.0</v>
      </c>
      <c r="C35" s="56">
        <v>45666.0</v>
      </c>
      <c r="D35" s="57" t="s">
        <v>82</v>
      </c>
      <c r="E35" s="57">
        <f t="array" ref="E35">XLOOKUP(D35,RUC!$B$3:$B$79,RUC!$D$3:$D$79)</f>
        <v>20601620147</v>
      </c>
      <c r="G35" s="76">
        <v>85.0</v>
      </c>
      <c r="H35" s="57" t="s">
        <v>47</v>
      </c>
      <c r="I35" s="77">
        <v>0.75</v>
      </c>
      <c r="J35" s="58">
        <v>10.1</v>
      </c>
      <c r="K35" s="59">
        <f t="shared" si="1"/>
        <v>0.67425</v>
      </c>
      <c r="L35" s="60">
        <v>0.165</v>
      </c>
      <c r="M35" s="60">
        <v>0.141</v>
      </c>
      <c r="N35" s="84">
        <v>0.141</v>
      </c>
      <c r="O35" s="60">
        <f t="shared" si="21"/>
        <v>0.141</v>
      </c>
      <c r="P35" s="63">
        <v>85.0</v>
      </c>
      <c r="Q35" s="64">
        <v>90.33</v>
      </c>
      <c r="R35" s="65">
        <v>2650.85</v>
      </c>
      <c r="S35" s="76">
        <v>110.0</v>
      </c>
      <c r="U35" s="67">
        <v>90.0</v>
      </c>
      <c r="V35" s="67">
        <v>1.1023</v>
      </c>
      <c r="Z35" s="69">
        <f t="shared" si="26"/>
        <v>30</v>
      </c>
      <c r="AA35" s="70">
        <f t="shared" si="27"/>
        <v>30</v>
      </c>
      <c r="AB35" s="71">
        <f t="shared" si="20"/>
        <v>183.9935709</v>
      </c>
      <c r="AC35" s="71">
        <f>+(S35-T35)*V35-'data 1'!$F$4</f>
        <v>41.253</v>
      </c>
      <c r="AD35" s="71">
        <f t="shared" si="6"/>
        <v>24.82533407</v>
      </c>
      <c r="AE35" s="71">
        <f t="shared" si="7"/>
        <v>-36.931</v>
      </c>
      <c r="AF35" s="71">
        <f t="shared" si="8"/>
        <v>61.19658676</v>
      </c>
      <c r="AG35" s="72">
        <f t="shared" si="28"/>
        <v>107.3439208</v>
      </c>
      <c r="AH35" s="52">
        <f t="shared" si="10"/>
        <v>3.445450214</v>
      </c>
      <c r="AI35" s="73">
        <f t="shared" si="11"/>
        <v>42.57620762</v>
      </c>
      <c r="AJ35" s="73">
        <f t="shared" si="12"/>
        <v>2.770563209</v>
      </c>
      <c r="AK35" s="11"/>
      <c r="AL35" s="51">
        <f t="shared" si="15"/>
        <v>124.0576652</v>
      </c>
    </row>
    <row r="36" ht="15.75" customHeight="1">
      <c r="A36" s="54" t="s">
        <v>86</v>
      </c>
      <c r="B36" s="56">
        <v>45671.0</v>
      </c>
      <c r="C36" s="56">
        <v>45666.0</v>
      </c>
      <c r="D36" s="57" t="s">
        <v>82</v>
      </c>
      <c r="E36" s="57">
        <f t="array" ref="E36">XLOOKUP(D36,RUC!$B$3:$B$79,RUC!$D$3:$D$79)</f>
        <v>20601620147</v>
      </c>
      <c r="G36" s="3" t="s">
        <v>46</v>
      </c>
      <c r="H36" s="57" t="s">
        <v>47</v>
      </c>
      <c r="I36" s="58">
        <v>10.65</v>
      </c>
      <c r="J36" s="58">
        <v>11.1</v>
      </c>
      <c r="K36" s="59">
        <f t="shared" si="1"/>
        <v>9.46785</v>
      </c>
      <c r="L36" s="60">
        <v>0.161</v>
      </c>
      <c r="M36" s="60">
        <v>0.151</v>
      </c>
      <c r="N36" s="62">
        <v>0.162</v>
      </c>
      <c r="O36" s="60">
        <f t="shared" si="21"/>
        <v>0.157</v>
      </c>
      <c r="P36" s="63">
        <v>90.0</v>
      </c>
      <c r="Q36" s="64">
        <v>91.22</v>
      </c>
      <c r="R36" s="65">
        <v>2650.85</v>
      </c>
      <c r="S36" s="66">
        <f>IF((90+ROUNDDOWN(O36,1)*100)&lt;95,95,(90+ROUNDDOWN(O36,1)*100))</f>
        <v>100</v>
      </c>
      <c r="U36" s="67">
        <v>90.0</v>
      </c>
      <c r="V36" s="67">
        <v>1.1023</v>
      </c>
      <c r="Z36" s="69">
        <f t="shared" si="26"/>
        <v>30</v>
      </c>
      <c r="AA36" s="70">
        <f t="shared" si="27"/>
        <v>30</v>
      </c>
      <c r="AB36" s="71">
        <f t="shared" si="20"/>
        <v>255.5661661</v>
      </c>
      <c r="AC36" s="71">
        <f>+(S36-T36)*V36-'data 1'!$F$4</f>
        <v>30.23</v>
      </c>
      <c r="AD36" s="71">
        <f t="shared" si="6"/>
        <v>5.544592777</v>
      </c>
      <c r="AE36" s="71">
        <f t="shared" si="7"/>
        <v>-36.931</v>
      </c>
      <c r="AF36" s="71">
        <f t="shared" si="8"/>
        <v>10.2999237</v>
      </c>
      <c r="AG36" s="72">
        <f t="shared" si="28"/>
        <v>26.14351647</v>
      </c>
      <c r="AH36" s="52">
        <f t="shared" si="10"/>
        <v>47.67342806</v>
      </c>
      <c r="AI36" s="73">
        <f t="shared" si="11"/>
        <v>41.95338085</v>
      </c>
      <c r="AJ36" s="73">
        <f t="shared" si="12"/>
        <v>45.86723916</v>
      </c>
      <c r="AK36" s="11"/>
      <c r="AL36" s="51">
        <f t="shared" si="15"/>
        <v>2419.662126</v>
      </c>
    </row>
    <row r="37" ht="15.75" customHeight="1">
      <c r="A37" s="54" t="s">
        <v>87</v>
      </c>
      <c r="B37" s="56">
        <v>45672.0</v>
      </c>
      <c r="C37" s="56">
        <v>45666.0</v>
      </c>
      <c r="D37" s="57" t="s">
        <v>88</v>
      </c>
      <c r="E37" s="57" t="str">
        <f t="array" ref="E37">XLOOKUP(D37,RUC!$B$3:$B$79,RUC!$D$3:$D$79)</f>
        <v>#N/A</v>
      </c>
      <c r="G37" s="3">
        <v>50.0</v>
      </c>
      <c r="H37" s="57" t="s">
        <v>47</v>
      </c>
      <c r="I37" s="58">
        <v>6.27</v>
      </c>
      <c r="J37" s="58">
        <v>1.0</v>
      </c>
      <c r="K37" s="59">
        <f t="shared" si="1"/>
        <v>6.2073</v>
      </c>
      <c r="L37" s="60">
        <v>0.523</v>
      </c>
      <c r="M37" s="60">
        <v>0.502</v>
      </c>
      <c r="N37" s="75">
        <v>0.547</v>
      </c>
      <c r="O37" s="60">
        <f t="shared" si="21"/>
        <v>0.525</v>
      </c>
      <c r="P37" s="63">
        <v>90.0</v>
      </c>
      <c r="Q37" s="64">
        <v>90.23</v>
      </c>
      <c r="R37" s="65">
        <v>2674.6</v>
      </c>
      <c r="S37" s="66">
        <f t="shared" ref="S37:S44" si="29">IF((90+ROUNDDOWN(O37,1)*100)&lt;95,95,(90+ROUNDDOWN(O37,1)*100))-5</f>
        <v>135</v>
      </c>
      <c r="U37" s="85">
        <v>90.0</v>
      </c>
      <c r="V37" s="67">
        <v>1.1023</v>
      </c>
      <c r="Z37" s="77">
        <v>25.0</v>
      </c>
      <c r="AA37" s="70">
        <f t="shared" si="27"/>
        <v>25</v>
      </c>
      <c r="AB37" s="71">
        <f t="shared" si="20"/>
        <v>1169.786664</v>
      </c>
      <c r="AC37" s="71">
        <f>+(S37-T37)*V37-'data 1'!$F$4</f>
        <v>68.8105</v>
      </c>
      <c r="AD37" s="71">
        <f t="shared" si="6"/>
        <v>3.427067609</v>
      </c>
      <c r="AE37" s="71">
        <f t="shared" si="7"/>
        <v>-42.4425</v>
      </c>
      <c r="AF37" s="71">
        <f t="shared" si="8"/>
        <v>-5.141313665</v>
      </c>
      <c r="AG37" s="72">
        <f t="shared" ref="AG37:AG44" si="30">+IF(D37="RONALD WILLIAN GARIBAY ESCUDERO",AC37+AD37+AE37+AF37+70,AC37+AD37+AE37+AF37)+70-30-5-3</f>
        <v>56.65375394</v>
      </c>
      <c r="AH37" s="52">
        <f t="shared" si="10"/>
        <v>100.4302285</v>
      </c>
      <c r="AI37" s="73">
        <f t="shared" si="11"/>
        <v>122.4500346</v>
      </c>
      <c r="AJ37" s="73">
        <f t="shared" si="12"/>
        <v>100.5573032</v>
      </c>
      <c r="AK37" s="11"/>
      <c r="AL37" s="51">
        <f t="shared" si="15"/>
        <v>7261.21676</v>
      </c>
    </row>
    <row r="38" ht="15.75" customHeight="1">
      <c r="A38" s="54" t="s">
        <v>89</v>
      </c>
      <c r="B38" s="56">
        <v>45672.0</v>
      </c>
      <c r="C38" s="56">
        <v>45666.0</v>
      </c>
      <c r="D38" s="57" t="s">
        <v>88</v>
      </c>
      <c r="E38" s="57" t="str">
        <f t="array" ref="E38">XLOOKUP(D38,RUC!$B$3:$B$79,RUC!$D$3:$D$79)</f>
        <v>#N/A</v>
      </c>
      <c r="G38" s="3">
        <v>50.0</v>
      </c>
      <c r="H38" s="57" t="s">
        <v>47</v>
      </c>
      <c r="I38" s="58">
        <v>6.54</v>
      </c>
      <c r="J38" s="58">
        <v>0.95</v>
      </c>
      <c r="K38" s="59">
        <f t="shared" si="1"/>
        <v>6.47787</v>
      </c>
      <c r="L38" s="60">
        <v>0.703</v>
      </c>
      <c r="M38" s="60">
        <v>0.674</v>
      </c>
      <c r="N38" s="75">
        <v>0.747</v>
      </c>
      <c r="O38" s="60">
        <f t="shared" si="21"/>
        <v>0.711</v>
      </c>
      <c r="P38" s="63">
        <v>90.0</v>
      </c>
      <c r="Q38" s="64">
        <v>90.15</v>
      </c>
      <c r="R38" s="65">
        <v>2674.6</v>
      </c>
      <c r="S38" s="66">
        <f t="shared" si="29"/>
        <v>155</v>
      </c>
      <c r="U38" s="85">
        <v>90.0</v>
      </c>
      <c r="V38" s="67">
        <v>1.1023</v>
      </c>
      <c r="Z38" s="77">
        <v>25.0</v>
      </c>
      <c r="AA38" s="70">
        <f t="shared" si="27"/>
        <v>25</v>
      </c>
      <c r="AB38" s="71">
        <f t="shared" si="20"/>
        <v>1624.664031</v>
      </c>
      <c r="AC38" s="71">
        <f>+(S38-T38)*V38-'data 1'!$F$4</f>
        <v>90.8565</v>
      </c>
      <c r="AD38" s="71">
        <f t="shared" si="6"/>
        <v>3.00427533</v>
      </c>
      <c r="AE38" s="71">
        <f t="shared" si="7"/>
        <v>-42.4425</v>
      </c>
      <c r="AF38" s="71">
        <f t="shared" si="8"/>
        <v>-20.54702103</v>
      </c>
      <c r="AG38" s="72">
        <f t="shared" si="30"/>
        <v>62.8712543</v>
      </c>
      <c r="AH38" s="52">
        <f t="shared" si="10"/>
        <v>140.7545211</v>
      </c>
      <c r="AI38" s="73">
        <f t="shared" si="11"/>
        <v>164.4475176</v>
      </c>
      <c r="AJ38" s="73">
        <f t="shared" si="12"/>
        <v>142.1194139</v>
      </c>
      <c r="AK38" s="11"/>
      <c r="AL38" s="51">
        <f t="shared" si="15"/>
        <v>10524.36238</v>
      </c>
    </row>
    <row r="39" ht="15.75" customHeight="1">
      <c r="A39" s="54" t="s">
        <v>90</v>
      </c>
      <c r="B39" s="56">
        <v>45672.0</v>
      </c>
      <c r="C39" s="56">
        <v>45666.0</v>
      </c>
      <c r="D39" s="57" t="s">
        <v>88</v>
      </c>
      <c r="E39" s="57" t="str">
        <f t="array" ref="E39">XLOOKUP(D39,RUC!$B$3:$B$79,RUC!$D$3:$D$79)</f>
        <v>#N/A</v>
      </c>
      <c r="G39" s="3">
        <v>50.0</v>
      </c>
      <c r="H39" s="57" t="s">
        <v>47</v>
      </c>
      <c r="I39" s="58">
        <v>6.92</v>
      </c>
      <c r="J39" s="58">
        <v>1.0</v>
      </c>
      <c r="K39" s="59">
        <f t="shared" si="1"/>
        <v>6.8508</v>
      </c>
      <c r="L39" s="60">
        <v>0.712</v>
      </c>
      <c r="M39" s="75">
        <v>0.684</v>
      </c>
      <c r="N39" s="75">
        <v>0.684</v>
      </c>
      <c r="O39" s="60">
        <f t="shared" si="21"/>
        <v>0.684</v>
      </c>
      <c r="P39" s="63">
        <v>90.0</v>
      </c>
      <c r="Q39" s="64">
        <v>90.09</v>
      </c>
      <c r="R39" s="65">
        <v>2674.6</v>
      </c>
      <c r="S39" s="66">
        <f t="shared" si="29"/>
        <v>145</v>
      </c>
      <c r="U39" s="85">
        <v>90.0</v>
      </c>
      <c r="V39" s="67">
        <v>1.1023</v>
      </c>
      <c r="Z39" s="77">
        <v>25.0</v>
      </c>
      <c r="AA39" s="70">
        <f t="shared" si="27"/>
        <v>25</v>
      </c>
      <c r="AB39" s="71">
        <f t="shared" si="20"/>
        <v>1566.456219</v>
      </c>
      <c r="AC39" s="71">
        <f>+(S39-T39)*V39-'data 1'!$F$4</f>
        <v>79.8335</v>
      </c>
      <c r="AD39" s="71">
        <f t="shared" si="6"/>
        <v>1.825642135</v>
      </c>
      <c r="AE39" s="71">
        <f t="shared" si="7"/>
        <v>-42.4425</v>
      </c>
      <c r="AF39" s="71">
        <f t="shared" si="8"/>
        <v>71.86671033</v>
      </c>
      <c r="AG39" s="72">
        <f t="shared" si="30"/>
        <v>143.0833525</v>
      </c>
      <c r="AH39" s="52">
        <f t="shared" si="10"/>
        <v>150.6631138</v>
      </c>
      <c r="AI39" s="73">
        <f t="shared" si="11"/>
        <v>166.4419696</v>
      </c>
      <c r="AJ39" s="73">
        <f t="shared" si="12"/>
        <v>144.5935663</v>
      </c>
      <c r="AK39" s="11"/>
      <c r="AL39" s="51">
        <f t="shared" si="15"/>
        <v>10731.47827</v>
      </c>
    </row>
    <row r="40" ht="15.75" customHeight="1">
      <c r="A40" s="54" t="s">
        <v>91</v>
      </c>
      <c r="B40" s="56">
        <v>45672.0</v>
      </c>
      <c r="C40" s="56">
        <v>45666.0</v>
      </c>
      <c r="D40" s="57" t="s">
        <v>88</v>
      </c>
      <c r="E40" s="57" t="str">
        <f t="array" ref="E40">XLOOKUP(D40,RUC!$B$3:$B$79,RUC!$D$3:$D$79)</f>
        <v>#N/A</v>
      </c>
      <c r="G40" s="3">
        <v>50.0</v>
      </c>
      <c r="H40" s="57" t="s">
        <v>47</v>
      </c>
      <c r="I40" s="58">
        <v>6.49</v>
      </c>
      <c r="J40" s="58">
        <v>0.91</v>
      </c>
      <c r="K40" s="59">
        <f t="shared" si="1"/>
        <v>6.430941</v>
      </c>
      <c r="L40" s="60">
        <v>0.738</v>
      </c>
      <c r="M40" s="75">
        <v>0.708</v>
      </c>
      <c r="N40" s="75">
        <v>0.708</v>
      </c>
      <c r="O40" s="60">
        <f t="shared" si="21"/>
        <v>0.708</v>
      </c>
      <c r="P40" s="63">
        <v>90.0</v>
      </c>
      <c r="Q40" s="64">
        <v>90.28</v>
      </c>
      <c r="R40" s="65">
        <v>2674.6</v>
      </c>
      <c r="S40" s="66">
        <f t="shared" si="29"/>
        <v>155</v>
      </c>
      <c r="U40" s="85">
        <v>90.0</v>
      </c>
      <c r="V40" s="67">
        <v>1.1023</v>
      </c>
      <c r="Z40" s="77">
        <v>25.0</v>
      </c>
      <c r="AA40" s="70">
        <f t="shared" si="27"/>
        <v>25</v>
      </c>
      <c r="AB40" s="71">
        <f t="shared" si="20"/>
        <v>1616.971718</v>
      </c>
      <c r="AC40" s="71">
        <f>+(S40-T40)*V40-'data 1'!$F$4</f>
        <v>90.8565</v>
      </c>
      <c r="AD40" s="71">
        <f t="shared" si="6"/>
        <v>5.887183064</v>
      </c>
      <c r="AE40" s="71">
        <f t="shared" si="7"/>
        <v>-42.4425</v>
      </c>
      <c r="AF40" s="71">
        <f t="shared" si="8"/>
        <v>77.16244004</v>
      </c>
      <c r="AG40" s="72">
        <f t="shared" si="30"/>
        <v>163.4636231</v>
      </c>
      <c r="AH40" s="52">
        <f t="shared" si="10"/>
        <v>146.9032848</v>
      </c>
      <c r="AI40" s="73">
        <f t="shared" si="11"/>
        <v>172.8837516</v>
      </c>
      <c r="AJ40" s="73">
        <f t="shared" si="12"/>
        <v>140.4945125</v>
      </c>
      <c r="AK40" s="11"/>
      <c r="AL40" s="51">
        <f t="shared" si="15"/>
        <v>10398.64972</v>
      </c>
    </row>
    <row r="41" ht="15.75" customHeight="1">
      <c r="A41" s="54" t="s">
        <v>92</v>
      </c>
      <c r="B41" s="56">
        <v>45672.0</v>
      </c>
      <c r="C41" s="56">
        <v>45666.0</v>
      </c>
      <c r="D41" s="57" t="s">
        <v>88</v>
      </c>
      <c r="E41" s="57" t="str">
        <f t="array" ref="E41">XLOOKUP(D41,RUC!$B$3:$B$79,RUC!$D$3:$D$79)</f>
        <v>#N/A</v>
      </c>
      <c r="G41" s="3">
        <v>50.0</v>
      </c>
      <c r="H41" s="57" t="s">
        <v>47</v>
      </c>
      <c r="I41" s="58">
        <v>6.97</v>
      </c>
      <c r="J41" s="58">
        <v>0.87</v>
      </c>
      <c r="K41" s="59">
        <f t="shared" si="1"/>
        <v>6.909361</v>
      </c>
      <c r="L41" s="60">
        <v>0.725</v>
      </c>
      <c r="M41" s="60">
        <v>0.696</v>
      </c>
      <c r="N41" s="75">
        <v>0.771</v>
      </c>
      <c r="O41" s="60">
        <f t="shared" si="21"/>
        <v>0.734</v>
      </c>
      <c r="P41" s="63">
        <v>90.0</v>
      </c>
      <c r="Q41" s="64">
        <v>90.17</v>
      </c>
      <c r="R41" s="65">
        <v>2674.6</v>
      </c>
      <c r="S41" s="66">
        <f t="shared" si="29"/>
        <v>155</v>
      </c>
      <c r="U41" s="85">
        <v>90.0</v>
      </c>
      <c r="V41" s="67">
        <v>1.1023</v>
      </c>
      <c r="Z41" s="77">
        <v>25.0</v>
      </c>
      <c r="AA41" s="70">
        <f t="shared" si="27"/>
        <v>25</v>
      </c>
      <c r="AB41" s="71">
        <f t="shared" si="20"/>
        <v>1683.638426</v>
      </c>
      <c r="AC41" s="71">
        <f>+(S41-T41)*V41-'data 1'!$F$4</f>
        <v>90.8565</v>
      </c>
      <c r="AD41" s="71">
        <f t="shared" si="6"/>
        <v>3.511398145</v>
      </c>
      <c r="AE41" s="71">
        <f t="shared" si="7"/>
        <v>-42.4425</v>
      </c>
      <c r="AF41" s="71">
        <f t="shared" si="8"/>
        <v>-23.12052687</v>
      </c>
      <c r="AG41" s="72">
        <f t="shared" si="30"/>
        <v>60.80487128</v>
      </c>
      <c r="AH41" s="52">
        <f t="shared" si="10"/>
        <v>154.8627724</v>
      </c>
      <c r="AI41" s="73">
        <f t="shared" si="11"/>
        <v>169.6314374</v>
      </c>
      <c r="AJ41" s="73">
        <f t="shared" si="12"/>
        <v>156.4896153</v>
      </c>
      <c r="AK41" s="11"/>
      <c r="AL41" s="51">
        <f t="shared" si="15"/>
        <v>11632.86568</v>
      </c>
    </row>
    <row r="42" ht="15.75" customHeight="1">
      <c r="A42" s="54" t="s">
        <v>93</v>
      </c>
      <c r="B42" s="56">
        <v>45672.0</v>
      </c>
      <c r="C42" s="56">
        <v>45666.0</v>
      </c>
      <c r="D42" s="57" t="s">
        <v>88</v>
      </c>
      <c r="E42" s="57" t="str">
        <f t="array" ref="E42">XLOOKUP(D42,RUC!$B$3:$B$79,RUC!$D$3:$D$79)</f>
        <v>#N/A</v>
      </c>
      <c r="G42" s="3">
        <v>50.0</v>
      </c>
      <c r="H42" s="57" t="s">
        <v>47</v>
      </c>
      <c r="I42" s="58">
        <v>6.95</v>
      </c>
      <c r="J42" s="58">
        <v>0.93</v>
      </c>
      <c r="K42" s="59">
        <f t="shared" si="1"/>
        <v>6.885365</v>
      </c>
      <c r="L42" s="60">
        <v>0.934</v>
      </c>
      <c r="M42" s="60">
        <v>0.897</v>
      </c>
      <c r="N42" s="75">
        <v>0.958</v>
      </c>
      <c r="O42" s="60">
        <f t="shared" si="21"/>
        <v>0.928</v>
      </c>
      <c r="P42" s="63">
        <v>90.0</v>
      </c>
      <c r="Q42" s="64">
        <v>90.21</v>
      </c>
      <c r="R42" s="65">
        <v>2674.6</v>
      </c>
      <c r="S42" s="66">
        <f t="shared" si="29"/>
        <v>175</v>
      </c>
      <c r="U42" s="85">
        <v>90.0</v>
      </c>
      <c r="V42" s="67">
        <v>1.1023</v>
      </c>
      <c r="Z42" s="77">
        <v>25.0</v>
      </c>
      <c r="AA42" s="70">
        <f t="shared" si="27"/>
        <v>25</v>
      </c>
      <c r="AB42" s="71">
        <f t="shared" si="20"/>
        <v>2159.028625</v>
      </c>
      <c r="AC42" s="71">
        <f>+(S42-T42)*V42-'data 1'!$F$4</f>
        <v>112.9025</v>
      </c>
      <c r="AD42" s="71">
        <f t="shared" si="6"/>
        <v>5.588037583</v>
      </c>
      <c r="AE42" s="71">
        <f t="shared" si="7"/>
        <v>-42.4425</v>
      </c>
      <c r="AF42" s="71">
        <f t="shared" si="8"/>
        <v>15.42052219</v>
      </c>
      <c r="AG42" s="72">
        <f t="shared" si="30"/>
        <v>123.4685598</v>
      </c>
      <c r="AH42" s="52">
        <f t="shared" si="10"/>
        <v>198.9012882</v>
      </c>
      <c r="AI42" s="73">
        <f t="shared" si="11"/>
        <v>218.6290285</v>
      </c>
      <c r="AJ42" s="73">
        <f t="shared" si="12"/>
        <v>197.1635016</v>
      </c>
      <c r="AK42" s="11"/>
      <c r="AL42" s="51">
        <f t="shared" si="15"/>
        <v>14865.70013</v>
      </c>
    </row>
    <row r="43" ht="15.75" customHeight="1">
      <c r="A43" s="54" t="s">
        <v>94</v>
      </c>
      <c r="B43" s="56">
        <v>45672.0</v>
      </c>
      <c r="C43" s="56">
        <v>45666.0</v>
      </c>
      <c r="D43" s="57" t="s">
        <v>88</v>
      </c>
      <c r="E43" s="57" t="str">
        <f t="array" ref="E43">XLOOKUP(D43,RUC!$B$3:$B$79,RUC!$D$3:$D$79)</f>
        <v>#N/A</v>
      </c>
      <c r="G43" s="3">
        <v>50.0</v>
      </c>
      <c r="H43" s="57" t="s">
        <v>47</v>
      </c>
      <c r="I43" s="58">
        <v>6.51</v>
      </c>
      <c r="J43" s="58">
        <v>0.95</v>
      </c>
      <c r="K43" s="59">
        <f t="shared" si="1"/>
        <v>6.448155</v>
      </c>
      <c r="L43" s="60">
        <v>0.572</v>
      </c>
      <c r="M43" s="75">
        <v>0.549</v>
      </c>
      <c r="N43" s="75">
        <v>0.549</v>
      </c>
      <c r="O43" s="60">
        <f t="shared" si="21"/>
        <v>0.549</v>
      </c>
      <c r="P43" s="63">
        <v>90.0</v>
      </c>
      <c r="Q43" s="64">
        <v>90.07</v>
      </c>
      <c r="R43" s="65">
        <v>2674.6</v>
      </c>
      <c r="S43" s="66">
        <f t="shared" si="29"/>
        <v>135</v>
      </c>
      <c r="U43" s="85">
        <v>90.0</v>
      </c>
      <c r="V43" s="67">
        <v>1.1023</v>
      </c>
      <c r="Z43" s="77">
        <v>25.0</v>
      </c>
      <c r="AA43" s="70">
        <f t="shared" si="27"/>
        <v>25</v>
      </c>
      <c r="AB43" s="71">
        <f t="shared" si="20"/>
        <v>1231.325163</v>
      </c>
      <c r="AC43" s="71">
        <f>+(S43-T43)*V43-'data 1'!$F$4</f>
        <v>68.8105</v>
      </c>
      <c r="AD43" s="71">
        <f t="shared" si="6"/>
        <v>1.140741434</v>
      </c>
      <c r="AE43" s="71">
        <f t="shared" si="7"/>
        <v>-42.4425</v>
      </c>
      <c r="AF43" s="71">
        <f t="shared" si="8"/>
        <v>59.02026378</v>
      </c>
      <c r="AG43" s="72">
        <f t="shared" si="30"/>
        <v>118.5290052</v>
      </c>
      <c r="AH43" s="52">
        <f t="shared" si="10"/>
        <v>113.8992146</v>
      </c>
      <c r="AI43" s="73">
        <f t="shared" si="11"/>
        <v>133.6849314</v>
      </c>
      <c r="AJ43" s="73">
        <f t="shared" si="12"/>
        <v>109.234391</v>
      </c>
      <c r="AK43" s="11"/>
      <c r="AL43" s="51">
        <f t="shared" si="15"/>
        <v>7939.775506</v>
      </c>
    </row>
    <row r="44" ht="15.75" customHeight="1">
      <c r="A44" s="54" t="s">
        <v>95</v>
      </c>
      <c r="B44" s="56">
        <v>45672.0</v>
      </c>
      <c r="C44" s="56">
        <v>45666.0</v>
      </c>
      <c r="D44" s="57" t="s">
        <v>88</v>
      </c>
      <c r="E44" s="57" t="str">
        <f t="array" ref="E44">XLOOKUP(D44,RUC!$B$3:$B$79,RUC!$D$3:$D$79)</f>
        <v>#N/A</v>
      </c>
      <c r="G44" s="3">
        <v>50.0</v>
      </c>
      <c r="H44" s="57" t="s">
        <v>47</v>
      </c>
      <c r="I44" s="58">
        <v>5.48</v>
      </c>
      <c r="J44" s="58">
        <v>1.0</v>
      </c>
      <c r="K44" s="59">
        <f t="shared" si="1"/>
        <v>5.4252</v>
      </c>
      <c r="L44" s="60">
        <v>0.52</v>
      </c>
      <c r="M44" s="60">
        <v>0.499</v>
      </c>
      <c r="N44" s="75">
        <v>0.541</v>
      </c>
      <c r="O44" s="60">
        <f t="shared" si="21"/>
        <v>0.52</v>
      </c>
      <c r="P44" s="63">
        <v>90.0</v>
      </c>
      <c r="Q44" s="64">
        <v>90.3</v>
      </c>
      <c r="R44" s="65">
        <v>2674.6</v>
      </c>
      <c r="S44" s="66">
        <f t="shared" si="29"/>
        <v>135</v>
      </c>
      <c r="U44" s="85">
        <v>90.0</v>
      </c>
      <c r="V44" s="67">
        <v>1.1023</v>
      </c>
      <c r="Z44" s="77">
        <v>25.0</v>
      </c>
      <c r="AA44" s="70">
        <f t="shared" si="27"/>
        <v>25</v>
      </c>
      <c r="AB44" s="71">
        <f t="shared" si="20"/>
        <v>1156.966143</v>
      </c>
      <c r="AC44" s="71">
        <f>+(S44-T44)*V44-'data 1'!$F$4</f>
        <v>68.8105</v>
      </c>
      <c r="AD44" s="71">
        <f t="shared" si="6"/>
        <v>4.444447145</v>
      </c>
      <c r="AE44" s="71">
        <f t="shared" si="7"/>
        <v>-42.4425</v>
      </c>
      <c r="AF44" s="71">
        <f t="shared" si="8"/>
        <v>0</v>
      </c>
      <c r="AG44" s="72">
        <f t="shared" si="30"/>
        <v>62.81244714</v>
      </c>
      <c r="AH44" s="52">
        <f t="shared" si="10"/>
        <v>87.34054877</v>
      </c>
      <c r="AI44" s="73">
        <f t="shared" si="11"/>
        <v>121.8420956</v>
      </c>
      <c r="AJ44" s="73">
        <f t="shared" si="12"/>
        <v>87.05038083</v>
      </c>
      <c r="AK44" s="11"/>
      <c r="AL44" s="51">
        <f t="shared" si="15"/>
        <v>6276.772721</v>
      </c>
    </row>
    <row r="45" ht="15.75" customHeight="1">
      <c r="A45" s="54" t="s">
        <v>96</v>
      </c>
      <c r="B45" s="56">
        <v>45670.0</v>
      </c>
      <c r="C45" s="56">
        <v>45667.0</v>
      </c>
      <c r="D45" s="57" t="s">
        <v>74</v>
      </c>
      <c r="E45" s="57">
        <f t="array" ref="E45">XLOOKUP(D45,RUC!$B$3:$B$79,RUC!$D$3:$D$79)</f>
        <v>10082235774</v>
      </c>
      <c r="G45" s="3">
        <v>50.0</v>
      </c>
      <c r="H45" s="57" t="s">
        <v>47</v>
      </c>
      <c r="I45" s="58">
        <v>6.3</v>
      </c>
      <c r="J45" s="58">
        <v>1.7</v>
      </c>
      <c r="K45" s="59">
        <f t="shared" si="1"/>
        <v>6.1929</v>
      </c>
      <c r="L45" s="60">
        <v>0.25</v>
      </c>
      <c r="M45" s="62">
        <v>0.246</v>
      </c>
      <c r="N45" s="62">
        <v>0.246</v>
      </c>
      <c r="O45" s="60">
        <f t="shared" si="21"/>
        <v>0.246</v>
      </c>
      <c r="P45" s="63">
        <v>85.0</v>
      </c>
      <c r="Q45" s="64">
        <v>90.25</v>
      </c>
      <c r="R45" s="65">
        <v>2687.45</v>
      </c>
      <c r="S45" s="86">
        <v>105.0</v>
      </c>
      <c r="U45" s="87">
        <v>80.0</v>
      </c>
      <c r="V45" s="67">
        <v>1.1023</v>
      </c>
      <c r="Z45" s="77">
        <v>10.0</v>
      </c>
      <c r="AA45" s="70">
        <f t="shared" si="27"/>
        <v>10</v>
      </c>
      <c r="AB45" s="71">
        <f t="shared" si="20"/>
        <v>474.2290754</v>
      </c>
      <c r="AC45" s="71">
        <f>+(S45-T45)*V45-'data 1'!$F$4</f>
        <v>35.7415</v>
      </c>
      <c r="AD45" s="71">
        <f t="shared" si="6"/>
        <v>37.72377177</v>
      </c>
      <c r="AE45" s="71">
        <f t="shared" si="7"/>
        <v>-58.977</v>
      </c>
      <c r="AF45" s="71">
        <f t="shared" si="8"/>
        <v>10.37583361</v>
      </c>
      <c r="AG45" s="72">
        <f t="shared" ref="AG45:AG51" si="31">+IF(D45="RONALD WILLIAN GARIBAY ESCUDERO",AC45+AD45+AE45+AF45+70,AC45+AD45+AE45+AF45)+70</f>
        <v>94.86410538</v>
      </c>
      <c r="AH45" s="52">
        <f t="shared" si="10"/>
        <v>47.90604916</v>
      </c>
      <c r="AI45" s="73">
        <f t="shared" si="11"/>
        <v>52.86255329</v>
      </c>
      <c r="AJ45" s="73">
        <f t="shared" si="12"/>
        <v>44.39736235</v>
      </c>
      <c r="AK45" s="11"/>
      <c r="AL45" s="51">
        <f t="shared" si="15"/>
        <v>2936.853241</v>
      </c>
    </row>
    <row r="46" ht="15.75" customHeight="1">
      <c r="A46" s="54" t="s">
        <v>97</v>
      </c>
      <c r="B46" s="56">
        <v>45670.0</v>
      </c>
      <c r="C46" s="56">
        <v>45667.0</v>
      </c>
      <c r="D46" s="57" t="s">
        <v>74</v>
      </c>
      <c r="E46" s="57">
        <f t="array" ref="E46">XLOOKUP(D46,RUC!$B$3:$B$79,RUC!$D$3:$D$79)</f>
        <v>10082235774</v>
      </c>
      <c r="G46" s="3">
        <v>50.0</v>
      </c>
      <c r="H46" s="57" t="s">
        <v>47</v>
      </c>
      <c r="I46" s="58">
        <v>5.1</v>
      </c>
      <c r="J46" s="58">
        <v>1.8</v>
      </c>
      <c r="K46" s="59">
        <f t="shared" si="1"/>
        <v>5.0082</v>
      </c>
      <c r="L46" s="60">
        <v>0.61</v>
      </c>
      <c r="M46" s="60">
        <v>0.601</v>
      </c>
      <c r="N46" s="62">
        <v>0.601</v>
      </c>
      <c r="O46" s="60">
        <f t="shared" si="21"/>
        <v>0.601</v>
      </c>
      <c r="P46" s="63">
        <v>90.0</v>
      </c>
      <c r="Q46" s="64">
        <v>90.16</v>
      </c>
      <c r="R46" s="65">
        <v>2687.45</v>
      </c>
      <c r="S46" s="86">
        <v>125.0</v>
      </c>
      <c r="U46" s="87">
        <v>80.0</v>
      </c>
      <c r="V46" s="67">
        <v>1.1023</v>
      </c>
      <c r="Z46" s="77">
        <v>10.0</v>
      </c>
      <c r="AA46" s="70">
        <f t="shared" si="27"/>
        <v>10</v>
      </c>
      <c r="AB46" s="71">
        <f t="shared" si="20"/>
        <v>1405.840026</v>
      </c>
      <c r="AC46" s="71">
        <f>+(S46-T46)*V46-'data 1'!$F$4</f>
        <v>57.7875</v>
      </c>
      <c r="AD46" s="71">
        <f t="shared" si="6"/>
        <v>2.805211524</v>
      </c>
      <c r="AE46" s="71">
        <f t="shared" si="7"/>
        <v>-58.977</v>
      </c>
      <c r="AF46" s="71">
        <f t="shared" si="8"/>
        <v>23.32234466</v>
      </c>
      <c r="AG46" s="72">
        <f t="shared" si="31"/>
        <v>94.93805618</v>
      </c>
      <c r="AH46" s="52">
        <f t="shared" si="10"/>
        <v>94.43532324</v>
      </c>
      <c r="AI46" s="73">
        <f t="shared" si="11"/>
        <v>128.8560027</v>
      </c>
      <c r="AJ46" s="73">
        <f t="shared" si="12"/>
        <v>92.87690071</v>
      </c>
      <c r="AK46" s="11"/>
      <c r="AL46" s="51">
        <f t="shared" si="15"/>
        <v>7040.728017</v>
      </c>
    </row>
    <row r="47" ht="15.75" customHeight="1">
      <c r="A47" s="54" t="s">
        <v>98</v>
      </c>
      <c r="B47" s="56">
        <v>45670.0</v>
      </c>
      <c r="C47" s="56">
        <v>45667.0</v>
      </c>
      <c r="D47" s="57" t="s">
        <v>74</v>
      </c>
      <c r="E47" s="57">
        <f t="array" ref="E47">XLOOKUP(D47,RUC!$B$3:$B$79,RUC!$D$3:$D$79)</f>
        <v>10082235774</v>
      </c>
      <c r="G47" s="3">
        <v>50.0</v>
      </c>
      <c r="H47" s="57" t="s">
        <v>47</v>
      </c>
      <c r="I47" s="58">
        <v>4.67</v>
      </c>
      <c r="J47" s="58">
        <v>1.9</v>
      </c>
      <c r="K47" s="59">
        <f t="shared" si="1"/>
        <v>4.58127</v>
      </c>
      <c r="L47" s="60">
        <v>0.274</v>
      </c>
      <c r="M47" s="60">
        <v>0.269</v>
      </c>
      <c r="N47" s="62">
        <v>0.269</v>
      </c>
      <c r="O47" s="60">
        <f t="shared" si="21"/>
        <v>0.269</v>
      </c>
      <c r="P47" s="63">
        <v>90.0</v>
      </c>
      <c r="Q47" s="64">
        <v>89.88</v>
      </c>
      <c r="R47" s="65">
        <v>2687.45</v>
      </c>
      <c r="S47" s="86">
        <v>105.0</v>
      </c>
      <c r="U47" s="87">
        <v>80.0</v>
      </c>
      <c r="V47" s="67">
        <v>1.1023</v>
      </c>
      <c r="Z47" s="77">
        <v>10.0</v>
      </c>
      <c r="AA47" s="70">
        <f t="shared" si="27"/>
        <v>10</v>
      </c>
      <c r="AB47" s="71">
        <f t="shared" si="20"/>
        <v>569.0774159</v>
      </c>
      <c r="AC47" s="71">
        <f>+(S47-T47)*V47-'data 1'!$F$4</f>
        <v>35.7415</v>
      </c>
      <c r="AD47" s="71">
        <f t="shared" si="6"/>
        <v>-0.945034374</v>
      </c>
      <c r="AE47" s="71">
        <f t="shared" si="7"/>
        <v>-58.977</v>
      </c>
      <c r="AF47" s="71">
        <f t="shared" si="8"/>
        <v>12.91661945</v>
      </c>
      <c r="AG47" s="72">
        <f t="shared" si="31"/>
        <v>58.73608508</v>
      </c>
      <c r="AH47" s="52">
        <f t="shared" si="10"/>
        <v>38.68197</v>
      </c>
      <c r="AI47" s="73">
        <f t="shared" si="11"/>
        <v>57.69983129</v>
      </c>
      <c r="AJ47" s="73">
        <f t="shared" si="12"/>
        <v>38.02679703</v>
      </c>
      <c r="AK47" s="11"/>
      <c r="AL47" s="51">
        <f t="shared" si="15"/>
        <v>2607.097293</v>
      </c>
    </row>
    <row r="48" ht="15.75" customHeight="1">
      <c r="A48" s="54" t="s">
        <v>99</v>
      </c>
      <c r="B48" s="56">
        <v>45670.0</v>
      </c>
      <c r="C48" s="56">
        <v>45667.0</v>
      </c>
      <c r="D48" s="57" t="s">
        <v>74</v>
      </c>
      <c r="E48" s="57">
        <f t="array" ref="E48">XLOOKUP(D48,RUC!$B$3:$B$79,RUC!$D$3:$D$79)</f>
        <v>10082235774</v>
      </c>
      <c r="G48" s="3">
        <v>50.0</v>
      </c>
      <c r="H48" s="57" t="s">
        <v>47</v>
      </c>
      <c r="I48" s="58">
        <v>8.29</v>
      </c>
      <c r="J48" s="58">
        <v>1.7</v>
      </c>
      <c r="K48" s="59">
        <f t="shared" si="1"/>
        <v>8.14907</v>
      </c>
      <c r="L48" s="60">
        <v>0.147</v>
      </c>
      <c r="M48" s="60">
        <v>0.144</v>
      </c>
      <c r="N48" s="62">
        <v>0.144</v>
      </c>
      <c r="O48" s="60">
        <f t="shared" si="21"/>
        <v>0.144</v>
      </c>
      <c r="P48" s="63">
        <v>85.0</v>
      </c>
      <c r="Q48" s="64">
        <v>89.46</v>
      </c>
      <c r="R48" s="65">
        <v>2687.45</v>
      </c>
      <c r="S48" s="86">
        <v>95.0</v>
      </c>
      <c r="U48" s="87">
        <v>80.0</v>
      </c>
      <c r="V48" s="67">
        <v>1.1023</v>
      </c>
      <c r="Z48" s="77">
        <v>10.0</v>
      </c>
      <c r="AA48" s="70">
        <f t="shared" si="27"/>
        <v>10</v>
      </c>
      <c r="AB48" s="71">
        <f t="shared" si="20"/>
        <v>236.0596173</v>
      </c>
      <c r="AC48" s="71">
        <f>+(S48-T48)*V48-'data 1'!$F$4</f>
        <v>24.7185</v>
      </c>
      <c r="AD48" s="71">
        <f t="shared" si="6"/>
        <v>18.84377848</v>
      </c>
      <c r="AE48" s="71">
        <f t="shared" si="7"/>
        <v>-58.977</v>
      </c>
      <c r="AF48" s="71">
        <f t="shared" si="8"/>
        <v>7.713756852</v>
      </c>
      <c r="AG48" s="72">
        <f t="shared" si="31"/>
        <v>62.29903533</v>
      </c>
      <c r="AH48" s="52">
        <f t="shared" si="10"/>
        <v>36.74204682</v>
      </c>
      <c r="AI48" s="73">
        <f t="shared" si="11"/>
        <v>30.81109587</v>
      </c>
      <c r="AJ48" s="73">
        <f t="shared" si="12"/>
        <v>34.19782893</v>
      </c>
      <c r="AK48" s="11"/>
      <c r="AL48" s="51">
        <f t="shared" si="15"/>
        <v>1923.666346</v>
      </c>
    </row>
    <row r="49" ht="15.75" customHeight="1">
      <c r="A49" s="54" t="s">
        <v>100</v>
      </c>
      <c r="B49" s="56">
        <v>45670.0</v>
      </c>
      <c r="C49" s="56">
        <v>45667.0</v>
      </c>
      <c r="D49" s="57" t="s">
        <v>74</v>
      </c>
      <c r="E49" s="57">
        <f t="array" ref="E49">XLOOKUP(D49,RUC!$B$3:$B$79,RUC!$D$3:$D$79)</f>
        <v>10082235774</v>
      </c>
      <c r="G49" s="3">
        <v>50.0</v>
      </c>
      <c r="H49" s="57" t="s">
        <v>47</v>
      </c>
      <c r="I49" s="58">
        <v>5.68</v>
      </c>
      <c r="J49" s="58">
        <v>1.6</v>
      </c>
      <c r="K49" s="59">
        <f t="shared" si="1"/>
        <v>5.58912</v>
      </c>
      <c r="L49" s="60">
        <v>0.343</v>
      </c>
      <c r="M49" s="60">
        <v>0.337</v>
      </c>
      <c r="N49" s="62">
        <v>0.377</v>
      </c>
      <c r="O49" s="60">
        <f t="shared" si="21"/>
        <v>0.357</v>
      </c>
      <c r="P49" s="63">
        <v>90.0</v>
      </c>
      <c r="Q49" s="64">
        <v>90.16</v>
      </c>
      <c r="R49" s="65">
        <v>2687.45</v>
      </c>
      <c r="S49" s="86">
        <v>110.0</v>
      </c>
      <c r="U49" s="87">
        <v>80.0</v>
      </c>
      <c r="V49" s="67">
        <v>1.1023</v>
      </c>
      <c r="Z49" s="77">
        <v>10.0</v>
      </c>
      <c r="AA49" s="70">
        <f t="shared" si="27"/>
        <v>10</v>
      </c>
      <c r="AB49" s="71">
        <f t="shared" si="20"/>
        <v>791.201933</v>
      </c>
      <c r="AC49" s="71">
        <f>+(S49-T49)*V49-'data 1'!$F$4</f>
        <v>41.253</v>
      </c>
      <c r="AD49" s="71">
        <f t="shared" si="6"/>
        <v>1.577356644</v>
      </c>
      <c r="AE49" s="71">
        <f t="shared" si="7"/>
        <v>-58.977</v>
      </c>
      <c r="AF49" s="71">
        <f t="shared" si="8"/>
        <v>-36.2792028</v>
      </c>
      <c r="AG49" s="72">
        <f t="shared" si="31"/>
        <v>17.57415384</v>
      </c>
      <c r="AH49" s="52">
        <f t="shared" si="10"/>
        <v>59.25984709</v>
      </c>
      <c r="AI49" s="73">
        <f t="shared" si="11"/>
        <v>72.4550966</v>
      </c>
      <c r="AJ49" s="73">
        <f t="shared" si="12"/>
        <v>61.56916007</v>
      </c>
      <c r="AK49" s="11"/>
      <c r="AL49" s="51">
        <f t="shared" si="15"/>
        <v>4422.122548</v>
      </c>
    </row>
    <row r="50" ht="15.75" customHeight="1">
      <c r="A50" s="54" t="s">
        <v>101</v>
      </c>
      <c r="B50" s="56">
        <v>45670.0</v>
      </c>
      <c r="C50" s="56">
        <v>45667.0</v>
      </c>
      <c r="D50" s="57" t="s">
        <v>74</v>
      </c>
      <c r="E50" s="57">
        <f t="array" ref="E50">XLOOKUP(D50,RUC!$B$3:$B$79,RUC!$D$3:$D$79)</f>
        <v>10082235774</v>
      </c>
      <c r="G50" s="3">
        <v>50.0</v>
      </c>
      <c r="H50" s="57" t="s">
        <v>47</v>
      </c>
      <c r="I50" s="58">
        <v>4.23</v>
      </c>
      <c r="J50" s="58">
        <v>1.8</v>
      </c>
      <c r="K50" s="59">
        <f t="shared" si="1"/>
        <v>4.15386</v>
      </c>
      <c r="L50" s="60">
        <v>0.22</v>
      </c>
      <c r="M50" s="60">
        <v>0.217</v>
      </c>
      <c r="N50" s="62">
        <v>0.217</v>
      </c>
      <c r="O50" s="60">
        <f t="shared" si="21"/>
        <v>0.217</v>
      </c>
      <c r="P50" s="63">
        <v>85.0</v>
      </c>
      <c r="Q50" s="64">
        <v>90.3</v>
      </c>
      <c r="R50" s="65">
        <v>2687.45</v>
      </c>
      <c r="S50" s="86">
        <v>105.0</v>
      </c>
      <c r="U50" s="87">
        <v>80.0</v>
      </c>
      <c r="V50" s="67">
        <v>1.1023</v>
      </c>
      <c r="Z50" s="77">
        <v>10.0</v>
      </c>
      <c r="AA50" s="70">
        <f t="shared" si="27"/>
        <v>10</v>
      </c>
      <c r="AB50" s="71">
        <f t="shared" si="20"/>
        <v>403.3802393</v>
      </c>
      <c r="AC50" s="71">
        <f>+(S50-T50)*V50-'data 1'!$F$4</f>
        <v>35.7415</v>
      </c>
      <c r="AD50" s="71">
        <f t="shared" si="6"/>
        <v>33.51308029</v>
      </c>
      <c r="AE50" s="71">
        <f t="shared" si="7"/>
        <v>-58.977</v>
      </c>
      <c r="AF50" s="71">
        <f t="shared" si="8"/>
        <v>7.786186494</v>
      </c>
      <c r="AG50" s="72">
        <f t="shared" si="31"/>
        <v>88.06376679</v>
      </c>
      <c r="AH50" s="52">
        <f t="shared" si="10"/>
        <v>28.29250202</v>
      </c>
      <c r="AI50" s="73">
        <f t="shared" si="11"/>
        <v>46.54481922</v>
      </c>
      <c r="AJ50" s="73">
        <f t="shared" si="12"/>
        <v>26.26876068</v>
      </c>
      <c r="AK50" s="11"/>
      <c r="AL50" s="51">
        <f t="shared" si="15"/>
        <v>1675.585041</v>
      </c>
    </row>
    <row r="51" ht="15.75" customHeight="1">
      <c r="A51" s="54" t="s">
        <v>102</v>
      </c>
      <c r="B51" s="56">
        <v>45670.0</v>
      </c>
      <c r="C51" s="56">
        <v>45667.0</v>
      </c>
      <c r="D51" s="57" t="s">
        <v>74</v>
      </c>
      <c r="E51" s="57">
        <f t="array" ref="E51">XLOOKUP(D51,RUC!$B$3:$B$79,RUC!$D$3:$D$79)</f>
        <v>10082235774</v>
      </c>
      <c r="G51" s="3">
        <v>50.0</v>
      </c>
      <c r="H51" s="57" t="s">
        <v>47</v>
      </c>
      <c r="I51" s="58">
        <v>5.79</v>
      </c>
      <c r="J51" s="58">
        <v>1.9</v>
      </c>
      <c r="K51" s="59">
        <f t="shared" si="1"/>
        <v>5.67999</v>
      </c>
      <c r="L51" s="60">
        <v>0.345</v>
      </c>
      <c r="M51" s="60">
        <v>0.34</v>
      </c>
      <c r="N51" s="62">
        <v>0.34</v>
      </c>
      <c r="O51" s="60">
        <f t="shared" si="21"/>
        <v>0.34</v>
      </c>
      <c r="P51" s="63">
        <v>90.0</v>
      </c>
      <c r="Q51" s="64">
        <v>89.89</v>
      </c>
      <c r="R51" s="65">
        <v>2687.45</v>
      </c>
      <c r="S51" s="86">
        <v>110.0</v>
      </c>
      <c r="U51" s="87">
        <v>80.0</v>
      </c>
      <c r="V51" s="67">
        <v>1.1023</v>
      </c>
      <c r="Z51" s="77">
        <v>10.0</v>
      </c>
      <c r="AA51" s="70">
        <f t="shared" si="27"/>
        <v>10</v>
      </c>
      <c r="AB51" s="71">
        <f t="shared" si="20"/>
        <v>747.2267933</v>
      </c>
      <c r="AC51" s="71">
        <f>+(S51-T51)*V51-'data 1'!$F$4</f>
        <v>41.253</v>
      </c>
      <c r="AD51" s="71">
        <f t="shared" si="6"/>
        <v>-1.090755915</v>
      </c>
      <c r="AE51" s="71">
        <f t="shared" si="7"/>
        <v>-58.977</v>
      </c>
      <c r="AF51" s="71">
        <f t="shared" si="8"/>
        <v>12.91805655</v>
      </c>
      <c r="AG51" s="72">
        <f t="shared" si="31"/>
        <v>64.10330064</v>
      </c>
      <c r="AH51" s="52">
        <f t="shared" si="10"/>
        <v>60.39307124</v>
      </c>
      <c r="AI51" s="73">
        <f t="shared" si="11"/>
        <v>72.65933056</v>
      </c>
      <c r="AJ51" s="73">
        <f t="shared" si="12"/>
        <v>59.59064235</v>
      </c>
      <c r="AK51" s="11"/>
      <c r="AL51" s="51">
        <f t="shared" si="15"/>
        <v>4244.240714</v>
      </c>
    </row>
    <row r="52" ht="15.75" customHeight="1">
      <c r="A52" s="54" t="s">
        <v>103</v>
      </c>
      <c r="B52" s="56">
        <v>45670.0</v>
      </c>
      <c r="C52" s="56">
        <v>45667.0</v>
      </c>
      <c r="D52" s="57" t="s">
        <v>104</v>
      </c>
      <c r="E52" s="57">
        <f t="array" ref="E52">XLOOKUP(D52,RUC!$B$3:$B$79,RUC!$D$3:$D$79)</f>
        <v>10479968131</v>
      </c>
      <c r="G52" s="3">
        <v>50.0</v>
      </c>
      <c r="H52" s="57" t="s">
        <v>40</v>
      </c>
      <c r="I52" s="58">
        <v>3.7</v>
      </c>
      <c r="J52" s="58">
        <v>14.45</v>
      </c>
      <c r="K52" s="59">
        <f t="shared" si="1"/>
        <v>3.16535</v>
      </c>
      <c r="L52" s="60">
        <v>0.511</v>
      </c>
      <c r="M52" s="60">
        <v>0.5</v>
      </c>
      <c r="N52" s="62">
        <v>0.5</v>
      </c>
      <c r="O52" s="60">
        <f t="shared" si="21"/>
        <v>0.5</v>
      </c>
      <c r="P52" s="63">
        <v>90.0</v>
      </c>
      <c r="Q52" s="64">
        <v>90.24</v>
      </c>
      <c r="R52" s="65">
        <v>2687.45</v>
      </c>
      <c r="S52" s="66">
        <f t="shared" ref="S52:S54" si="32">IF((90+ROUNDDOWN(O52,1)*100)&lt;95,95,(90+ROUNDDOWN(O52,1)*100))</f>
        <v>140</v>
      </c>
      <c r="U52" s="67">
        <v>120.0</v>
      </c>
      <c r="V52" s="67">
        <v>1.1023</v>
      </c>
      <c r="Z52" s="77">
        <v>25.0</v>
      </c>
      <c r="AA52" s="70">
        <f t="shared" si="27"/>
        <v>25</v>
      </c>
      <c r="AB52" s="71">
        <f t="shared" si="20"/>
        <v>1091.665561</v>
      </c>
      <c r="AC52" s="71">
        <f>+(S52-T52)*V52-'data 1'!$F$4</f>
        <v>74.322</v>
      </c>
      <c r="AD52" s="71">
        <f t="shared" si="6"/>
        <v>3.470834806</v>
      </c>
      <c r="AE52" s="71">
        <f t="shared" si="7"/>
        <v>-42.4425</v>
      </c>
      <c r="AF52" s="71">
        <f t="shared" si="8"/>
        <v>28.09270598</v>
      </c>
      <c r="AG52" s="72">
        <f t="shared" ref="AG52:AG62" si="33">+IF(D52="RONALD WILLIAN GARIBAY ESCUDERO",AC52+AD52+AE52+AF52+70,AC52+AD52+AE52+AF52)+70-53</f>
        <v>80.44304079</v>
      </c>
      <c r="AH52" s="52">
        <f t="shared" si="10"/>
        <v>50.04385925</v>
      </c>
      <c r="AI52" s="73">
        <f t="shared" si="11"/>
        <v>128.3710717</v>
      </c>
      <c r="AJ52" s="73">
        <f t="shared" si="12"/>
        <v>48.83636388</v>
      </c>
      <c r="AK52" s="11"/>
      <c r="AL52" s="51">
        <f t="shared" si="15"/>
        <v>3455.503583</v>
      </c>
    </row>
    <row r="53" ht="15.75" customHeight="1">
      <c r="A53" s="54" t="s">
        <v>105</v>
      </c>
      <c r="B53" s="56">
        <v>45669.0</v>
      </c>
      <c r="C53" s="56">
        <v>45667.0</v>
      </c>
      <c r="D53" s="57" t="s">
        <v>104</v>
      </c>
      <c r="E53" s="57">
        <f t="array" ref="E53">XLOOKUP(D53,RUC!$B$3:$B$79,RUC!$D$3:$D$79)</f>
        <v>10479968131</v>
      </c>
      <c r="G53" s="3">
        <v>50.0</v>
      </c>
      <c r="H53" s="57" t="s">
        <v>40</v>
      </c>
      <c r="I53" s="58">
        <v>3.76</v>
      </c>
      <c r="J53" s="58">
        <v>15.77</v>
      </c>
      <c r="K53" s="59">
        <f t="shared" si="1"/>
        <v>3.167048</v>
      </c>
      <c r="L53" s="60">
        <v>0.944</v>
      </c>
      <c r="M53" s="60">
        <v>0.906</v>
      </c>
      <c r="N53" s="62">
        <v>0.906</v>
      </c>
      <c r="O53" s="60">
        <f t="shared" si="21"/>
        <v>0.906</v>
      </c>
      <c r="P53" s="63">
        <v>90.0</v>
      </c>
      <c r="Q53" s="64">
        <v>90.11</v>
      </c>
      <c r="R53" s="65">
        <v>2687.45</v>
      </c>
      <c r="S53" s="66">
        <f t="shared" si="32"/>
        <v>180</v>
      </c>
      <c r="U53" s="67">
        <v>120.0</v>
      </c>
      <c r="V53" s="67">
        <v>1.1023</v>
      </c>
      <c r="Z53" s="77">
        <v>25.0</v>
      </c>
      <c r="AA53" s="70">
        <f t="shared" si="27"/>
        <v>25</v>
      </c>
      <c r="AB53" s="71">
        <f t="shared" si="20"/>
        <v>2081.69215</v>
      </c>
      <c r="AC53" s="71">
        <f>+(S53-T53)*V53-'data 1'!$F$4</f>
        <v>118.414</v>
      </c>
      <c r="AD53" s="71">
        <f t="shared" si="6"/>
        <v>2.93877598</v>
      </c>
      <c r="AE53" s="71">
        <f t="shared" si="7"/>
        <v>-42.4425</v>
      </c>
      <c r="AF53" s="71">
        <f t="shared" si="8"/>
        <v>96.9077228</v>
      </c>
      <c r="AG53" s="72">
        <f t="shared" si="33"/>
        <v>192.8179988</v>
      </c>
      <c r="AH53" s="52">
        <f t="shared" si="10"/>
        <v>92.36526889</v>
      </c>
      <c r="AI53" s="73">
        <f t="shared" si="11"/>
        <v>236.8057068</v>
      </c>
      <c r="AJ53" s="73">
        <f t="shared" si="12"/>
        <v>88.53896116</v>
      </c>
      <c r="AK53" s="11"/>
      <c r="AL53" s="51">
        <f t="shared" si="15"/>
        <v>6592.818961</v>
      </c>
    </row>
    <row r="54" ht="15.75" customHeight="1">
      <c r="A54" s="54" t="s">
        <v>106</v>
      </c>
      <c r="B54" s="56">
        <v>45669.0</v>
      </c>
      <c r="C54" s="56">
        <v>45667.0</v>
      </c>
      <c r="D54" s="57" t="s">
        <v>104</v>
      </c>
      <c r="E54" s="57">
        <f t="array" ref="E54">XLOOKUP(D54,RUC!$B$3:$B$79,RUC!$D$3:$D$79)</f>
        <v>10479968131</v>
      </c>
      <c r="G54" s="3">
        <v>49.0</v>
      </c>
      <c r="H54" s="57" t="s">
        <v>40</v>
      </c>
      <c r="I54" s="58">
        <v>3.67</v>
      </c>
      <c r="J54" s="58">
        <v>19.07</v>
      </c>
      <c r="K54" s="59">
        <f t="shared" si="1"/>
        <v>2.970131</v>
      </c>
      <c r="L54" s="60">
        <v>0.134</v>
      </c>
      <c r="M54" s="60">
        <v>0.128</v>
      </c>
      <c r="N54" s="62">
        <v>0.128</v>
      </c>
      <c r="O54" s="60">
        <f t="shared" si="21"/>
        <v>0.128</v>
      </c>
      <c r="P54" s="63">
        <v>85.0</v>
      </c>
      <c r="Q54" s="64">
        <v>89.81</v>
      </c>
      <c r="R54" s="65">
        <v>2687.45</v>
      </c>
      <c r="S54" s="66">
        <f t="shared" si="32"/>
        <v>100</v>
      </c>
      <c r="U54" s="67">
        <v>100.0</v>
      </c>
      <c r="V54" s="67">
        <v>1.1023</v>
      </c>
      <c r="Z54" s="77">
        <v>25.0</v>
      </c>
      <c r="AA54" s="70">
        <f t="shared" si="27"/>
        <v>25</v>
      </c>
      <c r="AB54" s="71">
        <f t="shared" si="20"/>
        <v>172.5259995</v>
      </c>
      <c r="AC54" s="71">
        <f>+(S54-T54)*V54-'data 1'!$F$4</f>
        <v>30.23</v>
      </c>
      <c r="AD54" s="71">
        <f t="shared" si="6"/>
        <v>18.3832227</v>
      </c>
      <c r="AE54" s="71">
        <f t="shared" si="7"/>
        <v>-42.4425</v>
      </c>
      <c r="AF54" s="71">
        <f t="shared" si="8"/>
        <v>15.36907466</v>
      </c>
      <c r="AG54" s="72">
        <f t="shared" si="33"/>
        <v>38.53979736</v>
      </c>
      <c r="AH54" s="52">
        <f t="shared" si="10"/>
        <v>12.25502407</v>
      </c>
      <c r="AI54" s="73">
        <f t="shared" si="11"/>
        <v>30.84932359</v>
      </c>
      <c r="AJ54" s="73">
        <f t="shared" si="12"/>
        <v>11.07933182</v>
      </c>
      <c r="AK54" s="11"/>
      <c r="AL54" s="51">
        <f t="shared" si="15"/>
        <v>512.4248194</v>
      </c>
    </row>
    <row r="55" ht="15.75" customHeight="1">
      <c r="A55" s="54" t="s">
        <v>107</v>
      </c>
      <c r="B55" s="56">
        <v>45674.0</v>
      </c>
      <c r="C55" s="56">
        <v>45668.0</v>
      </c>
      <c r="D55" s="57" t="s">
        <v>88</v>
      </c>
      <c r="E55" s="57" t="str">
        <f t="array" ref="E55">XLOOKUP(D55,RUC!$B$3:$B$79,RUC!$D$3:$D$79)</f>
        <v>#N/A</v>
      </c>
      <c r="G55" s="3">
        <v>50.0</v>
      </c>
      <c r="H55" s="57" t="s">
        <v>47</v>
      </c>
      <c r="I55" s="58">
        <v>6.91</v>
      </c>
      <c r="J55" s="58">
        <v>1.0</v>
      </c>
      <c r="K55" s="59">
        <f t="shared" si="1"/>
        <v>6.8409</v>
      </c>
      <c r="L55" s="60">
        <v>0.618</v>
      </c>
      <c r="M55" s="60">
        <v>0.593</v>
      </c>
      <c r="N55" s="62">
        <v>0.593</v>
      </c>
      <c r="O55" s="60">
        <f t="shared" si="21"/>
        <v>0.593</v>
      </c>
      <c r="P55" s="63">
        <v>90.0</v>
      </c>
      <c r="Q55" s="64">
        <v>90.19</v>
      </c>
      <c r="R55" s="65">
        <v>2687.45</v>
      </c>
      <c r="S55" s="66">
        <f t="shared" ref="S55:S62" si="34">IF((90+ROUNDDOWN(O55,1)*100)&lt;95,95,(90+ROUNDDOWN(O55,1)*100))-5</f>
        <v>135</v>
      </c>
      <c r="U55" s="67">
        <v>90.0</v>
      </c>
      <c r="V55" s="67">
        <v>1.1023</v>
      </c>
      <c r="Z55" s="77">
        <v>25.0</v>
      </c>
      <c r="AA55" s="70">
        <f t="shared" si="27"/>
        <v>25</v>
      </c>
      <c r="AB55" s="71">
        <f t="shared" si="20"/>
        <v>1351.705367</v>
      </c>
      <c r="AC55" s="71">
        <f>+(S55-T55)*V55-'data 1'!$F$4</f>
        <v>68.8105</v>
      </c>
      <c r="AD55" s="71">
        <f t="shared" si="6"/>
        <v>3.361933198</v>
      </c>
      <c r="AE55" s="71">
        <f t="shared" si="7"/>
        <v>-42.4425</v>
      </c>
      <c r="AF55" s="71">
        <f t="shared" si="8"/>
        <v>64.55730607</v>
      </c>
      <c r="AG55" s="72">
        <f t="shared" si="33"/>
        <v>111.2872393</v>
      </c>
      <c r="AH55" s="52">
        <f t="shared" si="10"/>
        <v>130.7281674</v>
      </c>
      <c r="AI55" s="73">
        <f t="shared" si="11"/>
        <v>136.7332914</v>
      </c>
      <c r="AJ55" s="73">
        <f t="shared" si="12"/>
        <v>125.1755517</v>
      </c>
      <c r="AK55" s="11"/>
      <c r="AL55" s="51">
        <f t="shared" si="15"/>
        <v>9246.881248</v>
      </c>
    </row>
    <row r="56" ht="15.75" customHeight="1">
      <c r="A56" s="54" t="s">
        <v>108</v>
      </c>
      <c r="B56" s="56">
        <v>45674.0</v>
      </c>
      <c r="C56" s="56">
        <v>45668.0</v>
      </c>
      <c r="D56" s="57" t="s">
        <v>88</v>
      </c>
      <c r="E56" s="57" t="str">
        <f t="array" ref="E56">XLOOKUP(D56,RUC!$B$3:$B$79,RUC!$D$3:$D$79)</f>
        <v>#N/A</v>
      </c>
      <c r="G56" s="3">
        <v>50.0</v>
      </c>
      <c r="H56" s="57" t="s">
        <v>47</v>
      </c>
      <c r="I56" s="58">
        <v>6.42</v>
      </c>
      <c r="J56" s="58">
        <v>1.1</v>
      </c>
      <c r="K56" s="59">
        <f t="shared" si="1"/>
        <v>6.34938</v>
      </c>
      <c r="L56" s="60">
        <v>0.68</v>
      </c>
      <c r="M56" s="60">
        <v>0.652</v>
      </c>
      <c r="N56" s="62">
        <v>0.652</v>
      </c>
      <c r="O56" s="60">
        <f t="shared" si="21"/>
        <v>0.652</v>
      </c>
      <c r="P56" s="63">
        <v>90.0</v>
      </c>
      <c r="Q56" s="64">
        <v>89.96</v>
      </c>
      <c r="R56" s="65">
        <v>2687.45</v>
      </c>
      <c r="S56" s="66">
        <f t="shared" si="34"/>
        <v>145</v>
      </c>
      <c r="U56" s="67">
        <v>90.0</v>
      </c>
      <c r="V56" s="67">
        <v>1.1023</v>
      </c>
      <c r="Z56" s="77">
        <v>25.0</v>
      </c>
      <c r="AA56" s="70">
        <f t="shared" si="27"/>
        <v>25</v>
      </c>
      <c r="AB56" s="71">
        <f t="shared" si="20"/>
        <v>1492.716648</v>
      </c>
      <c r="AC56" s="71">
        <f>+(S56-T56)*V56-'data 1'!$F$4</f>
        <v>79.8335</v>
      </c>
      <c r="AD56" s="71">
        <f t="shared" si="6"/>
        <v>-0.7787820047</v>
      </c>
      <c r="AE56" s="71">
        <f t="shared" si="7"/>
        <v>-42.4425</v>
      </c>
      <c r="AF56" s="71">
        <f t="shared" si="8"/>
        <v>72.11979471</v>
      </c>
      <c r="AG56" s="72">
        <f t="shared" si="33"/>
        <v>125.7320127</v>
      </c>
      <c r="AH56" s="52">
        <f t="shared" si="10"/>
        <v>133.1676539</v>
      </c>
      <c r="AI56" s="73">
        <f t="shared" si="11"/>
        <v>150.0671952</v>
      </c>
      <c r="AJ56" s="73">
        <f t="shared" si="12"/>
        <v>127.7410537</v>
      </c>
      <c r="AK56" s="11"/>
      <c r="AL56" s="51">
        <f t="shared" si="15"/>
        <v>9477.825233</v>
      </c>
    </row>
    <row r="57" ht="15.75" customHeight="1">
      <c r="A57" s="54" t="s">
        <v>109</v>
      </c>
      <c r="B57" s="56">
        <v>45674.0</v>
      </c>
      <c r="C57" s="56">
        <v>45668.0</v>
      </c>
      <c r="D57" s="57" t="s">
        <v>88</v>
      </c>
      <c r="E57" s="57" t="str">
        <f t="array" ref="E57">XLOOKUP(D57,RUC!$B$3:$B$79,RUC!$D$3:$D$79)</f>
        <v>#N/A</v>
      </c>
      <c r="G57" s="3">
        <v>50.0</v>
      </c>
      <c r="H57" s="57" t="s">
        <v>47</v>
      </c>
      <c r="I57" s="58">
        <v>6.64</v>
      </c>
      <c r="J57" s="58">
        <v>1.2</v>
      </c>
      <c r="K57" s="59">
        <f t="shared" si="1"/>
        <v>6.56032</v>
      </c>
      <c r="L57" s="60">
        <v>0.614</v>
      </c>
      <c r="M57" s="60">
        <v>0.589</v>
      </c>
      <c r="N57" s="62">
        <v>0.589</v>
      </c>
      <c r="O57" s="60">
        <f t="shared" si="21"/>
        <v>0.589</v>
      </c>
      <c r="P57" s="63">
        <v>90.0</v>
      </c>
      <c r="Q57" s="64">
        <v>90.16</v>
      </c>
      <c r="R57" s="65">
        <v>2687.45</v>
      </c>
      <c r="S57" s="66">
        <f t="shared" si="34"/>
        <v>135</v>
      </c>
      <c r="U57" s="67">
        <v>90.0</v>
      </c>
      <c r="V57" s="67">
        <v>1.1023</v>
      </c>
      <c r="Z57" s="77">
        <v>25.0</v>
      </c>
      <c r="AA57" s="70">
        <f t="shared" si="27"/>
        <v>25</v>
      </c>
      <c r="AB57" s="71">
        <f t="shared" si="20"/>
        <v>1341.397958</v>
      </c>
      <c r="AC57" s="71">
        <f>+(S57-T57)*V57-'data 1'!$F$4</f>
        <v>68.8105</v>
      </c>
      <c r="AD57" s="71">
        <f t="shared" si="6"/>
        <v>2.812777358</v>
      </c>
      <c r="AE57" s="71">
        <f t="shared" si="7"/>
        <v>-42.4425</v>
      </c>
      <c r="AF57" s="71">
        <f t="shared" si="8"/>
        <v>64.5358323</v>
      </c>
      <c r="AG57" s="72">
        <f t="shared" si="33"/>
        <v>110.7166097</v>
      </c>
      <c r="AH57" s="52">
        <f t="shared" si="10"/>
        <v>124.5134789</v>
      </c>
      <c r="AI57" s="73">
        <f t="shared" si="11"/>
        <v>135.8030989</v>
      </c>
      <c r="AJ57" s="73">
        <f t="shared" si="12"/>
        <v>119.2317443</v>
      </c>
      <c r="AK57" s="11"/>
      <c r="AL57" s="51">
        <f t="shared" si="15"/>
        <v>8799.999855</v>
      </c>
    </row>
    <row r="58" ht="15.75" customHeight="1">
      <c r="A58" s="54" t="s">
        <v>110</v>
      </c>
      <c r="B58" s="56">
        <v>45674.0</v>
      </c>
      <c r="C58" s="56">
        <v>45668.0</v>
      </c>
      <c r="D58" s="57" t="s">
        <v>88</v>
      </c>
      <c r="E58" s="57" t="str">
        <f t="array" ref="E58">XLOOKUP(D58,RUC!$B$3:$B$79,RUC!$D$3:$D$79)</f>
        <v>#N/A</v>
      </c>
      <c r="G58" s="3">
        <v>50.0</v>
      </c>
      <c r="H58" s="57" t="s">
        <v>47</v>
      </c>
      <c r="I58" s="58">
        <v>6.67</v>
      </c>
      <c r="J58" s="58">
        <v>1.1</v>
      </c>
      <c r="K58" s="59">
        <f t="shared" si="1"/>
        <v>6.59663</v>
      </c>
      <c r="L58" s="60">
        <v>0.812</v>
      </c>
      <c r="M58" s="60">
        <v>0.779</v>
      </c>
      <c r="N58" s="75">
        <v>0.849</v>
      </c>
      <c r="O58" s="60">
        <f t="shared" si="21"/>
        <v>0.814</v>
      </c>
      <c r="P58" s="63">
        <v>90.0</v>
      </c>
      <c r="Q58" s="64">
        <v>89.93</v>
      </c>
      <c r="R58" s="65">
        <v>2687.45</v>
      </c>
      <c r="S58" s="66">
        <f t="shared" si="34"/>
        <v>165</v>
      </c>
      <c r="U58" s="67">
        <v>90.0</v>
      </c>
      <c r="V58" s="67">
        <v>1.1023</v>
      </c>
      <c r="Z58" s="77">
        <v>25.0</v>
      </c>
      <c r="AA58" s="70">
        <f t="shared" si="27"/>
        <v>25</v>
      </c>
      <c r="AB58" s="71">
        <f t="shared" si="20"/>
        <v>1888.120708</v>
      </c>
      <c r="AC58" s="71">
        <f>+(S58-T58)*V58-'data 1'!$F$4</f>
        <v>101.8795</v>
      </c>
      <c r="AD58" s="71">
        <f t="shared" si="6"/>
        <v>-1.627425336</v>
      </c>
      <c r="AE58" s="71">
        <f t="shared" si="7"/>
        <v>-42.4425</v>
      </c>
      <c r="AF58" s="71">
        <f t="shared" si="8"/>
        <v>-5.149696006</v>
      </c>
      <c r="AG58" s="72">
        <f t="shared" si="33"/>
        <v>69.65987866</v>
      </c>
      <c r="AH58" s="52">
        <f t="shared" si="10"/>
        <v>165.1550347</v>
      </c>
      <c r="AI58" s="73">
        <f t="shared" si="11"/>
        <v>179.1381268</v>
      </c>
      <c r="AJ58" s="73">
        <f t="shared" si="12"/>
        <v>165.690691</v>
      </c>
      <c r="AK58" s="11"/>
      <c r="AL58" s="51">
        <f t="shared" si="15"/>
        <v>12455.23371</v>
      </c>
    </row>
    <row r="59" ht="15.75" customHeight="1">
      <c r="A59" s="54" t="s">
        <v>111</v>
      </c>
      <c r="B59" s="56">
        <v>45674.0</v>
      </c>
      <c r="C59" s="56">
        <v>45668.0</v>
      </c>
      <c r="D59" s="57" t="s">
        <v>88</v>
      </c>
      <c r="E59" s="57" t="str">
        <f t="array" ref="E59">XLOOKUP(D59,RUC!$B$3:$B$79,RUC!$D$3:$D$79)</f>
        <v>#N/A</v>
      </c>
      <c r="G59" s="3">
        <v>50.0</v>
      </c>
      <c r="H59" s="57" t="s">
        <v>47</v>
      </c>
      <c r="I59" s="58">
        <v>6.48</v>
      </c>
      <c r="J59" s="58">
        <v>1.0</v>
      </c>
      <c r="K59" s="59">
        <f t="shared" si="1"/>
        <v>6.4152</v>
      </c>
      <c r="L59" s="60">
        <v>0.569</v>
      </c>
      <c r="M59" s="60">
        <v>0.546</v>
      </c>
      <c r="N59" s="62">
        <v>0.546</v>
      </c>
      <c r="O59" s="60">
        <f t="shared" si="21"/>
        <v>0.546</v>
      </c>
      <c r="P59" s="63">
        <v>90.0</v>
      </c>
      <c r="Q59" s="64">
        <v>90.18</v>
      </c>
      <c r="R59" s="65">
        <v>2687.45</v>
      </c>
      <c r="S59" s="66">
        <f t="shared" si="34"/>
        <v>135</v>
      </c>
      <c r="U59" s="67">
        <v>90.0</v>
      </c>
      <c r="V59" s="67">
        <v>1.1023</v>
      </c>
      <c r="Z59" s="77">
        <v>25.0</v>
      </c>
      <c r="AA59" s="70">
        <f t="shared" si="27"/>
        <v>25</v>
      </c>
      <c r="AB59" s="71">
        <f t="shared" si="20"/>
        <v>1230.593313</v>
      </c>
      <c r="AC59" s="71">
        <f>+(S59-T59)*V59-'data 1'!$F$4</f>
        <v>68.8105</v>
      </c>
      <c r="AD59" s="71">
        <f t="shared" si="6"/>
        <v>2.932457828</v>
      </c>
      <c r="AE59" s="71">
        <f t="shared" si="7"/>
        <v>-42.4425</v>
      </c>
      <c r="AF59" s="71">
        <f t="shared" si="8"/>
        <v>59.3861363</v>
      </c>
      <c r="AG59" s="72">
        <f t="shared" si="33"/>
        <v>105.6865941</v>
      </c>
      <c r="AH59" s="52">
        <f t="shared" si="10"/>
        <v>112.8604473</v>
      </c>
      <c r="AI59" s="73">
        <f t="shared" si="11"/>
        <v>125.8780201</v>
      </c>
      <c r="AJ59" s="73">
        <f t="shared" si="12"/>
        <v>108.0822612</v>
      </c>
      <c r="AK59" s="11"/>
      <c r="AL59" s="51">
        <f t="shared" si="15"/>
        <v>7894.502221</v>
      </c>
    </row>
    <row r="60" ht="15.75" customHeight="1">
      <c r="A60" s="54" t="s">
        <v>112</v>
      </c>
      <c r="B60" s="56">
        <v>45674.0</v>
      </c>
      <c r="C60" s="56">
        <v>45668.0</v>
      </c>
      <c r="D60" s="57" t="s">
        <v>88</v>
      </c>
      <c r="E60" s="57" t="str">
        <f t="array" ref="E60">XLOOKUP(D60,RUC!$B$3:$B$79,RUC!$D$3:$D$79)</f>
        <v>#N/A</v>
      </c>
      <c r="G60" s="3">
        <v>50.0</v>
      </c>
      <c r="H60" s="57" t="s">
        <v>47</v>
      </c>
      <c r="I60" s="58">
        <v>6.41</v>
      </c>
      <c r="J60" s="58">
        <v>1.2</v>
      </c>
      <c r="K60" s="59">
        <f t="shared" si="1"/>
        <v>6.33308</v>
      </c>
      <c r="L60" s="60">
        <v>0.631</v>
      </c>
      <c r="M60" s="60">
        <v>0.605</v>
      </c>
      <c r="N60" s="62">
        <v>0.605</v>
      </c>
      <c r="O60" s="60">
        <f t="shared" si="21"/>
        <v>0.605</v>
      </c>
      <c r="P60" s="63">
        <v>90.0</v>
      </c>
      <c r="Q60" s="64">
        <v>90.34</v>
      </c>
      <c r="R60" s="65">
        <v>2687.45</v>
      </c>
      <c r="S60" s="66">
        <f t="shared" si="34"/>
        <v>145</v>
      </c>
      <c r="U60" s="67">
        <v>90.0</v>
      </c>
      <c r="V60" s="67">
        <v>1.1023</v>
      </c>
      <c r="Z60" s="77">
        <v>25.0</v>
      </c>
      <c r="AA60" s="70">
        <f t="shared" si="27"/>
        <v>25</v>
      </c>
      <c r="AB60" s="71">
        <f t="shared" si="20"/>
        <v>1371.604594</v>
      </c>
      <c r="AC60" s="71">
        <f>+(S60-T60)*V60-'data 1'!$F$4</f>
        <v>79.8335</v>
      </c>
      <c r="AD60" s="71">
        <f t="shared" si="6"/>
        <v>6.142643062</v>
      </c>
      <c r="AE60" s="71">
        <f t="shared" si="7"/>
        <v>-42.4425</v>
      </c>
      <c r="AF60" s="71">
        <f t="shared" si="8"/>
        <v>67.25126191</v>
      </c>
      <c r="AG60" s="72">
        <f t="shared" si="33"/>
        <v>127.784905</v>
      </c>
      <c r="AH60" s="52">
        <f t="shared" si="10"/>
        <v>123.7751578</v>
      </c>
      <c r="AI60" s="73">
        <f t="shared" si="11"/>
        <v>139.8417504</v>
      </c>
      <c r="AJ60" s="73">
        <f t="shared" si="12"/>
        <v>118.2284314</v>
      </c>
      <c r="AK60" s="11"/>
      <c r="AL60" s="51">
        <f t="shared" si="15"/>
        <v>8686.481622</v>
      </c>
    </row>
    <row r="61" ht="15.75" customHeight="1">
      <c r="A61" s="54" t="s">
        <v>113</v>
      </c>
      <c r="B61" s="56">
        <v>45674.0</v>
      </c>
      <c r="C61" s="56">
        <v>45668.0</v>
      </c>
      <c r="D61" s="57" t="s">
        <v>88</v>
      </c>
      <c r="E61" s="57" t="str">
        <f t="array" ref="E61">XLOOKUP(D61,RUC!$B$3:$B$79,RUC!$D$3:$D$79)</f>
        <v>#N/A</v>
      </c>
      <c r="G61" s="3">
        <v>50.0</v>
      </c>
      <c r="H61" s="57" t="s">
        <v>47</v>
      </c>
      <c r="I61" s="58">
        <v>6.99</v>
      </c>
      <c r="J61" s="58">
        <v>1.1</v>
      </c>
      <c r="K61" s="59">
        <f t="shared" si="1"/>
        <v>6.91311</v>
      </c>
      <c r="L61" s="60">
        <v>0.618</v>
      </c>
      <c r="M61" s="60">
        <v>0.593</v>
      </c>
      <c r="N61" s="62">
        <v>0.593</v>
      </c>
      <c r="O61" s="60">
        <f t="shared" si="21"/>
        <v>0.593</v>
      </c>
      <c r="P61" s="63">
        <v>90.0</v>
      </c>
      <c r="Q61" s="64">
        <v>90.08</v>
      </c>
      <c r="R61" s="65">
        <v>2687.45</v>
      </c>
      <c r="S61" s="66">
        <f t="shared" si="34"/>
        <v>135</v>
      </c>
      <c r="U61" s="67">
        <v>90.0</v>
      </c>
      <c r="V61" s="67">
        <v>1.1023</v>
      </c>
      <c r="Z61" s="77">
        <v>25.0</v>
      </c>
      <c r="AA61" s="70">
        <f t="shared" si="27"/>
        <v>25</v>
      </c>
      <c r="AB61" s="71">
        <f t="shared" si="20"/>
        <v>1351.705367</v>
      </c>
      <c r="AC61" s="71">
        <f>+(S61-T61)*V61-'data 1'!$F$4</f>
        <v>68.8105</v>
      </c>
      <c r="AD61" s="71">
        <f t="shared" si="6"/>
        <v>1.41555082</v>
      </c>
      <c r="AE61" s="71">
        <f t="shared" si="7"/>
        <v>-42.4425</v>
      </c>
      <c r="AF61" s="71">
        <f t="shared" si="8"/>
        <v>64.47856892</v>
      </c>
      <c r="AG61" s="72">
        <f t="shared" si="33"/>
        <v>109.2621197</v>
      </c>
      <c r="AH61" s="52">
        <f t="shared" si="10"/>
        <v>131.9469602</v>
      </c>
      <c r="AI61" s="73">
        <f t="shared" si="11"/>
        <v>136.566525</v>
      </c>
      <c r="AJ61" s="73">
        <f t="shared" si="12"/>
        <v>126.4968583</v>
      </c>
      <c r="AK61" s="11"/>
      <c r="AL61" s="51">
        <f t="shared" si="15"/>
        <v>9344.487892</v>
      </c>
    </row>
    <row r="62" ht="15.75" customHeight="1">
      <c r="A62" s="54" t="s">
        <v>114</v>
      </c>
      <c r="B62" s="56">
        <v>45674.0</v>
      </c>
      <c r="C62" s="56">
        <v>45668.0</v>
      </c>
      <c r="D62" s="57" t="s">
        <v>88</v>
      </c>
      <c r="E62" s="57" t="str">
        <f t="array" ref="E62">XLOOKUP(D62,RUC!$B$3:$B$79,RUC!$D$3:$D$79)</f>
        <v>#N/A</v>
      </c>
      <c r="G62" s="3">
        <v>50.0</v>
      </c>
      <c r="H62" s="57" t="s">
        <v>47</v>
      </c>
      <c r="I62" s="58">
        <v>5.15</v>
      </c>
      <c r="J62" s="58">
        <v>1.0</v>
      </c>
      <c r="K62" s="59">
        <f t="shared" si="1"/>
        <v>5.0985</v>
      </c>
      <c r="L62" s="60">
        <v>0.393</v>
      </c>
      <c r="M62" s="60">
        <v>0.377</v>
      </c>
      <c r="N62" s="62">
        <v>0.377</v>
      </c>
      <c r="O62" s="60">
        <f t="shared" si="21"/>
        <v>0.377</v>
      </c>
      <c r="P62" s="63">
        <v>90.0</v>
      </c>
      <c r="Q62" s="64">
        <v>90.32</v>
      </c>
      <c r="R62" s="65">
        <v>2687.45</v>
      </c>
      <c r="S62" s="66">
        <f t="shared" si="34"/>
        <v>115</v>
      </c>
      <c r="U62" s="67">
        <v>90.0</v>
      </c>
      <c r="V62" s="67">
        <v>1.1023</v>
      </c>
      <c r="Z62" s="77">
        <v>25.0</v>
      </c>
      <c r="AA62" s="70">
        <f t="shared" si="27"/>
        <v>25</v>
      </c>
      <c r="AB62" s="71">
        <f t="shared" si="20"/>
        <v>817.1512875</v>
      </c>
      <c r="AC62" s="71">
        <f>+(S62-T62)*V62-'data 1'!$F$4</f>
        <v>46.7645</v>
      </c>
      <c r="AD62" s="71">
        <f t="shared" si="6"/>
        <v>3.600721504</v>
      </c>
      <c r="AE62" s="71">
        <f t="shared" si="7"/>
        <v>-42.4425</v>
      </c>
      <c r="AF62" s="71">
        <f t="shared" si="8"/>
        <v>41.3762298</v>
      </c>
      <c r="AG62" s="72">
        <f t="shared" si="33"/>
        <v>66.29895131</v>
      </c>
      <c r="AH62" s="52">
        <f t="shared" si="10"/>
        <v>62.0480264</v>
      </c>
      <c r="AI62" s="73">
        <f t="shared" si="11"/>
        <v>87.07708564</v>
      </c>
      <c r="AJ62" s="73">
        <f t="shared" si="12"/>
        <v>59.3110145</v>
      </c>
      <c r="AK62" s="11"/>
      <c r="AL62" s="51">
        <f t="shared" si="15"/>
        <v>4166.245839</v>
      </c>
    </row>
    <row r="63" ht="15.75" customHeight="1">
      <c r="A63" s="54" t="s">
        <v>115</v>
      </c>
      <c r="B63" s="56">
        <v>45673.0</v>
      </c>
      <c r="C63" s="56">
        <v>45670.0</v>
      </c>
      <c r="D63" s="57" t="s">
        <v>51</v>
      </c>
      <c r="E63" s="57" t="str">
        <f t="array" ref="E63">XLOOKUP(D63,RUC!$B$3:$B$79,RUC!$D$3:$D$79)</f>
        <v>#N/A</v>
      </c>
      <c r="G63" s="3">
        <v>275.0</v>
      </c>
      <c r="H63" s="57" t="s">
        <v>47</v>
      </c>
      <c r="I63" s="58">
        <v>31.75</v>
      </c>
      <c r="J63" s="58">
        <v>1.5</v>
      </c>
      <c r="K63" s="59">
        <f t="shared" si="1"/>
        <v>31.27375</v>
      </c>
      <c r="L63" s="60">
        <v>0.529</v>
      </c>
      <c r="M63" s="60">
        <v>0.507</v>
      </c>
      <c r="N63" s="62">
        <v>0.507</v>
      </c>
      <c r="O63" s="60">
        <f t="shared" si="21"/>
        <v>0.507</v>
      </c>
      <c r="P63" s="63">
        <v>90.0</v>
      </c>
      <c r="Q63" s="64">
        <v>89.92</v>
      </c>
      <c r="R63" s="65">
        <v>2669.5</v>
      </c>
      <c r="S63" s="66">
        <f t="shared" ref="S63:S67" si="35">IF((90+ROUNDDOWN(O63,1)*100)&lt;95,95,(90+ROUNDDOWN(O63,1)*100))</f>
        <v>140</v>
      </c>
      <c r="U63" s="67">
        <v>100.0</v>
      </c>
      <c r="V63" s="67">
        <v>1.1023</v>
      </c>
      <c r="Z63" s="69">
        <f t="shared" ref="Z63:Z74" si="36">IF(IF(D63="UNTUCA",IF(+((W63-3)*1.5+(X63-3)*3.1)&gt;0,+((W63-3)*1.5+(X63-3)*3.1),0),IF(+((W63-3)*1.5+(X63-3)*3.1)&gt;0,+((W63-3)*1.5+(X63-3)*3.1),0))&lt;30,30,IF(D63="UNTUCA",IF(+((W63-3)*1.5+(X63-3)*3.1)&gt;0,+((W63-3)*1.5+(X63-3)*3.1),0),IF(+((W63-3)*1.5+(X63-3)*3.1)&gt;0,+((W63-3)*1.5+(X63-3)*3.1),0)))</f>
        <v>30</v>
      </c>
      <c r="AA63" s="70">
        <f t="shared" si="27"/>
        <v>30</v>
      </c>
      <c r="AB63" s="71">
        <f t="shared" si="20"/>
        <v>1105.0148</v>
      </c>
      <c r="AC63" s="71">
        <f>+(S63-T63)*V63-'data 1'!$F$4</f>
        <v>74.322</v>
      </c>
      <c r="AD63" s="71">
        <f t="shared" si="6"/>
        <v>-1.198654689</v>
      </c>
      <c r="AE63" s="71">
        <f t="shared" si="7"/>
        <v>-36.931</v>
      </c>
      <c r="AF63" s="71">
        <f t="shared" si="8"/>
        <v>56.0308755</v>
      </c>
      <c r="AG63" s="72">
        <f>+IF(D63="RONALD WILLIAN GARIBAY ESCUDERO",AC63+AD63+AE63+AF63+70,AC63+AD63+AE63+AF63)</f>
        <v>162.2232208</v>
      </c>
      <c r="AH63" s="52">
        <f t="shared" si="10"/>
        <v>510.036198</v>
      </c>
      <c r="AI63" s="73">
        <f t="shared" si="11"/>
        <v>131.3468034</v>
      </c>
      <c r="AJ63" s="73">
        <f t="shared" si="12"/>
        <v>489.2597603</v>
      </c>
      <c r="AK63" s="11"/>
      <c r="AL63" s="51">
        <f t="shared" si="15"/>
        <v>34557.95659</v>
      </c>
    </row>
    <row r="64" ht="15.75" customHeight="1">
      <c r="A64" s="54" t="s">
        <v>116</v>
      </c>
      <c r="B64" s="56">
        <v>45672.0</v>
      </c>
      <c r="C64" s="56">
        <v>45670.0</v>
      </c>
      <c r="D64" s="57" t="s">
        <v>67</v>
      </c>
      <c r="E64" s="57">
        <f t="array" ref="E64">XLOOKUP(D64,RUC!$B$3:$B$79,RUC!$D$3:$D$79)</f>
        <v>20606094010</v>
      </c>
      <c r="G64" s="3">
        <v>90.0</v>
      </c>
      <c r="H64" s="57" t="s">
        <v>47</v>
      </c>
      <c r="I64" s="58">
        <v>7.66</v>
      </c>
      <c r="J64" s="58">
        <v>1.0</v>
      </c>
      <c r="K64" s="59">
        <f t="shared" si="1"/>
        <v>7.5834</v>
      </c>
      <c r="L64" s="60">
        <v>0.691</v>
      </c>
      <c r="M64" s="60">
        <v>0.663</v>
      </c>
      <c r="N64" s="62">
        <v>0.663</v>
      </c>
      <c r="O64" s="60">
        <f t="shared" si="21"/>
        <v>0.663</v>
      </c>
      <c r="P64" s="63">
        <v>90.0</v>
      </c>
      <c r="Q64" s="64">
        <v>89.9</v>
      </c>
      <c r="R64" s="65">
        <v>2669.5</v>
      </c>
      <c r="S64" s="66">
        <f t="shared" si="35"/>
        <v>150</v>
      </c>
      <c r="U64" s="67">
        <v>120.0</v>
      </c>
      <c r="V64" s="67">
        <v>1.1023</v>
      </c>
      <c r="Y64" s="57">
        <v>20.0</v>
      </c>
      <c r="Z64" s="69">
        <f t="shared" si="36"/>
        <v>30</v>
      </c>
      <c r="AA64" s="70">
        <f t="shared" si="27"/>
        <v>50</v>
      </c>
      <c r="AB64" s="71">
        <f t="shared" si="20"/>
        <v>1456.454274</v>
      </c>
      <c r="AC64" s="71">
        <f>+(S64-T64)*V64-'data 1'!$F$4</f>
        <v>85.345</v>
      </c>
      <c r="AD64" s="71">
        <f t="shared" si="6"/>
        <v>-1.94192687</v>
      </c>
      <c r="AE64" s="71">
        <f t="shared" si="7"/>
        <v>-14.885</v>
      </c>
      <c r="AF64" s="71">
        <f t="shared" si="8"/>
        <v>70.74122023</v>
      </c>
      <c r="AG64" s="72">
        <f t="shared" ref="AG64:AG74" si="37">+IF(D64="RONALD WILLIAN GARIBAY ESCUDERO",AC64+AD64+AE64+AF64+70,AC64+AD64+AE64+AF64)+70-53</f>
        <v>156.2592934</v>
      </c>
      <c r="AH64" s="52">
        <f t="shared" si="10"/>
        <v>161.5142231</v>
      </c>
      <c r="AI64" s="73">
        <f t="shared" si="11"/>
        <v>185.2272231</v>
      </c>
      <c r="AJ64" s="73">
        <f t="shared" si="12"/>
        <v>155.1418877</v>
      </c>
      <c r="AK64" s="11"/>
      <c r="AL64" s="51">
        <f t="shared" si="15"/>
        <v>11044.87534</v>
      </c>
    </row>
    <row r="65" ht="15.75" customHeight="1">
      <c r="A65" s="54" t="s">
        <v>117</v>
      </c>
      <c r="B65" s="56">
        <v>45673.0</v>
      </c>
      <c r="C65" s="56">
        <v>45670.0</v>
      </c>
      <c r="D65" s="57" t="s">
        <v>61</v>
      </c>
      <c r="E65" s="57">
        <f t="array" ref="E65">XLOOKUP(D65,RUC!$B$3:$B$79,RUC!$D$3:$D$79)</f>
        <v>20606526599</v>
      </c>
      <c r="G65" s="3">
        <v>78.0</v>
      </c>
      <c r="H65" s="57" t="s">
        <v>47</v>
      </c>
      <c r="I65" s="58">
        <v>6.1</v>
      </c>
      <c r="J65" s="58">
        <v>1.2</v>
      </c>
      <c r="K65" s="59">
        <f t="shared" si="1"/>
        <v>6.0268</v>
      </c>
      <c r="L65" s="60">
        <v>0.167</v>
      </c>
      <c r="M65" s="60">
        <v>0.157</v>
      </c>
      <c r="N65" s="62">
        <v>0.157</v>
      </c>
      <c r="O65" s="60">
        <f t="shared" si="21"/>
        <v>0.157</v>
      </c>
      <c r="P65" s="63">
        <v>90.0</v>
      </c>
      <c r="Q65" s="64">
        <v>90.09</v>
      </c>
      <c r="R65" s="65">
        <v>2669.5</v>
      </c>
      <c r="S65" s="66">
        <f t="shared" si="35"/>
        <v>100</v>
      </c>
      <c r="U65" s="67">
        <v>120.0</v>
      </c>
      <c r="V65" s="67">
        <v>1.1023</v>
      </c>
      <c r="Y65" s="57">
        <v>20.0</v>
      </c>
      <c r="Z65" s="69">
        <f t="shared" si="36"/>
        <v>30</v>
      </c>
      <c r="AA65" s="70">
        <f t="shared" si="27"/>
        <v>50</v>
      </c>
      <c r="AB65" s="71">
        <f t="shared" si="20"/>
        <v>231.752347</v>
      </c>
      <c r="AC65" s="71">
        <f>+(S65-T65)*V65-'data 1'!$F$4</f>
        <v>30.23</v>
      </c>
      <c r="AD65" s="71">
        <f t="shared" si="6"/>
        <v>0.4223901717</v>
      </c>
      <c r="AE65" s="71">
        <f t="shared" si="7"/>
        <v>-14.885</v>
      </c>
      <c r="AF65" s="71">
        <f t="shared" si="8"/>
        <v>25.31811747</v>
      </c>
      <c r="AG65" s="72">
        <f t="shared" si="37"/>
        <v>58.08550765</v>
      </c>
      <c r="AH65" s="52">
        <f t="shared" si="10"/>
        <v>31.08772252</v>
      </c>
      <c r="AI65" s="73">
        <f t="shared" si="11"/>
        <v>44.86008942</v>
      </c>
      <c r="AJ65" s="73">
        <f t="shared" si="12"/>
        <v>29.19698527</v>
      </c>
      <c r="AK65" s="11"/>
      <c r="AL65" s="51">
        <f t="shared" si="15"/>
        <v>1396.725045</v>
      </c>
    </row>
    <row r="66" ht="15.75" customHeight="1">
      <c r="A66" s="54" t="s">
        <v>118</v>
      </c>
      <c r="B66" s="56">
        <v>45673.0</v>
      </c>
      <c r="C66" s="56">
        <v>45670.0</v>
      </c>
      <c r="D66" s="57" t="s">
        <v>61</v>
      </c>
      <c r="E66" s="57">
        <f t="array" ref="E66">XLOOKUP(D66,RUC!$B$3:$B$79,RUC!$D$3:$D$79)</f>
        <v>20606526599</v>
      </c>
      <c r="G66" s="3">
        <v>87.0</v>
      </c>
      <c r="H66" s="57" t="s">
        <v>47</v>
      </c>
      <c r="I66" s="58">
        <v>6.07</v>
      </c>
      <c r="J66" s="58">
        <v>1.1</v>
      </c>
      <c r="K66" s="59">
        <f t="shared" si="1"/>
        <v>6.00323</v>
      </c>
      <c r="L66" s="60">
        <v>0.239</v>
      </c>
      <c r="M66" s="60">
        <v>0.229</v>
      </c>
      <c r="N66" s="75">
        <v>0.297</v>
      </c>
      <c r="O66" s="60">
        <f t="shared" si="21"/>
        <v>0.263</v>
      </c>
      <c r="P66" s="63">
        <v>90.0</v>
      </c>
      <c r="Q66" s="64">
        <v>90.11</v>
      </c>
      <c r="R66" s="65">
        <v>2669.5</v>
      </c>
      <c r="S66" s="66">
        <f t="shared" si="35"/>
        <v>110</v>
      </c>
      <c r="U66" s="67">
        <v>120.0</v>
      </c>
      <c r="V66" s="67">
        <v>1.1023</v>
      </c>
      <c r="Y66" s="57">
        <v>20.0</v>
      </c>
      <c r="Z66" s="69">
        <f t="shared" si="36"/>
        <v>30</v>
      </c>
      <c r="AA66" s="70">
        <f t="shared" si="27"/>
        <v>50</v>
      </c>
      <c r="AB66" s="71">
        <f t="shared" si="20"/>
        <v>488.8332883</v>
      </c>
      <c r="AC66" s="71">
        <f>+(S66-T66)*V66-'data 1'!$F$4</f>
        <v>41.253</v>
      </c>
      <c r="AD66" s="71">
        <f t="shared" si="6"/>
        <v>0.7388315112</v>
      </c>
      <c r="AE66" s="71">
        <f t="shared" si="7"/>
        <v>-14.885</v>
      </c>
      <c r="AF66" s="71">
        <f t="shared" si="8"/>
        <v>-60.77697145</v>
      </c>
      <c r="AG66" s="72">
        <f t="shared" si="37"/>
        <v>-16.67013993</v>
      </c>
      <c r="AH66" s="52">
        <f t="shared" si="10"/>
        <v>44.32665326</v>
      </c>
      <c r="AI66" s="73">
        <f t="shared" si="11"/>
        <v>64.21521892</v>
      </c>
      <c r="AJ66" s="73">
        <f t="shared" si="12"/>
        <v>48.71832069</v>
      </c>
      <c r="AK66" s="11"/>
      <c r="AL66" s="51">
        <f t="shared" si="15"/>
        <v>2934.578661</v>
      </c>
    </row>
    <row r="67" ht="15.75" customHeight="1">
      <c r="A67" s="54" t="s">
        <v>119</v>
      </c>
      <c r="B67" s="56">
        <v>45673.0</v>
      </c>
      <c r="C67" s="56">
        <v>45670.0</v>
      </c>
      <c r="D67" s="57" t="s">
        <v>63</v>
      </c>
      <c r="E67" s="57" t="str">
        <f t="array" ref="E67">XLOOKUP(D67,RUC!$B$3:$B$79,RUC!$D$3:$D$79)</f>
        <v>#N/A</v>
      </c>
      <c r="G67" s="3">
        <v>100.0</v>
      </c>
      <c r="H67" s="57" t="s">
        <v>47</v>
      </c>
      <c r="I67" s="58">
        <v>8.61</v>
      </c>
      <c r="J67" s="58">
        <v>1.2</v>
      </c>
      <c r="K67" s="59">
        <f t="shared" si="1"/>
        <v>8.50668</v>
      </c>
      <c r="L67" s="60">
        <v>0.56</v>
      </c>
      <c r="M67" s="60">
        <v>0.537</v>
      </c>
      <c r="N67" s="75">
        <v>0.57</v>
      </c>
      <c r="O67" s="60">
        <f t="shared" si="21"/>
        <v>0.554</v>
      </c>
      <c r="P67" s="63">
        <v>90.0</v>
      </c>
      <c r="Q67" s="64">
        <v>89.96</v>
      </c>
      <c r="R67" s="65">
        <v>2669.5</v>
      </c>
      <c r="S67" s="66">
        <f t="shared" si="35"/>
        <v>140</v>
      </c>
      <c r="U67" s="67">
        <v>120.0</v>
      </c>
      <c r="V67" s="67">
        <v>1.1023</v>
      </c>
      <c r="Y67" s="57">
        <v>20.0</v>
      </c>
      <c r="Z67" s="69">
        <f t="shared" si="36"/>
        <v>30</v>
      </c>
      <c r="AA67" s="70">
        <f t="shared" si="27"/>
        <v>50</v>
      </c>
      <c r="AB67" s="71">
        <f t="shared" si="20"/>
        <v>1191.785486</v>
      </c>
      <c r="AC67" s="71">
        <f>+(S67-T67)*V67-'data 1'!$F$4</f>
        <v>74.322</v>
      </c>
      <c r="AD67" s="71">
        <f t="shared" si="6"/>
        <v>-0.6295103024</v>
      </c>
      <c r="AE67" s="71">
        <f t="shared" si="7"/>
        <v>-14.885</v>
      </c>
      <c r="AF67" s="71">
        <f t="shared" si="8"/>
        <v>15.16895004</v>
      </c>
      <c r="AG67" s="72">
        <f t="shared" si="37"/>
        <v>90.97643973</v>
      </c>
      <c r="AH67" s="52">
        <f t="shared" si="10"/>
        <v>146.928701</v>
      </c>
      <c r="AI67" s="73">
        <f t="shared" si="11"/>
        <v>150.211973</v>
      </c>
      <c r="AJ67" s="73">
        <f t="shared" si="12"/>
        <v>145.4190957</v>
      </c>
      <c r="AK67" s="11"/>
      <c r="AL67" s="51">
        <f t="shared" si="15"/>
        <v>10138.13775</v>
      </c>
    </row>
    <row r="68" ht="15.75" customHeight="1">
      <c r="A68" s="54" t="s">
        <v>120</v>
      </c>
      <c r="B68" s="56">
        <v>45674.0</v>
      </c>
      <c r="C68" s="56">
        <v>45670.0</v>
      </c>
      <c r="D68" s="57" t="s">
        <v>121</v>
      </c>
      <c r="E68" s="57">
        <f t="array" ref="E68">XLOOKUP(D68,RUC!$B$3:$B$79,RUC!$D$3:$D$79)</f>
        <v>20611329556</v>
      </c>
      <c r="G68" s="3">
        <v>130.0</v>
      </c>
      <c r="H68" s="57" t="s">
        <v>47</v>
      </c>
      <c r="I68" s="58">
        <v>12.26</v>
      </c>
      <c r="J68" s="58">
        <v>1.1</v>
      </c>
      <c r="K68" s="59">
        <f t="shared" si="1"/>
        <v>12.12514</v>
      </c>
      <c r="L68" s="60">
        <v>0.399</v>
      </c>
      <c r="M68" s="60">
        <v>0.383</v>
      </c>
      <c r="N68" s="62">
        <v>0.383</v>
      </c>
      <c r="O68" s="60">
        <f t="shared" si="21"/>
        <v>0.383</v>
      </c>
      <c r="P68" s="63">
        <v>90.0</v>
      </c>
      <c r="Q68" s="64">
        <v>90.09</v>
      </c>
      <c r="R68" s="65">
        <v>2669.5</v>
      </c>
      <c r="S68" s="76">
        <v>115.0</v>
      </c>
      <c r="U68" s="67">
        <v>120.0</v>
      </c>
      <c r="V68" s="67">
        <v>1.1023</v>
      </c>
      <c r="Y68" s="57">
        <v>20.0</v>
      </c>
      <c r="Z68" s="69">
        <f t="shared" si="36"/>
        <v>30</v>
      </c>
      <c r="AA68" s="70">
        <f t="shared" si="27"/>
        <v>50</v>
      </c>
      <c r="AB68" s="71">
        <f t="shared" si="20"/>
        <v>786.8356841</v>
      </c>
      <c r="AC68" s="71">
        <f>+(S68-T68)*V68-'data 1'!$F$4</f>
        <v>46.7645</v>
      </c>
      <c r="AD68" s="71">
        <f t="shared" si="6"/>
        <v>1.009183704</v>
      </c>
      <c r="AE68" s="71">
        <f t="shared" si="7"/>
        <v>-14.885</v>
      </c>
      <c r="AF68" s="71">
        <f t="shared" si="8"/>
        <v>40.50898796</v>
      </c>
      <c r="AG68" s="72">
        <f t="shared" si="37"/>
        <v>90.39767166</v>
      </c>
      <c r="AH68" s="52">
        <f t="shared" si="10"/>
        <v>149.4325865</v>
      </c>
      <c r="AI68" s="73">
        <f t="shared" si="11"/>
        <v>107.1806927</v>
      </c>
      <c r="AJ68" s="73">
        <f t="shared" si="12"/>
        <v>143.2970053</v>
      </c>
      <c r="AK68" s="11"/>
      <c r="AL68" s="51">
        <f t="shared" si="15"/>
        <v>9540.492827</v>
      </c>
    </row>
    <row r="69" ht="15.75" customHeight="1">
      <c r="A69" s="54" t="s">
        <v>122</v>
      </c>
      <c r="B69" s="56">
        <v>45674.0</v>
      </c>
      <c r="C69" s="56">
        <v>45670.0</v>
      </c>
      <c r="D69" s="57" t="s">
        <v>121</v>
      </c>
      <c r="E69" s="57">
        <f t="array" ref="E69">XLOOKUP(D69,RUC!$B$3:$B$79,RUC!$D$3:$D$79)</f>
        <v>20611329556</v>
      </c>
      <c r="G69" s="3">
        <v>110.0</v>
      </c>
      <c r="H69" s="57" t="s">
        <v>47</v>
      </c>
      <c r="I69" s="58">
        <v>9.86</v>
      </c>
      <c r="J69" s="58">
        <v>1.15</v>
      </c>
      <c r="K69" s="59">
        <f t="shared" si="1"/>
        <v>9.74661</v>
      </c>
      <c r="L69" s="60">
        <v>0.559</v>
      </c>
      <c r="M69" s="60">
        <v>0.536</v>
      </c>
      <c r="N69" s="62">
        <v>0.536</v>
      </c>
      <c r="O69" s="60">
        <f t="shared" si="21"/>
        <v>0.536</v>
      </c>
      <c r="P69" s="63">
        <v>90.0</v>
      </c>
      <c r="Q69" s="64">
        <v>90.15</v>
      </c>
      <c r="R69" s="65">
        <v>2669.5</v>
      </c>
      <c r="S69" s="76">
        <v>135.0</v>
      </c>
      <c r="U69" s="67">
        <v>120.0</v>
      </c>
      <c r="V69" s="67">
        <v>1.1023</v>
      </c>
      <c r="Y69" s="57">
        <v>20.0</v>
      </c>
      <c r="Z69" s="69">
        <f t="shared" si="36"/>
        <v>30</v>
      </c>
      <c r="AA69" s="70">
        <f t="shared" si="27"/>
        <v>50</v>
      </c>
      <c r="AB69" s="71">
        <f t="shared" si="20"/>
        <v>1151.769901</v>
      </c>
      <c r="AC69" s="71">
        <f>+(S69-T69)*V69-'data 1'!$F$4</f>
        <v>68.8105</v>
      </c>
      <c r="AD69" s="71">
        <f t="shared" si="6"/>
        <v>2.356448163</v>
      </c>
      <c r="AE69" s="71">
        <f t="shared" si="7"/>
        <v>-14.885</v>
      </c>
      <c r="AF69" s="71">
        <f t="shared" si="8"/>
        <v>58.27045252</v>
      </c>
      <c r="AG69" s="72">
        <f t="shared" si="37"/>
        <v>131.5524007</v>
      </c>
      <c r="AH69" s="52">
        <f t="shared" si="10"/>
        <v>168.399267</v>
      </c>
      <c r="AI69" s="73">
        <f t="shared" si="11"/>
        <v>150.260426</v>
      </c>
      <c r="AJ69" s="73">
        <f t="shared" si="12"/>
        <v>161.201826</v>
      </c>
      <c r="AK69" s="11"/>
      <c r="AL69" s="51">
        <f t="shared" si="15"/>
        <v>11225.85204</v>
      </c>
    </row>
    <row r="70" ht="15.75" customHeight="1">
      <c r="A70" s="54" t="s">
        <v>123</v>
      </c>
      <c r="B70" s="56">
        <v>45674.0</v>
      </c>
      <c r="C70" s="56">
        <v>45671.0</v>
      </c>
      <c r="D70" s="57" t="s">
        <v>104</v>
      </c>
      <c r="E70" s="57">
        <f t="array" ref="E70">XLOOKUP(D70,RUC!$B$3:$B$79,RUC!$D$3:$D$79)</f>
        <v>10479968131</v>
      </c>
      <c r="G70" s="3">
        <v>39.0</v>
      </c>
      <c r="H70" s="57" t="s">
        <v>40</v>
      </c>
      <c r="I70" s="58">
        <v>1.53</v>
      </c>
      <c r="J70" s="58">
        <v>18.5</v>
      </c>
      <c r="K70" s="59">
        <f t="shared" si="1"/>
        <v>1.24695</v>
      </c>
      <c r="L70" s="60">
        <v>0.413</v>
      </c>
      <c r="M70" s="60">
        <v>0.396</v>
      </c>
      <c r="N70" s="62">
        <v>0.396</v>
      </c>
      <c r="O70" s="60">
        <f t="shared" si="21"/>
        <v>0.396</v>
      </c>
      <c r="P70" s="63">
        <v>90.0</v>
      </c>
      <c r="Q70" s="64">
        <v>89.89</v>
      </c>
      <c r="R70" s="65">
        <v>2667.0</v>
      </c>
      <c r="S70" s="66">
        <f t="shared" ref="S70:S74" si="38">IF((90+ROUNDDOWN(O70,1)*100)&lt;95,95,(90+ROUNDDOWN(O70,1)*100))</f>
        <v>120</v>
      </c>
      <c r="U70" s="67">
        <v>120.0</v>
      </c>
      <c r="V70" s="67">
        <v>1.1023</v>
      </c>
      <c r="Y70" s="57">
        <v>20.0</v>
      </c>
      <c r="Z70" s="69">
        <f t="shared" si="36"/>
        <v>30</v>
      </c>
      <c r="AA70" s="70">
        <f t="shared" si="27"/>
        <v>50</v>
      </c>
      <c r="AB70" s="71">
        <f t="shared" si="20"/>
        <v>813.2227068</v>
      </c>
      <c r="AC70" s="71">
        <f>+(S70-T70)*V70-'data 1'!$F$4</f>
        <v>52.276</v>
      </c>
      <c r="AD70" s="71">
        <f t="shared" si="6"/>
        <v>-1.275473645</v>
      </c>
      <c r="AE70" s="71">
        <f t="shared" si="7"/>
        <v>-14.885</v>
      </c>
      <c r="AF70" s="71">
        <f t="shared" si="8"/>
        <v>42.90313759</v>
      </c>
      <c r="AG70" s="72">
        <f t="shared" si="37"/>
        <v>96.01866395</v>
      </c>
      <c r="AH70" s="52">
        <f t="shared" si="10"/>
        <v>15.87155728</v>
      </c>
      <c r="AI70" s="73">
        <f t="shared" si="11"/>
        <v>111.7181889</v>
      </c>
      <c r="AJ70" s="73">
        <f t="shared" si="12"/>
        <v>15.23687147</v>
      </c>
      <c r="AK70" s="11"/>
      <c r="AL70" s="51">
        <f t="shared" si="15"/>
        <v>1014.048054</v>
      </c>
    </row>
    <row r="71" ht="15.75" customHeight="1">
      <c r="A71" s="54" t="s">
        <v>124</v>
      </c>
      <c r="B71" s="56">
        <v>45674.0</v>
      </c>
      <c r="C71" s="56">
        <v>45671.0</v>
      </c>
      <c r="D71" s="57" t="s">
        <v>104</v>
      </c>
      <c r="E71" s="57">
        <f t="array" ref="E71">XLOOKUP(D71,RUC!$B$3:$B$79,RUC!$D$3:$D$79)</f>
        <v>10479968131</v>
      </c>
      <c r="G71" s="3">
        <v>110.0</v>
      </c>
      <c r="H71" s="57" t="s">
        <v>40</v>
      </c>
      <c r="I71" s="58">
        <v>4.17</v>
      </c>
      <c r="J71" s="58">
        <v>18.35</v>
      </c>
      <c r="K71" s="59">
        <f t="shared" si="1"/>
        <v>3.404805</v>
      </c>
      <c r="L71" s="60">
        <v>0.53</v>
      </c>
      <c r="M71" s="60">
        <v>0.509</v>
      </c>
      <c r="N71" s="62">
        <v>0.509</v>
      </c>
      <c r="O71" s="60">
        <f t="shared" si="21"/>
        <v>0.509</v>
      </c>
      <c r="P71" s="63">
        <v>90.0</v>
      </c>
      <c r="Q71" s="64">
        <v>89.92</v>
      </c>
      <c r="R71" s="65">
        <v>2667.0</v>
      </c>
      <c r="S71" s="66">
        <f t="shared" si="38"/>
        <v>140</v>
      </c>
      <c r="U71" s="67">
        <v>120.0</v>
      </c>
      <c r="V71" s="67">
        <v>1.1023</v>
      </c>
      <c r="Y71" s="57">
        <v>20.0</v>
      </c>
      <c r="Z71" s="69">
        <f t="shared" si="36"/>
        <v>30</v>
      </c>
      <c r="AA71" s="70">
        <f t="shared" si="27"/>
        <v>50</v>
      </c>
      <c r="AB71" s="71">
        <f t="shared" si="20"/>
        <v>1076.705366</v>
      </c>
      <c r="AC71" s="71">
        <f>+(S71-T71)*V71-'data 1'!$F$4</f>
        <v>74.322</v>
      </c>
      <c r="AD71" s="71">
        <f t="shared" si="6"/>
        <v>-1.190404634</v>
      </c>
      <c r="AE71" s="71">
        <f t="shared" si="7"/>
        <v>-14.885</v>
      </c>
      <c r="AF71" s="71">
        <f t="shared" si="8"/>
        <v>53.01568111</v>
      </c>
      <c r="AG71" s="72">
        <f t="shared" si="37"/>
        <v>128.2622765</v>
      </c>
      <c r="AH71" s="52">
        <f t="shared" si="10"/>
        <v>55.63312827</v>
      </c>
      <c r="AI71" s="73">
        <f t="shared" si="11"/>
        <v>143.4150149</v>
      </c>
      <c r="AJ71" s="73">
        <f t="shared" si="12"/>
        <v>53.47633129</v>
      </c>
      <c r="AK71" s="11"/>
      <c r="AL71" s="51">
        <f t="shared" si="15"/>
        <v>3665.971812</v>
      </c>
    </row>
    <row r="72" ht="15.75" customHeight="1">
      <c r="A72" s="54" t="s">
        <v>125</v>
      </c>
      <c r="B72" s="56">
        <v>45674.0</v>
      </c>
      <c r="C72" s="56">
        <v>45671.0</v>
      </c>
      <c r="D72" s="57" t="s">
        <v>104</v>
      </c>
      <c r="E72" s="57">
        <f t="array" ref="E72">XLOOKUP(D72,RUC!$B$3:$B$79,RUC!$D$3:$D$79)</f>
        <v>10479968131</v>
      </c>
      <c r="G72" s="3">
        <v>40.0</v>
      </c>
      <c r="H72" s="57" t="s">
        <v>40</v>
      </c>
      <c r="I72" s="58">
        <v>3.42</v>
      </c>
      <c r="J72" s="58">
        <v>18.0</v>
      </c>
      <c r="K72" s="59">
        <f t="shared" si="1"/>
        <v>2.8044</v>
      </c>
      <c r="L72" s="60">
        <v>0.626</v>
      </c>
      <c r="M72" s="60">
        <v>0.6</v>
      </c>
      <c r="N72" s="62">
        <v>0.6</v>
      </c>
      <c r="O72" s="60">
        <f t="shared" si="21"/>
        <v>0.6</v>
      </c>
      <c r="P72" s="63">
        <v>90.0</v>
      </c>
      <c r="Q72" s="64">
        <v>89.75</v>
      </c>
      <c r="R72" s="65">
        <v>2667.0</v>
      </c>
      <c r="S72" s="66">
        <f t="shared" si="38"/>
        <v>150</v>
      </c>
      <c r="U72" s="67">
        <v>120.0</v>
      </c>
      <c r="V72" s="67">
        <v>1.1023</v>
      </c>
      <c r="Y72" s="57">
        <v>20.0</v>
      </c>
      <c r="Z72" s="69">
        <f t="shared" si="36"/>
        <v>30</v>
      </c>
      <c r="AA72" s="70">
        <f t="shared" si="27"/>
        <v>50</v>
      </c>
      <c r="AB72" s="71">
        <f t="shared" si="20"/>
        <v>1295.621374</v>
      </c>
      <c r="AC72" s="71">
        <f>+(S72-T72)*V72-'data 1'!$F$4</f>
        <v>85.345</v>
      </c>
      <c r="AD72" s="71">
        <f t="shared" si="6"/>
        <v>-4.393828427</v>
      </c>
      <c r="AE72" s="71">
        <f t="shared" si="7"/>
        <v>-14.885</v>
      </c>
      <c r="AF72" s="71">
        <f t="shared" si="8"/>
        <v>65.51436826</v>
      </c>
      <c r="AG72" s="72">
        <f t="shared" si="37"/>
        <v>148.5805398</v>
      </c>
      <c r="AH72" s="52">
        <f t="shared" si="10"/>
        <v>54.0204028</v>
      </c>
      <c r="AI72" s="73">
        <f t="shared" si="11"/>
        <v>169.0718267</v>
      </c>
      <c r="AJ72" s="73">
        <f t="shared" si="12"/>
        <v>51.92096881</v>
      </c>
      <c r="AK72" s="11"/>
      <c r="AL72" s="51">
        <f t="shared" si="15"/>
        <v>3633.440581</v>
      </c>
    </row>
    <row r="73" ht="15.75" customHeight="1">
      <c r="A73" s="54" t="s">
        <v>126</v>
      </c>
      <c r="B73" s="56">
        <v>45674.0</v>
      </c>
      <c r="C73" s="56">
        <v>45671.0</v>
      </c>
      <c r="D73" s="57" t="s">
        <v>104</v>
      </c>
      <c r="E73" s="57">
        <f t="array" ref="E73">XLOOKUP(D73,RUC!$B$3:$B$79,RUC!$D$3:$D$79)</f>
        <v>10479968131</v>
      </c>
      <c r="G73" s="3">
        <v>31.0</v>
      </c>
      <c r="H73" s="57" t="s">
        <v>40</v>
      </c>
      <c r="I73" s="58">
        <v>2.68</v>
      </c>
      <c r="J73" s="58">
        <v>12.05</v>
      </c>
      <c r="K73" s="59">
        <f t="shared" si="1"/>
        <v>2.35706</v>
      </c>
      <c r="L73" s="60">
        <v>0.334</v>
      </c>
      <c r="M73" s="60">
        <v>0.32</v>
      </c>
      <c r="N73" s="62">
        <v>0.32</v>
      </c>
      <c r="O73" s="60">
        <f t="shared" si="21"/>
        <v>0.32</v>
      </c>
      <c r="P73" s="63">
        <v>90.0</v>
      </c>
      <c r="Q73" s="64">
        <v>89.69</v>
      </c>
      <c r="R73" s="65">
        <v>2667.0</v>
      </c>
      <c r="S73" s="66">
        <f t="shared" si="38"/>
        <v>120</v>
      </c>
      <c r="U73" s="67">
        <v>120.0</v>
      </c>
      <c r="V73" s="67">
        <v>1.1023</v>
      </c>
      <c r="Y73" s="57">
        <v>20.0</v>
      </c>
      <c r="Z73" s="69">
        <f t="shared" si="36"/>
        <v>30</v>
      </c>
      <c r="AA73" s="70">
        <f t="shared" si="27"/>
        <v>50</v>
      </c>
      <c r="AB73" s="71">
        <f t="shared" si="20"/>
        <v>621.1857328</v>
      </c>
      <c r="AC73" s="71">
        <f>+(S73-T73)*V73-'data 1'!$F$4</f>
        <v>52.276</v>
      </c>
      <c r="AD73" s="71">
        <f t="shared" si="6"/>
        <v>-2.906945657</v>
      </c>
      <c r="AE73" s="71">
        <f t="shared" si="7"/>
        <v>-14.885</v>
      </c>
      <c r="AF73" s="71">
        <f t="shared" si="8"/>
        <v>35.25338404</v>
      </c>
      <c r="AG73" s="72">
        <f t="shared" si="37"/>
        <v>86.73743838</v>
      </c>
      <c r="AH73" s="52">
        <f t="shared" si="10"/>
        <v>24.20862917</v>
      </c>
      <c r="AI73" s="73">
        <f t="shared" si="11"/>
        <v>90.14734599</v>
      </c>
      <c r="AJ73" s="73">
        <f t="shared" si="12"/>
        <v>23.27406243</v>
      </c>
      <c r="AK73" s="11"/>
      <c r="AL73" s="51">
        <f t="shared" si="15"/>
        <v>1464.172043</v>
      </c>
    </row>
    <row r="74" ht="15.0" customHeight="1">
      <c r="A74" s="54" t="s">
        <v>127</v>
      </c>
      <c r="B74" s="56">
        <v>45674.0</v>
      </c>
      <c r="C74" s="56">
        <v>45671.0</v>
      </c>
      <c r="D74" s="57" t="s">
        <v>104</v>
      </c>
      <c r="E74" s="57">
        <f t="array" ref="E74">XLOOKUP(D74,RUC!$B$3:$B$79,RUC!$D$3:$D$79)</f>
        <v>10479968131</v>
      </c>
      <c r="G74" s="3">
        <v>29.0</v>
      </c>
      <c r="H74" s="57" t="s">
        <v>40</v>
      </c>
      <c r="I74" s="58">
        <v>2.36</v>
      </c>
      <c r="J74" s="58">
        <v>14.44</v>
      </c>
      <c r="K74" s="59">
        <f t="shared" si="1"/>
        <v>2.019216</v>
      </c>
      <c r="L74" s="60">
        <v>0.422</v>
      </c>
      <c r="M74" s="60">
        <v>0.405</v>
      </c>
      <c r="N74" s="62">
        <v>0.405</v>
      </c>
      <c r="O74" s="60">
        <f t="shared" si="21"/>
        <v>0.405</v>
      </c>
      <c r="P74" s="63">
        <v>90.0</v>
      </c>
      <c r="Q74" s="64">
        <v>89.86</v>
      </c>
      <c r="R74" s="65">
        <v>2667.0</v>
      </c>
      <c r="S74" s="66">
        <f t="shared" si="38"/>
        <v>130</v>
      </c>
      <c r="U74" s="67">
        <v>120.0</v>
      </c>
      <c r="V74" s="67">
        <v>1.1023</v>
      </c>
      <c r="Y74" s="57">
        <v>20.0</v>
      </c>
      <c r="Z74" s="69">
        <f t="shared" si="36"/>
        <v>30</v>
      </c>
      <c r="AA74" s="70">
        <f t="shared" si="27"/>
        <v>50</v>
      </c>
      <c r="AB74" s="71">
        <f t="shared" si="20"/>
        <v>824.9409275</v>
      </c>
      <c r="AC74" s="71">
        <f>+(S74-T74)*V74-'data 1'!$F$4</f>
        <v>63.299</v>
      </c>
      <c r="AD74" s="71">
        <f t="shared" si="6"/>
        <v>-1.658705325</v>
      </c>
      <c r="AE74" s="71">
        <f t="shared" si="7"/>
        <v>-14.885</v>
      </c>
      <c r="AF74" s="71">
        <f t="shared" si="8"/>
        <v>42.88881905</v>
      </c>
      <c r="AG74" s="72">
        <f t="shared" si="37"/>
        <v>106.6441137</v>
      </c>
      <c r="AH74" s="52">
        <f t="shared" si="10"/>
        <v>26.25250279</v>
      </c>
      <c r="AI74" s="73">
        <f t="shared" si="11"/>
        <v>114.1146282</v>
      </c>
      <c r="AJ74" s="73">
        <f t="shared" si="12"/>
        <v>25.2341907</v>
      </c>
      <c r="AK74" s="11"/>
      <c r="AL74" s="51">
        <f t="shared" si="15"/>
        <v>1665.73392</v>
      </c>
    </row>
    <row r="75" ht="15.75" customHeight="1">
      <c r="A75" s="88" t="s">
        <v>128</v>
      </c>
      <c r="B75" s="56">
        <v>45950.0</v>
      </c>
      <c r="C75" s="56">
        <v>45674.0</v>
      </c>
      <c r="D75" s="57" t="s">
        <v>74</v>
      </c>
      <c r="E75" s="57">
        <f t="array" ref="E75">XLOOKUP(D75,RUC!$B$3:$B$79,RUC!$D$3:$D$79)</f>
        <v>10082235774</v>
      </c>
      <c r="G75" s="3">
        <v>53.0</v>
      </c>
      <c r="H75" s="57" t="s">
        <v>47</v>
      </c>
      <c r="I75" s="58">
        <v>5.27</v>
      </c>
      <c r="J75" s="58">
        <v>1.9</v>
      </c>
      <c r="K75" s="59">
        <f t="shared" si="1"/>
        <v>5.16987</v>
      </c>
      <c r="L75" s="60">
        <v>0.214</v>
      </c>
      <c r="M75" s="60">
        <v>0.211</v>
      </c>
      <c r="N75" s="62">
        <v>0.211</v>
      </c>
      <c r="O75" s="60">
        <f t="shared" si="21"/>
        <v>0.211</v>
      </c>
      <c r="P75" s="63">
        <v>85.0</v>
      </c>
      <c r="Q75" s="64">
        <v>90.12</v>
      </c>
      <c r="R75" s="65">
        <v>2715.2</v>
      </c>
      <c r="S75" s="76">
        <v>105.0</v>
      </c>
      <c r="U75" s="87">
        <v>80.0</v>
      </c>
      <c r="V75" s="67">
        <v>1.1023</v>
      </c>
      <c r="Z75" s="77">
        <v>10.0</v>
      </c>
      <c r="AA75" s="70">
        <f t="shared" si="27"/>
        <v>10</v>
      </c>
      <c r="AB75" s="71">
        <f t="shared" si="20"/>
        <v>394.2079652</v>
      </c>
      <c r="AC75" s="71">
        <f>+(S75-T75)*V75-'data 1'!$F$4</f>
        <v>35.7415</v>
      </c>
      <c r="AD75" s="71">
        <f t="shared" si="6"/>
        <v>31.82710402</v>
      </c>
      <c r="AE75" s="71">
        <f t="shared" si="7"/>
        <v>-58.977</v>
      </c>
      <c r="AF75" s="71">
        <f t="shared" si="8"/>
        <v>7.853365803</v>
      </c>
      <c r="AG75" s="72">
        <f t="shared" ref="AG75:AG81" si="39">+IF(D75="RONALD WILLIAN GARIBAY ESCUDERO",AC75+AD75+AE75+AF75+70,AC75+AD75+AE75+AF75)+70</f>
        <v>86.44496983</v>
      </c>
      <c r="AH75" s="52">
        <f t="shared" si="10"/>
        <v>34.18406049</v>
      </c>
      <c r="AI75" s="73">
        <f t="shared" si="11"/>
        <v>39.28590216</v>
      </c>
      <c r="AJ75" s="73">
        <f t="shared" si="12"/>
        <v>31.78996669</v>
      </c>
      <c r="AK75" s="11"/>
      <c r="AL75" s="51">
        <f t="shared" si="15"/>
        <v>2038.003933</v>
      </c>
    </row>
    <row r="76" ht="15.75" customHeight="1">
      <c r="A76" s="88" t="s">
        <v>129</v>
      </c>
      <c r="B76" s="56">
        <v>45950.0</v>
      </c>
      <c r="C76" s="56">
        <v>45674.0</v>
      </c>
      <c r="D76" s="57" t="s">
        <v>74</v>
      </c>
      <c r="E76" s="57">
        <f t="array" ref="E76">XLOOKUP(D76,RUC!$B$3:$B$79,RUC!$D$3:$D$79)</f>
        <v>10082235774</v>
      </c>
      <c r="G76" s="3">
        <v>43.0</v>
      </c>
      <c r="H76" s="57" t="s">
        <v>47</v>
      </c>
      <c r="I76" s="58">
        <v>4.65</v>
      </c>
      <c r="J76" s="58">
        <v>1.8</v>
      </c>
      <c r="K76" s="59">
        <f t="shared" si="1"/>
        <v>4.5663</v>
      </c>
      <c r="L76" s="60">
        <v>0.596</v>
      </c>
      <c r="M76" s="60">
        <v>0.587</v>
      </c>
      <c r="N76" s="62">
        <v>0.587</v>
      </c>
      <c r="O76" s="60">
        <f t="shared" si="21"/>
        <v>0.587</v>
      </c>
      <c r="P76" s="63">
        <v>90.0</v>
      </c>
      <c r="Q76" s="64">
        <v>90.09</v>
      </c>
      <c r="R76" s="65">
        <v>2715.2</v>
      </c>
      <c r="S76" s="76">
        <v>120.0</v>
      </c>
      <c r="U76" s="87">
        <v>80.0</v>
      </c>
      <c r="V76" s="67">
        <v>1.1023</v>
      </c>
      <c r="Z76" s="77">
        <v>10.0</v>
      </c>
      <c r="AA76" s="70">
        <f t="shared" si="27"/>
        <v>10</v>
      </c>
      <c r="AB76" s="71">
        <f t="shared" si="20"/>
        <v>1391.296781</v>
      </c>
      <c r="AC76" s="71">
        <f>+(S76-T76)*V76-'data 1'!$F$4</f>
        <v>52.276</v>
      </c>
      <c r="AD76" s="71">
        <f t="shared" si="6"/>
        <v>1.558124507</v>
      </c>
      <c r="AE76" s="71">
        <f t="shared" si="7"/>
        <v>-58.977</v>
      </c>
      <c r="AF76" s="71">
        <f t="shared" si="8"/>
        <v>23.5522545</v>
      </c>
      <c r="AG76" s="72">
        <f t="shared" si="39"/>
        <v>88.40937901</v>
      </c>
      <c r="AH76" s="52">
        <f t="shared" si="10"/>
        <v>84.06134927</v>
      </c>
      <c r="AI76" s="73">
        <f t="shared" si="11"/>
        <v>109.3766508</v>
      </c>
      <c r="AJ76" s="73">
        <f t="shared" si="12"/>
        <v>82.70925723</v>
      </c>
      <c r="AK76" s="11"/>
      <c r="AL76" s="51">
        <f t="shared" si="15"/>
        <v>6353.078492</v>
      </c>
    </row>
    <row r="77" ht="15.75" customHeight="1">
      <c r="A77" s="88" t="s">
        <v>130</v>
      </c>
      <c r="B77" s="56">
        <v>45950.0</v>
      </c>
      <c r="C77" s="56">
        <v>45674.0</v>
      </c>
      <c r="D77" s="57" t="s">
        <v>74</v>
      </c>
      <c r="E77" s="57">
        <f t="array" ref="E77">XLOOKUP(D77,RUC!$B$3:$B$79,RUC!$D$3:$D$79)</f>
        <v>10082235774</v>
      </c>
      <c r="G77" s="3">
        <v>65.0</v>
      </c>
      <c r="H77" s="57" t="s">
        <v>47</v>
      </c>
      <c r="I77" s="58">
        <v>6.64</v>
      </c>
      <c r="J77" s="58">
        <v>1.7</v>
      </c>
      <c r="K77" s="59">
        <f t="shared" si="1"/>
        <v>6.52712</v>
      </c>
      <c r="L77" s="60">
        <v>0.198</v>
      </c>
      <c r="M77" s="60">
        <v>0.195</v>
      </c>
      <c r="N77" s="62">
        <v>0.195</v>
      </c>
      <c r="O77" s="60">
        <f t="shared" si="21"/>
        <v>0.195</v>
      </c>
      <c r="P77" s="63">
        <v>85.0</v>
      </c>
      <c r="Q77" s="64">
        <v>90.21</v>
      </c>
      <c r="R77" s="65">
        <v>2715.2</v>
      </c>
      <c r="S77" s="76">
        <v>95.0</v>
      </c>
      <c r="U77" s="87">
        <v>80.0</v>
      </c>
      <c r="V77" s="67">
        <v>1.1023</v>
      </c>
      <c r="Z77" s="77">
        <v>10.0</v>
      </c>
      <c r="AA77" s="70">
        <f t="shared" si="27"/>
        <v>10</v>
      </c>
      <c r="AB77" s="71">
        <f t="shared" si="20"/>
        <v>365.7259441</v>
      </c>
      <c r="AC77" s="71">
        <f>+(S77-T77)*V77-'data 1'!$F$4</f>
        <v>24.7185</v>
      </c>
      <c r="AD77" s="71">
        <f t="shared" si="6"/>
        <v>29.96513943</v>
      </c>
      <c r="AE77" s="71">
        <f t="shared" si="7"/>
        <v>-58.977</v>
      </c>
      <c r="AF77" s="71">
        <f t="shared" si="8"/>
        <v>7.861208712</v>
      </c>
      <c r="AG77" s="72">
        <f t="shared" si="39"/>
        <v>73.56784814</v>
      </c>
      <c r="AH77" s="52">
        <f t="shared" si="10"/>
        <v>39.97150859</v>
      </c>
      <c r="AI77" s="73">
        <f t="shared" si="11"/>
        <v>36.38493868</v>
      </c>
      <c r="AJ77" s="73">
        <f t="shared" si="12"/>
        <v>37.09233757</v>
      </c>
      <c r="AK77" s="11"/>
      <c r="AL77" s="51">
        <f t="shared" si="15"/>
        <v>2387.137124</v>
      </c>
    </row>
    <row r="78" ht="15.75" customHeight="1">
      <c r="A78" s="88" t="s">
        <v>131</v>
      </c>
      <c r="B78" s="56">
        <v>45950.0</v>
      </c>
      <c r="C78" s="56">
        <v>45674.0</v>
      </c>
      <c r="D78" s="57" t="s">
        <v>74</v>
      </c>
      <c r="E78" s="57">
        <f t="array" ref="E78">XLOOKUP(D78,RUC!$B$3:$B$79,RUC!$D$3:$D$79)</f>
        <v>10082235774</v>
      </c>
      <c r="G78" s="3">
        <v>65.0</v>
      </c>
      <c r="H78" s="57" t="s">
        <v>47</v>
      </c>
      <c r="I78" s="58">
        <v>6.59</v>
      </c>
      <c r="J78" s="58">
        <v>1.8</v>
      </c>
      <c r="K78" s="59">
        <f t="shared" si="1"/>
        <v>6.47138</v>
      </c>
      <c r="L78" s="60">
        <v>0.15</v>
      </c>
      <c r="M78" s="60">
        <v>0.148</v>
      </c>
      <c r="N78" s="62">
        <v>0.148</v>
      </c>
      <c r="O78" s="60">
        <f t="shared" si="21"/>
        <v>0.148</v>
      </c>
      <c r="P78" s="63">
        <v>85.0</v>
      </c>
      <c r="Q78" s="64">
        <v>90.11</v>
      </c>
      <c r="R78" s="65">
        <v>2715.2</v>
      </c>
      <c r="S78" s="76">
        <v>95.0</v>
      </c>
      <c r="U78" s="87">
        <v>80.0</v>
      </c>
      <c r="V78" s="67">
        <v>1.1023</v>
      </c>
      <c r="Z78" s="77">
        <v>10.0</v>
      </c>
      <c r="AA78" s="70">
        <f t="shared" si="27"/>
        <v>10</v>
      </c>
      <c r="AB78" s="71">
        <f t="shared" si="20"/>
        <v>249.6799448</v>
      </c>
      <c r="AC78" s="71">
        <f>+(S78-T78)*V78-'data 1'!$F$4</f>
        <v>24.7185</v>
      </c>
      <c r="AD78" s="71">
        <f t="shared" si="6"/>
        <v>22.26514606</v>
      </c>
      <c r="AE78" s="71">
        <f t="shared" si="7"/>
        <v>-58.977</v>
      </c>
      <c r="AF78" s="71">
        <f t="shared" si="8"/>
        <v>5.234996246</v>
      </c>
      <c r="AG78" s="72">
        <f t="shared" si="39"/>
        <v>63.2416423</v>
      </c>
      <c r="AH78" s="52">
        <f t="shared" si="10"/>
        <v>29.98956873</v>
      </c>
      <c r="AI78" s="73">
        <f t="shared" si="11"/>
        <v>27.53379173</v>
      </c>
      <c r="AJ78" s="73">
        <f t="shared" si="12"/>
        <v>27.91172083</v>
      </c>
      <c r="AK78" s="11"/>
      <c r="AL78" s="51">
        <f t="shared" si="15"/>
        <v>1615.773801</v>
      </c>
    </row>
    <row r="79" ht="15.75" customHeight="1">
      <c r="A79" s="88" t="s">
        <v>132</v>
      </c>
      <c r="B79" s="56">
        <v>45950.0</v>
      </c>
      <c r="C79" s="56">
        <v>45674.0</v>
      </c>
      <c r="D79" s="57" t="s">
        <v>74</v>
      </c>
      <c r="E79" s="57">
        <f t="array" ref="E79">XLOOKUP(D79,RUC!$B$3:$B$79,RUC!$D$3:$D$79)</f>
        <v>10082235774</v>
      </c>
      <c r="G79" s="3">
        <v>47.0</v>
      </c>
      <c r="H79" s="57" t="s">
        <v>47</v>
      </c>
      <c r="I79" s="58">
        <v>5.11</v>
      </c>
      <c r="J79" s="58">
        <v>1.7</v>
      </c>
      <c r="K79" s="59">
        <f t="shared" si="1"/>
        <v>5.02313</v>
      </c>
      <c r="L79" s="60">
        <v>0.561</v>
      </c>
      <c r="M79" s="60">
        <v>0.552</v>
      </c>
      <c r="N79" s="62">
        <v>0.552</v>
      </c>
      <c r="O79" s="60">
        <f t="shared" si="21"/>
        <v>0.552</v>
      </c>
      <c r="P79" s="63">
        <v>90.0</v>
      </c>
      <c r="Q79" s="64">
        <v>90.06</v>
      </c>
      <c r="R79" s="65">
        <v>2715.2</v>
      </c>
      <c r="S79" s="76">
        <v>120.0</v>
      </c>
      <c r="U79" s="87">
        <v>80.0</v>
      </c>
      <c r="V79" s="67">
        <v>1.1023</v>
      </c>
      <c r="Z79" s="77">
        <v>10.0</v>
      </c>
      <c r="AA79" s="70">
        <f t="shared" si="27"/>
        <v>10</v>
      </c>
      <c r="AB79" s="71">
        <f t="shared" si="20"/>
        <v>1299.796181</v>
      </c>
      <c r="AC79" s="71">
        <f>+(S79-T79)*V79-'data 1'!$F$4</f>
        <v>52.276</v>
      </c>
      <c r="AD79" s="71">
        <f t="shared" si="6"/>
        <v>0.9777492711</v>
      </c>
      <c r="AE79" s="71">
        <f t="shared" si="7"/>
        <v>-58.977</v>
      </c>
      <c r="AF79" s="71">
        <f t="shared" si="8"/>
        <v>23.54441159</v>
      </c>
      <c r="AG79" s="72">
        <f t="shared" si="39"/>
        <v>87.82116086</v>
      </c>
      <c r="AH79" s="52">
        <f t="shared" si="10"/>
        <v>87.01182769</v>
      </c>
      <c r="AI79" s="73">
        <f t="shared" si="11"/>
        <v>102.9192418</v>
      </c>
      <c r="AJ79" s="73">
        <f t="shared" si="12"/>
        <v>85.55887676</v>
      </c>
      <c r="AK79" s="11"/>
      <c r="AL79" s="51">
        <f t="shared" si="15"/>
        <v>6529.04519</v>
      </c>
    </row>
    <row r="80" ht="15.75" customHeight="1">
      <c r="A80" s="88" t="s">
        <v>133</v>
      </c>
      <c r="B80" s="56">
        <v>45950.0</v>
      </c>
      <c r="C80" s="56">
        <v>45674.0</v>
      </c>
      <c r="D80" s="57" t="s">
        <v>74</v>
      </c>
      <c r="E80" s="57">
        <f t="array" ref="E80">XLOOKUP(D80,RUC!$B$3:$B$79,RUC!$D$3:$D$79)</f>
        <v>10082235774</v>
      </c>
      <c r="G80" s="3">
        <v>40.0</v>
      </c>
      <c r="H80" s="57" t="s">
        <v>47</v>
      </c>
      <c r="I80" s="58">
        <v>4.04</v>
      </c>
      <c r="J80" s="58">
        <v>1.9</v>
      </c>
      <c r="K80" s="59">
        <f t="shared" si="1"/>
        <v>3.96324</v>
      </c>
      <c r="L80" s="60">
        <v>0.211</v>
      </c>
      <c r="M80" s="60">
        <v>0.208</v>
      </c>
      <c r="N80" s="62">
        <v>0.208</v>
      </c>
      <c r="O80" s="60">
        <f t="shared" si="21"/>
        <v>0.208</v>
      </c>
      <c r="P80" s="63">
        <v>85.0</v>
      </c>
      <c r="Q80" s="64">
        <v>90.16</v>
      </c>
      <c r="R80" s="65">
        <v>2715.2</v>
      </c>
      <c r="S80" s="76">
        <v>105.0</v>
      </c>
      <c r="U80" s="87">
        <v>80.0</v>
      </c>
      <c r="V80" s="67">
        <v>1.1023</v>
      </c>
      <c r="Z80" s="77">
        <v>10.0</v>
      </c>
      <c r="AA80" s="70">
        <f t="shared" si="27"/>
        <v>10</v>
      </c>
      <c r="AB80" s="71">
        <f t="shared" si="20"/>
        <v>386.8007737</v>
      </c>
      <c r="AC80" s="71">
        <f>+(S80-T80)*V80-'data 1'!$F$4</f>
        <v>35.7415</v>
      </c>
      <c r="AD80" s="71">
        <f t="shared" si="6"/>
        <v>31.62609318</v>
      </c>
      <c r="AE80" s="71">
        <f t="shared" si="7"/>
        <v>-58.977</v>
      </c>
      <c r="AF80" s="71">
        <f t="shared" si="8"/>
        <v>7.856851541</v>
      </c>
      <c r="AG80" s="72">
        <f t="shared" si="39"/>
        <v>86.24744472</v>
      </c>
      <c r="AH80" s="52">
        <f t="shared" si="10"/>
        <v>25.84971743</v>
      </c>
      <c r="AI80" s="73">
        <f t="shared" si="11"/>
        <v>38.75235792</v>
      </c>
      <c r="AJ80" s="73">
        <f t="shared" si="12"/>
        <v>24.02379993</v>
      </c>
      <c r="AK80" s="11"/>
      <c r="AL80" s="51">
        <f t="shared" si="15"/>
        <v>1532.984298</v>
      </c>
    </row>
    <row r="81" ht="15.75" customHeight="1">
      <c r="A81" s="88" t="s">
        <v>134</v>
      </c>
      <c r="B81" s="56">
        <v>45950.0</v>
      </c>
      <c r="C81" s="56">
        <v>45674.0</v>
      </c>
      <c r="D81" s="57" t="s">
        <v>74</v>
      </c>
      <c r="E81" s="57">
        <f t="array" ref="E81">XLOOKUP(D81,RUC!$B$3:$B$79,RUC!$D$3:$D$79)</f>
        <v>10082235774</v>
      </c>
      <c r="G81" s="3">
        <v>40.0</v>
      </c>
      <c r="H81" s="57" t="s">
        <v>47</v>
      </c>
      <c r="I81" s="58">
        <v>4.07</v>
      </c>
      <c r="J81" s="58">
        <v>1.8</v>
      </c>
      <c r="K81" s="59">
        <f t="shared" si="1"/>
        <v>3.99674</v>
      </c>
      <c r="L81" s="60">
        <v>0.198</v>
      </c>
      <c r="M81" s="60">
        <v>0.195</v>
      </c>
      <c r="N81" s="62">
        <v>0.195</v>
      </c>
      <c r="O81" s="60">
        <f t="shared" si="21"/>
        <v>0.195</v>
      </c>
      <c r="P81" s="63">
        <v>85.0</v>
      </c>
      <c r="Q81" s="64">
        <v>90.25</v>
      </c>
      <c r="R81" s="65">
        <v>2715.2</v>
      </c>
      <c r="S81" s="76">
        <v>95.0</v>
      </c>
      <c r="U81" s="87">
        <v>80.0</v>
      </c>
      <c r="V81" s="67">
        <v>1.1023</v>
      </c>
      <c r="Z81" s="77">
        <v>10.0</v>
      </c>
      <c r="AA81" s="70">
        <f t="shared" si="27"/>
        <v>10</v>
      </c>
      <c r="AB81" s="71">
        <f t="shared" si="20"/>
        <v>365.7259441</v>
      </c>
      <c r="AC81" s="71">
        <f>+(S81-T81)*V81-'data 1'!$F$4</f>
        <v>24.7185</v>
      </c>
      <c r="AD81" s="71">
        <f t="shared" si="6"/>
        <v>30.19519808</v>
      </c>
      <c r="AE81" s="71">
        <f t="shared" si="7"/>
        <v>-58.977</v>
      </c>
      <c r="AF81" s="71">
        <f t="shared" si="8"/>
        <v>7.864694449</v>
      </c>
      <c r="AG81" s="72">
        <f t="shared" si="39"/>
        <v>73.80139253</v>
      </c>
      <c r="AH81" s="52">
        <f t="shared" si="10"/>
        <v>24.48653686</v>
      </c>
      <c r="AI81" s="73">
        <f t="shared" si="11"/>
        <v>36.40107212</v>
      </c>
      <c r="AJ81" s="73">
        <f t="shared" si="12"/>
        <v>22.71268634</v>
      </c>
      <c r="AK81" s="11"/>
      <c r="AL81" s="51">
        <f t="shared" si="15"/>
        <v>1461.71151</v>
      </c>
    </row>
    <row r="82" ht="15.75" customHeight="1">
      <c r="A82" s="88" t="s">
        <v>135</v>
      </c>
      <c r="B82" s="56">
        <v>45950.0</v>
      </c>
      <c r="C82" s="56">
        <v>45674.0</v>
      </c>
      <c r="D82" s="57" t="s">
        <v>74</v>
      </c>
      <c r="E82" s="57">
        <f t="array" ref="E82">XLOOKUP(D82,RUC!$B$3:$B$79,RUC!$D$3:$D$79)</f>
        <v>10082235774</v>
      </c>
      <c r="G82" s="3">
        <v>46.0</v>
      </c>
      <c r="H82" s="57" t="s">
        <v>47</v>
      </c>
      <c r="I82" s="58">
        <v>4.39</v>
      </c>
      <c r="J82" s="58">
        <v>2.3</v>
      </c>
      <c r="K82" s="59">
        <f t="shared" si="1"/>
        <v>4.28903</v>
      </c>
      <c r="L82" s="60">
        <v>0.095</v>
      </c>
      <c r="M82" s="60">
        <v>0.093</v>
      </c>
      <c r="N82" s="62">
        <v>0.093</v>
      </c>
      <c r="O82" s="60">
        <f t="shared" si="21"/>
        <v>0.093</v>
      </c>
      <c r="P82" s="63">
        <v>85.0</v>
      </c>
      <c r="Q82" s="64">
        <v>89.89</v>
      </c>
      <c r="R82" s="65">
        <v>2715.2</v>
      </c>
      <c r="S82" s="76">
        <f>IF((90+ROUNDDOWN(O82,1)*100)&lt;95,95,(90+ROUNDDOWN(O82,1)*100))</f>
        <v>95</v>
      </c>
      <c r="U82" s="87">
        <v>80.0</v>
      </c>
      <c r="V82" s="67">
        <v>1.1023</v>
      </c>
      <c r="Z82" s="77">
        <v>10.0</v>
      </c>
      <c r="AA82" s="70">
        <f t="shared" si="27"/>
        <v>10</v>
      </c>
      <c r="AB82" s="71">
        <v>0.0</v>
      </c>
      <c r="AC82" s="71">
        <f>+(S82-T82)*V82-'data 1'!$F$4</f>
        <v>24.7185</v>
      </c>
      <c r="AD82" s="71">
        <f t="shared" si="6"/>
        <v>13.49415995</v>
      </c>
      <c r="AE82" s="71">
        <f t="shared" si="7"/>
        <v>-58.977</v>
      </c>
      <c r="AF82" s="71">
        <f t="shared" si="8"/>
        <v>5.22221521</v>
      </c>
      <c r="AG82" s="72">
        <f>+IF(D82="RONALD WILLIAN GARIBAY ESCUDERO",AC82+AD82+AE82+AF82+70,AC82+AD82+AE82+AF82)+70+113.88</f>
        <v>168.3378752</v>
      </c>
      <c r="AH82" s="52">
        <f t="shared" si="10"/>
        <v>12.55749862</v>
      </c>
      <c r="AI82" s="73">
        <f t="shared" si="11"/>
        <v>17.39549374</v>
      </c>
      <c r="AJ82" s="73">
        <f t="shared" si="12"/>
        <v>11.62438613</v>
      </c>
      <c r="AK82" s="11"/>
      <c r="AL82" s="51">
        <f t="shared" si="15"/>
        <v>0</v>
      </c>
    </row>
    <row r="83" ht="15.75" customHeight="1">
      <c r="A83" s="88" t="s">
        <v>136</v>
      </c>
      <c r="B83" s="56"/>
      <c r="C83" s="56"/>
      <c r="G83" s="3"/>
      <c r="I83" s="58"/>
      <c r="J83" s="58"/>
      <c r="K83" s="59"/>
      <c r="L83" s="60"/>
      <c r="M83" s="60"/>
      <c r="N83" s="75"/>
      <c r="O83" s="60"/>
      <c r="P83" s="63"/>
      <c r="Q83" s="64"/>
      <c r="R83" s="65"/>
      <c r="S83" s="66"/>
      <c r="U83" s="67"/>
      <c r="V83" s="67"/>
      <c r="Z83" s="69"/>
      <c r="AA83" s="70"/>
      <c r="AB83" s="71"/>
      <c r="AC83" s="71"/>
      <c r="AD83" s="71"/>
      <c r="AE83" s="71"/>
      <c r="AF83" s="71"/>
      <c r="AG83" s="72"/>
      <c r="AH83" s="52"/>
      <c r="AI83" s="73"/>
      <c r="AJ83" s="73"/>
      <c r="AK83" s="11"/>
      <c r="AL83" s="51"/>
    </row>
    <row r="84" ht="15.75" customHeight="1">
      <c r="A84" s="88" t="s">
        <v>137</v>
      </c>
      <c r="B84" s="56"/>
      <c r="C84" s="56"/>
      <c r="G84" s="3"/>
      <c r="I84" s="58"/>
      <c r="J84" s="58"/>
      <c r="K84" s="59"/>
      <c r="L84" s="60"/>
      <c r="M84" s="60"/>
      <c r="N84" s="75"/>
      <c r="O84" s="60"/>
      <c r="P84" s="63"/>
      <c r="Q84" s="64"/>
      <c r="R84" s="65"/>
      <c r="S84" s="66"/>
      <c r="U84" s="67"/>
      <c r="V84" s="67"/>
      <c r="Z84" s="69"/>
      <c r="AA84" s="70"/>
      <c r="AB84" s="71"/>
      <c r="AC84" s="71"/>
      <c r="AD84" s="71"/>
      <c r="AE84" s="71"/>
      <c r="AF84" s="71"/>
      <c r="AG84" s="72"/>
      <c r="AH84" s="52"/>
      <c r="AI84" s="73"/>
      <c r="AJ84" s="73"/>
      <c r="AK84" s="11"/>
      <c r="AL84" s="51"/>
    </row>
    <row r="85" ht="15.75" customHeight="1">
      <c r="A85" s="89" t="s">
        <v>138</v>
      </c>
      <c r="B85" s="90">
        <v>45681.0</v>
      </c>
      <c r="C85" s="56">
        <v>45678.0</v>
      </c>
      <c r="D85" s="57" t="s">
        <v>63</v>
      </c>
      <c r="E85" s="57" t="str">
        <f t="array" ref="E85">XLOOKUP(D85,RUC!$B$3:$B$79,RUC!$D$3:$D$79)</f>
        <v>#N/A</v>
      </c>
      <c r="G85" s="3">
        <v>100.0</v>
      </c>
      <c r="H85" s="57" t="s">
        <v>47</v>
      </c>
      <c r="I85" s="58">
        <v>7.7</v>
      </c>
      <c r="J85" s="58">
        <v>1.4</v>
      </c>
      <c r="K85" s="59">
        <f t="shared" ref="K85:K94" si="40">+I85-(I85*(J85/100))</f>
        <v>7.5922</v>
      </c>
      <c r="L85" s="60">
        <v>0.239</v>
      </c>
      <c r="M85" s="60">
        <v>0.229</v>
      </c>
      <c r="N85" s="62">
        <v>0.255</v>
      </c>
      <c r="O85" s="60">
        <f t="shared" ref="O85:O94" si="41">+ROUND((M85+N85)/2,3)</f>
        <v>0.242</v>
      </c>
      <c r="P85" s="63">
        <v>90.0</v>
      </c>
      <c r="Q85" s="64">
        <v>90.13</v>
      </c>
      <c r="R85" s="65">
        <v>2737.8</v>
      </c>
      <c r="S85" s="66">
        <f t="shared" ref="S85:S86" si="42">IF((90+ROUNDDOWN(O85,1)*100)&lt;95,95,(90+ROUNDDOWN(O85,1)*100))</f>
        <v>110</v>
      </c>
      <c r="U85" s="67">
        <v>120.0</v>
      </c>
      <c r="V85" s="67">
        <v>1.1023</v>
      </c>
      <c r="Y85" s="57">
        <v>20.0</v>
      </c>
      <c r="Z85" s="69">
        <f t="shared" ref="Z85:Z86" si="43">IF(IF(D85="UNTUCA",IF(+((W85-3)*1.5+(X85-3)*3.1)&gt;0,+((W85-3)*1.5+(X85-3)*3.1),0),IF(+((W85-3)*1.5+(X85-3)*3.1)&gt;0,+((W85-3)*1.5+(X85-3)*3.1),0))&lt;30,30,IF(D85="UNTUCA",IF(+((W85-3)*1.5+(X85-3)*3.1)&gt;0,+((W85-3)*1.5+(X85-3)*3.1),0),IF(+((W85-3)*1.5+(X85-3)*3.1)&gt;0,+((W85-3)*1.5+(X85-3)*3.1),0)))</f>
        <v>30</v>
      </c>
      <c r="AA85" s="70">
        <f t="shared" ref="AA85:AA94" si="44">+Y85+Z85</f>
        <v>50</v>
      </c>
      <c r="AB85" s="71">
        <f t="shared" ref="AB85:AB94" si="45">+((O85*P85*(R85-U85)/100)-S85-AA85+T85)*V85</f>
        <v>452.1158847</v>
      </c>
      <c r="AC85" s="71">
        <f>+(S85-T85)*V85-'data 1'!$F$4</f>
        <v>41.253</v>
      </c>
      <c r="AD85" s="71">
        <f t="shared" ref="AD85:AD94" si="46">+(Q85-P85)*(R85-U85)*L85*V85/100</f>
        <v>0.8965562121</v>
      </c>
      <c r="AE85" s="71">
        <f t="shared" ref="AE85:AE94" si="47">+(Y85*V85-70)+V85*(Z85-IF(D85="UNTUCA",IF(+((W85-3)*2.5+(X85-3)*3.1)&gt;0,+((W85-3)*1.5+(X85-3)*3.1),0),IF(+((W85-3)*1.5+(X85-3)*3.1)&gt;0,+((W85-3)*1.5+(X85-3)*3.1),0)))</f>
        <v>-14.885</v>
      </c>
      <c r="AF85" s="71">
        <f t="shared" ref="AF85:AF94" si="48">(L85-O85)*(R85-U85)*Q85*V85/100</f>
        <v>-7.802376382</v>
      </c>
      <c r="AG85" s="72">
        <f t="shared" ref="AG85:AG86" si="49">+IF(D85="RONALD WILLIAN GARIBAY ESCUDERO",AC85+AD85+AE85+AF85+70,AC85+AD85+AE85+AF85)+70-53</f>
        <v>36.46217983</v>
      </c>
      <c r="AH85" s="52">
        <f t="shared" ref="AH85:AH94" si="50">31.1035*L85*Q85*1.1023*K85/100</f>
        <v>56.07173331</v>
      </c>
      <c r="AI85" s="73">
        <f t="shared" ref="AI85:AI94" si="51">+((+$AI$2-R85+U85)*L85*Q85*V85)/100</f>
        <v>48.01182679</v>
      </c>
      <c r="AJ85" s="73">
        <f t="shared" ref="AJ85:AJ94" si="52">31.1035*1.1023*K85*P85*O85/100</f>
        <v>56.69367174</v>
      </c>
      <c r="AK85" s="11"/>
      <c r="AL85" s="51">
        <f t="shared" ref="AL85:AL94" si="53">+IF(AB85*K85&gt;0,AB85*K85,0)</f>
        <v>3432.55422</v>
      </c>
    </row>
    <row r="86" ht="15.75" customHeight="1">
      <c r="A86" s="88" t="s">
        <v>139</v>
      </c>
      <c r="B86" s="56">
        <v>45686.0</v>
      </c>
      <c r="C86" s="56">
        <v>45678.0</v>
      </c>
      <c r="D86" s="57" t="s">
        <v>61</v>
      </c>
      <c r="E86" s="57">
        <f t="array" ref="E86">XLOOKUP(D86,RUC!$B$3:$B$79,RUC!$D$3:$D$79)</f>
        <v>20606526599</v>
      </c>
      <c r="G86" s="3">
        <v>77.0</v>
      </c>
      <c r="H86" s="57" t="s">
        <v>47</v>
      </c>
      <c r="I86" s="58">
        <v>5.92</v>
      </c>
      <c r="J86" s="58">
        <v>1.2</v>
      </c>
      <c r="K86" s="59">
        <f t="shared" si="40"/>
        <v>5.84896</v>
      </c>
      <c r="L86" s="60">
        <v>0.302</v>
      </c>
      <c r="M86" s="60">
        <v>0.29</v>
      </c>
      <c r="N86" s="75">
        <v>0.327</v>
      </c>
      <c r="O86" s="60">
        <f t="shared" si="41"/>
        <v>0.309</v>
      </c>
      <c r="P86" s="63">
        <v>90.0</v>
      </c>
      <c r="Q86" s="64">
        <v>90.27</v>
      </c>
      <c r="R86" s="65">
        <v>2737.8</v>
      </c>
      <c r="S86" s="66">
        <f t="shared" si="42"/>
        <v>120</v>
      </c>
      <c r="U86" s="67">
        <v>120.0</v>
      </c>
      <c r="V86" s="67">
        <v>1.1023</v>
      </c>
      <c r="Y86" s="57">
        <v>20.0</v>
      </c>
      <c r="Z86" s="69">
        <f t="shared" si="43"/>
        <v>30</v>
      </c>
      <c r="AA86" s="70">
        <f t="shared" si="44"/>
        <v>50</v>
      </c>
      <c r="AB86" s="71">
        <f t="shared" si="45"/>
        <v>615.0946214</v>
      </c>
      <c r="AC86" s="71">
        <f>+(S86-T86)*V86-'data 1'!$F$4</f>
        <v>52.276</v>
      </c>
      <c r="AD86" s="71">
        <f t="shared" si="46"/>
        <v>2.352919006</v>
      </c>
      <c r="AE86" s="71">
        <f t="shared" si="47"/>
        <v>-14.885</v>
      </c>
      <c r="AF86" s="71">
        <f t="shared" si="48"/>
        <v>-18.23382378</v>
      </c>
      <c r="AG86" s="72">
        <f t="shared" si="49"/>
        <v>38.51009523</v>
      </c>
      <c r="AH86" s="52">
        <f t="shared" si="50"/>
        <v>54.66861935</v>
      </c>
      <c r="AI86" s="73">
        <f t="shared" si="51"/>
        <v>60.76189979</v>
      </c>
      <c r="AJ86" s="73">
        <f t="shared" si="52"/>
        <v>55.76846738</v>
      </c>
      <c r="AK86" s="11"/>
      <c r="AL86" s="51">
        <f t="shared" si="53"/>
        <v>3597.663837</v>
      </c>
    </row>
    <row r="87" ht="15.75" customHeight="1">
      <c r="A87" s="88" t="s">
        <v>140</v>
      </c>
      <c r="B87" s="56">
        <v>45685.0</v>
      </c>
      <c r="C87" s="56">
        <v>45682.0</v>
      </c>
      <c r="D87" s="57" t="s">
        <v>74</v>
      </c>
      <c r="E87" s="57">
        <f t="array" ref="E87">XLOOKUP(D87,RUC!$B$3:$B$79,RUC!$D$3:$D$79)</f>
        <v>10082235774</v>
      </c>
      <c r="G87" s="3">
        <v>52.0</v>
      </c>
      <c r="H87" s="57" t="s">
        <v>47</v>
      </c>
      <c r="I87" s="58">
        <v>4.83</v>
      </c>
      <c r="J87" s="58">
        <v>1.5</v>
      </c>
      <c r="K87" s="59">
        <f t="shared" si="40"/>
        <v>4.75755</v>
      </c>
      <c r="L87" s="60">
        <v>0.163</v>
      </c>
      <c r="M87" s="60">
        <v>0.161</v>
      </c>
      <c r="N87" s="62">
        <v>0.161</v>
      </c>
      <c r="O87" s="60">
        <f t="shared" si="41"/>
        <v>0.161</v>
      </c>
      <c r="P87" s="63">
        <v>85.0</v>
      </c>
      <c r="Q87" s="64">
        <v>89.89</v>
      </c>
      <c r="R87" s="65">
        <v>2776.8</v>
      </c>
      <c r="S87" s="76">
        <v>95.0</v>
      </c>
      <c r="U87" s="87">
        <v>80.0</v>
      </c>
      <c r="V87" s="67">
        <v>1.1023</v>
      </c>
      <c r="Z87" s="77">
        <v>10.0</v>
      </c>
      <c r="AA87" s="70">
        <f t="shared" si="44"/>
        <v>10</v>
      </c>
      <c r="AB87" s="71">
        <f t="shared" si="45"/>
        <v>291.0701193</v>
      </c>
      <c r="AC87" s="71">
        <f>+(S87-T87)*V87-'data 1'!$F$4</f>
        <v>24.7185</v>
      </c>
      <c r="AD87" s="71">
        <f t="shared" si="46"/>
        <v>23.69436152</v>
      </c>
      <c r="AE87" s="71">
        <f t="shared" si="47"/>
        <v>-58.977</v>
      </c>
      <c r="AF87" s="71">
        <f t="shared" si="48"/>
        <v>5.34428885</v>
      </c>
      <c r="AG87" s="72">
        <f t="shared" ref="AG87:AG94" si="54">+IF(D87="RONALD WILLIAN GARIBAY ESCUDERO",AC87+AD87+AE87+AF87+70,AC87+AD87+AE87+AF87)+70</f>
        <v>64.78015037</v>
      </c>
      <c r="AH87" s="52">
        <f t="shared" si="50"/>
        <v>23.89964309</v>
      </c>
      <c r="AI87" s="73">
        <f t="shared" si="51"/>
        <v>19.89800337</v>
      </c>
      <c r="AJ87" s="73">
        <f t="shared" si="52"/>
        <v>22.3222122</v>
      </c>
      <c r="AK87" s="11"/>
      <c r="AL87" s="51">
        <f t="shared" si="53"/>
        <v>1384.780646</v>
      </c>
    </row>
    <row r="88" ht="15.75" customHeight="1">
      <c r="A88" s="88" t="s">
        <v>141</v>
      </c>
      <c r="B88" s="56">
        <v>45685.0</v>
      </c>
      <c r="C88" s="56">
        <v>45682.0</v>
      </c>
      <c r="D88" s="57" t="s">
        <v>74</v>
      </c>
      <c r="E88" s="57">
        <f t="array" ref="E88">XLOOKUP(D88,RUC!$B$3:$B$79,RUC!$D$3:$D$79)</f>
        <v>10082235774</v>
      </c>
      <c r="G88" s="3">
        <v>49.0</v>
      </c>
      <c r="H88" s="57" t="s">
        <v>47</v>
      </c>
      <c r="I88" s="58">
        <v>4.91</v>
      </c>
      <c r="J88" s="58">
        <v>1.7</v>
      </c>
      <c r="K88" s="59">
        <f t="shared" si="40"/>
        <v>4.82653</v>
      </c>
      <c r="L88" s="60">
        <v>0.123</v>
      </c>
      <c r="M88" s="60">
        <v>0.121</v>
      </c>
      <c r="N88" s="62">
        <v>0.121</v>
      </c>
      <c r="O88" s="60">
        <f t="shared" si="41"/>
        <v>0.121</v>
      </c>
      <c r="P88" s="63">
        <v>85.0</v>
      </c>
      <c r="Q88" s="57">
        <v>89.78</v>
      </c>
      <c r="R88" s="65">
        <v>2776.8</v>
      </c>
      <c r="S88" s="76">
        <v>95.0</v>
      </c>
      <c r="U88" s="87">
        <v>80.0</v>
      </c>
      <c r="V88" s="67">
        <v>1.1023</v>
      </c>
      <c r="Z88" s="77">
        <v>10.0</v>
      </c>
      <c r="AA88" s="70">
        <f t="shared" si="44"/>
        <v>10</v>
      </c>
      <c r="AB88" s="71">
        <f t="shared" si="45"/>
        <v>189.9989095</v>
      </c>
      <c r="AC88" s="71">
        <f>+(S88-T88)*V88-'data 1'!$F$4</f>
        <v>24.7185</v>
      </c>
      <c r="AD88" s="71">
        <f t="shared" si="46"/>
        <v>17.47759031</v>
      </c>
      <c r="AE88" s="71">
        <f t="shared" si="47"/>
        <v>-58.977</v>
      </c>
      <c r="AF88" s="71">
        <f t="shared" si="48"/>
        <v>5.337748948</v>
      </c>
      <c r="AG88" s="72">
        <f t="shared" si="54"/>
        <v>58.55683926</v>
      </c>
      <c r="AH88" s="52">
        <f t="shared" si="50"/>
        <v>18.27379682</v>
      </c>
      <c r="AI88" s="73">
        <f t="shared" si="51"/>
        <v>14.99668356</v>
      </c>
      <c r="AJ88" s="73">
        <f t="shared" si="52"/>
        <v>17.01956184</v>
      </c>
      <c r="AK88" s="11"/>
      <c r="AL88" s="51">
        <f t="shared" si="53"/>
        <v>917.0354368</v>
      </c>
    </row>
    <row r="89" ht="15.75" customHeight="1">
      <c r="A89" s="88" t="s">
        <v>142</v>
      </c>
      <c r="B89" s="56">
        <v>45685.0</v>
      </c>
      <c r="C89" s="56">
        <v>45682.0</v>
      </c>
      <c r="D89" s="57" t="s">
        <v>74</v>
      </c>
      <c r="E89" s="57">
        <f t="array" ref="E89">XLOOKUP(D89,RUC!$B$3:$B$79,RUC!$D$3:$D$79)</f>
        <v>10082235774</v>
      </c>
      <c r="G89" s="3">
        <v>44.0</v>
      </c>
      <c r="H89" s="57" t="s">
        <v>47</v>
      </c>
      <c r="I89" s="58">
        <v>4.62</v>
      </c>
      <c r="J89" s="58">
        <v>1.8</v>
      </c>
      <c r="K89" s="59">
        <f t="shared" si="40"/>
        <v>4.53684</v>
      </c>
      <c r="L89" s="60">
        <v>0.487</v>
      </c>
      <c r="M89" s="60">
        <v>0.48</v>
      </c>
      <c r="N89" s="62">
        <v>0.48</v>
      </c>
      <c r="O89" s="60">
        <f t="shared" si="41"/>
        <v>0.48</v>
      </c>
      <c r="P89" s="63">
        <v>90.0</v>
      </c>
      <c r="Q89" s="57">
        <v>90.21</v>
      </c>
      <c r="R89" s="65">
        <v>2776.8</v>
      </c>
      <c r="S89" s="76">
        <v>115.0</v>
      </c>
      <c r="U89" s="87">
        <v>80.0</v>
      </c>
      <c r="V89" s="67">
        <v>1.1023</v>
      </c>
      <c r="Z89" s="77">
        <v>10.0</v>
      </c>
      <c r="AA89" s="70">
        <f t="shared" si="44"/>
        <v>10</v>
      </c>
      <c r="AB89" s="71">
        <f t="shared" si="45"/>
        <v>1146.4114</v>
      </c>
      <c r="AC89" s="71">
        <f>+(S89-T89)*V89-'data 1'!$F$4</f>
        <v>46.7645</v>
      </c>
      <c r="AD89" s="71">
        <f t="shared" si="46"/>
        <v>3.040162536</v>
      </c>
      <c r="AE89" s="71">
        <f t="shared" si="47"/>
        <v>-58.977</v>
      </c>
      <c r="AF89" s="71">
        <f t="shared" si="48"/>
        <v>18.77159907</v>
      </c>
      <c r="AG89" s="72">
        <f t="shared" si="54"/>
        <v>79.5992616</v>
      </c>
      <c r="AH89" s="52">
        <f t="shared" si="50"/>
        <v>68.33546857</v>
      </c>
      <c r="AI89" s="73">
        <f t="shared" si="51"/>
        <v>59.66149878</v>
      </c>
      <c r="AJ89" s="73">
        <f t="shared" si="52"/>
        <v>67.19644221</v>
      </c>
      <c r="AK89" s="11"/>
      <c r="AL89" s="51">
        <f t="shared" si="53"/>
        <v>5201.085098</v>
      </c>
    </row>
    <row r="90" ht="15.75" customHeight="1">
      <c r="A90" s="88" t="s">
        <v>143</v>
      </c>
      <c r="B90" s="56">
        <v>45685.0</v>
      </c>
      <c r="C90" s="56">
        <v>45682.0</v>
      </c>
      <c r="D90" s="57" t="s">
        <v>74</v>
      </c>
      <c r="E90" s="57">
        <f t="array" ref="E90">XLOOKUP(D90,RUC!$B$3:$B$79,RUC!$D$3:$D$79)</f>
        <v>10082235774</v>
      </c>
      <c r="G90" s="3">
        <v>48.0</v>
      </c>
      <c r="H90" s="57" t="s">
        <v>47</v>
      </c>
      <c r="I90" s="58">
        <v>4.61</v>
      </c>
      <c r="J90" s="58">
        <v>1.1</v>
      </c>
      <c r="K90" s="59">
        <f t="shared" si="40"/>
        <v>4.55929</v>
      </c>
      <c r="L90" s="60">
        <v>0.216</v>
      </c>
      <c r="M90" s="60">
        <v>0.212</v>
      </c>
      <c r="N90" s="62">
        <v>0.212</v>
      </c>
      <c r="O90" s="60">
        <f t="shared" si="41"/>
        <v>0.212</v>
      </c>
      <c r="P90" s="63">
        <v>90.0</v>
      </c>
      <c r="Q90" s="57">
        <v>90.17</v>
      </c>
      <c r="R90" s="65">
        <v>2776.8</v>
      </c>
      <c r="S90" s="76">
        <v>105.0</v>
      </c>
      <c r="U90" s="87">
        <v>80.0</v>
      </c>
      <c r="V90" s="67">
        <v>1.1023</v>
      </c>
      <c r="Z90" s="77">
        <v>10.0</v>
      </c>
      <c r="AA90" s="70">
        <f t="shared" si="44"/>
        <v>10</v>
      </c>
      <c r="AB90" s="71">
        <f t="shared" si="45"/>
        <v>440.4233477</v>
      </c>
      <c r="AC90" s="71">
        <f>+(S90-T90)*V90-'data 1'!$F$4</f>
        <v>35.7415</v>
      </c>
      <c r="AD90" s="71">
        <f t="shared" si="46"/>
        <v>1.091569065</v>
      </c>
      <c r="AE90" s="71">
        <f t="shared" si="47"/>
        <v>-58.977</v>
      </c>
      <c r="AF90" s="71">
        <f t="shared" si="48"/>
        <v>10.72187175</v>
      </c>
      <c r="AG90" s="72">
        <f t="shared" si="54"/>
        <v>58.57794081</v>
      </c>
      <c r="AH90" s="52">
        <f t="shared" si="50"/>
        <v>30.44542964</v>
      </c>
      <c r="AI90" s="73">
        <f t="shared" si="51"/>
        <v>26.45004018</v>
      </c>
      <c r="AJ90" s="73">
        <f t="shared" si="52"/>
        <v>29.82528873</v>
      </c>
      <c r="AK90" s="11"/>
      <c r="AL90" s="51">
        <f t="shared" si="53"/>
        <v>2008.017765</v>
      </c>
    </row>
    <row r="91" ht="15.75" customHeight="1">
      <c r="A91" s="88" t="s">
        <v>144</v>
      </c>
      <c r="B91" s="56">
        <v>45685.0</v>
      </c>
      <c r="C91" s="56">
        <v>45682.0</v>
      </c>
      <c r="D91" s="57" t="s">
        <v>74</v>
      </c>
      <c r="E91" s="57">
        <f t="array" ref="E91">XLOOKUP(D91,RUC!$B$3:$B$79,RUC!$D$3:$D$79)</f>
        <v>10082235774</v>
      </c>
      <c r="G91" s="3">
        <v>44.0</v>
      </c>
      <c r="H91" s="57" t="s">
        <v>47</v>
      </c>
      <c r="I91" s="58">
        <v>4.37</v>
      </c>
      <c r="J91" s="58">
        <v>1.7</v>
      </c>
      <c r="K91" s="59">
        <f t="shared" si="40"/>
        <v>4.29571</v>
      </c>
      <c r="L91" s="60">
        <v>0.31</v>
      </c>
      <c r="M91" s="60">
        <v>0.305</v>
      </c>
      <c r="N91" s="62">
        <v>0.305</v>
      </c>
      <c r="O91" s="60">
        <f t="shared" si="41"/>
        <v>0.305</v>
      </c>
      <c r="P91" s="63">
        <v>90.0</v>
      </c>
      <c r="Q91" s="57">
        <v>90.26</v>
      </c>
      <c r="R91" s="65">
        <v>2776.8</v>
      </c>
      <c r="S91" s="76">
        <v>110.0</v>
      </c>
      <c r="U91" s="87">
        <v>80.0</v>
      </c>
      <c r="V91" s="67">
        <v>1.1023</v>
      </c>
      <c r="Z91" s="77">
        <v>10.0</v>
      </c>
      <c r="AA91" s="70">
        <f t="shared" si="44"/>
        <v>10</v>
      </c>
      <c r="AB91" s="71">
        <f t="shared" si="45"/>
        <v>683.7253847</v>
      </c>
      <c r="AC91" s="71">
        <f>+(S91-T91)*V91-'data 1'!$F$4</f>
        <v>41.253</v>
      </c>
      <c r="AD91" s="71">
        <f t="shared" si="46"/>
        <v>2.395982208</v>
      </c>
      <c r="AE91" s="71">
        <f t="shared" si="47"/>
        <v>-58.977</v>
      </c>
      <c r="AF91" s="71">
        <f t="shared" si="48"/>
        <v>13.41571675</v>
      </c>
      <c r="AG91" s="72">
        <f t="shared" si="54"/>
        <v>68.08769896</v>
      </c>
      <c r="AH91" s="52">
        <f t="shared" si="50"/>
        <v>41.20985127</v>
      </c>
      <c r="AI91" s="73">
        <f t="shared" si="51"/>
        <v>37.99859495</v>
      </c>
      <c r="AJ91" s="73">
        <f t="shared" si="52"/>
        <v>40.42838314</v>
      </c>
      <c r="AK91" s="11"/>
      <c r="AL91" s="51">
        <f t="shared" si="53"/>
        <v>2937.085972</v>
      </c>
    </row>
    <row r="92" ht="15.75" customHeight="1">
      <c r="A92" s="88" t="s">
        <v>145</v>
      </c>
      <c r="B92" s="56">
        <v>45685.0</v>
      </c>
      <c r="C92" s="56">
        <v>45682.0</v>
      </c>
      <c r="D92" s="57" t="s">
        <v>146</v>
      </c>
      <c r="E92" s="57">
        <f t="array" ref="E92">XLOOKUP(D92,RUC!$B$3:$B$79,RUC!$D$3:$D$79)</f>
        <v>20517242919</v>
      </c>
      <c r="G92" s="3">
        <v>41.0</v>
      </c>
      <c r="H92" s="57" t="s">
        <v>47</v>
      </c>
      <c r="I92" s="58">
        <v>3.92</v>
      </c>
      <c r="J92" s="58">
        <v>1.1</v>
      </c>
      <c r="K92" s="59">
        <f t="shared" si="40"/>
        <v>3.87688</v>
      </c>
      <c r="L92" s="60">
        <v>0.17</v>
      </c>
      <c r="M92" s="60">
        <v>0.167</v>
      </c>
      <c r="N92" s="62">
        <v>0.167</v>
      </c>
      <c r="O92" s="60">
        <f t="shared" si="41"/>
        <v>0.167</v>
      </c>
      <c r="P92" s="63">
        <v>85.0</v>
      </c>
      <c r="Q92" s="57">
        <v>89.92</v>
      </c>
      <c r="R92" s="65">
        <v>2776.8</v>
      </c>
      <c r="S92" s="76">
        <v>95.0</v>
      </c>
      <c r="U92" s="87">
        <v>80.0</v>
      </c>
      <c r="V92" s="67">
        <v>1.1023</v>
      </c>
      <c r="Z92" s="77">
        <v>10.0</v>
      </c>
      <c r="AA92" s="70">
        <f t="shared" si="44"/>
        <v>10</v>
      </c>
      <c r="AB92" s="71">
        <f t="shared" si="45"/>
        <v>306.2308007</v>
      </c>
      <c r="AC92" s="71">
        <f>+(S92-T92)*V92-'data 1'!$F$4</f>
        <v>24.7185</v>
      </c>
      <c r="AD92" s="71">
        <f t="shared" si="46"/>
        <v>24.8635176</v>
      </c>
      <c r="AE92" s="71">
        <f t="shared" si="47"/>
        <v>-58.977</v>
      </c>
      <c r="AF92" s="71">
        <f t="shared" si="48"/>
        <v>8.01910869</v>
      </c>
      <c r="AG92" s="72">
        <f t="shared" si="54"/>
        <v>68.62412629</v>
      </c>
      <c r="AH92" s="52">
        <f t="shared" si="50"/>
        <v>20.31873412</v>
      </c>
      <c r="AI92" s="73">
        <f t="shared" si="51"/>
        <v>20.75944482</v>
      </c>
      <c r="AJ92" s="73">
        <f t="shared" si="52"/>
        <v>18.86804158</v>
      </c>
      <c r="AK92" s="11"/>
      <c r="AL92" s="51">
        <f t="shared" si="53"/>
        <v>1187.220067</v>
      </c>
    </row>
    <row r="93" ht="15.75" customHeight="1">
      <c r="A93" s="88" t="s">
        <v>147</v>
      </c>
      <c r="B93" s="56">
        <v>45685.0</v>
      </c>
      <c r="C93" s="56">
        <v>45682.0</v>
      </c>
      <c r="D93" s="57" t="s">
        <v>146</v>
      </c>
      <c r="E93" s="57">
        <f t="array" ref="E93">XLOOKUP(D93,RUC!$B$3:$B$79,RUC!$D$3:$D$79)</f>
        <v>20517242919</v>
      </c>
      <c r="G93" s="3">
        <v>42.0</v>
      </c>
      <c r="H93" s="57" t="s">
        <v>47</v>
      </c>
      <c r="I93" s="58">
        <v>4.22</v>
      </c>
      <c r="J93" s="58">
        <v>1.9</v>
      </c>
      <c r="K93" s="59">
        <f t="shared" si="40"/>
        <v>4.13982</v>
      </c>
      <c r="L93" s="60">
        <v>0.366</v>
      </c>
      <c r="M93" s="60">
        <v>0.36</v>
      </c>
      <c r="N93" s="62">
        <v>0.36</v>
      </c>
      <c r="O93" s="60">
        <f t="shared" si="41"/>
        <v>0.36</v>
      </c>
      <c r="P93" s="63">
        <v>90.0</v>
      </c>
      <c r="Q93" s="57">
        <v>90.13</v>
      </c>
      <c r="R93" s="65">
        <v>2776.8</v>
      </c>
      <c r="S93" s="76">
        <v>110.0</v>
      </c>
      <c r="U93" s="87">
        <v>80.0</v>
      </c>
      <c r="V93" s="67">
        <v>1.1023</v>
      </c>
      <c r="Z93" s="77">
        <v>10.0</v>
      </c>
      <c r="AA93" s="70">
        <f t="shared" si="44"/>
        <v>10</v>
      </c>
      <c r="AB93" s="71">
        <f t="shared" si="45"/>
        <v>830.8731754</v>
      </c>
      <c r="AC93" s="71">
        <f>+(S93-T93)*V93-'data 1'!$F$4</f>
        <v>41.253</v>
      </c>
      <c r="AD93" s="71">
        <f t="shared" si="46"/>
        <v>1.4144024</v>
      </c>
      <c r="AE93" s="71">
        <f t="shared" si="47"/>
        <v>-58.977</v>
      </c>
      <c r="AF93" s="71">
        <f t="shared" si="48"/>
        <v>16.07567318</v>
      </c>
      <c r="AG93" s="72">
        <f t="shared" si="54"/>
        <v>69.76607558</v>
      </c>
      <c r="AH93" s="52">
        <f t="shared" si="50"/>
        <v>46.82103223</v>
      </c>
      <c r="AI93" s="73">
        <f t="shared" si="51"/>
        <v>44.79824202</v>
      </c>
      <c r="AJ93" s="73">
        <f t="shared" si="52"/>
        <v>45.98704859</v>
      </c>
      <c r="AK93" s="11"/>
      <c r="AL93" s="51">
        <f t="shared" si="53"/>
        <v>3439.665389</v>
      </c>
    </row>
    <row r="94" ht="15.75" customHeight="1">
      <c r="A94" s="88" t="s">
        <v>148</v>
      </c>
      <c r="B94" s="56">
        <v>45685.0</v>
      </c>
      <c r="C94" s="56">
        <v>45682.0</v>
      </c>
      <c r="D94" s="57" t="s">
        <v>146</v>
      </c>
      <c r="E94" s="57">
        <f t="array" ref="E94">XLOOKUP(D94,RUC!$B$3:$B$79,RUC!$D$3:$D$79)</f>
        <v>20517242919</v>
      </c>
      <c r="G94" s="3">
        <v>73.0</v>
      </c>
      <c r="H94" s="57" t="s">
        <v>47</v>
      </c>
      <c r="I94" s="58">
        <v>6.96</v>
      </c>
      <c r="J94" s="58">
        <v>1.3</v>
      </c>
      <c r="K94" s="59">
        <f t="shared" si="40"/>
        <v>6.86952</v>
      </c>
      <c r="L94" s="60">
        <v>0.175</v>
      </c>
      <c r="M94" s="60">
        <v>0.172</v>
      </c>
      <c r="N94" s="62">
        <v>0.172</v>
      </c>
      <c r="O94" s="60">
        <f t="shared" si="41"/>
        <v>0.172</v>
      </c>
      <c r="P94" s="63">
        <v>85.0</v>
      </c>
      <c r="Q94" s="57">
        <v>89.88</v>
      </c>
      <c r="R94" s="65">
        <v>2776.8</v>
      </c>
      <c r="S94" s="76">
        <v>95.0</v>
      </c>
      <c r="U94" s="87">
        <v>80.0</v>
      </c>
      <c r="V94" s="67">
        <v>1.1023</v>
      </c>
      <c r="Z94" s="77">
        <v>10.0</v>
      </c>
      <c r="AA94" s="70">
        <f t="shared" si="44"/>
        <v>10</v>
      </c>
      <c r="AB94" s="71">
        <f t="shared" si="45"/>
        <v>318.864702</v>
      </c>
      <c r="AC94" s="71">
        <f>+(S94-T94)*V94-'data 1'!$F$4</f>
        <v>24.7185</v>
      </c>
      <c r="AD94" s="71">
        <f t="shared" si="46"/>
        <v>25.38670975</v>
      </c>
      <c r="AE94" s="71">
        <f t="shared" si="47"/>
        <v>-58.977</v>
      </c>
      <c r="AF94" s="71">
        <f t="shared" si="48"/>
        <v>8.01554147</v>
      </c>
      <c r="AG94" s="72">
        <f t="shared" si="54"/>
        <v>69.14375122</v>
      </c>
      <c r="AH94" s="52">
        <f t="shared" si="50"/>
        <v>37.04559496</v>
      </c>
      <c r="AI94" s="73">
        <f t="shared" si="51"/>
        <v>21.36051049</v>
      </c>
      <c r="AJ94" s="73">
        <f t="shared" si="52"/>
        <v>34.43363203</v>
      </c>
      <c r="AK94" s="11"/>
      <c r="AL94" s="51">
        <f t="shared" si="53"/>
        <v>2190.447447</v>
      </c>
    </row>
    <row r="95" ht="15.0" customHeight="1">
      <c r="B95" s="56"/>
      <c r="G95" s="3"/>
      <c r="L95" s="60"/>
      <c r="M95" s="60"/>
      <c r="N95" s="62"/>
      <c r="R95" s="65"/>
      <c r="AG95" s="91"/>
    </row>
    <row r="96" ht="15.0" customHeight="1">
      <c r="B96" s="56"/>
      <c r="G96" s="3"/>
      <c r="L96" s="60"/>
      <c r="M96" s="60"/>
      <c r="N96" s="62"/>
      <c r="R96" s="65"/>
      <c r="AG96" s="91"/>
    </row>
    <row r="97" ht="15.0" customHeight="1">
      <c r="B97" s="56"/>
      <c r="G97" s="3"/>
      <c r="L97" s="60"/>
      <c r="M97" s="60"/>
      <c r="N97" s="62"/>
      <c r="R97" s="65"/>
      <c r="AG97" s="91"/>
    </row>
    <row r="98" ht="15.0" customHeight="1">
      <c r="B98" s="56"/>
      <c r="G98" s="3"/>
      <c r="L98" s="60"/>
      <c r="M98" s="60"/>
      <c r="N98" s="62"/>
      <c r="R98" s="65"/>
      <c r="AG98" s="91"/>
    </row>
    <row r="99" ht="15.0" customHeight="1">
      <c r="B99" s="56"/>
      <c r="G99" s="3"/>
      <c r="L99" s="60"/>
      <c r="M99" s="60"/>
      <c r="N99" s="62"/>
      <c r="R99" s="65"/>
      <c r="AG99" s="91"/>
    </row>
    <row r="100" ht="15.0" customHeight="1">
      <c r="B100" s="56"/>
      <c r="G100" s="3"/>
      <c r="L100" s="60"/>
      <c r="M100" s="60"/>
      <c r="N100" s="62"/>
      <c r="R100" s="65"/>
      <c r="AG100" s="91"/>
    </row>
    <row r="101" ht="15.0" customHeight="1">
      <c r="B101" s="56"/>
      <c r="G101" s="3"/>
      <c r="L101" s="60"/>
      <c r="M101" s="60"/>
      <c r="N101" s="62"/>
      <c r="R101" s="65"/>
      <c r="AG101" s="91"/>
    </row>
    <row r="102" ht="15.0" customHeight="1">
      <c r="B102" s="56"/>
      <c r="G102" s="3"/>
      <c r="L102" s="60"/>
      <c r="M102" s="60"/>
      <c r="N102" s="62"/>
      <c r="R102" s="65"/>
      <c r="AG102" s="91"/>
    </row>
    <row r="103" ht="15.0" customHeight="1">
      <c r="B103" s="56"/>
      <c r="G103" s="3"/>
      <c r="L103" s="60"/>
      <c r="M103" s="60"/>
      <c r="N103" s="62"/>
      <c r="R103" s="65"/>
      <c r="AG103" s="91"/>
    </row>
    <row r="104" ht="15.0" customHeight="1">
      <c r="B104" s="56"/>
      <c r="G104" s="3"/>
      <c r="L104" s="60"/>
      <c r="M104" s="60"/>
      <c r="N104" s="62"/>
      <c r="R104" s="65"/>
      <c r="AG104" s="91"/>
    </row>
    <row r="105" ht="15.0" customHeight="1">
      <c r="B105" s="56"/>
      <c r="G105" s="3"/>
      <c r="L105" s="60"/>
      <c r="M105" s="60"/>
      <c r="N105" s="62"/>
      <c r="R105" s="65"/>
      <c r="AG105" s="91"/>
    </row>
    <row r="106" ht="15.0" customHeight="1">
      <c r="B106" s="56"/>
      <c r="G106" s="3"/>
      <c r="L106" s="60"/>
      <c r="M106" s="60"/>
      <c r="N106" s="62"/>
      <c r="R106" s="65"/>
      <c r="AG106" s="91"/>
    </row>
    <row r="107" ht="15.0" customHeight="1">
      <c r="B107" s="56"/>
      <c r="G107" s="3"/>
      <c r="L107" s="60"/>
      <c r="M107" s="60"/>
      <c r="N107" s="62"/>
      <c r="R107" s="65"/>
      <c r="AG107" s="91"/>
    </row>
    <row r="108" ht="15.0" customHeight="1">
      <c r="B108" s="56"/>
      <c r="G108" s="3"/>
      <c r="L108" s="60"/>
      <c r="M108" s="60"/>
      <c r="N108" s="62"/>
      <c r="R108" s="65"/>
      <c r="AG108" s="91"/>
    </row>
    <row r="109" ht="15.0" customHeight="1">
      <c r="B109" s="56"/>
      <c r="G109" s="3"/>
      <c r="L109" s="60"/>
      <c r="M109" s="60"/>
      <c r="N109" s="62"/>
      <c r="R109" s="65"/>
      <c r="AG109" s="91"/>
    </row>
    <row r="110" ht="15.0" customHeight="1">
      <c r="B110" s="56"/>
      <c r="G110" s="3"/>
      <c r="L110" s="60"/>
      <c r="M110" s="60"/>
      <c r="N110" s="62"/>
      <c r="R110" s="65"/>
      <c r="AG110" s="91"/>
    </row>
    <row r="111" ht="15.0" customHeight="1">
      <c r="B111" s="56"/>
      <c r="G111" s="3"/>
      <c r="L111" s="60"/>
      <c r="M111" s="60"/>
      <c r="N111" s="62"/>
      <c r="R111" s="65"/>
      <c r="AG111" s="91"/>
    </row>
    <row r="112" ht="15.0" customHeight="1">
      <c r="B112" s="56"/>
      <c r="G112" s="3"/>
      <c r="L112" s="60"/>
      <c r="M112" s="60"/>
      <c r="N112" s="62"/>
      <c r="R112" s="65"/>
      <c r="AG112" s="91"/>
    </row>
    <row r="113" ht="15.0" customHeight="1">
      <c r="B113" s="56"/>
      <c r="G113" s="3"/>
      <c r="L113" s="60"/>
      <c r="M113" s="60"/>
      <c r="N113" s="62"/>
      <c r="R113" s="65"/>
      <c r="AG113" s="91"/>
    </row>
    <row r="114" ht="15.0" customHeight="1">
      <c r="B114" s="56"/>
      <c r="G114" s="3"/>
      <c r="L114" s="60"/>
      <c r="M114" s="60"/>
      <c r="N114" s="62"/>
      <c r="R114" s="65"/>
      <c r="AG114" s="91"/>
    </row>
    <row r="115" ht="15.0" customHeight="1">
      <c r="B115" s="56"/>
      <c r="G115" s="3"/>
      <c r="L115" s="60"/>
      <c r="M115" s="60"/>
      <c r="N115" s="62"/>
      <c r="R115" s="65"/>
      <c r="AG115" s="91"/>
    </row>
    <row r="116" ht="15.0" customHeight="1">
      <c r="B116" s="56"/>
      <c r="G116" s="3"/>
      <c r="L116" s="60"/>
      <c r="M116" s="60"/>
      <c r="N116" s="62"/>
      <c r="R116" s="65"/>
      <c r="AG116" s="91"/>
    </row>
    <row r="117" ht="15.0" customHeight="1">
      <c r="B117" s="56"/>
      <c r="G117" s="3"/>
      <c r="L117" s="60"/>
      <c r="M117" s="60"/>
      <c r="N117" s="62"/>
      <c r="R117" s="65"/>
      <c r="AG117" s="91"/>
    </row>
    <row r="118" ht="15.0" customHeight="1">
      <c r="B118" s="56"/>
      <c r="G118" s="3"/>
      <c r="L118" s="60"/>
      <c r="M118" s="60"/>
      <c r="N118" s="62"/>
      <c r="R118" s="65"/>
      <c r="AG118" s="91"/>
    </row>
    <row r="119" ht="15.0" customHeight="1">
      <c r="B119" s="56"/>
      <c r="G119" s="3"/>
      <c r="L119" s="60"/>
      <c r="M119" s="60"/>
      <c r="N119" s="62"/>
      <c r="R119" s="65"/>
      <c r="AG119" s="91"/>
    </row>
    <row r="120" ht="15.0" customHeight="1">
      <c r="B120" s="56"/>
      <c r="G120" s="3"/>
      <c r="L120" s="60"/>
      <c r="M120" s="60"/>
      <c r="N120" s="62"/>
      <c r="R120" s="65"/>
      <c r="AG120" s="91"/>
    </row>
    <row r="121" ht="15.0" customHeight="1">
      <c r="B121" s="56"/>
      <c r="G121" s="3"/>
      <c r="L121" s="60"/>
      <c r="M121" s="60"/>
      <c r="N121" s="62"/>
      <c r="R121" s="65"/>
      <c r="AG121" s="91"/>
    </row>
    <row r="122" ht="15.0" customHeight="1">
      <c r="B122" s="56"/>
      <c r="G122" s="3"/>
      <c r="L122" s="60"/>
      <c r="M122" s="60"/>
      <c r="N122" s="62"/>
      <c r="R122" s="65"/>
      <c r="AG122" s="91"/>
    </row>
    <row r="123" ht="15.0" customHeight="1">
      <c r="B123" s="56"/>
      <c r="G123" s="3"/>
      <c r="L123" s="60"/>
      <c r="M123" s="60"/>
      <c r="N123" s="62"/>
      <c r="R123" s="65"/>
      <c r="AG123" s="91"/>
    </row>
    <row r="124" ht="15.0" customHeight="1">
      <c r="B124" s="56"/>
      <c r="G124" s="3"/>
      <c r="L124" s="60"/>
      <c r="M124" s="60"/>
      <c r="N124" s="62"/>
      <c r="R124" s="65"/>
      <c r="AG124" s="91"/>
    </row>
    <row r="125" ht="15.0" customHeight="1">
      <c r="B125" s="56"/>
      <c r="G125" s="3"/>
      <c r="L125" s="60"/>
      <c r="M125" s="60"/>
      <c r="N125" s="62"/>
      <c r="R125" s="65"/>
      <c r="AG125" s="91"/>
    </row>
    <row r="126" ht="15.0" customHeight="1">
      <c r="B126" s="56"/>
      <c r="G126" s="3"/>
      <c r="L126" s="60"/>
      <c r="M126" s="60"/>
      <c r="N126" s="62"/>
      <c r="R126" s="65"/>
      <c r="AG126" s="91"/>
    </row>
    <row r="127" ht="15.0" customHeight="1">
      <c r="B127" s="56"/>
      <c r="G127" s="3"/>
      <c r="L127" s="60"/>
      <c r="M127" s="60"/>
      <c r="N127" s="62"/>
      <c r="R127" s="65"/>
      <c r="AG127" s="91"/>
    </row>
    <row r="128" ht="15.0" customHeight="1">
      <c r="B128" s="56"/>
      <c r="G128" s="3"/>
      <c r="L128" s="60"/>
      <c r="M128" s="60"/>
      <c r="N128" s="62"/>
      <c r="R128" s="65"/>
      <c r="AG128" s="91"/>
    </row>
    <row r="129" ht="15.0" customHeight="1">
      <c r="B129" s="56"/>
      <c r="G129" s="3"/>
      <c r="L129" s="60"/>
      <c r="M129" s="60"/>
      <c r="N129" s="62"/>
      <c r="R129" s="65"/>
      <c r="AG129" s="91"/>
    </row>
    <row r="130" ht="15.0" customHeight="1">
      <c r="B130" s="56"/>
      <c r="G130" s="3"/>
      <c r="L130" s="60"/>
      <c r="M130" s="60"/>
      <c r="N130" s="62"/>
      <c r="R130" s="65"/>
      <c r="AG130" s="91"/>
    </row>
    <row r="131" ht="15.0" customHeight="1">
      <c r="B131" s="56"/>
      <c r="G131" s="3"/>
      <c r="L131" s="60"/>
      <c r="M131" s="60"/>
      <c r="N131" s="62"/>
      <c r="R131" s="65"/>
      <c r="AG131" s="91"/>
    </row>
    <row r="132" ht="15.0" customHeight="1">
      <c r="B132" s="56"/>
      <c r="G132" s="3"/>
      <c r="L132" s="60"/>
      <c r="M132" s="60"/>
      <c r="N132" s="62"/>
      <c r="R132" s="65"/>
      <c r="AG132" s="91"/>
    </row>
    <row r="133" ht="15.0" customHeight="1">
      <c r="B133" s="56"/>
      <c r="G133" s="3"/>
      <c r="L133" s="60"/>
      <c r="M133" s="60"/>
      <c r="N133" s="62"/>
      <c r="R133" s="65"/>
      <c r="AG133" s="91"/>
    </row>
    <row r="134" ht="15.0" customHeight="1">
      <c r="B134" s="56"/>
      <c r="G134" s="3"/>
      <c r="L134" s="60"/>
      <c r="M134" s="60"/>
      <c r="N134" s="62"/>
      <c r="R134" s="65"/>
      <c r="AG134" s="91"/>
    </row>
    <row r="135" ht="15.0" customHeight="1">
      <c r="B135" s="56"/>
      <c r="G135" s="3"/>
      <c r="L135" s="60"/>
      <c r="M135" s="60"/>
      <c r="N135" s="62"/>
      <c r="R135" s="65"/>
      <c r="AG135" s="91"/>
    </row>
    <row r="136" ht="15.0" customHeight="1">
      <c r="B136" s="56"/>
      <c r="G136" s="3"/>
      <c r="L136" s="60"/>
      <c r="M136" s="60"/>
      <c r="N136" s="62"/>
      <c r="R136" s="65"/>
      <c r="AG136" s="91"/>
    </row>
    <row r="137" ht="15.0" customHeight="1">
      <c r="B137" s="56"/>
      <c r="G137" s="3"/>
      <c r="L137" s="60"/>
      <c r="M137" s="60"/>
      <c r="N137" s="62"/>
      <c r="R137" s="65"/>
      <c r="AG137" s="91"/>
    </row>
    <row r="138" ht="15.0" customHeight="1">
      <c r="B138" s="56"/>
      <c r="G138" s="3"/>
      <c r="L138" s="60"/>
      <c r="M138" s="60"/>
      <c r="N138" s="62"/>
      <c r="R138" s="65"/>
      <c r="AG138" s="91"/>
    </row>
    <row r="139" ht="15.0" customHeight="1">
      <c r="B139" s="56"/>
      <c r="G139" s="3"/>
      <c r="L139" s="60"/>
      <c r="M139" s="60"/>
      <c r="N139" s="62"/>
      <c r="R139" s="65"/>
      <c r="AG139" s="91"/>
    </row>
    <row r="140" ht="15.0" customHeight="1">
      <c r="B140" s="56"/>
      <c r="G140" s="3"/>
      <c r="L140" s="60"/>
      <c r="M140" s="60"/>
      <c r="N140" s="62"/>
      <c r="R140" s="65"/>
      <c r="AG140" s="91"/>
    </row>
    <row r="141" ht="15.0" customHeight="1">
      <c r="B141" s="56"/>
      <c r="G141" s="3"/>
      <c r="L141" s="60"/>
      <c r="M141" s="60"/>
      <c r="N141" s="62"/>
      <c r="R141" s="65"/>
      <c r="AG141" s="91"/>
    </row>
    <row r="142" ht="15.0" customHeight="1">
      <c r="B142" s="56"/>
      <c r="G142" s="3"/>
      <c r="L142" s="60"/>
      <c r="M142" s="60"/>
      <c r="N142" s="62"/>
      <c r="R142" s="65"/>
      <c r="AG142" s="91"/>
    </row>
    <row r="143" ht="15.0" customHeight="1">
      <c r="B143" s="56"/>
      <c r="G143" s="3"/>
      <c r="L143" s="60"/>
      <c r="M143" s="60"/>
      <c r="N143" s="62"/>
      <c r="R143" s="65"/>
      <c r="AG143" s="91"/>
    </row>
    <row r="144" ht="15.0" customHeight="1">
      <c r="B144" s="56"/>
      <c r="G144" s="3"/>
      <c r="L144" s="60"/>
      <c r="M144" s="60"/>
      <c r="N144" s="62"/>
      <c r="R144" s="65"/>
      <c r="AG144" s="91"/>
    </row>
    <row r="145" ht="15.0" customHeight="1">
      <c r="B145" s="56"/>
      <c r="L145" s="60"/>
      <c r="M145" s="60"/>
      <c r="N145" s="62"/>
      <c r="R145" s="65"/>
      <c r="AG145" s="91"/>
    </row>
    <row r="146" ht="15.0" customHeight="1">
      <c r="B146" s="56"/>
      <c r="L146" s="60"/>
      <c r="M146" s="60"/>
      <c r="N146" s="62"/>
      <c r="R146" s="65"/>
      <c r="AG146" s="91"/>
    </row>
    <row r="147" ht="15.0" customHeight="1">
      <c r="B147" s="56"/>
      <c r="N147" s="62"/>
      <c r="R147" s="65"/>
      <c r="AG147" s="91"/>
    </row>
    <row r="148" ht="15.0" customHeight="1">
      <c r="B148" s="56"/>
      <c r="N148" s="62"/>
      <c r="R148" s="65"/>
      <c r="AG148" s="91"/>
    </row>
    <row r="149" ht="15.0" customHeight="1">
      <c r="B149" s="56"/>
      <c r="N149" s="62"/>
      <c r="R149" s="65"/>
      <c r="AG149" s="91"/>
    </row>
    <row r="150" ht="15.0" customHeight="1">
      <c r="B150" s="56"/>
      <c r="N150" s="62"/>
      <c r="R150" s="65"/>
      <c r="AG150" s="91"/>
    </row>
    <row r="151" ht="15.0" customHeight="1">
      <c r="B151" s="56"/>
      <c r="N151" s="62"/>
      <c r="R151" s="65"/>
      <c r="AG151" s="91"/>
    </row>
    <row r="152" ht="15.0" customHeight="1">
      <c r="B152" s="56"/>
      <c r="N152" s="62"/>
      <c r="R152" s="65"/>
      <c r="AG152" s="91"/>
    </row>
    <row r="153" ht="15.0" customHeight="1">
      <c r="B153" s="56"/>
      <c r="N153" s="62"/>
      <c r="R153" s="65"/>
      <c r="AG153" s="91"/>
    </row>
    <row r="154" ht="15.0" customHeight="1">
      <c r="B154" s="56"/>
      <c r="N154" s="62"/>
      <c r="R154" s="65"/>
      <c r="AG154" s="91"/>
    </row>
    <row r="155" ht="15.0" customHeight="1">
      <c r="B155" s="56"/>
      <c r="N155" s="62"/>
      <c r="R155" s="65"/>
      <c r="AG155" s="91"/>
    </row>
    <row r="156" ht="15.0" customHeight="1">
      <c r="B156" s="56"/>
      <c r="N156" s="62"/>
      <c r="R156" s="65"/>
      <c r="AG156" s="91"/>
    </row>
    <row r="157" ht="15.0" customHeight="1">
      <c r="B157" s="56"/>
      <c r="N157" s="62"/>
      <c r="R157" s="65"/>
      <c r="AG157" s="91"/>
    </row>
    <row r="158" ht="15.0" customHeight="1">
      <c r="B158" s="56"/>
      <c r="N158" s="62"/>
      <c r="R158" s="65"/>
      <c r="AG158" s="91"/>
    </row>
    <row r="159" ht="15.0" customHeight="1">
      <c r="B159" s="56"/>
      <c r="N159" s="62"/>
      <c r="R159" s="65"/>
      <c r="AG159" s="91"/>
    </row>
    <row r="160" ht="15.0" customHeight="1">
      <c r="B160" s="56"/>
      <c r="N160" s="62"/>
      <c r="R160" s="65"/>
      <c r="AG160" s="91"/>
    </row>
    <row r="161" ht="15.0" customHeight="1">
      <c r="B161" s="56"/>
      <c r="N161" s="62"/>
      <c r="R161" s="65"/>
      <c r="AG161" s="91"/>
    </row>
    <row r="162" ht="15.0" customHeight="1">
      <c r="B162" s="56"/>
      <c r="N162" s="62"/>
      <c r="R162" s="65"/>
      <c r="AG162" s="91"/>
    </row>
    <row r="163" ht="15.0" customHeight="1">
      <c r="B163" s="56"/>
      <c r="N163" s="62"/>
      <c r="R163" s="65"/>
      <c r="AG163" s="91"/>
    </row>
    <row r="164" ht="15.0" customHeight="1">
      <c r="B164" s="56"/>
      <c r="N164" s="62"/>
      <c r="R164" s="65"/>
      <c r="AG164" s="91"/>
    </row>
    <row r="165" ht="15.0" customHeight="1">
      <c r="B165" s="56"/>
      <c r="N165" s="62"/>
      <c r="R165" s="65"/>
      <c r="AG165" s="91"/>
    </row>
    <row r="166" ht="15.0" customHeight="1">
      <c r="B166" s="56"/>
      <c r="N166" s="62"/>
      <c r="R166" s="65"/>
      <c r="AG166" s="91"/>
    </row>
    <row r="167" ht="15.0" customHeight="1">
      <c r="B167" s="56"/>
      <c r="N167" s="62"/>
      <c r="R167" s="65"/>
      <c r="AG167" s="91"/>
    </row>
    <row r="168" ht="15.0" customHeight="1">
      <c r="B168" s="56"/>
      <c r="N168" s="62"/>
      <c r="R168" s="65"/>
      <c r="AG168" s="91"/>
    </row>
    <row r="169" ht="15.0" customHeight="1">
      <c r="B169" s="56"/>
      <c r="N169" s="62"/>
      <c r="R169" s="65"/>
      <c r="AG169" s="91"/>
    </row>
    <row r="170" ht="15.0" customHeight="1">
      <c r="B170" s="56"/>
      <c r="N170" s="62"/>
      <c r="R170" s="65"/>
      <c r="AG170" s="91"/>
    </row>
    <row r="171" ht="15.0" customHeight="1">
      <c r="B171" s="56"/>
      <c r="N171" s="62"/>
      <c r="R171" s="65"/>
      <c r="AG171" s="91"/>
    </row>
    <row r="172" ht="15.0" customHeight="1">
      <c r="B172" s="56"/>
      <c r="N172" s="62"/>
      <c r="R172" s="65"/>
      <c r="AG172" s="91"/>
    </row>
    <row r="173" ht="15.0" customHeight="1">
      <c r="B173" s="56"/>
      <c r="N173" s="62"/>
      <c r="R173" s="65"/>
      <c r="AG173" s="91"/>
    </row>
    <row r="174" ht="15.0" customHeight="1">
      <c r="B174" s="56"/>
      <c r="N174" s="62"/>
      <c r="R174" s="65"/>
      <c r="AG174" s="91"/>
    </row>
    <row r="175" ht="15.0" customHeight="1">
      <c r="B175" s="56"/>
      <c r="N175" s="62"/>
      <c r="R175" s="65"/>
      <c r="AG175" s="91"/>
    </row>
    <row r="176" ht="15.0" customHeight="1">
      <c r="B176" s="56"/>
      <c r="N176" s="62"/>
      <c r="R176" s="65"/>
      <c r="AG176" s="91"/>
    </row>
    <row r="177" ht="15.0" customHeight="1">
      <c r="B177" s="56"/>
      <c r="N177" s="62"/>
      <c r="R177" s="65"/>
      <c r="AG177" s="91"/>
    </row>
    <row r="178" ht="15.0" customHeight="1">
      <c r="B178" s="56"/>
      <c r="N178" s="62"/>
      <c r="R178" s="65"/>
      <c r="AG178" s="91"/>
    </row>
    <row r="179" ht="15.0" customHeight="1">
      <c r="B179" s="56"/>
      <c r="N179" s="62"/>
      <c r="R179" s="65"/>
      <c r="AG179" s="91"/>
    </row>
    <row r="180" ht="15.0" customHeight="1">
      <c r="B180" s="56"/>
      <c r="N180" s="62"/>
      <c r="R180" s="65"/>
      <c r="AG180" s="91"/>
    </row>
    <row r="181" ht="15.0" customHeight="1">
      <c r="B181" s="56"/>
      <c r="N181" s="62"/>
      <c r="R181" s="65"/>
      <c r="AG181" s="91"/>
    </row>
    <row r="182" ht="15.0" customHeight="1">
      <c r="B182" s="56"/>
      <c r="N182" s="62"/>
      <c r="R182" s="65"/>
      <c r="AG182" s="91"/>
    </row>
    <row r="183" ht="15.0" customHeight="1">
      <c r="B183" s="56"/>
      <c r="N183" s="62"/>
      <c r="R183" s="65"/>
      <c r="AG183" s="91"/>
    </row>
    <row r="184" ht="15.0" customHeight="1">
      <c r="B184" s="56"/>
      <c r="N184" s="62"/>
      <c r="R184" s="65"/>
      <c r="AG184" s="91"/>
    </row>
    <row r="185" ht="15.0" customHeight="1">
      <c r="B185" s="56"/>
      <c r="N185" s="62"/>
      <c r="R185" s="65"/>
      <c r="AG185" s="91"/>
    </row>
    <row r="186" ht="15.0" customHeight="1">
      <c r="B186" s="56"/>
      <c r="N186" s="62"/>
      <c r="R186" s="65"/>
      <c r="AG186" s="91"/>
    </row>
    <row r="187" ht="15.0" customHeight="1">
      <c r="B187" s="56"/>
      <c r="N187" s="62"/>
      <c r="R187" s="65"/>
      <c r="AG187" s="91"/>
    </row>
    <row r="188" ht="15.0" customHeight="1">
      <c r="B188" s="56"/>
      <c r="N188" s="62"/>
      <c r="R188" s="65"/>
      <c r="AG188" s="91"/>
    </row>
    <row r="189" ht="15.0" customHeight="1">
      <c r="B189" s="56"/>
      <c r="N189" s="62"/>
      <c r="R189" s="65"/>
      <c r="AG189" s="91"/>
    </row>
    <row r="190" ht="15.0" customHeight="1">
      <c r="B190" s="56"/>
      <c r="N190" s="62"/>
      <c r="R190" s="65"/>
      <c r="AG190" s="91"/>
    </row>
    <row r="191" ht="15.0" customHeight="1">
      <c r="B191" s="56"/>
      <c r="N191" s="62"/>
      <c r="R191" s="65"/>
      <c r="AG191" s="91"/>
    </row>
    <row r="192" ht="15.0" customHeight="1">
      <c r="B192" s="56"/>
      <c r="N192" s="62"/>
      <c r="R192" s="65"/>
      <c r="AG192" s="91"/>
    </row>
    <row r="193" ht="15.0" customHeight="1">
      <c r="B193" s="56"/>
      <c r="N193" s="62"/>
      <c r="R193" s="65"/>
      <c r="AG193" s="91"/>
    </row>
    <row r="194" ht="15.0" customHeight="1">
      <c r="B194" s="56"/>
      <c r="N194" s="62"/>
      <c r="R194" s="65"/>
      <c r="AG194" s="91"/>
    </row>
    <row r="195" ht="15.0" customHeight="1">
      <c r="B195" s="56"/>
      <c r="N195" s="62"/>
      <c r="R195" s="65"/>
      <c r="AG195" s="91"/>
    </row>
    <row r="196" ht="15.0" customHeight="1">
      <c r="B196" s="56"/>
      <c r="N196" s="62"/>
      <c r="R196" s="65"/>
      <c r="AG196" s="91"/>
    </row>
    <row r="197" ht="15.0" customHeight="1">
      <c r="B197" s="56"/>
      <c r="N197" s="62"/>
      <c r="R197" s="65"/>
      <c r="AG197" s="91"/>
    </row>
    <row r="198" ht="15.0" customHeight="1">
      <c r="B198" s="56"/>
      <c r="N198" s="62"/>
      <c r="R198" s="65"/>
      <c r="AG198" s="91"/>
    </row>
    <row r="199" ht="15.0" customHeight="1">
      <c r="B199" s="56"/>
      <c r="N199" s="62"/>
      <c r="R199" s="65"/>
      <c r="AG199" s="91"/>
    </row>
    <row r="200" ht="15.0" customHeight="1">
      <c r="B200" s="56"/>
      <c r="N200" s="62"/>
      <c r="R200" s="65"/>
      <c r="AG200" s="91"/>
    </row>
    <row r="201" ht="15.0" customHeight="1">
      <c r="B201" s="56"/>
      <c r="N201" s="62"/>
      <c r="R201" s="65"/>
      <c r="AG201" s="91"/>
    </row>
    <row r="202" ht="15.0" customHeight="1">
      <c r="B202" s="56"/>
      <c r="N202" s="62"/>
      <c r="R202" s="65"/>
      <c r="AG202" s="91"/>
    </row>
    <row r="203" ht="15.0" customHeight="1">
      <c r="B203" s="56"/>
      <c r="N203" s="62"/>
      <c r="R203" s="65"/>
      <c r="AG203" s="91"/>
    </row>
    <row r="204" ht="15.0" customHeight="1">
      <c r="B204" s="56"/>
      <c r="N204" s="62"/>
      <c r="R204" s="65"/>
      <c r="AG204" s="91"/>
    </row>
    <row r="205" ht="15.0" customHeight="1">
      <c r="B205" s="56"/>
      <c r="N205" s="62"/>
      <c r="R205" s="65"/>
      <c r="AG205" s="91"/>
    </row>
    <row r="206" ht="15.0" customHeight="1">
      <c r="B206" s="56"/>
      <c r="N206" s="62"/>
      <c r="R206" s="65"/>
      <c r="AG206" s="91"/>
    </row>
    <row r="207" ht="15.0" customHeight="1">
      <c r="B207" s="56"/>
      <c r="N207" s="62"/>
      <c r="R207" s="65"/>
      <c r="AG207" s="91"/>
    </row>
    <row r="208" ht="15.0" customHeight="1">
      <c r="B208" s="56"/>
      <c r="N208" s="62"/>
      <c r="R208" s="65"/>
      <c r="AG208" s="91"/>
    </row>
    <row r="209" ht="15.0" customHeight="1">
      <c r="B209" s="56"/>
      <c r="N209" s="62"/>
      <c r="R209" s="65"/>
      <c r="AG209" s="91"/>
    </row>
    <row r="210" ht="15.0" customHeight="1">
      <c r="B210" s="56"/>
      <c r="N210" s="62"/>
      <c r="R210" s="65"/>
      <c r="AG210" s="91"/>
    </row>
    <row r="211" ht="15.0" customHeight="1">
      <c r="B211" s="56"/>
      <c r="N211" s="62"/>
      <c r="R211" s="65"/>
      <c r="AG211" s="91"/>
    </row>
    <row r="212" ht="15.0" customHeight="1">
      <c r="B212" s="56"/>
      <c r="N212" s="62"/>
      <c r="R212" s="65"/>
      <c r="AG212" s="91"/>
    </row>
    <row r="213" ht="15.0" customHeight="1">
      <c r="B213" s="56"/>
      <c r="N213" s="62"/>
      <c r="R213" s="65"/>
      <c r="AG213" s="91"/>
    </row>
    <row r="214" ht="15.0" customHeight="1">
      <c r="B214" s="56"/>
      <c r="N214" s="62"/>
      <c r="R214" s="65"/>
      <c r="AG214" s="91"/>
    </row>
    <row r="215" ht="15.0" customHeight="1">
      <c r="B215" s="56"/>
      <c r="N215" s="62"/>
      <c r="R215" s="65"/>
      <c r="AG215" s="91"/>
    </row>
    <row r="216" ht="15.0" customHeight="1">
      <c r="B216" s="56"/>
      <c r="N216" s="62"/>
      <c r="R216" s="65"/>
      <c r="AG216" s="91"/>
    </row>
    <row r="217" ht="15.0" customHeight="1">
      <c r="B217" s="56"/>
      <c r="N217" s="62"/>
      <c r="R217" s="65"/>
      <c r="AG217" s="91"/>
    </row>
    <row r="218" ht="15.0" customHeight="1">
      <c r="B218" s="56"/>
      <c r="N218" s="62"/>
      <c r="R218" s="65"/>
      <c r="AG218" s="91"/>
    </row>
    <row r="219" ht="15.0" customHeight="1">
      <c r="B219" s="56"/>
      <c r="N219" s="62"/>
      <c r="R219" s="65"/>
      <c r="AG219" s="91"/>
    </row>
    <row r="220" ht="15.0" customHeight="1">
      <c r="B220" s="56"/>
      <c r="N220" s="62"/>
      <c r="R220" s="65"/>
      <c r="AG220" s="91"/>
    </row>
    <row r="221" ht="15.0" customHeight="1">
      <c r="B221" s="56"/>
      <c r="N221" s="62"/>
      <c r="AG221" s="91"/>
    </row>
    <row r="222" ht="15.0" customHeight="1">
      <c r="B222" s="56"/>
      <c r="N222" s="62"/>
      <c r="AG222" s="91"/>
    </row>
    <row r="223" ht="15.0" customHeight="1">
      <c r="B223" s="56"/>
      <c r="N223" s="62"/>
      <c r="AG223" s="91"/>
    </row>
    <row r="224" ht="15.0" customHeight="1">
      <c r="B224" s="56"/>
      <c r="N224" s="62"/>
      <c r="AG224" s="91"/>
    </row>
    <row r="225" ht="15.0" customHeight="1">
      <c r="B225" s="56"/>
      <c r="N225" s="62"/>
      <c r="AG225" s="91"/>
    </row>
    <row r="226" ht="15.0" customHeight="1">
      <c r="B226" s="56"/>
      <c r="N226" s="62"/>
      <c r="AG226" s="91"/>
    </row>
    <row r="227" ht="15.0" customHeight="1">
      <c r="B227" s="56"/>
      <c r="N227" s="62"/>
      <c r="AG227" s="91"/>
    </row>
    <row r="228" ht="15.0" customHeight="1">
      <c r="B228" s="56"/>
      <c r="N228" s="62"/>
      <c r="AG228" s="91"/>
    </row>
    <row r="229" ht="15.0" customHeight="1">
      <c r="B229" s="56"/>
      <c r="N229" s="62"/>
      <c r="AG229" s="91"/>
    </row>
    <row r="230" ht="15.0" customHeight="1">
      <c r="B230" s="56"/>
      <c r="N230" s="62"/>
      <c r="AG230" s="91"/>
    </row>
    <row r="231" ht="15.0" customHeight="1">
      <c r="B231" s="56"/>
      <c r="N231" s="62"/>
      <c r="AG231" s="91"/>
    </row>
    <row r="232" ht="15.0" customHeight="1">
      <c r="B232" s="56"/>
      <c r="N232" s="62"/>
      <c r="AG232" s="91"/>
    </row>
    <row r="233" ht="15.0" customHeight="1">
      <c r="B233" s="56"/>
      <c r="N233" s="62"/>
      <c r="AG233" s="91"/>
    </row>
    <row r="234" ht="15.0" customHeight="1">
      <c r="B234" s="56"/>
      <c r="N234" s="62"/>
      <c r="AG234" s="91"/>
    </row>
    <row r="235" ht="15.0" customHeight="1">
      <c r="B235" s="56"/>
      <c r="N235" s="62"/>
      <c r="AG235" s="91"/>
    </row>
    <row r="236" ht="15.0" customHeight="1">
      <c r="B236" s="56"/>
      <c r="N236" s="62"/>
      <c r="AG236" s="91"/>
    </row>
    <row r="237" ht="15.0" customHeight="1">
      <c r="B237" s="56"/>
      <c r="N237" s="62"/>
      <c r="AG237" s="91"/>
    </row>
    <row r="238" ht="15.0" customHeight="1">
      <c r="B238" s="56"/>
      <c r="N238" s="62"/>
      <c r="AG238" s="91"/>
    </row>
    <row r="239" ht="15.0" customHeight="1">
      <c r="B239" s="56"/>
      <c r="N239" s="62"/>
      <c r="AG239" s="91"/>
    </row>
    <row r="240" ht="15.0" customHeight="1">
      <c r="B240" s="56"/>
      <c r="N240" s="62"/>
      <c r="AG240" s="91"/>
    </row>
    <row r="241" ht="15.0" customHeight="1">
      <c r="B241" s="56"/>
      <c r="N241" s="62"/>
      <c r="AG241" s="91"/>
    </row>
    <row r="242" ht="15.0" customHeight="1">
      <c r="B242" s="56"/>
      <c r="N242" s="62"/>
      <c r="AG242" s="91"/>
    </row>
    <row r="243" ht="15.0" customHeight="1">
      <c r="B243" s="56"/>
      <c r="N243" s="62"/>
      <c r="AG243" s="91"/>
    </row>
    <row r="244" ht="15.0" customHeight="1">
      <c r="B244" s="56"/>
      <c r="N244" s="62"/>
      <c r="AG244" s="91"/>
    </row>
    <row r="245" ht="15.0" customHeight="1">
      <c r="B245" s="56"/>
      <c r="N245" s="62"/>
      <c r="AG245" s="91"/>
    </row>
    <row r="246" ht="15.0" customHeight="1">
      <c r="B246" s="56"/>
      <c r="N246" s="62"/>
      <c r="AG246" s="91"/>
    </row>
    <row r="247" ht="15.0" customHeight="1">
      <c r="B247" s="56"/>
      <c r="N247" s="62"/>
      <c r="AG247" s="91"/>
    </row>
    <row r="248" ht="15.0" customHeight="1">
      <c r="B248" s="56"/>
      <c r="N248" s="62"/>
      <c r="AG248" s="91"/>
    </row>
    <row r="249" ht="15.0" customHeight="1">
      <c r="B249" s="56"/>
      <c r="N249" s="62"/>
      <c r="AG249" s="91"/>
    </row>
    <row r="250" ht="15.0" customHeight="1">
      <c r="B250" s="56"/>
      <c r="N250" s="62"/>
      <c r="AG250" s="91"/>
    </row>
    <row r="251" ht="15.0" customHeight="1">
      <c r="B251" s="56"/>
      <c r="N251" s="62"/>
      <c r="AG251" s="91"/>
    </row>
    <row r="252" ht="15.0" customHeight="1">
      <c r="B252" s="56"/>
      <c r="N252" s="62"/>
      <c r="AG252" s="91"/>
    </row>
    <row r="253" ht="15.0" customHeight="1">
      <c r="B253" s="56"/>
      <c r="N253" s="62"/>
      <c r="AG253" s="91"/>
    </row>
    <row r="254" ht="15.0" customHeight="1">
      <c r="B254" s="56"/>
      <c r="N254" s="62"/>
      <c r="AG254" s="91"/>
    </row>
    <row r="255" ht="15.0" customHeight="1">
      <c r="B255" s="56"/>
      <c r="N255" s="62"/>
      <c r="AG255" s="91"/>
    </row>
    <row r="256" ht="15.0" customHeight="1">
      <c r="B256" s="56"/>
      <c r="N256" s="62"/>
      <c r="AG256" s="91"/>
    </row>
    <row r="257" ht="15.0" customHeight="1">
      <c r="B257" s="56"/>
      <c r="N257" s="62"/>
      <c r="AG257" s="91"/>
    </row>
    <row r="258" ht="15.0" customHeight="1">
      <c r="B258" s="56"/>
      <c r="N258" s="62"/>
      <c r="AG258" s="91"/>
    </row>
    <row r="259" ht="15.0" customHeight="1">
      <c r="B259" s="56"/>
      <c r="N259" s="62"/>
      <c r="AG259" s="91"/>
    </row>
    <row r="260" ht="15.0" customHeight="1">
      <c r="B260" s="56"/>
      <c r="N260" s="62"/>
      <c r="AG260" s="91"/>
    </row>
    <row r="261" ht="15.0" customHeight="1">
      <c r="B261" s="56"/>
      <c r="N261" s="62"/>
      <c r="AG261" s="91"/>
    </row>
    <row r="262" ht="15.0" customHeight="1">
      <c r="B262" s="56"/>
      <c r="N262" s="62"/>
      <c r="AG262" s="91"/>
    </row>
    <row r="263" ht="15.0" customHeight="1">
      <c r="B263" s="56"/>
      <c r="N263" s="62"/>
      <c r="AG263" s="91"/>
    </row>
    <row r="264" ht="15.0" customHeight="1">
      <c r="B264" s="56"/>
      <c r="N264" s="62"/>
      <c r="AG264" s="91"/>
    </row>
    <row r="265" ht="15.0" customHeight="1">
      <c r="B265" s="56"/>
      <c r="N265" s="62"/>
      <c r="AG265" s="91"/>
    </row>
    <row r="266" ht="15.0" customHeight="1">
      <c r="B266" s="56"/>
      <c r="N266" s="62"/>
      <c r="AG266" s="91"/>
    </row>
    <row r="267" ht="15.0" customHeight="1">
      <c r="B267" s="56"/>
      <c r="N267" s="62"/>
      <c r="AG267" s="91"/>
    </row>
    <row r="268" ht="15.0" customHeight="1">
      <c r="B268" s="56"/>
      <c r="N268" s="62"/>
      <c r="AG268" s="91"/>
    </row>
    <row r="269" ht="15.0" customHeight="1">
      <c r="B269" s="56"/>
      <c r="N269" s="62"/>
      <c r="AG269" s="91"/>
    </row>
    <row r="270" ht="15.0" customHeight="1">
      <c r="B270" s="56"/>
      <c r="N270" s="62"/>
      <c r="AG270" s="91"/>
    </row>
    <row r="271" ht="15.0" customHeight="1">
      <c r="B271" s="56"/>
      <c r="N271" s="62"/>
      <c r="AG271" s="91"/>
    </row>
    <row r="272" ht="15.0" customHeight="1">
      <c r="B272" s="56"/>
      <c r="N272" s="62"/>
      <c r="AG272" s="91"/>
    </row>
    <row r="273" ht="15.0" customHeight="1">
      <c r="B273" s="56"/>
      <c r="N273" s="62"/>
      <c r="AG273" s="91"/>
    </row>
    <row r="274" ht="15.0" customHeight="1">
      <c r="B274" s="56"/>
      <c r="N274" s="62"/>
      <c r="AG274" s="91"/>
    </row>
    <row r="275" ht="15.0" customHeight="1">
      <c r="B275" s="56"/>
      <c r="N275" s="62"/>
      <c r="AG275" s="91"/>
    </row>
    <row r="276" ht="15.0" customHeight="1">
      <c r="B276" s="56"/>
      <c r="N276" s="62"/>
      <c r="AG276" s="91"/>
    </row>
    <row r="277" ht="15.0" customHeight="1">
      <c r="B277" s="56"/>
      <c r="N277" s="62"/>
      <c r="AG277" s="91"/>
    </row>
    <row r="278" ht="15.0" customHeight="1">
      <c r="B278" s="56"/>
      <c r="N278" s="62"/>
      <c r="AG278" s="91"/>
    </row>
    <row r="279" ht="15.0" customHeight="1">
      <c r="B279" s="56"/>
      <c r="N279" s="62"/>
      <c r="AG279" s="91"/>
    </row>
    <row r="280" ht="15.0" customHeight="1">
      <c r="B280" s="56"/>
      <c r="N280" s="62"/>
      <c r="AG280" s="91"/>
    </row>
    <row r="281" ht="15.0" customHeight="1">
      <c r="B281" s="56"/>
      <c r="N281" s="62"/>
      <c r="AG281" s="91"/>
    </row>
    <row r="282" ht="15.0" customHeight="1">
      <c r="B282" s="56"/>
      <c r="N282" s="62"/>
      <c r="AG282" s="91"/>
    </row>
    <row r="283" ht="15.0" customHeight="1">
      <c r="B283" s="56"/>
      <c r="N283" s="62"/>
      <c r="AG283" s="91"/>
    </row>
    <row r="284" ht="15.0" customHeight="1">
      <c r="B284" s="56"/>
      <c r="N284" s="62"/>
      <c r="AG284" s="91"/>
    </row>
    <row r="285" ht="15.0" customHeight="1">
      <c r="B285" s="56"/>
      <c r="N285" s="62"/>
      <c r="AG285" s="91"/>
    </row>
    <row r="286" ht="15.0" customHeight="1">
      <c r="B286" s="56"/>
      <c r="N286" s="62"/>
      <c r="AG286" s="91"/>
    </row>
    <row r="287" ht="15.0" customHeight="1">
      <c r="B287" s="56"/>
      <c r="N287" s="62"/>
      <c r="AG287" s="91"/>
    </row>
    <row r="288" ht="15.0" customHeight="1">
      <c r="B288" s="56"/>
      <c r="N288" s="62"/>
      <c r="AG288" s="91"/>
    </row>
    <row r="289" ht="15.0" customHeight="1">
      <c r="B289" s="56"/>
      <c r="N289" s="62"/>
      <c r="AG289" s="91"/>
    </row>
    <row r="290" ht="15.0" customHeight="1">
      <c r="B290" s="56"/>
      <c r="N290" s="62"/>
      <c r="AG290" s="91"/>
    </row>
    <row r="291" ht="15.0" customHeight="1">
      <c r="B291" s="56"/>
      <c r="N291" s="62"/>
      <c r="AG291" s="91"/>
    </row>
    <row r="292" ht="15.0" customHeight="1">
      <c r="B292" s="56"/>
      <c r="N292" s="62"/>
      <c r="AG292" s="91"/>
    </row>
    <row r="293" ht="15.0" customHeight="1">
      <c r="B293" s="56"/>
      <c r="N293" s="62"/>
      <c r="AG293" s="91"/>
    </row>
    <row r="294" ht="15.0" customHeight="1">
      <c r="B294" s="56"/>
      <c r="N294" s="62"/>
      <c r="AG294" s="91"/>
    </row>
    <row r="295" ht="15.75" customHeight="1">
      <c r="AG295" s="91"/>
    </row>
    <row r="296" ht="15.75" customHeight="1">
      <c r="AG296" s="91"/>
    </row>
    <row r="297" ht="15.75" customHeight="1">
      <c r="AG297" s="91"/>
    </row>
    <row r="298" ht="15.75" customHeight="1">
      <c r="AG298" s="91"/>
    </row>
    <row r="299" ht="15.75" customHeight="1">
      <c r="AG299" s="91"/>
    </row>
    <row r="300" ht="15.75" customHeight="1">
      <c r="AG300" s="91"/>
    </row>
    <row r="301" ht="15.75" customHeight="1">
      <c r="AG301" s="91"/>
    </row>
    <row r="302" ht="15.75" customHeight="1">
      <c r="AG302" s="91"/>
    </row>
    <row r="303" ht="15.75" customHeight="1">
      <c r="AG303" s="91"/>
    </row>
    <row r="304" ht="15.75" customHeight="1">
      <c r="AG304" s="91"/>
    </row>
    <row r="305" ht="15.75" customHeight="1"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L$4">
    <sortState ref="A3:AL4">
      <sortCondition ref="A3:A4"/>
    </sortState>
  </autoFilter>
  <printOptions/>
  <pageMargins bottom="0.75" footer="0.0" header="0.0" left="0.7" right="0.7" top="0.7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D1" s="1"/>
      <c r="F1" s="2"/>
      <c r="G1" s="3"/>
      <c r="H1" s="4"/>
      <c r="I1" s="5"/>
      <c r="K1" s="5"/>
      <c r="L1" s="5"/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</row>
    <row r="2" ht="15.0" customHeight="1">
      <c r="D2" s="1"/>
      <c r="G2" s="13"/>
      <c r="H2" s="13"/>
      <c r="I2" s="14">
        <f>SUBTOTAL(9,I4:I9246)</f>
        <v>629.56</v>
      </c>
      <c r="J2" s="4"/>
      <c r="K2" s="14">
        <f>SUBTOTAL(9,K4:K9246)</f>
        <v>604.607355</v>
      </c>
      <c r="L2" s="15">
        <f>SUMPRODUCT(L5:L90,K5:K90)/K2</f>
        <v>0.3640771445</v>
      </c>
      <c r="M2" s="2"/>
      <c r="P2" s="2"/>
      <c r="Q2" s="16">
        <f>+SUMPRODUCT(Q5:Q62,AH5:AH62)/SUM(AH5:AH62)</f>
        <v>90.04740857</v>
      </c>
      <c r="R2" s="12">
        <f>+SUMPRODUCT(R5:R62,AH5:AH62)/SUM(AH5:AH62)</f>
        <v>2746.410827</v>
      </c>
      <c r="S2" s="2"/>
      <c r="AB2" s="7"/>
      <c r="AC2" s="7"/>
      <c r="AD2" s="7"/>
      <c r="AE2" s="7"/>
      <c r="AF2" s="7"/>
      <c r="AG2" s="17">
        <f>SUMPRODUCT($AG5:$AG886,$K5:$K886)/SUM($K5:$K886)</f>
        <v>66.03892226</v>
      </c>
      <c r="AH2" s="18"/>
      <c r="AI2" s="19">
        <v>2900.0</v>
      </c>
      <c r="AJ2" s="20"/>
      <c r="AK2" s="11"/>
      <c r="AL2" s="21"/>
    </row>
    <row r="3" ht="15.0" customHeight="1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3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SUBTOTAL(9,AH5:AH9247)</f>
        <v>6791.730345</v>
      </c>
      <c r="AI3" s="40">
        <f>SUMPRODUCT(K5:K62,AI5:AI62)/K2</f>
        <v>61.11747544</v>
      </c>
      <c r="AJ3" s="39">
        <f>SUBTOTAL(9,AJ5:AJ9247)</f>
        <v>6638.772535</v>
      </c>
      <c r="AK3" s="11"/>
      <c r="AL3" s="39">
        <f>SUBTOTAL(9,AL5:AL9247)</f>
        <v>476936.1603</v>
      </c>
      <c r="AM3" s="57">
        <v>6138.0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  <c r="AM4" s="67">
        <v>7010.0</v>
      </c>
      <c r="AN4" s="67"/>
    </row>
    <row r="5" ht="15.75" customHeight="1">
      <c r="A5" s="92" t="s">
        <v>149</v>
      </c>
      <c r="B5" s="93"/>
      <c r="C5" s="56">
        <v>45660.0</v>
      </c>
      <c r="D5" s="57" t="s">
        <v>63</v>
      </c>
      <c r="E5" s="57" t="str">
        <f t="array" ref="E5">XLOOKUP(D5,RUC!$B$3:$B$79,RUC!$D$3:$D$79)</f>
        <v>#N/A</v>
      </c>
      <c r="G5" s="3">
        <v>60.0</v>
      </c>
      <c r="H5" s="57" t="s">
        <v>47</v>
      </c>
      <c r="I5" s="58">
        <v>4.78</v>
      </c>
      <c r="J5" s="58">
        <v>1.4</v>
      </c>
      <c r="K5" s="59">
        <f t="shared" ref="K5:K43" si="1">+I5-(I5*(J5/100))</f>
        <v>4.71308</v>
      </c>
      <c r="L5" s="60">
        <v>0.07</v>
      </c>
      <c r="M5" s="60">
        <v>0.067</v>
      </c>
      <c r="N5" s="62">
        <v>0.067</v>
      </c>
      <c r="O5" s="60">
        <f t="shared" ref="O5:O89" si="2">+ROUND((M5+N5)/2,3)</f>
        <v>0.067</v>
      </c>
      <c r="P5" s="63">
        <v>80.0</v>
      </c>
      <c r="Q5" s="64">
        <v>87.92</v>
      </c>
      <c r="R5" s="65">
        <v>2646.8</v>
      </c>
      <c r="S5" s="66">
        <f>IF((90+ROUNDDOWN(O5,1)*100)&lt;95,95,(90+ROUNDDOWN(O5,1)*100))</f>
        <v>95</v>
      </c>
      <c r="U5" s="67">
        <v>120.0</v>
      </c>
      <c r="V5" s="67">
        <v>1.1023</v>
      </c>
      <c r="Y5" s="57">
        <v>30.0</v>
      </c>
      <c r="Z5" s="69">
        <f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90" si="3">+Y5+Z5</f>
        <v>60</v>
      </c>
      <c r="AB5" s="71">
        <f t="shared" ref="AB5:AB90" si="4">+((O5*P5*(R5-U5)/100)-S5-AA5+T5)*V5</f>
        <v>-21.5648681</v>
      </c>
      <c r="AC5" s="71">
        <f>+(S5-T5)*V5-'data 1'!$F$4</f>
        <v>24.7185</v>
      </c>
      <c r="AD5" s="71">
        <f t="shared" ref="AD5:AD90" si="5">+(Q5-P5)*(R5-U5)*L5*V5/100</f>
        <v>15.44165685</v>
      </c>
      <c r="AE5" s="71">
        <f t="shared" ref="AE5:AE90" si="6">+(Y5*V5-70)+V5*(Z5-IF(D5="UNTUCA",IF(+((W5-3)*2.5+(X5-3)*3.1)&gt;0,+((W5-3)*1.5+(X5-3)*3.1),0),IF(+((W5-3)*1.5+(X5-3)*3.1)&gt;0,+((W5-3)*1.5+(X5-3)*3.1),0)))</f>
        <v>-3.862</v>
      </c>
      <c r="AF5" s="71">
        <f t="shared" ref="AF5:AF90" si="7">(L5-O5)*(R5-U5)*Q5*V5/100</f>
        <v>7.34648523</v>
      </c>
      <c r="AG5" s="72">
        <f>+IF(D5="RONALD WILLIAN GARIBAY ESCUDERO",AC5+AD5+AE5+AF5+70,AC5+AD5+AE5+AF5)+70-53</f>
        <v>60.64464208</v>
      </c>
      <c r="AH5" s="52">
        <f t="shared" ref="AH5:AH90" si="8">31.1035*L5*Q5*1.1023*K5/100</f>
        <v>9.944881218</v>
      </c>
      <c r="AI5" s="73">
        <f t="shared" ref="AI5:AI90" si="9">+((+$AI$2-R5+U5)*L5*Q5*V5)/100</f>
        <v>25.31786979</v>
      </c>
      <c r="AJ5" s="73">
        <f t="shared" ref="AJ5:AJ90" si="10">31.1035*1.1023*K5*P5*O5/100</f>
        <v>8.661212032</v>
      </c>
      <c r="AK5" s="11"/>
      <c r="AL5" s="51">
        <f t="shared" ref="AL5:AL90" si="11">+IF(AB5*K5&gt;0,AB5*K5,0)</f>
        <v>0</v>
      </c>
      <c r="AM5" s="57">
        <v>499.0</v>
      </c>
    </row>
    <row r="6" ht="15.75" customHeight="1">
      <c r="A6" s="92" t="s">
        <v>150</v>
      </c>
      <c r="B6" s="56">
        <v>45677.0</v>
      </c>
      <c r="C6" s="56">
        <v>45671.0</v>
      </c>
      <c r="D6" s="57" t="s">
        <v>88</v>
      </c>
      <c r="E6" s="57" t="str">
        <f t="array" ref="E6">XLOOKUP(D6,RUC!$B$3:$B$79,RUC!$D$3:$D$79)</f>
        <v>#N/A</v>
      </c>
      <c r="G6" s="3">
        <v>38.0</v>
      </c>
      <c r="H6" s="57" t="s">
        <v>47</v>
      </c>
      <c r="I6" s="58">
        <v>4.05</v>
      </c>
      <c r="J6" s="58">
        <v>1.1</v>
      </c>
      <c r="K6" s="59">
        <f t="shared" si="1"/>
        <v>4.00545</v>
      </c>
      <c r="L6" s="60">
        <v>1.65</v>
      </c>
      <c r="M6" s="60">
        <v>1.584</v>
      </c>
      <c r="N6" s="75">
        <v>1.634</v>
      </c>
      <c r="O6" s="60">
        <f t="shared" si="2"/>
        <v>1.609</v>
      </c>
      <c r="P6" s="63">
        <v>90.0</v>
      </c>
      <c r="Q6" s="64">
        <v>89.82</v>
      </c>
      <c r="R6" s="65">
        <v>2667.0</v>
      </c>
      <c r="S6" s="76">
        <v>190.0</v>
      </c>
      <c r="U6" s="87">
        <v>90.0</v>
      </c>
      <c r="V6" s="67">
        <v>1.1023</v>
      </c>
      <c r="Z6" s="77">
        <v>25.0</v>
      </c>
      <c r="AA6" s="70">
        <f t="shared" si="3"/>
        <v>25</v>
      </c>
      <c r="AB6" s="71">
        <f t="shared" si="4"/>
        <v>3876.517604</v>
      </c>
      <c r="AC6" s="71">
        <f>+(S6-T6)*V6-'data 1'!$F$4</f>
        <v>129.437</v>
      </c>
      <c r="AD6" s="71">
        <f t="shared" si="5"/>
        <v>-8.436662487</v>
      </c>
      <c r="AE6" s="71">
        <f t="shared" si="6"/>
        <v>-42.4425</v>
      </c>
      <c r="AF6" s="71">
        <f t="shared" si="7"/>
        <v>104.6095017</v>
      </c>
      <c r="AG6" s="72">
        <f t="shared" ref="AG6:AG11" si="12">+IF(D6="RONALD WILLIAN GARIBAY ESCUDERO",AC6+AD6+AE6+AF6+70,AC6+AD6+AE6+AF6)+70-30-5-3</f>
        <v>215.1673392</v>
      </c>
      <c r="AH6" s="52">
        <f t="shared" si="8"/>
        <v>203.5248199</v>
      </c>
      <c r="AI6" s="73">
        <f t="shared" si="9"/>
        <v>527.6662591</v>
      </c>
      <c r="AJ6" s="73">
        <f t="shared" si="10"/>
        <v>198.865267</v>
      </c>
      <c r="AK6" s="11"/>
      <c r="AL6" s="51">
        <f t="shared" si="11"/>
        <v>15527.19743</v>
      </c>
      <c r="AM6" s="57">
        <f>+AM4+AM5-AM3</f>
        <v>1371</v>
      </c>
    </row>
    <row r="7" ht="15.75" customHeight="1">
      <c r="A7" s="92" t="s">
        <v>151</v>
      </c>
      <c r="B7" s="56">
        <v>45677.0</v>
      </c>
      <c r="C7" s="56">
        <v>45671.0</v>
      </c>
      <c r="D7" s="57" t="s">
        <v>88</v>
      </c>
      <c r="E7" s="57" t="str">
        <f t="array" ref="E7">XLOOKUP(D7,RUC!$B$3:$B$79,RUC!$D$3:$D$79)</f>
        <v>#N/A</v>
      </c>
      <c r="G7" s="3">
        <v>55.0</v>
      </c>
      <c r="H7" s="57" t="s">
        <v>47</v>
      </c>
      <c r="I7" s="58">
        <v>6.7</v>
      </c>
      <c r="J7" s="58">
        <v>1.2</v>
      </c>
      <c r="K7" s="59">
        <f t="shared" si="1"/>
        <v>6.6196</v>
      </c>
      <c r="L7" s="60">
        <v>2.494</v>
      </c>
      <c r="M7" s="60">
        <v>2.394</v>
      </c>
      <c r="N7" s="75">
        <v>2.561</v>
      </c>
      <c r="O7" s="60">
        <f t="shared" si="2"/>
        <v>2.478</v>
      </c>
      <c r="P7" s="63">
        <v>90.0</v>
      </c>
      <c r="Q7" s="64">
        <v>89.87</v>
      </c>
      <c r="R7" s="65">
        <v>2667.0</v>
      </c>
      <c r="S7" s="76">
        <v>190.0</v>
      </c>
      <c r="U7" s="87">
        <v>90.0</v>
      </c>
      <c r="V7" s="67">
        <v>1.1023</v>
      </c>
      <c r="Z7" s="77">
        <v>25.0</v>
      </c>
      <c r="AA7" s="70">
        <f t="shared" si="3"/>
        <v>25</v>
      </c>
      <c r="AB7" s="71">
        <f t="shared" si="4"/>
        <v>6098.172058</v>
      </c>
      <c r="AC7" s="71">
        <f>+(S7-T7)*V7-'data 1'!$F$4</f>
        <v>129.437</v>
      </c>
      <c r="AD7" s="71">
        <f t="shared" si="5"/>
        <v>-9.209881184</v>
      </c>
      <c r="AE7" s="71">
        <f t="shared" si="6"/>
        <v>-42.4425</v>
      </c>
      <c r="AF7" s="71">
        <f t="shared" si="7"/>
        <v>40.8459452</v>
      </c>
      <c r="AG7" s="72">
        <f t="shared" si="12"/>
        <v>150.630564</v>
      </c>
      <c r="AH7" s="52">
        <f t="shared" si="8"/>
        <v>508.6886029</v>
      </c>
      <c r="AI7" s="73">
        <f t="shared" si="9"/>
        <v>798.019531</v>
      </c>
      <c r="AJ7" s="73">
        <f t="shared" si="10"/>
        <v>506.1562782</v>
      </c>
      <c r="AK7" s="11"/>
      <c r="AL7" s="51">
        <f t="shared" si="11"/>
        <v>40367.45976</v>
      </c>
      <c r="AM7" s="2">
        <v>600.0</v>
      </c>
      <c r="AN7" s="57" t="s">
        <v>152</v>
      </c>
    </row>
    <row r="8" ht="15.75" customHeight="1">
      <c r="A8" s="92" t="s">
        <v>153</v>
      </c>
      <c r="B8" s="56">
        <v>45677.0</v>
      </c>
      <c r="C8" s="56">
        <v>45671.0</v>
      </c>
      <c r="D8" s="57" t="s">
        <v>88</v>
      </c>
      <c r="E8" s="57" t="str">
        <f t="array" ref="E8">XLOOKUP(D8,RUC!$B$3:$B$79,RUC!$D$3:$D$79)</f>
        <v>#N/A</v>
      </c>
      <c r="G8" s="3">
        <v>45.0</v>
      </c>
      <c r="H8" s="57" t="s">
        <v>47</v>
      </c>
      <c r="I8" s="58">
        <v>6.2</v>
      </c>
      <c r="J8" s="58">
        <v>1.1</v>
      </c>
      <c r="K8" s="59">
        <f t="shared" si="1"/>
        <v>6.1318</v>
      </c>
      <c r="L8" s="60">
        <v>0.789</v>
      </c>
      <c r="M8" s="60">
        <v>0.757</v>
      </c>
      <c r="N8" s="62">
        <v>0.757</v>
      </c>
      <c r="O8" s="60">
        <f t="shared" si="2"/>
        <v>0.757</v>
      </c>
      <c r="P8" s="63">
        <v>90.0</v>
      </c>
      <c r="Q8" s="64">
        <v>90.16</v>
      </c>
      <c r="R8" s="65">
        <v>2667.0</v>
      </c>
      <c r="S8" s="66">
        <f t="shared" ref="S8:S11" si="13">IF((90+ROUNDDOWN(O8,1)*100)&lt;95,95,(90+ROUNDDOWN(O8,1)*100))-5</f>
        <v>155</v>
      </c>
      <c r="U8" s="87">
        <v>90.0</v>
      </c>
      <c r="V8" s="67">
        <v>1.1023</v>
      </c>
      <c r="Z8" s="77">
        <v>25.0</v>
      </c>
      <c r="AA8" s="70">
        <f t="shared" si="3"/>
        <v>25</v>
      </c>
      <c r="AB8" s="71">
        <f t="shared" si="4"/>
        <v>1736.905243</v>
      </c>
      <c r="AC8" s="71">
        <f>+(S8-T8)*V8-'data 1'!$F$4</f>
        <v>90.8565</v>
      </c>
      <c r="AD8" s="71">
        <f t="shared" si="5"/>
        <v>3.586007651</v>
      </c>
      <c r="AE8" s="71">
        <f t="shared" si="6"/>
        <v>-42.4425</v>
      </c>
      <c r="AF8" s="71">
        <f t="shared" si="7"/>
        <v>81.95550059</v>
      </c>
      <c r="AG8" s="72">
        <f t="shared" si="12"/>
        <v>165.9555082</v>
      </c>
      <c r="AH8" s="52">
        <f t="shared" si="8"/>
        <v>149.55053</v>
      </c>
      <c r="AI8" s="73">
        <f t="shared" si="9"/>
        <v>253.2755318</v>
      </c>
      <c r="AJ8" s="73">
        <f t="shared" si="10"/>
        <v>143.2304773</v>
      </c>
      <c r="AK8" s="11"/>
      <c r="AL8" s="51">
        <f t="shared" si="11"/>
        <v>10650.35557</v>
      </c>
      <c r="AM8" s="57">
        <f>+AM6-AM7</f>
        <v>771</v>
      </c>
    </row>
    <row r="9" ht="15.75" customHeight="1">
      <c r="A9" s="92" t="s">
        <v>154</v>
      </c>
      <c r="B9" s="56">
        <v>45677.0</v>
      </c>
      <c r="C9" s="56">
        <v>45671.0</v>
      </c>
      <c r="D9" s="57" t="s">
        <v>88</v>
      </c>
      <c r="E9" s="57" t="str">
        <f t="array" ref="E9">XLOOKUP(D9,RUC!$B$3:$B$79,RUC!$D$3:$D$79)</f>
        <v>#N/A</v>
      </c>
      <c r="G9" s="3">
        <v>50.0</v>
      </c>
      <c r="H9" s="57" t="s">
        <v>47</v>
      </c>
      <c r="I9" s="58">
        <v>6.67</v>
      </c>
      <c r="J9" s="58">
        <v>1.2</v>
      </c>
      <c r="K9" s="59">
        <f t="shared" si="1"/>
        <v>6.58996</v>
      </c>
      <c r="L9" s="60">
        <v>0.179</v>
      </c>
      <c r="M9" s="60">
        <v>0.169</v>
      </c>
      <c r="N9" s="75">
        <v>0.217</v>
      </c>
      <c r="O9" s="60">
        <f t="shared" si="2"/>
        <v>0.193</v>
      </c>
      <c r="P9" s="63">
        <v>85.0</v>
      </c>
      <c r="Q9" s="64">
        <v>90.23</v>
      </c>
      <c r="R9" s="65">
        <v>2667.0</v>
      </c>
      <c r="S9" s="66">
        <f t="shared" si="13"/>
        <v>95</v>
      </c>
      <c r="U9" s="87">
        <v>90.0</v>
      </c>
      <c r="V9" s="67">
        <v>1.1023</v>
      </c>
      <c r="Z9" s="77">
        <v>25.0</v>
      </c>
      <c r="AA9" s="70">
        <f t="shared" si="3"/>
        <v>25</v>
      </c>
      <c r="AB9" s="71">
        <f t="shared" si="4"/>
        <v>333.7288758</v>
      </c>
      <c r="AC9" s="71">
        <f>+(S9-T9)*V9-'data 1'!$F$4</f>
        <v>24.7185</v>
      </c>
      <c r="AD9" s="71">
        <f t="shared" si="5"/>
        <v>26.59309872</v>
      </c>
      <c r="AE9" s="71">
        <f t="shared" si="6"/>
        <v>-42.4425</v>
      </c>
      <c r="AF9" s="71">
        <f t="shared" si="7"/>
        <v>-35.88336965</v>
      </c>
      <c r="AG9" s="94">
        <f t="shared" si="12"/>
        <v>4.985729069</v>
      </c>
      <c r="AH9" s="52">
        <f t="shared" si="8"/>
        <v>36.49184623</v>
      </c>
      <c r="AI9" s="73">
        <f t="shared" si="9"/>
        <v>57.50509405</v>
      </c>
      <c r="AJ9" s="73">
        <f t="shared" si="10"/>
        <v>37.06534804</v>
      </c>
      <c r="AK9" s="11"/>
      <c r="AL9" s="51">
        <f t="shared" si="11"/>
        <v>2199.259942</v>
      </c>
    </row>
    <row r="10" ht="15.75" customHeight="1">
      <c r="A10" s="92" t="s">
        <v>155</v>
      </c>
      <c r="B10" s="56">
        <v>45677.0</v>
      </c>
      <c r="C10" s="56">
        <v>45671.0</v>
      </c>
      <c r="D10" s="57" t="s">
        <v>88</v>
      </c>
      <c r="E10" s="57" t="str">
        <f t="array" ref="E10">XLOOKUP(D10,RUC!$B$3:$B$79,RUC!$D$3:$D$79)</f>
        <v>#N/A</v>
      </c>
      <c r="G10" s="3">
        <v>27.0</v>
      </c>
      <c r="H10" s="57" t="s">
        <v>47</v>
      </c>
      <c r="I10" s="58">
        <v>3.07</v>
      </c>
      <c r="J10" s="58">
        <v>1.3</v>
      </c>
      <c r="K10" s="59">
        <f t="shared" si="1"/>
        <v>3.03009</v>
      </c>
      <c r="L10" s="60">
        <v>0.467</v>
      </c>
      <c r="M10" s="60">
        <v>0.448</v>
      </c>
      <c r="N10" s="62">
        <v>0.448</v>
      </c>
      <c r="O10" s="60">
        <f t="shared" si="2"/>
        <v>0.448</v>
      </c>
      <c r="P10" s="63">
        <v>90.0</v>
      </c>
      <c r="Q10" s="64">
        <v>90.18</v>
      </c>
      <c r="R10" s="65">
        <v>2667.0</v>
      </c>
      <c r="S10" s="66">
        <f t="shared" si="13"/>
        <v>125</v>
      </c>
      <c r="U10" s="87">
        <v>90.0</v>
      </c>
      <c r="V10" s="67">
        <v>1.1023</v>
      </c>
      <c r="Z10" s="77">
        <v>25.0</v>
      </c>
      <c r="AA10" s="70">
        <f t="shared" si="3"/>
        <v>25</v>
      </c>
      <c r="AB10" s="71">
        <f t="shared" si="4"/>
        <v>979.9958467</v>
      </c>
      <c r="AC10" s="71">
        <f>+(S10-T10)*V10-'data 1'!$F$4</f>
        <v>57.7875</v>
      </c>
      <c r="AD10" s="71">
        <f t="shared" si="5"/>
        <v>2.38783114</v>
      </c>
      <c r="AE10" s="71">
        <f t="shared" si="6"/>
        <v>-42.4425</v>
      </c>
      <c r="AF10" s="71">
        <f t="shared" si="7"/>
        <v>48.67187286</v>
      </c>
      <c r="AG10" s="72">
        <f t="shared" si="12"/>
        <v>98.404704</v>
      </c>
      <c r="AH10" s="52">
        <f t="shared" si="8"/>
        <v>43.75137526</v>
      </c>
      <c r="AI10" s="73">
        <f t="shared" si="9"/>
        <v>149.9441205</v>
      </c>
      <c r="AJ10" s="73">
        <f t="shared" si="10"/>
        <v>41.88756559</v>
      </c>
      <c r="AK10" s="11"/>
      <c r="AL10" s="51">
        <f t="shared" si="11"/>
        <v>2969.475615</v>
      </c>
    </row>
    <row r="11" ht="15.75" customHeight="1">
      <c r="A11" s="92" t="s">
        <v>156</v>
      </c>
      <c r="B11" s="56">
        <v>45677.0</v>
      </c>
      <c r="C11" s="56">
        <v>45671.0</v>
      </c>
      <c r="D11" s="57" t="s">
        <v>88</v>
      </c>
      <c r="E11" s="57" t="str">
        <f t="array" ref="E11">XLOOKUP(D11,RUC!$B$3:$B$79,RUC!$D$3:$D$79)</f>
        <v>#N/A</v>
      </c>
      <c r="G11" s="3">
        <v>25.0</v>
      </c>
      <c r="H11" s="57" t="s">
        <v>47</v>
      </c>
      <c r="I11" s="58">
        <v>3.5</v>
      </c>
      <c r="J11" s="58">
        <v>1.2</v>
      </c>
      <c r="K11" s="59">
        <f t="shared" si="1"/>
        <v>3.458</v>
      </c>
      <c r="L11" s="60">
        <v>0.761</v>
      </c>
      <c r="M11" s="60">
        <v>0.73</v>
      </c>
      <c r="N11" s="75">
        <v>0.799</v>
      </c>
      <c r="O11" s="60">
        <f t="shared" si="2"/>
        <v>0.765</v>
      </c>
      <c r="P11" s="63">
        <v>90.0</v>
      </c>
      <c r="Q11" s="64">
        <v>90.2</v>
      </c>
      <c r="R11" s="65">
        <v>2667.0</v>
      </c>
      <c r="S11" s="66">
        <f t="shared" si="13"/>
        <v>155</v>
      </c>
      <c r="U11" s="87">
        <v>90.0</v>
      </c>
      <c r="V11" s="67">
        <v>1.1023</v>
      </c>
      <c r="Z11" s="77">
        <v>25.0</v>
      </c>
      <c r="AA11" s="70">
        <f t="shared" si="3"/>
        <v>25</v>
      </c>
      <c r="AB11" s="71">
        <f t="shared" si="4"/>
        <v>1757.357758</v>
      </c>
      <c r="AC11" s="71">
        <f>+(S11-T11)*V11-'data 1'!$F$4</f>
        <v>90.8565</v>
      </c>
      <c r="AD11" s="71">
        <f t="shared" si="5"/>
        <v>4.323434446</v>
      </c>
      <c r="AE11" s="71">
        <f t="shared" si="6"/>
        <v>-42.4425</v>
      </c>
      <c r="AF11" s="71">
        <f t="shared" si="7"/>
        <v>-10.24898258</v>
      </c>
      <c r="AG11" s="72">
        <f t="shared" si="12"/>
        <v>74.48845187</v>
      </c>
      <c r="AH11" s="52">
        <f t="shared" si="8"/>
        <v>81.38141795</v>
      </c>
      <c r="AI11" s="73">
        <f t="shared" si="9"/>
        <v>244.3956795</v>
      </c>
      <c r="AJ11" s="73">
        <f t="shared" si="10"/>
        <v>81.62778329</v>
      </c>
      <c r="AK11" s="11"/>
      <c r="AL11" s="51">
        <f t="shared" si="11"/>
        <v>6076.943128</v>
      </c>
    </row>
    <row r="12" ht="15.75" customHeight="1">
      <c r="A12" s="92" t="s">
        <v>157</v>
      </c>
      <c r="B12" s="56">
        <v>45685.0</v>
      </c>
      <c r="C12" s="56">
        <v>45675.0</v>
      </c>
      <c r="D12" s="57" t="s">
        <v>45</v>
      </c>
      <c r="E12" s="57">
        <f t="array" ref="E12">XLOOKUP(D12,RUC!$B$3:$B$79,RUC!$D$3:$D$79)</f>
        <v>10416085884</v>
      </c>
      <c r="G12" s="3" t="s">
        <v>46</v>
      </c>
      <c r="H12" s="57" t="s">
        <v>47</v>
      </c>
      <c r="I12" s="58">
        <v>30.53</v>
      </c>
      <c r="J12" s="58">
        <v>5.65</v>
      </c>
      <c r="K12" s="59">
        <f t="shared" si="1"/>
        <v>28.805055</v>
      </c>
      <c r="L12" s="60">
        <v>0.154</v>
      </c>
      <c r="M12" s="60">
        <v>0.141</v>
      </c>
      <c r="N12" s="62">
        <v>0.15</v>
      </c>
      <c r="O12" s="60">
        <f t="shared" si="2"/>
        <v>0.146</v>
      </c>
      <c r="P12" s="63">
        <v>85.0</v>
      </c>
      <c r="Q12" s="64">
        <v>90.22</v>
      </c>
      <c r="R12" s="65">
        <v>2715.2</v>
      </c>
      <c r="S12" s="66">
        <v>110.0</v>
      </c>
      <c r="U12" s="67">
        <v>90.0</v>
      </c>
      <c r="V12" s="67">
        <v>1.1023</v>
      </c>
      <c r="Z12" s="69">
        <f t="shared" ref="Z12:Z16" si="14">IF(IF(D12="UNTUCA",IF(+((W12-3)*1.5+(X12-3)*3.1)&gt;0,+((W12-3)*1.5+(X12-3)*3.1),0),IF(+((W12-3)*1.5+(X12-3)*3.1)&gt;0,+((W12-3)*1.5+(X12-3)*3.1),0))&lt;30,30,IF(D12="UNTUCA",IF(+((W12-3)*1.5+(X12-3)*3.1)&gt;0,+((W12-3)*1.5+(X12-3)*3.1),0),IF(+((W12-3)*1.5+(X12-3)*3.1)&gt;0,+((W12-3)*1.5+(X12-3)*3.1),0)))</f>
        <v>30</v>
      </c>
      <c r="AA12" s="70">
        <f t="shared" si="3"/>
        <v>30</v>
      </c>
      <c r="AB12" s="71">
        <f t="shared" si="4"/>
        <v>204.7933628</v>
      </c>
      <c r="AC12" s="71">
        <f>+(S12-T12)*V12-'data 1'!$F$4</f>
        <v>41.253</v>
      </c>
      <c r="AD12" s="71">
        <f t="shared" si="5"/>
        <v>23.26234149</v>
      </c>
      <c r="AE12" s="71">
        <f t="shared" si="6"/>
        <v>-36.931</v>
      </c>
      <c r="AF12" s="71">
        <f t="shared" si="7"/>
        <v>20.88598745</v>
      </c>
      <c r="AG12" s="72">
        <f t="shared" ref="AG12:AG16" si="15">+IF(D12="RONALD WILLIAN GARIBAY ESCUDERO",AC12+AD12+AE12+AF12+70,AC12+AD12+AE12+AF12)+70-53</f>
        <v>65.47032894</v>
      </c>
      <c r="AH12" s="52">
        <f t="shared" si="8"/>
        <v>137.2149152</v>
      </c>
      <c r="AI12" s="73">
        <f t="shared" si="9"/>
        <v>42.08623534</v>
      </c>
      <c r="AJ12" s="73">
        <f t="shared" si="10"/>
        <v>122.5602278</v>
      </c>
      <c r="AK12" s="11"/>
      <c r="AL12" s="51">
        <f t="shared" si="11"/>
        <v>5899.08408</v>
      </c>
    </row>
    <row r="13" ht="15.75" customHeight="1">
      <c r="A13" s="92" t="s">
        <v>158</v>
      </c>
      <c r="B13" s="56">
        <v>45685.0</v>
      </c>
      <c r="C13" s="56">
        <v>45674.0</v>
      </c>
      <c r="D13" s="57" t="s">
        <v>53</v>
      </c>
      <c r="E13" s="57">
        <f t="array" ref="E13">XLOOKUP(D13,RUC!$B$3:$B$79,RUC!$D$3:$D$79)</f>
        <v>10457401928</v>
      </c>
      <c r="G13" s="3" t="s">
        <v>46</v>
      </c>
      <c r="H13" s="57" t="s">
        <v>47</v>
      </c>
      <c r="I13" s="58">
        <v>21.2</v>
      </c>
      <c r="J13" s="58">
        <v>7.5</v>
      </c>
      <c r="K13" s="59">
        <f t="shared" si="1"/>
        <v>19.61</v>
      </c>
      <c r="L13" s="60">
        <v>0.146</v>
      </c>
      <c r="M13" s="60">
        <v>0.136</v>
      </c>
      <c r="N13" s="75">
        <v>0.197</v>
      </c>
      <c r="O13" s="60">
        <f t="shared" si="2"/>
        <v>0.167</v>
      </c>
      <c r="P13" s="63">
        <v>88.0</v>
      </c>
      <c r="Q13" s="64">
        <v>90.07</v>
      </c>
      <c r="R13" s="65">
        <v>2715.2</v>
      </c>
      <c r="S13" s="76">
        <v>120.0</v>
      </c>
      <c r="U13" s="67">
        <v>100.0</v>
      </c>
      <c r="V13" s="67">
        <v>1.1023</v>
      </c>
      <c r="Z13" s="69">
        <f t="shared" si="14"/>
        <v>30</v>
      </c>
      <c r="AA13" s="70">
        <f t="shared" si="3"/>
        <v>30</v>
      </c>
      <c r="AB13" s="71">
        <f t="shared" si="4"/>
        <v>258.3017297</v>
      </c>
      <c r="AC13" s="71">
        <f>+(S13-T13)*V13-'data 1'!$F$4</f>
        <v>52.276</v>
      </c>
      <c r="AD13" s="71">
        <f t="shared" si="5"/>
        <v>8.712201596</v>
      </c>
      <c r="AE13" s="71">
        <f t="shared" si="6"/>
        <v>-36.931</v>
      </c>
      <c r="AF13" s="71">
        <f t="shared" si="7"/>
        <v>-54.52606695</v>
      </c>
      <c r="AG13" s="72">
        <f t="shared" si="15"/>
        <v>-13.46886535</v>
      </c>
      <c r="AH13" s="52">
        <f t="shared" si="8"/>
        <v>88.41372359</v>
      </c>
      <c r="AI13" s="73">
        <f t="shared" si="9"/>
        <v>41.28314842</v>
      </c>
      <c r="AJ13" s="73">
        <f t="shared" si="10"/>
        <v>98.80656611</v>
      </c>
      <c r="AK13" s="11"/>
      <c r="AL13" s="51">
        <f t="shared" si="11"/>
        <v>5065.29692</v>
      </c>
    </row>
    <row r="14" ht="15.75" customHeight="1">
      <c r="A14" s="92" t="s">
        <v>159</v>
      </c>
      <c r="B14" s="56">
        <v>45685.0</v>
      </c>
      <c r="C14" s="56">
        <v>45674.0</v>
      </c>
      <c r="D14" s="57" t="s">
        <v>53</v>
      </c>
      <c r="E14" s="57">
        <f t="array" ref="E14">XLOOKUP(D14,RUC!$B$3:$B$79,RUC!$D$3:$D$79)</f>
        <v>10457401928</v>
      </c>
      <c r="G14" s="3" t="s">
        <v>46</v>
      </c>
      <c r="H14" s="57" t="s">
        <v>47</v>
      </c>
      <c r="I14" s="58">
        <v>15.93</v>
      </c>
      <c r="J14" s="58">
        <v>7.35</v>
      </c>
      <c r="K14" s="59">
        <f t="shared" si="1"/>
        <v>14.759145</v>
      </c>
      <c r="L14" s="60">
        <v>0.161</v>
      </c>
      <c r="M14" s="60">
        <v>0.151</v>
      </c>
      <c r="N14" s="75">
        <v>0.194</v>
      </c>
      <c r="O14" s="60">
        <f t="shared" si="2"/>
        <v>0.173</v>
      </c>
      <c r="P14" s="63">
        <v>90.0</v>
      </c>
      <c r="Q14" s="64">
        <v>90.15</v>
      </c>
      <c r="R14" s="65">
        <v>2715.2</v>
      </c>
      <c r="S14" s="76">
        <v>120.0</v>
      </c>
      <c r="U14" s="67">
        <v>100.0</v>
      </c>
      <c r="V14" s="67">
        <v>1.1023</v>
      </c>
      <c r="Z14" s="69">
        <f t="shared" si="14"/>
        <v>30</v>
      </c>
      <c r="AA14" s="70">
        <f t="shared" si="3"/>
        <v>30</v>
      </c>
      <c r="AB14" s="71">
        <f t="shared" si="4"/>
        <v>283.4968333</v>
      </c>
      <c r="AC14" s="71">
        <f>+(S14-T14)*V14-'data 1'!$F$4</f>
        <v>52.276</v>
      </c>
      <c r="AD14" s="71">
        <f t="shared" si="5"/>
        <v>0.6961804928</v>
      </c>
      <c r="AE14" s="71">
        <f t="shared" si="6"/>
        <v>-36.931</v>
      </c>
      <c r="AF14" s="71">
        <f t="shared" si="7"/>
        <v>-31.1854268</v>
      </c>
      <c r="AG14" s="72">
        <f t="shared" si="15"/>
        <v>1.855753696</v>
      </c>
      <c r="AH14" s="52">
        <f t="shared" si="8"/>
        <v>73.44493923</v>
      </c>
      <c r="AI14" s="73">
        <f t="shared" si="9"/>
        <v>45.56500261</v>
      </c>
      <c r="AJ14" s="73">
        <f t="shared" si="10"/>
        <v>78.78778322</v>
      </c>
      <c r="AK14" s="11"/>
      <c r="AL14" s="51">
        <f t="shared" si="11"/>
        <v>4184.170869</v>
      </c>
    </row>
    <row r="15" ht="15.75" customHeight="1">
      <c r="A15" s="92" t="s">
        <v>160</v>
      </c>
      <c r="B15" s="56">
        <v>45680.0</v>
      </c>
      <c r="C15" s="56">
        <v>45676.0</v>
      </c>
      <c r="D15" s="57" t="s">
        <v>61</v>
      </c>
      <c r="E15" s="57">
        <f t="array" ref="E15">XLOOKUP(D15,RUC!$B$3:$B$79,RUC!$D$3:$D$79)</f>
        <v>20606526599</v>
      </c>
      <c r="G15" s="3">
        <v>146.0</v>
      </c>
      <c r="H15" s="57" t="s">
        <v>47</v>
      </c>
      <c r="I15" s="57">
        <v>11.98</v>
      </c>
      <c r="J15" s="57">
        <v>1.3</v>
      </c>
      <c r="K15" s="59">
        <f t="shared" si="1"/>
        <v>11.82426</v>
      </c>
      <c r="L15" s="60">
        <v>0.427</v>
      </c>
      <c r="M15" s="60">
        <v>0.409</v>
      </c>
      <c r="N15" s="62">
        <v>0.44</v>
      </c>
      <c r="O15" s="60">
        <f t="shared" si="2"/>
        <v>0.425</v>
      </c>
      <c r="P15" s="63">
        <v>90.0</v>
      </c>
      <c r="Q15" s="64">
        <v>90.23</v>
      </c>
      <c r="R15" s="65">
        <v>2707.15</v>
      </c>
      <c r="S15" s="66">
        <f t="shared" ref="S15:S16" si="16">IF((90+ROUNDDOWN(O15,1)*100)&lt;95,95,(90+ROUNDDOWN(O15,1)*100))</f>
        <v>130</v>
      </c>
      <c r="U15" s="67">
        <v>120.0</v>
      </c>
      <c r="V15" s="67">
        <v>1.1023</v>
      </c>
      <c r="Y15" s="57">
        <v>20.0</v>
      </c>
      <c r="Z15" s="69">
        <f t="shared" si="14"/>
        <v>30</v>
      </c>
      <c r="AA15" s="70">
        <f t="shared" si="3"/>
        <v>50</v>
      </c>
      <c r="AB15" s="71">
        <f t="shared" si="4"/>
        <v>892.4054077</v>
      </c>
      <c r="AC15" s="71">
        <f>+(S15-T15)*V15-'data 1'!$F$4</f>
        <v>63.299</v>
      </c>
      <c r="AD15" s="71">
        <f t="shared" si="5"/>
        <v>2.800767949</v>
      </c>
      <c r="AE15" s="71">
        <f t="shared" si="6"/>
        <v>-14.885</v>
      </c>
      <c r="AF15" s="71">
        <f t="shared" si="7"/>
        <v>5.146386152</v>
      </c>
      <c r="AG15" s="72">
        <f t="shared" si="15"/>
        <v>73.3611541</v>
      </c>
      <c r="AH15" s="52">
        <f t="shared" si="8"/>
        <v>156.19311</v>
      </c>
      <c r="AI15" s="73">
        <f t="shared" si="9"/>
        <v>132.8662871</v>
      </c>
      <c r="AJ15" s="73">
        <f t="shared" si="10"/>
        <v>155.0652485</v>
      </c>
      <c r="AK15" s="11"/>
      <c r="AL15" s="51">
        <f t="shared" si="11"/>
        <v>10552.03357</v>
      </c>
    </row>
    <row r="16" ht="15.75" customHeight="1">
      <c r="A16" s="92" t="s">
        <v>161</v>
      </c>
      <c r="B16" s="56">
        <v>45681.0</v>
      </c>
      <c r="C16" s="56">
        <v>45678.0</v>
      </c>
      <c r="D16" s="57" t="s">
        <v>61</v>
      </c>
      <c r="E16" s="57">
        <f t="array" ref="E16">XLOOKUP(D16,RUC!$B$3:$B$79,RUC!$D$3:$D$79)</f>
        <v>20606526599</v>
      </c>
      <c r="G16" s="3">
        <v>200.0</v>
      </c>
      <c r="H16" s="57" t="s">
        <v>47</v>
      </c>
      <c r="I16" s="58">
        <v>12.64</v>
      </c>
      <c r="J16" s="58">
        <v>1.3</v>
      </c>
      <c r="K16" s="59">
        <f t="shared" si="1"/>
        <v>12.47568</v>
      </c>
      <c r="L16" s="60">
        <v>0.25</v>
      </c>
      <c r="M16" s="60">
        <v>0.24</v>
      </c>
      <c r="N16" s="62">
        <v>0.24</v>
      </c>
      <c r="O16" s="60">
        <f t="shared" si="2"/>
        <v>0.24</v>
      </c>
      <c r="P16" s="63">
        <v>90.0</v>
      </c>
      <c r="Q16" s="64">
        <v>90.19</v>
      </c>
      <c r="R16" s="65">
        <v>2737.8</v>
      </c>
      <c r="S16" s="66">
        <f t="shared" si="16"/>
        <v>110</v>
      </c>
      <c r="U16" s="67">
        <v>120.0</v>
      </c>
      <c r="V16" s="67">
        <v>1.1023</v>
      </c>
      <c r="Y16" s="57">
        <v>20.0</v>
      </c>
      <c r="Z16" s="69">
        <f t="shared" si="14"/>
        <v>30</v>
      </c>
      <c r="AA16" s="70">
        <f t="shared" si="3"/>
        <v>50</v>
      </c>
      <c r="AB16" s="71">
        <f t="shared" si="4"/>
        <v>446.921803</v>
      </c>
      <c r="AC16" s="71">
        <f>+(S16-T16)*V16-'data 1'!$F$4</f>
        <v>41.253</v>
      </c>
      <c r="AD16" s="71">
        <f t="shared" si="5"/>
        <v>1.370660446</v>
      </c>
      <c r="AE16" s="71">
        <f t="shared" si="6"/>
        <v>-14.885</v>
      </c>
      <c r="AF16" s="71">
        <f t="shared" si="7"/>
        <v>26.02523488</v>
      </c>
      <c r="AG16" s="72">
        <f t="shared" si="15"/>
        <v>70.76389532</v>
      </c>
      <c r="AH16" s="52">
        <f t="shared" si="8"/>
        <v>96.44321767</v>
      </c>
      <c r="AI16" s="73">
        <f t="shared" si="9"/>
        <v>70.1382963</v>
      </c>
      <c r="AJ16" s="73">
        <f t="shared" si="10"/>
        <v>92.39044248</v>
      </c>
      <c r="AK16" s="11"/>
      <c r="AL16" s="51">
        <f t="shared" si="11"/>
        <v>5575.6534</v>
      </c>
    </row>
    <row r="17" ht="15.75" customHeight="1">
      <c r="A17" s="92" t="s">
        <v>162</v>
      </c>
      <c r="B17" s="95">
        <v>45702.0</v>
      </c>
      <c r="C17" s="56">
        <v>45678.0</v>
      </c>
      <c r="D17" s="57" t="s">
        <v>88</v>
      </c>
      <c r="E17" s="57" t="str">
        <f t="array" ref="E17">XLOOKUP(D17,RUC!$B$3:$B$79,RUC!$D$3:$D$79)</f>
        <v>#N/A</v>
      </c>
      <c r="G17" s="3">
        <v>50.0</v>
      </c>
      <c r="H17" s="57" t="s">
        <v>47</v>
      </c>
      <c r="I17" s="58">
        <v>6.96</v>
      </c>
      <c r="J17" s="58">
        <v>1.1</v>
      </c>
      <c r="K17" s="59">
        <f t="shared" si="1"/>
        <v>6.88344</v>
      </c>
      <c r="L17" s="60">
        <v>0.535</v>
      </c>
      <c r="M17" s="60">
        <v>0.514</v>
      </c>
      <c r="N17" s="62">
        <v>0.514</v>
      </c>
      <c r="O17" s="60">
        <f t="shared" si="2"/>
        <v>0.514</v>
      </c>
      <c r="P17" s="63">
        <v>90.0</v>
      </c>
      <c r="Q17" s="64">
        <v>89.88</v>
      </c>
      <c r="R17" s="65">
        <v>2737.8</v>
      </c>
      <c r="S17" s="66">
        <f t="shared" ref="S17:S18" si="17">IF((85+ROUNDDOWN(O17,1)*100)&lt;95,95,(85+ROUNDDOWN(O17,1)*100))</f>
        <v>135</v>
      </c>
      <c r="U17" s="87">
        <v>90.0</v>
      </c>
      <c r="V17" s="67">
        <v>1.1023</v>
      </c>
      <c r="Z17" s="87">
        <v>25.0</v>
      </c>
      <c r="AA17" s="70">
        <f t="shared" si="3"/>
        <v>25</v>
      </c>
      <c r="AB17" s="71">
        <f t="shared" si="4"/>
        <v>1173.808714</v>
      </c>
      <c r="AC17" s="71">
        <f>+(S17-T17)*V17-'data 1'!$F$4</f>
        <v>68.8105</v>
      </c>
      <c r="AD17" s="71">
        <f t="shared" si="5"/>
        <v>-1.873786101</v>
      </c>
      <c r="AE17" s="71">
        <f t="shared" si="6"/>
        <v>-42.4425</v>
      </c>
      <c r="AF17" s="71">
        <f t="shared" si="7"/>
        <v>55.08931138</v>
      </c>
      <c r="AG17" s="72">
        <f t="shared" ref="AG17:AG18" si="18">+IF(D17="RONALD WILLIAN GARIBAY ESCUDERO",AC17+AD17+AE17+AF17+70,AC17+AD17+AE17+AF17)+70-30-5-3</f>
        <v>111.5835253</v>
      </c>
      <c r="AH17" s="52">
        <f t="shared" si="8"/>
        <v>113.4831667</v>
      </c>
      <c r="AI17" s="73">
        <f t="shared" si="9"/>
        <v>133.6785529</v>
      </c>
      <c r="AJ17" s="73">
        <f t="shared" si="10"/>
        <v>109.174253</v>
      </c>
      <c r="AK17" s="11"/>
      <c r="AL17" s="51">
        <f t="shared" si="11"/>
        <v>8079.841856</v>
      </c>
    </row>
    <row r="18" ht="15.75" customHeight="1">
      <c r="A18" s="92" t="s">
        <v>163</v>
      </c>
      <c r="B18" s="95">
        <v>45702.0</v>
      </c>
      <c r="C18" s="56">
        <v>45678.0</v>
      </c>
      <c r="D18" s="2" t="s">
        <v>88</v>
      </c>
      <c r="E18" s="57" t="str">
        <f t="array" ref="E18">XLOOKUP(D18,RUC!$B$3:$B$79,RUC!$D$3:$D$79)</f>
        <v>#N/A</v>
      </c>
      <c r="G18" s="3">
        <v>50.0</v>
      </c>
      <c r="H18" s="57" t="s">
        <v>47</v>
      </c>
      <c r="I18" s="58">
        <v>5.29</v>
      </c>
      <c r="J18" s="58">
        <v>1.8</v>
      </c>
      <c r="K18" s="59">
        <f t="shared" si="1"/>
        <v>5.19478</v>
      </c>
      <c r="L18" s="60">
        <v>0.193</v>
      </c>
      <c r="M18" s="60">
        <v>0.183</v>
      </c>
      <c r="N18" s="62">
        <v>0.183</v>
      </c>
      <c r="O18" s="60">
        <f t="shared" si="2"/>
        <v>0.183</v>
      </c>
      <c r="P18" s="63">
        <v>85.0</v>
      </c>
      <c r="Q18" s="64">
        <v>90.31</v>
      </c>
      <c r="R18" s="65">
        <v>2737.8</v>
      </c>
      <c r="S18" s="66">
        <f t="shared" si="17"/>
        <v>95</v>
      </c>
      <c r="U18" s="87">
        <v>90.0</v>
      </c>
      <c r="V18" s="67">
        <v>1.1023</v>
      </c>
      <c r="Z18" s="87">
        <v>25.0</v>
      </c>
      <c r="AA18" s="70">
        <f t="shared" si="3"/>
        <v>25</v>
      </c>
      <c r="AB18" s="71">
        <f t="shared" si="4"/>
        <v>321.7231092</v>
      </c>
      <c r="AC18" s="71">
        <f>+(S18-T18)*V18-'data 1'!$F$4</f>
        <v>24.7185</v>
      </c>
      <c r="AD18" s="71">
        <f t="shared" si="5"/>
        <v>29.91140515</v>
      </c>
      <c r="AE18" s="71">
        <f t="shared" si="6"/>
        <v>-42.4425</v>
      </c>
      <c r="AF18" s="71">
        <f t="shared" si="7"/>
        <v>26.35850823</v>
      </c>
      <c r="AG18" s="72">
        <f t="shared" si="18"/>
        <v>70.54591337</v>
      </c>
      <c r="AH18" s="52">
        <f t="shared" si="8"/>
        <v>31.04340711</v>
      </c>
      <c r="AI18" s="73">
        <f t="shared" si="9"/>
        <v>48.45493786</v>
      </c>
      <c r="AJ18" s="73">
        <f t="shared" si="10"/>
        <v>27.70424024</v>
      </c>
      <c r="AK18" s="11"/>
      <c r="AL18" s="51">
        <f t="shared" si="11"/>
        <v>1671.280773</v>
      </c>
    </row>
    <row r="19" ht="15.75" customHeight="1">
      <c r="A19" s="92" t="s">
        <v>164</v>
      </c>
      <c r="B19" s="56">
        <v>45684.0</v>
      </c>
      <c r="C19" s="56">
        <v>45679.0</v>
      </c>
      <c r="D19" s="57" t="s">
        <v>63</v>
      </c>
      <c r="E19" s="57" t="str">
        <f t="array" ref="E19">XLOOKUP(D19,RUC!$B$3:$B$79,RUC!$D$3:$D$79)</f>
        <v>#N/A</v>
      </c>
      <c r="G19" s="3">
        <v>83.0</v>
      </c>
      <c r="H19" s="57" t="s">
        <v>47</v>
      </c>
      <c r="I19" s="58">
        <v>8.86</v>
      </c>
      <c r="J19" s="58">
        <v>1.2</v>
      </c>
      <c r="K19" s="59">
        <f t="shared" si="1"/>
        <v>8.75368</v>
      </c>
      <c r="L19" s="60">
        <v>0.478</v>
      </c>
      <c r="M19" s="60">
        <v>0.458</v>
      </c>
      <c r="N19" s="62">
        <v>0.458</v>
      </c>
      <c r="O19" s="60">
        <f t="shared" si="2"/>
        <v>0.458</v>
      </c>
      <c r="P19" s="63">
        <v>90.0</v>
      </c>
      <c r="Q19" s="64">
        <v>90.16</v>
      </c>
      <c r="R19" s="65">
        <v>2751.8</v>
      </c>
      <c r="S19" s="66">
        <f t="shared" ref="S19:S23" si="19">IF((90+ROUNDDOWN(O19,1)*100)&lt;95,95,(90+ROUNDDOWN(O19,1)*100))</f>
        <v>130</v>
      </c>
      <c r="U19" s="67">
        <v>120.0</v>
      </c>
      <c r="V19" s="67">
        <v>1.1023</v>
      </c>
      <c r="Y19" s="57">
        <v>20.0</v>
      </c>
      <c r="Z19" s="69">
        <f t="shared" ref="Z19:Z40" si="20">IF(IF(D19="UNTUCA",IF(+((W19-3)*1.5+(X19-3)*3.1)&gt;0,+((W19-3)*1.5+(X19-3)*3.1),0),IF(+((W19-3)*1.5+(X19-3)*3.1)&gt;0,+((W19-3)*1.5+(X19-3)*3.1),0))&lt;30,30,IF(D19="UNTUCA",IF(+((W19-3)*1.5+(X19-3)*3.1)&gt;0,+((W19-3)*1.5+(X19-3)*3.1),0),IF(+((W19-3)*1.5+(X19-3)*3.1)&gt;0,+((W19-3)*1.5+(X19-3)*3.1),0)))</f>
        <v>30</v>
      </c>
      <c r="AA19" s="70">
        <f t="shared" si="3"/>
        <v>50</v>
      </c>
      <c r="AB19" s="71">
        <f t="shared" si="4"/>
        <v>997.3918603</v>
      </c>
      <c r="AC19" s="71">
        <f>+(S19-T19)*V19-'data 1'!$F$4</f>
        <v>63.299</v>
      </c>
      <c r="AD19" s="71">
        <f t="shared" si="5"/>
        <v>2.218710145</v>
      </c>
      <c r="AE19" s="71">
        <f t="shared" si="6"/>
        <v>-14.885</v>
      </c>
      <c r="AF19" s="71">
        <f t="shared" si="7"/>
        <v>52.31142958</v>
      </c>
      <c r="AG19" s="72">
        <f t="shared" ref="AG19:AG45" si="21">+IF(D19="RONALD WILLIAN GARIBAY ESCUDERO",AC19+AD19+AE19+AF19+70,AC19+AD19+AE19+AF19)+70-53</f>
        <v>119.9441397</v>
      </c>
      <c r="AH19" s="52">
        <f t="shared" si="8"/>
        <v>129.3425847</v>
      </c>
      <c r="AI19" s="73">
        <f t="shared" si="9"/>
        <v>127.4090802</v>
      </c>
      <c r="AJ19" s="73">
        <f t="shared" si="10"/>
        <v>123.7108307</v>
      </c>
      <c r="AK19" s="11"/>
      <c r="AL19" s="51">
        <f t="shared" si="11"/>
        <v>8730.84918</v>
      </c>
    </row>
    <row r="20" ht="15.75" customHeight="1">
      <c r="A20" s="92" t="s">
        <v>165</v>
      </c>
      <c r="B20" s="56">
        <v>45685.0</v>
      </c>
      <c r="C20" s="56">
        <v>45679.0</v>
      </c>
      <c r="D20" s="57" t="s">
        <v>63</v>
      </c>
      <c r="E20" s="57" t="str">
        <f t="array" ref="E20">XLOOKUP(D20,RUC!$B$3:$B$79,RUC!$D$3:$D$79)</f>
        <v>#N/A</v>
      </c>
      <c r="G20" s="3">
        <v>46.0</v>
      </c>
      <c r="H20" s="57" t="s">
        <v>47</v>
      </c>
      <c r="I20" s="58">
        <v>5.31</v>
      </c>
      <c r="J20" s="58">
        <v>1.3</v>
      </c>
      <c r="K20" s="59">
        <f t="shared" si="1"/>
        <v>5.24097</v>
      </c>
      <c r="L20" s="60">
        <v>0.456</v>
      </c>
      <c r="M20" s="60">
        <v>0.437</v>
      </c>
      <c r="N20" s="62">
        <v>0.437</v>
      </c>
      <c r="O20" s="60">
        <f t="shared" si="2"/>
        <v>0.437</v>
      </c>
      <c r="P20" s="63">
        <v>90.0</v>
      </c>
      <c r="Q20" s="64">
        <v>90.27</v>
      </c>
      <c r="R20" s="65">
        <v>2751.8</v>
      </c>
      <c r="S20" s="66">
        <f t="shared" si="19"/>
        <v>130</v>
      </c>
      <c r="U20" s="67">
        <v>120.0</v>
      </c>
      <c r="V20" s="67">
        <v>1.1023</v>
      </c>
      <c r="Y20" s="57">
        <v>20.0</v>
      </c>
      <c r="Z20" s="69">
        <f t="shared" si="20"/>
        <v>30</v>
      </c>
      <c r="AA20" s="70">
        <f t="shared" si="3"/>
        <v>50</v>
      </c>
      <c r="AB20" s="71">
        <f t="shared" si="4"/>
        <v>942.562334</v>
      </c>
      <c r="AC20" s="71">
        <f>+(S20-T20)*V20-'data 1'!$F$4</f>
        <v>63.299</v>
      </c>
      <c r="AD20" s="71">
        <f t="shared" si="5"/>
        <v>3.571752002</v>
      </c>
      <c r="AE20" s="71">
        <f t="shared" si="6"/>
        <v>-14.885</v>
      </c>
      <c r="AF20" s="71">
        <f t="shared" si="7"/>
        <v>49.75648969</v>
      </c>
      <c r="AG20" s="72">
        <f t="shared" si="21"/>
        <v>118.7422417</v>
      </c>
      <c r="AH20" s="52">
        <f t="shared" si="8"/>
        <v>73.96547118</v>
      </c>
      <c r="AI20" s="73">
        <f t="shared" si="9"/>
        <v>121.6933554</v>
      </c>
      <c r="AJ20" s="73">
        <f t="shared" si="10"/>
        <v>70.67156186</v>
      </c>
      <c r="AK20" s="11"/>
      <c r="AL20" s="51">
        <f t="shared" si="11"/>
        <v>4939.940915</v>
      </c>
    </row>
    <row r="21" ht="15.75" customHeight="1">
      <c r="A21" s="92" t="s">
        <v>166</v>
      </c>
      <c r="B21" s="56">
        <v>45689.0</v>
      </c>
      <c r="C21" s="56">
        <v>45679.0</v>
      </c>
      <c r="D21" s="57" t="s">
        <v>63</v>
      </c>
      <c r="E21" s="57" t="str">
        <f t="array" ref="E21">XLOOKUP(D21,RUC!$B$3:$B$79,RUC!$D$3:$D$79)</f>
        <v>#N/A</v>
      </c>
      <c r="G21" s="3">
        <v>64.0</v>
      </c>
      <c r="H21" s="57" t="s">
        <v>47</v>
      </c>
      <c r="I21" s="58">
        <v>8.71</v>
      </c>
      <c r="J21" s="58">
        <v>1.3</v>
      </c>
      <c r="K21" s="59">
        <f t="shared" si="1"/>
        <v>8.59677</v>
      </c>
      <c r="L21" s="60">
        <v>0.244</v>
      </c>
      <c r="M21" s="60">
        <v>0.233</v>
      </c>
      <c r="N21" s="62">
        <v>0.233</v>
      </c>
      <c r="O21" s="60">
        <f t="shared" si="2"/>
        <v>0.233</v>
      </c>
      <c r="P21" s="63">
        <v>90.0</v>
      </c>
      <c r="Q21" s="64">
        <v>90.07</v>
      </c>
      <c r="R21" s="65">
        <v>2751.8</v>
      </c>
      <c r="S21" s="66">
        <f t="shared" si="19"/>
        <v>110</v>
      </c>
      <c r="U21" s="67">
        <v>120.0</v>
      </c>
      <c r="V21" s="67">
        <v>1.1023</v>
      </c>
      <c r="Y21" s="57">
        <v>20.0</v>
      </c>
      <c r="Z21" s="69">
        <f t="shared" si="20"/>
        <v>30</v>
      </c>
      <c r="AA21" s="70">
        <f t="shared" si="3"/>
        <v>50</v>
      </c>
      <c r="AB21" s="71">
        <f t="shared" si="4"/>
        <v>431.9786495</v>
      </c>
      <c r="AC21" s="71">
        <f>+(S21-T21)*V21-'data 1'!$F$4</f>
        <v>41.253</v>
      </c>
      <c r="AD21" s="71">
        <f t="shared" si="5"/>
        <v>0.4954964603</v>
      </c>
      <c r="AE21" s="71">
        <f t="shared" si="6"/>
        <v>-14.885</v>
      </c>
      <c r="AF21" s="71">
        <f t="shared" si="7"/>
        <v>28.74256604</v>
      </c>
      <c r="AG21" s="72">
        <f t="shared" si="21"/>
        <v>72.6060625</v>
      </c>
      <c r="AH21" s="52">
        <f t="shared" si="8"/>
        <v>64.77603576</v>
      </c>
      <c r="AI21" s="73">
        <f t="shared" si="9"/>
        <v>64.97234923</v>
      </c>
      <c r="AJ21" s="73">
        <f t="shared" si="10"/>
        <v>61.80773196</v>
      </c>
      <c r="AK21" s="11"/>
      <c r="AL21" s="51">
        <f t="shared" si="11"/>
        <v>3713.621094</v>
      </c>
    </row>
    <row r="22" ht="15.75" customHeight="1">
      <c r="A22" s="92" t="s">
        <v>167</v>
      </c>
      <c r="B22" s="56">
        <v>45686.0</v>
      </c>
      <c r="C22" s="56">
        <v>45681.0</v>
      </c>
      <c r="D22" s="57" t="s">
        <v>63</v>
      </c>
      <c r="E22" s="57" t="str">
        <f t="array" ref="E22">XLOOKUP(D22,RUC!$B$3:$B$79,RUC!$D$3:$D$79)</f>
        <v>#N/A</v>
      </c>
      <c r="G22" s="3">
        <v>46.0</v>
      </c>
      <c r="H22" s="57" t="s">
        <v>47</v>
      </c>
      <c r="I22" s="58">
        <v>3.63</v>
      </c>
      <c r="J22" s="58">
        <v>1.6</v>
      </c>
      <c r="K22" s="59">
        <f t="shared" si="1"/>
        <v>3.57192</v>
      </c>
      <c r="L22" s="60">
        <v>0.215</v>
      </c>
      <c r="M22" s="60">
        <v>0.206</v>
      </c>
      <c r="N22" s="62">
        <v>0.206</v>
      </c>
      <c r="O22" s="60">
        <f t="shared" si="2"/>
        <v>0.206</v>
      </c>
      <c r="P22" s="63">
        <v>90.0</v>
      </c>
      <c r="Q22" s="64">
        <v>90.28</v>
      </c>
      <c r="R22" s="65">
        <v>2776.8</v>
      </c>
      <c r="S22" s="66">
        <f t="shared" si="19"/>
        <v>110</v>
      </c>
      <c r="U22" s="67">
        <v>120.0</v>
      </c>
      <c r="V22" s="67">
        <v>1.1023</v>
      </c>
      <c r="Y22" s="57">
        <v>20.0</v>
      </c>
      <c r="Z22" s="69">
        <f t="shared" si="20"/>
        <v>30</v>
      </c>
      <c r="AA22" s="70">
        <f t="shared" si="3"/>
        <v>50</v>
      </c>
      <c r="AB22" s="71">
        <f t="shared" si="4"/>
        <v>366.5927047</v>
      </c>
      <c r="AC22" s="71">
        <f>+(S22-T22)*V22-'data 1'!$F$4</f>
        <v>41.253</v>
      </c>
      <c r="AD22" s="71">
        <f t="shared" si="5"/>
        <v>1.763011565</v>
      </c>
      <c r="AE22" s="71">
        <f t="shared" si="6"/>
        <v>-14.885</v>
      </c>
      <c r="AF22" s="71">
        <f t="shared" si="7"/>
        <v>23.79538467</v>
      </c>
      <c r="AG22" s="72">
        <f t="shared" si="21"/>
        <v>68.92639623</v>
      </c>
      <c r="AH22" s="52">
        <f t="shared" si="8"/>
        <v>23.77063607</v>
      </c>
      <c r="AI22" s="73">
        <f t="shared" si="9"/>
        <v>52.03473993</v>
      </c>
      <c r="AJ22" s="73">
        <f t="shared" si="10"/>
        <v>22.70494857</v>
      </c>
      <c r="AK22" s="11"/>
      <c r="AL22" s="51">
        <f t="shared" si="11"/>
        <v>1309.439814</v>
      </c>
    </row>
    <row r="23" ht="15.75" customHeight="1">
      <c r="A23" s="92" t="s">
        <v>168</v>
      </c>
      <c r="B23" s="56">
        <v>45686.0</v>
      </c>
      <c r="C23" s="56">
        <v>45681.0</v>
      </c>
      <c r="D23" s="57" t="s">
        <v>63</v>
      </c>
      <c r="E23" s="57" t="str">
        <f t="array" ref="E23">XLOOKUP(D23,RUC!$B$3:$B$79,RUC!$D$3:$D$79)</f>
        <v>#N/A</v>
      </c>
      <c r="G23" s="3">
        <v>64.0</v>
      </c>
      <c r="H23" s="57" t="s">
        <v>47</v>
      </c>
      <c r="I23" s="58">
        <v>5.69</v>
      </c>
      <c r="J23" s="58">
        <v>1.4</v>
      </c>
      <c r="K23" s="59">
        <f t="shared" si="1"/>
        <v>5.61034</v>
      </c>
      <c r="L23" s="60">
        <v>0.349</v>
      </c>
      <c r="M23" s="60">
        <v>0.335</v>
      </c>
      <c r="N23" s="62">
        <v>0.335</v>
      </c>
      <c r="O23" s="60">
        <f t="shared" si="2"/>
        <v>0.335</v>
      </c>
      <c r="P23" s="63">
        <v>90.0</v>
      </c>
      <c r="Q23" s="64">
        <v>90.13</v>
      </c>
      <c r="R23" s="65">
        <v>2776.8</v>
      </c>
      <c r="S23" s="66">
        <f t="shared" si="19"/>
        <v>120</v>
      </c>
      <c r="U23" s="67">
        <v>120.0</v>
      </c>
      <c r="V23" s="67">
        <v>1.1023</v>
      </c>
      <c r="Y23" s="57">
        <v>20.0</v>
      </c>
      <c r="Z23" s="69">
        <f t="shared" si="20"/>
        <v>30</v>
      </c>
      <c r="AA23" s="70">
        <f t="shared" si="3"/>
        <v>50</v>
      </c>
      <c r="AB23" s="71">
        <f t="shared" si="4"/>
        <v>695.579078</v>
      </c>
      <c r="AC23" s="71">
        <f>+(S23-T23)*V23-'data 1'!$F$4</f>
        <v>52.276</v>
      </c>
      <c r="AD23" s="71">
        <f t="shared" si="5"/>
        <v>1.328701573</v>
      </c>
      <c r="AE23" s="71">
        <f t="shared" si="6"/>
        <v>-14.885</v>
      </c>
      <c r="AF23" s="71">
        <f t="shared" si="7"/>
        <v>36.95354241</v>
      </c>
      <c r="AG23" s="72">
        <f t="shared" si="21"/>
        <v>92.67324399</v>
      </c>
      <c r="AH23" s="52">
        <f t="shared" si="8"/>
        <v>60.50524845</v>
      </c>
      <c r="AI23" s="73">
        <f t="shared" si="9"/>
        <v>84.32535458</v>
      </c>
      <c r="AJ23" s="73">
        <f t="shared" si="10"/>
        <v>57.99433422</v>
      </c>
      <c r="AK23" s="11"/>
      <c r="AL23" s="51">
        <f t="shared" si="11"/>
        <v>3902.435124</v>
      </c>
    </row>
    <row r="24" ht="15.75" customHeight="1">
      <c r="A24" s="92" t="s">
        <v>169</v>
      </c>
      <c r="B24" s="56">
        <v>45703.0</v>
      </c>
      <c r="C24" s="56">
        <v>45682.0</v>
      </c>
      <c r="D24" s="57" t="s">
        <v>121</v>
      </c>
      <c r="E24" s="57">
        <f t="array" ref="E24">XLOOKUP(D24,RUC!$B$3:$B$79,RUC!$D$3:$D$79)</f>
        <v>20611329556</v>
      </c>
      <c r="G24" s="3">
        <v>90.0</v>
      </c>
      <c r="H24" s="57" t="s">
        <v>47</v>
      </c>
      <c r="I24" s="58">
        <v>8.48</v>
      </c>
      <c r="J24" s="58">
        <v>1.1</v>
      </c>
      <c r="K24" s="59">
        <f t="shared" si="1"/>
        <v>8.38672</v>
      </c>
      <c r="L24" s="60">
        <v>0.261</v>
      </c>
      <c r="M24" s="60">
        <v>0.251</v>
      </c>
      <c r="N24" s="62">
        <v>0.251</v>
      </c>
      <c r="O24" s="60">
        <f t="shared" si="2"/>
        <v>0.251</v>
      </c>
      <c r="P24" s="63">
        <v>90.0</v>
      </c>
      <c r="Q24" s="64">
        <v>90.12</v>
      </c>
      <c r="R24" s="65">
        <v>2756.8</v>
      </c>
      <c r="S24" s="66">
        <v>100.0</v>
      </c>
      <c r="U24" s="67">
        <v>100.0</v>
      </c>
      <c r="V24" s="67">
        <v>1.1023</v>
      </c>
      <c r="Z24" s="69">
        <f t="shared" si="20"/>
        <v>30</v>
      </c>
      <c r="AA24" s="70">
        <f t="shared" si="3"/>
        <v>30</v>
      </c>
      <c r="AB24" s="71">
        <f t="shared" si="4"/>
        <v>518.2696256</v>
      </c>
      <c r="AC24" s="71">
        <f>+(S24-T24)*V24-'data 1'!$F$4</f>
        <v>30.23</v>
      </c>
      <c r="AD24" s="71">
        <f t="shared" si="5"/>
        <v>0.9172345884</v>
      </c>
      <c r="AE24" s="71">
        <f t="shared" si="6"/>
        <v>-36.931</v>
      </c>
      <c r="AF24" s="71">
        <f t="shared" si="7"/>
        <v>26.39245885</v>
      </c>
      <c r="AG24" s="72">
        <f t="shared" si="21"/>
        <v>37.60869344</v>
      </c>
      <c r="AH24" s="52">
        <f t="shared" si="8"/>
        <v>67.63366212</v>
      </c>
      <c r="AI24" s="73">
        <f t="shared" si="9"/>
        <v>63.05580412</v>
      </c>
      <c r="AJ24" s="73">
        <f t="shared" si="10"/>
        <v>64.95572643</v>
      </c>
      <c r="AK24" s="11"/>
      <c r="AL24" s="51">
        <f t="shared" si="11"/>
        <v>4346.582234</v>
      </c>
    </row>
    <row r="25" ht="15.75" customHeight="1">
      <c r="A25" s="92" t="s">
        <v>170</v>
      </c>
      <c r="B25" s="56">
        <v>45703.0</v>
      </c>
      <c r="C25" s="56">
        <v>45682.0</v>
      </c>
      <c r="D25" s="57" t="s">
        <v>121</v>
      </c>
      <c r="E25" s="57">
        <f t="array" ref="E25">XLOOKUP(D25,RUC!$B$3:$B$79,RUC!$D$3:$D$79)</f>
        <v>20611329556</v>
      </c>
      <c r="G25" s="3">
        <v>318.0</v>
      </c>
      <c r="H25" s="57" t="s">
        <v>47</v>
      </c>
      <c r="I25" s="58">
        <v>29.4</v>
      </c>
      <c r="J25" s="58">
        <v>1.2</v>
      </c>
      <c r="K25" s="59">
        <f t="shared" si="1"/>
        <v>29.0472</v>
      </c>
      <c r="L25" s="60">
        <v>0.317</v>
      </c>
      <c r="M25" s="60">
        <v>0.304</v>
      </c>
      <c r="N25" s="62">
        <v>0.304</v>
      </c>
      <c r="O25" s="60">
        <f t="shared" si="2"/>
        <v>0.304</v>
      </c>
      <c r="P25" s="63">
        <v>90.0</v>
      </c>
      <c r="Q25" s="64">
        <v>90.2</v>
      </c>
      <c r="R25" s="65">
        <v>2756.8</v>
      </c>
      <c r="S25" s="66">
        <v>110.0</v>
      </c>
      <c r="U25" s="67">
        <v>100.0</v>
      </c>
      <c r="V25" s="67">
        <v>1.1023</v>
      </c>
      <c r="Z25" s="69">
        <f t="shared" si="20"/>
        <v>30</v>
      </c>
      <c r="AA25" s="70">
        <f t="shared" si="3"/>
        <v>30</v>
      </c>
      <c r="AB25" s="71">
        <f t="shared" si="4"/>
        <v>646.9403991</v>
      </c>
      <c r="AC25" s="71">
        <f>+(S25-T25)*V25-'data 1'!$F$4</f>
        <v>41.253</v>
      </c>
      <c r="AD25" s="71">
        <f t="shared" si="5"/>
        <v>1.856726466</v>
      </c>
      <c r="AE25" s="71">
        <f t="shared" si="6"/>
        <v>-36.931</v>
      </c>
      <c r="AF25" s="71">
        <f t="shared" si="7"/>
        <v>34.34065384</v>
      </c>
      <c r="AG25" s="72">
        <f t="shared" si="21"/>
        <v>57.51938031</v>
      </c>
      <c r="AH25" s="52">
        <f t="shared" si="8"/>
        <v>284.7601048</v>
      </c>
      <c r="AI25" s="73">
        <f t="shared" si="9"/>
        <v>76.65300372</v>
      </c>
      <c r="AJ25" s="73">
        <f t="shared" si="10"/>
        <v>272.4767417</v>
      </c>
      <c r="AK25" s="11"/>
      <c r="AL25" s="51">
        <f t="shared" si="11"/>
        <v>18791.80716</v>
      </c>
    </row>
    <row r="26" ht="15.75" customHeight="1">
      <c r="A26" s="92" t="s">
        <v>171</v>
      </c>
      <c r="B26" s="56">
        <v>45687.0</v>
      </c>
      <c r="C26" s="56">
        <v>45682.0</v>
      </c>
      <c r="D26" s="57" t="s">
        <v>63</v>
      </c>
      <c r="E26" s="57" t="str">
        <f t="array" ref="E26">XLOOKUP(D26,RUC!$B$3:$B$79,RUC!$D$3:$D$79)</f>
        <v>#N/A</v>
      </c>
      <c r="G26" s="3">
        <v>100.0</v>
      </c>
      <c r="H26" s="57" t="s">
        <v>47</v>
      </c>
      <c r="I26" s="58">
        <v>8.79</v>
      </c>
      <c r="J26" s="58">
        <v>1.8</v>
      </c>
      <c r="K26" s="59">
        <f t="shared" si="1"/>
        <v>8.63178</v>
      </c>
      <c r="L26" s="60">
        <v>0.523</v>
      </c>
      <c r="M26" s="60">
        <v>0.502</v>
      </c>
      <c r="N26" s="62">
        <v>0.502</v>
      </c>
      <c r="O26" s="60">
        <f t="shared" si="2"/>
        <v>0.502</v>
      </c>
      <c r="P26" s="63">
        <v>90.0</v>
      </c>
      <c r="Q26" s="64">
        <v>90.17</v>
      </c>
      <c r="R26" s="65">
        <v>2756.8</v>
      </c>
      <c r="S26" s="66">
        <f t="shared" ref="S26:S33" si="22">IF((90+ROUNDDOWN(O26,1)*100)&lt;95,95,(90+ROUNDDOWN(O26,1)*100))</f>
        <v>140</v>
      </c>
      <c r="U26" s="67">
        <v>120.0</v>
      </c>
      <c r="V26" s="67">
        <v>1.1023</v>
      </c>
      <c r="Y26" s="57">
        <v>20.0</v>
      </c>
      <c r="Z26" s="69">
        <f t="shared" si="20"/>
        <v>30</v>
      </c>
      <c r="AA26" s="70">
        <f t="shared" si="3"/>
        <v>50</v>
      </c>
      <c r="AB26" s="71">
        <f t="shared" si="4"/>
        <v>1103.739868</v>
      </c>
      <c r="AC26" s="71">
        <f>+(S26-T26)*V26-'data 1'!$F$4</f>
        <v>74.322</v>
      </c>
      <c r="AD26" s="71">
        <f t="shared" si="5"/>
        <v>2.584208839</v>
      </c>
      <c r="AE26" s="71">
        <f t="shared" si="6"/>
        <v>-14.885</v>
      </c>
      <c r="AF26" s="71">
        <f t="shared" si="7"/>
        <v>55.03745734</v>
      </c>
      <c r="AG26" s="72">
        <f t="shared" si="21"/>
        <v>134.0586662</v>
      </c>
      <c r="AH26" s="52">
        <f t="shared" si="8"/>
        <v>139.5639301</v>
      </c>
      <c r="AI26" s="73">
        <f t="shared" si="9"/>
        <v>136.8199574</v>
      </c>
      <c r="AJ26" s="73">
        <f t="shared" si="10"/>
        <v>133.7074662</v>
      </c>
      <c r="AK26" s="11"/>
      <c r="AL26" s="51">
        <f t="shared" si="11"/>
        <v>9527.239721</v>
      </c>
    </row>
    <row r="27" ht="15.75" customHeight="1">
      <c r="A27" s="92" t="s">
        <v>172</v>
      </c>
      <c r="B27" s="56">
        <v>45686.0</v>
      </c>
      <c r="C27" s="56">
        <v>45684.0</v>
      </c>
      <c r="D27" s="57" t="s">
        <v>104</v>
      </c>
      <c r="E27" s="57">
        <f t="array" ref="E27">XLOOKUP(D27,RUC!$B$3:$B$79,RUC!$D$3:$D$79)</f>
        <v>10479968131</v>
      </c>
      <c r="G27" s="3">
        <v>53.0</v>
      </c>
      <c r="H27" s="57" t="s">
        <v>71</v>
      </c>
      <c r="I27" s="58">
        <v>4.44</v>
      </c>
      <c r="J27" s="58">
        <v>12.0</v>
      </c>
      <c r="K27" s="59">
        <f t="shared" si="1"/>
        <v>3.9072</v>
      </c>
      <c r="L27" s="60">
        <v>0.259</v>
      </c>
      <c r="M27" s="60">
        <v>0.248</v>
      </c>
      <c r="N27" s="62">
        <v>0.248</v>
      </c>
      <c r="O27" s="60">
        <f t="shared" si="2"/>
        <v>0.248</v>
      </c>
      <c r="P27" s="63">
        <v>90.0</v>
      </c>
      <c r="Q27" s="64">
        <v>90.22</v>
      </c>
      <c r="R27" s="65">
        <v>2742.4</v>
      </c>
      <c r="S27" s="66">
        <f t="shared" si="22"/>
        <v>110</v>
      </c>
      <c r="U27" s="67">
        <v>120.0</v>
      </c>
      <c r="V27" s="67">
        <v>1.1023</v>
      </c>
      <c r="Y27" s="57">
        <v>20.0</v>
      </c>
      <c r="Z27" s="69">
        <f t="shared" si="20"/>
        <v>30</v>
      </c>
      <c r="AA27" s="70">
        <f t="shared" si="3"/>
        <v>50</v>
      </c>
      <c r="AB27" s="71">
        <f t="shared" si="4"/>
        <v>468.8298833</v>
      </c>
      <c r="AC27" s="71">
        <f>+(S27-T27)*V27-'data 1'!$F$4</f>
        <v>41.253</v>
      </c>
      <c r="AD27" s="71">
        <f t="shared" si="5"/>
        <v>1.647104632</v>
      </c>
      <c r="AE27" s="71">
        <f t="shared" si="6"/>
        <v>-14.885</v>
      </c>
      <c r="AF27" s="71">
        <f t="shared" si="7"/>
        <v>28.6876023</v>
      </c>
      <c r="AG27" s="72">
        <f t="shared" si="21"/>
        <v>73.70270693</v>
      </c>
      <c r="AH27" s="52">
        <f t="shared" si="8"/>
        <v>31.30237561</v>
      </c>
      <c r="AI27" s="73">
        <f t="shared" si="9"/>
        <v>71.50260362</v>
      </c>
      <c r="AJ27" s="73">
        <f t="shared" si="10"/>
        <v>29.89984258</v>
      </c>
      <c r="AK27" s="11"/>
      <c r="AL27" s="51">
        <f t="shared" si="11"/>
        <v>1831.81212</v>
      </c>
    </row>
    <row r="28" ht="15.75" customHeight="1">
      <c r="A28" s="92" t="s">
        <v>173</v>
      </c>
      <c r="B28" s="56"/>
      <c r="C28" s="56">
        <v>45684.0</v>
      </c>
      <c r="D28" s="57" t="s">
        <v>104</v>
      </c>
      <c r="E28" s="57">
        <f t="array" ref="E28">XLOOKUP(D28,RUC!$B$3:$B$79,RUC!$D$3:$D$79)</f>
        <v>10479968131</v>
      </c>
      <c r="G28" s="3">
        <v>53.0</v>
      </c>
      <c r="H28" s="57" t="s">
        <v>71</v>
      </c>
      <c r="I28" s="58">
        <v>4.5</v>
      </c>
      <c r="J28" s="58">
        <v>13.0</v>
      </c>
      <c r="K28" s="59">
        <f t="shared" si="1"/>
        <v>3.915</v>
      </c>
      <c r="L28" s="60">
        <v>0.175</v>
      </c>
      <c r="M28" s="60">
        <v>0.165</v>
      </c>
      <c r="N28" s="62">
        <v>0.165</v>
      </c>
      <c r="O28" s="60">
        <f t="shared" si="2"/>
        <v>0.165</v>
      </c>
      <c r="P28" s="63">
        <v>90.0</v>
      </c>
      <c r="Q28" s="64">
        <v>90.12</v>
      </c>
      <c r="R28" s="65">
        <v>2742.4</v>
      </c>
      <c r="S28" s="66">
        <f t="shared" si="22"/>
        <v>100</v>
      </c>
      <c r="U28" s="67">
        <v>120.0</v>
      </c>
      <c r="V28" s="67">
        <v>1.1023</v>
      </c>
      <c r="Y28" s="57">
        <v>20.0</v>
      </c>
      <c r="Z28" s="69">
        <f t="shared" si="20"/>
        <v>30</v>
      </c>
      <c r="AA28" s="70">
        <f t="shared" si="3"/>
        <v>50</v>
      </c>
      <c r="AB28" s="71">
        <f t="shared" si="4"/>
        <v>263.9197207</v>
      </c>
      <c r="AC28" s="71">
        <f>+(S28-T28)*V28-'data 1'!$F$4</f>
        <v>30.23</v>
      </c>
      <c r="AD28" s="71">
        <f t="shared" si="5"/>
        <v>0.6070410192</v>
      </c>
      <c r="AE28" s="71">
        <f t="shared" si="6"/>
        <v>-14.885</v>
      </c>
      <c r="AF28" s="71">
        <f t="shared" si="7"/>
        <v>26.05073174</v>
      </c>
      <c r="AG28" s="72">
        <f t="shared" si="21"/>
        <v>59.00277276</v>
      </c>
      <c r="AH28" s="52">
        <f t="shared" si="8"/>
        <v>21.16898657</v>
      </c>
      <c r="AI28" s="73">
        <f t="shared" si="9"/>
        <v>48.25902028</v>
      </c>
      <c r="AJ28" s="73">
        <f t="shared" si="10"/>
        <v>19.93275319</v>
      </c>
      <c r="AK28" s="11"/>
      <c r="AL28" s="51">
        <f t="shared" si="11"/>
        <v>1033.245707</v>
      </c>
    </row>
    <row r="29" ht="15.75" customHeight="1">
      <c r="A29" s="92" t="s">
        <v>174</v>
      </c>
      <c r="B29" s="56">
        <v>45686.0</v>
      </c>
      <c r="C29" s="56">
        <v>45684.0</v>
      </c>
      <c r="D29" s="57" t="s">
        <v>104</v>
      </c>
      <c r="E29" s="57">
        <f t="array" ref="E29">XLOOKUP(D29,RUC!$B$3:$B$79,RUC!$D$3:$D$79)</f>
        <v>10479968131</v>
      </c>
      <c r="G29" s="3">
        <v>44.0</v>
      </c>
      <c r="H29" s="57" t="s">
        <v>71</v>
      </c>
      <c r="I29" s="58">
        <v>3.59</v>
      </c>
      <c r="J29" s="58">
        <v>12.85</v>
      </c>
      <c r="K29" s="59">
        <f t="shared" si="1"/>
        <v>3.128685</v>
      </c>
      <c r="L29" s="60">
        <v>0.155</v>
      </c>
      <c r="M29" s="60">
        <v>0.145</v>
      </c>
      <c r="N29" s="62">
        <v>0.145</v>
      </c>
      <c r="O29" s="60">
        <f t="shared" si="2"/>
        <v>0.145</v>
      </c>
      <c r="P29" s="63">
        <v>85.0</v>
      </c>
      <c r="Q29" s="64">
        <v>90.07</v>
      </c>
      <c r="R29" s="65">
        <v>2742.4</v>
      </c>
      <c r="S29" s="66">
        <f t="shared" si="22"/>
        <v>100</v>
      </c>
      <c r="U29" s="67">
        <v>120.0</v>
      </c>
      <c r="V29" s="67">
        <v>1.1023</v>
      </c>
      <c r="Y29" s="57">
        <v>20.0</v>
      </c>
      <c r="Z29" s="69">
        <f t="shared" si="20"/>
        <v>30</v>
      </c>
      <c r="AA29" s="70">
        <f t="shared" si="3"/>
        <v>50</v>
      </c>
      <c r="AB29" s="71">
        <f t="shared" si="4"/>
        <v>190.9302648</v>
      </c>
      <c r="AC29" s="71">
        <f>+(S29-T29)*V29-'data 1'!$F$4</f>
        <v>30.23</v>
      </c>
      <c r="AD29" s="71">
        <f t="shared" si="5"/>
        <v>22.71634214</v>
      </c>
      <c r="AE29" s="71">
        <f t="shared" si="6"/>
        <v>-14.885</v>
      </c>
      <c r="AF29" s="71">
        <f t="shared" si="7"/>
        <v>26.03627838</v>
      </c>
      <c r="AG29" s="72">
        <f t="shared" si="21"/>
        <v>81.09762052</v>
      </c>
      <c r="AH29" s="52">
        <f t="shared" si="8"/>
        <v>14.97554961</v>
      </c>
      <c r="AI29" s="73">
        <f t="shared" si="9"/>
        <v>42.7199888</v>
      </c>
      <c r="AJ29" s="73">
        <f t="shared" si="10"/>
        <v>13.2208031</v>
      </c>
      <c r="AK29" s="11"/>
      <c r="AL29" s="51">
        <f t="shared" si="11"/>
        <v>597.3606557</v>
      </c>
    </row>
    <row r="30" ht="15.75" customHeight="1">
      <c r="A30" s="92" t="s">
        <v>175</v>
      </c>
      <c r="B30" s="56">
        <v>45686.0</v>
      </c>
      <c r="C30" s="56">
        <v>45684.0</v>
      </c>
      <c r="D30" s="2" t="s">
        <v>104</v>
      </c>
      <c r="E30" s="57">
        <f t="array" ref="E30">XLOOKUP(D30,RUC!$B$3:$B$79,RUC!$D$3:$D$79)</f>
        <v>10479968131</v>
      </c>
      <c r="G30" s="3">
        <v>31.0</v>
      </c>
      <c r="H30" s="57" t="s">
        <v>71</v>
      </c>
      <c r="I30" s="58">
        <v>2.34</v>
      </c>
      <c r="J30" s="58">
        <v>11.2</v>
      </c>
      <c r="K30" s="59">
        <f t="shared" si="1"/>
        <v>2.07792</v>
      </c>
      <c r="L30" s="60">
        <v>0.298</v>
      </c>
      <c r="M30" s="60">
        <v>0.286</v>
      </c>
      <c r="N30" s="62">
        <v>0.286</v>
      </c>
      <c r="O30" s="60">
        <f t="shared" si="2"/>
        <v>0.286</v>
      </c>
      <c r="P30" s="63">
        <v>90.0</v>
      </c>
      <c r="Q30" s="64">
        <v>90.19</v>
      </c>
      <c r="R30" s="65">
        <v>2742.4</v>
      </c>
      <c r="S30" s="66">
        <f t="shared" si="22"/>
        <v>110</v>
      </c>
      <c r="U30" s="67">
        <v>120.0</v>
      </c>
      <c r="V30" s="67">
        <v>1.1023</v>
      </c>
      <c r="Y30" s="57">
        <v>20.0</v>
      </c>
      <c r="Z30" s="69">
        <f t="shared" si="20"/>
        <v>30</v>
      </c>
      <c r="AA30" s="70">
        <f t="shared" si="3"/>
        <v>50</v>
      </c>
      <c r="AB30" s="71">
        <f t="shared" si="4"/>
        <v>567.6908492</v>
      </c>
      <c r="AC30" s="71">
        <f>+(S30-T30)*V30-'data 1'!$F$4</f>
        <v>41.253</v>
      </c>
      <c r="AD30" s="71">
        <f t="shared" si="5"/>
        <v>1.636698215</v>
      </c>
      <c r="AE30" s="71">
        <f t="shared" si="6"/>
        <v>-14.885</v>
      </c>
      <c r="AF30" s="71">
        <f t="shared" si="7"/>
        <v>31.28515973</v>
      </c>
      <c r="AG30" s="72">
        <f t="shared" si="21"/>
        <v>76.28985794</v>
      </c>
      <c r="AH30" s="52">
        <f t="shared" si="8"/>
        <v>19.14752051</v>
      </c>
      <c r="AI30" s="73">
        <f t="shared" si="9"/>
        <v>82.24204868</v>
      </c>
      <c r="AJ30" s="73">
        <f t="shared" si="10"/>
        <v>18.33776636</v>
      </c>
      <c r="AK30" s="11"/>
      <c r="AL30" s="51">
        <f t="shared" si="11"/>
        <v>1179.616169</v>
      </c>
    </row>
    <row r="31" ht="15.75" customHeight="1">
      <c r="A31" s="92" t="s">
        <v>176</v>
      </c>
      <c r="B31" s="56">
        <v>45689.0</v>
      </c>
      <c r="C31" s="56">
        <v>45685.0</v>
      </c>
      <c r="D31" s="57" t="s">
        <v>177</v>
      </c>
      <c r="E31" s="57">
        <f t="array" ref="E31">XLOOKUP(D31,RUC!$B$3:$B$79,RUC!$D$3:$D$79)</f>
        <v>10306762465</v>
      </c>
      <c r="G31" s="3">
        <v>98.0</v>
      </c>
      <c r="H31" s="57" t="s">
        <v>47</v>
      </c>
      <c r="I31" s="58">
        <v>8.31</v>
      </c>
      <c r="J31" s="58">
        <v>1.1</v>
      </c>
      <c r="K31" s="59">
        <f t="shared" si="1"/>
        <v>8.21859</v>
      </c>
      <c r="L31" s="60">
        <v>0.132</v>
      </c>
      <c r="M31" s="60">
        <v>0.127</v>
      </c>
      <c r="N31" s="62">
        <v>0.127</v>
      </c>
      <c r="O31" s="60">
        <f t="shared" si="2"/>
        <v>0.127</v>
      </c>
      <c r="P31" s="63">
        <v>90.0</v>
      </c>
      <c r="Q31" s="64">
        <v>90.22</v>
      </c>
      <c r="R31" s="65">
        <v>2756.3</v>
      </c>
      <c r="S31" s="66">
        <f t="shared" si="22"/>
        <v>100</v>
      </c>
      <c r="U31" s="67">
        <v>120.0</v>
      </c>
      <c r="V31" s="67">
        <v>1.1023</v>
      </c>
      <c r="Y31" s="57">
        <v>20.0</v>
      </c>
      <c r="Z31" s="69">
        <f t="shared" si="20"/>
        <v>30</v>
      </c>
      <c r="AA31" s="70">
        <f t="shared" si="3"/>
        <v>50</v>
      </c>
      <c r="AB31" s="71">
        <f t="shared" si="4"/>
        <v>166.8100559</v>
      </c>
      <c r="AC31" s="71">
        <f>+(S31-T31)*V31-'data 1'!$F$4</f>
        <v>30.23</v>
      </c>
      <c r="AD31" s="71">
        <f t="shared" si="5"/>
        <v>0.8439005095</v>
      </c>
      <c r="AE31" s="71">
        <f t="shared" si="6"/>
        <v>-14.885</v>
      </c>
      <c r="AF31" s="71">
        <f t="shared" si="7"/>
        <v>13.10893663</v>
      </c>
      <c r="AG31" s="72">
        <f t="shared" si="21"/>
        <v>46.29783714</v>
      </c>
      <c r="AH31" s="52">
        <f t="shared" si="8"/>
        <v>33.55700083</v>
      </c>
      <c r="AI31" s="73">
        <f t="shared" si="9"/>
        <v>34.61678185</v>
      </c>
      <c r="AJ31" s="73">
        <f t="shared" si="10"/>
        <v>32.20717366</v>
      </c>
      <c r="AK31" s="11"/>
      <c r="AL31" s="51">
        <f t="shared" si="11"/>
        <v>1370.943457</v>
      </c>
    </row>
    <row r="32" ht="15.75" customHeight="1">
      <c r="A32" s="92" t="s">
        <v>178</v>
      </c>
      <c r="B32" s="56">
        <v>45692.0</v>
      </c>
      <c r="C32" s="56">
        <v>45686.0</v>
      </c>
      <c r="D32" s="57" t="s">
        <v>61</v>
      </c>
      <c r="E32" s="57">
        <f t="array" ref="E32">XLOOKUP(D32,RUC!$B$3:$B$79,RUC!$D$3:$D$79)</f>
        <v>20606526599</v>
      </c>
      <c r="G32" s="3">
        <v>90.0</v>
      </c>
      <c r="H32" s="57" t="s">
        <v>47</v>
      </c>
      <c r="I32" s="58">
        <v>7.31</v>
      </c>
      <c r="J32" s="58">
        <v>1.1</v>
      </c>
      <c r="K32" s="59">
        <f t="shared" si="1"/>
        <v>7.22959</v>
      </c>
      <c r="L32" s="60">
        <v>0.207</v>
      </c>
      <c r="M32" s="60">
        <v>0.197</v>
      </c>
      <c r="N32" s="75">
        <v>0.252</v>
      </c>
      <c r="O32" s="60">
        <f t="shared" si="2"/>
        <v>0.225</v>
      </c>
      <c r="P32" s="63">
        <v>90.0</v>
      </c>
      <c r="Q32" s="64">
        <v>90.03</v>
      </c>
      <c r="R32" s="65">
        <v>2756.3</v>
      </c>
      <c r="S32" s="66">
        <f t="shared" si="22"/>
        <v>110</v>
      </c>
      <c r="U32" s="67">
        <v>120.0</v>
      </c>
      <c r="V32" s="67">
        <v>1.1023</v>
      </c>
      <c r="Y32" s="57">
        <v>20.0</v>
      </c>
      <c r="Z32" s="69">
        <f t="shared" si="20"/>
        <v>30</v>
      </c>
      <c r="AA32" s="70">
        <f t="shared" si="3"/>
        <v>50</v>
      </c>
      <c r="AB32" s="71">
        <f t="shared" si="4"/>
        <v>412.0956817</v>
      </c>
      <c r="AC32" s="71">
        <f>+(S32-T32)*V32-'data 1'!$F$4</f>
        <v>41.253</v>
      </c>
      <c r="AD32" s="71">
        <f t="shared" si="5"/>
        <v>0.1804621957</v>
      </c>
      <c r="AE32" s="71">
        <f t="shared" si="6"/>
        <v>-14.885</v>
      </c>
      <c r="AF32" s="71">
        <f t="shared" si="7"/>
        <v>-47.0927869</v>
      </c>
      <c r="AG32" s="72">
        <f t="shared" si="21"/>
        <v>-3.544324707</v>
      </c>
      <c r="AH32" s="52">
        <f t="shared" si="8"/>
        <v>46.19344301</v>
      </c>
      <c r="AI32" s="73">
        <f t="shared" si="9"/>
        <v>54.17108482</v>
      </c>
      <c r="AJ32" s="73">
        <f t="shared" si="10"/>
        <v>50.19353296</v>
      </c>
      <c r="AK32" s="11"/>
      <c r="AL32" s="51">
        <f t="shared" si="11"/>
        <v>2979.28282</v>
      </c>
    </row>
    <row r="33" ht="15.75" customHeight="1">
      <c r="A33" s="92" t="s">
        <v>179</v>
      </c>
      <c r="B33" s="56">
        <v>45694.0</v>
      </c>
      <c r="C33" s="56">
        <v>45686.0</v>
      </c>
      <c r="D33" s="57" t="s">
        <v>61</v>
      </c>
      <c r="E33" s="57">
        <f t="array" ref="E33">XLOOKUP(D33,RUC!$B$3:$B$79,RUC!$D$3:$D$79)</f>
        <v>20606526599</v>
      </c>
      <c r="G33" s="3">
        <v>69.0</v>
      </c>
      <c r="H33" s="57" t="s">
        <v>47</v>
      </c>
      <c r="I33" s="58">
        <v>5.88</v>
      </c>
      <c r="J33" s="58">
        <v>1.2</v>
      </c>
      <c r="K33" s="59">
        <f t="shared" si="1"/>
        <v>5.80944</v>
      </c>
      <c r="L33" s="60">
        <v>0.472</v>
      </c>
      <c r="M33" s="60">
        <v>0.453</v>
      </c>
      <c r="N33" s="62">
        <v>0.453</v>
      </c>
      <c r="O33" s="60">
        <f t="shared" si="2"/>
        <v>0.453</v>
      </c>
      <c r="P33" s="63">
        <v>90.0</v>
      </c>
      <c r="Q33" s="64">
        <v>89.96</v>
      </c>
      <c r="R33" s="65">
        <v>2756.3</v>
      </c>
      <c r="S33" s="66">
        <f t="shared" si="22"/>
        <v>130</v>
      </c>
      <c r="U33" s="67">
        <v>120.0</v>
      </c>
      <c r="V33" s="67">
        <v>1.1023</v>
      </c>
      <c r="Y33" s="57">
        <v>20.0</v>
      </c>
      <c r="Z33" s="69">
        <f t="shared" si="20"/>
        <v>30</v>
      </c>
      <c r="AA33" s="70">
        <f t="shared" si="3"/>
        <v>50</v>
      </c>
      <c r="AB33" s="71">
        <f t="shared" si="4"/>
        <v>986.3595459</v>
      </c>
      <c r="AC33" s="71">
        <f>+(S33-T33)*V33-'data 1'!$F$4</f>
        <v>63.299</v>
      </c>
      <c r="AD33" s="71">
        <f t="shared" si="5"/>
        <v>-0.5486515709</v>
      </c>
      <c r="AE33" s="71">
        <f t="shared" si="6"/>
        <v>-14.885</v>
      </c>
      <c r="AF33" s="71">
        <f t="shared" si="7"/>
        <v>49.67040313</v>
      </c>
      <c r="AG33" s="72">
        <f t="shared" si="21"/>
        <v>114.5357516</v>
      </c>
      <c r="AH33" s="52">
        <f t="shared" si="8"/>
        <v>84.57359376</v>
      </c>
      <c r="AI33" s="73">
        <f t="shared" si="9"/>
        <v>123.4245017</v>
      </c>
      <c r="AJ33" s="73">
        <f t="shared" si="10"/>
        <v>81.20523947</v>
      </c>
      <c r="AK33" s="11"/>
      <c r="AL33" s="51">
        <f t="shared" si="11"/>
        <v>5730.1966</v>
      </c>
    </row>
    <row r="34" ht="15.75" customHeight="1">
      <c r="A34" s="92" t="s">
        <v>180</v>
      </c>
      <c r="B34" s="56">
        <v>45689.0</v>
      </c>
      <c r="C34" s="56">
        <v>45687.0</v>
      </c>
      <c r="D34" s="57" t="s">
        <v>181</v>
      </c>
      <c r="E34" s="57">
        <f t="array" ref="E34">XLOOKUP(D34,RUC!$B$3:$B$79,RUC!$D$3:$D$79)</f>
        <v>20603329059</v>
      </c>
      <c r="G34" s="3">
        <v>16.0</v>
      </c>
      <c r="H34" s="57" t="s">
        <v>71</v>
      </c>
      <c r="I34" s="58">
        <v>1.06</v>
      </c>
      <c r="J34" s="58">
        <v>1.1</v>
      </c>
      <c r="K34" s="59">
        <f t="shared" si="1"/>
        <v>1.04834</v>
      </c>
      <c r="L34" s="60">
        <v>0.455</v>
      </c>
      <c r="M34" s="60">
        <v>0.437</v>
      </c>
      <c r="N34" s="62">
        <v>0.437</v>
      </c>
      <c r="O34" s="60">
        <f t="shared" si="2"/>
        <v>0.437</v>
      </c>
      <c r="P34" s="63">
        <v>90.0</v>
      </c>
      <c r="Q34" s="64">
        <v>89.9</v>
      </c>
      <c r="R34" s="65">
        <v>2787.25</v>
      </c>
      <c r="S34" s="66">
        <f t="shared" ref="S34:S39" si="23">IF((80+ROUNDDOWN(O34,1)*100)&lt;95,95,(80+ROUNDDOWN(O34,1)*100))</f>
        <v>120</v>
      </c>
      <c r="U34" s="67">
        <v>100.0</v>
      </c>
      <c r="V34" s="67">
        <v>1.1023</v>
      </c>
      <c r="Z34" s="69">
        <f t="shared" si="20"/>
        <v>30</v>
      </c>
      <c r="AA34" s="70">
        <f t="shared" si="3"/>
        <v>30</v>
      </c>
      <c r="AB34" s="71">
        <f t="shared" si="4"/>
        <v>999.670827</v>
      </c>
      <c r="AC34" s="71">
        <f>+(S34-T34)*V34-'data 1'!$F$4</f>
        <v>52.276</v>
      </c>
      <c r="AD34" s="71">
        <f t="shared" si="5"/>
        <v>-1.347780832</v>
      </c>
      <c r="AE34" s="71">
        <f t="shared" si="6"/>
        <v>-36.931</v>
      </c>
      <c r="AF34" s="71">
        <f t="shared" si="7"/>
        <v>47.93360313</v>
      </c>
      <c r="AG34" s="72">
        <f t="shared" si="21"/>
        <v>78.9308223</v>
      </c>
      <c r="AH34" s="52">
        <f t="shared" si="8"/>
        <v>14.7021996</v>
      </c>
      <c r="AI34" s="73">
        <f t="shared" si="9"/>
        <v>95.92691207</v>
      </c>
      <c r="AJ34" s="73">
        <f t="shared" si="10"/>
        <v>14.1362811</v>
      </c>
      <c r="AK34" s="11"/>
      <c r="AL34" s="51">
        <f t="shared" si="11"/>
        <v>1047.994915</v>
      </c>
    </row>
    <row r="35" ht="15.75" customHeight="1">
      <c r="A35" s="92" t="s">
        <v>182</v>
      </c>
      <c r="B35" s="56">
        <v>45696.0</v>
      </c>
      <c r="C35" s="56">
        <v>45687.0</v>
      </c>
      <c r="D35" s="57" t="s">
        <v>181</v>
      </c>
      <c r="E35" s="57">
        <f t="array" ref="E35">XLOOKUP(D35,RUC!$B$3:$B$79,RUC!$D$3:$D$79)</f>
        <v>20603329059</v>
      </c>
      <c r="G35" s="3">
        <v>17.0</v>
      </c>
      <c r="H35" s="57" t="s">
        <v>71</v>
      </c>
      <c r="I35" s="58">
        <v>1.13</v>
      </c>
      <c r="J35" s="58">
        <v>1.2</v>
      </c>
      <c r="K35" s="59">
        <f t="shared" si="1"/>
        <v>1.11644</v>
      </c>
      <c r="L35" s="60">
        <v>0.85</v>
      </c>
      <c r="M35" s="60">
        <v>0.816</v>
      </c>
      <c r="N35" s="62">
        <v>0.816</v>
      </c>
      <c r="O35" s="60">
        <f t="shared" si="2"/>
        <v>0.816</v>
      </c>
      <c r="P35" s="63">
        <v>90.0</v>
      </c>
      <c r="Q35" s="64">
        <v>89.74</v>
      </c>
      <c r="R35" s="65">
        <v>2787.25</v>
      </c>
      <c r="S35" s="66">
        <f t="shared" si="23"/>
        <v>160</v>
      </c>
      <c r="U35" s="67">
        <v>100.0</v>
      </c>
      <c r="V35" s="67">
        <v>1.1023</v>
      </c>
      <c r="Z35" s="69">
        <f t="shared" si="20"/>
        <v>30</v>
      </c>
      <c r="AA35" s="70">
        <f t="shared" si="3"/>
        <v>30</v>
      </c>
      <c r="AB35" s="71">
        <f t="shared" si="4"/>
        <v>1965.970128</v>
      </c>
      <c r="AC35" s="71">
        <f>+(S35-T35)*V35-'data 1'!$F$4</f>
        <v>96.368</v>
      </c>
      <c r="AD35" s="71">
        <f t="shared" si="5"/>
        <v>-6.546364042</v>
      </c>
      <c r="AE35" s="71">
        <f t="shared" si="6"/>
        <v>-36.931</v>
      </c>
      <c r="AF35" s="71">
        <f t="shared" si="7"/>
        <v>90.38010909</v>
      </c>
      <c r="AG35" s="72">
        <f t="shared" si="21"/>
        <v>160.2707451</v>
      </c>
      <c r="AH35" s="52">
        <f t="shared" si="8"/>
        <v>29.19775421</v>
      </c>
      <c r="AI35" s="73">
        <f t="shared" si="9"/>
        <v>178.885182</v>
      </c>
      <c r="AJ35" s="73">
        <f t="shared" si="10"/>
        <v>28.11105375</v>
      </c>
      <c r="AK35" s="11"/>
      <c r="AL35" s="51">
        <f t="shared" si="11"/>
        <v>2194.887689</v>
      </c>
    </row>
    <row r="36" ht="15.75" customHeight="1">
      <c r="A36" s="92" t="s">
        <v>183</v>
      </c>
      <c r="B36" s="56">
        <v>45696.0</v>
      </c>
      <c r="C36" s="56">
        <v>45687.0</v>
      </c>
      <c r="D36" s="57" t="s">
        <v>181</v>
      </c>
      <c r="E36" s="57">
        <f t="array" ref="E36">XLOOKUP(D36,RUC!$B$3:$B$79,RUC!$D$3:$D$79)</f>
        <v>20603329059</v>
      </c>
      <c r="G36" s="3">
        <v>18.0</v>
      </c>
      <c r="H36" s="57" t="s">
        <v>71</v>
      </c>
      <c r="I36" s="58">
        <v>1.21</v>
      </c>
      <c r="J36" s="58">
        <v>1.3</v>
      </c>
      <c r="K36" s="59">
        <f t="shared" si="1"/>
        <v>1.19427</v>
      </c>
      <c r="L36" s="60">
        <v>0.529</v>
      </c>
      <c r="M36" s="60">
        <v>0.507</v>
      </c>
      <c r="N36" s="62">
        <v>0.507</v>
      </c>
      <c r="O36" s="60">
        <f t="shared" si="2"/>
        <v>0.507</v>
      </c>
      <c r="P36" s="63">
        <v>90.0</v>
      </c>
      <c r="Q36" s="64">
        <v>89.91</v>
      </c>
      <c r="R36" s="65">
        <v>2787.25</v>
      </c>
      <c r="S36" s="66">
        <f t="shared" si="23"/>
        <v>130</v>
      </c>
      <c r="U36" s="67">
        <v>100.0</v>
      </c>
      <c r="V36" s="67">
        <v>1.1023</v>
      </c>
      <c r="Z36" s="69">
        <f t="shared" si="20"/>
        <v>30</v>
      </c>
      <c r="AA36" s="70">
        <f t="shared" si="3"/>
        <v>30</v>
      </c>
      <c r="AB36" s="71">
        <f t="shared" si="4"/>
        <v>1175.263635</v>
      </c>
      <c r="AC36" s="71">
        <f>+(S36-T36)*V36-'data 1'!$F$4</f>
        <v>63.299</v>
      </c>
      <c r="AD36" s="71">
        <f t="shared" si="5"/>
        <v>-1.410282317</v>
      </c>
      <c r="AE36" s="71">
        <f t="shared" si="6"/>
        <v>-36.931</v>
      </c>
      <c r="AF36" s="71">
        <f t="shared" si="7"/>
        <v>58.59203168</v>
      </c>
      <c r="AG36" s="72">
        <f t="shared" si="21"/>
        <v>100.5497494</v>
      </c>
      <c r="AH36" s="52">
        <f t="shared" si="8"/>
        <v>19.47490115</v>
      </c>
      <c r="AI36" s="73">
        <f t="shared" si="9"/>
        <v>111.5406179</v>
      </c>
      <c r="AJ36" s="73">
        <f t="shared" si="10"/>
        <v>18.68366454</v>
      </c>
      <c r="AK36" s="11"/>
      <c r="AL36" s="51">
        <f t="shared" si="11"/>
        <v>1403.582101</v>
      </c>
    </row>
    <row r="37" ht="15.75" customHeight="1">
      <c r="A37" s="92" t="s">
        <v>184</v>
      </c>
      <c r="B37" s="56">
        <v>45696.0</v>
      </c>
      <c r="C37" s="56">
        <v>45687.0</v>
      </c>
      <c r="D37" s="57" t="s">
        <v>181</v>
      </c>
      <c r="E37" s="57">
        <f t="array" ref="E37">XLOOKUP(D37,RUC!$B$3:$B$79,RUC!$D$3:$D$79)</f>
        <v>20603329059</v>
      </c>
      <c r="G37" s="3">
        <v>17.0</v>
      </c>
      <c r="H37" s="57" t="s">
        <v>71</v>
      </c>
      <c r="I37" s="58">
        <v>1.12</v>
      </c>
      <c r="J37" s="58">
        <v>1.4</v>
      </c>
      <c r="K37" s="59">
        <f t="shared" si="1"/>
        <v>1.10432</v>
      </c>
      <c r="L37" s="60">
        <v>0.936</v>
      </c>
      <c r="M37" s="60">
        <v>0.899</v>
      </c>
      <c r="N37" s="75">
        <v>0.977</v>
      </c>
      <c r="O37" s="60">
        <f t="shared" si="2"/>
        <v>0.938</v>
      </c>
      <c r="P37" s="63">
        <v>90.0</v>
      </c>
      <c r="Q37" s="64">
        <v>89.88</v>
      </c>
      <c r="R37" s="65">
        <v>2787.25</v>
      </c>
      <c r="S37" s="66">
        <f t="shared" si="23"/>
        <v>170</v>
      </c>
      <c r="U37" s="67">
        <v>100.0</v>
      </c>
      <c r="V37" s="67">
        <v>1.1023</v>
      </c>
      <c r="Z37" s="69">
        <f t="shared" si="20"/>
        <v>30</v>
      </c>
      <c r="AA37" s="70">
        <f t="shared" si="3"/>
        <v>30</v>
      </c>
      <c r="AB37" s="71">
        <f t="shared" si="4"/>
        <v>2280.191821</v>
      </c>
      <c r="AC37" s="71">
        <f>+(S37-T37)*V37-'data 1'!$F$4</f>
        <v>107.391</v>
      </c>
      <c r="AD37" s="71">
        <f t="shared" si="5"/>
        <v>-3.327093254</v>
      </c>
      <c r="AE37" s="71">
        <f t="shared" si="6"/>
        <v>-36.931</v>
      </c>
      <c r="AF37" s="71">
        <f t="shared" si="7"/>
        <v>-5.324771041</v>
      </c>
      <c r="AG37" s="72">
        <f t="shared" si="21"/>
        <v>78.8081357</v>
      </c>
      <c r="AH37" s="52">
        <f t="shared" si="8"/>
        <v>31.85245563</v>
      </c>
      <c r="AI37" s="73">
        <f t="shared" si="9"/>
        <v>197.2914609</v>
      </c>
      <c r="AJ37" s="73">
        <f t="shared" si="10"/>
        <v>31.96313394</v>
      </c>
      <c r="AK37" s="11"/>
      <c r="AL37" s="51">
        <f t="shared" si="11"/>
        <v>2518.061432</v>
      </c>
    </row>
    <row r="38" ht="15.75" customHeight="1">
      <c r="A38" s="92" t="s">
        <v>185</v>
      </c>
      <c r="B38" s="56">
        <v>45696.0</v>
      </c>
      <c r="C38" s="56">
        <v>45687.0</v>
      </c>
      <c r="D38" s="57" t="s">
        <v>181</v>
      </c>
      <c r="E38" s="57">
        <f t="array" ref="E38">XLOOKUP(D38,RUC!$B$3:$B$79,RUC!$D$3:$D$79)</f>
        <v>20603329059</v>
      </c>
      <c r="G38" s="3">
        <v>19.0</v>
      </c>
      <c r="H38" s="57" t="s">
        <v>71</v>
      </c>
      <c r="I38" s="58">
        <v>1.32</v>
      </c>
      <c r="J38" s="58">
        <v>1.5</v>
      </c>
      <c r="K38" s="59">
        <f t="shared" si="1"/>
        <v>1.3002</v>
      </c>
      <c r="L38" s="60">
        <v>0.579</v>
      </c>
      <c r="M38" s="60">
        <v>0.556</v>
      </c>
      <c r="N38" s="75">
        <v>0.776</v>
      </c>
      <c r="O38" s="60">
        <f t="shared" si="2"/>
        <v>0.666</v>
      </c>
      <c r="P38" s="63">
        <v>90.0</v>
      </c>
      <c r="Q38" s="64">
        <v>89.78</v>
      </c>
      <c r="R38" s="65">
        <v>2787.25</v>
      </c>
      <c r="S38" s="66">
        <f t="shared" si="23"/>
        <v>140</v>
      </c>
      <c r="U38" s="67">
        <v>100.0</v>
      </c>
      <c r="V38" s="67">
        <v>1.1023</v>
      </c>
      <c r="Z38" s="69">
        <f t="shared" si="20"/>
        <v>30</v>
      </c>
      <c r="AA38" s="70">
        <f t="shared" si="3"/>
        <v>30</v>
      </c>
      <c r="AB38" s="71">
        <f t="shared" si="4"/>
        <v>1588.125112</v>
      </c>
      <c r="AC38" s="71">
        <f>+(S38-T38)*V38-'data 1'!$F$4</f>
        <v>74.322</v>
      </c>
      <c r="AD38" s="71">
        <f t="shared" si="5"/>
        <v>-3.773193899</v>
      </c>
      <c r="AE38" s="71">
        <f t="shared" si="6"/>
        <v>-36.931</v>
      </c>
      <c r="AF38" s="71">
        <f t="shared" si="7"/>
        <v>-231.3698328</v>
      </c>
      <c r="AG38" s="72">
        <f t="shared" si="21"/>
        <v>-180.7520267</v>
      </c>
      <c r="AH38" s="52">
        <f t="shared" si="8"/>
        <v>23.17274037</v>
      </c>
      <c r="AI38" s="73">
        <f t="shared" si="9"/>
        <v>121.9066904</v>
      </c>
      <c r="AJ38" s="73">
        <f t="shared" si="10"/>
        <v>26.71997021</v>
      </c>
      <c r="AK38" s="11"/>
      <c r="AL38" s="51">
        <f t="shared" si="11"/>
        <v>2064.88027</v>
      </c>
    </row>
    <row r="39" ht="15.75" customHeight="1">
      <c r="A39" s="92" t="s">
        <v>186</v>
      </c>
      <c r="B39" s="56">
        <v>45696.0</v>
      </c>
      <c r="C39" s="56">
        <v>45687.0</v>
      </c>
      <c r="D39" s="57" t="s">
        <v>181</v>
      </c>
      <c r="E39" s="57">
        <f t="array" ref="E39">XLOOKUP(D39,RUC!$B$3:$B$79,RUC!$D$3:$D$79)</f>
        <v>20603329059</v>
      </c>
      <c r="G39" s="3">
        <v>17.0</v>
      </c>
      <c r="H39" s="57" t="s">
        <v>71</v>
      </c>
      <c r="I39" s="58">
        <v>1.2</v>
      </c>
      <c r="J39" s="58">
        <v>1.6</v>
      </c>
      <c r="K39" s="59">
        <f t="shared" si="1"/>
        <v>1.1808</v>
      </c>
      <c r="L39" s="60">
        <v>0.527</v>
      </c>
      <c r="M39" s="60">
        <v>0.506</v>
      </c>
      <c r="N39" s="75">
        <v>0.57</v>
      </c>
      <c r="O39" s="60">
        <f t="shared" si="2"/>
        <v>0.538</v>
      </c>
      <c r="P39" s="63">
        <v>90.0</v>
      </c>
      <c r="Q39" s="64">
        <v>89.97</v>
      </c>
      <c r="R39" s="65">
        <v>2787.25</v>
      </c>
      <c r="S39" s="66">
        <f t="shared" si="23"/>
        <v>130</v>
      </c>
      <c r="U39" s="67">
        <v>100.0</v>
      </c>
      <c r="V39" s="67">
        <v>1.1023</v>
      </c>
      <c r="Z39" s="69">
        <f t="shared" si="20"/>
        <v>30</v>
      </c>
      <c r="AA39" s="70">
        <f t="shared" si="3"/>
        <v>30</v>
      </c>
      <c r="AB39" s="71">
        <f t="shared" si="4"/>
        <v>1257.907778</v>
      </c>
      <c r="AC39" s="71">
        <f>+(S39-T39)*V39-'data 1'!$F$4</f>
        <v>63.299</v>
      </c>
      <c r="AD39" s="71">
        <f t="shared" si="5"/>
        <v>-0.4683168122</v>
      </c>
      <c r="AE39" s="71">
        <f t="shared" si="6"/>
        <v>-36.931</v>
      </c>
      <c r="AF39" s="71">
        <f t="shared" si="7"/>
        <v>-29.31556607</v>
      </c>
      <c r="AG39" s="72">
        <f t="shared" si="21"/>
        <v>13.58411712</v>
      </c>
      <c r="AH39" s="52">
        <f t="shared" si="8"/>
        <v>19.19524897</v>
      </c>
      <c r="AI39" s="73">
        <f t="shared" si="9"/>
        <v>111.1930676</v>
      </c>
      <c r="AJ39" s="73">
        <f t="shared" si="10"/>
        <v>19.60244296</v>
      </c>
      <c r="AK39" s="11"/>
      <c r="AL39" s="51">
        <f t="shared" si="11"/>
        <v>1485.337504</v>
      </c>
    </row>
    <row r="40" ht="15.75" customHeight="1">
      <c r="A40" s="92" t="s">
        <v>187</v>
      </c>
      <c r="B40" s="56">
        <v>45691.0</v>
      </c>
      <c r="C40" s="56">
        <v>45687.0</v>
      </c>
      <c r="D40" s="57" t="s">
        <v>45</v>
      </c>
      <c r="E40" s="57">
        <f t="array" ref="E40">XLOOKUP(D40,RUC!$B$3:$B$79,RUC!$D$3:$D$79)</f>
        <v>10416085884</v>
      </c>
      <c r="G40" s="3" t="s">
        <v>46</v>
      </c>
      <c r="H40" s="57" t="s">
        <v>47</v>
      </c>
      <c r="I40" s="57">
        <v>32.83</v>
      </c>
      <c r="J40" s="57">
        <v>8.6</v>
      </c>
      <c r="K40" s="59">
        <f t="shared" si="1"/>
        <v>30.00662</v>
      </c>
      <c r="L40" s="60">
        <v>0.118</v>
      </c>
      <c r="M40" s="60">
        <v>0.108</v>
      </c>
      <c r="N40" s="62">
        <v>0.111</v>
      </c>
      <c r="O40" s="60">
        <f t="shared" si="2"/>
        <v>0.11</v>
      </c>
      <c r="P40" s="63">
        <v>85.0</v>
      </c>
      <c r="Q40" s="64">
        <v>90.33</v>
      </c>
      <c r="R40" s="65">
        <v>2756.3</v>
      </c>
      <c r="S40" s="76">
        <v>110.0</v>
      </c>
      <c r="U40" s="67">
        <v>90.0</v>
      </c>
      <c r="V40" s="67">
        <v>1.1023</v>
      </c>
      <c r="Z40" s="69">
        <f t="shared" si="20"/>
        <v>30</v>
      </c>
      <c r="AA40" s="70">
        <f t="shared" si="3"/>
        <v>30</v>
      </c>
      <c r="AB40" s="71">
        <f t="shared" si="4"/>
        <v>120.4803428</v>
      </c>
      <c r="AC40" s="71">
        <f>+(S40-T40)*V40-'data 1'!$F$4</f>
        <v>41.253</v>
      </c>
      <c r="AD40" s="71">
        <f t="shared" si="5"/>
        <v>18.48493962</v>
      </c>
      <c r="AE40" s="71">
        <f t="shared" si="6"/>
        <v>-36.931</v>
      </c>
      <c r="AF40" s="71">
        <f t="shared" si="7"/>
        <v>21.23884118</v>
      </c>
      <c r="AG40" s="72">
        <f t="shared" si="21"/>
        <v>61.0457808</v>
      </c>
      <c r="AH40" s="52">
        <f t="shared" si="8"/>
        <v>109.6579607</v>
      </c>
      <c r="AI40" s="73">
        <f t="shared" si="9"/>
        <v>27.45822993</v>
      </c>
      <c r="AJ40" s="73">
        <f t="shared" si="10"/>
        <v>96.19173511</v>
      </c>
      <c r="AK40" s="11"/>
      <c r="AL40" s="51">
        <f t="shared" si="11"/>
        <v>3615.207864</v>
      </c>
    </row>
    <row r="41" ht="15.75" customHeight="1">
      <c r="A41" s="92" t="s">
        <v>188</v>
      </c>
      <c r="B41" s="56">
        <v>45691.0</v>
      </c>
      <c r="C41" s="56">
        <v>45687.0</v>
      </c>
      <c r="D41" s="57" t="s">
        <v>45</v>
      </c>
      <c r="E41" s="57">
        <f t="array" ref="E41">XLOOKUP(D41,RUC!$B$3:$B$79,RUC!$D$3:$D$79)</f>
        <v>10416085884</v>
      </c>
      <c r="G41" s="3" t="s">
        <v>46</v>
      </c>
      <c r="H41" s="57" t="s">
        <v>47</v>
      </c>
      <c r="I41" s="58">
        <v>24.64</v>
      </c>
      <c r="J41" s="58">
        <v>4.75</v>
      </c>
      <c r="K41" s="59">
        <f t="shared" si="1"/>
        <v>23.4696</v>
      </c>
      <c r="L41" s="60">
        <v>0.512</v>
      </c>
      <c r="M41" s="60">
        <v>0.491</v>
      </c>
      <c r="N41" s="62">
        <v>0.522</v>
      </c>
      <c r="O41" s="60">
        <f t="shared" si="2"/>
        <v>0.507</v>
      </c>
      <c r="P41" s="63">
        <v>90.0</v>
      </c>
      <c r="Q41" s="64">
        <v>89.98</v>
      </c>
      <c r="R41" s="65">
        <v>2756.3</v>
      </c>
      <c r="S41" s="76">
        <v>120.0</v>
      </c>
      <c r="U41" s="67">
        <v>90.0</v>
      </c>
      <c r="V41" s="67">
        <v>1.1023</v>
      </c>
      <c r="Z41" s="69">
        <v>15.0</v>
      </c>
      <c r="AA41" s="70">
        <f t="shared" si="3"/>
        <v>15</v>
      </c>
      <c r="AB41" s="71">
        <f t="shared" si="4"/>
        <v>1192.283714</v>
      </c>
      <c r="AC41" s="71">
        <f>+(S41-T41)*V41-'data 1'!$F$4</f>
        <v>52.276</v>
      </c>
      <c r="AD41" s="71">
        <f t="shared" si="5"/>
        <v>-0.300959999</v>
      </c>
      <c r="AE41" s="71">
        <f t="shared" si="6"/>
        <v>-53.4655</v>
      </c>
      <c r="AF41" s="71">
        <f t="shared" si="7"/>
        <v>13.22284214</v>
      </c>
      <c r="AG41" s="72">
        <f t="shared" si="21"/>
        <v>28.73238214</v>
      </c>
      <c r="AH41" s="52">
        <f t="shared" si="8"/>
        <v>370.7069318</v>
      </c>
      <c r="AI41" s="73">
        <f t="shared" si="9"/>
        <v>118.6791616</v>
      </c>
      <c r="AJ41" s="73">
        <f t="shared" si="10"/>
        <v>367.1683399</v>
      </c>
      <c r="AK41" s="11"/>
      <c r="AL41" s="51">
        <f t="shared" si="11"/>
        <v>27982.42186</v>
      </c>
    </row>
    <row r="42" ht="15.75" customHeight="1">
      <c r="A42" s="92" t="s">
        <v>189</v>
      </c>
      <c r="B42" s="56">
        <v>45690.0</v>
      </c>
      <c r="C42" s="56">
        <v>45687.0</v>
      </c>
      <c r="D42" s="57" t="s">
        <v>61</v>
      </c>
      <c r="E42" s="57">
        <f t="array" ref="E42">XLOOKUP(D42,RUC!$B$3:$B$79,RUC!$D$3:$D$79)</f>
        <v>20606526599</v>
      </c>
      <c r="G42" s="3">
        <v>90.0</v>
      </c>
      <c r="H42" s="57" t="s">
        <v>47</v>
      </c>
      <c r="I42" s="58">
        <v>7.51</v>
      </c>
      <c r="J42" s="58">
        <v>1.6</v>
      </c>
      <c r="K42" s="59">
        <f t="shared" si="1"/>
        <v>7.38984</v>
      </c>
      <c r="L42" s="60">
        <v>0.187</v>
      </c>
      <c r="M42" s="60">
        <v>0.177</v>
      </c>
      <c r="N42" s="62">
        <v>0.177</v>
      </c>
      <c r="O42" s="60">
        <f t="shared" si="2"/>
        <v>0.177</v>
      </c>
      <c r="P42" s="63">
        <v>90.0</v>
      </c>
      <c r="Q42" s="64">
        <v>90.23</v>
      </c>
      <c r="R42" s="65">
        <v>2787.25</v>
      </c>
      <c r="S42" s="66">
        <f t="shared" ref="S42:S43" si="24">IF((80+ROUNDDOWN(O42,1)*100)&lt;95,95,(80+ROUNDDOWN(O42,1)*100))</f>
        <v>95</v>
      </c>
      <c r="U42" s="67">
        <v>120.0</v>
      </c>
      <c r="V42" s="67">
        <v>1.1023</v>
      </c>
      <c r="Z42" s="69">
        <f t="shared" ref="Z42:Z45" si="25">IF(IF(D42="UNTUCA",IF(+((W42-3)*1.5+(X42-3)*3.1)&gt;0,+((W42-3)*1.5+(X42-3)*3.1),0),IF(+((W42-3)*1.5+(X42-3)*3.1)&gt;0,+((W42-3)*1.5+(X42-3)*3.1),0))&lt;30,30,IF(D42="UNTUCA",IF(+((W42-3)*1.5+(X42-3)*3.1)&gt;0,+((W42-3)*1.5+(X42-3)*3.1),0),IF(+((W42-3)*1.5+(X42-3)*3.1)&gt;0,+((W42-3)*1.5+(X42-3)*3.1),0)))</f>
        <v>30</v>
      </c>
      <c r="AA42" s="70">
        <f t="shared" si="3"/>
        <v>30</v>
      </c>
      <c r="AB42" s="71">
        <f t="shared" si="4"/>
        <v>330.5719712</v>
      </c>
      <c r="AC42" s="71">
        <f>+(S42-T42)*V42-'data 1'!$F$4</f>
        <v>24.7185</v>
      </c>
      <c r="AD42" s="71">
        <f t="shared" si="5"/>
        <v>1.264541171</v>
      </c>
      <c r="AE42" s="71">
        <f t="shared" si="6"/>
        <v>-36.931</v>
      </c>
      <c r="AF42" s="71">
        <f t="shared" si="7"/>
        <v>26.5286096</v>
      </c>
      <c r="AG42" s="72">
        <f t="shared" si="21"/>
        <v>32.58065077</v>
      </c>
      <c r="AH42" s="52">
        <f t="shared" si="8"/>
        <v>42.7500541</v>
      </c>
      <c r="AI42" s="73">
        <f t="shared" si="9"/>
        <v>43.28944929</v>
      </c>
      <c r="AJ42" s="73">
        <f t="shared" si="10"/>
        <v>40.36081065</v>
      </c>
      <c r="AK42" s="11"/>
      <c r="AL42" s="51">
        <f t="shared" si="11"/>
        <v>2442.873976</v>
      </c>
    </row>
    <row r="43" ht="15.75" customHeight="1">
      <c r="A43" s="92" t="s">
        <v>190</v>
      </c>
      <c r="B43" s="56">
        <v>45690.0</v>
      </c>
      <c r="C43" s="56">
        <v>45687.0</v>
      </c>
      <c r="D43" s="2" t="s">
        <v>61</v>
      </c>
      <c r="E43" s="57">
        <f t="array" ref="E43">XLOOKUP(D43,RUC!$B$3:$B$79,RUC!$D$3:$D$79)</f>
        <v>20606526599</v>
      </c>
      <c r="G43" s="3">
        <v>70.0</v>
      </c>
      <c r="H43" s="57" t="s">
        <v>47</v>
      </c>
      <c r="I43" s="58">
        <v>5.54</v>
      </c>
      <c r="J43" s="58">
        <v>1.5</v>
      </c>
      <c r="K43" s="59">
        <f t="shared" si="1"/>
        <v>5.4569</v>
      </c>
      <c r="L43" s="60">
        <v>0.323</v>
      </c>
      <c r="M43" s="60">
        <v>0.31</v>
      </c>
      <c r="N43" s="62">
        <v>0.31</v>
      </c>
      <c r="O43" s="60">
        <f t="shared" si="2"/>
        <v>0.31</v>
      </c>
      <c r="P43" s="63">
        <v>90.0</v>
      </c>
      <c r="Q43" s="64">
        <v>90.1</v>
      </c>
      <c r="R43" s="65">
        <v>2787.25</v>
      </c>
      <c r="S43" s="66">
        <f t="shared" si="24"/>
        <v>110</v>
      </c>
      <c r="U43" s="67">
        <v>120.0</v>
      </c>
      <c r="V43" s="67">
        <v>1.1023</v>
      </c>
      <c r="Z43" s="69">
        <f t="shared" si="25"/>
        <v>30</v>
      </c>
      <c r="AA43" s="70">
        <f t="shared" si="3"/>
        <v>30</v>
      </c>
      <c r="AB43" s="71">
        <f t="shared" si="4"/>
        <v>665.9685993</v>
      </c>
      <c r="AC43" s="71">
        <f>+(S43-T43)*V43-'data 1'!$F$4</f>
        <v>41.253</v>
      </c>
      <c r="AD43" s="71">
        <f t="shared" si="5"/>
        <v>0.949655425</v>
      </c>
      <c r="AE43" s="71">
        <f t="shared" si="6"/>
        <v>-36.931</v>
      </c>
      <c r="AF43" s="71">
        <f t="shared" si="7"/>
        <v>34.43750462</v>
      </c>
      <c r="AG43" s="72">
        <f t="shared" si="21"/>
        <v>56.70916005</v>
      </c>
      <c r="AH43" s="52">
        <f t="shared" si="8"/>
        <v>54.44805592</v>
      </c>
      <c r="AI43" s="73">
        <f t="shared" si="9"/>
        <v>74.66495546</v>
      </c>
      <c r="AJ43" s="73">
        <f t="shared" si="10"/>
        <v>52.1986496</v>
      </c>
      <c r="AK43" s="11"/>
      <c r="AL43" s="51">
        <f t="shared" si="11"/>
        <v>3634.12405</v>
      </c>
    </row>
    <row r="44" ht="15.75" customHeight="1">
      <c r="A44" s="92" t="s">
        <v>191</v>
      </c>
      <c r="B44" s="56"/>
      <c r="C44" s="56"/>
      <c r="G44" s="3"/>
      <c r="I44" s="58"/>
      <c r="J44" s="58"/>
      <c r="K44" s="59"/>
      <c r="L44" s="60"/>
      <c r="M44" s="60"/>
      <c r="N44" s="62"/>
      <c r="O44" s="60">
        <f t="shared" si="2"/>
        <v>0</v>
      </c>
      <c r="P44" s="63">
        <v>90.0</v>
      </c>
      <c r="Q44" s="64"/>
      <c r="R44" s="65">
        <v>2812.05</v>
      </c>
      <c r="S44" s="66">
        <f t="shared" ref="S44:S45" si="26">IF((90+ROUNDDOWN(O44,1)*100)&lt;95,95,(90+ROUNDDOWN(O44,1)*100))</f>
        <v>95</v>
      </c>
      <c r="U44" s="67">
        <v>120.0</v>
      </c>
      <c r="V44" s="67">
        <v>1.1023</v>
      </c>
      <c r="Z44" s="69">
        <f t="shared" si="25"/>
        <v>30</v>
      </c>
      <c r="AA44" s="70">
        <f t="shared" si="3"/>
        <v>30</v>
      </c>
      <c r="AB44" s="71">
        <f t="shared" si="4"/>
        <v>-137.7875</v>
      </c>
      <c r="AC44" s="71">
        <f>+(S44-T44)*V44-'data 1'!$F$4</f>
        <v>24.7185</v>
      </c>
      <c r="AD44" s="71">
        <f t="shared" si="5"/>
        <v>0</v>
      </c>
      <c r="AE44" s="71">
        <f t="shared" si="6"/>
        <v>-36.931</v>
      </c>
      <c r="AF44" s="71">
        <f t="shared" si="7"/>
        <v>0</v>
      </c>
      <c r="AG44" s="72">
        <f t="shared" si="21"/>
        <v>4.7875</v>
      </c>
      <c r="AH44" s="52">
        <f t="shared" si="8"/>
        <v>0</v>
      </c>
      <c r="AI44" s="73">
        <f t="shared" si="9"/>
        <v>0</v>
      </c>
      <c r="AJ44" s="73">
        <f t="shared" si="10"/>
        <v>0</v>
      </c>
      <c r="AK44" s="11"/>
      <c r="AL44" s="51">
        <f t="shared" si="11"/>
        <v>0</v>
      </c>
    </row>
    <row r="45" ht="15.75" customHeight="1">
      <c r="A45" s="92" t="s">
        <v>192</v>
      </c>
      <c r="B45" s="56"/>
      <c r="C45" s="56"/>
      <c r="D45" s="2"/>
      <c r="G45" s="3"/>
      <c r="I45" s="58"/>
      <c r="J45" s="58"/>
      <c r="K45" s="59"/>
      <c r="L45" s="60"/>
      <c r="M45" s="60"/>
      <c r="N45" s="62"/>
      <c r="O45" s="60">
        <f t="shared" si="2"/>
        <v>0</v>
      </c>
      <c r="P45" s="63">
        <v>90.0</v>
      </c>
      <c r="Q45" s="64"/>
      <c r="R45" s="65">
        <v>2812.05</v>
      </c>
      <c r="S45" s="66">
        <f t="shared" si="26"/>
        <v>95</v>
      </c>
      <c r="U45" s="67">
        <v>120.0</v>
      </c>
      <c r="V45" s="67">
        <v>1.1023</v>
      </c>
      <c r="Z45" s="69">
        <f t="shared" si="25"/>
        <v>30</v>
      </c>
      <c r="AA45" s="70">
        <f t="shared" si="3"/>
        <v>30</v>
      </c>
      <c r="AB45" s="71">
        <f t="shared" si="4"/>
        <v>-137.7875</v>
      </c>
      <c r="AC45" s="71">
        <f>+(S45-T45)*V45-'data 1'!$F$4</f>
        <v>24.7185</v>
      </c>
      <c r="AD45" s="71">
        <f t="shared" si="5"/>
        <v>0</v>
      </c>
      <c r="AE45" s="71">
        <f t="shared" si="6"/>
        <v>-36.931</v>
      </c>
      <c r="AF45" s="71">
        <f t="shared" si="7"/>
        <v>0</v>
      </c>
      <c r="AG45" s="72">
        <f t="shared" si="21"/>
        <v>4.7875</v>
      </c>
      <c r="AH45" s="52">
        <f t="shared" si="8"/>
        <v>0</v>
      </c>
      <c r="AI45" s="73">
        <f t="shared" si="9"/>
        <v>0</v>
      </c>
      <c r="AJ45" s="73">
        <f t="shared" si="10"/>
        <v>0</v>
      </c>
      <c r="AK45" s="11"/>
      <c r="AL45" s="51">
        <f t="shared" si="11"/>
        <v>0</v>
      </c>
    </row>
    <row r="46" ht="15.75" customHeight="1">
      <c r="A46" s="92" t="s">
        <v>193</v>
      </c>
      <c r="B46" s="56">
        <v>45692.0</v>
      </c>
      <c r="C46" s="56">
        <v>45689.0</v>
      </c>
      <c r="D46" s="57" t="s">
        <v>74</v>
      </c>
      <c r="E46" s="57">
        <f t="array" ref="E46">XLOOKUP(D46,RUC!$B$3:$B$79,RUC!$D$3:$D$79)</f>
        <v>10082235774</v>
      </c>
      <c r="G46" s="3">
        <v>46.0</v>
      </c>
      <c r="H46" s="2" t="s">
        <v>47</v>
      </c>
      <c r="I46" s="58">
        <v>4.62</v>
      </c>
      <c r="J46" s="58">
        <v>1.6</v>
      </c>
      <c r="K46" s="59">
        <f t="shared" ref="K46:K90" si="27">+I46-(I46*(J46/100))</f>
        <v>4.54608</v>
      </c>
      <c r="L46" s="60">
        <v>0.4</v>
      </c>
      <c r="M46" s="60">
        <v>0.394</v>
      </c>
      <c r="N46" s="62">
        <v>0.394</v>
      </c>
      <c r="O46" s="60">
        <f t="shared" si="2"/>
        <v>0.394</v>
      </c>
      <c r="P46" s="63">
        <v>90.0</v>
      </c>
      <c r="Q46" s="64">
        <v>89.89</v>
      </c>
      <c r="R46" s="65">
        <v>2812.05</v>
      </c>
      <c r="S46" s="76">
        <v>110.0</v>
      </c>
      <c r="U46" s="87">
        <v>80.0</v>
      </c>
      <c r="V46" s="67">
        <v>1.1023</v>
      </c>
      <c r="Z46" s="77">
        <v>10.0</v>
      </c>
      <c r="AA46" s="70">
        <f t="shared" si="3"/>
        <v>10</v>
      </c>
      <c r="AB46" s="71">
        <f t="shared" si="4"/>
        <v>935.6156283</v>
      </c>
      <c r="AC46" s="71">
        <f>+(S46-T46)*V46-'data 1'!$F$4</f>
        <v>41.253</v>
      </c>
      <c r="AD46" s="71">
        <f t="shared" si="5"/>
        <v>-1.325077035</v>
      </c>
      <c r="AE46" s="71">
        <f t="shared" si="6"/>
        <v>-58.977</v>
      </c>
      <c r="AF46" s="71">
        <f t="shared" si="7"/>
        <v>16.24243291</v>
      </c>
      <c r="AG46" s="72">
        <f t="shared" ref="AG46:AG55" si="28">+IF(D46="RONALD WILLIAN GARIBAY ESCUDERO",AC46+AD46+AE46+AF46+70,AC46+AD46+AE46+AF46)+70</f>
        <v>67.19335587</v>
      </c>
      <c r="AH46" s="52">
        <f t="shared" si="8"/>
        <v>56.04250187</v>
      </c>
      <c r="AI46" s="73">
        <f t="shared" si="9"/>
        <v>66.56580483</v>
      </c>
      <c r="AJ46" s="73">
        <f t="shared" si="10"/>
        <v>55.26941585</v>
      </c>
      <c r="AK46" s="11"/>
      <c r="AL46" s="51">
        <f t="shared" si="11"/>
        <v>4253.383496</v>
      </c>
    </row>
    <row r="47" ht="15.75" customHeight="1">
      <c r="A47" s="92" t="s">
        <v>194</v>
      </c>
      <c r="B47" s="56">
        <v>45692.0</v>
      </c>
      <c r="C47" s="56">
        <v>45689.0</v>
      </c>
      <c r="D47" s="57" t="s">
        <v>74</v>
      </c>
      <c r="E47" s="57">
        <f t="array" ref="E47">XLOOKUP(D47,RUC!$B$3:$B$79,RUC!$D$3:$D$79)</f>
        <v>10082235774</v>
      </c>
      <c r="G47" s="3">
        <v>44.0</v>
      </c>
      <c r="H47" s="57" t="s">
        <v>47</v>
      </c>
      <c r="I47" s="58">
        <v>4.34</v>
      </c>
      <c r="J47" s="58">
        <v>1.7</v>
      </c>
      <c r="K47" s="59">
        <f t="shared" si="27"/>
        <v>4.26622</v>
      </c>
      <c r="L47" s="60">
        <v>0.195</v>
      </c>
      <c r="M47" s="60">
        <v>0.192</v>
      </c>
      <c r="N47" s="62">
        <v>0.192</v>
      </c>
      <c r="O47" s="60">
        <f t="shared" si="2"/>
        <v>0.192</v>
      </c>
      <c r="P47" s="63">
        <v>85.0</v>
      </c>
      <c r="Q47" s="64">
        <v>90.22</v>
      </c>
      <c r="R47" s="65">
        <v>2812.05</v>
      </c>
      <c r="S47" s="76">
        <v>95.0</v>
      </c>
      <c r="U47" s="87">
        <v>80.0</v>
      </c>
      <c r="V47" s="67">
        <v>1.1023</v>
      </c>
      <c r="Z47" s="77">
        <v>10.0</v>
      </c>
      <c r="AA47" s="70">
        <f t="shared" si="3"/>
        <v>10</v>
      </c>
      <c r="AB47" s="71">
        <f t="shared" si="4"/>
        <v>375.7416183</v>
      </c>
      <c r="AC47" s="71">
        <f>+(S47-T47)*V47-'data 1'!$F$4</f>
        <v>24.7185</v>
      </c>
      <c r="AD47" s="71">
        <f t="shared" si="5"/>
        <v>30.65445258</v>
      </c>
      <c r="AE47" s="71">
        <f t="shared" si="6"/>
        <v>-58.977</v>
      </c>
      <c r="AF47" s="71">
        <f t="shared" si="7"/>
        <v>8.151030686</v>
      </c>
      <c r="AG47" s="72">
        <f t="shared" si="28"/>
        <v>74.54698327</v>
      </c>
      <c r="AH47" s="52">
        <f t="shared" si="8"/>
        <v>25.73296034</v>
      </c>
      <c r="AI47" s="73">
        <f t="shared" si="9"/>
        <v>32.56996184</v>
      </c>
      <c r="AJ47" s="73">
        <f t="shared" si="10"/>
        <v>23.87110214</v>
      </c>
      <c r="AK47" s="11"/>
      <c r="AL47" s="51">
        <f t="shared" si="11"/>
        <v>1602.996407</v>
      </c>
    </row>
    <row r="48" ht="15.75" customHeight="1">
      <c r="A48" s="92" t="s">
        <v>195</v>
      </c>
      <c r="B48" s="56">
        <v>45692.0</v>
      </c>
      <c r="C48" s="56">
        <v>45689.0</v>
      </c>
      <c r="D48" s="57" t="s">
        <v>74</v>
      </c>
      <c r="E48" s="57">
        <f t="array" ref="E48">XLOOKUP(D48,RUC!$B$3:$B$79,RUC!$D$3:$D$79)</f>
        <v>10082235774</v>
      </c>
      <c r="G48" s="3">
        <v>41.0</v>
      </c>
      <c r="H48" s="57" t="s">
        <v>47</v>
      </c>
      <c r="I48" s="58">
        <v>4.02</v>
      </c>
      <c r="J48" s="58">
        <v>1.8</v>
      </c>
      <c r="K48" s="59">
        <f t="shared" si="27"/>
        <v>3.94764</v>
      </c>
      <c r="L48" s="60">
        <v>0.228</v>
      </c>
      <c r="M48" s="60">
        <v>0.225</v>
      </c>
      <c r="N48" s="62">
        <v>0.225</v>
      </c>
      <c r="O48" s="60">
        <f t="shared" si="2"/>
        <v>0.225</v>
      </c>
      <c r="P48" s="63">
        <v>90.0</v>
      </c>
      <c r="Q48" s="64">
        <v>90.16</v>
      </c>
      <c r="R48" s="65">
        <v>2812.05</v>
      </c>
      <c r="S48" s="76">
        <v>105.0</v>
      </c>
      <c r="U48" s="87">
        <v>80.0</v>
      </c>
      <c r="V48" s="67">
        <v>1.1023</v>
      </c>
      <c r="Z48" s="77">
        <v>10.0</v>
      </c>
      <c r="AA48" s="70">
        <f t="shared" si="3"/>
        <v>10</v>
      </c>
      <c r="AB48" s="71">
        <f t="shared" si="4"/>
        <v>483.0720898</v>
      </c>
      <c r="AC48" s="71">
        <f>+(S48-T48)*V48-'data 1'!$F$4</f>
        <v>35.7415</v>
      </c>
      <c r="AD48" s="71">
        <f t="shared" si="5"/>
        <v>1.098609323</v>
      </c>
      <c r="AE48" s="71">
        <f t="shared" si="6"/>
        <v>-58.977</v>
      </c>
      <c r="AF48" s="71">
        <f t="shared" si="7"/>
        <v>8.145609916</v>
      </c>
      <c r="AG48" s="72">
        <f t="shared" si="28"/>
        <v>56.00871924</v>
      </c>
      <c r="AH48" s="52">
        <f t="shared" si="8"/>
        <v>27.82244933</v>
      </c>
      <c r="AI48" s="73">
        <f t="shared" si="9"/>
        <v>38.05647557</v>
      </c>
      <c r="AJ48" s="73">
        <f t="shared" si="10"/>
        <v>27.40763978</v>
      </c>
      <c r="AK48" s="11"/>
      <c r="AL48" s="51">
        <f t="shared" si="11"/>
        <v>1906.994705</v>
      </c>
    </row>
    <row r="49" ht="15.75" customHeight="1">
      <c r="A49" s="92" t="s">
        <v>196</v>
      </c>
      <c r="B49" s="56">
        <v>45692.0</v>
      </c>
      <c r="C49" s="56">
        <v>45689.0</v>
      </c>
      <c r="D49" s="57" t="s">
        <v>74</v>
      </c>
      <c r="E49" s="57">
        <f t="array" ref="E49">XLOOKUP(D49,RUC!$B$3:$B$79,RUC!$D$3:$D$79)</f>
        <v>10082235774</v>
      </c>
      <c r="G49" s="3">
        <v>43.0</v>
      </c>
      <c r="H49" s="57" t="s">
        <v>47</v>
      </c>
      <c r="I49" s="58">
        <v>4.25</v>
      </c>
      <c r="J49" s="58">
        <v>1.7</v>
      </c>
      <c r="K49" s="59">
        <f t="shared" si="27"/>
        <v>4.17775</v>
      </c>
      <c r="L49" s="60">
        <v>0.238</v>
      </c>
      <c r="M49" s="60">
        <v>0.234</v>
      </c>
      <c r="N49" s="62">
        <v>0.234</v>
      </c>
      <c r="O49" s="60">
        <f t="shared" si="2"/>
        <v>0.234</v>
      </c>
      <c r="P49" s="63">
        <v>90.0</v>
      </c>
      <c r="Q49" s="64">
        <v>90.13</v>
      </c>
      <c r="R49" s="65">
        <v>2812.05</v>
      </c>
      <c r="S49" s="76">
        <v>105.0</v>
      </c>
      <c r="U49" s="87">
        <v>80.0</v>
      </c>
      <c r="V49" s="67">
        <v>1.1023</v>
      </c>
      <c r="Z49" s="77">
        <v>10.0</v>
      </c>
      <c r="AA49" s="70">
        <f t="shared" si="3"/>
        <v>10</v>
      </c>
      <c r="AB49" s="71">
        <f t="shared" si="4"/>
        <v>507.4655534</v>
      </c>
      <c r="AC49" s="71">
        <f>+(S49-T49)*V49-'data 1'!$F$4</f>
        <v>35.7415</v>
      </c>
      <c r="AD49" s="71">
        <f t="shared" si="5"/>
        <v>0.9317700784</v>
      </c>
      <c r="AE49" s="71">
        <f t="shared" si="6"/>
        <v>-58.977</v>
      </c>
      <c r="AF49" s="71">
        <f t="shared" si="7"/>
        <v>10.85719938</v>
      </c>
      <c r="AG49" s="72">
        <f t="shared" si="28"/>
        <v>58.55346945</v>
      </c>
      <c r="AH49" s="52">
        <f t="shared" si="8"/>
        <v>30.72542121</v>
      </c>
      <c r="AI49" s="73">
        <f t="shared" si="9"/>
        <v>39.71240087</v>
      </c>
      <c r="AJ49" s="73">
        <f t="shared" si="10"/>
        <v>30.16545525</v>
      </c>
      <c r="AK49" s="11"/>
      <c r="AL49" s="51">
        <f t="shared" si="11"/>
        <v>2120.064216</v>
      </c>
    </row>
    <row r="50" ht="15.75" customHeight="1">
      <c r="A50" s="92" t="s">
        <v>197</v>
      </c>
      <c r="B50" s="56">
        <v>45692.0</v>
      </c>
      <c r="C50" s="56">
        <v>45689.0</v>
      </c>
      <c r="D50" s="57" t="s">
        <v>74</v>
      </c>
      <c r="E50" s="57">
        <f t="array" ref="E50">XLOOKUP(D50,RUC!$B$3:$B$79,RUC!$D$3:$D$79)</f>
        <v>10082235774</v>
      </c>
      <c r="G50" s="3">
        <v>46.0</v>
      </c>
      <c r="H50" s="57" t="s">
        <v>47</v>
      </c>
      <c r="I50" s="58">
        <v>4.74</v>
      </c>
      <c r="J50" s="58">
        <v>1.6</v>
      </c>
      <c r="K50" s="59">
        <f t="shared" si="27"/>
        <v>4.66416</v>
      </c>
      <c r="L50" s="60">
        <v>0.458</v>
      </c>
      <c r="M50" s="60">
        <v>0.451</v>
      </c>
      <c r="N50" s="62">
        <v>0.451</v>
      </c>
      <c r="O50" s="60">
        <f t="shared" si="2"/>
        <v>0.451</v>
      </c>
      <c r="P50" s="63">
        <v>90.0</v>
      </c>
      <c r="Q50" s="64">
        <v>90.06</v>
      </c>
      <c r="R50" s="65">
        <v>2812.05</v>
      </c>
      <c r="S50" s="76">
        <v>115.0</v>
      </c>
      <c r="U50" s="87">
        <v>80.0</v>
      </c>
      <c r="V50" s="67">
        <v>1.1023</v>
      </c>
      <c r="Z50" s="77">
        <v>10.0</v>
      </c>
      <c r="AA50" s="70">
        <f t="shared" si="3"/>
        <v>10</v>
      </c>
      <c r="AB50" s="71">
        <f t="shared" si="4"/>
        <v>1084.596064</v>
      </c>
      <c r="AC50" s="71">
        <f>+(S50-T50)*V50-'data 1'!$F$4</f>
        <v>46.7645</v>
      </c>
      <c r="AD50" s="71">
        <f t="shared" si="5"/>
        <v>0.8275708389</v>
      </c>
      <c r="AE50" s="71">
        <f t="shared" si="6"/>
        <v>-58.977</v>
      </c>
      <c r="AF50" s="71">
        <f t="shared" si="7"/>
        <v>18.98534237</v>
      </c>
      <c r="AG50" s="72">
        <f t="shared" si="28"/>
        <v>77.60041321</v>
      </c>
      <c r="AH50" s="52">
        <f t="shared" si="8"/>
        <v>65.95989111</v>
      </c>
      <c r="AI50" s="73">
        <f t="shared" si="9"/>
        <v>76.36198975</v>
      </c>
      <c r="AJ50" s="73">
        <f t="shared" si="10"/>
        <v>64.90849817</v>
      </c>
      <c r="AK50" s="11"/>
      <c r="AL50" s="51">
        <f t="shared" si="11"/>
        <v>5058.72958</v>
      </c>
    </row>
    <row r="51" ht="15.75" customHeight="1">
      <c r="A51" s="92" t="s">
        <v>198</v>
      </c>
      <c r="B51" s="56">
        <v>45692.0</v>
      </c>
      <c r="C51" s="56">
        <v>45689.0</v>
      </c>
      <c r="D51" s="2" t="s">
        <v>74</v>
      </c>
      <c r="E51" s="57">
        <f t="array" ref="E51">XLOOKUP(D51,RUC!$B$3:$B$79,RUC!$D$3:$D$79)</f>
        <v>10082235774</v>
      </c>
      <c r="G51" s="3">
        <v>34.0</v>
      </c>
      <c r="H51" s="57" t="s">
        <v>47</v>
      </c>
      <c r="I51" s="58">
        <v>3.31</v>
      </c>
      <c r="J51" s="58">
        <v>1.8</v>
      </c>
      <c r="K51" s="59">
        <f t="shared" si="27"/>
        <v>3.25042</v>
      </c>
      <c r="L51" s="60">
        <v>0.163</v>
      </c>
      <c r="M51" s="60">
        <v>0.161</v>
      </c>
      <c r="N51" s="62">
        <v>0.161</v>
      </c>
      <c r="O51" s="60">
        <f t="shared" si="2"/>
        <v>0.161</v>
      </c>
      <c r="P51" s="63">
        <v>85.0</v>
      </c>
      <c r="Q51" s="64">
        <v>90.2</v>
      </c>
      <c r="R51" s="65">
        <v>2812.05</v>
      </c>
      <c r="S51" s="76">
        <v>95.0</v>
      </c>
      <c r="U51" s="87">
        <v>80.0</v>
      </c>
      <c r="V51" s="67">
        <v>1.1023</v>
      </c>
      <c r="Z51" s="77">
        <v>10.0</v>
      </c>
      <c r="AA51" s="70">
        <f t="shared" si="3"/>
        <v>10</v>
      </c>
      <c r="AB51" s="71">
        <f t="shared" si="4"/>
        <v>296.3875731</v>
      </c>
      <c r="AC51" s="71">
        <f>+(S51-T51)*V51-'data 1'!$F$4</f>
        <v>24.7185</v>
      </c>
      <c r="AD51" s="71">
        <f t="shared" si="5"/>
        <v>25.52580215</v>
      </c>
      <c r="AE51" s="71">
        <f t="shared" si="6"/>
        <v>-58.977</v>
      </c>
      <c r="AF51" s="71">
        <f t="shared" si="7"/>
        <v>5.432815842</v>
      </c>
      <c r="AG51" s="72">
        <f t="shared" si="28"/>
        <v>66.70011799</v>
      </c>
      <c r="AH51" s="52">
        <f t="shared" si="8"/>
        <v>16.38485841</v>
      </c>
      <c r="AI51" s="73">
        <f t="shared" si="9"/>
        <v>27.21911231</v>
      </c>
      <c r="AJ51" s="73">
        <f t="shared" si="10"/>
        <v>15.25082552</v>
      </c>
      <c r="AK51" s="11"/>
      <c r="AL51" s="51">
        <f t="shared" si="11"/>
        <v>963.3840955</v>
      </c>
    </row>
    <row r="52" ht="15.75" customHeight="1">
      <c r="A52" s="92" t="s">
        <v>199</v>
      </c>
      <c r="B52" s="56">
        <v>45692.0</v>
      </c>
      <c r="C52" s="56">
        <v>45689.0</v>
      </c>
      <c r="D52" s="57" t="s">
        <v>146</v>
      </c>
      <c r="E52" s="57">
        <f t="array" ref="E52">XLOOKUP(D52,RUC!$B$3:$B$79,RUC!$D$3:$D$79)</f>
        <v>20517242919</v>
      </c>
      <c r="G52" s="3">
        <v>42.0</v>
      </c>
      <c r="H52" s="57" t="s">
        <v>47</v>
      </c>
      <c r="I52" s="58">
        <v>4.25</v>
      </c>
      <c r="J52" s="58">
        <v>1.6</v>
      </c>
      <c r="K52" s="59">
        <f t="shared" si="27"/>
        <v>4.182</v>
      </c>
      <c r="L52" s="60">
        <v>0.439</v>
      </c>
      <c r="M52" s="60">
        <v>0.432</v>
      </c>
      <c r="N52" s="62">
        <v>0.432</v>
      </c>
      <c r="O52" s="60">
        <f t="shared" si="2"/>
        <v>0.432</v>
      </c>
      <c r="P52" s="63">
        <v>90.0</v>
      </c>
      <c r="Q52" s="64">
        <v>89.92</v>
      </c>
      <c r="R52" s="65">
        <v>2812.05</v>
      </c>
      <c r="S52" s="76">
        <v>115.0</v>
      </c>
      <c r="U52" s="87">
        <v>80.0</v>
      </c>
      <c r="V52" s="67">
        <v>1.1023</v>
      </c>
      <c r="Z52" s="77">
        <v>10.0</v>
      </c>
      <c r="AA52" s="70">
        <f t="shared" si="3"/>
        <v>10</v>
      </c>
      <c r="AB52" s="71">
        <f t="shared" si="4"/>
        <v>1033.098752</v>
      </c>
      <c r="AC52" s="71">
        <f>+(S52-T52)*V52-'data 1'!$F$4</f>
        <v>46.7645</v>
      </c>
      <c r="AD52" s="71">
        <f t="shared" si="5"/>
        <v>-1.057652397</v>
      </c>
      <c r="AE52" s="71">
        <f t="shared" si="6"/>
        <v>-58.977</v>
      </c>
      <c r="AF52" s="71">
        <f t="shared" si="7"/>
        <v>18.95582929</v>
      </c>
      <c r="AG52" s="72">
        <f t="shared" si="28"/>
        <v>75.68567689</v>
      </c>
      <c r="AH52" s="52">
        <f t="shared" si="8"/>
        <v>56.59967223</v>
      </c>
      <c r="AI52" s="73">
        <f t="shared" si="9"/>
        <v>73.0803526</v>
      </c>
      <c r="AJ52" s="73">
        <f t="shared" si="10"/>
        <v>55.74672441</v>
      </c>
      <c r="AK52" s="11"/>
      <c r="AL52" s="51">
        <f t="shared" si="11"/>
        <v>4320.418983</v>
      </c>
    </row>
    <row r="53" ht="15.75" customHeight="1">
      <c r="A53" s="92" t="s">
        <v>200</v>
      </c>
      <c r="B53" s="56">
        <v>45692.0</v>
      </c>
      <c r="C53" s="56">
        <v>45689.0</v>
      </c>
      <c r="D53" s="57" t="s">
        <v>146</v>
      </c>
      <c r="E53" s="57">
        <f t="array" ref="E53">XLOOKUP(D53,RUC!$B$3:$B$79,RUC!$D$3:$D$79)</f>
        <v>20517242919</v>
      </c>
      <c r="G53" s="3">
        <v>38.0</v>
      </c>
      <c r="H53" s="57" t="s">
        <v>47</v>
      </c>
      <c r="I53" s="58">
        <v>3.96</v>
      </c>
      <c r="J53" s="58">
        <v>1.7</v>
      </c>
      <c r="K53" s="59">
        <f t="shared" si="27"/>
        <v>3.89268</v>
      </c>
      <c r="L53" s="60">
        <v>0.562</v>
      </c>
      <c r="M53" s="60">
        <v>0.553</v>
      </c>
      <c r="N53" s="62">
        <v>0.553</v>
      </c>
      <c r="O53" s="60">
        <f t="shared" si="2"/>
        <v>0.553</v>
      </c>
      <c r="P53" s="63">
        <v>90.0</v>
      </c>
      <c r="Q53" s="64">
        <v>89.84</v>
      </c>
      <c r="R53" s="65">
        <v>2812.05</v>
      </c>
      <c r="S53" s="76">
        <v>120.0</v>
      </c>
      <c r="U53" s="87">
        <v>80.0</v>
      </c>
      <c r="V53" s="67">
        <v>1.1023</v>
      </c>
      <c r="Z53" s="77">
        <v>10.0</v>
      </c>
      <c r="AA53" s="70">
        <f t="shared" si="3"/>
        <v>10</v>
      </c>
      <c r="AB53" s="71">
        <f t="shared" si="4"/>
        <v>1355.543818</v>
      </c>
      <c r="AC53" s="71">
        <f>+(S53-T53)*V53-'data 1'!$F$4</f>
        <v>52.276</v>
      </c>
      <c r="AD53" s="71">
        <f t="shared" si="5"/>
        <v>-2.707975613</v>
      </c>
      <c r="AE53" s="71">
        <f t="shared" si="6"/>
        <v>-58.977</v>
      </c>
      <c r="AF53" s="71">
        <f t="shared" si="7"/>
        <v>24.35009743</v>
      </c>
      <c r="AG53" s="72">
        <f t="shared" si="28"/>
        <v>84.94112182</v>
      </c>
      <c r="AH53" s="52">
        <f t="shared" si="8"/>
        <v>67.38509296</v>
      </c>
      <c r="AI53" s="73">
        <f t="shared" si="9"/>
        <v>93.4729339</v>
      </c>
      <c r="AJ53" s="73">
        <f t="shared" si="10"/>
        <v>66.42405948</v>
      </c>
      <c r="AK53" s="11"/>
      <c r="AL53" s="51">
        <f t="shared" si="11"/>
        <v>5276.698311</v>
      </c>
    </row>
    <row r="54" ht="15.75" customHeight="1">
      <c r="A54" s="92" t="s">
        <v>201</v>
      </c>
      <c r="B54" s="56">
        <v>45692.0</v>
      </c>
      <c r="C54" s="56">
        <v>45689.0</v>
      </c>
      <c r="D54" s="57" t="s">
        <v>146</v>
      </c>
      <c r="E54" s="57">
        <f t="array" ref="E54">XLOOKUP(D54,RUC!$B$3:$B$79,RUC!$D$3:$D$79)</f>
        <v>20517242919</v>
      </c>
      <c r="G54" s="3">
        <v>28.0</v>
      </c>
      <c r="H54" s="57" t="s">
        <v>47</v>
      </c>
      <c r="I54" s="58">
        <v>2.61</v>
      </c>
      <c r="J54" s="58">
        <v>1.2</v>
      </c>
      <c r="K54" s="59">
        <f t="shared" si="27"/>
        <v>2.57868</v>
      </c>
      <c r="L54" s="60">
        <v>0.165</v>
      </c>
      <c r="M54" s="60">
        <v>0.163</v>
      </c>
      <c r="N54" s="62">
        <v>0.163</v>
      </c>
      <c r="O54" s="60">
        <f t="shared" si="2"/>
        <v>0.163</v>
      </c>
      <c r="P54" s="63">
        <v>85.0</v>
      </c>
      <c r="Q54" s="64">
        <v>90.33</v>
      </c>
      <c r="R54" s="65">
        <v>2812.05</v>
      </c>
      <c r="S54" s="76">
        <v>95.0</v>
      </c>
      <c r="U54" s="87">
        <v>80.0</v>
      </c>
      <c r="V54" s="67">
        <v>1.1023</v>
      </c>
      <c r="Z54" s="77">
        <v>10.0</v>
      </c>
      <c r="AA54" s="70">
        <f t="shared" si="3"/>
        <v>10</v>
      </c>
      <c r="AB54" s="71">
        <f t="shared" si="4"/>
        <v>301.507189</v>
      </c>
      <c r="AC54" s="71">
        <f>+(S54-T54)*V54-'data 1'!$F$4</f>
        <v>24.7185</v>
      </c>
      <c r="AD54" s="71">
        <f t="shared" si="5"/>
        <v>26.48497723</v>
      </c>
      <c r="AE54" s="71">
        <f t="shared" si="6"/>
        <v>-58.977</v>
      </c>
      <c r="AF54" s="71">
        <f t="shared" si="7"/>
        <v>5.440645843</v>
      </c>
      <c r="AG54" s="72">
        <f t="shared" si="28"/>
        <v>67.66712307</v>
      </c>
      <c r="AH54" s="52">
        <f t="shared" si="8"/>
        <v>13.17717992</v>
      </c>
      <c r="AI54" s="73">
        <f t="shared" si="9"/>
        <v>27.59279981</v>
      </c>
      <c r="AJ54" s="73">
        <f t="shared" si="10"/>
        <v>12.24935021</v>
      </c>
      <c r="AK54" s="11"/>
      <c r="AL54" s="51">
        <f t="shared" si="11"/>
        <v>777.490558</v>
      </c>
    </row>
    <row r="55" ht="15.75" customHeight="1">
      <c r="A55" s="92" t="s">
        <v>202</v>
      </c>
      <c r="B55" s="56">
        <v>45692.0</v>
      </c>
      <c r="C55" s="56">
        <v>45689.0</v>
      </c>
      <c r="D55" s="2" t="s">
        <v>146</v>
      </c>
      <c r="E55" s="57">
        <f t="array" ref="E55">XLOOKUP(D55,RUC!$B$3:$B$79,RUC!$D$3:$D$79)</f>
        <v>20517242919</v>
      </c>
      <c r="G55" s="3">
        <v>40.0</v>
      </c>
      <c r="H55" s="57" t="s">
        <v>47</v>
      </c>
      <c r="I55" s="58">
        <v>3.97</v>
      </c>
      <c r="J55" s="58">
        <v>1.7</v>
      </c>
      <c r="K55" s="59">
        <f t="shared" si="27"/>
        <v>3.90251</v>
      </c>
      <c r="L55" s="60">
        <v>0.299</v>
      </c>
      <c r="M55" s="60">
        <v>0.295</v>
      </c>
      <c r="N55" s="62">
        <v>0.295</v>
      </c>
      <c r="O55" s="60">
        <f t="shared" si="2"/>
        <v>0.295</v>
      </c>
      <c r="P55" s="63">
        <v>90.0</v>
      </c>
      <c r="Q55" s="64">
        <v>90.13</v>
      </c>
      <c r="R55" s="65">
        <v>2812.05</v>
      </c>
      <c r="S55" s="76">
        <v>105.0</v>
      </c>
      <c r="U55" s="87">
        <v>80.0</v>
      </c>
      <c r="V55" s="67">
        <v>1.1023</v>
      </c>
      <c r="Z55" s="77">
        <v>10.0</v>
      </c>
      <c r="AA55" s="70">
        <f t="shared" si="3"/>
        <v>10</v>
      </c>
      <c r="AB55" s="71">
        <f t="shared" si="4"/>
        <v>672.7990288</v>
      </c>
      <c r="AC55" s="71">
        <f>+(S55-T55)*V55-'data 1'!$F$4</f>
        <v>35.7415</v>
      </c>
      <c r="AD55" s="71">
        <f t="shared" si="5"/>
        <v>1.170585099</v>
      </c>
      <c r="AE55" s="71">
        <f t="shared" si="6"/>
        <v>-58.977</v>
      </c>
      <c r="AF55" s="71">
        <f t="shared" si="7"/>
        <v>10.85719938</v>
      </c>
      <c r="AG55" s="72">
        <f t="shared" si="28"/>
        <v>58.79228447</v>
      </c>
      <c r="AH55" s="52">
        <f t="shared" si="8"/>
        <v>36.05733736</v>
      </c>
      <c r="AI55" s="73">
        <f t="shared" si="9"/>
        <v>49.89078932</v>
      </c>
      <c r="AJ55" s="73">
        <f t="shared" si="10"/>
        <v>35.52365301</v>
      </c>
      <c r="AK55" s="11"/>
      <c r="AL55" s="51">
        <f t="shared" si="11"/>
        <v>2625.604938</v>
      </c>
    </row>
    <row r="56" ht="15.75" customHeight="1">
      <c r="A56" s="92" t="s">
        <v>203</v>
      </c>
      <c r="B56" s="56">
        <v>45695.0</v>
      </c>
      <c r="C56" s="56">
        <v>45689.0</v>
      </c>
      <c r="D56" s="2" t="s">
        <v>63</v>
      </c>
      <c r="E56" s="57" t="str">
        <f t="array" ref="E56">XLOOKUP(D56,RUC!$B$3:$B$79,RUC!$D$3:$D$79)</f>
        <v>#N/A</v>
      </c>
      <c r="G56" s="3">
        <v>110.0</v>
      </c>
      <c r="H56" s="57" t="s">
        <v>47</v>
      </c>
      <c r="I56" s="58">
        <v>8.54</v>
      </c>
      <c r="J56" s="58">
        <v>1.3</v>
      </c>
      <c r="K56" s="59">
        <f t="shared" si="27"/>
        <v>8.42898</v>
      </c>
      <c r="L56" s="60">
        <v>0.337</v>
      </c>
      <c r="M56" s="60">
        <v>0.323</v>
      </c>
      <c r="N56" s="75">
        <v>0.367</v>
      </c>
      <c r="O56" s="60">
        <f t="shared" si="2"/>
        <v>0.345</v>
      </c>
      <c r="P56" s="63">
        <v>90.0</v>
      </c>
      <c r="Q56" s="64">
        <v>90.21</v>
      </c>
      <c r="R56" s="65">
        <v>2812.05</v>
      </c>
      <c r="S56" s="66">
        <f>IF((90+ROUNDDOWN(O56,1)*100)&lt;95,95,(90+ROUNDDOWN(O56,1)*100))</f>
        <v>120</v>
      </c>
      <c r="U56" s="67">
        <v>120.0</v>
      </c>
      <c r="V56" s="67">
        <v>1.1023</v>
      </c>
      <c r="Y56" s="57">
        <v>20.0</v>
      </c>
      <c r="Z56" s="69">
        <f t="shared" ref="Z56:Z62" si="29">IF(IF(D56="UNTUCA",IF(+((W56-3)*1.5+(X56-3)*3.1)&gt;0,+((W56-3)*1.5+(X56-3)*3.1),0),IF(+((W56-3)*1.5+(X56-3)*3.1)&gt;0,+((W56-3)*1.5+(X56-3)*3.1),0))&lt;30,30,IF(D56="UNTUCA",IF(+((W56-3)*1.5+(X56-3)*3.1)&gt;0,+((W56-3)*1.5+(X56-3)*3.1),0),IF(+((W56-3)*1.5+(X56-3)*3.1)&gt;0,+((W56-3)*1.5+(X56-3)*3.1),0)))</f>
        <v>30</v>
      </c>
      <c r="AA56" s="70">
        <f t="shared" si="3"/>
        <v>50</v>
      </c>
      <c r="AB56" s="71">
        <f t="shared" si="4"/>
        <v>734.001205</v>
      </c>
      <c r="AC56" s="71">
        <f>+(S56-T56)*V56-'data 1'!$F$4</f>
        <v>52.276</v>
      </c>
      <c r="AD56" s="71">
        <f t="shared" si="5"/>
        <v>2.10006204</v>
      </c>
      <c r="AE56" s="71">
        <f t="shared" si="6"/>
        <v>-14.885</v>
      </c>
      <c r="AF56" s="71">
        <f t="shared" si="7"/>
        <v>-21.41546945</v>
      </c>
      <c r="AG56" s="72">
        <f>+IF(D56="RONALD WILLIAN GARIBAY ESCUDERO",AC56+AD56+AE56+AF56+70,AC56+AD56+AE56+AF56)+70-53</f>
        <v>35.07559259</v>
      </c>
      <c r="AH56" s="52">
        <f t="shared" si="8"/>
        <v>87.85544368</v>
      </c>
      <c r="AI56" s="73">
        <f t="shared" si="9"/>
        <v>69.68564366</v>
      </c>
      <c r="AJ56" s="73">
        <f t="shared" si="10"/>
        <v>89.73165898</v>
      </c>
      <c r="AK56" s="11"/>
      <c r="AL56" s="51">
        <f t="shared" si="11"/>
        <v>6186.881477</v>
      </c>
    </row>
    <row r="57" ht="15.75" customHeight="1">
      <c r="A57" s="92" t="s">
        <v>204</v>
      </c>
      <c r="B57" s="56">
        <v>45692.0</v>
      </c>
      <c r="C57" s="56">
        <v>45690.0</v>
      </c>
      <c r="D57" s="2" t="s">
        <v>51</v>
      </c>
      <c r="E57" s="57" t="str">
        <f t="array" ref="E57">XLOOKUP(D57,RUC!$B$3:$B$79,RUC!$D$3:$D$79)</f>
        <v>#N/A</v>
      </c>
      <c r="G57" s="3">
        <v>36.0</v>
      </c>
      <c r="H57" s="57" t="s">
        <v>47</v>
      </c>
      <c r="I57" s="58">
        <v>3.61</v>
      </c>
      <c r="J57" s="58">
        <v>1.1</v>
      </c>
      <c r="K57" s="59">
        <f t="shared" si="27"/>
        <v>3.57029</v>
      </c>
      <c r="L57" s="60">
        <v>0.438</v>
      </c>
      <c r="M57" s="60">
        <v>0.42</v>
      </c>
      <c r="N57" s="62">
        <v>0.42</v>
      </c>
      <c r="O57" s="60">
        <f t="shared" si="2"/>
        <v>0.42</v>
      </c>
      <c r="P57" s="63">
        <v>90.0</v>
      </c>
      <c r="Q57" s="64">
        <v>89.94</v>
      </c>
      <c r="R57" s="65">
        <v>2826.1</v>
      </c>
      <c r="S57" s="66">
        <f t="shared" ref="S57:S58" si="30">IF((80+ROUNDDOWN(O57,1)*100)&lt;95,95,(80+ROUNDDOWN(O57,1)*100))</f>
        <v>120</v>
      </c>
      <c r="U57" s="67">
        <v>100.0</v>
      </c>
      <c r="V57" s="67">
        <v>1.1023</v>
      </c>
      <c r="Z57" s="69">
        <f t="shared" si="29"/>
        <v>30</v>
      </c>
      <c r="AA57" s="70">
        <f t="shared" si="3"/>
        <v>30</v>
      </c>
      <c r="AB57" s="71">
        <f t="shared" si="4"/>
        <v>970.5374513</v>
      </c>
      <c r="AC57" s="71">
        <f>+(S57-T57)*V57-'data 1'!$F$4</f>
        <v>52.276</v>
      </c>
      <c r="AD57" s="71">
        <f t="shared" si="5"/>
        <v>-0.7897087519</v>
      </c>
      <c r="AE57" s="71">
        <f t="shared" si="6"/>
        <v>-36.931</v>
      </c>
      <c r="AF57" s="71">
        <f t="shared" si="7"/>
        <v>48.6482227</v>
      </c>
      <c r="AG57" s="72">
        <f t="shared" ref="AG57:AG58" si="31">+IF(D57="RONALD WILLIAN GARIBAY ESCUDERO",AC57+AD57+AE57+AF57+70,AC57+AD57+AE57+AF57)+70-10</f>
        <v>193.2035139</v>
      </c>
      <c r="AH57" s="52">
        <f t="shared" si="8"/>
        <v>48.2213713</v>
      </c>
      <c r="AI57" s="73">
        <f t="shared" si="9"/>
        <v>75.51381005</v>
      </c>
      <c r="AJ57" s="73">
        <f t="shared" si="10"/>
        <v>46.27051812</v>
      </c>
      <c r="AK57" s="11"/>
      <c r="AL57" s="51">
        <f t="shared" si="11"/>
        <v>3465.100157</v>
      </c>
    </row>
    <row r="58" ht="15.75" customHeight="1">
      <c r="A58" s="92" t="s">
        <v>205</v>
      </c>
      <c r="B58" s="56">
        <v>45692.0</v>
      </c>
      <c r="C58" s="56">
        <v>45690.0</v>
      </c>
      <c r="D58" s="57" t="s">
        <v>51</v>
      </c>
      <c r="E58" s="57" t="str">
        <f t="array" ref="E58">XLOOKUP(D58,RUC!$B$3:$B$79,RUC!$D$3:$D$79)</f>
        <v>#N/A</v>
      </c>
      <c r="G58" s="3">
        <v>60.0</v>
      </c>
      <c r="H58" s="57" t="s">
        <v>47</v>
      </c>
      <c r="I58" s="58">
        <v>2.71</v>
      </c>
      <c r="J58" s="58">
        <v>1.2</v>
      </c>
      <c r="K58" s="59">
        <f t="shared" si="27"/>
        <v>2.67748</v>
      </c>
      <c r="L58" s="60">
        <v>0.192</v>
      </c>
      <c r="M58" s="60">
        <v>0.182</v>
      </c>
      <c r="N58" s="62">
        <v>0.182</v>
      </c>
      <c r="O58" s="60">
        <f t="shared" si="2"/>
        <v>0.182</v>
      </c>
      <c r="P58" s="63">
        <v>90.0</v>
      </c>
      <c r="Q58" s="64">
        <v>90.11</v>
      </c>
      <c r="R58" s="65">
        <v>2826.1</v>
      </c>
      <c r="S58" s="66">
        <f t="shared" si="30"/>
        <v>95</v>
      </c>
      <c r="U58" s="67">
        <v>100.0</v>
      </c>
      <c r="V58" s="67">
        <v>1.1023</v>
      </c>
      <c r="Z58" s="69">
        <f t="shared" si="29"/>
        <v>30</v>
      </c>
      <c r="AA58" s="70">
        <f t="shared" si="3"/>
        <v>30</v>
      </c>
      <c r="AB58" s="71">
        <f t="shared" si="4"/>
        <v>354.4282289</v>
      </c>
      <c r="AC58" s="71">
        <f>+(S58-T58)*V58-'data 1'!$F$4</f>
        <v>24.7185</v>
      </c>
      <c r="AD58" s="71">
        <f t="shared" si="5"/>
        <v>0.6346517823</v>
      </c>
      <c r="AE58" s="71">
        <f t="shared" si="6"/>
        <v>-36.931</v>
      </c>
      <c r="AF58" s="71">
        <f t="shared" si="7"/>
        <v>27.07787505</v>
      </c>
      <c r="AG58" s="72">
        <f t="shared" si="31"/>
        <v>145.5000268</v>
      </c>
      <c r="AH58" s="52">
        <f t="shared" si="8"/>
        <v>15.8821584</v>
      </c>
      <c r="AI58" s="73">
        <f t="shared" si="9"/>
        <v>33.16451174</v>
      </c>
      <c r="AJ58" s="73">
        <f t="shared" si="10"/>
        <v>15.0365846</v>
      </c>
      <c r="AK58" s="11"/>
      <c r="AL58" s="51">
        <f t="shared" si="11"/>
        <v>948.9744944</v>
      </c>
    </row>
    <row r="59" ht="15.75" customHeight="1">
      <c r="A59" s="92" t="s">
        <v>206</v>
      </c>
      <c r="B59" s="56">
        <v>45695.0</v>
      </c>
      <c r="C59" s="56">
        <v>45690.0</v>
      </c>
      <c r="D59" s="57" t="s">
        <v>207</v>
      </c>
      <c r="E59" s="57">
        <f t="array" ref="E59">XLOOKUP(D59,RUC!$B$3:$B$79,RUC!$D$3:$D$79)</f>
        <v>20548542422</v>
      </c>
      <c r="G59" s="3">
        <v>62.0</v>
      </c>
      <c r="H59" s="57" t="s">
        <v>47</v>
      </c>
      <c r="I59" s="58">
        <v>4.0</v>
      </c>
      <c r="J59" s="58">
        <v>1.1</v>
      </c>
      <c r="K59" s="59">
        <f t="shared" si="27"/>
        <v>3.956</v>
      </c>
      <c r="L59" s="60">
        <v>1.223</v>
      </c>
      <c r="M59" s="60">
        <v>1.174</v>
      </c>
      <c r="N59" s="75">
        <v>1.235</v>
      </c>
      <c r="O59" s="60">
        <f t="shared" si="2"/>
        <v>1.205</v>
      </c>
      <c r="P59" s="63">
        <v>90.0</v>
      </c>
      <c r="Q59" s="64">
        <v>89.74</v>
      </c>
      <c r="R59" s="65">
        <v>2826.1</v>
      </c>
      <c r="S59" s="66">
        <v>195.0</v>
      </c>
      <c r="U59" s="67">
        <v>100.0</v>
      </c>
      <c r="V59" s="67">
        <v>1.1023</v>
      </c>
      <c r="Z59" s="69">
        <f t="shared" si="29"/>
        <v>30</v>
      </c>
      <c r="AA59" s="70">
        <f t="shared" si="3"/>
        <v>30</v>
      </c>
      <c r="AB59" s="71">
        <f t="shared" si="4"/>
        <v>3010.883343</v>
      </c>
      <c r="AC59" s="71">
        <f>+(S59-T59)*V59-'data 1'!$F$4</f>
        <v>134.9485</v>
      </c>
      <c r="AD59" s="71">
        <f t="shared" si="5"/>
        <v>-9.555235499</v>
      </c>
      <c r="AE59" s="71">
        <f t="shared" si="6"/>
        <v>-36.931</v>
      </c>
      <c r="AF59" s="71">
        <f t="shared" si="7"/>
        <v>48.54004342</v>
      </c>
      <c r="AG59" s="72">
        <f t="shared" ref="AG59:AG72" si="32">+IF(D59="RONALD WILLIAN GARIBAY ESCUDERO",AC59+AD59+AE59+AF59+70,AC59+AD59+AE59+AF59)+70-53</f>
        <v>154.0023079</v>
      </c>
      <c r="AH59" s="52">
        <f t="shared" si="8"/>
        <v>148.8599519</v>
      </c>
      <c r="AI59" s="73">
        <f t="shared" si="9"/>
        <v>210.3836142</v>
      </c>
      <c r="AJ59" s="73">
        <f t="shared" si="10"/>
        <v>147.0939832</v>
      </c>
      <c r="AK59" s="11"/>
      <c r="AL59" s="51">
        <f t="shared" si="11"/>
        <v>11911.0545</v>
      </c>
    </row>
    <row r="60" ht="15.0" customHeight="1">
      <c r="A60" s="92" t="s">
        <v>208</v>
      </c>
      <c r="B60" s="56">
        <v>45701.0</v>
      </c>
      <c r="C60" s="56">
        <v>45691.0</v>
      </c>
      <c r="D60" s="57" t="s">
        <v>104</v>
      </c>
      <c r="E60" s="57">
        <f t="array" ref="E60">XLOOKUP(D60,RUC!$B$3:$B$79,RUC!$D$3:$D$79)</f>
        <v>10479968131</v>
      </c>
      <c r="G60" s="3">
        <v>68.0</v>
      </c>
      <c r="H60" s="57" t="s">
        <v>47</v>
      </c>
      <c r="I60" s="58">
        <v>5.84</v>
      </c>
      <c r="J60" s="58">
        <v>1.3</v>
      </c>
      <c r="K60" s="59">
        <f t="shared" si="27"/>
        <v>5.76408</v>
      </c>
      <c r="L60" s="60">
        <v>0.74</v>
      </c>
      <c r="M60" s="60">
        <v>0.71</v>
      </c>
      <c r="N60" s="75">
        <v>0.74</v>
      </c>
      <c r="O60" s="60">
        <f t="shared" si="2"/>
        <v>0.725</v>
      </c>
      <c r="P60" s="63">
        <v>90.0</v>
      </c>
      <c r="Q60" s="64">
        <v>90.03</v>
      </c>
      <c r="R60" s="65">
        <v>2838.95</v>
      </c>
      <c r="S60" s="66">
        <f t="shared" ref="S60:S62" si="33">IF((90+ROUNDDOWN(O60,1)*100)&lt;95,95,(90+ROUNDDOWN(O60,1)*100))</f>
        <v>160</v>
      </c>
      <c r="U60" s="67">
        <v>120.0</v>
      </c>
      <c r="V60" s="67">
        <v>1.1023</v>
      </c>
      <c r="Y60" s="57">
        <v>20.0</v>
      </c>
      <c r="Z60" s="69">
        <f t="shared" si="29"/>
        <v>30</v>
      </c>
      <c r="AA60" s="70">
        <f t="shared" si="3"/>
        <v>50</v>
      </c>
      <c r="AB60" s="71">
        <f t="shared" si="4"/>
        <v>1724.123827</v>
      </c>
      <c r="AC60" s="71">
        <f>+(S60-T60)*V60-'data 1'!$F$4</f>
        <v>96.368</v>
      </c>
      <c r="AD60" s="71">
        <f t="shared" si="5"/>
        <v>0.6653558859</v>
      </c>
      <c r="AE60" s="71">
        <f t="shared" si="6"/>
        <v>-14.885</v>
      </c>
      <c r="AF60" s="71">
        <f t="shared" si="7"/>
        <v>40.47431784</v>
      </c>
      <c r="AG60" s="72">
        <f t="shared" si="32"/>
        <v>139.6226737</v>
      </c>
      <c r="AH60" s="52">
        <f t="shared" si="8"/>
        <v>131.6612697</v>
      </c>
      <c r="AI60" s="73">
        <f t="shared" si="9"/>
        <v>132.9588672</v>
      </c>
      <c r="AJ60" s="73">
        <f t="shared" si="10"/>
        <v>128.949477</v>
      </c>
      <c r="AK60" s="11"/>
      <c r="AL60" s="51">
        <f t="shared" si="11"/>
        <v>9937.987667</v>
      </c>
    </row>
    <row r="61" ht="15.0" customHeight="1">
      <c r="A61" s="92" t="s">
        <v>209</v>
      </c>
      <c r="B61" s="56">
        <v>45696.0</v>
      </c>
      <c r="C61" s="56">
        <v>45691.0</v>
      </c>
      <c r="D61" s="57" t="s">
        <v>104</v>
      </c>
      <c r="E61" s="57">
        <f t="array" ref="E61">XLOOKUP(D61,RUC!$B$3:$B$79,RUC!$D$3:$D$79)</f>
        <v>10479968131</v>
      </c>
      <c r="G61" s="3">
        <v>43.0</v>
      </c>
      <c r="H61" s="57" t="s">
        <v>47</v>
      </c>
      <c r="I61" s="58">
        <v>3.71</v>
      </c>
      <c r="J61" s="58">
        <v>1.3</v>
      </c>
      <c r="K61" s="59">
        <f t="shared" si="27"/>
        <v>3.66177</v>
      </c>
      <c r="L61" s="60">
        <v>0.703</v>
      </c>
      <c r="M61" s="60">
        <v>0.674</v>
      </c>
      <c r="N61" s="75">
        <v>0.722</v>
      </c>
      <c r="O61" s="60">
        <f t="shared" si="2"/>
        <v>0.698</v>
      </c>
      <c r="P61" s="63">
        <v>90.0</v>
      </c>
      <c r="Q61" s="64">
        <v>89.88</v>
      </c>
      <c r="R61" s="65">
        <v>2838.95</v>
      </c>
      <c r="S61" s="66">
        <f t="shared" si="33"/>
        <v>150</v>
      </c>
      <c r="U61" s="67">
        <v>120.0</v>
      </c>
      <c r="V61" s="67">
        <v>1.1023</v>
      </c>
      <c r="Y61" s="2">
        <v>20.0</v>
      </c>
      <c r="Z61" s="69">
        <f t="shared" si="29"/>
        <v>30</v>
      </c>
      <c r="AA61" s="70">
        <f t="shared" si="3"/>
        <v>50</v>
      </c>
      <c r="AB61" s="71">
        <f t="shared" si="4"/>
        <v>1662.317331</v>
      </c>
      <c r="AC61" s="71">
        <f>+(S61-T61)*V61-'data 1'!$F$4</f>
        <v>85.345</v>
      </c>
      <c r="AD61" s="71">
        <f t="shared" si="5"/>
        <v>-2.528352366</v>
      </c>
      <c r="AE61" s="71">
        <f t="shared" si="6"/>
        <v>-14.885</v>
      </c>
      <c r="AF61" s="71">
        <f t="shared" si="7"/>
        <v>13.46896104</v>
      </c>
      <c r="AG61" s="72">
        <f t="shared" si="32"/>
        <v>98.40060867</v>
      </c>
      <c r="AH61" s="52">
        <f t="shared" si="8"/>
        <v>79.32654152</v>
      </c>
      <c r="AI61" s="73">
        <f t="shared" si="9"/>
        <v>126.1004758</v>
      </c>
      <c r="AJ61" s="73">
        <f t="shared" si="10"/>
        <v>78.86749803</v>
      </c>
      <c r="AK61" s="11"/>
      <c r="AL61" s="51">
        <f t="shared" si="11"/>
        <v>6087.023733</v>
      </c>
    </row>
    <row r="62" ht="15.0" customHeight="1">
      <c r="A62" s="92" t="s">
        <v>210</v>
      </c>
      <c r="B62" s="56">
        <v>45695.0</v>
      </c>
      <c r="C62" s="56">
        <v>45692.0</v>
      </c>
      <c r="D62" s="57" t="s">
        <v>177</v>
      </c>
      <c r="E62" s="57">
        <f t="array" ref="E62">XLOOKUP(D62,RUC!$B$3:$B$79,RUC!$D$3:$D$79)</f>
        <v>10306762465</v>
      </c>
      <c r="G62" s="3">
        <v>100.0</v>
      </c>
      <c r="H62" s="57" t="s">
        <v>47</v>
      </c>
      <c r="I62" s="58">
        <v>8.61</v>
      </c>
      <c r="J62" s="58">
        <v>1.2</v>
      </c>
      <c r="K62" s="59">
        <f t="shared" si="27"/>
        <v>8.50668</v>
      </c>
      <c r="L62" s="60">
        <v>0.267</v>
      </c>
      <c r="M62" s="60">
        <v>0.256</v>
      </c>
      <c r="N62" s="62">
        <v>0.256</v>
      </c>
      <c r="O62" s="60">
        <f t="shared" si="2"/>
        <v>0.256</v>
      </c>
      <c r="P62" s="63">
        <v>90.0</v>
      </c>
      <c r="Q62" s="64">
        <v>90.14</v>
      </c>
      <c r="R62" s="65">
        <v>2843.55</v>
      </c>
      <c r="S62" s="66">
        <f t="shared" si="33"/>
        <v>110</v>
      </c>
      <c r="U62" s="67">
        <v>120.0</v>
      </c>
      <c r="V62" s="67">
        <v>1.1023</v>
      </c>
      <c r="Y62" s="57">
        <v>20.0</v>
      </c>
      <c r="Z62" s="69">
        <f t="shared" si="29"/>
        <v>30</v>
      </c>
      <c r="AA62" s="70">
        <f t="shared" si="3"/>
        <v>50</v>
      </c>
      <c r="AB62" s="71">
        <f t="shared" si="4"/>
        <v>515.3317756</v>
      </c>
      <c r="AC62" s="71">
        <f>+(S62-T62)*V62-'data 1'!$F$4</f>
        <v>41.253</v>
      </c>
      <c r="AD62" s="71">
        <f t="shared" si="5"/>
        <v>1.122210834</v>
      </c>
      <c r="AE62" s="71">
        <f t="shared" si="6"/>
        <v>-14.885</v>
      </c>
      <c r="AF62" s="71">
        <f t="shared" si="7"/>
        <v>29.76770814</v>
      </c>
      <c r="AG62" s="72">
        <f t="shared" si="32"/>
        <v>74.25791897</v>
      </c>
      <c r="AH62" s="52">
        <f t="shared" si="8"/>
        <v>70.19367498</v>
      </c>
      <c r="AI62" s="73">
        <f t="shared" si="9"/>
        <v>46.81125506</v>
      </c>
      <c r="AJ62" s="73">
        <f t="shared" si="10"/>
        <v>67.19727164</v>
      </c>
      <c r="AK62" s="11"/>
      <c r="AL62" s="51">
        <f t="shared" si="11"/>
        <v>4383.762509</v>
      </c>
    </row>
    <row r="63" ht="15.0" customHeight="1">
      <c r="A63" s="92" t="s">
        <v>211</v>
      </c>
      <c r="B63" s="95">
        <v>45699.0</v>
      </c>
      <c r="C63" s="56">
        <v>45692.0</v>
      </c>
      <c r="D63" s="57" t="s">
        <v>88</v>
      </c>
      <c r="E63" s="57" t="str">
        <f t="array" ref="E63">XLOOKUP(D63,RUC!$B$3:$B$79,RUC!$D$3:$D$79)</f>
        <v>#N/A</v>
      </c>
      <c r="G63" s="3">
        <v>110.0</v>
      </c>
      <c r="H63" s="57" t="s">
        <v>40</v>
      </c>
      <c r="I63" s="58">
        <v>5.95</v>
      </c>
      <c r="J63" s="58">
        <v>30.0</v>
      </c>
      <c r="K63" s="59">
        <f t="shared" si="27"/>
        <v>4.165</v>
      </c>
      <c r="L63" s="60">
        <v>0.159</v>
      </c>
      <c r="M63" s="60">
        <v>0.149</v>
      </c>
      <c r="N63" s="75">
        <v>0.207</v>
      </c>
      <c r="O63" s="60">
        <f t="shared" si="2"/>
        <v>0.178</v>
      </c>
      <c r="P63" s="63">
        <v>90.0</v>
      </c>
      <c r="Q63" s="64">
        <v>90.22</v>
      </c>
      <c r="R63" s="65">
        <v>2843.55</v>
      </c>
      <c r="S63" s="96">
        <f t="shared" ref="S63:S67" si="34">IF((85+ROUNDDOWN(O63,1)*100)&lt;95,95,(85+ROUNDDOWN(O63,1)*100))</f>
        <v>95</v>
      </c>
      <c r="U63" s="87">
        <v>90.0</v>
      </c>
      <c r="V63" s="67">
        <v>1.1023</v>
      </c>
      <c r="Z63" s="77">
        <v>25.0</v>
      </c>
      <c r="AA63" s="70">
        <f t="shared" si="3"/>
        <v>25</v>
      </c>
      <c r="AB63" s="71">
        <f t="shared" si="4"/>
        <v>353.969154</v>
      </c>
      <c r="AC63" s="71">
        <f>+(S63-T63)*V63-'data 1'!$F$4</f>
        <v>24.7185</v>
      </c>
      <c r="AD63" s="71">
        <f t="shared" si="5"/>
        <v>1.06172631</v>
      </c>
      <c r="AE63" s="71">
        <f t="shared" si="6"/>
        <v>-42.4425</v>
      </c>
      <c r="AF63" s="71">
        <f t="shared" si="7"/>
        <v>-52.02944558</v>
      </c>
      <c r="AG63" s="72">
        <f t="shared" si="32"/>
        <v>-51.69171927</v>
      </c>
      <c r="AH63" s="52">
        <f t="shared" si="8"/>
        <v>20.48443652</v>
      </c>
      <c r="AI63" s="73">
        <f t="shared" si="9"/>
        <v>23.15736444</v>
      </c>
      <c r="AJ63" s="73">
        <f t="shared" si="10"/>
        <v>22.87634232</v>
      </c>
      <c r="AK63" s="11"/>
      <c r="AL63" s="51">
        <f t="shared" si="11"/>
        <v>1474.281527</v>
      </c>
    </row>
    <row r="64" ht="15.0" customHeight="1">
      <c r="A64" s="92" t="s">
        <v>212</v>
      </c>
      <c r="B64" s="95">
        <v>45699.0</v>
      </c>
      <c r="C64" s="56">
        <v>45692.0</v>
      </c>
      <c r="D64" s="57" t="s">
        <v>88</v>
      </c>
      <c r="E64" s="57" t="str">
        <f t="array" ref="E64">XLOOKUP(D64,RUC!$B$3:$B$79,RUC!$D$3:$D$79)</f>
        <v>#N/A</v>
      </c>
      <c r="G64" s="3">
        <v>23.0</v>
      </c>
      <c r="H64" s="57" t="s">
        <v>47</v>
      </c>
      <c r="I64" s="58">
        <v>2.92</v>
      </c>
      <c r="J64" s="58">
        <v>1.1</v>
      </c>
      <c r="K64" s="59">
        <f t="shared" si="27"/>
        <v>2.88788</v>
      </c>
      <c r="L64" s="60">
        <v>0.216</v>
      </c>
      <c r="M64" s="60">
        <v>0.206</v>
      </c>
      <c r="N64" s="60">
        <v>0.206</v>
      </c>
      <c r="O64" s="60">
        <f t="shared" si="2"/>
        <v>0.206</v>
      </c>
      <c r="P64" s="63">
        <v>90.0</v>
      </c>
      <c r="Q64" s="64">
        <v>90.16</v>
      </c>
      <c r="R64" s="65">
        <v>2843.55</v>
      </c>
      <c r="S64" s="96">
        <f t="shared" si="34"/>
        <v>105</v>
      </c>
      <c r="U64" s="87">
        <v>90.0</v>
      </c>
      <c r="V64" s="67">
        <v>1.1023</v>
      </c>
      <c r="Z64" s="77">
        <v>25.0</v>
      </c>
      <c r="AA64" s="70">
        <f t="shared" si="3"/>
        <v>25</v>
      </c>
      <c r="AB64" s="71">
        <f t="shared" si="4"/>
        <v>419.4341558</v>
      </c>
      <c r="AC64" s="71">
        <f>+(S64-T64)*V64-'data 1'!$F$4</f>
        <v>35.7415</v>
      </c>
      <c r="AD64" s="71">
        <f t="shared" si="5"/>
        <v>1.04897831</v>
      </c>
      <c r="AE64" s="71">
        <f t="shared" si="6"/>
        <v>-42.4425</v>
      </c>
      <c r="AF64" s="71">
        <f t="shared" si="7"/>
        <v>27.3657073</v>
      </c>
      <c r="AG64" s="72">
        <f t="shared" si="32"/>
        <v>38.71368561</v>
      </c>
      <c r="AH64" s="52">
        <f t="shared" si="8"/>
        <v>19.28216818</v>
      </c>
      <c r="AI64" s="73">
        <f t="shared" si="9"/>
        <v>31.43813957</v>
      </c>
      <c r="AJ64" s="73">
        <f t="shared" si="10"/>
        <v>18.35684083</v>
      </c>
      <c r="AK64" s="11"/>
      <c r="AL64" s="51">
        <f t="shared" si="11"/>
        <v>1211.27551</v>
      </c>
    </row>
    <row r="65" ht="15.0" customHeight="1">
      <c r="A65" s="92" t="s">
        <v>213</v>
      </c>
      <c r="B65" s="95">
        <v>45699.0</v>
      </c>
      <c r="C65" s="56">
        <v>45693.0</v>
      </c>
      <c r="D65" s="57" t="s">
        <v>88</v>
      </c>
      <c r="E65" s="57" t="str">
        <f t="array" ref="E65">XLOOKUP(D65,RUC!$B$3:$B$79,RUC!$D$3:$D$79)</f>
        <v>#N/A</v>
      </c>
      <c r="G65" s="3">
        <v>60.0</v>
      </c>
      <c r="H65" s="57" t="s">
        <v>47</v>
      </c>
      <c r="I65" s="58">
        <v>7.16</v>
      </c>
      <c r="J65" s="58">
        <v>1.2</v>
      </c>
      <c r="K65" s="59">
        <f t="shared" si="27"/>
        <v>7.07408</v>
      </c>
      <c r="L65" s="60">
        <v>0.151</v>
      </c>
      <c r="M65" s="60">
        <v>0.141</v>
      </c>
      <c r="N65" s="75">
        <v>0.188</v>
      </c>
      <c r="O65" s="60">
        <f t="shared" si="2"/>
        <v>0.165</v>
      </c>
      <c r="P65" s="63">
        <v>85.0</v>
      </c>
      <c r="Q65" s="64">
        <v>90.33</v>
      </c>
      <c r="R65" s="65">
        <v>2871.15</v>
      </c>
      <c r="S65" s="96">
        <f t="shared" si="34"/>
        <v>95</v>
      </c>
      <c r="U65" s="87">
        <v>90.0</v>
      </c>
      <c r="V65" s="67">
        <v>1.1023</v>
      </c>
      <c r="Z65" s="77">
        <v>25.0</v>
      </c>
      <c r="AA65" s="70">
        <f t="shared" si="3"/>
        <v>25</v>
      </c>
      <c r="AB65" s="71">
        <f t="shared" si="4"/>
        <v>297.6830457</v>
      </c>
      <c r="AC65" s="71">
        <f>+(S65-T65)*V65-'data 1'!$F$4</f>
        <v>24.7185</v>
      </c>
      <c r="AD65" s="71">
        <f t="shared" si="5"/>
        <v>24.67336462</v>
      </c>
      <c r="AE65" s="71">
        <f t="shared" si="6"/>
        <v>-42.4425</v>
      </c>
      <c r="AF65" s="71">
        <f t="shared" si="7"/>
        <v>-38.76897029</v>
      </c>
      <c r="AG65" s="72">
        <f t="shared" si="32"/>
        <v>-14.81960568</v>
      </c>
      <c r="AH65" s="52">
        <f t="shared" si="8"/>
        <v>33.08171331</v>
      </c>
      <c r="AI65" s="73">
        <f t="shared" si="9"/>
        <v>17.86931691</v>
      </c>
      <c r="AJ65" s="73">
        <f t="shared" si="10"/>
        <v>34.0158953</v>
      </c>
      <c r="AK65" s="11"/>
      <c r="AL65" s="51">
        <f t="shared" si="11"/>
        <v>2105.83368</v>
      </c>
    </row>
    <row r="66" ht="15.0" customHeight="1">
      <c r="A66" s="92" t="s">
        <v>214</v>
      </c>
      <c r="B66" s="95">
        <v>45699.0</v>
      </c>
      <c r="C66" s="56">
        <v>45693.0</v>
      </c>
      <c r="D66" s="57" t="s">
        <v>88</v>
      </c>
      <c r="E66" s="57" t="str">
        <f t="array" ref="E66">XLOOKUP(D66,RUC!$B$3:$B$79,RUC!$D$3:$D$79)</f>
        <v>#N/A</v>
      </c>
      <c r="G66" s="3">
        <v>60.0</v>
      </c>
      <c r="H66" s="57" t="s">
        <v>47</v>
      </c>
      <c r="I66" s="58">
        <v>6.96</v>
      </c>
      <c r="J66" s="58">
        <v>1.1</v>
      </c>
      <c r="K66" s="59">
        <f t="shared" si="27"/>
        <v>6.88344</v>
      </c>
      <c r="L66" s="60">
        <v>0.146</v>
      </c>
      <c r="M66" s="60">
        <v>0.136</v>
      </c>
      <c r="N66" s="75">
        <v>0.136</v>
      </c>
      <c r="O66" s="60">
        <f t="shared" si="2"/>
        <v>0.136</v>
      </c>
      <c r="P66" s="63">
        <v>85.0</v>
      </c>
      <c r="Q66" s="64">
        <v>90.2</v>
      </c>
      <c r="R66" s="65">
        <v>2871.15</v>
      </c>
      <c r="S66" s="96">
        <f t="shared" si="34"/>
        <v>95</v>
      </c>
      <c r="U66" s="87">
        <v>90.0</v>
      </c>
      <c r="V66" s="67">
        <v>1.1023</v>
      </c>
      <c r="Z66" s="77">
        <v>25.0</v>
      </c>
      <c r="AA66" s="70">
        <f t="shared" si="3"/>
        <v>25</v>
      </c>
      <c r="AB66" s="71">
        <f t="shared" si="4"/>
        <v>222.1144862</v>
      </c>
      <c r="AC66" s="71">
        <f>+(S66-T66)*V66-'data 1'!$F$4</f>
        <v>24.7185</v>
      </c>
      <c r="AD66" s="71">
        <f t="shared" si="5"/>
        <v>23.27450321</v>
      </c>
      <c r="AE66" s="71">
        <f t="shared" si="6"/>
        <v>-42.4425</v>
      </c>
      <c r="AF66" s="71">
        <f t="shared" si="7"/>
        <v>27.65226804</v>
      </c>
      <c r="AG66" s="72">
        <f t="shared" si="32"/>
        <v>50.20277125</v>
      </c>
      <c r="AH66" s="52">
        <f t="shared" si="8"/>
        <v>31.07949789</v>
      </c>
      <c r="AI66" s="73">
        <f t="shared" si="9"/>
        <v>17.25275229</v>
      </c>
      <c r="AJ66" s="73">
        <f t="shared" si="10"/>
        <v>27.28176317</v>
      </c>
      <c r="AK66" s="11"/>
      <c r="AL66" s="51">
        <f t="shared" si="11"/>
        <v>1528.911739</v>
      </c>
    </row>
    <row r="67" ht="15.0" customHeight="1">
      <c r="A67" s="92" t="s">
        <v>215</v>
      </c>
      <c r="B67" s="95">
        <v>45699.0</v>
      </c>
      <c r="C67" s="56">
        <v>45693.0</v>
      </c>
      <c r="D67" s="57" t="s">
        <v>88</v>
      </c>
      <c r="E67" s="57" t="str">
        <f t="array" ref="E67">XLOOKUP(D67,RUC!$B$3:$B$79,RUC!$D$3:$D$79)</f>
        <v>#N/A</v>
      </c>
      <c r="G67" s="3">
        <v>50.0</v>
      </c>
      <c r="H67" s="57" t="s">
        <v>47</v>
      </c>
      <c r="I67" s="58">
        <v>6.21</v>
      </c>
      <c r="J67" s="58">
        <v>1.2</v>
      </c>
      <c r="K67" s="59">
        <f t="shared" si="27"/>
        <v>6.13548</v>
      </c>
      <c r="L67" s="60">
        <v>0.776</v>
      </c>
      <c r="M67" s="60">
        <v>0.745</v>
      </c>
      <c r="N67" s="75">
        <v>0.799</v>
      </c>
      <c r="O67" s="60">
        <f t="shared" si="2"/>
        <v>0.772</v>
      </c>
      <c r="P67" s="63">
        <v>90.0</v>
      </c>
      <c r="Q67" s="64">
        <v>89.88</v>
      </c>
      <c r="R67" s="65">
        <v>2871.15</v>
      </c>
      <c r="S67" s="96">
        <f t="shared" si="34"/>
        <v>155</v>
      </c>
      <c r="U67" s="87">
        <v>90.0</v>
      </c>
      <c r="V67" s="67">
        <v>1.1023</v>
      </c>
      <c r="Z67" s="77">
        <v>25.0</v>
      </c>
      <c r="AA67" s="70">
        <f t="shared" si="3"/>
        <v>25</v>
      </c>
      <c r="AB67" s="71">
        <f t="shared" si="4"/>
        <v>1931.607711</v>
      </c>
      <c r="AC67" s="71">
        <f>+(S67-T67)*V67-'data 1'!$F$4</f>
        <v>90.8565</v>
      </c>
      <c r="AD67" s="71">
        <f t="shared" si="5"/>
        <v>-2.854744124</v>
      </c>
      <c r="AE67" s="71">
        <f t="shared" si="6"/>
        <v>-42.4425</v>
      </c>
      <c r="AF67" s="71">
        <f t="shared" si="7"/>
        <v>11.02166675</v>
      </c>
      <c r="AG67" s="72">
        <f t="shared" si="32"/>
        <v>73.58092262</v>
      </c>
      <c r="AH67" s="52">
        <f t="shared" si="8"/>
        <v>146.7176624</v>
      </c>
      <c r="AI67" s="73">
        <f t="shared" si="9"/>
        <v>91.37424015</v>
      </c>
      <c r="AJ67" s="73">
        <f t="shared" si="10"/>
        <v>146.1562608</v>
      </c>
      <c r="AK67" s="11"/>
      <c r="AL67" s="51">
        <f t="shared" si="11"/>
        <v>11851.34048</v>
      </c>
    </row>
    <row r="68" ht="15.0" customHeight="1">
      <c r="A68" s="92" t="s">
        <v>216</v>
      </c>
      <c r="B68" s="95">
        <v>45699.0</v>
      </c>
      <c r="C68" s="56">
        <v>45693.0</v>
      </c>
      <c r="D68" s="57" t="s">
        <v>88</v>
      </c>
      <c r="E68" s="57" t="str">
        <f t="array" ref="E68">XLOOKUP(D68,RUC!$B$3:$B$79,RUC!$D$3:$D$79)</f>
        <v>#N/A</v>
      </c>
      <c r="G68" s="3">
        <v>50.0</v>
      </c>
      <c r="H68" s="57" t="s">
        <v>47</v>
      </c>
      <c r="I68" s="58">
        <v>6.44</v>
      </c>
      <c r="J68" s="58">
        <v>1.2</v>
      </c>
      <c r="K68" s="59">
        <f t="shared" si="27"/>
        <v>6.36272</v>
      </c>
      <c r="L68" s="60">
        <v>1.34</v>
      </c>
      <c r="M68" s="60">
        <v>1.286</v>
      </c>
      <c r="N68" s="75">
        <v>1.326</v>
      </c>
      <c r="O68" s="60">
        <f t="shared" si="2"/>
        <v>1.306</v>
      </c>
      <c r="P68" s="63">
        <v>90.0</v>
      </c>
      <c r="Q68" s="64">
        <v>89.61</v>
      </c>
      <c r="R68" s="65">
        <v>2871.15</v>
      </c>
      <c r="S68" s="96">
        <v>190.0</v>
      </c>
      <c r="U68" s="87">
        <v>90.0</v>
      </c>
      <c r="V68" s="67">
        <v>1.1023</v>
      </c>
      <c r="Z68" s="77">
        <v>25.0</v>
      </c>
      <c r="AA68" s="70">
        <f t="shared" si="3"/>
        <v>25</v>
      </c>
      <c r="AB68" s="71">
        <f t="shared" si="4"/>
        <v>3366.384198</v>
      </c>
      <c r="AC68" s="71">
        <f>+(S68-T68)*V68-'data 1'!$F$4</f>
        <v>129.437</v>
      </c>
      <c r="AD68" s="71">
        <f t="shared" si="5"/>
        <v>-16.02114776</v>
      </c>
      <c r="AE68" s="71">
        <f t="shared" si="6"/>
        <v>-42.4425</v>
      </c>
      <c r="AF68" s="71">
        <f t="shared" si="7"/>
        <v>93.4027396</v>
      </c>
      <c r="AG68" s="72">
        <f t="shared" si="32"/>
        <v>181.3760918</v>
      </c>
      <c r="AH68" s="52">
        <f t="shared" si="8"/>
        <v>261.9468359</v>
      </c>
      <c r="AI68" s="73">
        <f t="shared" si="9"/>
        <v>157.3114265</v>
      </c>
      <c r="AJ68" s="73">
        <f t="shared" si="10"/>
        <v>256.4115403</v>
      </c>
      <c r="AK68" s="11"/>
      <c r="AL68" s="51">
        <f t="shared" si="11"/>
        <v>21419.36006</v>
      </c>
    </row>
    <row r="69" ht="15.0" customHeight="1">
      <c r="A69" s="92" t="s">
        <v>217</v>
      </c>
      <c r="B69" s="95">
        <v>45699.0</v>
      </c>
      <c r="C69" s="56">
        <v>45693.0</v>
      </c>
      <c r="D69" s="57" t="s">
        <v>88</v>
      </c>
      <c r="E69" s="57" t="str">
        <f t="array" ref="E69">XLOOKUP(D69,RUC!$B$3:$B$79,RUC!$D$3:$D$79)</f>
        <v>#N/A</v>
      </c>
      <c r="G69" s="3">
        <v>50.0</v>
      </c>
      <c r="H69" s="57" t="s">
        <v>47</v>
      </c>
      <c r="I69" s="58">
        <v>7.05</v>
      </c>
      <c r="J69" s="58">
        <v>1.2</v>
      </c>
      <c r="K69" s="59">
        <f t="shared" si="27"/>
        <v>6.9654</v>
      </c>
      <c r="L69" s="60">
        <v>0.777</v>
      </c>
      <c r="M69" s="60">
        <v>0.745</v>
      </c>
      <c r="N69" s="60">
        <v>0.745</v>
      </c>
      <c r="O69" s="60">
        <f t="shared" si="2"/>
        <v>0.745</v>
      </c>
      <c r="P69" s="63">
        <v>90.0</v>
      </c>
      <c r="Q69" s="64">
        <v>89.74</v>
      </c>
      <c r="R69" s="65">
        <v>2871.15</v>
      </c>
      <c r="S69" s="96">
        <f t="shared" ref="S69:S71" si="35">IF((85+ROUNDDOWN(O69,1)*100)&lt;95,95,(85+ROUNDDOWN(O69,1)*100))</f>
        <v>155</v>
      </c>
      <c r="U69" s="87">
        <v>90.0</v>
      </c>
      <c r="V69" s="67">
        <v>1.1023</v>
      </c>
      <c r="Z69" s="77">
        <v>25.0</v>
      </c>
      <c r="AA69" s="70">
        <f t="shared" si="3"/>
        <v>25</v>
      </c>
      <c r="AB69" s="71">
        <f t="shared" si="4"/>
        <v>1857.112133</v>
      </c>
      <c r="AC69" s="71">
        <f>+(S69-T69)*V69-'data 1'!$F$4</f>
        <v>90.8565</v>
      </c>
      <c r="AD69" s="71">
        <f t="shared" si="5"/>
        <v>-6.193249655</v>
      </c>
      <c r="AE69" s="71">
        <f t="shared" si="6"/>
        <v>-42.4425</v>
      </c>
      <c r="AF69" s="71">
        <f t="shared" si="7"/>
        <v>88.03599233</v>
      </c>
      <c r="AG69" s="72">
        <f t="shared" si="32"/>
        <v>147.2567427</v>
      </c>
      <c r="AH69" s="52">
        <f t="shared" si="8"/>
        <v>166.5183945</v>
      </c>
      <c r="AI69" s="73">
        <f t="shared" si="9"/>
        <v>91.34947957</v>
      </c>
      <c r="AJ69" s="73">
        <f t="shared" si="10"/>
        <v>160.1230718</v>
      </c>
      <c r="AK69" s="11"/>
      <c r="AL69" s="51">
        <f t="shared" si="11"/>
        <v>12935.52885</v>
      </c>
    </row>
    <row r="70" ht="15.0" customHeight="1">
      <c r="A70" s="92" t="s">
        <v>218</v>
      </c>
      <c r="B70" s="95">
        <v>45699.0</v>
      </c>
      <c r="C70" s="56">
        <v>45693.0</v>
      </c>
      <c r="D70" s="57" t="s">
        <v>88</v>
      </c>
      <c r="E70" s="57" t="str">
        <f t="array" ref="E70">XLOOKUP(D70,RUC!$B$3:$B$79,RUC!$D$3:$D$79)</f>
        <v>#N/A</v>
      </c>
      <c r="G70" s="3">
        <v>50.0</v>
      </c>
      <c r="H70" s="57" t="s">
        <v>47</v>
      </c>
      <c r="I70" s="58">
        <v>7.05</v>
      </c>
      <c r="J70" s="58">
        <v>1.1</v>
      </c>
      <c r="K70" s="59">
        <f t="shared" si="27"/>
        <v>6.97245</v>
      </c>
      <c r="L70" s="60">
        <v>0.398</v>
      </c>
      <c r="M70" s="60">
        <v>0.382</v>
      </c>
      <c r="N70" s="75">
        <v>0.446</v>
      </c>
      <c r="O70" s="60">
        <f t="shared" si="2"/>
        <v>0.414</v>
      </c>
      <c r="P70" s="63">
        <v>90.0</v>
      </c>
      <c r="Q70" s="64">
        <v>90.17</v>
      </c>
      <c r="R70" s="65">
        <v>2871.15</v>
      </c>
      <c r="S70" s="96">
        <f t="shared" si="35"/>
        <v>125</v>
      </c>
      <c r="U70" s="87">
        <v>90.0</v>
      </c>
      <c r="V70" s="67">
        <v>1.1023</v>
      </c>
      <c r="Z70" s="77">
        <v>25.0</v>
      </c>
      <c r="AA70" s="70">
        <f t="shared" si="3"/>
        <v>25</v>
      </c>
      <c r="AB70" s="71">
        <f t="shared" si="4"/>
        <v>976.9205289</v>
      </c>
      <c r="AC70" s="71">
        <f>+(S70-T70)*V70-'data 1'!$F$4</f>
        <v>57.7875</v>
      </c>
      <c r="AD70" s="71">
        <f t="shared" si="5"/>
        <v>2.074226669</v>
      </c>
      <c r="AE70" s="71">
        <f t="shared" si="6"/>
        <v>-42.4425</v>
      </c>
      <c r="AF70" s="71">
        <f t="shared" si="7"/>
        <v>-44.22891368</v>
      </c>
      <c r="AG70" s="72">
        <f t="shared" si="32"/>
        <v>-9.809687016</v>
      </c>
      <c r="AH70" s="52">
        <f t="shared" si="8"/>
        <v>85.79058309</v>
      </c>
      <c r="AI70" s="73">
        <f t="shared" si="9"/>
        <v>47.01583301</v>
      </c>
      <c r="AJ70" s="73">
        <f t="shared" si="10"/>
        <v>89.07120515</v>
      </c>
      <c r="AK70" s="11"/>
      <c r="AL70" s="51">
        <f t="shared" si="11"/>
        <v>6811.529542</v>
      </c>
    </row>
    <row r="71" ht="15.0" customHeight="1">
      <c r="A71" s="92" t="s">
        <v>219</v>
      </c>
      <c r="B71" s="95">
        <v>45699.0</v>
      </c>
      <c r="C71" s="56">
        <v>45693.0</v>
      </c>
      <c r="D71" s="57" t="s">
        <v>88</v>
      </c>
      <c r="E71" s="57" t="str">
        <f t="array" ref="E71">XLOOKUP(D71,RUC!$B$3:$B$79,RUC!$D$3:$D$79)</f>
        <v>#N/A</v>
      </c>
      <c r="G71" s="3">
        <v>50.0</v>
      </c>
      <c r="H71" s="57" t="s">
        <v>47</v>
      </c>
      <c r="I71" s="58">
        <v>5.18</v>
      </c>
      <c r="J71" s="58">
        <v>1.2</v>
      </c>
      <c r="K71" s="59">
        <f t="shared" si="27"/>
        <v>5.11784</v>
      </c>
      <c r="L71" s="60">
        <v>0.399</v>
      </c>
      <c r="M71" s="60">
        <v>0.383</v>
      </c>
      <c r="N71" s="75">
        <v>0.439</v>
      </c>
      <c r="O71" s="60">
        <f t="shared" si="2"/>
        <v>0.411</v>
      </c>
      <c r="P71" s="63">
        <v>90.0</v>
      </c>
      <c r="Q71" s="64">
        <v>90.09</v>
      </c>
      <c r="R71" s="65">
        <v>2871.15</v>
      </c>
      <c r="S71" s="96">
        <f t="shared" si="35"/>
        <v>125</v>
      </c>
      <c r="U71" s="87">
        <v>90.0</v>
      </c>
      <c r="V71" s="67">
        <v>1.1023</v>
      </c>
      <c r="Z71" s="77">
        <v>25.0</v>
      </c>
      <c r="AA71" s="70">
        <f t="shared" si="3"/>
        <v>25</v>
      </c>
      <c r="AB71" s="71">
        <f t="shared" si="4"/>
        <v>968.6432425</v>
      </c>
      <c r="AC71" s="71">
        <f>+(S71-T71)*V71-'data 1'!$F$4</f>
        <v>57.7875</v>
      </c>
      <c r="AD71" s="71">
        <f t="shared" si="5"/>
        <v>1.100879097</v>
      </c>
      <c r="AE71" s="71">
        <f t="shared" si="6"/>
        <v>-42.4425</v>
      </c>
      <c r="AF71" s="71">
        <f t="shared" si="7"/>
        <v>-33.14225491</v>
      </c>
      <c r="AG71" s="72">
        <f t="shared" si="32"/>
        <v>0.303624185</v>
      </c>
      <c r="AH71" s="52">
        <f t="shared" si="8"/>
        <v>63.07325677</v>
      </c>
      <c r="AI71" s="73">
        <f t="shared" si="9"/>
        <v>47.09214538</v>
      </c>
      <c r="AJ71" s="73">
        <f t="shared" si="10"/>
        <v>64.90529153</v>
      </c>
      <c r="AK71" s="11"/>
      <c r="AL71" s="51">
        <f t="shared" si="11"/>
        <v>4957.361132</v>
      </c>
    </row>
    <row r="72" ht="15.0" customHeight="1">
      <c r="A72" s="92" t="s">
        <v>220</v>
      </c>
      <c r="B72" s="95">
        <v>45698.0</v>
      </c>
      <c r="C72" s="56">
        <v>45693.0</v>
      </c>
      <c r="D72" s="57" t="s">
        <v>45</v>
      </c>
      <c r="E72" s="57">
        <f t="array" ref="E72">XLOOKUP(D72,RUC!$B$3:$B$79,RUC!$D$3:$D$79)</f>
        <v>10416085884</v>
      </c>
      <c r="G72" s="3" t="s">
        <v>46</v>
      </c>
      <c r="H72" s="57" t="s">
        <v>47</v>
      </c>
      <c r="I72" s="58">
        <v>23.57</v>
      </c>
      <c r="J72" s="58">
        <v>10.0</v>
      </c>
      <c r="K72" s="59">
        <f t="shared" si="27"/>
        <v>21.213</v>
      </c>
      <c r="L72" s="60">
        <v>0.142</v>
      </c>
      <c r="M72" s="60">
        <v>0.137</v>
      </c>
      <c r="N72" s="62">
        <v>0.155</v>
      </c>
      <c r="O72" s="60">
        <f t="shared" si="2"/>
        <v>0.146</v>
      </c>
      <c r="P72" s="63">
        <v>85.0</v>
      </c>
      <c r="Q72" s="64">
        <v>89.95</v>
      </c>
      <c r="R72" s="65">
        <v>2843.55</v>
      </c>
      <c r="S72" s="96">
        <v>110.0</v>
      </c>
      <c r="U72" s="67">
        <v>90.0</v>
      </c>
      <c r="V72" s="67">
        <v>1.1023</v>
      </c>
      <c r="Z72" s="69">
        <f t="shared" ref="Z72:Z76" si="36">IF(IF(D72="UNTUCA",IF(+((W72-3)*1.5+(X72-3)*3.1)&gt;0,+((W72-3)*1.5+(X72-3)*3.1),0),IF(+((W72-3)*1.5+(X72-3)*3.1)&gt;0,+((W72-3)*1.5+(X72-3)*3.1),0))&lt;30,30,IF(D72="UNTUCA",IF(+((W72-3)*1.5+(X72-3)*3.1)&gt;0,+((W72-3)*1.5+(X72-3)*3.1),0),IF(+((W72-3)*1.5+(X72-3)*3.1)&gt;0,+((W72-3)*1.5+(X72-3)*3.1),0)))</f>
        <v>30</v>
      </c>
      <c r="AA72" s="70">
        <f t="shared" si="3"/>
        <v>30</v>
      </c>
      <c r="AB72" s="71">
        <f t="shared" si="4"/>
        <v>222.3510563</v>
      </c>
      <c r="AC72" s="71">
        <f>+(S72-T72)*V72-'data 1'!$F$4</f>
        <v>41.253</v>
      </c>
      <c r="AD72" s="71">
        <f t="shared" si="5"/>
        <v>21.33468906</v>
      </c>
      <c r="AE72" s="71">
        <f t="shared" si="6"/>
        <v>-36.931</v>
      </c>
      <c r="AF72" s="71">
        <f t="shared" si="7"/>
        <v>-10.92078692</v>
      </c>
      <c r="AG72" s="72">
        <f t="shared" si="32"/>
        <v>31.73590214</v>
      </c>
      <c r="AH72" s="52">
        <f t="shared" si="8"/>
        <v>92.8967827</v>
      </c>
      <c r="AI72" s="73">
        <f t="shared" si="9"/>
        <v>20.61952685</v>
      </c>
      <c r="AJ72" s="73">
        <f t="shared" si="10"/>
        <v>90.25742575</v>
      </c>
      <c r="AK72" s="11"/>
      <c r="AL72" s="51">
        <f t="shared" si="11"/>
        <v>4716.732957</v>
      </c>
    </row>
    <row r="73" ht="15.0" customHeight="1">
      <c r="A73" s="92" t="s">
        <v>221</v>
      </c>
      <c r="B73" s="95">
        <v>45698.0</v>
      </c>
      <c r="C73" s="56">
        <v>45694.0</v>
      </c>
      <c r="D73" s="57" t="s">
        <v>51</v>
      </c>
      <c r="E73" s="57" t="str">
        <f t="array" ref="E73">XLOOKUP(D73,RUC!$B$3:$B$79,RUC!$D$3:$D$79)</f>
        <v>#N/A</v>
      </c>
      <c r="G73" s="3" t="s">
        <v>46</v>
      </c>
      <c r="H73" s="57" t="s">
        <v>47</v>
      </c>
      <c r="I73" s="58">
        <v>19.05</v>
      </c>
      <c r="J73" s="58">
        <v>1.2</v>
      </c>
      <c r="K73" s="59">
        <f t="shared" si="27"/>
        <v>18.8214</v>
      </c>
      <c r="L73" s="60">
        <v>0.29</v>
      </c>
      <c r="M73" s="60">
        <v>0.278</v>
      </c>
      <c r="N73" s="60">
        <v>0.278</v>
      </c>
      <c r="O73" s="60">
        <f t="shared" si="2"/>
        <v>0.278</v>
      </c>
      <c r="P73" s="63">
        <v>90.0</v>
      </c>
      <c r="Q73" s="58">
        <v>90.2</v>
      </c>
      <c r="R73" s="65">
        <v>2838.95</v>
      </c>
      <c r="S73" s="66">
        <f t="shared" ref="S73:S75" si="37">IF((80+ROUNDDOWN(O73,1)*100)&lt;95,95,(80+ROUNDDOWN(O73,1)*100))</f>
        <v>100</v>
      </c>
      <c r="U73" s="67">
        <v>100.0</v>
      </c>
      <c r="V73" s="67">
        <v>1.1023</v>
      </c>
      <c r="Z73" s="69">
        <f t="shared" si="36"/>
        <v>30</v>
      </c>
      <c r="AA73" s="70">
        <f t="shared" si="3"/>
        <v>30</v>
      </c>
      <c r="AB73" s="71">
        <f t="shared" si="4"/>
        <v>612.0909752</v>
      </c>
      <c r="AC73" s="71">
        <f>+(S73-T73)*V73-'data 1'!$F$4</f>
        <v>30.23</v>
      </c>
      <c r="AD73" s="71">
        <f t="shared" si="5"/>
        <v>1.751103859</v>
      </c>
      <c r="AE73" s="71">
        <f t="shared" si="6"/>
        <v>-36.931</v>
      </c>
      <c r="AF73" s="71">
        <f t="shared" si="7"/>
        <v>32.67922099</v>
      </c>
      <c r="AG73" s="72">
        <f t="shared" ref="AG73:AG75" si="38">+IF(D73="RONALD WILLIAN GARIBAY ESCUDERO",AC73+AD73+AE73+AF73+70,AC73+AD73+AE73+AF73)</f>
        <v>97.72932485</v>
      </c>
      <c r="AH73" s="52">
        <f t="shared" si="8"/>
        <v>168.7973131</v>
      </c>
      <c r="AI73" s="73">
        <f t="shared" si="9"/>
        <v>46.43709806</v>
      </c>
      <c r="AJ73" s="73">
        <f t="shared" si="10"/>
        <v>161.4538105</v>
      </c>
      <c r="AK73" s="11"/>
      <c r="AL73" s="51">
        <f t="shared" si="11"/>
        <v>11520.40908</v>
      </c>
    </row>
    <row r="74" ht="15.0" customHeight="1">
      <c r="A74" s="92" t="s">
        <v>222</v>
      </c>
      <c r="B74" s="56">
        <v>45699.0</v>
      </c>
      <c r="C74" s="56">
        <v>45695.0</v>
      </c>
      <c r="D74" s="57" t="s">
        <v>51</v>
      </c>
      <c r="E74" s="57" t="str">
        <f t="array" ref="E74">XLOOKUP(D74,RUC!$B$3:$B$79,RUC!$D$3:$D$79)</f>
        <v>#N/A</v>
      </c>
      <c r="G74" s="3">
        <v>13.0</v>
      </c>
      <c r="H74" s="57" t="s">
        <v>47</v>
      </c>
      <c r="I74" s="58">
        <v>1.02</v>
      </c>
      <c r="J74" s="58">
        <v>1.2</v>
      </c>
      <c r="K74" s="59">
        <f t="shared" si="27"/>
        <v>1.00776</v>
      </c>
      <c r="L74" s="60">
        <v>0.443</v>
      </c>
      <c r="M74" s="60">
        <v>0.425</v>
      </c>
      <c r="N74" s="62">
        <v>0.425</v>
      </c>
      <c r="O74" s="60">
        <f t="shared" si="2"/>
        <v>0.425</v>
      </c>
      <c r="P74" s="63">
        <v>90.0</v>
      </c>
      <c r="Q74" s="58">
        <v>89.96</v>
      </c>
      <c r="R74" s="65">
        <v>2874.65</v>
      </c>
      <c r="S74" s="96">
        <f t="shared" si="37"/>
        <v>120</v>
      </c>
      <c r="U74" s="67">
        <v>100.0</v>
      </c>
      <c r="V74" s="67">
        <v>1.1023</v>
      </c>
      <c r="Z74" s="69">
        <f t="shared" si="36"/>
        <v>30</v>
      </c>
      <c r="AA74" s="70">
        <f t="shared" si="3"/>
        <v>30</v>
      </c>
      <c r="AB74" s="71">
        <f t="shared" si="4"/>
        <v>1004.529986</v>
      </c>
      <c r="AC74" s="71">
        <f>+(S74-T74)*V74-'data 1'!$F$4</f>
        <v>52.276</v>
      </c>
      <c r="AD74" s="71">
        <f t="shared" si="5"/>
        <v>-0.5419656144</v>
      </c>
      <c r="AE74" s="71">
        <f t="shared" si="6"/>
        <v>-36.931</v>
      </c>
      <c r="AF74" s="71">
        <f t="shared" si="7"/>
        <v>49.52562528</v>
      </c>
      <c r="AG74" s="72">
        <f t="shared" si="38"/>
        <v>134.3286597</v>
      </c>
      <c r="AH74" s="52">
        <f t="shared" si="8"/>
        <v>13.76953767</v>
      </c>
      <c r="AI74" s="73">
        <f t="shared" si="9"/>
        <v>55.06521239</v>
      </c>
      <c r="AJ74" s="73">
        <f t="shared" si="10"/>
        <v>13.21592682</v>
      </c>
      <c r="AK74" s="11"/>
      <c r="AL74" s="51">
        <f t="shared" si="11"/>
        <v>1012.325139</v>
      </c>
    </row>
    <row r="75" ht="15.0" customHeight="1">
      <c r="A75" s="92" t="s">
        <v>223</v>
      </c>
      <c r="B75" s="56">
        <v>45699.0</v>
      </c>
      <c r="C75" s="56">
        <v>45695.0</v>
      </c>
      <c r="D75" s="57" t="s">
        <v>51</v>
      </c>
      <c r="E75" s="57" t="str">
        <f t="array" ref="E75">XLOOKUP(D75,RUC!$B$3:$B$79,RUC!$D$3:$D$79)</f>
        <v>#N/A</v>
      </c>
      <c r="G75" s="3">
        <v>37.0</v>
      </c>
      <c r="H75" s="57" t="s">
        <v>47</v>
      </c>
      <c r="I75" s="58">
        <v>4.41</v>
      </c>
      <c r="J75" s="58">
        <v>1.1</v>
      </c>
      <c r="K75" s="59">
        <f t="shared" si="27"/>
        <v>4.36149</v>
      </c>
      <c r="L75" s="60">
        <v>0.305</v>
      </c>
      <c r="M75" s="60">
        <v>0.292</v>
      </c>
      <c r="N75" s="75">
        <v>0.375</v>
      </c>
      <c r="O75" s="60">
        <f t="shared" si="2"/>
        <v>0.334</v>
      </c>
      <c r="P75" s="63">
        <v>90.0</v>
      </c>
      <c r="Q75" s="58">
        <v>89.98</v>
      </c>
      <c r="R75" s="65">
        <v>2874.65</v>
      </c>
      <c r="S75" s="96">
        <f t="shared" si="37"/>
        <v>110</v>
      </c>
      <c r="U75" s="67">
        <v>100.0</v>
      </c>
      <c r="V75" s="67">
        <v>1.1023</v>
      </c>
      <c r="Z75" s="69">
        <f t="shared" si="36"/>
        <v>30</v>
      </c>
      <c r="AA75" s="70">
        <f t="shared" si="3"/>
        <v>30</v>
      </c>
      <c r="AB75" s="71">
        <f t="shared" si="4"/>
        <v>765.0621065</v>
      </c>
      <c r="AC75" s="71">
        <f>+(S75-T75)*V75-'data 1'!$F$4</f>
        <v>41.253</v>
      </c>
      <c r="AD75" s="71">
        <f t="shared" si="5"/>
        <v>-0.1865682984</v>
      </c>
      <c r="AE75" s="71">
        <f t="shared" si="6"/>
        <v>-36.931</v>
      </c>
      <c r="AF75" s="71">
        <f t="shared" si="7"/>
        <v>-79.80902446</v>
      </c>
      <c r="AG75" s="72">
        <f t="shared" si="38"/>
        <v>-5.673592757</v>
      </c>
      <c r="AH75" s="52">
        <f t="shared" si="8"/>
        <v>41.03833936</v>
      </c>
      <c r="AI75" s="73">
        <f t="shared" si="9"/>
        <v>37.92014365</v>
      </c>
      <c r="AJ75" s="73">
        <f t="shared" si="10"/>
        <v>44.95033436</v>
      </c>
      <c r="AK75" s="11"/>
      <c r="AL75" s="51">
        <f t="shared" si="11"/>
        <v>3336.810727</v>
      </c>
    </row>
    <row r="76" ht="15.0" customHeight="1">
      <c r="A76" s="92" t="s">
        <v>224</v>
      </c>
      <c r="B76" s="56">
        <v>45700.0</v>
      </c>
      <c r="C76" s="56">
        <v>45695.0</v>
      </c>
      <c r="D76" s="57" t="s">
        <v>225</v>
      </c>
      <c r="E76" s="57">
        <f t="array" ref="E76">XLOOKUP(D76,RUC!$B$3:$B$79,RUC!$D$3:$D$79)</f>
        <v>10761932735</v>
      </c>
      <c r="G76" s="3" t="s">
        <v>46</v>
      </c>
      <c r="H76" s="57" t="s">
        <v>47</v>
      </c>
      <c r="I76" s="58">
        <v>21.07</v>
      </c>
      <c r="J76" s="58">
        <v>15.2</v>
      </c>
      <c r="K76" s="59">
        <f t="shared" si="27"/>
        <v>17.86736</v>
      </c>
      <c r="L76" s="60">
        <v>0.129</v>
      </c>
      <c r="M76" s="60">
        <v>0.119</v>
      </c>
      <c r="N76" s="62">
        <v>0.178</v>
      </c>
      <c r="O76" s="60">
        <f t="shared" si="2"/>
        <v>0.149</v>
      </c>
      <c r="P76" s="63">
        <v>80.0</v>
      </c>
      <c r="Q76" s="58">
        <v>89.93</v>
      </c>
      <c r="R76" s="65">
        <v>2874.65</v>
      </c>
      <c r="S76" s="66">
        <v>105.0</v>
      </c>
      <c r="U76" s="67">
        <v>120.0</v>
      </c>
      <c r="V76" s="67">
        <v>1.1023</v>
      </c>
      <c r="Y76" s="57">
        <v>20.0</v>
      </c>
      <c r="Z76" s="69">
        <f t="shared" si="36"/>
        <v>30</v>
      </c>
      <c r="AA76" s="70">
        <f t="shared" si="3"/>
        <v>50</v>
      </c>
      <c r="AB76" s="71">
        <f t="shared" si="4"/>
        <v>191.0884228</v>
      </c>
      <c r="AC76" s="71">
        <f>+(S76-T76)*V76-'data 1'!$F$4</f>
        <v>35.7415</v>
      </c>
      <c r="AD76" s="71">
        <f t="shared" si="5"/>
        <v>38.89602247</v>
      </c>
      <c r="AE76" s="71">
        <f t="shared" si="6"/>
        <v>-14.885</v>
      </c>
      <c r="AF76" s="71">
        <f t="shared" si="7"/>
        <v>-54.6136022</v>
      </c>
      <c r="AG76" s="72">
        <f>+IF(D76="RONALD WILLIAN GARIBAY ESCUDERO",AC76+AD76+AE76+AF76+70,AC76+AD76+AE76+AF76)+70-53</f>
        <v>22.13892027</v>
      </c>
      <c r="AH76" s="52">
        <f t="shared" si="8"/>
        <v>71.06630916</v>
      </c>
      <c r="AI76" s="73">
        <f t="shared" si="9"/>
        <v>18.58699351</v>
      </c>
      <c r="AJ76" s="73">
        <f t="shared" si="10"/>
        <v>73.02065303</v>
      </c>
      <c r="AK76" s="11"/>
      <c r="AL76" s="51">
        <f t="shared" si="11"/>
        <v>3414.245643</v>
      </c>
    </row>
    <row r="77" ht="15.0" customHeight="1">
      <c r="A77" s="92" t="s">
        <v>226</v>
      </c>
      <c r="B77" s="56">
        <v>45698.0</v>
      </c>
      <c r="C77" s="56">
        <v>45696.0</v>
      </c>
      <c r="D77" s="57" t="s">
        <v>74</v>
      </c>
      <c r="E77" s="57">
        <f t="array" ref="E77">XLOOKUP(D77,RUC!$B$3:$B$79,RUC!$D$3:$D$79)</f>
        <v>10082235774</v>
      </c>
      <c r="G77" s="3">
        <v>45.0</v>
      </c>
      <c r="H77" s="57" t="s">
        <v>47</v>
      </c>
      <c r="I77" s="58">
        <v>4.49</v>
      </c>
      <c r="J77" s="58">
        <v>1.7</v>
      </c>
      <c r="K77" s="59">
        <f t="shared" si="27"/>
        <v>4.41367</v>
      </c>
      <c r="L77" s="60">
        <v>0.171</v>
      </c>
      <c r="M77" s="60">
        <v>0.168</v>
      </c>
      <c r="N77" s="62">
        <v>0.168</v>
      </c>
      <c r="O77" s="60">
        <f t="shared" si="2"/>
        <v>0.168</v>
      </c>
      <c r="P77" s="63">
        <v>85.0</v>
      </c>
      <c r="Q77" s="58">
        <v>90.22</v>
      </c>
      <c r="R77" s="65">
        <v>2874.65</v>
      </c>
      <c r="S77" s="96">
        <v>95.0</v>
      </c>
      <c r="U77" s="87">
        <v>80.0</v>
      </c>
      <c r="V77" s="67">
        <v>1.1023</v>
      </c>
      <c r="Z77" s="77">
        <v>10.0</v>
      </c>
      <c r="AA77" s="70">
        <f t="shared" si="3"/>
        <v>10</v>
      </c>
      <c r="AB77" s="71">
        <f t="shared" si="4"/>
        <v>324.1599968</v>
      </c>
      <c r="AC77" s="71">
        <f>+(S77-T77)*V77-'data 1'!$F$4</f>
        <v>24.7185</v>
      </c>
      <c r="AD77" s="71">
        <f t="shared" si="5"/>
        <v>27.4975402</v>
      </c>
      <c r="AE77" s="71">
        <f t="shared" si="6"/>
        <v>-58.977</v>
      </c>
      <c r="AF77" s="71">
        <f t="shared" si="7"/>
        <v>8.337796858</v>
      </c>
      <c r="AG77" s="72">
        <f t="shared" ref="AG77:AG89" si="39">+IF(D77="RONALD WILLIAN GARIBAY ESCUDERO",AC77+AD77+AE77+AF77+70,AC77+AD77+AE77+AF77)+70</f>
        <v>71.57683706</v>
      </c>
      <c r="AH77" s="52">
        <f t="shared" si="8"/>
        <v>23.34575165</v>
      </c>
      <c r="AI77" s="73">
        <f t="shared" si="9"/>
        <v>17.91567933</v>
      </c>
      <c r="AJ77" s="73">
        <f t="shared" si="10"/>
        <v>21.6091227</v>
      </c>
      <c r="AK77" s="11"/>
      <c r="AL77" s="51">
        <f t="shared" si="11"/>
        <v>1430.735253</v>
      </c>
    </row>
    <row r="78" ht="15.0" customHeight="1">
      <c r="A78" s="92" t="s">
        <v>227</v>
      </c>
      <c r="B78" s="56">
        <v>45698.0</v>
      </c>
      <c r="C78" s="56">
        <v>45696.0</v>
      </c>
      <c r="D78" s="57" t="s">
        <v>74</v>
      </c>
      <c r="E78" s="57">
        <f t="array" ref="E78">XLOOKUP(D78,RUC!$B$3:$B$79,RUC!$D$3:$D$79)</f>
        <v>10082235774</v>
      </c>
      <c r="G78" s="3">
        <v>45.0</v>
      </c>
      <c r="H78" s="57" t="s">
        <v>47</v>
      </c>
      <c r="I78" s="58">
        <v>4.54</v>
      </c>
      <c r="J78" s="58">
        <v>1.8</v>
      </c>
      <c r="K78" s="59">
        <f t="shared" si="27"/>
        <v>4.45828</v>
      </c>
      <c r="L78" s="60">
        <v>0.296</v>
      </c>
      <c r="M78" s="60">
        <v>0.291</v>
      </c>
      <c r="N78" s="62">
        <v>0.291</v>
      </c>
      <c r="O78" s="60">
        <f t="shared" si="2"/>
        <v>0.291</v>
      </c>
      <c r="P78" s="63">
        <v>90.0</v>
      </c>
      <c r="Q78" s="58">
        <v>90.26</v>
      </c>
      <c r="R78" s="65">
        <v>2874.65</v>
      </c>
      <c r="S78" s="96">
        <v>105.0</v>
      </c>
      <c r="U78" s="87">
        <v>80.0</v>
      </c>
      <c r="V78" s="67">
        <v>1.1023</v>
      </c>
      <c r="Z78" s="77">
        <v>10.0</v>
      </c>
      <c r="AA78" s="70">
        <f t="shared" si="3"/>
        <v>10</v>
      </c>
      <c r="AB78" s="71">
        <f t="shared" si="4"/>
        <v>680.0296318</v>
      </c>
      <c r="AC78" s="71">
        <f>+(S78-T78)*V78-'data 1'!$F$4</f>
        <v>35.7415</v>
      </c>
      <c r="AD78" s="71">
        <f t="shared" si="5"/>
        <v>2.370785658</v>
      </c>
      <c r="AE78" s="71">
        <f t="shared" si="6"/>
        <v>-58.977</v>
      </c>
      <c r="AF78" s="71">
        <f t="shared" si="7"/>
        <v>13.90248918</v>
      </c>
      <c r="AG78" s="72">
        <f t="shared" si="39"/>
        <v>63.03777484</v>
      </c>
      <c r="AH78" s="52">
        <f t="shared" si="8"/>
        <v>40.83790459</v>
      </c>
      <c r="AI78" s="73">
        <f t="shared" si="9"/>
        <v>31.02568563</v>
      </c>
      <c r="AJ78" s="73">
        <f t="shared" si="10"/>
        <v>40.03242589</v>
      </c>
      <c r="AK78" s="11"/>
      <c r="AL78" s="51">
        <f t="shared" si="11"/>
        <v>3031.762507</v>
      </c>
    </row>
    <row r="79" ht="15.0" customHeight="1">
      <c r="A79" s="92" t="s">
        <v>228</v>
      </c>
      <c r="B79" s="56">
        <v>45698.0</v>
      </c>
      <c r="C79" s="56">
        <v>45696.0</v>
      </c>
      <c r="D79" s="57" t="s">
        <v>74</v>
      </c>
      <c r="E79" s="57">
        <f t="array" ref="E79">XLOOKUP(D79,RUC!$B$3:$B$79,RUC!$D$3:$D$79)</f>
        <v>10082235774</v>
      </c>
      <c r="G79" s="3">
        <v>44.0</v>
      </c>
      <c r="H79" s="57" t="s">
        <v>47</v>
      </c>
      <c r="I79" s="58">
        <v>4.82</v>
      </c>
      <c r="J79" s="58">
        <v>1.8</v>
      </c>
      <c r="K79" s="59">
        <f t="shared" si="27"/>
        <v>4.73324</v>
      </c>
      <c r="L79" s="60">
        <v>0.831</v>
      </c>
      <c r="M79" s="60">
        <v>0.818</v>
      </c>
      <c r="N79" s="62">
        <v>0.818</v>
      </c>
      <c r="O79" s="60">
        <f t="shared" si="2"/>
        <v>0.818</v>
      </c>
      <c r="P79" s="63">
        <v>90.0</v>
      </c>
      <c r="Q79" s="58">
        <v>89.88</v>
      </c>
      <c r="R79" s="65">
        <v>2874.65</v>
      </c>
      <c r="S79" s="96">
        <v>140.0</v>
      </c>
      <c r="U79" s="87">
        <v>80.0</v>
      </c>
      <c r="V79" s="67">
        <v>1.1023</v>
      </c>
      <c r="Z79" s="77">
        <v>10.0</v>
      </c>
      <c r="AA79" s="70">
        <f t="shared" si="3"/>
        <v>10</v>
      </c>
      <c r="AB79" s="71">
        <f t="shared" si="4"/>
        <v>2102.550532</v>
      </c>
      <c r="AC79" s="71">
        <f>+(S79-T79)*V79-'data 1'!$F$4</f>
        <v>74.322</v>
      </c>
      <c r="AD79" s="71">
        <f t="shared" si="5"/>
        <v>-3.071917175</v>
      </c>
      <c r="AE79" s="71">
        <f t="shared" si="6"/>
        <v>-58.977</v>
      </c>
      <c r="AF79" s="71">
        <f t="shared" si="7"/>
        <v>35.99429307</v>
      </c>
      <c r="AG79" s="72">
        <f t="shared" si="39"/>
        <v>118.2673759</v>
      </c>
      <c r="AH79" s="52">
        <f t="shared" si="8"/>
        <v>121.208111</v>
      </c>
      <c r="AI79" s="73">
        <f t="shared" si="9"/>
        <v>86.73580926</v>
      </c>
      <c r="AJ79" s="73">
        <f t="shared" si="10"/>
        <v>119.4712502</v>
      </c>
      <c r="AK79" s="11"/>
      <c r="AL79" s="51">
        <f t="shared" si="11"/>
        <v>9951.87628</v>
      </c>
    </row>
    <row r="80" ht="15.0" customHeight="1">
      <c r="A80" s="92" t="s">
        <v>229</v>
      </c>
      <c r="B80" s="56">
        <v>45698.0</v>
      </c>
      <c r="C80" s="56">
        <v>45696.0</v>
      </c>
      <c r="D80" s="57" t="s">
        <v>74</v>
      </c>
      <c r="E80" s="57">
        <f t="array" ref="E80">XLOOKUP(D80,RUC!$B$3:$B$79,RUC!$D$3:$D$79)</f>
        <v>10082235774</v>
      </c>
      <c r="G80" s="3">
        <v>46.0</v>
      </c>
      <c r="H80" s="57" t="s">
        <v>47</v>
      </c>
      <c r="I80" s="58">
        <v>4.59</v>
      </c>
      <c r="J80" s="58">
        <v>1.7</v>
      </c>
      <c r="K80" s="59">
        <f t="shared" si="27"/>
        <v>4.51197</v>
      </c>
      <c r="L80" s="60">
        <v>0.563</v>
      </c>
      <c r="M80" s="60">
        <v>0.555</v>
      </c>
      <c r="N80" s="62">
        <v>0.555</v>
      </c>
      <c r="O80" s="60">
        <f t="shared" si="2"/>
        <v>0.555</v>
      </c>
      <c r="P80" s="63">
        <v>90.0</v>
      </c>
      <c r="Q80" s="58">
        <v>89.96</v>
      </c>
      <c r="R80" s="65">
        <v>2874.65</v>
      </c>
      <c r="S80" s="96">
        <v>120.0</v>
      </c>
      <c r="U80" s="87">
        <v>80.0</v>
      </c>
      <c r="V80" s="67">
        <v>1.1023</v>
      </c>
      <c r="Z80" s="77">
        <v>10.0</v>
      </c>
      <c r="AA80" s="70">
        <f t="shared" si="3"/>
        <v>10</v>
      </c>
      <c r="AB80" s="71">
        <f t="shared" si="4"/>
        <v>1395.432076</v>
      </c>
      <c r="AC80" s="71">
        <f>+(S80-T80)*V80-'data 1'!$F$4</f>
        <v>52.276</v>
      </c>
      <c r="AD80" s="71">
        <f t="shared" si="5"/>
        <v>-0.6937382149</v>
      </c>
      <c r="AE80" s="71">
        <f t="shared" si="6"/>
        <v>-58.977</v>
      </c>
      <c r="AF80" s="71">
        <f t="shared" si="7"/>
        <v>22.17004967</v>
      </c>
      <c r="AG80" s="72">
        <f t="shared" si="39"/>
        <v>84.77531145</v>
      </c>
      <c r="AH80" s="52">
        <f t="shared" si="8"/>
        <v>78.34893803</v>
      </c>
      <c r="AI80" s="73">
        <f t="shared" si="9"/>
        <v>58.81555357</v>
      </c>
      <c r="AJ80" s="73">
        <f t="shared" si="10"/>
        <v>77.26997384</v>
      </c>
      <c r="AK80" s="11"/>
      <c r="AL80" s="51">
        <f t="shared" si="11"/>
        <v>6296.147665</v>
      </c>
    </row>
    <row r="81" ht="15.0" customHeight="1">
      <c r="A81" s="92" t="s">
        <v>230</v>
      </c>
      <c r="B81" s="56">
        <v>45698.0</v>
      </c>
      <c r="C81" s="56">
        <v>45696.0</v>
      </c>
      <c r="D81" s="57" t="s">
        <v>74</v>
      </c>
      <c r="E81" s="57">
        <f t="array" ref="E81">XLOOKUP(D81,RUC!$B$3:$B$79,RUC!$D$3:$D$79)</f>
        <v>10082235774</v>
      </c>
      <c r="G81" s="3">
        <v>45.0</v>
      </c>
      <c r="H81" s="57" t="s">
        <v>47</v>
      </c>
      <c r="I81" s="58">
        <v>4.89</v>
      </c>
      <c r="J81" s="58">
        <v>1.6</v>
      </c>
      <c r="K81" s="59">
        <f t="shared" si="27"/>
        <v>4.81176</v>
      </c>
      <c r="L81" s="60">
        <v>0.597</v>
      </c>
      <c r="M81" s="60">
        <v>0.588</v>
      </c>
      <c r="N81" s="62">
        <v>0.588</v>
      </c>
      <c r="O81" s="60">
        <f t="shared" si="2"/>
        <v>0.588</v>
      </c>
      <c r="P81" s="63">
        <v>90.0</v>
      </c>
      <c r="Q81" s="58">
        <v>89.92</v>
      </c>
      <c r="R81" s="65">
        <v>2874.65</v>
      </c>
      <c r="S81" s="96">
        <v>120.0</v>
      </c>
      <c r="U81" s="87">
        <v>80.0</v>
      </c>
      <c r="V81" s="67">
        <v>1.1023</v>
      </c>
      <c r="Z81" s="77">
        <v>10.0</v>
      </c>
      <c r="AA81" s="70">
        <f t="shared" si="3"/>
        <v>10</v>
      </c>
      <c r="AB81" s="71">
        <f t="shared" si="4"/>
        <v>1486.924194</v>
      </c>
      <c r="AC81" s="71">
        <f>+(S81-T81)*V81-'data 1'!$F$4</f>
        <v>52.276</v>
      </c>
      <c r="AD81" s="71">
        <f t="shared" si="5"/>
        <v>-1.471267191</v>
      </c>
      <c r="AE81" s="71">
        <f t="shared" si="6"/>
        <v>-58.977</v>
      </c>
      <c r="AF81" s="71">
        <f t="shared" si="7"/>
        <v>24.93021592</v>
      </c>
      <c r="AG81" s="72">
        <f t="shared" si="39"/>
        <v>86.75794873</v>
      </c>
      <c r="AH81" s="52">
        <f t="shared" si="8"/>
        <v>88.56123336</v>
      </c>
      <c r="AI81" s="73">
        <f t="shared" si="9"/>
        <v>62.33973858</v>
      </c>
      <c r="AJ81" s="73">
        <f t="shared" si="10"/>
        <v>87.30374272</v>
      </c>
      <c r="AK81" s="11"/>
      <c r="AL81" s="51">
        <f t="shared" si="11"/>
        <v>7154.722361</v>
      </c>
    </row>
    <row r="82" ht="15.0" customHeight="1">
      <c r="A82" s="92" t="s">
        <v>231</v>
      </c>
      <c r="B82" s="56">
        <v>45698.0</v>
      </c>
      <c r="C82" s="56">
        <v>45696.0</v>
      </c>
      <c r="D82" s="57" t="s">
        <v>74</v>
      </c>
      <c r="E82" s="57">
        <f t="array" ref="E82">XLOOKUP(D82,RUC!$B$3:$B$79,RUC!$D$3:$D$79)</f>
        <v>10082235774</v>
      </c>
      <c r="G82" s="3">
        <v>44.0</v>
      </c>
      <c r="H82" s="57" t="s">
        <v>47</v>
      </c>
      <c r="I82" s="58">
        <v>3.81</v>
      </c>
      <c r="J82" s="58">
        <v>1.7</v>
      </c>
      <c r="K82" s="59">
        <f t="shared" si="27"/>
        <v>3.74523</v>
      </c>
      <c r="L82" s="60">
        <v>0.231</v>
      </c>
      <c r="M82" s="60">
        <v>0.227</v>
      </c>
      <c r="N82" s="62">
        <v>0.227</v>
      </c>
      <c r="O82" s="60">
        <f t="shared" si="2"/>
        <v>0.227</v>
      </c>
      <c r="P82" s="63">
        <v>90.0</v>
      </c>
      <c r="Q82" s="58">
        <v>90.18</v>
      </c>
      <c r="R82" s="65">
        <v>2874.65</v>
      </c>
      <c r="S82" s="96">
        <v>105.0</v>
      </c>
      <c r="U82" s="87">
        <v>80.0</v>
      </c>
      <c r="V82" s="67">
        <v>1.1023</v>
      </c>
      <c r="Z82" s="77">
        <v>10.0</v>
      </c>
      <c r="AA82" s="70">
        <f t="shared" si="3"/>
        <v>10</v>
      </c>
      <c r="AB82" s="71">
        <f t="shared" si="4"/>
        <v>502.5903726</v>
      </c>
      <c r="AC82" s="71">
        <f>+(S82-T82)*V82-'data 1'!$F$4</f>
        <v>35.7415</v>
      </c>
      <c r="AD82" s="71">
        <f t="shared" si="5"/>
        <v>1.280889653</v>
      </c>
      <c r="AE82" s="71">
        <f t="shared" si="6"/>
        <v>-58.977</v>
      </c>
      <c r="AF82" s="71">
        <f t="shared" si="7"/>
        <v>11.11213361</v>
      </c>
      <c r="AG82" s="72">
        <f t="shared" si="39"/>
        <v>59.15752326</v>
      </c>
      <c r="AH82" s="52">
        <f t="shared" si="8"/>
        <v>26.74913691</v>
      </c>
      <c r="AI82" s="73">
        <f t="shared" si="9"/>
        <v>24.19115244</v>
      </c>
      <c r="AJ82" s="73">
        <f t="shared" si="10"/>
        <v>26.23348143</v>
      </c>
      <c r="AK82" s="11"/>
      <c r="AL82" s="51">
        <f t="shared" si="11"/>
        <v>1882.316541</v>
      </c>
    </row>
    <row r="83" ht="15.0" customHeight="1">
      <c r="A83" s="92" t="s">
        <v>232</v>
      </c>
      <c r="B83" s="56">
        <v>45698.0</v>
      </c>
      <c r="C83" s="56">
        <v>45696.0</v>
      </c>
      <c r="D83" s="57" t="s">
        <v>146</v>
      </c>
      <c r="E83" s="57">
        <f t="array" ref="E83">XLOOKUP(D83,RUC!$B$3:$B$79,RUC!$D$3:$D$79)</f>
        <v>20517242919</v>
      </c>
      <c r="G83" s="3">
        <v>36.0</v>
      </c>
      <c r="H83" s="57" t="s">
        <v>47</v>
      </c>
      <c r="I83" s="58">
        <v>3.69</v>
      </c>
      <c r="J83" s="58">
        <v>1.8</v>
      </c>
      <c r="K83" s="59">
        <f t="shared" si="27"/>
        <v>3.62358</v>
      </c>
      <c r="L83" s="60">
        <v>0.397</v>
      </c>
      <c r="M83" s="60">
        <v>0.391</v>
      </c>
      <c r="N83" s="75">
        <v>0.418</v>
      </c>
      <c r="O83" s="60">
        <f t="shared" si="2"/>
        <v>0.405</v>
      </c>
      <c r="P83" s="63">
        <v>90.0</v>
      </c>
      <c r="Q83" s="58">
        <v>90.06</v>
      </c>
      <c r="R83" s="65">
        <v>2874.65</v>
      </c>
      <c r="S83" s="96">
        <v>110.0</v>
      </c>
      <c r="U83" s="87">
        <v>80.0</v>
      </c>
      <c r="V83" s="67">
        <v>1.1023</v>
      </c>
      <c r="Z83" s="77">
        <v>10.0</v>
      </c>
      <c r="AA83" s="70">
        <f t="shared" si="3"/>
        <v>10</v>
      </c>
      <c r="AB83" s="71">
        <f t="shared" si="4"/>
        <v>990.5818123</v>
      </c>
      <c r="AC83" s="71">
        <f>+(S83-T83)*V83-'data 1'!$F$4</f>
        <v>41.253</v>
      </c>
      <c r="AD83" s="71">
        <f t="shared" si="5"/>
        <v>0.7337852699</v>
      </c>
      <c r="AE83" s="71">
        <f t="shared" si="6"/>
        <v>-58.977</v>
      </c>
      <c r="AF83" s="71">
        <f t="shared" si="7"/>
        <v>-22.19469401</v>
      </c>
      <c r="AG83" s="72">
        <f t="shared" si="39"/>
        <v>30.81509126</v>
      </c>
      <c r="AH83" s="52">
        <f t="shared" si="8"/>
        <v>44.41906091</v>
      </c>
      <c r="AI83" s="73">
        <f t="shared" si="9"/>
        <v>41.5199476</v>
      </c>
      <c r="AJ83" s="73">
        <f t="shared" si="10"/>
        <v>45.28396602</v>
      </c>
      <c r="AK83" s="11"/>
      <c r="AL83" s="51">
        <f t="shared" si="11"/>
        <v>3589.452444</v>
      </c>
    </row>
    <row r="84" ht="15.0" customHeight="1">
      <c r="A84" s="92" t="s">
        <v>233</v>
      </c>
      <c r="B84" s="56">
        <v>45698.0</v>
      </c>
      <c r="C84" s="56">
        <v>45696.0</v>
      </c>
      <c r="D84" s="57" t="s">
        <v>146</v>
      </c>
      <c r="E84" s="57">
        <f t="array" ref="E84">XLOOKUP(D84,RUC!$B$3:$B$79,RUC!$D$3:$D$79)</f>
        <v>20517242919</v>
      </c>
      <c r="G84" s="3">
        <v>29.0</v>
      </c>
      <c r="H84" s="57" t="s">
        <v>47</v>
      </c>
      <c r="I84" s="58">
        <v>2.8</v>
      </c>
      <c r="J84" s="58">
        <v>1.6</v>
      </c>
      <c r="K84" s="59">
        <f t="shared" si="27"/>
        <v>2.7552</v>
      </c>
      <c r="L84" s="60">
        <v>0.65</v>
      </c>
      <c r="M84" s="60">
        <v>0.64</v>
      </c>
      <c r="N84" s="62">
        <v>0.64</v>
      </c>
      <c r="O84" s="60">
        <f t="shared" si="2"/>
        <v>0.64</v>
      </c>
      <c r="P84" s="63">
        <v>90.0</v>
      </c>
      <c r="Q84" s="58">
        <v>89.9</v>
      </c>
      <c r="R84" s="65">
        <v>2874.65</v>
      </c>
      <c r="S84" s="96">
        <v>125.0</v>
      </c>
      <c r="U84" s="87">
        <v>80.0</v>
      </c>
      <c r="V84" s="67">
        <v>1.1023</v>
      </c>
      <c r="Z84" s="77">
        <v>10.0</v>
      </c>
      <c r="AA84" s="70">
        <f t="shared" si="3"/>
        <v>10</v>
      </c>
      <c r="AB84" s="71">
        <f t="shared" si="4"/>
        <v>1625.582092</v>
      </c>
      <c r="AC84" s="71">
        <f>+(S84-T84)*V84-'data 1'!$F$4</f>
        <v>57.7875</v>
      </c>
      <c r="AD84" s="71">
        <f t="shared" si="5"/>
        <v>-2.002352752</v>
      </c>
      <c r="AE84" s="71">
        <f t="shared" si="6"/>
        <v>-58.977</v>
      </c>
      <c r="AF84" s="71">
        <f t="shared" si="7"/>
        <v>27.69407883</v>
      </c>
      <c r="AG84" s="72">
        <f t="shared" si="39"/>
        <v>94.50222608</v>
      </c>
      <c r="AH84" s="52">
        <f t="shared" si="8"/>
        <v>55.19951316</v>
      </c>
      <c r="AI84" s="73">
        <f t="shared" si="9"/>
        <v>67.85899068</v>
      </c>
      <c r="AJ84" s="73">
        <f t="shared" si="10"/>
        <v>54.41074627</v>
      </c>
      <c r="AK84" s="11"/>
      <c r="AL84" s="51">
        <f t="shared" si="11"/>
        <v>4478.803781</v>
      </c>
    </row>
    <row r="85" ht="15.0" customHeight="1">
      <c r="A85" s="92" t="s">
        <v>234</v>
      </c>
      <c r="B85" s="56">
        <v>45698.0</v>
      </c>
      <c r="C85" s="56">
        <v>45696.0</v>
      </c>
      <c r="D85" s="57" t="s">
        <v>146</v>
      </c>
      <c r="E85" s="57">
        <f t="array" ref="E85">XLOOKUP(D85,RUC!$B$3:$B$79,RUC!$D$3:$D$79)</f>
        <v>20517242919</v>
      </c>
      <c r="G85" s="3">
        <v>25.0</v>
      </c>
      <c r="H85" s="57" t="s">
        <v>47</v>
      </c>
      <c r="I85" s="58">
        <v>2.38</v>
      </c>
      <c r="J85" s="58">
        <v>1.3</v>
      </c>
      <c r="K85" s="59">
        <f t="shared" si="27"/>
        <v>2.34906</v>
      </c>
      <c r="L85" s="60">
        <v>0.172</v>
      </c>
      <c r="M85" s="60">
        <v>0.169</v>
      </c>
      <c r="N85" s="62">
        <v>0.169</v>
      </c>
      <c r="O85" s="60">
        <f t="shared" si="2"/>
        <v>0.169</v>
      </c>
      <c r="P85" s="63">
        <v>85.0</v>
      </c>
      <c r="Q85" s="58">
        <v>90.27</v>
      </c>
      <c r="R85" s="65">
        <v>2874.65</v>
      </c>
      <c r="S85" s="96">
        <v>95.0</v>
      </c>
      <c r="U85" s="87">
        <v>80.0</v>
      </c>
      <c r="V85" s="67">
        <v>1.1023</v>
      </c>
      <c r="Z85" s="77">
        <v>10.0</v>
      </c>
      <c r="AA85" s="70">
        <f t="shared" si="3"/>
        <v>10</v>
      </c>
      <c r="AB85" s="71">
        <f t="shared" si="4"/>
        <v>326.7784581</v>
      </c>
      <c r="AC85" s="71">
        <f>+(S85-T85)*V85-'data 1'!$F$4</f>
        <v>24.7185</v>
      </c>
      <c r="AD85" s="71">
        <f t="shared" si="5"/>
        <v>27.9232712</v>
      </c>
      <c r="AE85" s="71">
        <f t="shared" si="6"/>
        <v>-58.977</v>
      </c>
      <c r="AF85" s="71">
        <f t="shared" si="7"/>
        <v>8.342417672</v>
      </c>
      <c r="AG85" s="72">
        <f t="shared" si="39"/>
        <v>72.00718888</v>
      </c>
      <c r="AH85" s="52">
        <f t="shared" si="8"/>
        <v>12.50475158</v>
      </c>
      <c r="AI85" s="73">
        <f t="shared" si="9"/>
        <v>18.03043633</v>
      </c>
      <c r="AJ85" s="73">
        <f t="shared" si="10"/>
        <v>11.56934599</v>
      </c>
      <c r="AK85" s="11"/>
      <c r="AL85" s="51">
        <f t="shared" si="11"/>
        <v>767.6222049</v>
      </c>
    </row>
    <row r="86" ht="15.0" customHeight="1">
      <c r="A86" s="92" t="s">
        <v>235</v>
      </c>
      <c r="B86" s="56">
        <v>45698.0</v>
      </c>
      <c r="C86" s="56">
        <v>45696.0</v>
      </c>
      <c r="D86" s="57" t="s">
        <v>146</v>
      </c>
      <c r="E86" s="57">
        <f t="array" ref="E86">XLOOKUP(D86,RUC!$B$3:$B$79,RUC!$D$3:$D$79)</f>
        <v>20517242919</v>
      </c>
      <c r="G86" s="3">
        <v>26.0</v>
      </c>
      <c r="H86" s="57" t="s">
        <v>47</v>
      </c>
      <c r="I86" s="58">
        <v>2.22</v>
      </c>
      <c r="J86" s="58">
        <v>1.3</v>
      </c>
      <c r="K86" s="59">
        <f t="shared" si="27"/>
        <v>2.19114</v>
      </c>
      <c r="L86" s="60">
        <v>0.283</v>
      </c>
      <c r="M86" s="60">
        <v>0.279</v>
      </c>
      <c r="N86" s="62">
        <v>0.279</v>
      </c>
      <c r="O86" s="60">
        <f t="shared" si="2"/>
        <v>0.279</v>
      </c>
      <c r="P86" s="63">
        <v>90.0</v>
      </c>
      <c r="Q86" s="58">
        <v>90.16</v>
      </c>
      <c r="R86" s="65">
        <v>2874.65</v>
      </c>
      <c r="S86" s="96">
        <v>105.0</v>
      </c>
      <c r="U86" s="87">
        <v>80.0</v>
      </c>
      <c r="V86" s="67">
        <v>1.1023</v>
      </c>
      <c r="Z86" s="77">
        <v>10.0</v>
      </c>
      <c r="AA86" s="70">
        <f t="shared" si="3"/>
        <v>10</v>
      </c>
      <c r="AB86" s="71">
        <f t="shared" si="4"/>
        <v>646.7597707</v>
      </c>
      <c r="AC86" s="71">
        <f>+(S86-T86)*V86-'data 1'!$F$4</f>
        <v>35.7415</v>
      </c>
      <c r="AD86" s="71">
        <f t="shared" si="5"/>
        <v>1.394869732</v>
      </c>
      <c r="AE86" s="71">
        <f t="shared" si="6"/>
        <v>-58.977</v>
      </c>
      <c r="AF86" s="71">
        <f t="shared" si="7"/>
        <v>11.10966918</v>
      </c>
      <c r="AG86" s="72">
        <f t="shared" si="39"/>
        <v>59.26903891</v>
      </c>
      <c r="AH86" s="52">
        <f t="shared" si="8"/>
        <v>19.16812068</v>
      </c>
      <c r="AI86" s="73">
        <f t="shared" si="9"/>
        <v>29.63020703</v>
      </c>
      <c r="AJ86" s="73">
        <f t="shared" si="10"/>
        <v>18.86365779</v>
      </c>
      <c r="AK86" s="11"/>
      <c r="AL86" s="51">
        <f t="shared" si="11"/>
        <v>1417.141204</v>
      </c>
    </row>
    <row r="87" ht="15.0" customHeight="1">
      <c r="A87" s="92" t="s">
        <v>236</v>
      </c>
      <c r="B87" s="56">
        <v>45728.0</v>
      </c>
      <c r="C87" s="56">
        <v>45697.0</v>
      </c>
      <c r="D87" s="57" t="s">
        <v>237</v>
      </c>
      <c r="E87" s="57">
        <f t="array" ref="E87">XLOOKUP(D87,RUC!$B$3:$B$79,RUC!$D$3:$D$79)</f>
        <v>20604990000</v>
      </c>
      <c r="G87" s="3">
        <v>80.0</v>
      </c>
      <c r="H87" s="57" t="s">
        <v>47</v>
      </c>
      <c r="I87" s="58">
        <v>7.88</v>
      </c>
      <c r="J87" s="58">
        <v>1.3</v>
      </c>
      <c r="K87" s="59">
        <f t="shared" si="27"/>
        <v>7.77756</v>
      </c>
      <c r="L87" s="60">
        <v>0.366</v>
      </c>
      <c r="M87" s="60">
        <v>0.348</v>
      </c>
      <c r="N87" s="62">
        <v>0.348</v>
      </c>
      <c r="O87" s="60">
        <f t="shared" si="2"/>
        <v>0.348</v>
      </c>
      <c r="P87" s="63">
        <v>90.0</v>
      </c>
      <c r="Q87" s="58">
        <v>89.55</v>
      </c>
      <c r="R87" s="65">
        <v>2904.45</v>
      </c>
      <c r="S87" s="66">
        <f t="shared" ref="S87:S89" si="40">IF((90+ROUNDDOWN(O87,1)*100)&lt;95,95,(90+ROUNDDOWN(O87,1)*100))</f>
        <v>120</v>
      </c>
      <c r="U87" s="67">
        <v>100.0</v>
      </c>
      <c r="V87" s="67">
        <v>1.1023</v>
      </c>
      <c r="Z87" s="69">
        <f t="shared" ref="Z87:Z89" si="41">IF(IF(D87="UNTUCA",IF(+((W87-3)*1.5+(X87-3)*3.1)&gt;0,+((W87-3)*1.5+(X87-3)*3.1),0),IF(+((W87-3)*1.5+(X87-3)*3.1)&gt;0,+((W87-3)*1.5+(X87-3)*3.1),0))&lt;30,30,IF(D87="UNTUCA",IF(+((W87-3)*1.5+(X87-3)*3.1)&gt;0,+((W87-3)*1.5+(X87-3)*3.1),0),IF(+((W87-3)*1.5+(X87-3)*3.1)&gt;0,+((W87-3)*1.5+(X87-3)*3.1),0)))</f>
        <v>30</v>
      </c>
      <c r="AA87" s="70">
        <f t="shared" si="3"/>
        <v>30</v>
      </c>
      <c r="AB87" s="71">
        <f t="shared" si="4"/>
        <v>802.8643276</v>
      </c>
      <c r="AC87" s="71">
        <f>+(S87-T87)*V87-'data 1'!$F$4</f>
        <v>52.276</v>
      </c>
      <c r="AD87" s="71">
        <f t="shared" si="5"/>
        <v>-5.091445602</v>
      </c>
      <c r="AE87" s="71">
        <f t="shared" si="6"/>
        <v>-36.931</v>
      </c>
      <c r="AF87" s="71">
        <f t="shared" si="7"/>
        <v>49.82939384</v>
      </c>
      <c r="AG87" s="72">
        <f t="shared" si="39"/>
        <v>130.0829482</v>
      </c>
      <c r="AH87" s="52">
        <f t="shared" si="8"/>
        <v>87.39752116</v>
      </c>
      <c r="AI87" s="73">
        <f t="shared" si="9"/>
        <v>34.5205077</v>
      </c>
      <c r="AJ87" s="73">
        <f t="shared" si="10"/>
        <v>83.51686675</v>
      </c>
      <c r="AK87" s="11"/>
      <c r="AL87" s="51">
        <f t="shared" si="11"/>
        <v>6244.32548</v>
      </c>
    </row>
    <row r="88" ht="15.0" customHeight="1">
      <c r="A88" s="92" t="s">
        <v>238</v>
      </c>
      <c r="B88" s="56">
        <v>45728.0</v>
      </c>
      <c r="C88" s="56">
        <v>45697.0</v>
      </c>
      <c r="D88" s="57" t="s">
        <v>237</v>
      </c>
      <c r="E88" s="57">
        <f t="array" ref="E88">XLOOKUP(D88,RUC!$B$3:$B$79,RUC!$D$3:$D$79)</f>
        <v>20604990000</v>
      </c>
      <c r="G88" s="3">
        <v>90.0</v>
      </c>
      <c r="H88" s="57" t="s">
        <v>47</v>
      </c>
      <c r="I88" s="58">
        <v>9.29</v>
      </c>
      <c r="J88" s="58">
        <v>1.4</v>
      </c>
      <c r="K88" s="59">
        <f t="shared" si="27"/>
        <v>9.15994</v>
      </c>
      <c r="L88" s="60">
        <v>0.426</v>
      </c>
      <c r="M88" s="60">
        <v>0.404</v>
      </c>
      <c r="N88" s="62">
        <v>0.404</v>
      </c>
      <c r="O88" s="60">
        <f t="shared" si="2"/>
        <v>0.404</v>
      </c>
      <c r="P88" s="63">
        <v>90.0</v>
      </c>
      <c r="Q88" s="58">
        <v>89.48</v>
      </c>
      <c r="R88" s="65">
        <v>2904.45</v>
      </c>
      <c r="S88" s="66">
        <f t="shared" si="40"/>
        <v>130</v>
      </c>
      <c r="U88" s="67">
        <v>100.0</v>
      </c>
      <c r="V88" s="67">
        <v>1.1023</v>
      </c>
      <c r="Z88" s="69">
        <f t="shared" si="41"/>
        <v>30</v>
      </c>
      <c r="AA88" s="70">
        <f t="shared" si="3"/>
        <v>30</v>
      </c>
      <c r="AB88" s="71">
        <f t="shared" si="4"/>
        <v>947.6451274</v>
      </c>
      <c r="AC88" s="71">
        <f>+(S88-T88)*V88-'data 1'!$F$4</f>
        <v>63.299</v>
      </c>
      <c r="AD88" s="71">
        <f t="shared" si="5"/>
        <v>-6.847947965</v>
      </c>
      <c r="AE88" s="71">
        <f t="shared" si="6"/>
        <v>-36.931</v>
      </c>
      <c r="AF88" s="71">
        <f t="shared" si="7"/>
        <v>60.85498576</v>
      </c>
      <c r="AG88" s="72">
        <f t="shared" si="39"/>
        <v>150.3750378</v>
      </c>
      <c r="AH88" s="52">
        <f t="shared" si="8"/>
        <v>119.7118859</v>
      </c>
      <c r="AI88" s="73">
        <f t="shared" si="9"/>
        <v>40.14819948</v>
      </c>
      <c r="AJ88" s="73">
        <f t="shared" si="10"/>
        <v>114.1893426</v>
      </c>
      <c r="AK88" s="11"/>
      <c r="AL88" s="51">
        <f t="shared" si="11"/>
        <v>8680.372509</v>
      </c>
    </row>
    <row r="89" ht="15.0" customHeight="1">
      <c r="A89" s="92" t="s">
        <v>239</v>
      </c>
      <c r="B89" s="56">
        <v>45728.0</v>
      </c>
      <c r="C89" s="56">
        <v>45697.0</v>
      </c>
      <c r="D89" s="57" t="s">
        <v>237</v>
      </c>
      <c r="E89" s="57">
        <f t="array" ref="E89">XLOOKUP(D89,RUC!$B$3:$B$79,RUC!$D$3:$D$79)</f>
        <v>20604990000</v>
      </c>
      <c r="G89" s="3" t="s">
        <v>46</v>
      </c>
      <c r="H89" s="57" t="s">
        <v>47</v>
      </c>
      <c r="I89" s="58">
        <v>10.39</v>
      </c>
      <c r="J89" s="58">
        <v>1.3</v>
      </c>
      <c r="K89" s="59">
        <f t="shared" si="27"/>
        <v>10.25493</v>
      </c>
      <c r="L89" s="60">
        <v>0.376</v>
      </c>
      <c r="M89" s="60">
        <v>0.357</v>
      </c>
      <c r="N89" s="62">
        <v>0.357</v>
      </c>
      <c r="O89" s="60">
        <f t="shared" si="2"/>
        <v>0.357</v>
      </c>
      <c r="P89" s="63">
        <v>90.0</v>
      </c>
      <c r="Q89" s="58">
        <v>89.27</v>
      </c>
      <c r="R89" s="65">
        <v>2904.45</v>
      </c>
      <c r="S89" s="66">
        <f t="shared" si="40"/>
        <v>120</v>
      </c>
      <c r="U89" s="67">
        <v>100.0</v>
      </c>
      <c r="V89" s="67">
        <v>1.1023</v>
      </c>
      <c r="Z89" s="69">
        <f t="shared" si="41"/>
        <v>30</v>
      </c>
      <c r="AA89" s="70">
        <f t="shared" si="3"/>
        <v>30</v>
      </c>
      <c r="AB89" s="71">
        <f t="shared" si="4"/>
        <v>827.904224</v>
      </c>
      <c r="AC89" s="71">
        <f>+(S89-T89)*V89-'data 1'!$F$4</f>
        <v>52.276</v>
      </c>
      <c r="AD89" s="71">
        <f t="shared" si="5"/>
        <v>-8.485124401</v>
      </c>
      <c r="AE89" s="71">
        <f t="shared" si="6"/>
        <v>-36.931</v>
      </c>
      <c r="AF89" s="71">
        <f t="shared" si="7"/>
        <v>52.43323393</v>
      </c>
      <c r="AG89" s="72">
        <f t="shared" si="39"/>
        <v>129.2931095</v>
      </c>
      <c r="AH89" s="52">
        <f t="shared" si="8"/>
        <v>118.0144398</v>
      </c>
      <c r="AI89" s="73">
        <f t="shared" si="9"/>
        <v>35.35280506</v>
      </c>
      <c r="AJ89" s="73">
        <f t="shared" si="10"/>
        <v>112.967234</v>
      </c>
      <c r="AK89" s="11"/>
      <c r="AL89" s="51">
        <f t="shared" si="11"/>
        <v>8490.099864</v>
      </c>
    </row>
    <row r="90" ht="15.0" customHeight="1">
      <c r="A90" s="92" t="s">
        <v>240</v>
      </c>
      <c r="B90" s="56">
        <v>45701.0</v>
      </c>
      <c r="C90" s="56">
        <v>45699.0</v>
      </c>
      <c r="D90" s="57" t="s">
        <v>45</v>
      </c>
      <c r="E90" s="57">
        <f t="array" ref="E90">XLOOKUP(D90,RUC!$B$3:$B$79,RUC!$D$3:$D$79)</f>
        <v>10416085884</v>
      </c>
      <c r="G90" s="3" t="s">
        <v>46</v>
      </c>
      <c r="H90" s="57" t="s">
        <v>47</v>
      </c>
      <c r="I90" s="57">
        <v>30.34</v>
      </c>
      <c r="J90" s="58">
        <v>6.0</v>
      </c>
      <c r="K90" s="59">
        <f t="shared" si="27"/>
        <v>28.5196</v>
      </c>
      <c r="L90" s="60">
        <v>0.253</v>
      </c>
      <c r="M90" s="60">
        <v>0.24</v>
      </c>
      <c r="N90" s="62">
        <v>0.247</v>
      </c>
      <c r="O90" s="75">
        <v>0.243</v>
      </c>
      <c r="P90" s="63">
        <v>90.0</v>
      </c>
      <c r="Q90" s="58">
        <v>90.09</v>
      </c>
      <c r="R90" s="65">
        <v>2904.45</v>
      </c>
      <c r="S90" s="96">
        <v>85.0</v>
      </c>
      <c r="U90" s="67">
        <v>90.0</v>
      </c>
      <c r="V90" s="67">
        <v>1.1023</v>
      </c>
      <c r="Z90" s="69">
        <v>15.0</v>
      </c>
      <c r="AA90" s="70">
        <f t="shared" si="3"/>
        <v>15</v>
      </c>
      <c r="AB90" s="71">
        <f t="shared" si="4"/>
        <v>568.257933</v>
      </c>
      <c r="AC90" s="71">
        <f>+(S90-T90)*V90-'data 1'!$F$4</f>
        <v>13.6955</v>
      </c>
      <c r="AD90" s="71">
        <f t="shared" si="5"/>
        <v>0.7064092471</v>
      </c>
      <c r="AE90" s="71">
        <f t="shared" si="6"/>
        <v>-53.4655</v>
      </c>
      <c r="AF90" s="71">
        <f t="shared" si="7"/>
        <v>27.94923543</v>
      </c>
      <c r="AG90" s="72">
        <f>+IF(D90="RONALD WILLIAN GARIBAY ESCUDERO",AC90+AD90+AE90+AF90+70,AC90+AD90+AE90+AF90)+70-10</f>
        <v>48.88564468</v>
      </c>
      <c r="AH90" s="52">
        <f t="shared" si="8"/>
        <v>222.8689707</v>
      </c>
      <c r="AI90" s="73">
        <f t="shared" si="9"/>
        <v>21.4939844</v>
      </c>
      <c r="AJ90" s="73">
        <f t="shared" si="10"/>
        <v>213.8460744</v>
      </c>
      <c r="AK90" s="11"/>
      <c r="AL90" s="51">
        <f t="shared" si="11"/>
        <v>16206.48895</v>
      </c>
    </row>
    <row r="91" ht="15.0" customHeight="1">
      <c r="B91" s="56"/>
      <c r="C91" s="56"/>
      <c r="N91" s="62"/>
      <c r="R91" s="65"/>
      <c r="AG91" s="91"/>
    </row>
    <row r="92" ht="15.0" customHeight="1">
      <c r="B92" s="56"/>
      <c r="C92" s="56"/>
      <c r="N92" s="62"/>
      <c r="R92" s="65"/>
      <c r="AG92" s="91"/>
    </row>
    <row r="93" ht="15.0" customHeight="1">
      <c r="B93" s="56"/>
      <c r="C93" s="56"/>
      <c r="N93" s="62"/>
      <c r="R93" s="65"/>
      <c r="AG93" s="91"/>
    </row>
    <row r="94" ht="15.0" customHeight="1">
      <c r="B94" s="56"/>
      <c r="C94" s="56"/>
      <c r="N94" s="62"/>
      <c r="R94" s="65"/>
      <c r="AG94" s="91"/>
    </row>
    <row r="95" ht="15.0" customHeight="1">
      <c r="B95" s="56"/>
      <c r="C95" s="56"/>
      <c r="N95" s="62"/>
      <c r="R95" s="65"/>
      <c r="AG95" s="91"/>
    </row>
    <row r="96" ht="15.0" customHeight="1">
      <c r="B96" s="56"/>
      <c r="C96" s="56"/>
      <c r="N96" s="62"/>
      <c r="R96" s="65"/>
      <c r="AG96" s="91"/>
    </row>
    <row r="97" ht="15.0" customHeight="1">
      <c r="B97" s="56"/>
      <c r="C97" s="56"/>
      <c r="N97" s="62"/>
      <c r="R97" s="65"/>
      <c r="AG97" s="91"/>
    </row>
    <row r="98" ht="15.0" customHeight="1">
      <c r="B98" s="56"/>
      <c r="C98" s="56"/>
      <c r="N98" s="62"/>
      <c r="R98" s="65"/>
      <c r="AG98" s="91"/>
    </row>
    <row r="99" ht="15.0" customHeight="1">
      <c r="B99" s="56"/>
      <c r="C99" s="56"/>
      <c r="N99" s="62"/>
      <c r="R99" s="65"/>
      <c r="AG99" s="91"/>
    </row>
    <row r="100" ht="15.0" customHeight="1">
      <c r="B100" s="56"/>
      <c r="C100" s="56"/>
      <c r="N100" s="62"/>
      <c r="R100" s="65"/>
      <c r="AG100" s="91"/>
    </row>
    <row r="101" ht="15.0" customHeight="1">
      <c r="B101" s="56"/>
      <c r="C101" s="56"/>
      <c r="N101" s="62"/>
      <c r="R101" s="65"/>
      <c r="AG101" s="91"/>
    </row>
    <row r="102" ht="15.0" customHeight="1">
      <c r="B102" s="56"/>
      <c r="C102" s="56"/>
      <c r="N102" s="62"/>
      <c r="R102" s="65"/>
      <c r="AG102" s="91"/>
    </row>
    <row r="103" ht="15.0" customHeight="1">
      <c r="B103" s="56"/>
      <c r="C103" s="56"/>
      <c r="N103" s="62"/>
      <c r="R103" s="65"/>
      <c r="AG103" s="91"/>
    </row>
    <row r="104" ht="15.0" customHeight="1">
      <c r="B104" s="56"/>
      <c r="C104" s="56"/>
      <c r="N104" s="62"/>
      <c r="R104" s="65"/>
      <c r="AG104" s="91"/>
    </row>
    <row r="105" ht="15.0" customHeight="1">
      <c r="B105" s="56"/>
      <c r="C105" s="56"/>
      <c r="N105" s="62"/>
      <c r="R105" s="65"/>
      <c r="AG105" s="91"/>
    </row>
    <row r="106" ht="15.0" customHeight="1">
      <c r="B106" s="56"/>
      <c r="C106" s="56"/>
      <c r="N106" s="62"/>
      <c r="R106" s="65"/>
      <c r="AG106" s="91"/>
    </row>
    <row r="107" ht="15.0" customHeight="1">
      <c r="B107" s="56"/>
      <c r="C107" s="56"/>
      <c r="N107" s="62"/>
      <c r="R107" s="65"/>
      <c r="AG107" s="91"/>
    </row>
    <row r="108" ht="15.0" customHeight="1">
      <c r="B108" s="56"/>
      <c r="C108" s="56"/>
      <c r="N108" s="62"/>
      <c r="R108" s="65"/>
      <c r="AG108" s="91"/>
    </row>
    <row r="109" ht="15.0" customHeight="1">
      <c r="B109" s="56"/>
      <c r="C109" s="56"/>
      <c r="N109" s="62"/>
      <c r="R109" s="65"/>
      <c r="AG109" s="91"/>
    </row>
    <row r="110" ht="15.0" customHeight="1">
      <c r="B110" s="56"/>
      <c r="C110" s="56"/>
      <c r="N110" s="62"/>
      <c r="R110" s="65"/>
      <c r="AG110" s="91"/>
    </row>
    <row r="111" ht="15.0" customHeight="1">
      <c r="B111" s="56"/>
      <c r="C111" s="56"/>
      <c r="N111" s="62"/>
      <c r="R111" s="65"/>
      <c r="AG111" s="91"/>
    </row>
    <row r="112" ht="15.0" customHeight="1">
      <c r="B112" s="56"/>
      <c r="C112" s="56"/>
      <c r="N112" s="62"/>
      <c r="R112" s="65"/>
      <c r="AG112" s="91"/>
    </row>
    <row r="113" ht="15.0" customHeight="1">
      <c r="B113" s="56"/>
      <c r="C113" s="56"/>
      <c r="N113" s="62"/>
      <c r="R113" s="65"/>
      <c r="AG113" s="91"/>
    </row>
    <row r="114" ht="15.0" customHeight="1">
      <c r="B114" s="56"/>
      <c r="C114" s="56"/>
      <c r="N114" s="62"/>
      <c r="R114" s="65"/>
      <c r="AG114" s="91"/>
    </row>
    <row r="115" ht="15.0" customHeight="1">
      <c r="B115" s="56"/>
      <c r="C115" s="56"/>
      <c r="N115" s="62"/>
      <c r="R115" s="65"/>
      <c r="AG115" s="91"/>
    </row>
    <row r="116" ht="15.0" customHeight="1">
      <c r="B116" s="56"/>
      <c r="C116" s="56"/>
      <c r="N116" s="62"/>
      <c r="R116" s="65"/>
      <c r="AG116" s="91"/>
    </row>
    <row r="117" ht="15.0" customHeight="1">
      <c r="B117" s="56"/>
      <c r="C117" s="56"/>
      <c r="N117" s="62"/>
      <c r="R117" s="65"/>
      <c r="AG117" s="91"/>
    </row>
    <row r="118" ht="15.0" customHeight="1">
      <c r="B118" s="56"/>
      <c r="C118" s="56"/>
      <c r="N118" s="62"/>
      <c r="R118" s="65"/>
      <c r="AG118" s="91"/>
    </row>
    <row r="119" ht="15.0" customHeight="1">
      <c r="B119" s="56"/>
      <c r="C119" s="56"/>
      <c r="N119" s="62"/>
      <c r="R119" s="65"/>
      <c r="AG119" s="91"/>
    </row>
    <row r="120" ht="15.0" customHeight="1">
      <c r="B120" s="56"/>
      <c r="C120" s="56"/>
      <c r="N120" s="62"/>
      <c r="R120" s="65"/>
      <c r="AG120" s="91"/>
    </row>
    <row r="121" ht="15.0" customHeight="1">
      <c r="B121" s="56"/>
      <c r="C121" s="56"/>
      <c r="N121" s="62"/>
      <c r="R121" s="65"/>
      <c r="AG121" s="91"/>
    </row>
    <row r="122" ht="15.0" customHeight="1">
      <c r="B122" s="56"/>
      <c r="C122" s="56"/>
      <c r="N122" s="62"/>
      <c r="R122" s="65"/>
      <c r="AG122" s="91"/>
    </row>
    <row r="123" ht="15.0" customHeight="1">
      <c r="B123" s="56"/>
      <c r="C123" s="56"/>
      <c r="N123" s="62"/>
      <c r="R123" s="65"/>
      <c r="AG123" s="91"/>
    </row>
    <row r="124" ht="15.0" customHeight="1">
      <c r="B124" s="56"/>
      <c r="C124" s="56"/>
      <c r="N124" s="62"/>
      <c r="R124" s="65"/>
      <c r="AG124" s="91"/>
    </row>
    <row r="125" ht="15.0" customHeight="1">
      <c r="B125" s="56"/>
      <c r="C125" s="56"/>
      <c r="N125" s="62"/>
      <c r="R125" s="65"/>
      <c r="AG125" s="91"/>
    </row>
    <row r="126" ht="15.0" customHeight="1">
      <c r="B126" s="56"/>
      <c r="C126" s="56"/>
      <c r="N126" s="62"/>
      <c r="R126" s="65"/>
      <c r="AG126" s="91"/>
    </row>
    <row r="127" ht="15.0" customHeight="1">
      <c r="B127" s="56"/>
      <c r="C127" s="56"/>
      <c r="N127" s="62"/>
      <c r="R127" s="65"/>
      <c r="AG127" s="91"/>
    </row>
    <row r="128" ht="15.0" customHeight="1">
      <c r="B128" s="56"/>
      <c r="C128" s="56"/>
      <c r="N128" s="62"/>
      <c r="R128" s="65"/>
      <c r="AG128" s="91"/>
    </row>
    <row r="129" ht="15.0" customHeight="1">
      <c r="B129" s="56"/>
      <c r="C129" s="56"/>
      <c r="N129" s="62"/>
      <c r="R129" s="65"/>
      <c r="AG129" s="91"/>
    </row>
    <row r="130" ht="15.0" customHeight="1">
      <c r="B130" s="56"/>
      <c r="C130" s="56"/>
      <c r="N130" s="62"/>
      <c r="R130" s="65"/>
      <c r="AG130" s="91"/>
    </row>
    <row r="131" ht="15.0" customHeight="1">
      <c r="B131" s="56"/>
      <c r="C131" s="56"/>
      <c r="N131" s="62"/>
      <c r="R131" s="65"/>
      <c r="AG131" s="91"/>
    </row>
    <row r="132" ht="15.0" customHeight="1">
      <c r="B132" s="56"/>
      <c r="C132" s="56"/>
      <c r="N132" s="62"/>
      <c r="R132" s="65"/>
      <c r="AG132" s="91"/>
    </row>
    <row r="133" ht="15.0" customHeight="1">
      <c r="B133" s="56"/>
      <c r="C133" s="56"/>
      <c r="N133" s="62"/>
      <c r="R133" s="65"/>
      <c r="AG133" s="91"/>
    </row>
    <row r="134" ht="15.0" customHeight="1">
      <c r="B134" s="56"/>
      <c r="C134" s="56"/>
      <c r="N134" s="62"/>
      <c r="R134" s="65"/>
      <c r="AG134" s="91"/>
    </row>
    <row r="135" ht="15.0" customHeight="1">
      <c r="B135" s="56"/>
      <c r="C135" s="56"/>
      <c r="N135" s="62"/>
      <c r="R135" s="65"/>
      <c r="AG135" s="91"/>
    </row>
    <row r="136" ht="15.0" customHeight="1">
      <c r="B136" s="56"/>
      <c r="C136" s="56"/>
      <c r="N136" s="62"/>
      <c r="R136" s="65"/>
      <c r="AG136" s="91"/>
    </row>
    <row r="137" ht="15.0" customHeight="1">
      <c r="B137" s="56"/>
      <c r="C137" s="56"/>
      <c r="N137" s="62"/>
      <c r="R137" s="65"/>
      <c r="AG137" s="91"/>
    </row>
    <row r="138" ht="15.0" customHeight="1">
      <c r="B138" s="56"/>
      <c r="C138" s="56"/>
      <c r="N138" s="62"/>
      <c r="R138" s="65"/>
      <c r="AG138" s="91"/>
    </row>
    <row r="139" ht="15.0" customHeight="1">
      <c r="B139" s="56"/>
      <c r="C139" s="56"/>
      <c r="N139" s="62"/>
      <c r="R139" s="65"/>
      <c r="AG139" s="91"/>
    </row>
    <row r="140" ht="15.0" customHeight="1">
      <c r="B140" s="56"/>
      <c r="C140" s="56"/>
      <c r="N140" s="62"/>
      <c r="R140" s="65"/>
      <c r="AG140" s="91"/>
    </row>
    <row r="141" ht="15.0" customHeight="1">
      <c r="B141" s="56"/>
      <c r="C141" s="56"/>
      <c r="N141" s="62"/>
      <c r="R141" s="65"/>
      <c r="AG141" s="91"/>
    </row>
    <row r="142" ht="15.0" customHeight="1">
      <c r="B142" s="56"/>
      <c r="C142" s="56"/>
      <c r="N142" s="62"/>
      <c r="R142" s="65"/>
      <c r="AG142" s="91"/>
    </row>
    <row r="143" ht="15.0" customHeight="1">
      <c r="B143" s="56"/>
      <c r="C143" s="56"/>
      <c r="N143" s="62"/>
      <c r="R143" s="65"/>
      <c r="AG143" s="91"/>
    </row>
    <row r="144" ht="15.0" customHeight="1">
      <c r="B144" s="56"/>
      <c r="C144" s="56"/>
      <c r="N144" s="62"/>
      <c r="R144" s="65"/>
      <c r="AG144" s="91"/>
    </row>
    <row r="145" ht="15.0" customHeight="1">
      <c r="B145" s="56"/>
      <c r="C145" s="56"/>
      <c r="N145" s="62"/>
      <c r="R145" s="65"/>
      <c r="AG145" s="91"/>
    </row>
    <row r="146" ht="15.0" customHeight="1">
      <c r="B146" s="56"/>
      <c r="C146" s="56"/>
      <c r="N146" s="62"/>
      <c r="R146" s="65"/>
      <c r="AG146" s="91"/>
    </row>
    <row r="147" ht="15.0" customHeight="1">
      <c r="B147" s="56"/>
      <c r="C147" s="56"/>
      <c r="N147" s="62"/>
      <c r="R147" s="65"/>
      <c r="AG147" s="91"/>
    </row>
    <row r="148" ht="15.0" customHeight="1">
      <c r="B148" s="56"/>
      <c r="C148" s="56"/>
      <c r="N148" s="62"/>
      <c r="R148" s="65"/>
      <c r="AG148" s="91"/>
    </row>
    <row r="149" ht="15.0" customHeight="1">
      <c r="B149" s="56"/>
      <c r="C149" s="56"/>
      <c r="N149" s="62"/>
      <c r="R149" s="65"/>
      <c r="AG149" s="91"/>
    </row>
    <row r="150" ht="15.0" customHeight="1">
      <c r="B150" s="56"/>
      <c r="C150" s="56"/>
      <c r="N150" s="62"/>
      <c r="R150" s="65"/>
      <c r="AG150" s="91"/>
    </row>
    <row r="151" ht="15.0" customHeight="1">
      <c r="B151" s="56"/>
      <c r="C151" s="56"/>
      <c r="N151" s="62"/>
      <c r="R151" s="65"/>
      <c r="AG151" s="91"/>
    </row>
    <row r="152" ht="15.0" customHeight="1">
      <c r="B152" s="56"/>
      <c r="C152" s="56"/>
      <c r="N152" s="62"/>
      <c r="R152" s="65"/>
      <c r="AG152" s="91"/>
    </row>
    <row r="153" ht="15.0" customHeight="1">
      <c r="B153" s="56"/>
      <c r="C153" s="56"/>
      <c r="N153" s="62"/>
      <c r="R153" s="65"/>
      <c r="AG153" s="91"/>
    </row>
    <row r="154" ht="15.0" customHeight="1">
      <c r="B154" s="56"/>
      <c r="C154" s="56"/>
      <c r="N154" s="62"/>
      <c r="R154" s="65"/>
      <c r="AG154" s="91"/>
    </row>
    <row r="155" ht="15.0" customHeight="1">
      <c r="B155" s="56"/>
      <c r="C155" s="56"/>
      <c r="N155" s="62"/>
      <c r="R155" s="65"/>
      <c r="AG155" s="91"/>
    </row>
    <row r="156" ht="15.0" customHeight="1">
      <c r="B156" s="56"/>
      <c r="C156" s="56"/>
      <c r="N156" s="62"/>
      <c r="R156" s="65"/>
      <c r="AG156" s="91"/>
    </row>
    <row r="157" ht="15.0" customHeight="1">
      <c r="B157" s="56"/>
      <c r="C157" s="56"/>
      <c r="N157" s="62"/>
      <c r="R157" s="65"/>
      <c r="AG157" s="91"/>
    </row>
    <row r="158" ht="15.0" customHeight="1">
      <c r="B158" s="56"/>
      <c r="C158" s="56"/>
      <c r="N158" s="62"/>
      <c r="R158" s="65"/>
      <c r="AG158" s="91"/>
    </row>
    <row r="159" ht="15.0" customHeight="1">
      <c r="B159" s="56"/>
      <c r="C159" s="56"/>
      <c r="N159" s="62"/>
      <c r="R159" s="65"/>
      <c r="AG159" s="91"/>
    </row>
    <row r="160" ht="15.0" customHeight="1">
      <c r="B160" s="56"/>
      <c r="C160" s="56"/>
      <c r="N160" s="62"/>
      <c r="R160" s="65"/>
      <c r="AG160" s="91"/>
    </row>
    <row r="161" ht="15.0" customHeight="1">
      <c r="B161" s="56"/>
      <c r="C161" s="56"/>
      <c r="N161" s="62"/>
      <c r="R161" s="65"/>
      <c r="AG161" s="91"/>
    </row>
    <row r="162" ht="15.0" customHeight="1">
      <c r="B162" s="56"/>
      <c r="C162" s="56"/>
      <c r="N162" s="62"/>
      <c r="R162" s="65"/>
      <c r="AG162" s="91"/>
    </row>
    <row r="163" ht="15.0" customHeight="1">
      <c r="B163" s="56"/>
      <c r="C163" s="56"/>
      <c r="N163" s="62"/>
      <c r="R163" s="65"/>
      <c r="AG163" s="91"/>
    </row>
    <row r="164" ht="15.0" customHeight="1">
      <c r="B164" s="56"/>
      <c r="C164" s="56"/>
      <c r="N164" s="62"/>
      <c r="R164" s="65"/>
      <c r="AG164" s="91"/>
    </row>
    <row r="165" ht="15.0" customHeight="1">
      <c r="B165" s="56"/>
      <c r="C165" s="56"/>
      <c r="N165" s="62"/>
      <c r="R165" s="65"/>
      <c r="AG165" s="91"/>
    </row>
    <row r="166" ht="15.0" customHeight="1">
      <c r="B166" s="56"/>
      <c r="C166" s="56"/>
      <c r="N166" s="62"/>
      <c r="R166" s="65"/>
      <c r="AG166" s="91"/>
    </row>
    <row r="167" ht="15.0" customHeight="1">
      <c r="B167" s="56"/>
      <c r="C167" s="56"/>
      <c r="N167" s="62"/>
      <c r="R167" s="65"/>
      <c r="AG167" s="91"/>
    </row>
    <row r="168" ht="15.0" customHeight="1">
      <c r="B168" s="56"/>
      <c r="C168" s="56"/>
      <c r="N168" s="62"/>
      <c r="R168" s="65"/>
      <c r="AG168" s="91"/>
    </row>
    <row r="169" ht="15.0" customHeight="1">
      <c r="B169" s="56"/>
      <c r="C169" s="56"/>
      <c r="N169" s="62"/>
      <c r="R169" s="65"/>
      <c r="AG169" s="91"/>
    </row>
    <row r="170" ht="15.0" customHeight="1">
      <c r="B170" s="56"/>
      <c r="C170" s="56"/>
      <c r="N170" s="62"/>
      <c r="R170" s="65"/>
      <c r="AG170" s="91"/>
    </row>
    <row r="171" ht="15.0" customHeight="1">
      <c r="B171" s="56"/>
      <c r="C171" s="56"/>
      <c r="N171" s="62"/>
      <c r="R171" s="65"/>
      <c r="AG171" s="91"/>
    </row>
    <row r="172" ht="15.0" customHeight="1">
      <c r="B172" s="56"/>
      <c r="C172" s="56"/>
      <c r="N172" s="62"/>
      <c r="R172" s="65"/>
      <c r="AG172" s="91"/>
    </row>
    <row r="173" ht="15.0" customHeight="1">
      <c r="B173" s="56"/>
      <c r="C173" s="56"/>
      <c r="N173" s="62"/>
      <c r="R173" s="65"/>
      <c r="AG173" s="91"/>
    </row>
    <row r="174" ht="15.0" customHeight="1">
      <c r="B174" s="56"/>
      <c r="C174" s="56"/>
      <c r="N174" s="62"/>
      <c r="R174" s="65"/>
      <c r="AG174" s="91"/>
    </row>
    <row r="175" ht="15.0" customHeight="1">
      <c r="B175" s="56"/>
      <c r="C175" s="56"/>
      <c r="N175" s="62"/>
      <c r="R175" s="65"/>
      <c r="AG175" s="91"/>
    </row>
    <row r="176" ht="15.0" customHeight="1">
      <c r="B176" s="56"/>
      <c r="C176" s="56"/>
      <c r="N176" s="62"/>
      <c r="R176" s="65"/>
      <c r="AG176" s="91"/>
    </row>
    <row r="177" ht="15.0" customHeight="1">
      <c r="B177" s="56"/>
      <c r="C177" s="56"/>
      <c r="N177" s="62"/>
      <c r="R177" s="65"/>
      <c r="AG177" s="91"/>
    </row>
    <row r="178" ht="15.0" customHeight="1">
      <c r="B178" s="56"/>
      <c r="C178" s="56"/>
      <c r="N178" s="62"/>
      <c r="R178" s="65"/>
      <c r="AG178" s="91"/>
    </row>
    <row r="179" ht="15.0" customHeight="1">
      <c r="B179" s="56"/>
      <c r="C179" s="56"/>
      <c r="N179" s="62"/>
      <c r="R179" s="65"/>
      <c r="AG179" s="91"/>
    </row>
    <row r="180" ht="15.0" customHeight="1">
      <c r="B180" s="56"/>
      <c r="C180" s="56"/>
      <c r="N180" s="62"/>
      <c r="R180" s="65"/>
      <c r="AG180" s="91"/>
    </row>
    <row r="181" ht="15.0" customHeight="1">
      <c r="B181" s="56"/>
      <c r="C181" s="56"/>
      <c r="N181" s="62"/>
      <c r="R181" s="65"/>
      <c r="AG181" s="91"/>
    </row>
    <row r="182" ht="15.0" customHeight="1">
      <c r="B182" s="56"/>
      <c r="C182" s="56"/>
      <c r="N182" s="62"/>
      <c r="R182" s="65"/>
      <c r="AG182" s="91"/>
    </row>
    <row r="183" ht="15.0" customHeight="1">
      <c r="B183" s="56"/>
      <c r="C183" s="56"/>
      <c r="N183" s="62"/>
      <c r="R183" s="65"/>
      <c r="AG183" s="91"/>
    </row>
    <row r="184" ht="15.0" customHeight="1">
      <c r="B184" s="56"/>
      <c r="C184" s="56"/>
      <c r="N184" s="62"/>
      <c r="R184" s="65"/>
      <c r="AG184" s="91"/>
    </row>
    <row r="185" ht="15.0" customHeight="1">
      <c r="B185" s="56"/>
      <c r="C185" s="56"/>
      <c r="N185" s="62"/>
      <c r="R185" s="65"/>
      <c r="AG185" s="91"/>
    </row>
    <row r="186" ht="15.0" customHeight="1">
      <c r="B186" s="56"/>
      <c r="C186" s="56"/>
      <c r="N186" s="62"/>
      <c r="R186" s="65"/>
      <c r="AG186" s="91"/>
    </row>
    <row r="187" ht="15.0" customHeight="1">
      <c r="B187" s="56"/>
      <c r="C187" s="56"/>
      <c r="N187" s="62"/>
      <c r="R187" s="65"/>
      <c r="AG187" s="91"/>
    </row>
    <row r="188" ht="15.0" customHeight="1">
      <c r="B188" s="56"/>
      <c r="C188" s="56"/>
      <c r="N188" s="62"/>
      <c r="R188" s="65"/>
      <c r="AG188" s="91"/>
    </row>
    <row r="189" ht="15.0" customHeight="1">
      <c r="B189" s="56"/>
      <c r="C189" s="56"/>
      <c r="N189" s="62"/>
      <c r="R189" s="65"/>
      <c r="AG189" s="91"/>
    </row>
    <row r="190" ht="15.0" customHeight="1">
      <c r="B190" s="56"/>
      <c r="C190" s="56"/>
      <c r="N190" s="62"/>
      <c r="R190" s="65"/>
      <c r="AG190" s="91"/>
    </row>
    <row r="191" ht="15.0" customHeight="1">
      <c r="B191" s="56"/>
      <c r="C191" s="56"/>
      <c r="N191" s="62"/>
      <c r="R191" s="65"/>
      <c r="AG191" s="91"/>
    </row>
    <row r="192" ht="15.0" customHeight="1">
      <c r="B192" s="56"/>
      <c r="C192" s="56"/>
      <c r="N192" s="62"/>
      <c r="R192" s="65"/>
      <c r="AG192" s="91"/>
    </row>
    <row r="193" ht="15.0" customHeight="1">
      <c r="B193" s="56"/>
      <c r="C193" s="56"/>
      <c r="N193" s="62"/>
      <c r="R193" s="65"/>
      <c r="AG193" s="91"/>
    </row>
    <row r="194" ht="15.0" customHeight="1">
      <c r="B194" s="56"/>
      <c r="C194" s="56"/>
      <c r="N194" s="62"/>
      <c r="R194" s="65"/>
      <c r="AG194" s="91"/>
    </row>
    <row r="195" ht="15.0" customHeight="1">
      <c r="B195" s="56"/>
      <c r="C195" s="56"/>
      <c r="N195" s="62"/>
      <c r="R195" s="65"/>
      <c r="AG195" s="91"/>
    </row>
    <row r="196" ht="15.0" customHeight="1">
      <c r="B196" s="56"/>
      <c r="C196" s="56"/>
      <c r="N196" s="62"/>
      <c r="R196" s="65"/>
      <c r="AG196" s="91"/>
    </row>
    <row r="197" ht="15.0" customHeight="1">
      <c r="B197" s="56"/>
      <c r="C197" s="56"/>
      <c r="N197" s="62"/>
      <c r="R197" s="65"/>
      <c r="AG197" s="91"/>
    </row>
    <row r="198" ht="15.0" customHeight="1">
      <c r="B198" s="56"/>
      <c r="C198" s="56"/>
      <c r="N198" s="62"/>
      <c r="R198" s="65"/>
      <c r="AG198" s="91"/>
    </row>
    <row r="199" ht="15.0" customHeight="1">
      <c r="B199" s="56"/>
      <c r="C199" s="56"/>
      <c r="N199" s="62"/>
      <c r="R199" s="65"/>
      <c r="AG199" s="91"/>
    </row>
    <row r="200" ht="15.0" customHeight="1">
      <c r="B200" s="56"/>
      <c r="C200" s="56"/>
      <c r="N200" s="62"/>
      <c r="R200" s="65"/>
      <c r="AG200" s="91"/>
    </row>
    <row r="201" ht="15.0" customHeight="1">
      <c r="B201" s="56"/>
      <c r="C201" s="56"/>
      <c r="N201" s="62"/>
      <c r="R201" s="65"/>
      <c r="AG201" s="91"/>
    </row>
    <row r="202" ht="15.0" customHeight="1">
      <c r="B202" s="56"/>
      <c r="C202" s="56"/>
      <c r="N202" s="62"/>
      <c r="R202" s="65"/>
      <c r="AG202" s="91"/>
    </row>
    <row r="203" ht="15.0" customHeight="1">
      <c r="B203" s="56"/>
      <c r="C203" s="56"/>
      <c r="N203" s="62"/>
      <c r="R203" s="65"/>
      <c r="AG203" s="91"/>
    </row>
    <row r="204" ht="15.0" customHeight="1">
      <c r="B204" s="56"/>
      <c r="C204" s="56"/>
      <c r="N204" s="62"/>
      <c r="R204" s="65"/>
      <c r="AG204" s="91"/>
    </row>
    <row r="205" ht="15.0" customHeight="1">
      <c r="B205" s="56"/>
      <c r="C205" s="56"/>
      <c r="N205" s="62"/>
      <c r="R205" s="65"/>
      <c r="AG205" s="91"/>
    </row>
    <row r="206" ht="15.0" customHeight="1">
      <c r="B206" s="56"/>
      <c r="C206" s="56"/>
      <c r="N206" s="62"/>
      <c r="R206" s="65"/>
      <c r="AG206" s="91"/>
    </row>
    <row r="207" ht="15.0" customHeight="1">
      <c r="B207" s="56"/>
      <c r="C207" s="56"/>
      <c r="N207" s="62"/>
      <c r="R207" s="65"/>
      <c r="AG207" s="91"/>
    </row>
    <row r="208" ht="15.0" customHeight="1">
      <c r="B208" s="56"/>
      <c r="C208" s="56"/>
      <c r="N208" s="62"/>
      <c r="R208" s="65"/>
      <c r="AG208" s="91"/>
    </row>
    <row r="209" ht="15.0" customHeight="1">
      <c r="B209" s="56"/>
      <c r="C209" s="56"/>
      <c r="N209" s="62"/>
      <c r="R209" s="65"/>
      <c r="AG209" s="91"/>
    </row>
    <row r="210" ht="15.0" customHeight="1">
      <c r="B210" s="56"/>
      <c r="C210" s="56"/>
      <c r="N210" s="62"/>
      <c r="R210" s="65"/>
      <c r="AG210" s="91"/>
    </row>
    <row r="211" ht="15.0" customHeight="1">
      <c r="B211" s="56"/>
      <c r="C211" s="56"/>
      <c r="N211" s="62"/>
      <c r="R211" s="65"/>
      <c r="AG211" s="91"/>
    </row>
    <row r="212" ht="15.0" customHeight="1">
      <c r="B212" s="56"/>
      <c r="C212" s="56"/>
      <c r="N212" s="62"/>
      <c r="R212" s="65"/>
      <c r="AG212" s="91"/>
    </row>
    <row r="213" ht="15.0" customHeight="1">
      <c r="B213" s="56"/>
      <c r="C213" s="56"/>
      <c r="N213" s="62"/>
      <c r="R213" s="65"/>
      <c r="AG213" s="91"/>
    </row>
    <row r="214" ht="15.0" customHeight="1">
      <c r="B214" s="56"/>
      <c r="C214" s="56"/>
      <c r="N214" s="62"/>
      <c r="R214" s="65"/>
      <c r="AG214" s="91"/>
    </row>
    <row r="215" ht="15.0" customHeight="1">
      <c r="B215" s="56"/>
      <c r="C215" s="56"/>
      <c r="N215" s="62"/>
      <c r="R215" s="65"/>
      <c r="AG215" s="91"/>
    </row>
    <row r="216" ht="15.0" customHeight="1">
      <c r="B216" s="56"/>
      <c r="C216" s="56"/>
      <c r="N216" s="62"/>
      <c r="R216" s="65"/>
      <c r="AG216" s="91"/>
    </row>
    <row r="217" ht="15.0" customHeight="1">
      <c r="B217" s="56"/>
      <c r="C217" s="56"/>
      <c r="N217" s="62"/>
      <c r="R217" s="65"/>
      <c r="AG217" s="91"/>
    </row>
    <row r="218" ht="15.0" customHeight="1">
      <c r="B218" s="56"/>
      <c r="C218" s="56"/>
      <c r="N218" s="62"/>
      <c r="R218" s="65"/>
      <c r="AG218" s="91"/>
    </row>
    <row r="219" ht="15.0" customHeight="1">
      <c r="B219" s="56"/>
      <c r="C219" s="56"/>
      <c r="N219" s="62"/>
      <c r="R219" s="65"/>
      <c r="AG219" s="91"/>
    </row>
    <row r="220" ht="15.0" customHeight="1">
      <c r="B220" s="56"/>
      <c r="C220" s="56"/>
      <c r="N220" s="62"/>
      <c r="R220" s="65"/>
      <c r="AG220" s="91"/>
    </row>
    <row r="221" ht="15.0" customHeight="1">
      <c r="B221" s="56"/>
      <c r="C221" s="56"/>
      <c r="N221" s="62"/>
      <c r="R221" s="65"/>
      <c r="AG221" s="91"/>
    </row>
    <row r="222" ht="15.0" customHeight="1">
      <c r="B222" s="56"/>
      <c r="C222" s="56"/>
      <c r="N222" s="62"/>
      <c r="R222" s="65"/>
      <c r="AG222" s="91"/>
    </row>
    <row r="223" ht="15.0" customHeight="1">
      <c r="B223" s="56"/>
      <c r="C223" s="56"/>
      <c r="N223" s="62"/>
      <c r="R223" s="65"/>
      <c r="AG223" s="91"/>
    </row>
    <row r="224" ht="15.0" customHeight="1">
      <c r="B224" s="56"/>
      <c r="C224" s="56"/>
      <c r="N224" s="62"/>
      <c r="R224" s="65"/>
      <c r="AG224" s="91"/>
    </row>
    <row r="225" ht="15.0" customHeight="1">
      <c r="B225" s="56"/>
      <c r="C225" s="56"/>
      <c r="N225" s="62"/>
      <c r="R225" s="65"/>
      <c r="AG225" s="91"/>
    </row>
    <row r="226" ht="15.0" customHeight="1">
      <c r="B226" s="56"/>
      <c r="C226" s="56"/>
      <c r="N226" s="62"/>
      <c r="R226" s="65"/>
      <c r="AG226" s="91"/>
    </row>
    <row r="227" ht="15.0" customHeight="1">
      <c r="B227" s="56"/>
      <c r="C227" s="56"/>
      <c r="N227" s="62"/>
      <c r="R227" s="65"/>
      <c r="AG227" s="91"/>
    </row>
    <row r="228" ht="15.0" customHeight="1">
      <c r="B228" s="56"/>
      <c r="C228" s="56"/>
      <c r="N228" s="62"/>
      <c r="R228" s="65"/>
      <c r="AG228" s="91"/>
    </row>
    <row r="229" ht="15.0" customHeight="1">
      <c r="B229" s="56"/>
      <c r="C229" s="56"/>
      <c r="N229" s="62"/>
      <c r="R229" s="65"/>
      <c r="AG229" s="91"/>
    </row>
    <row r="230" ht="15.0" customHeight="1">
      <c r="B230" s="56"/>
      <c r="C230" s="56"/>
      <c r="N230" s="62"/>
      <c r="R230" s="65"/>
      <c r="AG230" s="91"/>
    </row>
    <row r="231" ht="15.0" customHeight="1">
      <c r="B231" s="56"/>
      <c r="C231" s="56"/>
      <c r="N231" s="62"/>
      <c r="R231" s="65"/>
      <c r="AG231" s="91"/>
    </row>
    <row r="232" ht="15.0" customHeight="1">
      <c r="B232" s="56"/>
      <c r="C232" s="56"/>
      <c r="N232" s="62"/>
      <c r="R232" s="65"/>
      <c r="AG232" s="91"/>
    </row>
    <row r="233" ht="15.0" customHeight="1">
      <c r="B233" s="56"/>
      <c r="C233" s="56"/>
      <c r="N233" s="62"/>
      <c r="R233" s="65"/>
      <c r="AG233" s="91"/>
    </row>
    <row r="234" ht="15.0" customHeight="1">
      <c r="B234" s="56"/>
      <c r="C234" s="56"/>
      <c r="N234" s="62"/>
      <c r="R234" s="65"/>
      <c r="AG234" s="91"/>
    </row>
    <row r="235" ht="15.0" customHeight="1">
      <c r="B235" s="56"/>
      <c r="C235" s="56"/>
      <c r="N235" s="62"/>
      <c r="R235" s="65"/>
      <c r="AG235" s="91"/>
    </row>
    <row r="236" ht="15.0" customHeight="1">
      <c r="B236" s="56"/>
      <c r="C236" s="56"/>
      <c r="N236" s="62"/>
      <c r="R236" s="65"/>
      <c r="AG236" s="91"/>
    </row>
    <row r="237" ht="15.0" customHeight="1">
      <c r="B237" s="56"/>
      <c r="C237" s="56"/>
      <c r="N237" s="62"/>
      <c r="R237" s="65"/>
      <c r="AG237" s="91"/>
    </row>
    <row r="238" ht="15.0" customHeight="1">
      <c r="B238" s="56"/>
      <c r="C238" s="56"/>
      <c r="N238" s="62"/>
      <c r="R238" s="65"/>
      <c r="AG238" s="91"/>
    </row>
    <row r="239" ht="15.0" customHeight="1">
      <c r="B239" s="56"/>
      <c r="C239" s="56"/>
      <c r="N239" s="62"/>
      <c r="R239" s="65"/>
      <c r="AG239" s="91"/>
    </row>
    <row r="240" ht="15.0" customHeight="1">
      <c r="B240" s="56"/>
      <c r="C240" s="56"/>
      <c r="N240" s="62"/>
      <c r="R240" s="65"/>
      <c r="AG240" s="91"/>
    </row>
    <row r="241" ht="15.0" customHeight="1">
      <c r="B241" s="56"/>
      <c r="C241" s="56"/>
      <c r="N241" s="62"/>
      <c r="R241" s="65"/>
      <c r="AG241" s="91"/>
    </row>
    <row r="242" ht="15.0" customHeight="1">
      <c r="B242" s="56"/>
      <c r="C242" s="56"/>
      <c r="N242" s="62"/>
      <c r="R242" s="65"/>
      <c r="AG242" s="91"/>
    </row>
    <row r="243" ht="15.0" customHeight="1">
      <c r="B243" s="56"/>
      <c r="C243" s="56"/>
      <c r="N243" s="62"/>
      <c r="R243" s="65"/>
      <c r="AG243" s="91"/>
    </row>
    <row r="244" ht="15.0" customHeight="1">
      <c r="B244" s="56"/>
      <c r="C244" s="56"/>
      <c r="N244" s="62"/>
      <c r="R244" s="65"/>
      <c r="AG244" s="91"/>
    </row>
    <row r="245" ht="15.0" customHeight="1">
      <c r="B245" s="56"/>
      <c r="C245" s="56"/>
      <c r="N245" s="62"/>
      <c r="R245" s="65"/>
      <c r="AG245" s="91"/>
    </row>
    <row r="246" ht="15.0" customHeight="1">
      <c r="B246" s="56"/>
      <c r="C246" s="56"/>
      <c r="N246" s="62"/>
      <c r="R246" s="65"/>
      <c r="AG246" s="91"/>
    </row>
    <row r="247" ht="15.0" customHeight="1">
      <c r="B247" s="56"/>
      <c r="C247" s="56"/>
      <c r="N247" s="62"/>
      <c r="R247" s="65"/>
      <c r="AG247" s="91"/>
    </row>
    <row r="248" ht="15.0" customHeight="1">
      <c r="B248" s="56"/>
      <c r="C248" s="56"/>
      <c r="N248" s="62"/>
      <c r="R248" s="65"/>
      <c r="AG248" s="91"/>
    </row>
    <row r="249" ht="15.0" customHeight="1">
      <c r="B249" s="56"/>
      <c r="C249" s="56"/>
      <c r="N249" s="62"/>
      <c r="R249" s="65"/>
      <c r="AG249" s="91"/>
    </row>
    <row r="250" ht="15.0" customHeight="1">
      <c r="B250" s="56"/>
      <c r="C250" s="56"/>
      <c r="N250" s="62"/>
      <c r="R250" s="65"/>
      <c r="AG250" s="91"/>
    </row>
    <row r="251" ht="15.0" customHeight="1">
      <c r="B251" s="56"/>
      <c r="C251" s="56"/>
      <c r="N251" s="62"/>
      <c r="R251" s="65"/>
      <c r="AG251" s="91"/>
    </row>
    <row r="252" ht="15.0" customHeight="1">
      <c r="B252" s="56"/>
      <c r="C252" s="56"/>
      <c r="N252" s="62"/>
      <c r="R252" s="65"/>
      <c r="AG252" s="91"/>
    </row>
    <row r="253" ht="15.0" customHeight="1">
      <c r="B253" s="56"/>
      <c r="C253" s="56"/>
      <c r="N253" s="62"/>
      <c r="R253" s="65"/>
      <c r="AG253" s="91"/>
    </row>
    <row r="254" ht="15.0" customHeight="1">
      <c r="B254" s="56"/>
      <c r="C254" s="56"/>
      <c r="N254" s="62"/>
      <c r="R254" s="65"/>
      <c r="AG254" s="91"/>
    </row>
    <row r="255" ht="15.0" customHeight="1">
      <c r="B255" s="56"/>
      <c r="C255" s="56"/>
      <c r="N255" s="62"/>
      <c r="R255" s="65"/>
      <c r="AG255" s="91"/>
    </row>
    <row r="256" ht="15.0" customHeight="1">
      <c r="B256" s="56"/>
      <c r="C256" s="56"/>
      <c r="N256" s="62"/>
      <c r="R256" s="65"/>
      <c r="AG256" s="91"/>
    </row>
    <row r="257" ht="15.0" customHeight="1">
      <c r="B257" s="56"/>
      <c r="C257" s="56"/>
      <c r="N257" s="62"/>
      <c r="R257" s="65"/>
      <c r="AG257" s="91"/>
    </row>
    <row r="258" ht="15.0" customHeight="1">
      <c r="B258" s="56"/>
      <c r="C258" s="56"/>
      <c r="N258" s="62"/>
      <c r="R258" s="65"/>
      <c r="AG258" s="91"/>
    </row>
    <row r="259" ht="15.0" customHeight="1">
      <c r="B259" s="56"/>
      <c r="C259" s="56"/>
      <c r="N259" s="62"/>
      <c r="R259" s="65"/>
      <c r="AG259" s="91"/>
    </row>
    <row r="260" ht="15.0" customHeight="1">
      <c r="B260" s="56"/>
      <c r="C260" s="56"/>
      <c r="N260" s="62"/>
      <c r="R260" s="65"/>
      <c r="AG260" s="91"/>
    </row>
    <row r="261" ht="15.0" customHeight="1">
      <c r="B261" s="56"/>
      <c r="C261" s="56"/>
      <c r="N261" s="62"/>
      <c r="R261" s="65"/>
      <c r="AG261" s="91"/>
    </row>
    <row r="262" ht="15.0" customHeight="1">
      <c r="B262" s="56"/>
      <c r="C262" s="56"/>
      <c r="N262" s="62"/>
      <c r="R262" s="65"/>
      <c r="AG262" s="91"/>
    </row>
    <row r="263" ht="15.0" customHeight="1">
      <c r="B263" s="56"/>
      <c r="C263" s="56"/>
      <c r="N263" s="62"/>
      <c r="R263" s="65"/>
      <c r="AG263" s="91"/>
    </row>
    <row r="264" ht="15.0" customHeight="1">
      <c r="B264" s="56"/>
      <c r="C264" s="56"/>
      <c r="N264" s="62"/>
      <c r="R264" s="65"/>
      <c r="AG264" s="91"/>
    </row>
    <row r="265" ht="15.0" customHeight="1">
      <c r="B265" s="56"/>
      <c r="C265" s="56"/>
      <c r="N265" s="62"/>
      <c r="R265" s="65"/>
      <c r="AG265" s="91"/>
    </row>
    <row r="266" ht="15.0" customHeight="1">
      <c r="B266" s="56"/>
      <c r="C266" s="56"/>
      <c r="N266" s="62"/>
      <c r="R266" s="65"/>
      <c r="AG266" s="91"/>
    </row>
    <row r="267" ht="15.0" customHeight="1">
      <c r="B267" s="56"/>
      <c r="C267" s="56"/>
      <c r="N267" s="62"/>
      <c r="R267" s="65"/>
      <c r="AG267" s="91"/>
    </row>
    <row r="268" ht="15.0" customHeight="1">
      <c r="B268" s="56"/>
      <c r="C268" s="56"/>
      <c r="N268" s="62"/>
      <c r="R268" s="65"/>
      <c r="AG268" s="91"/>
    </row>
    <row r="269" ht="15.0" customHeight="1">
      <c r="B269" s="56"/>
      <c r="C269" s="56"/>
      <c r="N269" s="62"/>
      <c r="R269" s="65"/>
      <c r="AG269" s="91"/>
    </row>
    <row r="270" ht="15.0" customHeight="1">
      <c r="B270" s="56"/>
      <c r="C270" s="56"/>
      <c r="N270" s="62"/>
      <c r="R270" s="65"/>
      <c r="AG270" s="91"/>
    </row>
    <row r="271" ht="15.0" customHeight="1">
      <c r="B271" s="56"/>
      <c r="C271" s="56"/>
      <c r="N271" s="62"/>
      <c r="R271" s="65"/>
      <c r="AG271" s="91"/>
    </row>
    <row r="272" ht="15.0" customHeight="1">
      <c r="B272" s="56"/>
      <c r="C272" s="56"/>
      <c r="N272" s="62"/>
      <c r="R272" s="65"/>
      <c r="AG272" s="91"/>
    </row>
    <row r="273" ht="15.0" customHeight="1">
      <c r="B273" s="56"/>
      <c r="C273" s="56"/>
      <c r="N273" s="62"/>
      <c r="R273" s="65"/>
      <c r="AG273" s="91"/>
    </row>
    <row r="274" ht="15.0" customHeight="1">
      <c r="B274" s="56"/>
      <c r="C274" s="56"/>
      <c r="N274" s="62"/>
      <c r="R274" s="65"/>
      <c r="AG274" s="91"/>
    </row>
    <row r="275" ht="15.0" customHeight="1">
      <c r="B275" s="56"/>
      <c r="C275" s="56"/>
      <c r="N275" s="62"/>
      <c r="R275" s="65"/>
      <c r="AG275" s="91"/>
    </row>
    <row r="276" ht="15.0" customHeight="1">
      <c r="B276" s="56"/>
      <c r="C276" s="56"/>
      <c r="N276" s="62"/>
      <c r="R276" s="65"/>
      <c r="AG276" s="91"/>
    </row>
    <row r="277" ht="15.0" customHeight="1">
      <c r="B277" s="56"/>
      <c r="C277" s="56"/>
      <c r="N277" s="62"/>
      <c r="R277" s="65"/>
      <c r="AG277" s="91"/>
    </row>
    <row r="278" ht="15.0" customHeight="1">
      <c r="B278" s="56"/>
      <c r="C278" s="56"/>
      <c r="N278" s="62"/>
      <c r="R278" s="65"/>
      <c r="AG278" s="91"/>
    </row>
    <row r="279" ht="15.0" customHeight="1">
      <c r="B279" s="56"/>
      <c r="C279" s="56"/>
      <c r="N279" s="62"/>
      <c r="R279" s="65"/>
      <c r="AG279" s="91"/>
    </row>
    <row r="280" ht="15.0" customHeight="1">
      <c r="B280" s="56"/>
      <c r="C280" s="56"/>
      <c r="N280" s="62"/>
      <c r="R280" s="65"/>
      <c r="AG280" s="91"/>
    </row>
    <row r="281" ht="15.0" customHeight="1">
      <c r="B281" s="56"/>
      <c r="C281" s="56"/>
      <c r="N281" s="62"/>
      <c r="R281" s="65"/>
      <c r="AG281" s="91"/>
    </row>
    <row r="282" ht="15.0" customHeight="1">
      <c r="B282" s="56"/>
      <c r="C282" s="56"/>
      <c r="N282" s="62"/>
      <c r="R282" s="65"/>
      <c r="AG282" s="91"/>
    </row>
    <row r="283" ht="15.0" customHeight="1">
      <c r="B283" s="56"/>
      <c r="C283" s="56"/>
      <c r="N283" s="62"/>
      <c r="R283" s="65"/>
      <c r="AG283" s="91"/>
    </row>
    <row r="284" ht="15.0" customHeight="1">
      <c r="B284" s="56"/>
      <c r="C284" s="56"/>
      <c r="N284" s="62"/>
      <c r="R284" s="65"/>
      <c r="AG284" s="91"/>
    </row>
    <row r="285" ht="15.0" customHeight="1">
      <c r="B285" s="56"/>
      <c r="C285" s="56"/>
      <c r="N285" s="62"/>
      <c r="R285" s="65"/>
      <c r="AG285" s="91"/>
    </row>
    <row r="286" ht="15.0" customHeight="1">
      <c r="B286" s="56"/>
      <c r="C286" s="56"/>
      <c r="N286" s="62"/>
      <c r="R286" s="65"/>
      <c r="AG286" s="91"/>
    </row>
    <row r="287" ht="15.0" customHeight="1">
      <c r="B287" s="56"/>
      <c r="C287" s="56"/>
      <c r="N287" s="62"/>
      <c r="R287" s="65"/>
      <c r="AG287" s="91"/>
    </row>
    <row r="288" ht="15.0" customHeight="1">
      <c r="B288" s="56"/>
      <c r="C288" s="56"/>
      <c r="N288" s="62"/>
      <c r="R288" s="65"/>
      <c r="AG288" s="91"/>
    </row>
    <row r="289" ht="15.0" customHeight="1">
      <c r="B289" s="56"/>
      <c r="C289" s="56"/>
      <c r="N289" s="62"/>
      <c r="R289" s="65"/>
      <c r="AG289" s="91"/>
    </row>
    <row r="290" ht="15.0" customHeight="1">
      <c r="B290" s="56"/>
      <c r="C290" s="56"/>
      <c r="N290" s="62"/>
      <c r="R290" s="65"/>
      <c r="AG290" s="91"/>
    </row>
    <row r="291" ht="15.75" customHeight="1">
      <c r="AG291" s="91"/>
    </row>
    <row r="292" ht="15.75" customHeight="1">
      <c r="AG292" s="91"/>
    </row>
    <row r="293" ht="15.75" customHeight="1">
      <c r="AG293" s="91"/>
    </row>
    <row r="294" ht="15.75" customHeight="1">
      <c r="AG294" s="91"/>
    </row>
    <row r="295" ht="15.75" customHeight="1">
      <c r="AG295" s="91"/>
    </row>
    <row r="296" ht="15.75" customHeight="1">
      <c r="AG296" s="91"/>
    </row>
    <row r="297" ht="15.75" customHeight="1">
      <c r="AG297" s="91"/>
    </row>
    <row r="298" ht="15.75" customHeight="1">
      <c r="AG298" s="91"/>
    </row>
    <row r="299" ht="15.75" customHeight="1">
      <c r="AG299" s="91"/>
    </row>
    <row r="300" ht="15.75" customHeight="1">
      <c r="AG300" s="91"/>
    </row>
    <row r="301" ht="15.75" customHeight="1">
      <c r="AG301" s="91"/>
    </row>
    <row r="302" ht="15.75" customHeight="1">
      <c r="AG302" s="91"/>
    </row>
    <row r="303" ht="15.75" customHeight="1">
      <c r="AG303" s="91"/>
    </row>
    <row r="304" ht="15.75" customHeight="1">
      <c r="AG304" s="91"/>
    </row>
    <row r="305" ht="15.75" customHeight="1"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L$4">
    <sortState ref="A3:AL4">
      <sortCondition ref="A3:A4"/>
    </sortState>
  </autoFilter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A1" s="67"/>
      <c r="D1" s="97" t="s">
        <v>241</v>
      </c>
      <c r="E1" s="98">
        <f>+AL3</f>
        <v>412608.9626</v>
      </c>
      <c r="F1" s="2"/>
      <c r="G1" s="3"/>
      <c r="H1" s="4"/>
      <c r="I1" s="5">
        <f>694.28</f>
        <v>694.28</v>
      </c>
      <c r="K1" s="5"/>
      <c r="L1" s="5"/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</row>
    <row r="2" ht="15.0" customHeight="1">
      <c r="C2" s="65"/>
      <c r="D2" s="97" t="s">
        <v>242</v>
      </c>
      <c r="E2" s="98">
        <f>+AH3</f>
        <v>5768.992387</v>
      </c>
      <c r="F2" s="99" t="s">
        <v>243</v>
      </c>
      <c r="G2" s="100">
        <f>+Q2</f>
        <v>89.97596798</v>
      </c>
      <c r="H2" s="13"/>
      <c r="I2" s="14">
        <f>SUBTOTAL(9,I4:I8821)</f>
        <v>694.28</v>
      </c>
      <c r="J2" s="4"/>
      <c r="K2" s="14">
        <f>SUBTOTAL(9,K4:K8821)</f>
        <v>651.11548</v>
      </c>
      <c r="L2" s="15">
        <f>SUMPRODUCT(L5:L8821,K5:K8821)/K2</f>
        <v>0.2872536214</v>
      </c>
      <c r="M2" s="2"/>
      <c r="P2" s="16">
        <f t="shared" ref="P2:Q2" si="1">+SUMPRODUCT(P5:P8821,AG5:AG8821)/SUM(AG5:AG8821)</f>
        <v>89.51774214</v>
      </c>
      <c r="Q2" s="16">
        <f t="shared" si="1"/>
        <v>89.97596798</v>
      </c>
      <c r="R2" s="12">
        <f>+SUMPRODUCT(R5:R8821,AH5:AH8821)/SUM(AH5:AH8821)</f>
        <v>2952.37092</v>
      </c>
      <c r="S2" s="2"/>
      <c r="AB2" s="7"/>
      <c r="AC2" s="7"/>
      <c r="AD2" s="7"/>
      <c r="AE2" s="7"/>
      <c r="AF2" s="7"/>
      <c r="AG2" s="17">
        <f>SUMPRODUCT($AG5:$AG8821,$K5:$K8821)/SUM($K5:$K8821)</f>
        <v>63.40145593</v>
      </c>
      <c r="AH2" s="18"/>
      <c r="AI2" s="19">
        <v>3000.0</v>
      </c>
      <c r="AJ2" s="20"/>
      <c r="AK2" s="11"/>
      <c r="AL2" s="21"/>
    </row>
    <row r="3" ht="15.0" customHeight="1">
      <c r="A3" s="22" t="s">
        <v>5</v>
      </c>
      <c r="B3" s="22" t="s">
        <v>6</v>
      </c>
      <c r="C3" s="22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SUBTOTAL(9,AH5:AH8821)</f>
        <v>5768.992387</v>
      </c>
      <c r="AI3" s="40">
        <f>SUMPRODUCT(K5:K8821,AI5:AI8821)/K2</f>
        <v>41.79887492</v>
      </c>
      <c r="AJ3" s="39">
        <f>SUBTOTAL(9,AJ5:AJ8821)</f>
        <v>5607.695084</v>
      </c>
      <c r="AK3" s="11"/>
      <c r="AL3" s="39">
        <f>SUBTOTAL(9,AL5:AL8821)</f>
        <v>412608.9626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</row>
    <row r="5" ht="15.0" customHeight="1">
      <c r="A5" s="92" t="s">
        <v>244</v>
      </c>
      <c r="B5" s="103">
        <v>45715.0</v>
      </c>
      <c r="C5" s="56">
        <v>45711.0</v>
      </c>
      <c r="D5" s="57" t="s">
        <v>63</v>
      </c>
      <c r="E5" s="57" t="str">
        <f t="array" ref="E5">XLOOKUP(D5,RUC!$B$3:$B$110,RUC!$D$3:$D$110)</f>
        <v>#N/A</v>
      </c>
      <c r="G5" s="3">
        <v>57.0</v>
      </c>
      <c r="H5" s="57" t="s">
        <v>47</v>
      </c>
      <c r="I5" s="58">
        <v>5.79</v>
      </c>
      <c r="J5" s="58">
        <v>1.1</v>
      </c>
      <c r="K5" s="59">
        <f t="shared" ref="K5:K49" si="2">+I5-(I5*(J5/100))</f>
        <v>5.72631</v>
      </c>
      <c r="L5" s="60">
        <v>0.362</v>
      </c>
      <c r="M5" s="60">
        <v>0.34</v>
      </c>
      <c r="N5" s="62">
        <v>0.34</v>
      </c>
      <c r="O5" s="60">
        <f t="shared" ref="O5:O7" si="3">+ROUND((M5+N5)/2,3)</f>
        <v>0.34</v>
      </c>
      <c r="P5" s="63">
        <v>90.0</v>
      </c>
      <c r="Q5" s="57">
        <v>90.22</v>
      </c>
      <c r="R5" s="65">
        <v>2931.9</v>
      </c>
      <c r="S5" s="66">
        <f>IF((90+ROUNDDOWN(O5,1)*100)&lt;95,95,(90+ROUNDDOWN(O5,1)*100))</f>
        <v>120</v>
      </c>
      <c r="U5" s="67">
        <v>120.0</v>
      </c>
      <c r="V5" s="67">
        <v>1.1023</v>
      </c>
      <c r="Y5" s="57">
        <v>20.0</v>
      </c>
      <c r="Z5" s="69">
        <f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49" si="4">+Y5+Z5</f>
        <v>50</v>
      </c>
      <c r="AB5" s="71">
        <f t="shared" ref="AB5:AB14" si="5">+((O5*P5*(R5-U5)/100)-S5-AA5+T5)*V5</f>
        <v>761.0735552</v>
      </c>
      <c r="AC5" s="71">
        <f>+(S5-T5)*V5-'data 1'!$F$4</f>
        <v>52.276</v>
      </c>
      <c r="AD5" s="71">
        <f t="shared" ref="AD5:AD49" si="6">+(Q5-P5)*(R5-U5)*L5*V5/100</f>
        <v>2.468487489</v>
      </c>
      <c r="AE5" s="71">
        <f t="shared" ref="AE5:AE49" si="7">+(Y5*V5-70)+V5*(Z5-IF(D5="UNTUCA",IF(+((W5-3)*2.5+(X5-3)*3.1)&gt;0,+((W5-3)*1.5+(X5-3)*3.1),0),IF(+((W5-3)*1.5+(X5-3)*3.1)&gt;0,+((W5-3)*1.5+(X5-3)*3.1),0)))</f>
        <v>-14.885</v>
      </c>
      <c r="AF5" s="71">
        <f t="shared" ref="AF5:AF49" si="8">(L5-O5)*(R5-U5)*Q5*V5/100</f>
        <v>61.5212545</v>
      </c>
      <c r="AG5" s="72">
        <f>+IF(D5="RONALD WILLIAN GARIBAY ESCUDERO",AC5+AD5+AE5+AF5+70,AC5+AD5+AE5+AF5)+70-53</f>
        <v>118.380742</v>
      </c>
      <c r="AH5" s="52">
        <f t="shared" ref="AH5:AH49" si="9">31.1035*L5*Q5*1.1023*K5/100</f>
        <v>64.12026638</v>
      </c>
      <c r="AI5" s="73">
        <f t="shared" ref="AI5:AI49" si="10">+((+$AI$2-R5+U5)*L5*Q5*V5)/100</f>
        <v>67.71735652</v>
      </c>
      <c r="AJ5" s="73">
        <f t="shared" ref="AJ5:AJ49" si="11">31.1035*1.1023*K5*P5*O5/100</f>
        <v>60.0766007</v>
      </c>
      <c r="AK5" s="11"/>
      <c r="AL5" s="51">
        <f t="shared" ref="AL5:AL49" si="12">+IF(AB5*K5&gt;0,AB5*K5,0)</f>
        <v>4358.14311</v>
      </c>
    </row>
    <row r="6" ht="15.0" customHeight="1">
      <c r="A6" s="92" t="s">
        <v>245</v>
      </c>
      <c r="B6" s="56">
        <v>45714.0</v>
      </c>
      <c r="C6" s="56">
        <v>45711.0</v>
      </c>
      <c r="D6" s="57" t="s">
        <v>246</v>
      </c>
      <c r="E6" s="57">
        <f t="array" ref="E6">XLOOKUP(D6,RUC!$B$3:$B$110,RUC!$D$3:$D$110)</f>
        <v>10756747652</v>
      </c>
      <c r="G6" s="3" t="s">
        <v>46</v>
      </c>
      <c r="H6" s="57" t="s">
        <v>47</v>
      </c>
      <c r="I6" s="58">
        <v>40.31</v>
      </c>
      <c r="J6" s="58">
        <v>3.35</v>
      </c>
      <c r="K6" s="59">
        <f t="shared" si="2"/>
        <v>38.959615</v>
      </c>
      <c r="L6" s="60">
        <v>0.162</v>
      </c>
      <c r="M6" s="60">
        <v>0.152</v>
      </c>
      <c r="N6" s="62">
        <v>0.152</v>
      </c>
      <c r="O6" s="60">
        <f t="shared" si="3"/>
        <v>0.152</v>
      </c>
      <c r="P6" s="63">
        <v>85.0</v>
      </c>
      <c r="Q6" s="58">
        <v>90.2</v>
      </c>
      <c r="R6" s="65">
        <v>2931.9</v>
      </c>
      <c r="S6" s="96">
        <f>IF((85+ROUNDDOWN(O6,1)*100)&lt;95,95,(85+ROUNDDOWN(O6,1)*100))</f>
        <v>95</v>
      </c>
      <c r="U6" s="87">
        <v>90.0</v>
      </c>
      <c r="V6" s="67">
        <v>1.1023</v>
      </c>
      <c r="Z6" s="77">
        <v>25.0</v>
      </c>
      <c r="AA6" s="70">
        <f t="shared" si="4"/>
        <v>25</v>
      </c>
      <c r="AB6" s="71">
        <f t="shared" si="5"/>
        <v>272.459327</v>
      </c>
      <c r="AC6" s="71">
        <f>+(S6-T6)*V6-'data 1'!$F$4</f>
        <v>24.7185</v>
      </c>
      <c r="AD6" s="71">
        <f t="shared" si="6"/>
        <v>26.38924454</v>
      </c>
      <c r="AE6" s="71">
        <f t="shared" si="7"/>
        <v>-42.4425</v>
      </c>
      <c r="AF6" s="71">
        <f t="shared" si="8"/>
        <v>28.25628986</v>
      </c>
      <c r="AG6" s="72">
        <f>+IF(D6="RONALD WILLIAN GARIBAY ESCUDERO",AC6+AD6+AE6+AF6+70,AC6+AD6+AE6+AF6)+70</f>
        <v>106.9215344</v>
      </c>
      <c r="AH6" s="52">
        <f t="shared" si="9"/>
        <v>195.1844782</v>
      </c>
      <c r="AI6" s="73">
        <f t="shared" si="10"/>
        <v>25.46555991</v>
      </c>
      <c r="AJ6" s="73">
        <f t="shared" si="11"/>
        <v>172.578321</v>
      </c>
      <c r="AK6" s="11"/>
      <c r="AL6" s="51">
        <f t="shared" si="12"/>
        <v>10614.91048</v>
      </c>
    </row>
    <row r="7" ht="15.0" customHeight="1">
      <c r="A7" s="92" t="s">
        <v>247</v>
      </c>
      <c r="B7" s="56">
        <v>45716.0</v>
      </c>
      <c r="C7" s="56">
        <v>45712.0</v>
      </c>
      <c r="D7" s="57" t="s">
        <v>61</v>
      </c>
      <c r="E7" s="57">
        <f t="array" ref="E7">XLOOKUP(D7,RUC!$B$3:$B$110,RUC!$D$3:$D$110)</f>
        <v>20606526599</v>
      </c>
      <c r="G7" s="3">
        <v>150.0</v>
      </c>
      <c r="H7" s="57" t="s">
        <v>47</v>
      </c>
      <c r="I7" s="58">
        <v>12.12</v>
      </c>
      <c r="J7" s="58">
        <v>4.2</v>
      </c>
      <c r="K7" s="59">
        <f t="shared" si="2"/>
        <v>11.61096</v>
      </c>
      <c r="L7" s="60">
        <v>0.154</v>
      </c>
      <c r="M7" s="60">
        <v>0.144</v>
      </c>
      <c r="N7" s="62">
        <v>0.144</v>
      </c>
      <c r="O7" s="60">
        <f t="shared" si="3"/>
        <v>0.144</v>
      </c>
      <c r="P7" s="63">
        <v>90.0</v>
      </c>
      <c r="Q7" s="57">
        <v>90.23</v>
      </c>
      <c r="R7" s="65">
        <v>2931.9</v>
      </c>
      <c r="S7" s="66">
        <f>IF((90+ROUNDDOWN(O7,1)*100)&lt;95,95,(90+ROUNDDOWN(O7,1)*100))</f>
        <v>100</v>
      </c>
      <c r="U7" s="67">
        <v>120.0</v>
      </c>
      <c r="V7" s="67">
        <v>1.1023</v>
      </c>
      <c r="Y7" s="57">
        <v>20.0</v>
      </c>
      <c r="Z7" s="69">
        <f t="shared" ref="Z7:Z8" si="13">IF(IF(D7="UNTUCA",IF(+((W7-3)*1.5+(X7-3)*3.1)&gt;0,+((W7-3)*1.5+(X7-3)*3.1),0),IF(+((W7-3)*1.5+(X7-3)*3.1)&gt;0,+((W7-3)*1.5+(X7-3)*3.1),0))&lt;30,30,IF(D7="UNTUCA",IF(+((W7-3)*1.5+(X7-3)*3.1)&gt;0,+((W7-3)*1.5+(X7-3)*3.1),0),IF(+((W7-3)*1.5+(X7-3)*3.1)&gt;0,+((W7-3)*1.5+(X7-3)*3.1),0)))</f>
        <v>30</v>
      </c>
      <c r="AA7" s="70">
        <f t="shared" si="4"/>
        <v>50</v>
      </c>
      <c r="AB7" s="71">
        <f t="shared" si="5"/>
        <v>236.3576352</v>
      </c>
      <c r="AC7" s="71">
        <f>+(S7-T7)*V7-'data 1'!$F$4</f>
        <v>30.23</v>
      </c>
      <c r="AD7" s="71">
        <f t="shared" si="6"/>
        <v>1.09786322</v>
      </c>
      <c r="AE7" s="71">
        <f t="shared" si="7"/>
        <v>-14.885</v>
      </c>
      <c r="AF7" s="71">
        <f t="shared" si="8"/>
        <v>27.96730615</v>
      </c>
      <c r="AG7" s="72">
        <f t="shared" ref="AG7:AG14" si="14">+IF(D7="RONALD WILLIAN GARIBAY ESCUDERO",AC7+AD7+AE7+AF7+70,AC7+AD7+AE7+AF7)+70-53</f>
        <v>61.41016937</v>
      </c>
      <c r="AH7" s="52">
        <f t="shared" si="9"/>
        <v>55.31575907</v>
      </c>
      <c r="AI7" s="73">
        <f t="shared" si="10"/>
        <v>28.81112928</v>
      </c>
      <c r="AJ7" s="73">
        <f t="shared" si="11"/>
        <v>51.59198049</v>
      </c>
      <c r="AK7" s="11"/>
      <c r="AL7" s="51">
        <f t="shared" si="12"/>
        <v>2744.339047</v>
      </c>
    </row>
    <row r="8" ht="15.0" customHeight="1">
      <c r="A8" s="92" t="s">
        <v>248</v>
      </c>
      <c r="B8" s="56">
        <v>45717.0</v>
      </c>
      <c r="C8" s="56">
        <v>45713.0</v>
      </c>
      <c r="D8" s="57" t="s">
        <v>249</v>
      </c>
      <c r="E8" s="57">
        <f t="array" ref="E8">XLOOKUP(D8,RUC!$B$3:$B$110,RUC!$D$3:$D$110)</f>
        <v>10473108823</v>
      </c>
      <c r="G8" s="3" t="s">
        <v>46</v>
      </c>
      <c r="H8" s="57" t="s">
        <v>47</v>
      </c>
      <c r="I8" s="58">
        <v>36.3</v>
      </c>
      <c r="J8" s="58">
        <v>9.7</v>
      </c>
      <c r="K8" s="59">
        <f t="shared" si="2"/>
        <v>32.7789</v>
      </c>
      <c r="L8" s="60">
        <v>0.102</v>
      </c>
      <c r="M8" s="60">
        <v>0.092</v>
      </c>
      <c r="N8" s="75">
        <v>0.135</v>
      </c>
      <c r="O8" s="79">
        <v>0.113</v>
      </c>
      <c r="P8" s="63">
        <v>85.0</v>
      </c>
      <c r="Q8" s="57">
        <v>90.33</v>
      </c>
      <c r="R8" s="65">
        <v>2933.25</v>
      </c>
      <c r="S8" s="76">
        <v>110.0</v>
      </c>
      <c r="U8" s="67">
        <v>90.0</v>
      </c>
      <c r="V8" s="67">
        <v>1.1023</v>
      </c>
      <c r="Z8" s="69">
        <f t="shared" si="13"/>
        <v>30</v>
      </c>
      <c r="AA8" s="70">
        <f t="shared" si="4"/>
        <v>30</v>
      </c>
      <c r="AB8" s="104">
        <f t="shared" si="5"/>
        <v>146.7096953</v>
      </c>
      <c r="AC8" s="71">
        <f>+(S8-T8)*V8-'data 1'!$F$4</f>
        <v>41.253</v>
      </c>
      <c r="AD8" s="71">
        <f t="shared" si="6"/>
        <v>17.03892675</v>
      </c>
      <c r="AE8" s="71">
        <f t="shared" si="7"/>
        <v>-36.931</v>
      </c>
      <c r="AF8" s="71">
        <f t="shared" si="8"/>
        <v>-31.14150166</v>
      </c>
      <c r="AG8" s="72">
        <f t="shared" si="14"/>
        <v>7.219425097</v>
      </c>
      <c r="AH8" s="52">
        <f t="shared" si="9"/>
        <v>103.5465484</v>
      </c>
      <c r="AI8" s="73">
        <f t="shared" si="10"/>
        <v>15.9198708</v>
      </c>
      <c r="AJ8" s="73">
        <f t="shared" si="11"/>
        <v>107.9445733</v>
      </c>
      <c r="AK8" s="11"/>
      <c r="AL8" s="51">
        <f t="shared" si="12"/>
        <v>4808.982432</v>
      </c>
    </row>
    <row r="9" ht="15.0" customHeight="1">
      <c r="A9" s="92" t="s">
        <v>250</v>
      </c>
      <c r="B9" s="95">
        <v>45723.0</v>
      </c>
      <c r="C9" s="56">
        <v>45714.0</v>
      </c>
      <c r="D9" s="57" t="s">
        <v>88</v>
      </c>
      <c r="E9" s="57" t="str">
        <f t="array" ref="E9">XLOOKUP(D9,RUC!$B$3:$B$110,RUC!$D$3:$D$110)</f>
        <v>#N/A</v>
      </c>
      <c r="G9" s="3">
        <v>50.0</v>
      </c>
      <c r="H9" s="57" t="s">
        <v>47</v>
      </c>
      <c r="I9" s="58">
        <v>6.39</v>
      </c>
      <c r="J9" s="58">
        <v>1.15</v>
      </c>
      <c r="K9" s="59">
        <f t="shared" si="2"/>
        <v>6.316515</v>
      </c>
      <c r="L9" s="60">
        <v>0.36</v>
      </c>
      <c r="M9" s="60">
        <v>0.342</v>
      </c>
      <c r="N9" s="60">
        <v>0.342</v>
      </c>
      <c r="O9" s="60">
        <f t="shared" ref="O9:O49" si="15">+ROUND((M9+N9)/2,3)</f>
        <v>0.342</v>
      </c>
      <c r="P9" s="63">
        <v>90.0</v>
      </c>
      <c r="Q9" s="57">
        <v>90.22</v>
      </c>
      <c r="R9" s="65">
        <v>2901.0</v>
      </c>
      <c r="S9" s="76">
        <f t="shared" ref="S9:S11" si="16">IF((85+ROUNDDOWN(O9,1)*100)&lt;95,95,(85+ROUNDDOWN(O9,1)*100))</f>
        <v>115</v>
      </c>
      <c r="U9" s="87">
        <v>90.0</v>
      </c>
      <c r="V9" s="67">
        <v>1.1023</v>
      </c>
      <c r="Z9" s="77">
        <v>25.0</v>
      </c>
      <c r="AA9" s="70">
        <f t="shared" si="4"/>
        <v>25</v>
      </c>
      <c r="AB9" s="71">
        <f t="shared" si="5"/>
        <v>799.4163993</v>
      </c>
      <c r="AC9" s="71">
        <f>+(S9-T9)*V9-'data 1'!$F$4</f>
        <v>46.7645</v>
      </c>
      <c r="AD9" s="71">
        <f t="shared" si="6"/>
        <v>2.454063718</v>
      </c>
      <c r="AE9" s="71">
        <f t="shared" si="7"/>
        <v>-42.4425</v>
      </c>
      <c r="AF9" s="71">
        <f t="shared" si="8"/>
        <v>50.31946105</v>
      </c>
      <c r="AG9" s="72">
        <f t="shared" si="14"/>
        <v>74.09552476</v>
      </c>
      <c r="AH9" s="52">
        <f t="shared" si="9"/>
        <v>70.33830922</v>
      </c>
      <c r="AI9" s="73">
        <f t="shared" si="10"/>
        <v>67.66544388</v>
      </c>
      <c r="AJ9" s="73">
        <f t="shared" si="11"/>
        <v>66.65845088</v>
      </c>
      <c r="AK9" s="11"/>
      <c r="AL9" s="51">
        <f t="shared" si="12"/>
        <v>5049.525678</v>
      </c>
    </row>
    <row r="10" ht="15.0" customHeight="1">
      <c r="A10" s="92" t="s">
        <v>251</v>
      </c>
      <c r="B10" s="95">
        <v>45723.0</v>
      </c>
      <c r="C10" s="56">
        <v>45714.0</v>
      </c>
      <c r="D10" s="57" t="s">
        <v>88</v>
      </c>
      <c r="E10" s="57" t="str">
        <f t="array" ref="E10">XLOOKUP(D10,RUC!$B$3:$B$110,RUC!$D$3:$D$110)</f>
        <v>#N/A</v>
      </c>
      <c r="G10" s="3">
        <v>50.0</v>
      </c>
      <c r="H10" s="57" t="s">
        <v>47</v>
      </c>
      <c r="I10" s="58">
        <v>5.28</v>
      </c>
      <c r="J10" s="58">
        <v>4.7</v>
      </c>
      <c r="K10" s="59">
        <f t="shared" si="2"/>
        <v>5.03184</v>
      </c>
      <c r="L10" s="60">
        <v>0.496</v>
      </c>
      <c r="M10" s="60">
        <v>0.466</v>
      </c>
      <c r="N10" s="75">
        <v>0.512</v>
      </c>
      <c r="O10" s="60">
        <f t="shared" si="15"/>
        <v>0.489</v>
      </c>
      <c r="P10" s="63">
        <v>90.0</v>
      </c>
      <c r="Q10" s="57">
        <v>90.06</v>
      </c>
      <c r="R10" s="65">
        <v>2901.0</v>
      </c>
      <c r="S10" s="76">
        <f t="shared" si="16"/>
        <v>125</v>
      </c>
      <c r="U10" s="87">
        <v>90.0</v>
      </c>
      <c r="V10" s="67">
        <v>1.1023</v>
      </c>
      <c r="Z10" s="77">
        <v>25.0</v>
      </c>
      <c r="AA10" s="70">
        <f t="shared" si="4"/>
        <v>25</v>
      </c>
      <c r="AB10" s="71">
        <f t="shared" si="5"/>
        <v>1198.333589</v>
      </c>
      <c r="AC10" s="71">
        <f>+(S10-T10)*V10-'data 1'!$F$4</f>
        <v>57.7875</v>
      </c>
      <c r="AD10" s="71">
        <f t="shared" si="6"/>
        <v>0.9221330333</v>
      </c>
      <c r="AE10" s="71">
        <f t="shared" si="7"/>
        <v>-42.4425</v>
      </c>
      <c r="AF10" s="71">
        <f t="shared" si="8"/>
        <v>19.53397536</v>
      </c>
      <c r="AG10" s="72">
        <f t="shared" si="14"/>
        <v>52.8011084</v>
      </c>
      <c r="AH10" s="52">
        <f t="shared" si="9"/>
        <v>77.06363877</v>
      </c>
      <c r="AI10" s="73">
        <f t="shared" si="10"/>
        <v>93.06261049</v>
      </c>
      <c r="AJ10" s="73">
        <f t="shared" si="11"/>
        <v>75.92543014</v>
      </c>
      <c r="AK10" s="11"/>
      <c r="AL10" s="51">
        <f t="shared" si="12"/>
        <v>6029.822884</v>
      </c>
    </row>
    <row r="11" ht="15.0" customHeight="1">
      <c r="A11" s="92" t="s">
        <v>252</v>
      </c>
      <c r="B11" s="95">
        <v>45723.0</v>
      </c>
      <c r="C11" s="56">
        <v>45714.0</v>
      </c>
      <c r="D11" s="57" t="s">
        <v>88</v>
      </c>
      <c r="E11" s="57" t="str">
        <f t="array" ref="E11">XLOOKUP(D11,RUC!$B$3:$B$110,RUC!$D$3:$D$110)</f>
        <v>#N/A</v>
      </c>
      <c r="G11" s="3">
        <v>50.0</v>
      </c>
      <c r="H11" s="57" t="s">
        <v>47</v>
      </c>
      <c r="I11" s="58">
        <v>5.47</v>
      </c>
      <c r="J11" s="58">
        <v>8.25</v>
      </c>
      <c r="K11" s="59">
        <f t="shared" si="2"/>
        <v>5.018725</v>
      </c>
      <c r="L11" s="60">
        <v>0.313</v>
      </c>
      <c r="M11" s="60">
        <v>0.294</v>
      </c>
      <c r="N11" s="75">
        <v>0.34</v>
      </c>
      <c r="O11" s="60">
        <f t="shared" si="15"/>
        <v>0.317</v>
      </c>
      <c r="P11" s="63">
        <v>90.0</v>
      </c>
      <c r="Q11" s="57">
        <v>90.15</v>
      </c>
      <c r="R11" s="65">
        <v>2901.0</v>
      </c>
      <c r="S11" s="76">
        <f t="shared" si="16"/>
        <v>115</v>
      </c>
      <c r="U11" s="87">
        <v>90.0</v>
      </c>
      <c r="V11" s="67">
        <v>1.1023</v>
      </c>
      <c r="Z11" s="77">
        <v>25.0</v>
      </c>
      <c r="AA11" s="70">
        <f t="shared" si="4"/>
        <v>25</v>
      </c>
      <c r="AB11" s="71">
        <f t="shared" si="5"/>
        <v>729.6986801</v>
      </c>
      <c r="AC11" s="71">
        <f>+(S11-T11)*V11-'data 1'!$F$4</f>
        <v>46.7645</v>
      </c>
      <c r="AD11" s="71">
        <f t="shared" si="6"/>
        <v>1.454776408</v>
      </c>
      <c r="AE11" s="71">
        <f t="shared" si="7"/>
        <v>-42.4425</v>
      </c>
      <c r="AF11" s="71">
        <f t="shared" si="8"/>
        <v>-11.17342647</v>
      </c>
      <c r="AG11" s="72">
        <f t="shared" si="14"/>
        <v>11.60334994</v>
      </c>
      <c r="AH11" s="52">
        <f t="shared" si="9"/>
        <v>48.55260511</v>
      </c>
      <c r="AI11" s="73">
        <f t="shared" si="10"/>
        <v>58.78569813</v>
      </c>
      <c r="AJ11" s="73">
        <f t="shared" si="11"/>
        <v>49.09126691</v>
      </c>
      <c r="AK11" s="11"/>
      <c r="AL11" s="51">
        <f t="shared" si="12"/>
        <v>3662.157008</v>
      </c>
    </row>
    <row r="12" ht="15.0" customHeight="1">
      <c r="A12" s="92" t="s">
        <v>253</v>
      </c>
      <c r="B12" s="103">
        <v>45719.0</v>
      </c>
      <c r="C12" s="56">
        <v>45716.0</v>
      </c>
      <c r="D12" s="57" t="s">
        <v>254</v>
      </c>
      <c r="E12" s="57">
        <f t="array" ref="E12">XLOOKUP(D12,RUC!$B$3:$B$110,RUC!$D$3:$D$110)</f>
        <v>20611000350</v>
      </c>
      <c r="G12" s="3">
        <v>47.0</v>
      </c>
      <c r="H12" s="57" t="s">
        <v>71</v>
      </c>
      <c r="I12" s="58">
        <v>4.03</v>
      </c>
      <c r="J12" s="58">
        <v>15.7</v>
      </c>
      <c r="K12" s="59">
        <f t="shared" si="2"/>
        <v>3.39729</v>
      </c>
      <c r="L12" s="60">
        <v>0.742</v>
      </c>
      <c r="M12" s="60">
        <v>0.704</v>
      </c>
      <c r="N12" s="62">
        <v>0.704</v>
      </c>
      <c r="O12" s="60">
        <f t="shared" si="15"/>
        <v>0.704</v>
      </c>
      <c r="P12" s="63">
        <v>90.0</v>
      </c>
      <c r="Q12" s="57">
        <v>89.56</v>
      </c>
      <c r="R12" s="65">
        <v>2834.55</v>
      </c>
      <c r="S12" s="66">
        <f t="shared" ref="S12:S14" si="17">IF((90+ROUNDDOWN(O12,1)*100)&lt;95,95,(90+ROUNDDOWN(O12,1)*100))</f>
        <v>160</v>
      </c>
      <c r="U12" s="67">
        <v>120.0</v>
      </c>
      <c r="V12" s="67">
        <v>1.1023</v>
      </c>
      <c r="Y12" s="57">
        <v>20.0</v>
      </c>
      <c r="Z12" s="69">
        <f t="shared" ref="Z12:Z21" si="18">IF(IF(D12="UNTUCA",IF(+((W12-3)*1.5+(X12-3)*3.1)&gt;0,+((W12-3)*1.5+(X12-3)*3.1),0),IF(+((W12-3)*1.5+(X12-3)*3.1)&gt;0,+((W12-3)*1.5+(X12-3)*3.1),0))&lt;30,30,IF(D12="UNTUCA",IF(+((W12-3)*1.5+(X12-3)*3.1)&gt;0,+((W12-3)*1.5+(X12-3)*3.1),0),IF(+((W12-3)*1.5+(X12-3)*3.1)&gt;0,+((W12-3)*1.5+(X12-3)*3.1),0)))</f>
        <v>30</v>
      </c>
      <c r="AA12" s="70">
        <f t="shared" si="4"/>
        <v>50</v>
      </c>
      <c r="AB12" s="71">
        <f t="shared" si="5"/>
        <v>1664.405627</v>
      </c>
      <c r="AC12" s="71">
        <f>+(S12-T12)*V12-'data 1'!$F$4</f>
        <v>96.368</v>
      </c>
      <c r="AD12" s="71">
        <f t="shared" si="6"/>
        <v>-9.769092789</v>
      </c>
      <c r="AE12" s="71">
        <f t="shared" si="7"/>
        <v>-14.885</v>
      </c>
      <c r="AF12" s="71">
        <f t="shared" si="8"/>
        <v>101.8345936</v>
      </c>
      <c r="AG12" s="72">
        <f t="shared" si="14"/>
        <v>190.5485008</v>
      </c>
      <c r="AH12" s="52">
        <f t="shared" si="9"/>
        <v>77.40333627</v>
      </c>
      <c r="AI12" s="73">
        <f t="shared" si="10"/>
        <v>209.0970207</v>
      </c>
      <c r="AJ12" s="73">
        <f t="shared" si="11"/>
        <v>73.80008442</v>
      </c>
      <c r="AK12" s="11"/>
      <c r="AL12" s="51">
        <f t="shared" si="12"/>
        <v>5654.468594</v>
      </c>
    </row>
    <row r="13" ht="15.0" customHeight="1">
      <c r="A13" s="92" t="s">
        <v>255</v>
      </c>
      <c r="B13" s="103">
        <v>45719.0</v>
      </c>
      <c r="C13" s="56">
        <v>45716.0</v>
      </c>
      <c r="D13" s="57" t="s">
        <v>254</v>
      </c>
      <c r="E13" s="57">
        <f t="array" ref="E13">XLOOKUP(D13,RUC!$B$3:$B$110,RUC!$D$3:$D$110)</f>
        <v>20611000350</v>
      </c>
      <c r="G13" s="3">
        <v>21.0</v>
      </c>
      <c r="H13" s="57" t="s">
        <v>71</v>
      </c>
      <c r="I13" s="58">
        <v>1.82</v>
      </c>
      <c r="J13" s="58">
        <v>13.25</v>
      </c>
      <c r="K13" s="59">
        <f t="shared" si="2"/>
        <v>1.57885</v>
      </c>
      <c r="L13" s="60">
        <v>0.87</v>
      </c>
      <c r="M13" s="60">
        <v>0.826</v>
      </c>
      <c r="N13" s="62">
        <v>0.826</v>
      </c>
      <c r="O13" s="60">
        <f t="shared" si="15"/>
        <v>0.826</v>
      </c>
      <c r="P13" s="63">
        <v>90.0</v>
      </c>
      <c r="Q13" s="57">
        <v>89.84</v>
      </c>
      <c r="R13" s="65">
        <v>2834.55</v>
      </c>
      <c r="S13" s="66">
        <f t="shared" si="17"/>
        <v>170</v>
      </c>
      <c r="U13" s="67">
        <v>120.0</v>
      </c>
      <c r="V13" s="67">
        <v>1.1023</v>
      </c>
      <c r="Y13" s="57">
        <v>20.0</v>
      </c>
      <c r="Z13" s="69">
        <f t="shared" si="18"/>
        <v>30</v>
      </c>
      <c r="AA13" s="70">
        <f t="shared" si="4"/>
        <v>50</v>
      </c>
      <c r="AB13" s="71">
        <f t="shared" si="5"/>
        <v>1981.931509</v>
      </c>
      <c r="AC13" s="71">
        <f>+(S13-T13)*V13-'data 1'!$F$4</f>
        <v>107.391</v>
      </c>
      <c r="AD13" s="71">
        <f t="shared" si="6"/>
        <v>-4.165209863</v>
      </c>
      <c r="AE13" s="71">
        <f t="shared" si="7"/>
        <v>-14.885</v>
      </c>
      <c r="AF13" s="71">
        <f t="shared" si="8"/>
        <v>118.2823849</v>
      </c>
      <c r="AG13" s="72">
        <f t="shared" si="14"/>
        <v>223.6231751</v>
      </c>
      <c r="AH13" s="52">
        <f t="shared" si="9"/>
        <v>42.30960167</v>
      </c>
      <c r="AI13" s="73">
        <f t="shared" si="10"/>
        <v>245.934157</v>
      </c>
      <c r="AJ13" s="73">
        <f t="shared" si="11"/>
        <v>40.24134589</v>
      </c>
      <c r="AK13" s="11"/>
      <c r="AL13" s="51">
        <f t="shared" si="12"/>
        <v>3129.172563</v>
      </c>
    </row>
    <row r="14" ht="15.0" customHeight="1">
      <c r="A14" s="92" t="s">
        <v>256</v>
      </c>
      <c r="B14" s="103">
        <v>45719.0</v>
      </c>
      <c r="C14" s="56">
        <v>45716.0</v>
      </c>
      <c r="D14" s="57" t="s">
        <v>254</v>
      </c>
      <c r="E14" s="57">
        <f t="array" ref="E14">XLOOKUP(D14,RUC!$B$3:$B$110,RUC!$D$3:$D$110)</f>
        <v>20611000350</v>
      </c>
      <c r="G14" s="3">
        <v>30.0</v>
      </c>
      <c r="H14" s="57" t="s">
        <v>71</v>
      </c>
      <c r="I14" s="58">
        <v>2.63</v>
      </c>
      <c r="J14" s="58">
        <v>15.05</v>
      </c>
      <c r="K14" s="59">
        <f t="shared" si="2"/>
        <v>2.234185</v>
      </c>
      <c r="L14" s="60">
        <v>0.442</v>
      </c>
      <c r="M14" s="60">
        <v>0.415</v>
      </c>
      <c r="N14" s="62">
        <v>0.415</v>
      </c>
      <c r="O14" s="60">
        <f t="shared" si="15"/>
        <v>0.415</v>
      </c>
      <c r="P14" s="63">
        <v>90.0</v>
      </c>
      <c r="Q14" s="58">
        <v>89.9</v>
      </c>
      <c r="R14" s="65">
        <v>2834.55</v>
      </c>
      <c r="S14" s="66">
        <f t="shared" si="17"/>
        <v>130</v>
      </c>
      <c r="U14" s="67">
        <v>120.0</v>
      </c>
      <c r="V14" s="67">
        <v>1.1023</v>
      </c>
      <c r="Y14" s="57">
        <v>20.0</v>
      </c>
      <c r="Z14" s="69">
        <f t="shared" si="18"/>
        <v>30</v>
      </c>
      <c r="AA14" s="70">
        <f t="shared" si="4"/>
        <v>50</v>
      </c>
      <c r="AB14" s="71">
        <f t="shared" si="5"/>
        <v>919.1908017</v>
      </c>
      <c r="AC14" s="71">
        <f>+(S14-T14)*V14-'data 1'!$F$4</f>
        <v>63.299</v>
      </c>
      <c r="AD14" s="71">
        <f t="shared" si="6"/>
        <v>-1.322573822</v>
      </c>
      <c r="AE14" s="71">
        <f t="shared" si="7"/>
        <v>-14.885</v>
      </c>
      <c r="AF14" s="71">
        <f t="shared" si="8"/>
        <v>72.63084699</v>
      </c>
      <c r="AG14" s="72">
        <f t="shared" si="14"/>
        <v>136.7222732</v>
      </c>
      <c r="AH14" s="52">
        <f t="shared" si="9"/>
        <v>30.43758295</v>
      </c>
      <c r="AI14" s="73">
        <f t="shared" si="10"/>
        <v>125.0293046</v>
      </c>
      <c r="AJ14" s="73">
        <f t="shared" si="11"/>
        <v>28.61006254</v>
      </c>
      <c r="AK14" s="11"/>
      <c r="AL14" s="51">
        <f t="shared" si="12"/>
        <v>2053.642301</v>
      </c>
    </row>
    <row r="15" ht="15.0" customHeight="1">
      <c r="A15" s="92" t="s">
        <v>257</v>
      </c>
      <c r="B15" s="93">
        <v>45723.0</v>
      </c>
      <c r="C15" s="56">
        <v>45717.0</v>
      </c>
      <c r="D15" s="57" t="s">
        <v>51</v>
      </c>
      <c r="E15" s="57" t="str">
        <f t="array" ref="E15">XLOOKUP(D15,RUC!$B$3:$B$110,RUC!$D$3:$D$110)</f>
        <v>#N/A</v>
      </c>
      <c r="G15" s="3">
        <v>30.0</v>
      </c>
      <c r="H15" s="57" t="s">
        <v>47</v>
      </c>
      <c r="I15" s="58">
        <v>2.68</v>
      </c>
      <c r="J15" s="58">
        <v>1.2</v>
      </c>
      <c r="K15" s="59">
        <f t="shared" si="2"/>
        <v>2.64784</v>
      </c>
      <c r="L15" s="60">
        <v>0.015</v>
      </c>
      <c r="M15" s="60">
        <v>0.012</v>
      </c>
      <c r="N15" s="62">
        <v>0.012</v>
      </c>
      <c r="O15" s="60">
        <f t="shared" si="15"/>
        <v>0.012</v>
      </c>
      <c r="P15" s="63">
        <v>85.0</v>
      </c>
      <c r="Q15" s="58">
        <v>56.3</v>
      </c>
      <c r="R15" s="65">
        <v>2834.55</v>
      </c>
      <c r="S15" s="76">
        <f>IF((80+ROUNDDOWN(O15,1)*100)&lt;95,95,(80+ROUNDDOWN(O15,1)*100))</f>
        <v>95</v>
      </c>
      <c r="U15" s="67">
        <v>100.0</v>
      </c>
      <c r="V15" s="67">
        <v>1.1023</v>
      </c>
      <c r="Z15" s="69">
        <f t="shared" si="18"/>
        <v>30</v>
      </c>
      <c r="AA15" s="70">
        <f t="shared" si="4"/>
        <v>30</v>
      </c>
      <c r="AB15" s="71">
        <v>0.0</v>
      </c>
      <c r="AC15" s="71">
        <f>+(S15-T15)*V15-'data 1'!$F$4</f>
        <v>24.7185</v>
      </c>
      <c r="AD15" s="71">
        <f t="shared" si="6"/>
        <v>-12.97653767</v>
      </c>
      <c r="AE15" s="71">
        <f t="shared" si="7"/>
        <v>-36.931</v>
      </c>
      <c r="AF15" s="71">
        <f t="shared" si="8"/>
        <v>5.091143351</v>
      </c>
      <c r="AG15" s="72">
        <v>0.0</v>
      </c>
      <c r="AH15" s="52">
        <f t="shared" si="9"/>
        <v>0.7666558639</v>
      </c>
      <c r="AI15" s="73">
        <f t="shared" si="10"/>
        <v>2.471053743</v>
      </c>
      <c r="AJ15" s="73">
        <f t="shared" si="11"/>
        <v>0.9259786633</v>
      </c>
      <c r="AK15" s="11"/>
      <c r="AL15" s="51">
        <f t="shared" si="12"/>
        <v>0</v>
      </c>
    </row>
    <row r="16" ht="15.0" customHeight="1">
      <c r="A16" s="92" t="s">
        <v>258</v>
      </c>
      <c r="B16" s="103">
        <v>45722.0</v>
      </c>
      <c r="C16" s="56">
        <v>45717.0</v>
      </c>
      <c r="D16" s="57" t="s">
        <v>63</v>
      </c>
      <c r="E16" s="57" t="str">
        <f t="array" ref="E16">XLOOKUP(D16,RUC!$B$3:$B$110,RUC!$D$3:$D$110)</f>
        <v>#N/A</v>
      </c>
      <c r="G16" s="3">
        <v>100.0</v>
      </c>
      <c r="H16" s="57" t="s">
        <v>47</v>
      </c>
      <c r="I16" s="58">
        <v>8.44</v>
      </c>
      <c r="J16" s="58">
        <v>1.5</v>
      </c>
      <c r="K16" s="59">
        <f t="shared" si="2"/>
        <v>8.3134</v>
      </c>
      <c r="L16" s="60">
        <v>0.181</v>
      </c>
      <c r="M16" s="60">
        <v>0.17</v>
      </c>
      <c r="N16" s="62">
        <v>0.17</v>
      </c>
      <c r="O16" s="60">
        <f t="shared" si="15"/>
        <v>0.17</v>
      </c>
      <c r="P16" s="63">
        <v>90.0</v>
      </c>
      <c r="Q16" s="58">
        <v>90.25</v>
      </c>
      <c r="R16" s="65">
        <v>2834.55</v>
      </c>
      <c r="S16" s="66">
        <f t="shared" ref="S16:S21" si="19">IF((90+ROUNDDOWN(O16,1)*100)&lt;95,95,(90+ROUNDDOWN(O16,1)*100))</f>
        <v>100</v>
      </c>
      <c r="U16" s="67">
        <v>120.0</v>
      </c>
      <c r="V16" s="67">
        <v>1.1023</v>
      </c>
      <c r="Y16" s="57">
        <v>20.0</v>
      </c>
      <c r="Z16" s="69">
        <f t="shared" si="18"/>
        <v>30</v>
      </c>
      <c r="AA16" s="70">
        <f t="shared" si="4"/>
        <v>50</v>
      </c>
      <c r="AB16" s="71">
        <f t="shared" ref="AB16:AB49" si="20">+((O16*P16*(R16-U16)/100)-S16-AA16+T16)*V16</f>
        <v>292.4690151</v>
      </c>
      <c r="AC16" s="71">
        <f>+(S16-T16)*V16-'data 1'!$F$4</f>
        <v>30.23</v>
      </c>
      <c r="AD16" s="71">
        <f t="shared" si="6"/>
        <v>1.35399243</v>
      </c>
      <c r="AE16" s="71">
        <f t="shared" si="7"/>
        <v>-14.885</v>
      </c>
      <c r="AF16" s="71">
        <f t="shared" si="8"/>
        <v>29.70554664</v>
      </c>
      <c r="AG16" s="72">
        <f t="shared" ref="AG16:AG31" si="21">+IF(D16="RONALD WILLIAN GARIBAY ESCUDERO",AC16+AD16+AE16+AF16+70,AC16+AD16+AE16+AF16)+70-53</f>
        <v>63.40453907</v>
      </c>
      <c r="AH16" s="52">
        <f t="shared" si="9"/>
        <v>46.56006006</v>
      </c>
      <c r="AI16" s="73">
        <f t="shared" si="10"/>
        <v>51.39911487</v>
      </c>
      <c r="AJ16" s="73">
        <f t="shared" si="11"/>
        <v>43.60930619</v>
      </c>
      <c r="AK16" s="11"/>
      <c r="AL16" s="51">
        <f t="shared" si="12"/>
        <v>2431.411911</v>
      </c>
    </row>
    <row r="17" ht="15.0" customHeight="1">
      <c r="A17" s="92" t="s">
        <v>259</v>
      </c>
      <c r="B17" s="103">
        <v>45720.0</v>
      </c>
      <c r="C17" s="56">
        <v>45717.0</v>
      </c>
      <c r="D17" s="57" t="s">
        <v>104</v>
      </c>
      <c r="E17" s="57">
        <f t="array" ref="E17">XLOOKUP(D17,RUC!$B$3:$B$110,RUC!$D$3:$D$110)</f>
        <v>10479968131</v>
      </c>
      <c r="G17" s="3">
        <v>50.0</v>
      </c>
      <c r="H17" s="57" t="s">
        <v>47</v>
      </c>
      <c r="I17" s="58">
        <v>4.31</v>
      </c>
      <c r="J17" s="58">
        <v>1.1</v>
      </c>
      <c r="K17" s="59">
        <f t="shared" si="2"/>
        <v>4.26259</v>
      </c>
      <c r="L17" s="60">
        <v>0.214</v>
      </c>
      <c r="M17" s="60">
        <v>0.201</v>
      </c>
      <c r="N17" s="62">
        <v>0.201</v>
      </c>
      <c r="O17" s="60">
        <f t="shared" si="15"/>
        <v>0.201</v>
      </c>
      <c r="P17" s="63">
        <v>90.0</v>
      </c>
      <c r="Q17" s="58">
        <v>90.2</v>
      </c>
      <c r="R17" s="65">
        <v>2834.55</v>
      </c>
      <c r="S17" s="66">
        <f t="shared" si="19"/>
        <v>110</v>
      </c>
      <c r="U17" s="67">
        <v>120.0</v>
      </c>
      <c r="V17" s="67">
        <v>1.1023</v>
      </c>
      <c r="Y17" s="57">
        <v>20.0</v>
      </c>
      <c r="Z17" s="69">
        <f t="shared" si="18"/>
        <v>30</v>
      </c>
      <c r="AA17" s="70">
        <f t="shared" si="4"/>
        <v>50</v>
      </c>
      <c r="AB17" s="71">
        <f t="shared" si="20"/>
        <v>364.9297473</v>
      </c>
      <c r="AC17" s="71">
        <f>+(S17-T17)*V17-'data 1'!$F$4</f>
        <v>41.253</v>
      </c>
      <c r="AD17" s="71">
        <f t="shared" si="6"/>
        <v>1.280682343</v>
      </c>
      <c r="AE17" s="71">
        <f t="shared" si="7"/>
        <v>-14.885</v>
      </c>
      <c r="AF17" s="71">
        <f t="shared" si="8"/>
        <v>35.0871055</v>
      </c>
      <c r="AG17" s="72">
        <f t="shared" si="21"/>
        <v>79.73578784</v>
      </c>
      <c r="AH17" s="52">
        <f t="shared" si="9"/>
        <v>28.20999063</v>
      </c>
      <c r="AI17" s="73">
        <f t="shared" si="10"/>
        <v>60.7365565</v>
      </c>
      <c r="AJ17" s="73">
        <f t="shared" si="11"/>
        <v>26.4375495</v>
      </c>
      <c r="AK17" s="11"/>
      <c r="AL17" s="51">
        <f t="shared" si="12"/>
        <v>1555.545892</v>
      </c>
    </row>
    <row r="18" ht="15.0" customHeight="1">
      <c r="A18" s="92" t="s">
        <v>260</v>
      </c>
      <c r="B18" s="103">
        <v>45720.0</v>
      </c>
      <c r="C18" s="56">
        <v>45717.0</v>
      </c>
      <c r="D18" s="57" t="s">
        <v>104</v>
      </c>
      <c r="E18" s="57">
        <f t="array" ref="E18">XLOOKUP(D18,RUC!$B$3:$B$110,RUC!$D$3:$D$110)</f>
        <v>10479968131</v>
      </c>
      <c r="G18" s="3">
        <v>20.0</v>
      </c>
      <c r="H18" s="57" t="s">
        <v>47</v>
      </c>
      <c r="I18" s="58">
        <v>1.74</v>
      </c>
      <c r="J18" s="58">
        <v>1.2</v>
      </c>
      <c r="K18" s="59">
        <f t="shared" si="2"/>
        <v>1.71912</v>
      </c>
      <c r="L18" s="60">
        <v>0.28</v>
      </c>
      <c r="M18" s="60">
        <v>0.263</v>
      </c>
      <c r="N18" s="62">
        <v>0.263</v>
      </c>
      <c r="O18" s="60">
        <f t="shared" si="15"/>
        <v>0.263</v>
      </c>
      <c r="P18" s="63">
        <v>90.0</v>
      </c>
      <c r="Q18" s="58">
        <v>90.18</v>
      </c>
      <c r="R18" s="65">
        <v>2834.55</v>
      </c>
      <c r="S18" s="66">
        <f t="shared" si="19"/>
        <v>110</v>
      </c>
      <c r="U18" s="67">
        <v>120.0</v>
      </c>
      <c r="V18" s="67">
        <v>1.1023</v>
      </c>
      <c r="Y18" s="57">
        <v>20.0</v>
      </c>
      <c r="Z18" s="69">
        <f t="shared" si="18"/>
        <v>30</v>
      </c>
      <c r="AA18" s="70">
        <f t="shared" si="4"/>
        <v>50</v>
      </c>
      <c r="AB18" s="71">
        <f t="shared" si="20"/>
        <v>531.8972117</v>
      </c>
      <c r="AC18" s="71">
        <f>+(S18-T18)*V18-'data 1'!$F$4</f>
        <v>41.253</v>
      </c>
      <c r="AD18" s="71">
        <f t="shared" si="6"/>
        <v>1.508093226</v>
      </c>
      <c r="AE18" s="71">
        <f t="shared" si="7"/>
        <v>-14.885</v>
      </c>
      <c r="AF18" s="71">
        <f t="shared" si="8"/>
        <v>45.87296432</v>
      </c>
      <c r="AG18" s="72">
        <f t="shared" si="21"/>
        <v>90.74905754</v>
      </c>
      <c r="AH18" s="52">
        <f t="shared" si="9"/>
        <v>14.88276158</v>
      </c>
      <c r="AI18" s="73">
        <f t="shared" si="10"/>
        <v>79.45077119</v>
      </c>
      <c r="AJ18" s="73">
        <f t="shared" si="11"/>
        <v>13.95126282</v>
      </c>
      <c r="AK18" s="11"/>
      <c r="AL18" s="51">
        <f t="shared" si="12"/>
        <v>914.3951345</v>
      </c>
    </row>
    <row r="19" ht="15.0" customHeight="1">
      <c r="A19" s="92" t="s">
        <v>261</v>
      </c>
      <c r="B19" s="103">
        <v>45720.0</v>
      </c>
      <c r="C19" s="56">
        <v>45717.0</v>
      </c>
      <c r="D19" s="57" t="s">
        <v>104</v>
      </c>
      <c r="E19" s="57">
        <f t="array" ref="E19">XLOOKUP(D19,RUC!$B$3:$B$110,RUC!$D$3:$D$110)</f>
        <v>10479968131</v>
      </c>
      <c r="G19" s="3">
        <v>20.0</v>
      </c>
      <c r="H19" s="57" t="s">
        <v>47</v>
      </c>
      <c r="I19" s="58">
        <v>1.69</v>
      </c>
      <c r="J19" s="58">
        <v>1.3</v>
      </c>
      <c r="K19" s="59">
        <f t="shared" si="2"/>
        <v>1.66803</v>
      </c>
      <c r="L19" s="60">
        <v>0.144</v>
      </c>
      <c r="M19" s="60">
        <v>0.135</v>
      </c>
      <c r="N19" s="62">
        <v>0.135</v>
      </c>
      <c r="O19" s="60">
        <f t="shared" si="15"/>
        <v>0.135</v>
      </c>
      <c r="P19" s="63">
        <v>85.0</v>
      </c>
      <c r="Q19" s="58">
        <v>90.11</v>
      </c>
      <c r="R19" s="65">
        <v>2834.55</v>
      </c>
      <c r="S19" s="66">
        <f t="shared" si="19"/>
        <v>100</v>
      </c>
      <c r="U19" s="67">
        <v>120.0</v>
      </c>
      <c r="V19" s="67">
        <v>1.1023</v>
      </c>
      <c r="Y19" s="57">
        <v>20.0</v>
      </c>
      <c r="Z19" s="69">
        <f t="shared" si="18"/>
        <v>30</v>
      </c>
      <c r="AA19" s="70">
        <f t="shared" si="4"/>
        <v>50</v>
      </c>
      <c r="AB19" s="71">
        <f t="shared" si="20"/>
        <v>178.0155114</v>
      </c>
      <c r="AC19" s="71">
        <f>+(S19-T19)*V19-'data 1'!$F$4</f>
        <v>30.23</v>
      </c>
      <c r="AD19" s="71">
        <f t="shared" si="6"/>
        <v>22.0181611</v>
      </c>
      <c r="AE19" s="71">
        <f t="shared" si="7"/>
        <v>-14.885</v>
      </c>
      <c r="AF19" s="71">
        <f t="shared" si="8"/>
        <v>24.26683583</v>
      </c>
      <c r="AG19" s="72">
        <f t="shared" si="21"/>
        <v>78.62999693</v>
      </c>
      <c r="AH19" s="52">
        <f t="shared" si="9"/>
        <v>7.420760382</v>
      </c>
      <c r="AI19" s="73">
        <f t="shared" si="10"/>
        <v>40.82867974</v>
      </c>
      <c r="AJ19" s="73">
        <f t="shared" si="11"/>
        <v>6.562444156</v>
      </c>
      <c r="AK19" s="11"/>
      <c r="AL19" s="51">
        <f t="shared" si="12"/>
        <v>296.9352134</v>
      </c>
    </row>
    <row r="20" ht="15.0" customHeight="1">
      <c r="A20" s="92" t="s">
        <v>262</v>
      </c>
      <c r="B20" s="103">
        <v>45720.0</v>
      </c>
      <c r="C20" s="56">
        <v>45717.0</v>
      </c>
      <c r="D20" s="57" t="s">
        <v>104</v>
      </c>
      <c r="E20" s="57">
        <f t="array" ref="E20">XLOOKUP(D20,RUC!$B$3:$B$110,RUC!$D$3:$D$110)</f>
        <v>10479968131</v>
      </c>
      <c r="G20" s="3">
        <v>22.0</v>
      </c>
      <c r="H20" s="57" t="s">
        <v>47</v>
      </c>
      <c r="I20" s="58">
        <v>1.83</v>
      </c>
      <c r="J20" s="58">
        <v>1.4</v>
      </c>
      <c r="K20" s="59">
        <f t="shared" si="2"/>
        <v>1.80438</v>
      </c>
      <c r="L20" s="60">
        <v>0.209</v>
      </c>
      <c r="M20" s="60">
        <v>0.196</v>
      </c>
      <c r="N20" s="62">
        <v>0.196</v>
      </c>
      <c r="O20" s="60">
        <f t="shared" si="15"/>
        <v>0.196</v>
      </c>
      <c r="P20" s="63">
        <v>90.0</v>
      </c>
      <c r="Q20" s="58">
        <v>90.09</v>
      </c>
      <c r="R20" s="65">
        <v>2834.55</v>
      </c>
      <c r="S20" s="66">
        <f t="shared" si="19"/>
        <v>100</v>
      </c>
      <c r="U20" s="67">
        <v>120.0</v>
      </c>
      <c r="V20" s="67">
        <v>1.1023</v>
      </c>
      <c r="Y20" s="57">
        <v>20.0</v>
      </c>
      <c r="Z20" s="69">
        <f t="shared" si="18"/>
        <v>30</v>
      </c>
      <c r="AA20" s="70">
        <f t="shared" si="4"/>
        <v>50</v>
      </c>
      <c r="AB20" s="71">
        <f t="shared" si="20"/>
        <v>362.4876292</v>
      </c>
      <c r="AC20" s="71">
        <f>+(S20-T20)*V20-'data 1'!$F$4</f>
        <v>30.23</v>
      </c>
      <c r="AD20" s="71">
        <f t="shared" si="6"/>
        <v>0.5628419363</v>
      </c>
      <c r="AE20" s="71">
        <f t="shared" si="7"/>
        <v>-14.885</v>
      </c>
      <c r="AF20" s="71">
        <f t="shared" si="8"/>
        <v>35.04431635</v>
      </c>
      <c r="AG20" s="72">
        <f t="shared" si="21"/>
        <v>67.95215828</v>
      </c>
      <c r="AH20" s="52">
        <f t="shared" si="9"/>
        <v>11.64823026</v>
      </c>
      <c r="AI20" s="73">
        <f t="shared" si="10"/>
        <v>59.24513969</v>
      </c>
      <c r="AJ20" s="73">
        <f t="shared" si="11"/>
        <v>10.9127864</v>
      </c>
      <c r="AK20" s="11"/>
      <c r="AL20" s="51">
        <f t="shared" si="12"/>
        <v>654.0654284</v>
      </c>
    </row>
    <row r="21" ht="15.0" customHeight="1">
      <c r="A21" s="92" t="s">
        <v>263</v>
      </c>
      <c r="B21" s="56">
        <v>45729.0</v>
      </c>
      <c r="C21" s="56">
        <v>45720.0</v>
      </c>
      <c r="D21" s="57" t="s">
        <v>264</v>
      </c>
      <c r="E21" s="57">
        <f t="array" ref="E21">XLOOKUP(D21,RUC!$B$3:$B$110,RUC!$D$3:$D$110)</f>
        <v>20606102519</v>
      </c>
      <c r="G21" s="3">
        <v>125.0</v>
      </c>
      <c r="H21" s="57" t="s">
        <v>47</v>
      </c>
      <c r="I21" s="58">
        <v>9.77</v>
      </c>
      <c r="J21" s="58">
        <v>12.5</v>
      </c>
      <c r="K21" s="59">
        <f t="shared" si="2"/>
        <v>8.54875</v>
      </c>
      <c r="L21" s="60">
        <v>0.307</v>
      </c>
      <c r="M21" s="60">
        <v>0.288</v>
      </c>
      <c r="N21" s="60">
        <v>0.288</v>
      </c>
      <c r="O21" s="60">
        <f t="shared" si="15"/>
        <v>0.288</v>
      </c>
      <c r="P21" s="63">
        <v>90.0</v>
      </c>
      <c r="Q21" s="58">
        <v>89.0</v>
      </c>
      <c r="R21" s="65">
        <v>2905.9</v>
      </c>
      <c r="S21" s="66">
        <f t="shared" si="19"/>
        <v>110</v>
      </c>
      <c r="U21" s="67">
        <v>120.0</v>
      </c>
      <c r="V21" s="67">
        <v>1.1023</v>
      </c>
      <c r="Z21" s="69">
        <f t="shared" si="18"/>
        <v>30</v>
      </c>
      <c r="AA21" s="70">
        <f t="shared" si="4"/>
        <v>30</v>
      </c>
      <c r="AB21" s="71">
        <f t="shared" si="20"/>
        <v>641.6546501</v>
      </c>
      <c r="AC21" s="71">
        <f>+(S21-T21)*V21-'data 1'!$F$4</f>
        <v>41.253</v>
      </c>
      <c r="AD21" s="71">
        <f t="shared" si="6"/>
        <v>-9.42765554</v>
      </c>
      <c r="AE21" s="71">
        <f t="shared" si="7"/>
        <v>-36.931</v>
      </c>
      <c r="AF21" s="71">
        <f t="shared" si="8"/>
        <v>51.92887791</v>
      </c>
      <c r="AG21" s="72">
        <f t="shared" si="21"/>
        <v>63.82322237</v>
      </c>
      <c r="AH21" s="52">
        <f t="shared" si="9"/>
        <v>80.08295099</v>
      </c>
      <c r="AI21" s="73">
        <f t="shared" si="10"/>
        <v>64.48294395</v>
      </c>
      <c r="AJ21" s="73">
        <f t="shared" si="11"/>
        <v>75.97079712</v>
      </c>
      <c r="AK21" s="11"/>
      <c r="AL21" s="51">
        <f t="shared" si="12"/>
        <v>5485.34519</v>
      </c>
    </row>
    <row r="22" ht="15.0" customHeight="1">
      <c r="A22" s="92" t="s">
        <v>265</v>
      </c>
      <c r="B22" s="105">
        <v>45733.0</v>
      </c>
      <c r="C22" s="56">
        <v>45720.0</v>
      </c>
      <c r="D22" s="57" t="s">
        <v>88</v>
      </c>
      <c r="E22" s="57" t="str">
        <f t="array" ref="E22">XLOOKUP(D22,RUC!$B$3:$B$110,RUC!$D$3:$D$110)</f>
        <v>#N/A</v>
      </c>
      <c r="G22" s="3">
        <v>50.0</v>
      </c>
      <c r="H22" s="57" t="s">
        <v>47</v>
      </c>
      <c r="I22" s="58">
        <v>6.6</v>
      </c>
      <c r="J22" s="58">
        <v>1.55</v>
      </c>
      <c r="K22" s="59">
        <f t="shared" si="2"/>
        <v>6.4977</v>
      </c>
      <c r="L22" s="60">
        <v>0.572</v>
      </c>
      <c r="M22" s="60">
        <v>0.537</v>
      </c>
      <c r="N22" s="75">
        <v>0.537</v>
      </c>
      <c r="O22" s="60">
        <f t="shared" si="15"/>
        <v>0.537</v>
      </c>
      <c r="P22" s="63">
        <v>90.0</v>
      </c>
      <c r="Q22" s="58">
        <v>89.89</v>
      </c>
      <c r="R22" s="65">
        <v>2905.9</v>
      </c>
      <c r="S22" s="76">
        <f t="shared" ref="S22:S26" si="22">IF((85+ROUNDDOWN(O22,1)*100)&lt;95,95,(85+ROUNDDOWN(O22,1)*100))</f>
        <v>135</v>
      </c>
      <c r="U22" s="87">
        <v>90.0</v>
      </c>
      <c r="V22" s="67">
        <v>1.1023</v>
      </c>
      <c r="Z22" s="77">
        <v>25.0</v>
      </c>
      <c r="AA22" s="70">
        <f t="shared" si="4"/>
        <v>25</v>
      </c>
      <c r="AB22" s="71">
        <f t="shared" si="20"/>
        <v>1323.779043</v>
      </c>
      <c r="AC22" s="71">
        <f>+(S22-T22)*V22-'data 1'!$F$4</f>
        <v>68.8105</v>
      </c>
      <c r="AD22" s="71">
        <f t="shared" si="6"/>
        <v>-1.953015766</v>
      </c>
      <c r="AE22" s="71">
        <f t="shared" si="7"/>
        <v>-42.4425</v>
      </c>
      <c r="AF22" s="71">
        <f t="shared" si="8"/>
        <v>97.65544424</v>
      </c>
      <c r="AG22" s="72">
        <f t="shared" si="21"/>
        <v>139.0704285</v>
      </c>
      <c r="AH22" s="52">
        <f t="shared" si="9"/>
        <v>114.5449995</v>
      </c>
      <c r="AI22" s="73">
        <f t="shared" si="10"/>
        <v>104.342444</v>
      </c>
      <c r="AJ22" s="73">
        <f t="shared" si="11"/>
        <v>107.667721</v>
      </c>
      <c r="AK22" s="11"/>
      <c r="AL22" s="51">
        <f t="shared" si="12"/>
        <v>8601.51909</v>
      </c>
    </row>
    <row r="23" ht="15.0" customHeight="1">
      <c r="A23" s="92" t="s">
        <v>266</v>
      </c>
      <c r="B23" s="105">
        <v>45733.0</v>
      </c>
      <c r="C23" s="56">
        <v>45720.0</v>
      </c>
      <c r="D23" s="57" t="s">
        <v>88</v>
      </c>
      <c r="E23" s="57" t="str">
        <f t="array" ref="E23">XLOOKUP(D23,RUC!$B$3:$B$110,RUC!$D$3:$D$110)</f>
        <v>#N/A</v>
      </c>
      <c r="G23" s="3">
        <v>50.0</v>
      </c>
      <c r="H23" s="57" t="s">
        <v>47</v>
      </c>
      <c r="I23" s="58">
        <v>6.68</v>
      </c>
      <c r="J23" s="58">
        <v>1.15</v>
      </c>
      <c r="K23" s="59">
        <f t="shared" si="2"/>
        <v>6.60318</v>
      </c>
      <c r="L23" s="60">
        <v>0.456</v>
      </c>
      <c r="M23" s="60">
        <v>0.428</v>
      </c>
      <c r="N23" s="75">
        <v>0.428</v>
      </c>
      <c r="O23" s="60">
        <f t="shared" si="15"/>
        <v>0.428</v>
      </c>
      <c r="P23" s="63">
        <v>90.0</v>
      </c>
      <c r="Q23" s="58">
        <v>89.92</v>
      </c>
      <c r="R23" s="65">
        <v>2905.9</v>
      </c>
      <c r="S23" s="76">
        <f t="shared" si="22"/>
        <v>125</v>
      </c>
      <c r="U23" s="87">
        <v>90.0</v>
      </c>
      <c r="V23" s="67">
        <v>1.1023</v>
      </c>
      <c r="Z23" s="77">
        <v>25.0</v>
      </c>
      <c r="AA23" s="70">
        <f t="shared" si="4"/>
        <v>25</v>
      </c>
      <c r="AB23" s="71">
        <f t="shared" si="20"/>
        <v>1030.302923</v>
      </c>
      <c r="AC23" s="71">
        <f>+(S23-T23)*V23-'data 1'!$F$4</f>
        <v>57.7875</v>
      </c>
      <c r="AD23" s="71">
        <f t="shared" si="6"/>
        <v>-1.132327005</v>
      </c>
      <c r="AE23" s="71">
        <f t="shared" si="7"/>
        <v>-42.4425</v>
      </c>
      <c r="AF23" s="71">
        <f t="shared" si="8"/>
        <v>78.15042871</v>
      </c>
      <c r="AG23" s="72">
        <f t="shared" si="21"/>
        <v>109.3631017</v>
      </c>
      <c r="AH23" s="52">
        <f t="shared" si="9"/>
        <v>92.82893037</v>
      </c>
      <c r="AI23" s="73">
        <f t="shared" si="10"/>
        <v>83.20984956</v>
      </c>
      <c r="AJ23" s="73">
        <f t="shared" si="11"/>
        <v>87.20642515</v>
      </c>
      <c r="AK23" s="11"/>
      <c r="AL23" s="51">
        <f t="shared" si="12"/>
        <v>6803.275654</v>
      </c>
    </row>
    <row r="24" ht="15.0" customHeight="1">
      <c r="A24" s="92" t="s">
        <v>267</v>
      </c>
      <c r="B24" s="105">
        <v>45733.0</v>
      </c>
      <c r="C24" s="56">
        <v>45720.0</v>
      </c>
      <c r="D24" s="57" t="s">
        <v>88</v>
      </c>
      <c r="E24" s="57" t="str">
        <f t="array" ref="E24">XLOOKUP(D24,RUC!$B$3:$B$110,RUC!$D$3:$D$110)</f>
        <v>#N/A</v>
      </c>
      <c r="G24" s="3">
        <v>50.0</v>
      </c>
      <c r="H24" s="57" t="s">
        <v>47</v>
      </c>
      <c r="I24" s="58">
        <v>6.9</v>
      </c>
      <c r="J24" s="58">
        <v>2.6</v>
      </c>
      <c r="K24" s="59">
        <f t="shared" si="2"/>
        <v>6.7206</v>
      </c>
      <c r="L24" s="60">
        <v>0.598</v>
      </c>
      <c r="M24" s="60">
        <v>0.562</v>
      </c>
      <c r="N24" s="75">
        <v>0.616</v>
      </c>
      <c r="O24" s="60">
        <f t="shared" si="15"/>
        <v>0.589</v>
      </c>
      <c r="P24" s="63">
        <v>90.0</v>
      </c>
      <c r="Q24" s="58">
        <v>89.89</v>
      </c>
      <c r="R24" s="65">
        <v>2905.9</v>
      </c>
      <c r="S24" s="76">
        <f t="shared" si="22"/>
        <v>135</v>
      </c>
      <c r="U24" s="87">
        <v>90.0</v>
      </c>
      <c r="V24" s="67">
        <v>1.1023</v>
      </c>
      <c r="Z24" s="77">
        <v>25.0</v>
      </c>
      <c r="AA24" s="70">
        <f t="shared" si="4"/>
        <v>25</v>
      </c>
      <c r="AB24" s="71">
        <f t="shared" si="20"/>
        <v>1469.044679</v>
      </c>
      <c r="AC24" s="71">
        <f>+(S24-T24)*V24-'data 1'!$F$4</f>
        <v>68.8105</v>
      </c>
      <c r="AD24" s="71">
        <f t="shared" si="6"/>
        <v>-2.04178921</v>
      </c>
      <c r="AE24" s="71">
        <f t="shared" si="7"/>
        <v>-42.4425</v>
      </c>
      <c r="AF24" s="71">
        <f t="shared" si="8"/>
        <v>25.11139995</v>
      </c>
      <c r="AG24" s="72">
        <f t="shared" si="21"/>
        <v>66.43761074</v>
      </c>
      <c r="AH24" s="52">
        <f t="shared" si="9"/>
        <v>123.8596023</v>
      </c>
      <c r="AI24" s="73">
        <f t="shared" si="10"/>
        <v>109.0852824</v>
      </c>
      <c r="AJ24" s="73">
        <f t="shared" si="11"/>
        <v>122.1447827</v>
      </c>
      <c r="AK24" s="11"/>
      <c r="AL24" s="51">
        <f t="shared" si="12"/>
        <v>9872.861668</v>
      </c>
    </row>
    <row r="25" ht="15.0" customHeight="1">
      <c r="A25" s="92" t="s">
        <v>268</v>
      </c>
      <c r="B25" s="105">
        <v>45733.0</v>
      </c>
      <c r="C25" s="56">
        <v>45720.0</v>
      </c>
      <c r="D25" s="57" t="s">
        <v>88</v>
      </c>
      <c r="E25" s="57" t="str">
        <f t="array" ref="E25">XLOOKUP(D25,RUC!$B$3:$B$110,RUC!$D$3:$D$110)</f>
        <v>#N/A</v>
      </c>
      <c r="G25" s="3">
        <v>50.0</v>
      </c>
      <c r="H25" s="57" t="s">
        <v>47</v>
      </c>
      <c r="I25" s="58">
        <v>6.56</v>
      </c>
      <c r="J25" s="58">
        <v>1.9</v>
      </c>
      <c r="K25" s="59">
        <f t="shared" si="2"/>
        <v>6.43536</v>
      </c>
      <c r="L25" s="60">
        <v>0.486</v>
      </c>
      <c r="M25" s="60">
        <v>0.457</v>
      </c>
      <c r="N25" s="75">
        <v>0.457</v>
      </c>
      <c r="O25" s="60">
        <f t="shared" si="15"/>
        <v>0.457</v>
      </c>
      <c r="P25" s="63">
        <v>90.0</v>
      </c>
      <c r="Q25" s="58">
        <v>90.09</v>
      </c>
      <c r="R25" s="65">
        <v>2905.9</v>
      </c>
      <c r="S25" s="76">
        <f t="shared" si="22"/>
        <v>125</v>
      </c>
      <c r="U25" s="87">
        <v>90.0</v>
      </c>
      <c r="V25" s="67">
        <v>1.1023</v>
      </c>
      <c r="Z25" s="77">
        <v>25.0</v>
      </c>
      <c r="AA25" s="70">
        <f t="shared" si="4"/>
        <v>25</v>
      </c>
      <c r="AB25" s="71">
        <f t="shared" si="20"/>
        <v>1111.31645</v>
      </c>
      <c r="AC25" s="71">
        <f>+(S25-T25)*V25-'data 1'!$F$4</f>
        <v>57.7875</v>
      </c>
      <c r="AD25" s="71">
        <f t="shared" si="6"/>
        <v>1.357674978</v>
      </c>
      <c r="AE25" s="71">
        <f t="shared" si="7"/>
        <v>-42.4425</v>
      </c>
      <c r="AF25" s="71">
        <f t="shared" si="8"/>
        <v>81.094541</v>
      </c>
      <c r="AG25" s="72">
        <f t="shared" si="21"/>
        <v>114.797216</v>
      </c>
      <c r="AH25" s="52">
        <f t="shared" si="9"/>
        <v>96.60392503</v>
      </c>
      <c r="AI25" s="73">
        <f t="shared" si="10"/>
        <v>88.85184536</v>
      </c>
      <c r="AJ25" s="73">
        <f t="shared" si="11"/>
        <v>90.74874454</v>
      </c>
      <c r="AK25" s="11"/>
      <c r="AL25" s="51">
        <f t="shared" si="12"/>
        <v>7151.721431</v>
      </c>
    </row>
    <row r="26" ht="15.0" customHeight="1">
      <c r="A26" s="92" t="s">
        <v>269</v>
      </c>
      <c r="B26" s="105">
        <v>45733.0</v>
      </c>
      <c r="C26" s="56">
        <v>45720.0</v>
      </c>
      <c r="D26" s="57" t="s">
        <v>88</v>
      </c>
      <c r="E26" s="57" t="str">
        <f t="array" ref="E26">XLOOKUP(D26,RUC!$B$3:$B$110,RUC!$D$3:$D$110)</f>
        <v>#N/A</v>
      </c>
      <c r="G26" s="3">
        <v>50.0</v>
      </c>
      <c r="H26" s="57" t="s">
        <v>47</v>
      </c>
      <c r="I26" s="58">
        <v>6.57</v>
      </c>
      <c r="J26" s="58">
        <v>1.6</v>
      </c>
      <c r="K26" s="59">
        <f t="shared" si="2"/>
        <v>6.46488</v>
      </c>
      <c r="L26" s="60">
        <v>0.581</v>
      </c>
      <c r="M26" s="60">
        <v>0.546</v>
      </c>
      <c r="N26" s="75">
        <v>0.662</v>
      </c>
      <c r="O26" s="60">
        <f t="shared" si="15"/>
        <v>0.604</v>
      </c>
      <c r="P26" s="63">
        <v>90.0</v>
      </c>
      <c r="Q26" s="58">
        <v>90.04</v>
      </c>
      <c r="R26" s="65">
        <v>2905.9</v>
      </c>
      <c r="S26" s="76">
        <f t="shared" si="22"/>
        <v>145</v>
      </c>
      <c r="U26" s="87">
        <v>90.0</v>
      </c>
      <c r="V26" s="67">
        <v>1.1023</v>
      </c>
      <c r="Z26" s="77">
        <v>25.0</v>
      </c>
      <c r="AA26" s="70">
        <f t="shared" si="4"/>
        <v>25</v>
      </c>
      <c r="AB26" s="71">
        <f t="shared" si="20"/>
        <v>1499.925227</v>
      </c>
      <c r="AC26" s="71">
        <f>+(S26-T26)*V26-'data 1'!$F$4</f>
        <v>79.8335</v>
      </c>
      <c r="AD26" s="71">
        <f t="shared" si="6"/>
        <v>0.7213618309</v>
      </c>
      <c r="AE26" s="71">
        <f t="shared" si="7"/>
        <v>-42.4425</v>
      </c>
      <c r="AF26" s="71">
        <f t="shared" si="8"/>
        <v>-64.28066449</v>
      </c>
      <c r="AG26" s="72">
        <f t="shared" si="21"/>
        <v>-9.168302661</v>
      </c>
      <c r="AH26" s="52">
        <f t="shared" si="9"/>
        <v>115.9527775</v>
      </c>
      <c r="AI26" s="73">
        <f t="shared" si="10"/>
        <v>106.1610523</v>
      </c>
      <c r="AJ26" s="73">
        <f t="shared" si="11"/>
        <v>120.4894398</v>
      </c>
      <c r="AK26" s="11"/>
      <c r="AL26" s="51">
        <f t="shared" si="12"/>
        <v>9696.836604</v>
      </c>
    </row>
    <row r="27" ht="15.0" customHeight="1">
      <c r="A27" s="92" t="s">
        <v>270</v>
      </c>
      <c r="B27" s="56">
        <v>45736.0</v>
      </c>
      <c r="C27" s="56">
        <v>45720.0</v>
      </c>
      <c r="D27" s="57" t="s">
        <v>79</v>
      </c>
      <c r="E27" s="57">
        <f t="array" ref="E27">XLOOKUP(D27,RUC!$B$3:$B$110,RUC!$D$3:$D$110)</f>
        <v>10421580605</v>
      </c>
      <c r="G27" s="3" t="s">
        <v>46</v>
      </c>
      <c r="H27" s="57" t="s">
        <v>47</v>
      </c>
      <c r="I27" s="58">
        <v>31.08</v>
      </c>
      <c r="J27" s="58">
        <v>19.45</v>
      </c>
      <c r="K27" s="59">
        <f t="shared" si="2"/>
        <v>25.03494</v>
      </c>
      <c r="L27" s="60">
        <v>0.136</v>
      </c>
      <c r="M27" s="60">
        <v>0.126</v>
      </c>
      <c r="N27" s="62">
        <v>0.144</v>
      </c>
      <c r="O27" s="60">
        <f t="shared" si="15"/>
        <v>0.135</v>
      </c>
      <c r="P27" s="63">
        <v>85.0</v>
      </c>
      <c r="Q27" s="58">
        <v>90.21</v>
      </c>
      <c r="R27" s="65">
        <v>2905.9</v>
      </c>
      <c r="S27" s="76">
        <v>110.0</v>
      </c>
      <c r="U27" s="67">
        <v>90.0</v>
      </c>
      <c r="V27" s="67">
        <v>1.1023</v>
      </c>
      <c r="Z27" s="69">
        <f>IF(IF(D27="UNTUCA",IF(+((W27-3)*1.5+(X27-3)*3.1)&gt;0,+((W27-3)*1.5+(X27-3)*3.1),0),IF(+((W27-3)*1.5+(X27-3)*3.1)&gt;0,+((W27-3)*1.5+(X27-3)*3.1),0))&lt;30,30,IF(D27="UNTUCA",IF(+((W27-3)*1.5+(X27-3)*3.1)&gt;0,+((W27-3)*1.5+(X27-3)*3.1),0),IF(+((W27-3)*1.5+(X27-3)*3.1)&gt;0,+((W27-3)*1.5+(X27-3)*3.1),0)))</f>
        <v>30</v>
      </c>
      <c r="AA27" s="70">
        <f t="shared" si="4"/>
        <v>30</v>
      </c>
      <c r="AB27" s="71">
        <f t="shared" si="20"/>
        <v>201.8581639</v>
      </c>
      <c r="AC27" s="71">
        <f>+(S27-T27)*V27-'data 1'!$F$4</f>
        <v>41.253</v>
      </c>
      <c r="AD27" s="71">
        <f t="shared" si="6"/>
        <v>21.99346553</v>
      </c>
      <c r="AE27" s="71">
        <f t="shared" si="7"/>
        <v>-36.931</v>
      </c>
      <c r="AF27" s="71">
        <f t="shared" si="8"/>
        <v>2.800088243</v>
      </c>
      <c r="AG27" s="72">
        <f t="shared" si="21"/>
        <v>46.11555377</v>
      </c>
      <c r="AH27" s="52">
        <f t="shared" si="9"/>
        <v>105.305054</v>
      </c>
      <c r="AI27" s="73">
        <f t="shared" si="10"/>
        <v>24.89700962</v>
      </c>
      <c r="AJ27" s="73">
        <f t="shared" si="11"/>
        <v>98.4936696</v>
      </c>
      <c r="AK27" s="11"/>
      <c r="AL27" s="51">
        <f t="shared" si="12"/>
        <v>5053.507022</v>
      </c>
    </row>
    <row r="28" ht="15.0" customHeight="1">
      <c r="A28" s="92" t="s">
        <v>271</v>
      </c>
      <c r="B28" s="105">
        <v>45733.0</v>
      </c>
      <c r="C28" s="56">
        <v>45720.0</v>
      </c>
      <c r="D28" s="57" t="s">
        <v>88</v>
      </c>
      <c r="E28" s="57" t="str">
        <f t="array" ref="E28">XLOOKUP(D28,RUC!$B$3:$B$110,RUC!$D$3:$D$110)</f>
        <v>#N/A</v>
      </c>
      <c r="G28" s="3">
        <v>50.0</v>
      </c>
      <c r="H28" s="57" t="s">
        <v>47</v>
      </c>
      <c r="I28" s="58">
        <v>6.83</v>
      </c>
      <c r="J28" s="58">
        <v>1.75</v>
      </c>
      <c r="K28" s="59">
        <f t="shared" si="2"/>
        <v>6.710475</v>
      </c>
      <c r="L28" s="60">
        <v>0.335</v>
      </c>
      <c r="M28" s="60">
        <v>0.315</v>
      </c>
      <c r="N28" s="75">
        <v>0.392</v>
      </c>
      <c r="O28" s="60">
        <f t="shared" si="15"/>
        <v>0.354</v>
      </c>
      <c r="P28" s="63">
        <v>90.0</v>
      </c>
      <c r="Q28" s="58">
        <v>90.15</v>
      </c>
      <c r="R28" s="65">
        <v>2905.9</v>
      </c>
      <c r="S28" s="76">
        <f t="shared" ref="S28:S30" si="23">IF((85+ROUNDDOWN(O28,1)*100)&lt;95,95,(85+ROUNDDOWN(O28,1)*100))</f>
        <v>115</v>
      </c>
      <c r="U28" s="87">
        <v>90.0</v>
      </c>
      <c r="V28" s="67">
        <v>1.1023</v>
      </c>
      <c r="Z28" s="77">
        <v>25.0</v>
      </c>
      <c r="AA28" s="70">
        <f t="shared" si="4"/>
        <v>25</v>
      </c>
      <c r="AB28" s="71">
        <f t="shared" si="20"/>
        <v>834.6017492</v>
      </c>
      <c r="AC28" s="71">
        <f>+(S28-T28)*V28-'data 1'!$F$4</f>
        <v>46.7645</v>
      </c>
      <c r="AD28" s="71">
        <f t="shared" si="6"/>
        <v>1.559743201</v>
      </c>
      <c r="AE28" s="71">
        <f t="shared" si="7"/>
        <v>-42.4425</v>
      </c>
      <c r="AF28" s="71">
        <f t="shared" si="8"/>
        <v>-53.16629139</v>
      </c>
      <c r="AG28" s="72">
        <f t="shared" si="21"/>
        <v>-30.28454819</v>
      </c>
      <c r="AH28" s="52">
        <f t="shared" si="9"/>
        <v>69.48208947</v>
      </c>
      <c r="AI28" s="73">
        <f t="shared" si="10"/>
        <v>61.28640319</v>
      </c>
      <c r="AJ28" s="73">
        <f t="shared" si="11"/>
        <v>73.30069686</v>
      </c>
      <c r="AK28" s="11"/>
      <c r="AL28" s="51">
        <f t="shared" si="12"/>
        <v>5600.574173</v>
      </c>
    </row>
    <row r="29" ht="15.0" customHeight="1">
      <c r="A29" s="92" t="s">
        <v>272</v>
      </c>
      <c r="B29" s="105">
        <v>45733.0</v>
      </c>
      <c r="C29" s="56">
        <v>45720.0</v>
      </c>
      <c r="D29" s="57" t="s">
        <v>88</v>
      </c>
      <c r="E29" s="57" t="str">
        <f t="array" ref="E29">XLOOKUP(D29,RUC!$B$3:$B$110,RUC!$D$3:$D$110)</f>
        <v>#N/A</v>
      </c>
      <c r="G29" s="3">
        <v>50.0</v>
      </c>
      <c r="H29" s="57" t="s">
        <v>47</v>
      </c>
      <c r="I29" s="58">
        <v>6.82</v>
      </c>
      <c r="J29" s="58">
        <v>1.1</v>
      </c>
      <c r="K29" s="59">
        <f t="shared" si="2"/>
        <v>6.74498</v>
      </c>
      <c r="L29" s="60">
        <v>0.448</v>
      </c>
      <c r="M29" s="60">
        <v>0.421</v>
      </c>
      <c r="N29" s="75">
        <v>0.488</v>
      </c>
      <c r="O29" s="60">
        <f t="shared" si="15"/>
        <v>0.455</v>
      </c>
      <c r="P29" s="63">
        <v>90.0</v>
      </c>
      <c r="Q29" s="58">
        <v>90.21</v>
      </c>
      <c r="R29" s="65">
        <v>2905.9</v>
      </c>
      <c r="S29" s="76">
        <f t="shared" si="23"/>
        <v>125</v>
      </c>
      <c r="U29" s="87">
        <v>90.0</v>
      </c>
      <c r="V29" s="67">
        <v>1.1023</v>
      </c>
      <c r="Z29" s="77">
        <v>25.0</v>
      </c>
      <c r="AA29" s="70">
        <f t="shared" si="4"/>
        <v>25</v>
      </c>
      <c r="AB29" s="71">
        <f t="shared" si="20"/>
        <v>1105.72931</v>
      </c>
      <c r="AC29" s="71">
        <f>+(S29-T29)*V29-'data 1'!$F$4</f>
        <v>57.7875</v>
      </c>
      <c r="AD29" s="71">
        <f t="shared" si="6"/>
        <v>2.920211749</v>
      </c>
      <c r="AE29" s="71">
        <f t="shared" si="7"/>
        <v>-42.4425</v>
      </c>
      <c r="AF29" s="71">
        <f t="shared" si="8"/>
        <v>-19.6006177</v>
      </c>
      <c r="AG29" s="72">
        <f t="shared" si="21"/>
        <v>15.66459405</v>
      </c>
      <c r="AH29" s="52">
        <f t="shared" si="9"/>
        <v>93.4592803</v>
      </c>
      <c r="AI29" s="73">
        <f t="shared" si="10"/>
        <v>82.01367875</v>
      </c>
      <c r="AJ29" s="73">
        <f t="shared" si="11"/>
        <v>94.69861811</v>
      </c>
      <c r="AK29" s="11"/>
      <c r="AL29" s="51">
        <f t="shared" si="12"/>
        <v>7458.122084</v>
      </c>
    </row>
    <row r="30" ht="15.0" customHeight="1">
      <c r="A30" s="92" t="s">
        <v>273</v>
      </c>
      <c r="B30" s="105">
        <v>45733.0</v>
      </c>
      <c r="C30" s="56">
        <v>45720.0</v>
      </c>
      <c r="D30" s="57" t="s">
        <v>88</v>
      </c>
      <c r="E30" s="57" t="str">
        <f t="array" ref="E30">XLOOKUP(D30,RUC!$B$3:$B$110,RUC!$D$3:$D$110)</f>
        <v>#N/A</v>
      </c>
      <c r="G30" s="3">
        <v>50.0</v>
      </c>
      <c r="H30" s="57" t="s">
        <v>47</v>
      </c>
      <c r="I30" s="58">
        <v>5.43</v>
      </c>
      <c r="J30" s="58">
        <v>1.1</v>
      </c>
      <c r="K30" s="59">
        <f t="shared" si="2"/>
        <v>5.37027</v>
      </c>
      <c r="L30" s="60">
        <v>0.277</v>
      </c>
      <c r="M30" s="106">
        <v>0.26</v>
      </c>
      <c r="N30" s="75">
        <v>0.321</v>
      </c>
      <c r="O30" s="60">
        <f t="shared" si="15"/>
        <v>0.291</v>
      </c>
      <c r="P30" s="63">
        <v>90.0</v>
      </c>
      <c r="Q30" s="58">
        <v>90.27</v>
      </c>
      <c r="R30" s="65">
        <v>2905.9</v>
      </c>
      <c r="S30" s="76">
        <f t="shared" si="23"/>
        <v>105</v>
      </c>
      <c r="U30" s="87">
        <v>90.0</v>
      </c>
      <c r="V30" s="67">
        <v>1.1023</v>
      </c>
      <c r="Z30" s="77">
        <v>25.0</v>
      </c>
      <c r="AA30" s="70">
        <f t="shared" si="4"/>
        <v>25</v>
      </c>
      <c r="AB30" s="71">
        <f t="shared" si="20"/>
        <v>669.6298447</v>
      </c>
      <c r="AC30" s="71">
        <f>+(S30-T30)*V30-'data 1'!$F$4</f>
        <v>35.7415</v>
      </c>
      <c r="AD30" s="71">
        <f t="shared" si="6"/>
        <v>2.321456598</v>
      </c>
      <c r="AE30" s="71">
        <f t="shared" si="7"/>
        <v>-42.4425</v>
      </c>
      <c r="AF30" s="71">
        <f t="shared" si="8"/>
        <v>-39.22730872</v>
      </c>
      <c r="AG30" s="72">
        <f t="shared" si="21"/>
        <v>-26.60685212</v>
      </c>
      <c r="AH30" s="52">
        <f t="shared" si="9"/>
        <v>46.03926715</v>
      </c>
      <c r="AI30" s="73">
        <f t="shared" si="10"/>
        <v>50.74307801</v>
      </c>
      <c r="AJ30" s="73">
        <f t="shared" si="11"/>
        <v>48.22149703</v>
      </c>
      <c r="AK30" s="11"/>
      <c r="AL30" s="51">
        <f t="shared" si="12"/>
        <v>3596.093066</v>
      </c>
    </row>
    <row r="31" ht="15.0" customHeight="1">
      <c r="A31" s="92" t="s">
        <v>274</v>
      </c>
      <c r="B31" s="56">
        <v>45726.0</v>
      </c>
      <c r="C31" s="56">
        <v>45720.0</v>
      </c>
      <c r="D31" s="57" t="s">
        <v>57</v>
      </c>
      <c r="E31" s="57">
        <f t="array" ref="E31">XLOOKUP(D31,RUC!$B$3:$B$110,RUC!$D$3:$D$110)</f>
        <v>20610873309</v>
      </c>
      <c r="G31" s="3">
        <v>145.0</v>
      </c>
      <c r="H31" s="57" t="s">
        <v>47</v>
      </c>
      <c r="I31" s="58">
        <v>12.15</v>
      </c>
      <c r="J31" s="58">
        <v>1.3</v>
      </c>
      <c r="K31" s="59">
        <f t="shared" si="2"/>
        <v>11.99205</v>
      </c>
      <c r="L31" s="60">
        <v>0.407</v>
      </c>
      <c r="M31" s="60">
        <v>0.407</v>
      </c>
      <c r="N31" s="62">
        <v>0.407</v>
      </c>
      <c r="O31" s="60">
        <f t="shared" si="15"/>
        <v>0.407</v>
      </c>
      <c r="P31" s="63">
        <v>90.0</v>
      </c>
      <c r="Q31" s="58">
        <v>90.12</v>
      </c>
      <c r="R31" s="65">
        <v>2905.9</v>
      </c>
      <c r="S31" s="66">
        <f>IF((90+ROUNDDOWN(O31,1)*100)&lt;95,95,(90+ROUNDDOWN(O31,1)*100))</f>
        <v>130</v>
      </c>
      <c r="U31" s="67">
        <v>120.0</v>
      </c>
      <c r="V31" s="67">
        <v>1.1023</v>
      </c>
      <c r="Y31" s="57">
        <v>20.0</v>
      </c>
      <c r="Z31" s="69">
        <f t="shared" ref="Z31:Z37" si="24">IF(IF(D31="UNTUCA",IF(+((W31-3)*1.5+(X31-3)*3.1)&gt;0,+((W31-3)*1.5+(X31-3)*3.1),0),IF(+((W31-3)*1.5+(X31-3)*3.1)&gt;0,+((W31-3)*1.5+(X31-3)*3.1),0))&lt;30,30,IF(D31="UNTUCA",IF(+((W31-3)*1.5+(X31-3)*3.1)&gt;0,+((W31-3)*1.5+(X31-3)*3.1),0),IF(+((W31-3)*1.5+(X31-3)*3.1)&gt;0,+((W31-3)*1.5+(X31-3)*3.1),0)))</f>
        <v>30</v>
      </c>
      <c r="AA31" s="70">
        <f t="shared" si="4"/>
        <v>50</v>
      </c>
      <c r="AB31" s="71">
        <f t="shared" si="20"/>
        <v>926.4557799</v>
      </c>
      <c r="AC31" s="71">
        <f>+(S31-T31)*V31-'data 1'!$F$4</f>
        <v>63.299</v>
      </c>
      <c r="AD31" s="71">
        <f t="shared" si="6"/>
        <v>1.499826373</v>
      </c>
      <c r="AE31" s="71">
        <f t="shared" si="7"/>
        <v>-14.885</v>
      </c>
      <c r="AF31" s="71">
        <f t="shared" si="8"/>
        <v>0</v>
      </c>
      <c r="AG31" s="72">
        <f t="shared" si="21"/>
        <v>66.91382637</v>
      </c>
      <c r="AH31" s="52">
        <f t="shared" si="9"/>
        <v>150.8058164</v>
      </c>
      <c r="AI31" s="73">
        <f t="shared" si="10"/>
        <v>86.5629537</v>
      </c>
      <c r="AJ31" s="73">
        <f t="shared" si="11"/>
        <v>150.6050097</v>
      </c>
      <c r="AK31" s="11"/>
      <c r="AL31" s="51">
        <f t="shared" si="12"/>
        <v>11110.10404</v>
      </c>
    </row>
    <row r="32" ht="15.0" customHeight="1">
      <c r="A32" s="92" t="s">
        <v>275</v>
      </c>
      <c r="B32" s="56">
        <v>45723.0</v>
      </c>
      <c r="C32" s="56">
        <v>45721.0</v>
      </c>
      <c r="D32" s="57" t="s">
        <v>51</v>
      </c>
      <c r="E32" s="57" t="str">
        <f t="array" ref="E32">XLOOKUP(D32,RUC!$B$3:$B$110,RUC!$D$3:$D$110)</f>
        <v>#N/A</v>
      </c>
      <c r="G32" s="3">
        <v>11.0</v>
      </c>
      <c r="H32" s="57" t="s">
        <v>40</v>
      </c>
      <c r="I32" s="58">
        <v>0.84</v>
      </c>
      <c r="J32" s="58">
        <v>4.55</v>
      </c>
      <c r="K32" s="59">
        <f t="shared" si="2"/>
        <v>0.80178</v>
      </c>
      <c r="L32" s="60">
        <v>0.174</v>
      </c>
      <c r="M32" s="60">
        <v>0.164</v>
      </c>
      <c r="N32" s="62">
        <v>0.164</v>
      </c>
      <c r="O32" s="60">
        <f t="shared" si="15"/>
        <v>0.164</v>
      </c>
      <c r="P32" s="63">
        <v>90.0</v>
      </c>
      <c r="Q32" s="58">
        <v>90.13</v>
      </c>
      <c r="R32" s="65">
        <v>2913.25</v>
      </c>
      <c r="S32" s="76">
        <f>IF((80+ROUNDDOWN(O32,1)*100)&lt;95,95,(80+ROUNDDOWN(O32,1)*100))</f>
        <v>95</v>
      </c>
      <c r="U32" s="67">
        <v>100.0</v>
      </c>
      <c r="V32" s="67">
        <v>1.1023</v>
      </c>
      <c r="Z32" s="69">
        <f t="shared" si="24"/>
        <v>30</v>
      </c>
      <c r="AA32" s="70">
        <f t="shared" si="4"/>
        <v>30</v>
      </c>
      <c r="AB32" s="71">
        <f t="shared" si="20"/>
        <v>319.9268121</v>
      </c>
      <c r="AC32" s="71">
        <f>+(S32-T32)*V32-'data 1'!$F$4</f>
        <v>24.7185</v>
      </c>
      <c r="AD32" s="71">
        <f t="shared" si="6"/>
        <v>0.7014564864</v>
      </c>
      <c r="AE32" s="71">
        <f t="shared" si="7"/>
        <v>-36.931</v>
      </c>
      <c r="AF32" s="71">
        <f t="shared" si="8"/>
        <v>27.94972287</v>
      </c>
      <c r="AG32" s="72">
        <f>+IF(D32="RONALD WILLIAN GARIBAY ESCUDERO",AC32+AD32+AE32+AF32+70,AC32+AD32+AE32+AF32)</f>
        <v>86.43867935</v>
      </c>
      <c r="AH32" s="52">
        <f t="shared" si="9"/>
        <v>4.311048487</v>
      </c>
      <c r="AI32" s="73">
        <f t="shared" si="10"/>
        <v>32.28338291</v>
      </c>
      <c r="AJ32" s="73">
        <f t="shared" si="11"/>
        <v>4.057426352</v>
      </c>
      <c r="AK32" s="11"/>
      <c r="AL32" s="51">
        <f t="shared" si="12"/>
        <v>256.5109194</v>
      </c>
    </row>
    <row r="33" ht="15.0" customHeight="1">
      <c r="A33" s="92" t="s">
        <v>276</v>
      </c>
      <c r="B33" s="56">
        <v>45729.0</v>
      </c>
      <c r="C33" s="56">
        <v>45721.0</v>
      </c>
      <c r="D33" s="57" t="s">
        <v>264</v>
      </c>
      <c r="E33" s="57">
        <f t="array" ref="E33">XLOOKUP(D33,RUC!$B$3:$B$110,RUC!$D$3:$D$110)</f>
        <v>20606102519</v>
      </c>
      <c r="G33" s="3">
        <v>17.0</v>
      </c>
      <c r="H33" s="57" t="s">
        <v>47</v>
      </c>
      <c r="I33" s="58">
        <v>1.44</v>
      </c>
      <c r="J33" s="58">
        <v>2.5</v>
      </c>
      <c r="K33" s="59">
        <f t="shared" si="2"/>
        <v>1.404</v>
      </c>
      <c r="L33" s="60">
        <v>0.457</v>
      </c>
      <c r="M33" s="60">
        <v>0.43</v>
      </c>
      <c r="N33" s="75">
        <v>0.472</v>
      </c>
      <c r="O33" s="60">
        <f t="shared" si="15"/>
        <v>0.451</v>
      </c>
      <c r="P33" s="63">
        <v>90.0</v>
      </c>
      <c r="Q33" s="58">
        <v>90.21</v>
      </c>
      <c r="R33" s="65">
        <v>2913.25</v>
      </c>
      <c r="S33" s="66">
        <f t="shared" ref="S33:S37" si="25">IF((90+ROUNDDOWN(O33,1)*100)&lt;95,95,(90+ROUNDDOWN(O33,1)*100))</f>
        <v>130</v>
      </c>
      <c r="U33" s="67">
        <v>120.0</v>
      </c>
      <c r="V33" s="67">
        <v>1.1023</v>
      </c>
      <c r="Z33" s="69">
        <f t="shared" si="24"/>
        <v>30</v>
      </c>
      <c r="AA33" s="70">
        <f t="shared" si="4"/>
        <v>30</v>
      </c>
      <c r="AB33" s="71">
        <f t="shared" si="20"/>
        <v>1073.397887</v>
      </c>
      <c r="AC33" s="71">
        <f>+(S33-T33)*V33-'data 1'!$F$4</f>
        <v>63.299</v>
      </c>
      <c r="AD33" s="71">
        <f t="shared" si="6"/>
        <v>2.954915796</v>
      </c>
      <c r="AE33" s="71">
        <f t="shared" si="7"/>
        <v>-36.931</v>
      </c>
      <c r="AF33" s="71">
        <f t="shared" si="8"/>
        <v>16.66539256</v>
      </c>
      <c r="AG33" s="72">
        <f t="shared" ref="AG33:AG49" si="26">+IF(D33="RONALD WILLIAN GARIBAY ESCUDERO",AC33+AD33+AE33+AF33+70,AC33+AD33+AE33+AF33)+70-53</f>
        <v>62.98830835</v>
      </c>
      <c r="AH33" s="52">
        <f t="shared" si="9"/>
        <v>19.84481524</v>
      </c>
      <c r="AI33" s="73">
        <f t="shared" si="10"/>
        <v>93.95420207</v>
      </c>
      <c r="AJ33" s="73">
        <f t="shared" si="11"/>
        <v>19.53868037</v>
      </c>
      <c r="AK33" s="11"/>
      <c r="AL33" s="51">
        <f t="shared" si="12"/>
        <v>1507.050633</v>
      </c>
    </row>
    <row r="34" ht="15.0" customHeight="1">
      <c r="A34" s="92" t="s">
        <v>277</v>
      </c>
      <c r="B34" s="56">
        <v>45729.0</v>
      </c>
      <c r="C34" s="56">
        <v>45721.0</v>
      </c>
      <c r="D34" s="57" t="s">
        <v>264</v>
      </c>
      <c r="E34" s="57">
        <f t="array" ref="E34">XLOOKUP(D34,RUC!$B$3:$B$110,RUC!$D$3:$D$110)</f>
        <v>20606102519</v>
      </c>
      <c r="G34" s="3">
        <v>18.0</v>
      </c>
      <c r="H34" s="57" t="s">
        <v>47</v>
      </c>
      <c r="I34" s="58">
        <v>1.44</v>
      </c>
      <c r="J34" s="58">
        <v>2.1</v>
      </c>
      <c r="K34" s="59">
        <f t="shared" si="2"/>
        <v>1.40976</v>
      </c>
      <c r="L34" s="60">
        <v>0.506</v>
      </c>
      <c r="M34" s="60">
        <v>0.475</v>
      </c>
      <c r="N34" s="75">
        <v>0.55</v>
      </c>
      <c r="O34" s="60">
        <f t="shared" si="15"/>
        <v>0.513</v>
      </c>
      <c r="P34" s="63">
        <v>90.0</v>
      </c>
      <c r="Q34" s="58">
        <v>90.06</v>
      </c>
      <c r="R34" s="65">
        <v>2913.25</v>
      </c>
      <c r="S34" s="66">
        <f t="shared" si="25"/>
        <v>140</v>
      </c>
      <c r="U34" s="67">
        <v>120.0</v>
      </c>
      <c r="V34" s="67">
        <v>1.1023</v>
      </c>
      <c r="Z34" s="69">
        <f t="shared" si="24"/>
        <v>30</v>
      </c>
      <c r="AA34" s="70">
        <f t="shared" si="4"/>
        <v>30</v>
      </c>
      <c r="AB34" s="71">
        <f t="shared" si="20"/>
        <v>1234.183058</v>
      </c>
      <c r="AC34" s="71">
        <f>+(S34-T34)*V34-'data 1'!$F$4</f>
        <v>74.322</v>
      </c>
      <c r="AD34" s="71">
        <f t="shared" si="6"/>
        <v>0.9347842406</v>
      </c>
      <c r="AE34" s="71">
        <f t="shared" si="7"/>
        <v>-36.931</v>
      </c>
      <c r="AF34" s="71">
        <f t="shared" si="8"/>
        <v>-19.41062849</v>
      </c>
      <c r="AG34" s="72">
        <f t="shared" si="26"/>
        <v>35.91515575</v>
      </c>
      <c r="AH34" s="52">
        <f t="shared" si="9"/>
        <v>22.02605466</v>
      </c>
      <c r="AI34" s="73">
        <f t="shared" si="10"/>
        <v>103.8550897</v>
      </c>
      <c r="AJ34" s="73">
        <f t="shared" si="11"/>
        <v>22.31588567</v>
      </c>
      <c r="AK34" s="11"/>
      <c r="AL34" s="51">
        <f t="shared" si="12"/>
        <v>1739.901907</v>
      </c>
    </row>
    <row r="35" ht="15.0" customHeight="1">
      <c r="A35" s="92" t="s">
        <v>278</v>
      </c>
      <c r="B35" s="56">
        <v>45745.0</v>
      </c>
      <c r="C35" s="56">
        <v>45722.0</v>
      </c>
      <c r="D35" s="57" t="s">
        <v>61</v>
      </c>
      <c r="E35" s="57">
        <f t="array" ref="E35">XLOOKUP(D35,RUC!$B$3:$B$110,RUC!$D$3:$D$110)</f>
        <v>20606526599</v>
      </c>
      <c r="G35" s="3">
        <v>100.0</v>
      </c>
      <c r="H35" s="57" t="s">
        <v>47</v>
      </c>
      <c r="I35" s="58">
        <v>7.69</v>
      </c>
      <c r="J35" s="58">
        <v>5.9</v>
      </c>
      <c r="K35" s="59">
        <f t="shared" si="2"/>
        <v>7.23629</v>
      </c>
      <c r="L35" s="60">
        <v>0.107</v>
      </c>
      <c r="M35" s="60">
        <v>0.097</v>
      </c>
      <c r="N35" s="62">
        <v>0.143</v>
      </c>
      <c r="O35" s="60">
        <f t="shared" si="15"/>
        <v>0.12</v>
      </c>
      <c r="P35" s="63">
        <v>85.0</v>
      </c>
      <c r="Q35" s="58">
        <v>90.22</v>
      </c>
      <c r="R35" s="65">
        <v>2922.2</v>
      </c>
      <c r="S35" s="66">
        <f t="shared" si="25"/>
        <v>100</v>
      </c>
      <c r="U35" s="67">
        <v>120.0</v>
      </c>
      <c r="V35" s="67">
        <v>1.1023</v>
      </c>
      <c r="Y35" s="57">
        <v>20.0</v>
      </c>
      <c r="Z35" s="69">
        <f t="shared" si="24"/>
        <v>30</v>
      </c>
      <c r="AA35" s="70">
        <f t="shared" si="4"/>
        <v>50</v>
      </c>
      <c r="AB35" s="71">
        <f t="shared" si="20"/>
        <v>149.7192361</v>
      </c>
      <c r="AC35" s="71">
        <f>+(S35-T35)*V35-'data 1'!$F$4</f>
        <v>30.23</v>
      </c>
      <c r="AD35" s="71">
        <f t="shared" si="6"/>
        <v>17.25254691</v>
      </c>
      <c r="AE35" s="71">
        <f t="shared" si="7"/>
        <v>-14.885</v>
      </c>
      <c r="AF35" s="71">
        <f t="shared" si="8"/>
        <v>-36.22806274</v>
      </c>
      <c r="AG35" s="72">
        <f t="shared" si="26"/>
        <v>13.36948416</v>
      </c>
      <c r="AH35" s="52">
        <f t="shared" si="9"/>
        <v>23.95033724</v>
      </c>
      <c r="AI35" s="73">
        <f t="shared" si="10"/>
        <v>21.04809015</v>
      </c>
      <c r="AJ35" s="73">
        <f t="shared" si="11"/>
        <v>25.30609909</v>
      </c>
      <c r="AK35" s="11"/>
      <c r="AL35" s="51">
        <f t="shared" si="12"/>
        <v>1083.411811</v>
      </c>
    </row>
    <row r="36" ht="15.0" customHeight="1">
      <c r="A36" s="92" t="s">
        <v>279</v>
      </c>
      <c r="B36" s="56">
        <v>45735.0</v>
      </c>
      <c r="C36" s="56">
        <v>45723.0</v>
      </c>
      <c r="D36" s="57" t="s">
        <v>67</v>
      </c>
      <c r="E36" s="57">
        <f t="array" ref="E36">XLOOKUP(D36,RUC!$B$3:$B$110,RUC!$D$3:$D$110)</f>
        <v>20606094010</v>
      </c>
      <c r="G36" s="3">
        <v>100.0</v>
      </c>
      <c r="H36" s="57" t="s">
        <v>47</v>
      </c>
      <c r="I36" s="58">
        <v>8.4</v>
      </c>
      <c r="J36" s="58">
        <v>1.6</v>
      </c>
      <c r="K36" s="59">
        <f t="shared" si="2"/>
        <v>8.2656</v>
      </c>
      <c r="L36" s="60">
        <v>0.203</v>
      </c>
      <c r="M36" s="60">
        <v>0.191</v>
      </c>
      <c r="N36" s="75">
        <v>0.228</v>
      </c>
      <c r="O36" s="60">
        <f t="shared" si="15"/>
        <v>0.21</v>
      </c>
      <c r="P36" s="63">
        <v>90.0</v>
      </c>
      <c r="Q36" s="58">
        <v>90.26</v>
      </c>
      <c r="R36" s="65">
        <v>2931.15</v>
      </c>
      <c r="S36" s="66">
        <f t="shared" si="25"/>
        <v>110</v>
      </c>
      <c r="U36" s="67">
        <v>120.0</v>
      </c>
      <c r="V36" s="67">
        <v>1.1023</v>
      </c>
      <c r="Y36" s="57">
        <v>20.0</v>
      </c>
      <c r="Z36" s="69">
        <f t="shared" si="24"/>
        <v>30</v>
      </c>
      <c r="AA36" s="70">
        <f t="shared" si="4"/>
        <v>50</v>
      </c>
      <c r="AB36" s="71">
        <f t="shared" si="20"/>
        <v>409.2920919</v>
      </c>
      <c r="AC36" s="71">
        <f>+(S36-T36)*V36-'data 1'!$F$4</f>
        <v>41.253</v>
      </c>
      <c r="AD36" s="71">
        <f t="shared" si="6"/>
        <v>1.635510034</v>
      </c>
      <c r="AE36" s="71">
        <f t="shared" si="7"/>
        <v>-14.885</v>
      </c>
      <c r="AF36" s="71">
        <f t="shared" si="8"/>
        <v>-19.57839996</v>
      </c>
      <c r="AG36" s="72">
        <f t="shared" si="26"/>
        <v>25.42511007</v>
      </c>
      <c r="AH36" s="52">
        <f t="shared" si="9"/>
        <v>51.92479862</v>
      </c>
      <c r="AI36" s="73">
        <f t="shared" si="10"/>
        <v>38.14241294</v>
      </c>
      <c r="AJ36" s="73">
        <f t="shared" si="11"/>
        <v>53.56057836</v>
      </c>
      <c r="AK36" s="11"/>
      <c r="AL36" s="51">
        <f t="shared" si="12"/>
        <v>3383.044715</v>
      </c>
    </row>
    <row r="37" ht="15.0" customHeight="1">
      <c r="A37" s="92" t="s">
        <v>280</v>
      </c>
      <c r="B37" s="56">
        <v>45725.0</v>
      </c>
      <c r="C37" s="56">
        <v>45723.0</v>
      </c>
      <c r="D37" s="57" t="s">
        <v>61</v>
      </c>
      <c r="E37" s="57">
        <f t="array" ref="E37">XLOOKUP(D37,RUC!$B$3:$B$110,RUC!$D$3:$D$110)</f>
        <v>20606526599</v>
      </c>
      <c r="G37" s="3">
        <v>83.0</v>
      </c>
      <c r="H37" s="57" t="s">
        <v>47</v>
      </c>
      <c r="I37" s="58">
        <v>6.54</v>
      </c>
      <c r="J37" s="58">
        <v>1.4</v>
      </c>
      <c r="K37" s="59">
        <f t="shared" si="2"/>
        <v>6.44844</v>
      </c>
      <c r="L37" s="60">
        <v>0.192</v>
      </c>
      <c r="M37" s="60">
        <v>0.18</v>
      </c>
      <c r="N37" s="62">
        <v>0.18</v>
      </c>
      <c r="O37" s="60">
        <f t="shared" si="15"/>
        <v>0.18</v>
      </c>
      <c r="P37" s="63">
        <v>90.0</v>
      </c>
      <c r="Q37" s="58">
        <v>90.25</v>
      </c>
      <c r="R37" s="65">
        <v>2931.15</v>
      </c>
      <c r="S37" s="66">
        <f t="shared" si="25"/>
        <v>100</v>
      </c>
      <c r="U37" s="67">
        <v>120.0</v>
      </c>
      <c r="V37" s="67">
        <v>1.1023</v>
      </c>
      <c r="Y37" s="57">
        <v>20.0</v>
      </c>
      <c r="Z37" s="69">
        <f t="shared" si="24"/>
        <v>30</v>
      </c>
      <c r="AA37" s="70">
        <f t="shared" si="4"/>
        <v>50</v>
      </c>
      <c r="AB37" s="71">
        <f t="shared" si="20"/>
        <v>336.6493645</v>
      </c>
      <c r="AC37" s="71">
        <f>+(S37-T37)*V37-'data 1'!$F$4</f>
        <v>30.23</v>
      </c>
      <c r="AD37" s="71">
        <f t="shared" si="6"/>
        <v>1.48739071</v>
      </c>
      <c r="AE37" s="71">
        <f t="shared" si="7"/>
        <v>-14.885</v>
      </c>
      <c r="AF37" s="71">
        <f t="shared" si="8"/>
        <v>33.55925289</v>
      </c>
      <c r="AG37" s="72">
        <f t="shared" si="26"/>
        <v>67.39164359</v>
      </c>
      <c r="AH37" s="52">
        <f t="shared" si="9"/>
        <v>38.31000175</v>
      </c>
      <c r="AI37" s="73">
        <f t="shared" si="10"/>
        <v>36.07158583</v>
      </c>
      <c r="AJ37" s="73">
        <f t="shared" si="11"/>
        <v>35.81613737</v>
      </c>
      <c r="AK37" s="11"/>
      <c r="AL37" s="51">
        <f t="shared" si="12"/>
        <v>2170.863228</v>
      </c>
    </row>
    <row r="38" ht="15.0" customHeight="1">
      <c r="A38" s="92" t="s">
        <v>281</v>
      </c>
      <c r="B38" s="105">
        <v>45741.0</v>
      </c>
      <c r="C38" s="56">
        <v>45724.0</v>
      </c>
      <c r="D38" s="57" t="s">
        <v>88</v>
      </c>
      <c r="E38" s="57" t="str">
        <f t="array" ref="E38">XLOOKUP(D38,RUC!$B$3:$B$110,RUC!$D$3:$D$110)</f>
        <v>#N/A</v>
      </c>
      <c r="G38" s="3">
        <v>50.0</v>
      </c>
      <c r="H38" s="57" t="s">
        <v>47</v>
      </c>
      <c r="I38" s="57">
        <v>7.06</v>
      </c>
      <c r="J38" s="58">
        <v>2.75</v>
      </c>
      <c r="K38" s="59">
        <f t="shared" si="2"/>
        <v>6.86585</v>
      </c>
      <c r="L38" s="60">
        <v>0.983</v>
      </c>
      <c r="M38" s="107">
        <v>0.751</v>
      </c>
      <c r="N38" s="107">
        <v>0.894</v>
      </c>
      <c r="O38" s="60">
        <f t="shared" si="15"/>
        <v>0.823</v>
      </c>
      <c r="P38" s="63">
        <v>90.0</v>
      </c>
      <c r="Q38" s="58">
        <v>89.92</v>
      </c>
      <c r="R38" s="65">
        <v>2931.15</v>
      </c>
      <c r="S38" s="76">
        <f t="shared" ref="S38:S45" si="27">IF((85+ROUNDDOWN(O38,1)*100)&lt;95,95,(85+ROUNDDOWN(O38,1)*100))</f>
        <v>165</v>
      </c>
      <c r="U38" s="87">
        <v>90.0</v>
      </c>
      <c r="V38" s="67">
        <v>1.1023</v>
      </c>
      <c r="Z38" s="77">
        <v>25.0</v>
      </c>
      <c r="AA38" s="70">
        <f t="shared" si="4"/>
        <v>25</v>
      </c>
      <c r="AB38" s="71">
        <f t="shared" si="20"/>
        <v>2110.286997</v>
      </c>
      <c r="AC38" s="71">
        <f>+(S38-T38)*V38-'data 1'!$F$4</f>
        <v>101.8795</v>
      </c>
      <c r="AD38" s="71">
        <f t="shared" si="6"/>
        <v>-2.462847241</v>
      </c>
      <c r="AE38" s="71">
        <f t="shared" si="7"/>
        <v>-42.4425</v>
      </c>
      <c r="AF38" s="108">
        <f t="shared" si="8"/>
        <v>450.5782785</v>
      </c>
      <c r="AG38" s="72">
        <f t="shared" si="26"/>
        <v>524.5524313</v>
      </c>
      <c r="AH38" s="52">
        <f t="shared" si="9"/>
        <v>208.0717867</v>
      </c>
      <c r="AI38" s="73">
        <f t="shared" si="10"/>
        <v>154.7735851</v>
      </c>
      <c r="AJ38" s="73">
        <f t="shared" si="11"/>
        <v>174.3595442</v>
      </c>
      <c r="AK38" s="11"/>
      <c r="AL38" s="51">
        <f t="shared" si="12"/>
        <v>14488.91398</v>
      </c>
    </row>
    <row r="39" ht="15.0" customHeight="1">
      <c r="A39" s="92" t="s">
        <v>282</v>
      </c>
      <c r="B39" s="105">
        <v>45741.0</v>
      </c>
      <c r="C39" s="56">
        <v>45724.0</v>
      </c>
      <c r="D39" s="57" t="s">
        <v>88</v>
      </c>
      <c r="E39" s="57" t="str">
        <f t="array" ref="E39">XLOOKUP(D39,RUC!$B$3:$B$110,RUC!$D$3:$D$110)</f>
        <v>#N/A</v>
      </c>
      <c r="G39" s="3">
        <v>50.0</v>
      </c>
      <c r="H39" s="57" t="s">
        <v>47</v>
      </c>
      <c r="I39" s="57">
        <v>6.9</v>
      </c>
      <c r="J39" s="58">
        <v>1.9</v>
      </c>
      <c r="K39" s="59">
        <f t="shared" si="2"/>
        <v>6.7689</v>
      </c>
      <c r="L39" s="60">
        <v>0.386</v>
      </c>
      <c r="M39" s="60">
        <v>0.363</v>
      </c>
      <c r="N39" s="75">
        <v>0.446</v>
      </c>
      <c r="O39" s="60">
        <f t="shared" si="15"/>
        <v>0.405</v>
      </c>
      <c r="P39" s="63">
        <v>90.0</v>
      </c>
      <c r="Q39" s="58">
        <v>90.15</v>
      </c>
      <c r="R39" s="65">
        <v>2931.15</v>
      </c>
      <c r="S39" s="76">
        <f t="shared" si="27"/>
        <v>125</v>
      </c>
      <c r="U39" s="87">
        <v>90.0</v>
      </c>
      <c r="V39" s="67">
        <v>1.1023</v>
      </c>
      <c r="Z39" s="77">
        <v>25.0</v>
      </c>
      <c r="AA39" s="70">
        <f t="shared" si="4"/>
        <v>25</v>
      </c>
      <c r="AB39" s="71">
        <f t="shared" si="20"/>
        <v>976.1959706</v>
      </c>
      <c r="AC39" s="71">
        <f>+(S39-T39)*V39-'data 1'!$F$4</f>
        <v>57.7875</v>
      </c>
      <c r="AD39" s="71">
        <f t="shared" si="6"/>
        <v>1.813311994</v>
      </c>
      <c r="AE39" s="71">
        <f t="shared" si="7"/>
        <v>-42.4425</v>
      </c>
      <c r="AF39" s="71">
        <f t="shared" si="8"/>
        <v>-53.64303022</v>
      </c>
      <c r="AG39" s="72">
        <f t="shared" si="26"/>
        <v>-19.48471822</v>
      </c>
      <c r="AH39" s="52">
        <f t="shared" si="9"/>
        <v>80.75700482</v>
      </c>
      <c r="AI39" s="73">
        <f t="shared" si="10"/>
        <v>60.93124643</v>
      </c>
      <c r="AJ39" s="73">
        <f t="shared" si="11"/>
        <v>84.59110538</v>
      </c>
      <c r="AK39" s="11"/>
      <c r="AL39" s="51">
        <f t="shared" si="12"/>
        <v>6607.772905</v>
      </c>
    </row>
    <row r="40" ht="15.0" customHeight="1">
      <c r="A40" s="92" t="s">
        <v>283</v>
      </c>
      <c r="B40" s="105">
        <v>45741.0</v>
      </c>
      <c r="C40" s="56">
        <v>45724.0</v>
      </c>
      <c r="D40" s="57" t="s">
        <v>88</v>
      </c>
      <c r="E40" s="57" t="str">
        <f t="array" ref="E40">XLOOKUP(D40,RUC!$B$3:$B$110,RUC!$D$3:$D$110)</f>
        <v>#N/A</v>
      </c>
      <c r="G40" s="3">
        <v>50.0</v>
      </c>
      <c r="H40" s="57" t="s">
        <v>47</v>
      </c>
      <c r="I40" s="57">
        <v>6.42</v>
      </c>
      <c r="J40" s="58">
        <v>2.2</v>
      </c>
      <c r="K40" s="59">
        <f t="shared" si="2"/>
        <v>6.27876</v>
      </c>
      <c r="L40" s="60">
        <v>0.376</v>
      </c>
      <c r="M40" s="60">
        <v>0.353</v>
      </c>
      <c r="N40" s="75">
        <v>0.443</v>
      </c>
      <c r="O40" s="60">
        <f t="shared" si="15"/>
        <v>0.398</v>
      </c>
      <c r="P40" s="63">
        <v>90.0</v>
      </c>
      <c r="Q40" s="58">
        <v>90.2</v>
      </c>
      <c r="R40" s="65">
        <v>2931.15</v>
      </c>
      <c r="S40" s="76">
        <f t="shared" si="27"/>
        <v>115</v>
      </c>
      <c r="U40" s="87">
        <v>90.0</v>
      </c>
      <c r="V40" s="67">
        <v>1.1023</v>
      </c>
      <c r="Z40" s="77">
        <v>25.0</v>
      </c>
      <c r="AA40" s="70">
        <f t="shared" si="4"/>
        <v>25</v>
      </c>
      <c r="AB40" s="71">
        <f t="shared" si="20"/>
        <v>967.4886328</v>
      </c>
      <c r="AC40" s="71">
        <f>+(S40-T40)*V40-'data 1'!$F$4</f>
        <v>46.7645</v>
      </c>
      <c r="AD40" s="71">
        <f t="shared" si="6"/>
        <v>2.355113333</v>
      </c>
      <c r="AE40" s="71">
        <f t="shared" si="7"/>
        <v>-42.4425</v>
      </c>
      <c r="AF40" s="71">
        <f t="shared" si="8"/>
        <v>-62.14743216</v>
      </c>
      <c r="AG40" s="72">
        <f t="shared" si="26"/>
        <v>-38.47031882</v>
      </c>
      <c r="AH40" s="52">
        <f t="shared" si="9"/>
        <v>73.00915712</v>
      </c>
      <c r="AI40" s="73">
        <f t="shared" si="10"/>
        <v>59.3856356</v>
      </c>
      <c r="AJ40" s="73">
        <f t="shared" si="11"/>
        <v>77.1096148</v>
      </c>
      <c r="AK40" s="11"/>
      <c r="AL40" s="51">
        <f t="shared" si="12"/>
        <v>6074.628928</v>
      </c>
    </row>
    <row r="41" ht="15.0" customHeight="1">
      <c r="A41" s="92" t="s">
        <v>284</v>
      </c>
      <c r="B41" s="105">
        <v>45741.0</v>
      </c>
      <c r="C41" s="56">
        <v>45724.0</v>
      </c>
      <c r="D41" s="57" t="s">
        <v>88</v>
      </c>
      <c r="E41" s="57" t="str">
        <f t="array" ref="E41">XLOOKUP(D41,RUC!$B$3:$B$110,RUC!$D$3:$D$110)</f>
        <v>#N/A</v>
      </c>
      <c r="G41" s="3">
        <v>50.0</v>
      </c>
      <c r="H41" s="57" t="s">
        <v>47</v>
      </c>
      <c r="I41" s="57">
        <v>6.8</v>
      </c>
      <c r="J41" s="58">
        <v>1.15</v>
      </c>
      <c r="K41" s="59">
        <f t="shared" si="2"/>
        <v>6.7218</v>
      </c>
      <c r="L41" s="60">
        <v>0.521</v>
      </c>
      <c r="M41" s="60">
        <v>0.489</v>
      </c>
      <c r="N41" s="75">
        <v>0.588</v>
      </c>
      <c r="O41" s="60">
        <f t="shared" si="15"/>
        <v>0.539</v>
      </c>
      <c r="P41" s="63">
        <v>90.0</v>
      </c>
      <c r="Q41" s="58">
        <v>90.1</v>
      </c>
      <c r="R41" s="65">
        <v>2931.15</v>
      </c>
      <c r="S41" s="76">
        <f t="shared" si="27"/>
        <v>135</v>
      </c>
      <c r="U41" s="87">
        <v>90.0</v>
      </c>
      <c r="V41" s="67">
        <v>1.1023</v>
      </c>
      <c r="Z41" s="77">
        <v>25.0</v>
      </c>
      <c r="AA41" s="70">
        <f t="shared" si="4"/>
        <v>25</v>
      </c>
      <c r="AB41" s="71">
        <f t="shared" si="20"/>
        <v>1342.868008</v>
      </c>
      <c r="AC41" s="71">
        <f>+(S41-T41)*V41-'data 1'!$F$4</f>
        <v>68.8105</v>
      </c>
      <c r="AD41" s="71">
        <f t="shared" si="6"/>
        <v>1.631667615</v>
      </c>
      <c r="AE41" s="71">
        <f t="shared" si="7"/>
        <v>-42.4425</v>
      </c>
      <c r="AF41" s="71">
        <f t="shared" si="8"/>
        <v>-50.79152664</v>
      </c>
      <c r="AG41" s="72">
        <f t="shared" si="26"/>
        <v>-5.791859028</v>
      </c>
      <c r="AH41" s="52">
        <f t="shared" si="9"/>
        <v>108.182539</v>
      </c>
      <c r="AI41" s="73">
        <f t="shared" si="10"/>
        <v>82.19578374</v>
      </c>
      <c r="AJ41" s="73">
        <f t="shared" si="11"/>
        <v>111.7959138</v>
      </c>
      <c r="AK41" s="11"/>
      <c r="AL41" s="51">
        <f t="shared" si="12"/>
        <v>9026.490175</v>
      </c>
    </row>
    <row r="42" ht="15.0" customHeight="1">
      <c r="A42" s="92" t="s">
        <v>285</v>
      </c>
      <c r="B42" s="105">
        <v>45741.0</v>
      </c>
      <c r="C42" s="56">
        <v>45724.0</v>
      </c>
      <c r="D42" s="57" t="s">
        <v>88</v>
      </c>
      <c r="E42" s="57" t="str">
        <f t="array" ref="E42">XLOOKUP(D42,RUC!$B$3:$B$110,RUC!$D$3:$D$110)</f>
        <v>#N/A</v>
      </c>
      <c r="G42" s="3">
        <v>50.0</v>
      </c>
      <c r="H42" s="57" t="s">
        <v>47</v>
      </c>
      <c r="I42" s="57">
        <v>6.86</v>
      </c>
      <c r="J42" s="58">
        <v>1.1</v>
      </c>
      <c r="K42" s="59">
        <f t="shared" si="2"/>
        <v>6.78454</v>
      </c>
      <c r="L42" s="60">
        <v>0.722</v>
      </c>
      <c r="M42" s="60">
        <v>0.679</v>
      </c>
      <c r="N42" s="75">
        <v>0.748</v>
      </c>
      <c r="O42" s="60">
        <f t="shared" si="15"/>
        <v>0.714</v>
      </c>
      <c r="P42" s="63">
        <v>90.0</v>
      </c>
      <c r="Q42" s="58">
        <v>89.95</v>
      </c>
      <c r="R42" s="65">
        <v>2931.15</v>
      </c>
      <c r="S42" s="76">
        <f t="shared" si="27"/>
        <v>155</v>
      </c>
      <c r="U42" s="87">
        <v>90.0</v>
      </c>
      <c r="V42" s="67">
        <v>1.1023</v>
      </c>
      <c r="Z42" s="77">
        <v>25.0</v>
      </c>
      <c r="AA42" s="70">
        <f t="shared" si="4"/>
        <v>25</v>
      </c>
      <c r="AB42" s="71">
        <f t="shared" si="20"/>
        <v>1814.080452</v>
      </c>
      <c r="AC42" s="71">
        <f>+(S42-T42)*V42-'data 1'!$F$4</f>
        <v>90.8565</v>
      </c>
      <c r="AD42" s="71">
        <f t="shared" si="6"/>
        <v>-1.130579672</v>
      </c>
      <c r="AE42" s="71">
        <f t="shared" si="7"/>
        <v>-42.4425</v>
      </c>
      <c r="AF42" s="71">
        <f t="shared" si="8"/>
        <v>22.53643025</v>
      </c>
      <c r="AG42" s="72">
        <f t="shared" si="26"/>
        <v>86.81985057</v>
      </c>
      <c r="AH42" s="52">
        <f t="shared" si="9"/>
        <v>151.0663868</v>
      </c>
      <c r="AI42" s="73">
        <f t="shared" si="10"/>
        <v>113.7169995</v>
      </c>
      <c r="AJ42" s="73">
        <f t="shared" si="11"/>
        <v>149.475563</v>
      </c>
      <c r="AK42" s="11"/>
      <c r="AL42" s="51">
        <f t="shared" si="12"/>
        <v>12307.70139</v>
      </c>
    </row>
    <row r="43" ht="15.0" customHeight="1">
      <c r="A43" s="92" t="s">
        <v>286</v>
      </c>
      <c r="B43" s="105">
        <v>45736.0</v>
      </c>
      <c r="C43" s="56">
        <v>45724.0</v>
      </c>
      <c r="D43" s="57" t="s">
        <v>88</v>
      </c>
      <c r="E43" s="57" t="str">
        <f t="array" ref="E43">XLOOKUP(D43,RUC!$B$3:$B$110,RUC!$D$3:$D$110)</f>
        <v>#N/A</v>
      </c>
      <c r="G43" s="3">
        <v>50.0</v>
      </c>
      <c r="H43" s="57" t="s">
        <v>47</v>
      </c>
      <c r="I43" s="57">
        <v>6.92</v>
      </c>
      <c r="J43" s="58">
        <v>1.5</v>
      </c>
      <c r="K43" s="59">
        <f t="shared" si="2"/>
        <v>6.8162</v>
      </c>
      <c r="L43" s="60">
        <v>0.392</v>
      </c>
      <c r="M43" s="60">
        <v>0.368</v>
      </c>
      <c r="N43" s="75">
        <v>0.472</v>
      </c>
      <c r="O43" s="60">
        <f t="shared" si="15"/>
        <v>0.42</v>
      </c>
      <c r="P43" s="63">
        <v>90.0</v>
      </c>
      <c r="Q43" s="58">
        <v>90.13</v>
      </c>
      <c r="R43" s="65">
        <v>2931.15</v>
      </c>
      <c r="S43" s="76">
        <f t="shared" si="27"/>
        <v>125</v>
      </c>
      <c r="U43" s="87">
        <v>90.0</v>
      </c>
      <c r="V43" s="67">
        <v>1.1023</v>
      </c>
      <c r="Z43" s="77">
        <v>25.0</v>
      </c>
      <c r="AA43" s="70">
        <f t="shared" si="4"/>
        <v>25</v>
      </c>
      <c r="AB43" s="71">
        <f t="shared" si="20"/>
        <v>1018.475266</v>
      </c>
      <c r="AC43" s="71">
        <f>+(S43-T43)*V43-'data 1'!$F$4</f>
        <v>57.7875</v>
      </c>
      <c r="AD43" s="71">
        <f t="shared" si="6"/>
        <v>1.595965099</v>
      </c>
      <c r="AE43" s="71">
        <f t="shared" si="7"/>
        <v>-42.4425</v>
      </c>
      <c r="AF43" s="71">
        <f t="shared" si="8"/>
        <v>-79.03534856</v>
      </c>
      <c r="AG43" s="72">
        <f t="shared" si="26"/>
        <v>-45.09438346</v>
      </c>
      <c r="AH43" s="52">
        <f t="shared" si="9"/>
        <v>82.5670622</v>
      </c>
      <c r="AI43" s="73">
        <f t="shared" si="10"/>
        <v>61.86463638</v>
      </c>
      <c r="AJ43" s="73">
        <f t="shared" si="11"/>
        <v>88.33711145</v>
      </c>
      <c r="AK43" s="11"/>
      <c r="AL43" s="51">
        <f t="shared" si="12"/>
        <v>6942.131107</v>
      </c>
    </row>
    <row r="44" ht="15.0" customHeight="1">
      <c r="A44" s="92" t="s">
        <v>287</v>
      </c>
      <c r="B44" s="105">
        <v>45736.0</v>
      </c>
      <c r="C44" s="56">
        <v>45724.0</v>
      </c>
      <c r="D44" s="57" t="s">
        <v>88</v>
      </c>
      <c r="E44" s="57" t="str">
        <f t="array" ref="E44">XLOOKUP(D44,RUC!$B$3:$B$110,RUC!$D$3:$D$110)</f>
        <v>#N/A</v>
      </c>
      <c r="G44" s="3">
        <v>50.0</v>
      </c>
      <c r="H44" s="57" t="s">
        <v>47</v>
      </c>
      <c r="I44" s="57">
        <v>6.86</v>
      </c>
      <c r="J44" s="58">
        <v>1.8</v>
      </c>
      <c r="K44" s="59">
        <f t="shared" si="2"/>
        <v>6.73652</v>
      </c>
      <c r="L44" s="60">
        <v>0.517</v>
      </c>
      <c r="M44" s="60">
        <v>0.486</v>
      </c>
      <c r="N44" s="75">
        <v>0.57</v>
      </c>
      <c r="O44" s="60">
        <f t="shared" si="15"/>
        <v>0.528</v>
      </c>
      <c r="P44" s="63">
        <v>90.0</v>
      </c>
      <c r="Q44" s="58">
        <v>90.02</v>
      </c>
      <c r="R44" s="65">
        <v>2931.15</v>
      </c>
      <c r="S44" s="76">
        <f t="shared" si="27"/>
        <v>135</v>
      </c>
      <c r="U44" s="87">
        <v>90.0</v>
      </c>
      <c r="V44" s="67">
        <v>1.1023</v>
      </c>
      <c r="Z44" s="77">
        <v>25.0</v>
      </c>
      <c r="AA44" s="70">
        <f t="shared" si="4"/>
        <v>25</v>
      </c>
      <c r="AB44" s="71">
        <f t="shared" si="20"/>
        <v>1311.863191</v>
      </c>
      <c r="AC44" s="71">
        <f>+(S44-T44)*V44-'data 1'!$F$4</f>
        <v>68.8105</v>
      </c>
      <c r="AD44" s="71">
        <f t="shared" si="6"/>
        <v>0.3238280833</v>
      </c>
      <c r="AE44" s="71">
        <f t="shared" si="7"/>
        <v>-42.4425</v>
      </c>
      <c r="AF44" s="71">
        <f t="shared" si="8"/>
        <v>-31.01170644</v>
      </c>
      <c r="AG44" s="72">
        <f t="shared" si="26"/>
        <v>12.68012164</v>
      </c>
      <c r="AH44" s="52">
        <f t="shared" si="9"/>
        <v>107.491525</v>
      </c>
      <c r="AI44" s="73">
        <f t="shared" si="10"/>
        <v>81.49230056</v>
      </c>
      <c r="AJ44" s="73">
        <f t="shared" si="11"/>
        <v>109.7541889</v>
      </c>
      <c r="AK44" s="11"/>
      <c r="AL44" s="51">
        <f t="shared" si="12"/>
        <v>8837.392625</v>
      </c>
    </row>
    <row r="45" ht="15.0" customHeight="1">
      <c r="A45" s="92" t="s">
        <v>288</v>
      </c>
      <c r="B45" s="105">
        <v>45736.0</v>
      </c>
      <c r="C45" s="56">
        <v>45724.0</v>
      </c>
      <c r="D45" s="57" t="s">
        <v>88</v>
      </c>
      <c r="E45" s="57" t="str">
        <f t="array" ref="E45">XLOOKUP(D45,RUC!$B$3:$B$110,RUC!$D$3:$D$110)</f>
        <v>#N/A</v>
      </c>
      <c r="G45" s="3">
        <v>50.0</v>
      </c>
      <c r="H45" s="57" t="s">
        <v>47</v>
      </c>
      <c r="I45" s="57">
        <v>5.82</v>
      </c>
      <c r="J45" s="58">
        <v>1.9</v>
      </c>
      <c r="K45" s="59">
        <f t="shared" si="2"/>
        <v>5.70942</v>
      </c>
      <c r="L45" s="60">
        <v>0.177</v>
      </c>
      <c r="M45" s="60">
        <v>0.166</v>
      </c>
      <c r="N45" s="75">
        <v>0.211</v>
      </c>
      <c r="O45" s="60">
        <f t="shared" si="15"/>
        <v>0.189</v>
      </c>
      <c r="P45" s="63">
        <v>85.0</v>
      </c>
      <c r="Q45" s="58">
        <v>90.28</v>
      </c>
      <c r="R45" s="65">
        <v>2931.15</v>
      </c>
      <c r="S45" s="76">
        <f t="shared" si="27"/>
        <v>95</v>
      </c>
      <c r="U45" s="87">
        <v>90.0</v>
      </c>
      <c r="V45" s="67">
        <v>1.1023</v>
      </c>
      <c r="Z45" s="77">
        <v>25.0</v>
      </c>
      <c r="AA45" s="70">
        <f t="shared" si="4"/>
        <v>25</v>
      </c>
      <c r="AB45" s="71">
        <f t="shared" si="20"/>
        <v>370.847613</v>
      </c>
      <c r="AC45" s="71">
        <f>+(S45-T45)*V45-'data 1'!$F$4</f>
        <v>24.7185</v>
      </c>
      <c r="AD45" s="71">
        <f t="shared" si="6"/>
        <v>29.26854676</v>
      </c>
      <c r="AE45" s="71">
        <f t="shared" si="7"/>
        <v>-42.4425</v>
      </c>
      <c r="AF45" s="71">
        <f t="shared" si="8"/>
        <v>-33.92866463</v>
      </c>
      <c r="AG45" s="72">
        <f t="shared" si="26"/>
        <v>-5.384117872</v>
      </c>
      <c r="AH45" s="52">
        <f t="shared" si="9"/>
        <v>31.2799376</v>
      </c>
      <c r="AI45" s="73">
        <f t="shared" si="10"/>
        <v>27.98026629</v>
      </c>
      <c r="AJ45" s="73">
        <f t="shared" si="11"/>
        <v>31.44718613</v>
      </c>
      <c r="AK45" s="11"/>
      <c r="AL45" s="51">
        <f t="shared" si="12"/>
        <v>2117.324778</v>
      </c>
    </row>
    <row r="46" ht="15.0" customHeight="1">
      <c r="A46" s="92" t="s">
        <v>289</v>
      </c>
      <c r="B46" s="56">
        <v>45728.0</v>
      </c>
      <c r="C46" s="56">
        <v>45725.0</v>
      </c>
      <c r="D46" s="57" t="s">
        <v>177</v>
      </c>
      <c r="E46" s="57">
        <f t="array" ref="E46">XLOOKUP(D46,RUC!$B$3:$B$110,RUC!$D$3:$D$110)</f>
        <v>10306762465</v>
      </c>
      <c r="G46" s="3">
        <v>50.0</v>
      </c>
      <c r="H46" s="57" t="s">
        <v>47</v>
      </c>
      <c r="I46" s="58">
        <v>4.21</v>
      </c>
      <c r="J46" s="58">
        <v>1.2</v>
      </c>
      <c r="K46" s="59">
        <f t="shared" si="2"/>
        <v>4.15948</v>
      </c>
      <c r="L46" s="60">
        <v>0.328</v>
      </c>
      <c r="M46" s="60">
        <v>0.308</v>
      </c>
      <c r="N46" s="62">
        <v>0.349</v>
      </c>
      <c r="O46" s="60">
        <f t="shared" si="15"/>
        <v>0.329</v>
      </c>
      <c r="P46" s="63">
        <v>90.0</v>
      </c>
      <c r="Q46" s="58">
        <v>90.2</v>
      </c>
      <c r="R46" s="65">
        <v>2910.2</v>
      </c>
      <c r="S46" s="66">
        <f t="shared" ref="S46:S49" si="28">IF((90+ROUNDDOWN(O46,1)*100)&lt;95,95,(90+ROUNDDOWN(O46,1)*100))</f>
        <v>120</v>
      </c>
      <c r="U46" s="67">
        <v>120.0</v>
      </c>
      <c r="V46" s="67">
        <v>1.1023</v>
      </c>
      <c r="Y46" s="57">
        <v>20.0</v>
      </c>
      <c r="Z46" s="69">
        <f t="shared" ref="Z46:Z49" si="29">IF(IF(D46="UNTUCA",IF(+((W46-3)*1.5+(X46-3)*3.1)&gt;0,+((W46-3)*1.5+(X46-3)*3.1),0),IF(+((W46-3)*1.5+(X46-3)*3.1)&gt;0,+((W46-3)*1.5+(X46-3)*3.1),0))&lt;30,30,IF(D46="UNTUCA",IF(+((W46-3)*1.5+(X46-3)*3.1)&gt;0,+((W46-3)*1.5+(X46-3)*3.1),0),IF(+((W46-3)*1.5+(X46-3)*3.1)&gt;0,+((W46-3)*1.5+(X46-3)*3.1),0)))</f>
        <v>30</v>
      </c>
      <c r="AA46" s="70">
        <f t="shared" si="4"/>
        <v>50</v>
      </c>
      <c r="AB46" s="71">
        <f t="shared" si="20"/>
        <v>723.3052519</v>
      </c>
      <c r="AC46" s="71">
        <f>+(S46-T46)*V46-'data 1'!$F$4</f>
        <v>52.276</v>
      </c>
      <c r="AD46" s="71">
        <f t="shared" si="6"/>
        <v>2.017618174</v>
      </c>
      <c r="AE46" s="71">
        <f t="shared" si="7"/>
        <v>-14.885</v>
      </c>
      <c r="AF46" s="71">
        <f t="shared" si="8"/>
        <v>-2.774224989</v>
      </c>
      <c r="AG46" s="72">
        <f t="shared" si="26"/>
        <v>53.63439318</v>
      </c>
      <c r="AH46" s="52">
        <f t="shared" si="9"/>
        <v>42.19184247</v>
      </c>
      <c r="AI46" s="73">
        <f t="shared" si="10"/>
        <v>68.42041003</v>
      </c>
      <c r="AJ46" s="73">
        <f t="shared" si="11"/>
        <v>42.22663916</v>
      </c>
      <c r="AK46" s="11"/>
      <c r="AL46" s="51">
        <f t="shared" si="12"/>
        <v>3008.573729</v>
      </c>
    </row>
    <row r="47" ht="15.0" customHeight="1">
      <c r="A47" s="92" t="s">
        <v>290</v>
      </c>
      <c r="B47" s="56">
        <v>45729.0</v>
      </c>
      <c r="C47" s="56">
        <v>45725.0</v>
      </c>
      <c r="D47" s="57" t="s">
        <v>177</v>
      </c>
      <c r="E47" s="57">
        <f t="array" ref="E47">XLOOKUP(D47,RUC!$B$3:$B$110,RUC!$D$3:$D$110)</f>
        <v>10306762465</v>
      </c>
      <c r="G47" s="3">
        <v>48.0</v>
      </c>
      <c r="H47" s="57" t="s">
        <v>47</v>
      </c>
      <c r="I47" s="58">
        <v>4.26</v>
      </c>
      <c r="J47" s="58">
        <v>1.1</v>
      </c>
      <c r="K47" s="59">
        <f t="shared" si="2"/>
        <v>4.21314</v>
      </c>
      <c r="L47" s="60">
        <v>0.323</v>
      </c>
      <c r="M47" s="60">
        <v>0.303</v>
      </c>
      <c r="N47" s="75">
        <v>0.387</v>
      </c>
      <c r="O47" s="60">
        <f t="shared" si="15"/>
        <v>0.345</v>
      </c>
      <c r="P47" s="63">
        <v>90.0</v>
      </c>
      <c r="Q47" s="58">
        <v>90.15</v>
      </c>
      <c r="R47" s="65">
        <v>2910.2</v>
      </c>
      <c r="S47" s="66">
        <f t="shared" si="28"/>
        <v>120</v>
      </c>
      <c r="U47" s="67">
        <v>120.0</v>
      </c>
      <c r="V47" s="67">
        <v>1.1023</v>
      </c>
      <c r="Y47" s="57">
        <v>20.0</v>
      </c>
      <c r="Z47" s="69">
        <f t="shared" si="29"/>
        <v>30</v>
      </c>
      <c r="AA47" s="70">
        <f t="shared" si="4"/>
        <v>50</v>
      </c>
      <c r="AB47" s="71">
        <f t="shared" si="20"/>
        <v>767.5944313</v>
      </c>
      <c r="AC47" s="71">
        <f>+(S47-T47)*V47-'data 1'!$F$4</f>
        <v>52.276</v>
      </c>
      <c r="AD47" s="71">
        <f t="shared" si="6"/>
        <v>1.490146349</v>
      </c>
      <c r="AE47" s="71">
        <f t="shared" si="7"/>
        <v>-14.885</v>
      </c>
      <c r="AF47" s="71">
        <f t="shared" si="8"/>
        <v>-60.99911774</v>
      </c>
      <c r="AG47" s="72">
        <f t="shared" si="26"/>
        <v>-5.117971395</v>
      </c>
      <c r="AH47" s="52">
        <f t="shared" si="9"/>
        <v>42.06135055</v>
      </c>
      <c r="AI47" s="73">
        <f t="shared" si="10"/>
        <v>67.34006708</v>
      </c>
      <c r="AJ47" s="73">
        <f t="shared" si="11"/>
        <v>44.85145791</v>
      </c>
      <c r="AK47" s="11"/>
      <c r="AL47" s="51">
        <f t="shared" si="12"/>
        <v>3233.982802</v>
      </c>
    </row>
    <row r="48" ht="15.0" customHeight="1">
      <c r="A48" s="92" t="s">
        <v>291</v>
      </c>
      <c r="B48" s="56">
        <v>45741.0</v>
      </c>
      <c r="C48" s="56">
        <v>45727.0</v>
      </c>
      <c r="D48" s="57" t="s">
        <v>292</v>
      </c>
      <c r="E48" s="57">
        <f t="array" ref="E48">XLOOKUP(D48,RUC!$B$3:$B$110,RUC!$D$3:$D$110)</f>
        <v>20612791148</v>
      </c>
      <c r="G48" s="3">
        <v>41.0</v>
      </c>
      <c r="H48" s="57" t="s">
        <v>47</v>
      </c>
      <c r="I48" s="58">
        <v>3.42</v>
      </c>
      <c r="J48" s="58">
        <v>1.2</v>
      </c>
      <c r="K48" s="59">
        <f t="shared" si="2"/>
        <v>3.37896</v>
      </c>
      <c r="L48" s="79">
        <v>0.222</v>
      </c>
      <c r="M48" s="79">
        <v>0.222</v>
      </c>
      <c r="N48" s="79">
        <v>0.222</v>
      </c>
      <c r="O48" s="60">
        <f t="shared" si="15"/>
        <v>0.222</v>
      </c>
      <c r="P48" s="63">
        <v>90.0</v>
      </c>
      <c r="Q48" s="58">
        <v>90.18</v>
      </c>
      <c r="R48" s="65">
        <v>2916.9</v>
      </c>
      <c r="S48" s="66">
        <f t="shared" si="28"/>
        <v>110</v>
      </c>
      <c r="U48" s="67">
        <v>120.0</v>
      </c>
      <c r="V48" s="67">
        <v>1.1023</v>
      </c>
      <c r="Y48" s="57">
        <v>20.0</v>
      </c>
      <c r="Z48" s="69">
        <f t="shared" si="29"/>
        <v>30</v>
      </c>
      <c r="AA48" s="70">
        <f t="shared" si="4"/>
        <v>50</v>
      </c>
      <c r="AB48" s="71">
        <f t="shared" si="20"/>
        <v>439.6199694</v>
      </c>
      <c r="AC48" s="71">
        <f>+(S48-T48)*V48-'data 1'!$F$4</f>
        <v>41.253</v>
      </c>
      <c r="AD48" s="71">
        <f t="shared" si="6"/>
        <v>1.231975939</v>
      </c>
      <c r="AE48" s="71">
        <f t="shared" si="7"/>
        <v>-14.885</v>
      </c>
      <c r="AF48" s="71">
        <f t="shared" si="8"/>
        <v>0</v>
      </c>
      <c r="AG48" s="72">
        <f t="shared" si="26"/>
        <v>44.59997594</v>
      </c>
      <c r="AH48" s="52">
        <f t="shared" si="9"/>
        <v>23.19291441</v>
      </c>
      <c r="AI48" s="73">
        <f t="shared" si="10"/>
        <v>44.82011188</v>
      </c>
      <c r="AJ48" s="73">
        <f t="shared" si="11"/>
        <v>23.14662117</v>
      </c>
      <c r="AK48" s="11"/>
      <c r="AL48" s="51">
        <f t="shared" si="12"/>
        <v>1485.458292</v>
      </c>
    </row>
    <row r="49" ht="15.0" customHeight="1">
      <c r="A49" s="92" t="s">
        <v>293</v>
      </c>
      <c r="B49" s="56">
        <v>45741.0</v>
      </c>
      <c r="C49" s="56">
        <v>45727.0</v>
      </c>
      <c r="D49" s="57" t="s">
        <v>292</v>
      </c>
      <c r="E49" s="57">
        <f t="array" ref="E49">XLOOKUP(D49,RUC!$B$3:$B$110,RUC!$D$3:$D$110)</f>
        <v>20612791148</v>
      </c>
      <c r="G49" s="3">
        <v>69.0</v>
      </c>
      <c r="H49" s="57" t="s">
        <v>47</v>
      </c>
      <c r="I49" s="58">
        <v>5.89</v>
      </c>
      <c r="J49" s="58">
        <v>1.3</v>
      </c>
      <c r="K49" s="59">
        <f t="shared" si="2"/>
        <v>5.81343</v>
      </c>
      <c r="L49" s="79">
        <v>0.381</v>
      </c>
      <c r="M49" s="79">
        <v>0.381</v>
      </c>
      <c r="N49" s="79">
        <v>0.381</v>
      </c>
      <c r="O49" s="60">
        <f t="shared" si="15"/>
        <v>0.381</v>
      </c>
      <c r="P49" s="63">
        <v>90.0</v>
      </c>
      <c r="Q49" s="58">
        <v>90.11</v>
      </c>
      <c r="R49" s="65">
        <v>2916.9</v>
      </c>
      <c r="S49" s="66">
        <f t="shared" si="28"/>
        <v>120</v>
      </c>
      <c r="U49" s="67">
        <v>120.0</v>
      </c>
      <c r="V49" s="67">
        <v>1.1023</v>
      </c>
      <c r="Y49" s="57">
        <v>20.0</v>
      </c>
      <c r="Z49" s="69">
        <f t="shared" si="29"/>
        <v>30</v>
      </c>
      <c r="AA49" s="70">
        <f t="shared" si="4"/>
        <v>50</v>
      </c>
      <c r="AB49" s="71">
        <f t="shared" si="20"/>
        <v>869.7775421</v>
      </c>
      <c r="AC49" s="71">
        <f>+(S49-T49)*V49-'data 1'!$F$4</f>
        <v>52.276</v>
      </c>
      <c r="AD49" s="71">
        <f t="shared" si="6"/>
        <v>1.292094885</v>
      </c>
      <c r="AE49" s="71">
        <f t="shared" si="7"/>
        <v>-14.885</v>
      </c>
      <c r="AF49" s="71">
        <f t="shared" si="8"/>
        <v>0</v>
      </c>
      <c r="AG49" s="72">
        <f t="shared" si="26"/>
        <v>55.68309488</v>
      </c>
      <c r="AH49" s="52">
        <f t="shared" si="9"/>
        <v>68.42888792</v>
      </c>
      <c r="AI49" s="73">
        <f t="shared" si="10"/>
        <v>76.86129478</v>
      </c>
      <c r="AJ49" s="73">
        <f t="shared" si="11"/>
        <v>68.34535471</v>
      </c>
      <c r="AK49" s="11"/>
      <c r="AL49" s="51">
        <f t="shared" si="12"/>
        <v>5056.390857</v>
      </c>
    </row>
    <row r="50" ht="15.0" customHeight="1">
      <c r="A50" s="92" t="s">
        <v>294</v>
      </c>
      <c r="B50" s="56"/>
      <c r="C50" s="109">
        <v>45727.0</v>
      </c>
      <c r="D50" s="110" t="s">
        <v>295</v>
      </c>
      <c r="E50" s="110">
        <f t="array" ref="E50">XLOOKUP(D50,RUC!$B$3:$B$110,RUC!$D$3:$D$110)</f>
        <v>20601769396</v>
      </c>
      <c r="G50" s="3"/>
      <c r="I50" s="58"/>
      <c r="J50" s="58"/>
      <c r="K50" s="59"/>
      <c r="L50" s="60"/>
      <c r="M50" s="60"/>
      <c r="N50" s="62"/>
      <c r="O50" s="60"/>
      <c r="P50" s="63"/>
      <c r="Q50" s="58"/>
      <c r="R50" s="65"/>
      <c r="S50" s="66"/>
      <c r="U50" s="67"/>
      <c r="V50" s="67"/>
      <c r="Z50" s="69"/>
      <c r="AA50" s="70"/>
      <c r="AB50" s="71"/>
      <c r="AC50" s="71"/>
      <c r="AD50" s="71"/>
      <c r="AE50" s="71"/>
      <c r="AF50" s="71"/>
      <c r="AG50" s="72"/>
      <c r="AH50" s="52"/>
      <c r="AI50" s="73"/>
      <c r="AJ50" s="73"/>
      <c r="AK50" s="11"/>
      <c r="AL50" s="51"/>
    </row>
    <row r="51" ht="15.0" customHeight="1">
      <c r="A51" s="92" t="s">
        <v>296</v>
      </c>
      <c r="B51" s="56"/>
      <c r="C51" s="109">
        <v>45727.0</v>
      </c>
      <c r="D51" s="110" t="s">
        <v>295</v>
      </c>
      <c r="E51" s="110">
        <f t="array" ref="E51">XLOOKUP(D51,RUC!$B$3:$B$110,RUC!$D$3:$D$110)</f>
        <v>20601769396</v>
      </c>
      <c r="G51" s="3"/>
      <c r="I51" s="58"/>
      <c r="J51" s="58"/>
      <c r="K51" s="59"/>
      <c r="L51" s="60"/>
      <c r="M51" s="60"/>
      <c r="N51" s="62"/>
      <c r="O51" s="60"/>
      <c r="P51" s="63"/>
      <c r="Q51" s="58"/>
      <c r="R51" s="65"/>
      <c r="S51" s="66"/>
      <c r="U51" s="67"/>
      <c r="V51" s="67"/>
      <c r="Z51" s="69"/>
      <c r="AA51" s="70"/>
      <c r="AB51" s="71"/>
      <c r="AC51" s="71"/>
      <c r="AD51" s="71"/>
      <c r="AE51" s="71"/>
      <c r="AF51" s="71"/>
      <c r="AG51" s="72"/>
      <c r="AH51" s="52"/>
      <c r="AI51" s="73"/>
      <c r="AJ51" s="73"/>
      <c r="AK51" s="11"/>
      <c r="AL51" s="51"/>
    </row>
    <row r="52" ht="15.0" customHeight="1">
      <c r="A52" s="92" t="s">
        <v>297</v>
      </c>
      <c r="B52" s="56"/>
      <c r="C52" s="109">
        <v>45727.0</v>
      </c>
      <c r="D52" s="110" t="s">
        <v>295</v>
      </c>
      <c r="E52" s="110">
        <f t="array" ref="E52">XLOOKUP(D52,RUC!$B$3:$B$110,RUC!$D$3:$D$110)</f>
        <v>20601769396</v>
      </c>
      <c r="G52" s="3"/>
      <c r="I52" s="58"/>
      <c r="J52" s="58"/>
      <c r="K52" s="59"/>
      <c r="L52" s="60"/>
      <c r="M52" s="60"/>
      <c r="N52" s="62"/>
      <c r="O52" s="60"/>
      <c r="P52" s="63"/>
      <c r="Q52" s="58"/>
      <c r="R52" s="65"/>
      <c r="S52" s="66"/>
      <c r="U52" s="67"/>
      <c r="V52" s="67"/>
      <c r="Z52" s="69"/>
      <c r="AA52" s="70"/>
      <c r="AB52" s="71"/>
      <c r="AC52" s="71"/>
      <c r="AD52" s="71"/>
      <c r="AE52" s="71"/>
      <c r="AF52" s="71"/>
      <c r="AG52" s="72"/>
      <c r="AH52" s="52"/>
      <c r="AI52" s="73"/>
      <c r="AJ52" s="73"/>
      <c r="AK52" s="11"/>
      <c r="AL52" s="51"/>
    </row>
    <row r="53" ht="15.0" customHeight="1">
      <c r="A53" s="92" t="s">
        <v>298</v>
      </c>
      <c r="B53" s="56">
        <v>45731.0</v>
      </c>
      <c r="C53" s="56">
        <v>45727.0</v>
      </c>
      <c r="D53" s="57" t="s">
        <v>61</v>
      </c>
      <c r="E53" s="57">
        <f t="array" ref="E53">XLOOKUP(D53,RUC!$B$3:$B$110,RUC!$D$3:$D$110)</f>
        <v>20606526599</v>
      </c>
      <c r="G53" s="3">
        <v>175.0</v>
      </c>
      <c r="H53" s="57" t="s">
        <v>47</v>
      </c>
      <c r="I53" s="58">
        <v>14.85</v>
      </c>
      <c r="J53" s="58">
        <v>1.25</v>
      </c>
      <c r="K53" s="59">
        <f t="shared" ref="K53:K92" si="30">+I53-(I53*(J53/100))</f>
        <v>14.664375</v>
      </c>
      <c r="L53" s="60">
        <v>0.203</v>
      </c>
      <c r="M53" s="60">
        <v>0.19</v>
      </c>
      <c r="N53" s="62">
        <v>0.19</v>
      </c>
      <c r="O53" s="60">
        <f t="shared" ref="O53:O92" si="31">+ROUND((M53+N53)/2,3)</f>
        <v>0.19</v>
      </c>
      <c r="P53" s="63">
        <v>90.0</v>
      </c>
      <c r="Q53" s="58">
        <v>90.28</v>
      </c>
      <c r="R53" s="65">
        <v>2916.9</v>
      </c>
      <c r="S53" s="66">
        <f>IF((90+ROUNDDOWN(O53,1)*100)&lt;95,95,(90+ROUNDDOWN(O53,1)*100))</f>
        <v>100</v>
      </c>
      <c r="U53" s="67">
        <v>120.0</v>
      </c>
      <c r="V53" s="67">
        <v>1.1023</v>
      </c>
      <c r="Y53" s="57">
        <v>20.0</v>
      </c>
      <c r="Z53" s="69">
        <f t="shared" ref="Z53:Z65" si="32">IF(IF(D53="UNTUCA",IF(+((W53-3)*1.5+(X53-3)*3.1)&gt;0,+((W53-3)*1.5+(X53-3)*3.1),0),IF(+((W53-3)*1.5+(X53-3)*3.1)&gt;0,+((W53-3)*1.5+(X53-3)*3.1),0))&lt;30,30,IF(D53="UNTUCA",IF(+((W53-3)*1.5+(X53-3)*3.1)&gt;0,+((W53-3)*1.5+(X53-3)*3.1),0),IF(+((W53-3)*1.5+(X53-3)*3.1)&gt;0,+((W53-3)*1.5+(X53-3)*3.1),0)))</f>
        <v>30</v>
      </c>
      <c r="AA53" s="70">
        <f t="shared" ref="AA53:AA92" si="33">+Y53+Z53</f>
        <v>50</v>
      </c>
      <c r="AB53" s="71">
        <f t="shared" ref="AB53:AB59" si="34">+((O53*P53*(R53-U53)/100)-S53-AA53+T53)*V53</f>
        <v>361.8519108</v>
      </c>
      <c r="AC53" s="71">
        <f>+(S53-T53)*V53-'data 1'!$F$4</f>
        <v>30.23</v>
      </c>
      <c r="AD53" s="71">
        <f t="shared" ref="AD53:AD92" si="35">+(Q53-P53)*(R53-U53)*L53*V53/100</f>
        <v>1.752390199</v>
      </c>
      <c r="AE53" s="71">
        <f t="shared" ref="AE53:AE92" si="36">+(Y53*V53-70)+V53*(Z53-IF(D53="UNTUCA",IF(+((W53-3)*2.5+(X53-3)*3.1)&gt;0,+((W53-3)*1.5+(X53-3)*3.1),0),IF(+((W53-3)*1.5+(X53-3)*3.1)&gt;0,+((W53-3)*1.5+(X53-3)*3.1),0)))</f>
        <v>-14.885</v>
      </c>
      <c r="AF53" s="71">
        <f t="shared" ref="AF53:AF92" si="37">(L53-O53)*(R53-U53)*Q53*V53/100</f>
        <v>36.18358961</v>
      </c>
      <c r="AG53" s="72">
        <f>+IF(D53="RONALD WILLIAN GARIBAY ESCUDERO",AC53+AD53+AE53+AF53+70,AC53+AD53+AE53+AF53)+70-53</f>
        <v>70.28097981</v>
      </c>
      <c r="AH53" s="52">
        <f t="shared" ref="AH53:AH92" si="38">31.1035*L53*Q53*1.1023*K53/100</f>
        <v>92.14254758</v>
      </c>
      <c r="AI53" s="73">
        <f t="shared" ref="AI53:AI92" si="39">+((+$AI$2-R53+U53)*L53*Q53*V53)/100</f>
        <v>41.02960341</v>
      </c>
      <c r="AJ53" s="73">
        <f t="shared" ref="AJ53:AJ92" si="40">31.1035*1.1023*K53*P53*O53/100</f>
        <v>85.97431764</v>
      </c>
      <c r="AK53" s="11"/>
      <c r="AL53" s="51">
        <f t="shared" ref="AL53:AL92" si="41">+IF(AB53*K53&gt;0,AB53*K53,0)</f>
        <v>5306.332114</v>
      </c>
    </row>
    <row r="54" ht="15.0" customHeight="1">
      <c r="A54" s="92" t="s">
        <v>299</v>
      </c>
      <c r="B54" s="56">
        <v>45736.0</v>
      </c>
      <c r="C54" s="56">
        <v>45727.0</v>
      </c>
      <c r="D54" s="57" t="s">
        <v>249</v>
      </c>
      <c r="E54" s="57">
        <f t="array" ref="E54">XLOOKUP(D54,RUC!$B$3:$B$110,RUC!$D$3:$D$110)</f>
        <v>10473108823</v>
      </c>
      <c r="G54" s="3" t="s">
        <v>46</v>
      </c>
      <c r="H54" s="57" t="s">
        <v>40</v>
      </c>
      <c r="I54" s="58">
        <v>36.17</v>
      </c>
      <c r="J54" s="58">
        <v>24.0</v>
      </c>
      <c r="K54" s="59">
        <f t="shared" si="30"/>
        <v>27.4892</v>
      </c>
      <c r="L54" s="60">
        <v>0.25</v>
      </c>
      <c r="M54" s="60">
        <v>0.235</v>
      </c>
      <c r="N54" s="75">
        <v>0.267</v>
      </c>
      <c r="O54" s="60">
        <f t="shared" si="31"/>
        <v>0.251</v>
      </c>
      <c r="P54" s="63">
        <v>90.0</v>
      </c>
      <c r="Q54" s="58">
        <v>90.1</v>
      </c>
      <c r="R54" s="65">
        <v>2916.9</v>
      </c>
      <c r="S54" s="76">
        <v>85.0</v>
      </c>
      <c r="U54" s="67">
        <v>90.0</v>
      </c>
      <c r="V54" s="67">
        <v>1.1023</v>
      </c>
      <c r="Z54" s="69">
        <f t="shared" si="32"/>
        <v>30</v>
      </c>
      <c r="AA54" s="70">
        <f t="shared" si="33"/>
        <v>30</v>
      </c>
      <c r="AB54" s="71">
        <f t="shared" si="34"/>
        <v>577.1606534</v>
      </c>
      <c r="AC54" s="71">
        <f>+(S54-T54)*V54-'data 1'!$F$4</f>
        <v>13.6955</v>
      </c>
      <c r="AD54" s="71">
        <f t="shared" si="35"/>
        <v>0.7790229675</v>
      </c>
      <c r="AE54" s="71">
        <f t="shared" si="36"/>
        <v>-36.931</v>
      </c>
      <c r="AF54" s="71">
        <f t="shared" si="37"/>
        <v>-2.807598775</v>
      </c>
      <c r="AG54" s="72">
        <f t="shared" ref="AG54:AG56" si="42">+IF(D54="RONALD WILLIAN GARIBAY ESCUDERO",AC54+AD54+AE54+AF54+70,AC54+AD54+AE54+AF54)+70-20</f>
        <v>24.73592419</v>
      </c>
      <c r="AH54" s="52">
        <f t="shared" si="38"/>
        <v>212.2931445</v>
      </c>
      <c r="AI54" s="73">
        <f t="shared" si="39"/>
        <v>42.97953128</v>
      </c>
      <c r="AJ54" s="73">
        <f t="shared" si="40"/>
        <v>212.9057552</v>
      </c>
      <c r="AK54" s="11"/>
      <c r="AL54" s="51">
        <f t="shared" si="41"/>
        <v>15865.68463</v>
      </c>
    </row>
    <row r="55" ht="15.0" customHeight="1">
      <c r="A55" s="92" t="s">
        <v>300</v>
      </c>
      <c r="B55" s="56">
        <v>45736.0</v>
      </c>
      <c r="C55" s="56">
        <v>45727.0</v>
      </c>
      <c r="D55" s="57" t="s">
        <v>249</v>
      </c>
      <c r="E55" s="57">
        <f t="array" ref="E55">XLOOKUP(D55,RUC!$B$3:$B$110,RUC!$D$3:$D$110)</f>
        <v>10473108823</v>
      </c>
      <c r="G55" s="3" t="s">
        <v>46</v>
      </c>
      <c r="H55" s="57" t="s">
        <v>40</v>
      </c>
      <c r="I55" s="58">
        <v>1.95</v>
      </c>
      <c r="J55" s="58">
        <v>3.45</v>
      </c>
      <c r="K55" s="59">
        <f t="shared" si="30"/>
        <v>1.882725</v>
      </c>
      <c r="L55" s="60">
        <v>0.198</v>
      </c>
      <c r="M55" s="60">
        <v>0.186</v>
      </c>
      <c r="N55" s="75">
        <v>0.203</v>
      </c>
      <c r="O55" s="60">
        <f t="shared" si="31"/>
        <v>0.195</v>
      </c>
      <c r="P55" s="63">
        <v>90.0</v>
      </c>
      <c r="Q55" s="58">
        <v>90.1</v>
      </c>
      <c r="R55" s="65">
        <v>2916.9</v>
      </c>
      <c r="S55" s="76">
        <v>85.0</v>
      </c>
      <c r="U55" s="67">
        <v>90.0</v>
      </c>
      <c r="V55" s="67">
        <v>1.1023</v>
      </c>
      <c r="Z55" s="69">
        <f t="shared" si="32"/>
        <v>30</v>
      </c>
      <c r="AA55" s="70">
        <f t="shared" si="33"/>
        <v>30</v>
      </c>
      <c r="AB55" s="71">
        <f t="shared" si="34"/>
        <v>420.1096232</v>
      </c>
      <c r="AC55" s="71">
        <f>+(S55-T55)*V55-'data 1'!$F$4</f>
        <v>13.6955</v>
      </c>
      <c r="AD55" s="71">
        <f t="shared" si="35"/>
        <v>0.6169861903</v>
      </c>
      <c r="AE55" s="71">
        <f t="shared" si="36"/>
        <v>-36.931</v>
      </c>
      <c r="AF55" s="71">
        <f t="shared" si="37"/>
        <v>8.422796325</v>
      </c>
      <c r="AG55" s="72">
        <f t="shared" si="42"/>
        <v>35.80428251</v>
      </c>
      <c r="AH55" s="52">
        <f t="shared" si="38"/>
        <v>11.51558327</v>
      </c>
      <c r="AI55" s="73">
        <f t="shared" si="39"/>
        <v>34.03978878</v>
      </c>
      <c r="AJ55" s="73">
        <f t="shared" si="40"/>
        <v>11.32851749</v>
      </c>
      <c r="AK55" s="11"/>
      <c r="AL55" s="51">
        <f t="shared" si="41"/>
        <v>790.9508903</v>
      </c>
    </row>
    <row r="56" ht="15.0" customHeight="1">
      <c r="A56" s="92" t="s">
        <v>301</v>
      </c>
      <c r="B56" s="56">
        <v>45736.0</v>
      </c>
      <c r="C56" s="56">
        <v>45727.0</v>
      </c>
      <c r="D56" s="57" t="s">
        <v>249</v>
      </c>
      <c r="E56" s="57">
        <f t="array" ref="E56">XLOOKUP(D56,RUC!$B$3:$B$110,RUC!$D$3:$D$110)</f>
        <v>10473108823</v>
      </c>
      <c r="G56" s="3" t="s">
        <v>46</v>
      </c>
      <c r="H56" s="57" t="s">
        <v>40</v>
      </c>
      <c r="I56" s="58">
        <v>33.08</v>
      </c>
      <c r="J56" s="58">
        <v>20.3</v>
      </c>
      <c r="K56" s="59">
        <f t="shared" si="30"/>
        <v>26.36476</v>
      </c>
      <c r="L56" s="60">
        <v>0.23</v>
      </c>
      <c r="M56" s="60">
        <v>0.216</v>
      </c>
      <c r="N56" s="75">
        <v>0.221</v>
      </c>
      <c r="O56" s="60">
        <f t="shared" si="31"/>
        <v>0.219</v>
      </c>
      <c r="P56" s="63">
        <v>90.0</v>
      </c>
      <c r="Q56" s="58">
        <v>90.3</v>
      </c>
      <c r="R56" s="65">
        <v>2916.9</v>
      </c>
      <c r="S56" s="76">
        <v>85.0</v>
      </c>
      <c r="U56" s="67">
        <v>90.0</v>
      </c>
      <c r="V56" s="67">
        <v>1.1023</v>
      </c>
      <c r="Z56" s="69">
        <f t="shared" si="32"/>
        <v>30</v>
      </c>
      <c r="AA56" s="70">
        <f t="shared" si="33"/>
        <v>30</v>
      </c>
      <c r="AB56" s="71">
        <f t="shared" si="34"/>
        <v>487.4172076</v>
      </c>
      <c r="AC56" s="71">
        <f>+(S56-T56)*V56-'data 1'!$F$4</f>
        <v>13.6955</v>
      </c>
      <c r="AD56" s="71">
        <f t="shared" si="35"/>
        <v>2.15010339</v>
      </c>
      <c r="AE56" s="71">
        <f t="shared" si="36"/>
        <v>-36.931</v>
      </c>
      <c r="AF56" s="71">
        <f t="shared" si="37"/>
        <v>30.95214054</v>
      </c>
      <c r="AG56" s="72">
        <f t="shared" si="42"/>
        <v>59.86674394</v>
      </c>
      <c r="AH56" s="52">
        <f t="shared" si="38"/>
        <v>187.7363966</v>
      </c>
      <c r="AI56" s="73">
        <f t="shared" si="39"/>
        <v>39.62894052</v>
      </c>
      <c r="AJ56" s="73">
        <f t="shared" si="40"/>
        <v>178.16382</v>
      </c>
      <c r="AK56" s="11"/>
      <c r="AL56" s="51">
        <f t="shared" si="41"/>
        <v>12850.6377</v>
      </c>
    </row>
    <row r="57" ht="15.0" customHeight="1">
      <c r="A57" s="92" t="s">
        <v>302</v>
      </c>
      <c r="B57" s="56">
        <v>45733.0</v>
      </c>
      <c r="C57" s="56">
        <v>45729.0</v>
      </c>
      <c r="D57" s="57" t="s">
        <v>51</v>
      </c>
      <c r="E57" s="57" t="str">
        <f t="array" ref="E57">XLOOKUP(D57,RUC!$B$3:$B$110,RUC!$D$3:$D$110)</f>
        <v>#N/A</v>
      </c>
      <c r="G57" s="3">
        <v>76.0</v>
      </c>
      <c r="H57" s="57" t="s">
        <v>71</v>
      </c>
      <c r="I57" s="58">
        <v>5.49</v>
      </c>
      <c r="J57" s="58">
        <v>1.2</v>
      </c>
      <c r="K57" s="59">
        <f t="shared" si="30"/>
        <v>5.42412</v>
      </c>
      <c r="L57" s="60">
        <v>0.24</v>
      </c>
      <c r="M57" s="60">
        <v>0.226</v>
      </c>
      <c r="N57" s="62">
        <v>0.226</v>
      </c>
      <c r="O57" s="60">
        <f t="shared" si="31"/>
        <v>0.226</v>
      </c>
      <c r="P57" s="63">
        <v>90.0</v>
      </c>
      <c r="Q57" s="58">
        <v>90.24</v>
      </c>
      <c r="R57" s="65">
        <v>2974.07</v>
      </c>
      <c r="S57" s="76">
        <f t="shared" ref="S57:S58" si="43">IF((80+ROUNDDOWN(O57,1)*100)&lt;95,95,(80+ROUNDDOWN(O57,1)*100))</f>
        <v>100</v>
      </c>
      <c r="U57" s="67">
        <v>100.0</v>
      </c>
      <c r="V57" s="67">
        <v>1.1023</v>
      </c>
      <c r="Z57" s="69">
        <f t="shared" si="32"/>
        <v>30</v>
      </c>
      <c r="AA57" s="70">
        <f t="shared" si="33"/>
        <v>30</v>
      </c>
      <c r="AB57" s="71">
        <f t="shared" si="34"/>
        <v>501.0899692</v>
      </c>
      <c r="AC57" s="71">
        <f>+(S57-T57)*V57-'data 1'!$F$4</f>
        <v>30.23</v>
      </c>
      <c r="AD57" s="71">
        <f t="shared" si="35"/>
        <v>1.82481832</v>
      </c>
      <c r="AE57" s="71">
        <f t="shared" si="36"/>
        <v>-36.931</v>
      </c>
      <c r="AF57" s="71">
        <f t="shared" si="37"/>
        <v>40.02434848</v>
      </c>
      <c r="AG57" s="72">
        <f t="shared" ref="AG57:AG59" si="44">+IF(D57="RONALD WILLIAN GARIBAY ESCUDERO",AC57+AD57+AE57+AF57+70,AC57+AD57+AE57+AF57)+70-53</f>
        <v>122.1481668</v>
      </c>
      <c r="AH57" s="52">
        <f t="shared" si="38"/>
        <v>40.27621835</v>
      </c>
      <c r="AI57" s="73">
        <f t="shared" si="39"/>
        <v>30.0634861</v>
      </c>
      <c r="AJ57" s="73">
        <f t="shared" si="40"/>
        <v>37.82590321</v>
      </c>
      <c r="AK57" s="11"/>
      <c r="AL57" s="51">
        <f t="shared" si="41"/>
        <v>2717.972124</v>
      </c>
    </row>
    <row r="58" ht="15.0" customHeight="1">
      <c r="A58" s="92" t="s">
        <v>303</v>
      </c>
      <c r="B58" s="56">
        <v>45733.0</v>
      </c>
      <c r="C58" s="56">
        <v>45729.0</v>
      </c>
      <c r="D58" s="57" t="s">
        <v>51</v>
      </c>
      <c r="E58" s="57" t="str">
        <f t="array" ref="E58">XLOOKUP(D58,RUC!$B$3:$B$110,RUC!$D$3:$D$110)</f>
        <v>#N/A</v>
      </c>
      <c r="G58" s="3">
        <v>80.0</v>
      </c>
      <c r="H58" s="57" t="s">
        <v>71</v>
      </c>
      <c r="I58" s="58">
        <v>5.82</v>
      </c>
      <c r="J58" s="58">
        <v>1.3</v>
      </c>
      <c r="K58" s="59">
        <f t="shared" si="30"/>
        <v>5.74434</v>
      </c>
      <c r="L58" s="60">
        <v>0.242</v>
      </c>
      <c r="M58" s="60">
        <v>0.227</v>
      </c>
      <c r="N58" s="62">
        <v>0.227</v>
      </c>
      <c r="O58" s="60">
        <f t="shared" si="31"/>
        <v>0.227</v>
      </c>
      <c r="P58" s="63">
        <v>90.0</v>
      </c>
      <c r="Q58" s="58">
        <v>90.17</v>
      </c>
      <c r="R58" s="65">
        <v>2974.07</v>
      </c>
      <c r="S58" s="76">
        <f t="shared" si="43"/>
        <v>100</v>
      </c>
      <c r="U58" s="67">
        <v>100.0</v>
      </c>
      <c r="V58" s="67">
        <v>1.1023</v>
      </c>
      <c r="Z58" s="69">
        <f t="shared" si="32"/>
        <v>30</v>
      </c>
      <c r="AA58" s="70">
        <f t="shared" si="33"/>
        <v>30</v>
      </c>
      <c r="AB58" s="71">
        <f t="shared" si="34"/>
        <v>503.9412479</v>
      </c>
      <c r="AC58" s="71">
        <f>+(S58-T58)*V58-'data 1'!$F$4</f>
        <v>30.23</v>
      </c>
      <c r="AD58" s="71">
        <f t="shared" si="35"/>
        <v>1.30335114</v>
      </c>
      <c r="AE58" s="71">
        <f t="shared" si="36"/>
        <v>-36.931</v>
      </c>
      <c r="AF58" s="71">
        <f t="shared" si="37"/>
        <v>42.8499656</v>
      </c>
      <c r="AG58" s="72">
        <f t="shared" si="44"/>
        <v>124.4523167</v>
      </c>
      <c r="AH58" s="52">
        <f t="shared" si="38"/>
        <v>42.97606445</v>
      </c>
      <c r="AI58" s="73">
        <f t="shared" si="39"/>
        <v>30.29050029</v>
      </c>
      <c r="AJ58" s="73">
        <f t="shared" si="40"/>
        <v>40.23625698</v>
      </c>
      <c r="AK58" s="11"/>
      <c r="AL58" s="51">
        <f t="shared" si="41"/>
        <v>2894.809868</v>
      </c>
    </row>
    <row r="59" ht="15.0" customHeight="1">
      <c r="A59" s="92" t="s">
        <v>304</v>
      </c>
      <c r="B59" s="56">
        <v>45731.0</v>
      </c>
      <c r="C59" s="56">
        <v>45730.0</v>
      </c>
      <c r="D59" s="57" t="s">
        <v>121</v>
      </c>
      <c r="E59" s="57">
        <f t="array" ref="E59">XLOOKUP(D59,RUC!$B$3:$B$110,RUC!$D$3:$D$110)</f>
        <v>20611329556</v>
      </c>
      <c r="G59" s="3">
        <v>82.0</v>
      </c>
      <c r="H59" s="57" t="s">
        <v>40</v>
      </c>
      <c r="I59" s="58">
        <v>8.1</v>
      </c>
      <c r="J59" s="58">
        <v>16.15</v>
      </c>
      <c r="K59" s="59">
        <f t="shared" si="30"/>
        <v>6.79185</v>
      </c>
      <c r="L59" s="60">
        <v>0.161</v>
      </c>
      <c r="M59" s="60">
        <v>0.151</v>
      </c>
      <c r="N59" s="62">
        <v>0.151</v>
      </c>
      <c r="O59" s="60">
        <f t="shared" si="31"/>
        <v>0.151</v>
      </c>
      <c r="P59" s="63">
        <v>90.0</v>
      </c>
      <c r="Q59" s="58">
        <v>90.2</v>
      </c>
      <c r="R59" s="65">
        <v>2978.05</v>
      </c>
      <c r="S59" s="66">
        <f>IF((90+ROUNDDOWN(O59,1)*100)&lt;95,95,(90+ROUNDDOWN(O59,1)*100))</f>
        <v>100</v>
      </c>
      <c r="U59" s="67">
        <v>120.0</v>
      </c>
      <c r="V59" s="67">
        <v>1.1023</v>
      </c>
      <c r="Y59" s="57">
        <v>20.0</v>
      </c>
      <c r="Z59" s="69">
        <f t="shared" si="32"/>
        <v>30</v>
      </c>
      <c r="AA59" s="70">
        <f t="shared" si="33"/>
        <v>50</v>
      </c>
      <c r="AB59" s="71">
        <f t="shared" si="34"/>
        <v>262.7982352</v>
      </c>
      <c r="AC59" s="71">
        <f>+(S59-T59)*V59-'data 1'!$F$4</f>
        <v>30.23</v>
      </c>
      <c r="AD59" s="71">
        <f t="shared" si="35"/>
        <v>1.014437982</v>
      </c>
      <c r="AE59" s="71">
        <f t="shared" si="36"/>
        <v>-14.885</v>
      </c>
      <c r="AF59" s="71">
        <f t="shared" si="37"/>
        <v>28.41686521</v>
      </c>
      <c r="AG59" s="72">
        <f t="shared" si="44"/>
        <v>61.77630319</v>
      </c>
      <c r="AH59" s="52">
        <f t="shared" si="38"/>
        <v>33.81657105</v>
      </c>
      <c r="AI59" s="73">
        <f t="shared" si="39"/>
        <v>22.72310199</v>
      </c>
      <c r="AJ59" s="73">
        <f t="shared" si="40"/>
        <v>31.64583882</v>
      </c>
      <c r="AK59" s="11"/>
      <c r="AL59" s="51">
        <f t="shared" si="41"/>
        <v>1784.886194</v>
      </c>
    </row>
    <row r="60" ht="15.0" customHeight="1">
      <c r="A60" s="92" t="s">
        <v>305</v>
      </c>
      <c r="B60" s="55">
        <v>45735.0</v>
      </c>
      <c r="C60" s="56">
        <v>45733.0</v>
      </c>
      <c r="D60" s="57" t="s">
        <v>306</v>
      </c>
      <c r="E60" s="57">
        <f t="array" ref="E60">XLOOKUP(D60,RUC!$B$3:$B$110,RUC!$D$3:$D$110)</f>
        <v>20612921866</v>
      </c>
      <c r="G60" s="3">
        <v>20.0</v>
      </c>
      <c r="H60" s="57" t="s">
        <v>47</v>
      </c>
      <c r="I60" s="58">
        <v>1.99</v>
      </c>
      <c r="J60" s="58">
        <v>1.3</v>
      </c>
      <c r="K60" s="59">
        <f t="shared" si="30"/>
        <v>1.96413</v>
      </c>
      <c r="L60" s="60">
        <v>0.088</v>
      </c>
      <c r="M60" s="60">
        <v>0.082</v>
      </c>
      <c r="N60" s="62">
        <v>0.082</v>
      </c>
      <c r="O60" s="60">
        <f t="shared" si="31"/>
        <v>0.082</v>
      </c>
      <c r="P60" s="63">
        <v>90.0</v>
      </c>
      <c r="Q60" s="58">
        <v>90.1</v>
      </c>
      <c r="R60" s="65">
        <v>2978.05</v>
      </c>
      <c r="S60" s="76">
        <f t="shared" ref="S60:S63" si="45">IF((80+ROUNDDOWN(O60,1)*100)&lt;95,95,(80+ROUNDDOWN(O60,1)*100))</f>
        <v>95</v>
      </c>
      <c r="U60" s="67">
        <v>100.0</v>
      </c>
      <c r="V60" s="67">
        <v>1.1023</v>
      </c>
      <c r="Z60" s="69">
        <f t="shared" si="32"/>
        <v>30</v>
      </c>
      <c r="AA60" s="70">
        <f t="shared" si="33"/>
        <v>30</v>
      </c>
      <c r="AB60" s="71">
        <v>0.01</v>
      </c>
      <c r="AC60" s="71">
        <f>+(S60-T60)*V60-'data 1'!$F$4</f>
        <v>24.7185</v>
      </c>
      <c r="AD60" s="71">
        <f t="shared" si="35"/>
        <v>0.2791777573</v>
      </c>
      <c r="AE60" s="71">
        <f t="shared" si="36"/>
        <v>-36.931</v>
      </c>
      <c r="AF60" s="71">
        <f t="shared" si="37"/>
        <v>17.15039723</v>
      </c>
      <c r="AG60" s="72">
        <f>+IF(D60="RONALD WILLIAN GARIBAY ESCUDERO",AC60+AD60+AE60+AF60+70,AC60+AD60+AE60+AF60)+70+96</f>
        <v>171.217075</v>
      </c>
      <c r="AH60" s="52">
        <f t="shared" si="38"/>
        <v>5.339329975</v>
      </c>
      <c r="AI60" s="73">
        <f t="shared" si="39"/>
        <v>10.65832785</v>
      </c>
      <c r="AJ60" s="73">
        <f t="shared" si="40"/>
        <v>4.969762791</v>
      </c>
      <c r="AK60" s="11"/>
      <c r="AL60" s="51">
        <f t="shared" si="41"/>
        <v>0.0196413</v>
      </c>
    </row>
    <row r="61" ht="15.0" customHeight="1">
      <c r="A61" s="92" t="s">
        <v>307</v>
      </c>
      <c r="B61" s="56">
        <v>45735.0</v>
      </c>
      <c r="C61" s="56">
        <v>45733.0</v>
      </c>
      <c r="D61" s="57" t="s">
        <v>306</v>
      </c>
      <c r="E61" s="57">
        <f t="array" ref="E61">XLOOKUP(D61,RUC!$B$3:$B$110,RUC!$D$3:$D$110)</f>
        <v>20612921866</v>
      </c>
      <c r="G61" s="3">
        <v>11.0</v>
      </c>
      <c r="H61" s="57" t="s">
        <v>47</v>
      </c>
      <c r="I61" s="58">
        <v>1.15</v>
      </c>
      <c r="J61" s="58">
        <v>1.5</v>
      </c>
      <c r="K61" s="59">
        <f t="shared" si="30"/>
        <v>1.13275</v>
      </c>
      <c r="L61" s="60">
        <f>+M61+0.01</f>
        <v>0.104</v>
      </c>
      <c r="M61" s="60">
        <v>0.094</v>
      </c>
      <c r="N61" s="75">
        <v>0.128</v>
      </c>
      <c r="O61" s="60">
        <f t="shared" si="31"/>
        <v>0.111</v>
      </c>
      <c r="P61" s="63">
        <v>90.0</v>
      </c>
      <c r="Q61" s="58">
        <v>90.1</v>
      </c>
      <c r="R61" s="65">
        <v>2978.05</v>
      </c>
      <c r="S61" s="76">
        <f t="shared" si="45"/>
        <v>95</v>
      </c>
      <c r="U61" s="67">
        <v>100.0</v>
      </c>
      <c r="V61" s="67">
        <v>1.1023</v>
      </c>
      <c r="Z61" s="69">
        <f t="shared" si="32"/>
        <v>30</v>
      </c>
      <c r="AA61" s="70">
        <f t="shared" si="33"/>
        <v>30</v>
      </c>
      <c r="AB61" s="71">
        <f t="shared" ref="AB61:AB92" si="46">+((O61*P61*(R61-U61)/100)-S61-AA61+T61)*V61</f>
        <v>179.142704</v>
      </c>
      <c r="AC61" s="71">
        <f>+(S61-T61)*V61-'data 1'!$F$4</f>
        <v>24.7185</v>
      </c>
      <c r="AD61" s="71">
        <f t="shared" si="35"/>
        <v>0.3299373496</v>
      </c>
      <c r="AE61" s="71">
        <f t="shared" si="36"/>
        <v>-36.931</v>
      </c>
      <c r="AF61" s="71">
        <f t="shared" si="37"/>
        <v>-20.00879677</v>
      </c>
      <c r="AG61" s="72">
        <f t="shared" ref="AG61:AG63" si="47">+IF(D61="RONALD WILLIAN GARIBAY ESCUDERO",AC61+AD61+AE61+AF61+70,AC61+AD61+AE61+AF61)+70</f>
        <v>38.10864058</v>
      </c>
      <c r="AH61" s="52">
        <f t="shared" si="38"/>
        <v>3.639161007</v>
      </c>
      <c r="AI61" s="73">
        <f t="shared" si="39"/>
        <v>12.59620565</v>
      </c>
      <c r="AJ61" s="73">
        <f t="shared" si="40"/>
        <v>3.879793654</v>
      </c>
      <c r="AK61" s="11"/>
      <c r="AL61" s="51">
        <f t="shared" si="41"/>
        <v>202.923898</v>
      </c>
    </row>
    <row r="62" ht="15.0" customHeight="1">
      <c r="A62" s="92" t="s">
        <v>308</v>
      </c>
      <c r="B62" s="56">
        <v>45739.0</v>
      </c>
      <c r="C62" s="56">
        <v>45733.0</v>
      </c>
      <c r="D62" s="57" t="s">
        <v>306</v>
      </c>
      <c r="E62" s="57">
        <f t="array" ref="E62">XLOOKUP(D62,RUC!$B$3:$B$110,RUC!$D$3:$D$110)</f>
        <v>20612921866</v>
      </c>
      <c r="G62" s="3">
        <v>9.0</v>
      </c>
      <c r="H62" s="2" t="s">
        <v>47</v>
      </c>
      <c r="I62" s="58">
        <v>0.97</v>
      </c>
      <c r="J62" s="58">
        <v>1.2</v>
      </c>
      <c r="K62" s="59">
        <f t="shared" si="30"/>
        <v>0.95836</v>
      </c>
      <c r="L62" s="60">
        <v>0.484</v>
      </c>
      <c r="M62" s="60">
        <v>0.455</v>
      </c>
      <c r="N62" s="75">
        <v>0.55</v>
      </c>
      <c r="O62" s="60">
        <f t="shared" si="31"/>
        <v>0.503</v>
      </c>
      <c r="P62" s="63">
        <v>90.0</v>
      </c>
      <c r="Q62" s="58">
        <v>90.2</v>
      </c>
      <c r="R62" s="65">
        <v>2978.05</v>
      </c>
      <c r="S62" s="76">
        <f t="shared" si="45"/>
        <v>130</v>
      </c>
      <c r="U62" s="67">
        <v>100.0</v>
      </c>
      <c r="V62" s="67">
        <v>1.1023</v>
      </c>
      <c r="Z62" s="69">
        <f t="shared" si="32"/>
        <v>30</v>
      </c>
      <c r="AA62" s="70">
        <f t="shared" si="33"/>
        <v>30</v>
      </c>
      <c r="AB62" s="71">
        <f t="shared" si="46"/>
        <v>1259.811213</v>
      </c>
      <c r="AC62" s="71">
        <f>+(S62-T62)*V62-'data 1'!$F$4</f>
        <v>63.299</v>
      </c>
      <c r="AD62" s="71">
        <f t="shared" si="35"/>
        <v>3.070955331</v>
      </c>
      <c r="AE62" s="71">
        <f t="shared" si="36"/>
        <v>-36.931</v>
      </c>
      <c r="AF62" s="71">
        <f t="shared" si="37"/>
        <v>-54.36986824</v>
      </c>
      <c r="AG62" s="72">
        <f t="shared" si="47"/>
        <v>45.06908709</v>
      </c>
      <c r="AH62" s="52">
        <f t="shared" si="38"/>
        <v>14.3446398</v>
      </c>
      <c r="AI62" s="73">
        <f t="shared" si="39"/>
        <v>58.68586514</v>
      </c>
      <c r="AJ62" s="73">
        <f t="shared" si="40"/>
        <v>14.87470093</v>
      </c>
      <c r="AK62" s="11"/>
      <c r="AL62" s="51">
        <f t="shared" si="41"/>
        <v>1207.352674</v>
      </c>
    </row>
    <row r="63" ht="15.0" customHeight="1">
      <c r="A63" s="92" t="s">
        <v>309</v>
      </c>
      <c r="B63" s="56">
        <v>45735.0</v>
      </c>
      <c r="C63" s="56">
        <v>45733.0</v>
      </c>
      <c r="D63" s="57" t="s">
        <v>306</v>
      </c>
      <c r="E63" s="57">
        <f t="array" ref="E63">XLOOKUP(D63,RUC!$B$3:$B$110,RUC!$D$3:$D$110)</f>
        <v>20612921866</v>
      </c>
      <c r="G63" s="3">
        <v>21.0</v>
      </c>
      <c r="H63" s="57" t="s">
        <v>40</v>
      </c>
      <c r="I63" s="58">
        <v>2.09</v>
      </c>
      <c r="J63" s="58">
        <v>16.0</v>
      </c>
      <c r="K63" s="59">
        <f t="shared" si="30"/>
        <v>1.7556</v>
      </c>
      <c r="L63" s="60">
        <v>0.237</v>
      </c>
      <c r="M63" s="60">
        <v>0.223</v>
      </c>
      <c r="N63" s="62">
        <v>0.223</v>
      </c>
      <c r="O63" s="60">
        <f t="shared" si="31"/>
        <v>0.223</v>
      </c>
      <c r="P63" s="63">
        <v>90.0</v>
      </c>
      <c r="Q63" s="58">
        <v>90.1</v>
      </c>
      <c r="R63" s="65">
        <v>2978.05</v>
      </c>
      <c r="S63" s="76">
        <f t="shared" si="45"/>
        <v>100</v>
      </c>
      <c r="U63" s="67">
        <v>100.0</v>
      </c>
      <c r="V63" s="67">
        <v>1.1023</v>
      </c>
      <c r="Z63" s="69">
        <f t="shared" si="32"/>
        <v>30</v>
      </c>
      <c r="AA63" s="70">
        <f t="shared" si="33"/>
        <v>30</v>
      </c>
      <c r="AB63" s="71">
        <f t="shared" si="46"/>
        <v>493.4166352</v>
      </c>
      <c r="AC63" s="71">
        <f>+(S63-T63)*V63-'data 1'!$F$4</f>
        <v>30.23</v>
      </c>
      <c r="AD63" s="71">
        <f t="shared" si="35"/>
        <v>0.7518764601</v>
      </c>
      <c r="AE63" s="71">
        <f t="shared" si="36"/>
        <v>-36.931</v>
      </c>
      <c r="AF63" s="71">
        <f t="shared" si="37"/>
        <v>40.01759353</v>
      </c>
      <c r="AG63" s="72">
        <f t="shared" si="47"/>
        <v>104.06847</v>
      </c>
      <c r="AH63" s="52">
        <f t="shared" si="38"/>
        <v>12.8530968</v>
      </c>
      <c r="AI63" s="73">
        <f t="shared" si="39"/>
        <v>28.70481479</v>
      </c>
      <c r="AJ63" s="73">
        <f t="shared" si="40"/>
        <v>12.08041945</v>
      </c>
      <c r="AK63" s="11"/>
      <c r="AL63" s="51">
        <f t="shared" si="41"/>
        <v>866.2422447</v>
      </c>
    </row>
    <row r="64" ht="15.0" customHeight="1">
      <c r="A64" s="92" t="s">
        <v>310</v>
      </c>
      <c r="B64" s="56">
        <v>45740.0</v>
      </c>
      <c r="C64" s="56">
        <v>45734.0</v>
      </c>
      <c r="D64" s="57" t="s">
        <v>264</v>
      </c>
      <c r="E64" s="57">
        <f t="array" ref="E64">XLOOKUP(D64,RUC!$B$3:$B$110,RUC!$D$3:$D$110)</f>
        <v>20606102519</v>
      </c>
      <c r="G64" s="3" t="s">
        <v>46</v>
      </c>
      <c r="H64" s="2" t="s">
        <v>47</v>
      </c>
      <c r="I64" s="58">
        <v>8.1</v>
      </c>
      <c r="J64" s="58">
        <v>1.3</v>
      </c>
      <c r="K64" s="59">
        <f t="shared" si="30"/>
        <v>7.9947</v>
      </c>
      <c r="L64" s="60">
        <v>0.368</v>
      </c>
      <c r="M64" s="60">
        <v>0.345</v>
      </c>
      <c r="N64" s="62">
        <v>0.345</v>
      </c>
      <c r="O64" s="60">
        <f t="shared" si="31"/>
        <v>0.345</v>
      </c>
      <c r="P64" s="63">
        <v>90.0</v>
      </c>
      <c r="Q64" s="58">
        <v>90.4</v>
      </c>
      <c r="R64" s="65">
        <v>3025.8</v>
      </c>
      <c r="S64" s="66">
        <f t="shared" ref="S64:S65" si="48">IF((90+ROUNDDOWN(O64,1)*100)&lt;95,95,(90+ROUNDDOWN(O64,1)*100))</f>
        <v>120</v>
      </c>
      <c r="U64" s="67">
        <v>120.0</v>
      </c>
      <c r="V64" s="67">
        <v>1.1023</v>
      </c>
      <c r="Z64" s="69">
        <f t="shared" si="32"/>
        <v>30</v>
      </c>
      <c r="AA64" s="70">
        <f t="shared" si="33"/>
        <v>30</v>
      </c>
      <c r="AB64" s="71">
        <f t="shared" si="46"/>
        <v>829.2061671</v>
      </c>
      <c r="AC64" s="71">
        <f>+(S64-T64)*V64-'data 1'!$F$4</f>
        <v>52.276</v>
      </c>
      <c r="AD64" s="71">
        <f t="shared" si="35"/>
        <v>4.714909236</v>
      </c>
      <c r="AE64" s="71">
        <f t="shared" si="36"/>
        <v>-36.931</v>
      </c>
      <c r="AF64" s="71">
        <f t="shared" si="37"/>
        <v>66.59809297</v>
      </c>
      <c r="AG64" s="72">
        <f t="shared" ref="AG64:AG65" si="49">+IF(D64="RONALD WILLIAN GARIBAY ESCUDERO",AC64+AD64+AE64+AF64+70,AC64+AD64+AE64+AF64)+70-53</f>
        <v>103.6580022</v>
      </c>
      <c r="AH64" s="52">
        <f t="shared" si="38"/>
        <v>91.18585823</v>
      </c>
      <c r="AI64" s="73">
        <f t="shared" si="39"/>
        <v>34.54354936</v>
      </c>
      <c r="AJ64" s="73">
        <f t="shared" si="40"/>
        <v>85.10848217</v>
      </c>
      <c r="AK64" s="11"/>
      <c r="AL64" s="51">
        <f t="shared" si="41"/>
        <v>6629.254544</v>
      </c>
    </row>
    <row r="65" ht="15.0" customHeight="1">
      <c r="A65" s="92" t="s">
        <v>311</v>
      </c>
      <c r="B65" s="56">
        <v>45740.0</v>
      </c>
      <c r="C65" s="56">
        <v>45735.0</v>
      </c>
      <c r="D65" s="57" t="s">
        <v>61</v>
      </c>
      <c r="E65" s="57">
        <f t="array" ref="E65">XLOOKUP(D65,RUC!$B$3:$B$110,RUC!$D$3:$D$110)</f>
        <v>20606526599</v>
      </c>
      <c r="G65" s="3">
        <v>81.0</v>
      </c>
      <c r="H65" s="2" t="s">
        <v>47</v>
      </c>
      <c r="I65" s="58">
        <v>6.75</v>
      </c>
      <c r="J65" s="58">
        <v>1.3</v>
      </c>
      <c r="K65" s="59">
        <f t="shared" si="30"/>
        <v>6.66225</v>
      </c>
      <c r="L65" s="60">
        <v>0.203</v>
      </c>
      <c r="M65" s="60">
        <v>0.191</v>
      </c>
      <c r="N65" s="62">
        <v>0.191</v>
      </c>
      <c r="O65" s="60">
        <f t="shared" si="31"/>
        <v>0.191</v>
      </c>
      <c r="P65" s="63">
        <v>90.0</v>
      </c>
      <c r="Q65" s="58">
        <v>90.4</v>
      </c>
      <c r="R65" s="65">
        <v>3027.55</v>
      </c>
      <c r="S65" s="66">
        <f t="shared" si="48"/>
        <v>100</v>
      </c>
      <c r="U65" s="67">
        <v>120.0</v>
      </c>
      <c r="V65" s="67">
        <v>1.1023</v>
      </c>
      <c r="Y65" s="57">
        <v>20.0</v>
      </c>
      <c r="Z65" s="69">
        <f t="shared" si="32"/>
        <v>30</v>
      </c>
      <c r="AA65" s="70">
        <f t="shared" si="33"/>
        <v>50</v>
      </c>
      <c r="AB65" s="71">
        <f t="shared" si="46"/>
        <v>385.5931875</v>
      </c>
      <c r="AC65" s="71">
        <f>+(S65-T65)*V65-'data 1'!$F$4</f>
        <v>30.23</v>
      </c>
      <c r="AD65" s="71">
        <f t="shared" si="35"/>
        <v>2.6024538</v>
      </c>
      <c r="AE65" s="71">
        <f t="shared" si="36"/>
        <v>-14.885</v>
      </c>
      <c r="AF65" s="71">
        <f t="shared" si="37"/>
        <v>34.76775718</v>
      </c>
      <c r="AG65" s="72">
        <f t="shared" si="49"/>
        <v>69.71521098</v>
      </c>
      <c r="AH65" s="52">
        <f t="shared" si="38"/>
        <v>41.91741218</v>
      </c>
      <c r="AI65" s="73">
        <f t="shared" si="39"/>
        <v>18.70127391</v>
      </c>
      <c r="AJ65" s="73">
        <f t="shared" si="40"/>
        <v>39.26502438</v>
      </c>
      <c r="AK65" s="11"/>
      <c r="AL65" s="51">
        <f t="shared" si="41"/>
        <v>2568.918214</v>
      </c>
    </row>
    <row r="66" ht="15.0" customHeight="1">
      <c r="A66" s="92" t="s">
        <v>312</v>
      </c>
      <c r="B66" s="56">
        <v>45743.0</v>
      </c>
      <c r="C66" s="56">
        <v>45736.0</v>
      </c>
      <c r="D66" s="57" t="s">
        <v>74</v>
      </c>
      <c r="E66" s="57">
        <f t="array" ref="E66">XLOOKUP(D66,RUC!$B$3:$B$110,RUC!$D$3:$D$110)</f>
        <v>10082235774</v>
      </c>
      <c r="G66" s="3">
        <v>37.0</v>
      </c>
      <c r="H66" s="57" t="s">
        <v>47</v>
      </c>
      <c r="I66" s="58">
        <v>3.89</v>
      </c>
      <c r="J66" s="58">
        <v>1.9</v>
      </c>
      <c r="K66" s="59">
        <f t="shared" si="30"/>
        <v>3.81609</v>
      </c>
      <c r="L66" s="60">
        <v>0.634</v>
      </c>
      <c r="M66" s="60">
        <v>0.602</v>
      </c>
      <c r="N66" s="75">
        <v>0.643</v>
      </c>
      <c r="O66" s="60">
        <f t="shared" si="31"/>
        <v>0.623</v>
      </c>
      <c r="P66" s="63">
        <v>90.0</v>
      </c>
      <c r="Q66" s="58">
        <v>90.12</v>
      </c>
      <c r="R66" s="65">
        <v>3038.15</v>
      </c>
      <c r="S66" s="76">
        <v>125.0</v>
      </c>
      <c r="U66" s="87">
        <v>80.0</v>
      </c>
      <c r="V66" s="67">
        <v>1.1023</v>
      </c>
      <c r="Z66" s="87">
        <v>10.0</v>
      </c>
      <c r="AA66" s="70">
        <f t="shared" si="33"/>
        <v>10</v>
      </c>
      <c r="AB66" s="71">
        <f t="shared" si="46"/>
        <v>1679.502535</v>
      </c>
      <c r="AC66" s="71">
        <f>+(S66-T66)*V66-'data 1'!$F$4</f>
        <v>57.7875</v>
      </c>
      <c r="AD66" s="71">
        <f t="shared" si="35"/>
        <v>2.480792861</v>
      </c>
      <c r="AE66" s="71">
        <f t="shared" si="36"/>
        <v>-58.977</v>
      </c>
      <c r="AF66" s="71">
        <f t="shared" si="37"/>
        <v>32.32465272</v>
      </c>
      <c r="AG66" s="72">
        <f t="shared" ref="AG66:AG74" si="50">+IF(D66="RONALD WILLIAN GARIBAY ESCUDERO",AC66+AD66+AE66+AF66+70,AC66+AD66+AE66+AF66)+70</f>
        <v>103.6159456</v>
      </c>
      <c r="AH66" s="52">
        <f t="shared" si="38"/>
        <v>74.7546339</v>
      </c>
      <c r="AI66" s="73">
        <f t="shared" si="39"/>
        <v>26.35759076</v>
      </c>
      <c r="AJ66" s="73">
        <f t="shared" si="40"/>
        <v>73.35981612</v>
      </c>
      <c r="AK66" s="11"/>
      <c r="AL66" s="51">
        <f t="shared" si="41"/>
        <v>6409.13283</v>
      </c>
    </row>
    <row r="67" ht="15.0" customHeight="1">
      <c r="A67" s="92" t="s">
        <v>313</v>
      </c>
      <c r="B67" s="56">
        <v>45743.0</v>
      </c>
      <c r="C67" s="56">
        <v>45736.0</v>
      </c>
      <c r="D67" s="57" t="s">
        <v>74</v>
      </c>
      <c r="E67" s="57">
        <f t="array" ref="E67">XLOOKUP(D67,RUC!$B$3:$B$110,RUC!$D$3:$D$110)</f>
        <v>10082235774</v>
      </c>
      <c r="G67" s="3">
        <v>51.0</v>
      </c>
      <c r="H67" s="57" t="s">
        <v>47</v>
      </c>
      <c r="I67" s="58">
        <v>5.07</v>
      </c>
      <c r="J67" s="58">
        <v>2.9</v>
      </c>
      <c r="K67" s="59">
        <f t="shared" si="30"/>
        <v>4.92297</v>
      </c>
      <c r="L67" s="60">
        <v>0.328</v>
      </c>
      <c r="M67" s="60">
        <v>0.312</v>
      </c>
      <c r="N67" s="75">
        <v>0.342</v>
      </c>
      <c r="O67" s="60">
        <f t="shared" si="31"/>
        <v>0.327</v>
      </c>
      <c r="P67" s="63">
        <v>90.0</v>
      </c>
      <c r="Q67" s="58">
        <v>90.18</v>
      </c>
      <c r="R67" s="65">
        <v>3038.15</v>
      </c>
      <c r="S67" s="76">
        <v>110.0</v>
      </c>
      <c r="U67" s="87">
        <v>80.0</v>
      </c>
      <c r="V67" s="67">
        <v>1.1023</v>
      </c>
      <c r="Z67" s="87">
        <v>10.0</v>
      </c>
      <c r="AA67" s="70">
        <f t="shared" si="33"/>
        <v>10</v>
      </c>
      <c r="AB67" s="71">
        <f t="shared" si="46"/>
        <v>827.3682417</v>
      </c>
      <c r="AC67" s="71">
        <f>+(S67-T67)*V67-'data 1'!$F$4</f>
        <v>41.253</v>
      </c>
      <c r="AD67" s="71">
        <f t="shared" si="35"/>
        <v>1.925157867</v>
      </c>
      <c r="AE67" s="71">
        <f t="shared" si="36"/>
        <v>-58.977</v>
      </c>
      <c r="AF67" s="71">
        <f t="shared" si="37"/>
        <v>2.940561254</v>
      </c>
      <c r="AG67" s="72">
        <f t="shared" si="50"/>
        <v>57.14171912</v>
      </c>
      <c r="AH67" s="52">
        <f t="shared" si="38"/>
        <v>49.92525976</v>
      </c>
      <c r="AI67" s="73">
        <f t="shared" si="39"/>
        <v>13.64518237</v>
      </c>
      <c r="AJ67" s="73">
        <f t="shared" si="40"/>
        <v>49.6737012</v>
      </c>
      <c r="AK67" s="11"/>
      <c r="AL67" s="51">
        <f t="shared" si="41"/>
        <v>4073.109033</v>
      </c>
    </row>
    <row r="68" ht="15.0" customHeight="1">
      <c r="A68" s="92" t="s">
        <v>314</v>
      </c>
      <c r="B68" s="56">
        <v>45743.0</v>
      </c>
      <c r="C68" s="56">
        <v>45736.0</v>
      </c>
      <c r="D68" s="57" t="s">
        <v>74</v>
      </c>
      <c r="E68" s="57">
        <f t="array" ref="E68">XLOOKUP(D68,RUC!$B$3:$B$110,RUC!$D$3:$D$110)</f>
        <v>10082235774</v>
      </c>
      <c r="G68" s="3">
        <v>50.0</v>
      </c>
      <c r="H68" s="57" t="s">
        <v>47</v>
      </c>
      <c r="I68" s="58">
        <v>5.21</v>
      </c>
      <c r="J68" s="58">
        <v>2.1</v>
      </c>
      <c r="K68" s="59">
        <f t="shared" si="30"/>
        <v>5.10059</v>
      </c>
      <c r="L68" s="60">
        <v>0.569</v>
      </c>
      <c r="M68" s="60">
        <v>0.541</v>
      </c>
      <c r="N68" s="75">
        <v>0.578</v>
      </c>
      <c r="O68" s="60">
        <f t="shared" si="31"/>
        <v>0.56</v>
      </c>
      <c r="P68" s="63">
        <v>90.0</v>
      </c>
      <c r="Q68" s="58">
        <v>90.2</v>
      </c>
      <c r="R68" s="65">
        <v>3038.15</v>
      </c>
      <c r="S68" s="76">
        <v>120.0</v>
      </c>
      <c r="U68" s="87">
        <v>80.0</v>
      </c>
      <c r="V68" s="67">
        <v>1.1023</v>
      </c>
      <c r="Z68" s="87">
        <v>10.0</v>
      </c>
      <c r="AA68" s="70">
        <f t="shared" si="33"/>
        <v>10</v>
      </c>
      <c r="AB68" s="71">
        <f t="shared" si="46"/>
        <v>1500.128447</v>
      </c>
      <c r="AC68" s="71">
        <f>+(S68-T68)*V68-'data 1'!$F$4</f>
        <v>52.276</v>
      </c>
      <c r="AD68" s="71">
        <f t="shared" si="35"/>
        <v>3.710754832</v>
      </c>
      <c r="AE68" s="71">
        <f t="shared" si="36"/>
        <v>-58.977</v>
      </c>
      <c r="AF68" s="71">
        <f t="shared" si="37"/>
        <v>26.47092067</v>
      </c>
      <c r="AG68" s="72">
        <f t="shared" si="50"/>
        <v>93.4806755</v>
      </c>
      <c r="AH68" s="52">
        <f t="shared" si="38"/>
        <v>89.75285833</v>
      </c>
      <c r="AI68" s="73">
        <f t="shared" si="39"/>
        <v>23.67631305</v>
      </c>
      <c r="AJ68" s="73">
        <f t="shared" si="40"/>
        <v>88.13735655</v>
      </c>
      <c r="AK68" s="11"/>
      <c r="AL68" s="51">
        <f t="shared" si="41"/>
        <v>7651.540158</v>
      </c>
    </row>
    <row r="69" ht="15.0" customHeight="1">
      <c r="A69" s="92" t="s">
        <v>315</v>
      </c>
      <c r="B69" s="56">
        <v>45743.0</v>
      </c>
      <c r="C69" s="56">
        <v>45736.0</v>
      </c>
      <c r="D69" s="57" t="s">
        <v>74</v>
      </c>
      <c r="E69" s="57">
        <f t="array" ref="E69">XLOOKUP(D69,RUC!$B$3:$B$110,RUC!$D$3:$D$110)</f>
        <v>10082235774</v>
      </c>
      <c r="G69" s="3">
        <v>50.0</v>
      </c>
      <c r="H69" s="57" t="s">
        <v>47</v>
      </c>
      <c r="I69" s="58">
        <v>5.12</v>
      </c>
      <c r="J69" s="58">
        <v>2.6</v>
      </c>
      <c r="K69" s="59">
        <f t="shared" si="30"/>
        <v>4.98688</v>
      </c>
      <c r="L69" s="60">
        <v>0.577</v>
      </c>
      <c r="M69" s="60">
        <v>0.548</v>
      </c>
      <c r="N69" s="75">
        <v>0.625</v>
      </c>
      <c r="O69" s="60">
        <f t="shared" si="31"/>
        <v>0.587</v>
      </c>
      <c r="P69" s="63">
        <v>90.0</v>
      </c>
      <c r="Q69" s="58">
        <v>90.18</v>
      </c>
      <c r="R69" s="65">
        <v>3038.15</v>
      </c>
      <c r="S69" s="76">
        <v>120.0</v>
      </c>
      <c r="U69" s="87">
        <v>80.0</v>
      </c>
      <c r="V69" s="67">
        <v>1.1023</v>
      </c>
      <c r="Z69" s="87">
        <v>10.0</v>
      </c>
      <c r="AA69" s="70">
        <f t="shared" si="33"/>
        <v>10</v>
      </c>
      <c r="AB69" s="71">
        <f t="shared" si="46"/>
        <v>1579.365128</v>
      </c>
      <c r="AC69" s="71">
        <f>+(S69-T69)*V69-'data 1'!$F$4</f>
        <v>52.276</v>
      </c>
      <c r="AD69" s="71">
        <f t="shared" si="35"/>
        <v>3.386634419</v>
      </c>
      <c r="AE69" s="71">
        <f t="shared" si="36"/>
        <v>-58.977</v>
      </c>
      <c r="AF69" s="71">
        <f t="shared" si="37"/>
        <v>-29.40561254</v>
      </c>
      <c r="AG69" s="72">
        <f t="shared" si="50"/>
        <v>37.28002188</v>
      </c>
      <c r="AH69" s="52">
        <f t="shared" si="38"/>
        <v>88.96599315</v>
      </c>
      <c r="AI69" s="73">
        <f t="shared" si="39"/>
        <v>24.00387264</v>
      </c>
      <c r="AJ69" s="73">
        <f t="shared" si="40"/>
        <v>90.32721036</v>
      </c>
      <c r="AK69" s="11"/>
      <c r="AL69" s="51">
        <f t="shared" si="41"/>
        <v>7876.104369</v>
      </c>
    </row>
    <row r="70" ht="15.0" customHeight="1">
      <c r="A70" s="92" t="s">
        <v>316</v>
      </c>
      <c r="B70" s="56">
        <v>45743.0</v>
      </c>
      <c r="C70" s="56">
        <v>45736.0</v>
      </c>
      <c r="D70" s="57" t="s">
        <v>74</v>
      </c>
      <c r="E70" s="57">
        <f t="array" ref="E70">XLOOKUP(D70,RUC!$B$3:$B$110,RUC!$D$3:$D$110)</f>
        <v>10082235774</v>
      </c>
      <c r="G70" s="3">
        <v>49.0</v>
      </c>
      <c r="H70" s="57" t="s">
        <v>47</v>
      </c>
      <c r="I70" s="58">
        <v>5.1</v>
      </c>
      <c r="J70" s="58">
        <v>1.6</v>
      </c>
      <c r="K70" s="59">
        <f t="shared" si="30"/>
        <v>5.0184</v>
      </c>
      <c r="L70" s="60">
        <v>0.656</v>
      </c>
      <c r="M70" s="60">
        <v>0.623</v>
      </c>
      <c r="N70" s="111">
        <v>0.648</v>
      </c>
      <c r="O70" s="60">
        <f t="shared" si="31"/>
        <v>0.636</v>
      </c>
      <c r="P70" s="63">
        <v>90.0</v>
      </c>
      <c r="Q70" s="58">
        <v>90.2</v>
      </c>
      <c r="R70" s="65">
        <v>3038.15</v>
      </c>
      <c r="S70" s="76">
        <v>125.0</v>
      </c>
      <c r="U70" s="87">
        <v>80.0</v>
      </c>
      <c r="V70" s="67">
        <v>1.1023</v>
      </c>
      <c r="Z70" s="87">
        <v>10.0</v>
      </c>
      <c r="AA70" s="70">
        <f t="shared" si="33"/>
        <v>10</v>
      </c>
      <c r="AB70" s="71">
        <f t="shared" si="46"/>
        <v>1717.65353</v>
      </c>
      <c r="AC70" s="71">
        <f>+(S70-T70)*V70-'data 1'!$F$4</f>
        <v>57.7875</v>
      </c>
      <c r="AD70" s="71">
        <f t="shared" si="35"/>
        <v>4.278128593</v>
      </c>
      <c r="AE70" s="71">
        <f t="shared" si="36"/>
        <v>-58.977</v>
      </c>
      <c r="AF70" s="71">
        <f t="shared" si="37"/>
        <v>58.82426816</v>
      </c>
      <c r="AG70" s="72">
        <f t="shared" si="50"/>
        <v>131.9128968</v>
      </c>
      <c r="AH70" s="52">
        <f t="shared" si="38"/>
        <v>101.8086599</v>
      </c>
      <c r="AI70" s="73">
        <f t="shared" si="39"/>
        <v>27.29641716</v>
      </c>
      <c r="AJ70" s="73">
        <f t="shared" si="40"/>
        <v>98.48587979</v>
      </c>
      <c r="AK70" s="11"/>
      <c r="AL70" s="51">
        <f t="shared" si="41"/>
        <v>8619.872473</v>
      </c>
    </row>
    <row r="71" ht="15.0" customHeight="1">
      <c r="A71" s="92" t="s">
        <v>317</v>
      </c>
      <c r="B71" s="56">
        <v>45743.0</v>
      </c>
      <c r="C71" s="56">
        <v>45736.0</v>
      </c>
      <c r="D71" s="57" t="s">
        <v>74</v>
      </c>
      <c r="E71" s="57">
        <f t="array" ref="E71">XLOOKUP(D71,RUC!$B$3:$B$110,RUC!$D$3:$D$110)</f>
        <v>10082235774</v>
      </c>
      <c r="G71" s="3">
        <v>54.0</v>
      </c>
      <c r="H71" s="57" t="s">
        <v>47</v>
      </c>
      <c r="I71" s="58">
        <v>4.96</v>
      </c>
      <c r="J71" s="58">
        <v>1.5</v>
      </c>
      <c r="K71" s="59">
        <f t="shared" si="30"/>
        <v>4.8856</v>
      </c>
      <c r="L71" s="60">
        <v>0.112</v>
      </c>
      <c r="M71" s="60">
        <v>0.106</v>
      </c>
      <c r="N71" s="62">
        <v>0.106</v>
      </c>
      <c r="O71" s="60">
        <f t="shared" si="31"/>
        <v>0.106</v>
      </c>
      <c r="P71" s="63">
        <v>85.0</v>
      </c>
      <c r="Q71" s="58">
        <v>90.21</v>
      </c>
      <c r="R71" s="65">
        <v>3038.15</v>
      </c>
      <c r="S71" s="76">
        <v>95.0</v>
      </c>
      <c r="U71" s="87">
        <v>80.0</v>
      </c>
      <c r="V71" s="67">
        <v>1.1023</v>
      </c>
      <c r="Z71" s="87">
        <v>10.0</v>
      </c>
      <c r="AA71" s="70">
        <f t="shared" si="33"/>
        <v>10</v>
      </c>
      <c r="AB71" s="71">
        <f t="shared" si="46"/>
        <v>178.0537639</v>
      </c>
      <c r="AC71" s="71">
        <f>+(S71-T71)*V71-'data 1'!$F$4</f>
        <v>24.7185</v>
      </c>
      <c r="AD71" s="71">
        <f t="shared" si="35"/>
        <v>19.02723778</v>
      </c>
      <c r="AE71" s="71">
        <f t="shared" si="36"/>
        <v>-58.977</v>
      </c>
      <c r="AF71" s="71">
        <f t="shared" si="37"/>
        <v>17.64923691</v>
      </c>
      <c r="AG71" s="72">
        <f t="shared" si="50"/>
        <v>72.41797469</v>
      </c>
      <c r="AH71" s="52">
        <f t="shared" si="38"/>
        <v>16.92387004</v>
      </c>
      <c r="AI71" s="73">
        <f t="shared" si="39"/>
        <v>4.660880575</v>
      </c>
      <c r="AJ71" s="73">
        <f t="shared" si="40"/>
        <v>15.09217274</v>
      </c>
      <c r="AK71" s="11"/>
      <c r="AL71" s="51">
        <f t="shared" si="41"/>
        <v>869.899469</v>
      </c>
    </row>
    <row r="72" ht="15.0" customHeight="1">
      <c r="A72" s="92" t="s">
        <v>318</v>
      </c>
      <c r="B72" s="56">
        <v>45743.0</v>
      </c>
      <c r="C72" s="56">
        <v>45736.0</v>
      </c>
      <c r="D72" s="57" t="s">
        <v>146</v>
      </c>
      <c r="E72" s="57">
        <f t="array" ref="E72">XLOOKUP(D72,RUC!$B$3:$B$110,RUC!$D$3:$D$110)</f>
        <v>20517242919</v>
      </c>
      <c r="G72" s="3">
        <v>47.0</v>
      </c>
      <c r="H72" s="57" t="s">
        <v>47</v>
      </c>
      <c r="I72" s="58">
        <v>4.6</v>
      </c>
      <c r="J72" s="58">
        <v>2.1</v>
      </c>
      <c r="K72" s="59">
        <f t="shared" si="30"/>
        <v>4.5034</v>
      </c>
      <c r="L72" s="60">
        <v>0.341</v>
      </c>
      <c r="M72" s="60">
        <v>0.32</v>
      </c>
      <c r="N72" s="62">
        <v>0.32</v>
      </c>
      <c r="O72" s="60">
        <f t="shared" si="31"/>
        <v>0.32</v>
      </c>
      <c r="P72" s="63">
        <v>90.0</v>
      </c>
      <c r="Q72" s="58">
        <v>90.22</v>
      </c>
      <c r="R72" s="65">
        <v>3038.15</v>
      </c>
      <c r="S72" s="76">
        <v>110.0</v>
      </c>
      <c r="U72" s="87">
        <v>80.0</v>
      </c>
      <c r="V72" s="67">
        <v>1.1023</v>
      </c>
      <c r="Z72" s="87">
        <v>10.0</v>
      </c>
      <c r="AA72" s="70">
        <f t="shared" si="33"/>
        <v>10</v>
      </c>
      <c r="AB72" s="71">
        <f t="shared" si="46"/>
        <v>806.8253986</v>
      </c>
      <c r="AC72" s="71">
        <f>+(S72-T72)*V72-'data 1'!$F$4</f>
        <v>41.253</v>
      </c>
      <c r="AD72" s="71">
        <f t="shared" si="35"/>
        <v>2.446228712</v>
      </c>
      <c r="AE72" s="71">
        <f t="shared" si="36"/>
        <v>-58.977</v>
      </c>
      <c r="AF72" s="71">
        <f t="shared" si="37"/>
        <v>61.7791768</v>
      </c>
      <c r="AG72" s="72">
        <f t="shared" si="50"/>
        <v>116.5014055</v>
      </c>
      <c r="AH72" s="52">
        <f t="shared" si="38"/>
        <v>47.50144209</v>
      </c>
      <c r="AI72" s="73">
        <f t="shared" si="39"/>
        <v>14.19228983</v>
      </c>
      <c r="AJ72" s="73">
        <f t="shared" si="40"/>
        <v>44.46743516</v>
      </c>
      <c r="AK72" s="11"/>
      <c r="AL72" s="51">
        <f t="shared" si="41"/>
        <v>3633.4575</v>
      </c>
    </row>
    <row r="73" ht="15.0" customHeight="1">
      <c r="A73" s="92" t="s">
        <v>319</v>
      </c>
      <c r="B73" s="56">
        <v>45743.0</v>
      </c>
      <c r="C73" s="56">
        <v>45736.0</v>
      </c>
      <c r="D73" s="57" t="s">
        <v>146</v>
      </c>
      <c r="E73" s="57">
        <f t="array" ref="E73">XLOOKUP(D73,RUC!$B$3:$B$110,RUC!$D$3:$D$110)</f>
        <v>20517242919</v>
      </c>
      <c r="G73" s="3">
        <v>54.0</v>
      </c>
      <c r="H73" s="57" t="s">
        <v>47</v>
      </c>
      <c r="I73" s="58">
        <v>4.72</v>
      </c>
      <c r="J73" s="58">
        <v>1.9</v>
      </c>
      <c r="K73" s="59">
        <f t="shared" si="30"/>
        <v>4.63032</v>
      </c>
      <c r="L73" s="60">
        <v>0.135</v>
      </c>
      <c r="M73" s="60">
        <v>0.127</v>
      </c>
      <c r="N73" s="75">
        <v>0.187</v>
      </c>
      <c r="O73" s="60">
        <f t="shared" si="31"/>
        <v>0.157</v>
      </c>
      <c r="P73" s="63">
        <v>85.0</v>
      </c>
      <c r="Q73" s="58">
        <v>90.1</v>
      </c>
      <c r="R73" s="65">
        <v>3038.15</v>
      </c>
      <c r="S73" s="76">
        <v>95.0</v>
      </c>
      <c r="U73" s="87">
        <v>80.0</v>
      </c>
      <c r="V73" s="67">
        <v>1.1023</v>
      </c>
      <c r="Z73" s="87">
        <v>10.0</v>
      </c>
      <c r="AA73" s="70">
        <f t="shared" si="33"/>
        <v>10</v>
      </c>
      <c r="AB73" s="71">
        <f t="shared" si="46"/>
        <v>319.408089</v>
      </c>
      <c r="AC73" s="71">
        <f>+(S73-T73)*V73-'data 1'!$F$4</f>
        <v>24.7185</v>
      </c>
      <c r="AD73" s="71">
        <f t="shared" si="35"/>
        <v>22.45039281</v>
      </c>
      <c r="AE73" s="71">
        <f t="shared" si="36"/>
        <v>-58.977</v>
      </c>
      <c r="AF73" s="71">
        <f t="shared" si="37"/>
        <v>-64.63495806</v>
      </c>
      <c r="AG73" s="72">
        <f t="shared" si="50"/>
        <v>-6.443065254</v>
      </c>
      <c r="AH73" s="52">
        <f t="shared" si="38"/>
        <v>19.3098382</v>
      </c>
      <c r="AI73" s="73">
        <f t="shared" si="39"/>
        <v>5.611175202</v>
      </c>
      <c r="AJ73" s="73">
        <f t="shared" si="40"/>
        <v>21.18549684</v>
      </c>
      <c r="AK73" s="11"/>
      <c r="AL73" s="51">
        <f t="shared" si="41"/>
        <v>1478.961663</v>
      </c>
    </row>
    <row r="74" ht="15.0" customHeight="1">
      <c r="A74" s="92" t="s">
        <v>320</v>
      </c>
      <c r="B74" s="56">
        <v>45743.0</v>
      </c>
      <c r="C74" s="56">
        <v>45736.0</v>
      </c>
      <c r="D74" s="57" t="s">
        <v>146</v>
      </c>
      <c r="E74" s="57">
        <f t="array" ref="E74">XLOOKUP(D74,RUC!$B$3:$B$110,RUC!$D$3:$D$110)</f>
        <v>20517242919</v>
      </c>
      <c r="G74" s="3">
        <v>20.0</v>
      </c>
      <c r="H74" s="57" t="s">
        <v>47</v>
      </c>
      <c r="I74" s="58">
        <v>1.89</v>
      </c>
      <c r="J74" s="58">
        <v>1.5</v>
      </c>
      <c r="K74" s="59">
        <f t="shared" si="30"/>
        <v>1.86165</v>
      </c>
      <c r="L74" s="60">
        <v>0.142</v>
      </c>
      <c r="M74" s="60">
        <v>0.133</v>
      </c>
      <c r="N74" s="62">
        <v>0.133</v>
      </c>
      <c r="O74" s="60">
        <f t="shared" si="31"/>
        <v>0.133</v>
      </c>
      <c r="P74" s="63">
        <v>85.0</v>
      </c>
      <c r="Q74" s="58">
        <v>90.0</v>
      </c>
      <c r="R74" s="65">
        <v>3038.15</v>
      </c>
      <c r="S74" s="76">
        <v>95.0</v>
      </c>
      <c r="U74" s="87">
        <v>80.0</v>
      </c>
      <c r="V74" s="67">
        <v>1.1023</v>
      </c>
      <c r="Z74" s="87">
        <v>10.0</v>
      </c>
      <c r="AA74" s="70">
        <f t="shared" si="33"/>
        <v>10</v>
      </c>
      <c r="AB74" s="71">
        <f t="shared" si="46"/>
        <v>252.8884066</v>
      </c>
      <c r="AC74" s="71">
        <f>+(S74-T74)*V74-'data 1'!$F$4</f>
        <v>24.7185</v>
      </c>
      <c r="AD74" s="71">
        <f t="shared" si="35"/>
        <v>23.15145809</v>
      </c>
      <c r="AE74" s="71">
        <f t="shared" si="36"/>
        <v>-58.977</v>
      </c>
      <c r="AF74" s="71">
        <f t="shared" si="37"/>
        <v>26.41222683</v>
      </c>
      <c r="AG74" s="72">
        <f t="shared" si="50"/>
        <v>85.30518492</v>
      </c>
      <c r="AH74" s="52">
        <f t="shared" si="38"/>
        <v>8.157140782</v>
      </c>
      <c r="AI74" s="73">
        <f t="shared" si="39"/>
        <v>5.895574389</v>
      </c>
      <c r="AJ74" s="73">
        <f t="shared" si="40"/>
        <v>7.215686741</v>
      </c>
      <c r="AK74" s="11"/>
      <c r="AL74" s="51">
        <f t="shared" si="41"/>
        <v>470.7897022</v>
      </c>
    </row>
    <row r="75" ht="15.0" customHeight="1">
      <c r="A75" s="92" t="s">
        <v>321</v>
      </c>
      <c r="B75" s="56">
        <v>45747.0</v>
      </c>
      <c r="C75" s="56">
        <v>45736.0</v>
      </c>
      <c r="D75" s="57" t="s">
        <v>61</v>
      </c>
      <c r="E75" s="57">
        <f t="array" ref="E75">XLOOKUP(D75,RUC!$B$3:$B$110,RUC!$D$3:$D$110)</f>
        <v>20606526599</v>
      </c>
      <c r="G75" s="3">
        <v>48.0</v>
      </c>
      <c r="H75" s="57" t="s">
        <v>47</v>
      </c>
      <c r="I75" s="58">
        <v>3.94</v>
      </c>
      <c r="J75" s="58">
        <v>1.8</v>
      </c>
      <c r="K75" s="59">
        <f t="shared" si="30"/>
        <v>3.86908</v>
      </c>
      <c r="L75" s="60">
        <v>0.25</v>
      </c>
      <c r="M75" s="60">
        <v>0.232</v>
      </c>
      <c r="N75" s="62">
        <v>0.232</v>
      </c>
      <c r="O75" s="60">
        <f t="shared" si="31"/>
        <v>0.232</v>
      </c>
      <c r="P75" s="63">
        <v>90.0</v>
      </c>
      <c r="Q75" s="58">
        <v>90.2</v>
      </c>
      <c r="R75" s="65">
        <v>3038.15</v>
      </c>
      <c r="S75" s="66">
        <f t="shared" ref="S75:S78" si="51">IF((90+ROUNDDOWN(O75,1)*100)&lt;95,95,(90+ROUNDDOWN(O75,1)*100))</f>
        <v>110</v>
      </c>
      <c r="U75" s="67">
        <v>120.0</v>
      </c>
      <c r="V75" s="67">
        <v>1.1023</v>
      </c>
      <c r="Y75" s="57">
        <v>20.0</v>
      </c>
      <c r="Z75" s="69">
        <f t="shared" ref="Z75:Z78" si="52">IF(IF(D75="UNTUCA",IF(+((W75-3)*1.5+(X75-3)*3.1)&gt;0,+((W75-3)*1.5+(X75-3)*3.1),0),IF(+((W75-3)*1.5+(X75-3)*3.1)&gt;0,+((W75-3)*1.5+(X75-3)*3.1),0))&lt;30,30,IF(D75="UNTUCA",IF(+((W75-3)*1.5+(X75-3)*3.1)&gt;0,+((W75-3)*1.5+(X75-3)*3.1),0),IF(+((W75-3)*1.5+(X75-3)*3.1)&gt;0,+((W75-3)*1.5+(X75-3)*3.1),0)))</f>
        <v>30</v>
      </c>
      <c r="AA75" s="70">
        <f t="shared" si="33"/>
        <v>50</v>
      </c>
      <c r="AB75" s="71">
        <f t="shared" si="46"/>
        <v>495.2741044</v>
      </c>
      <c r="AC75" s="71">
        <f>+(S75-T75)*V75-'data 1'!$F$4</f>
        <v>41.253</v>
      </c>
      <c r="AD75" s="71">
        <f t="shared" si="35"/>
        <v>1.608338373</v>
      </c>
      <c r="AE75" s="71">
        <f t="shared" si="36"/>
        <v>-14.885</v>
      </c>
      <c r="AF75" s="71">
        <f t="shared" si="37"/>
        <v>52.22596363</v>
      </c>
      <c r="AG75" s="72">
        <f t="shared" ref="AG75:AG78" si="53">+IF(D75="RONALD WILLIAN GARIBAY ESCUDERO",AC75+AD75+AE75+AF75+70,AC75+AD75+AE75+AF75)+70-53</f>
        <v>97.202302</v>
      </c>
      <c r="AH75" s="52">
        <f t="shared" si="38"/>
        <v>29.91323102</v>
      </c>
      <c r="AI75" s="73">
        <f t="shared" si="39"/>
        <v>20.345344</v>
      </c>
      <c r="AJ75" s="73">
        <f t="shared" si="40"/>
        <v>27.69792744</v>
      </c>
      <c r="AK75" s="11"/>
      <c r="AL75" s="51">
        <f t="shared" si="41"/>
        <v>1916.255132</v>
      </c>
    </row>
    <row r="76" ht="15.0" customHeight="1">
      <c r="A76" s="92" t="s">
        <v>322</v>
      </c>
      <c r="B76" s="56">
        <v>45681.0</v>
      </c>
      <c r="C76" s="56">
        <v>45736.0</v>
      </c>
      <c r="D76" s="57" t="s">
        <v>61</v>
      </c>
      <c r="E76" s="57">
        <f t="array" ref="E76">XLOOKUP(D76,RUC!$B$3:$B$110,RUC!$D$3:$D$110)</f>
        <v>20606526599</v>
      </c>
      <c r="G76" s="3">
        <v>147.0</v>
      </c>
      <c r="H76" s="57" t="s">
        <v>47</v>
      </c>
      <c r="I76" s="58">
        <v>13.72</v>
      </c>
      <c r="J76" s="58">
        <v>1.4</v>
      </c>
      <c r="K76" s="59">
        <f t="shared" si="30"/>
        <v>13.52792</v>
      </c>
      <c r="L76" s="60">
        <v>0.196</v>
      </c>
      <c r="M76" s="60">
        <v>0.184</v>
      </c>
      <c r="N76" s="62">
        <v>0.184</v>
      </c>
      <c r="O76" s="60">
        <f t="shared" si="31"/>
        <v>0.184</v>
      </c>
      <c r="P76" s="63">
        <v>90.0</v>
      </c>
      <c r="Q76" s="58">
        <v>90.0</v>
      </c>
      <c r="R76" s="65">
        <v>3038.15</v>
      </c>
      <c r="S76" s="66">
        <f t="shared" si="51"/>
        <v>100</v>
      </c>
      <c r="U76" s="67">
        <v>120.0</v>
      </c>
      <c r="V76" s="67">
        <v>1.1023</v>
      </c>
      <c r="Y76" s="57">
        <v>20.0</v>
      </c>
      <c r="Z76" s="69">
        <f t="shared" si="52"/>
        <v>30</v>
      </c>
      <c r="AA76" s="70">
        <f t="shared" si="33"/>
        <v>50</v>
      </c>
      <c r="AB76" s="71">
        <f t="shared" si="46"/>
        <v>367.336669</v>
      </c>
      <c r="AC76" s="71">
        <f>+(S76-T76)*V76-'data 1'!$F$4</f>
        <v>30.23</v>
      </c>
      <c r="AD76" s="71">
        <f t="shared" si="35"/>
        <v>0</v>
      </c>
      <c r="AE76" s="71">
        <f t="shared" si="36"/>
        <v>-14.885</v>
      </c>
      <c r="AF76" s="71">
        <f t="shared" si="37"/>
        <v>34.74010885</v>
      </c>
      <c r="AG76" s="72">
        <f t="shared" si="53"/>
        <v>67.08510885</v>
      </c>
      <c r="AH76" s="52">
        <f t="shared" si="38"/>
        <v>81.81608166</v>
      </c>
      <c r="AI76" s="73">
        <f t="shared" si="39"/>
        <v>15.91538218</v>
      </c>
      <c r="AJ76" s="73">
        <f t="shared" si="40"/>
        <v>76.8069338</v>
      </c>
      <c r="AK76" s="11"/>
      <c r="AL76" s="51">
        <f t="shared" si="41"/>
        <v>4969.301071</v>
      </c>
    </row>
    <row r="77" ht="15.0" customHeight="1">
      <c r="A77" s="92" t="s">
        <v>323</v>
      </c>
      <c r="B77" s="112">
        <v>45743.0</v>
      </c>
      <c r="C77" s="112">
        <v>45737.0</v>
      </c>
      <c r="D77" s="57" t="s">
        <v>324</v>
      </c>
      <c r="E77" s="57">
        <f t="array" ref="E77">XLOOKUP(D77,RUC!$B$3:$B$110,RUC!$D$3:$D$110)</f>
        <v>20612937096</v>
      </c>
      <c r="G77" s="3">
        <v>40.0</v>
      </c>
      <c r="H77" s="57" t="s">
        <v>40</v>
      </c>
      <c r="I77" s="58">
        <v>3.63</v>
      </c>
      <c r="J77" s="58">
        <v>16.15</v>
      </c>
      <c r="K77" s="59">
        <f t="shared" si="30"/>
        <v>3.043755</v>
      </c>
      <c r="L77" s="60">
        <v>0.625</v>
      </c>
      <c r="M77" s="60">
        <v>0.588</v>
      </c>
      <c r="N77" s="62">
        <v>0.588</v>
      </c>
      <c r="O77" s="60">
        <f t="shared" si="31"/>
        <v>0.588</v>
      </c>
      <c r="P77" s="63">
        <v>90.0</v>
      </c>
      <c r="Q77" s="58">
        <v>90.18</v>
      </c>
      <c r="R77" s="65">
        <v>3013.7</v>
      </c>
      <c r="S77" s="66">
        <f t="shared" si="51"/>
        <v>140</v>
      </c>
      <c r="U77" s="67">
        <v>120.0</v>
      </c>
      <c r="V77" s="67">
        <v>1.1023</v>
      </c>
      <c r="Y77" s="57">
        <v>20.0</v>
      </c>
      <c r="Z77" s="69">
        <f t="shared" si="52"/>
        <v>30</v>
      </c>
      <c r="AA77" s="70">
        <f t="shared" si="33"/>
        <v>50</v>
      </c>
      <c r="AB77" s="71">
        <f t="shared" si="46"/>
        <v>1478.56574</v>
      </c>
      <c r="AC77" s="71">
        <f>+(S77-T77)*V77-'data 1'!$F$4</f>
        <v>74.322</v>
      </c>
      <c r="AD77" s="71">
        <f t="shared" si="35"/>
        <v>3.588441199</v>
      </c>
      <c r="AE77" s="71">
        <f t="shared" si="36"/>
        <v>-14.885</v>
      </c>
      <c r="AF77" s="71">
        <f t="shared" si="37"/>
        <v>106.4302952</v>
      </c>
      <c r="AG77" s="72">
        <f t="shared" si="53"/>
        <v>186.4557364</v>
      </c>
      <c r="AH77" s="52">
        <f t="shared" si="38"/>
        <v>58.8178316</v>
      </c>
      <c r="AI77" s="73">
        <f t="shared" si="39"/>
        <v>66.04247193</v>
      </c>
      <c r="AJ77" s="73">
        <f t="shared" si="40"/>
        <v>55.22536523</v>
      </c>
      <c r="AK77" s="11"/>
      <c r="AL77" s="51">
        <f t="shared" si="41"/>
        <v>4500.391864</v>
      </c>
    </row>
    <row r="78" ht="15.0" customHeight="1">
      <c r="A78" s="92" t="s">
        <v>325</v>
      </c>
      <c r="B78" s="112">
        <v>45743.0</v>
      </c>
      <c r="C78" s="112">
        <v>45737.0</v>
      </c>
      <c r="D78" s="57" t="s">
        <v>324</v>
      </c>
      <c r="E78" s="57">
        <f t="array" ref="E78">XLOOKUP(D78,RUC!$B$3:$B$110,RUC!$D$3:$D$110)</f>
        <v>20612937096</v>
      </c>
      <c r="G78" s="3">
        <v>126.0</v>
      </c>
      <c r="H78" s="57" t="s">
        <v>40</v>
      </c>
      <c r="I78" s="58">
        <v>5.08</v>
      </c>
      <c r="J78" s="58">
        <v>14.75</v>
      </c>
      <c r="K78" s="59">
        <f t="shared" si="30"/>
        <v>4.3307</v>
      </c>
      <c r="L78" s="60">
        <v>0.599</v>
      </c>
      <c r="M78" s="60">
        <v>0.563</v>
      </c>
      <c r="N78" s="62">
        <v>0.563</v>
      </c>
      <c r="O78" s="60">
        <f t="shared" si="31"/>
        <v>0.563</v>
      </c>
      <c r="P78" s="63">
        <v>90.0</v>
      </c>
      <c r="Q78" s="58">
        <v>90.2</v>
      </c>
      <c r="R78" s="65">
        <v>3013.7</v>
      </c>
      <c r="S78" s="66">
        <f t="shared" si="51"/>
        <v>140</v>
      </c>
      <c r="U78" s="67">
        <v>120.0</v>
      </c>
      <c r="V78" s="67">
        <v>1.1023</v>
      </c>
      <c r="Y78" s="57">
        <v>20.0</v>
      </c>
      <c r="Z78" s="69">
        <f t="shared" si="52"/>
        <v>30</v>
      </c>
      <c r="AA78" s="70">
        <f t="shared" si="33"/>
        <v>50</v>
      </c>
      <c r="AB78" s="71">
        <f t="shared" si="46"/>
        <v>1406.796916</v>
      </c>
      <c r="AC78" s="71">
        <f>+(S78-T78)*V78-'data 1'!$F$4</f>
        <v>74.322</v>
      </c>
      <c r="AD78" s="71">
        <f t="shared" si="35"/>
        <v>3.821291161</v>
      </c>
      <c r="AE78" s="71">
        <f t="shared" si="36"/>
        <v>-14.885</v>
      </c>
      <c r="AF78" s="71">
        <f t="shared" si="37"/>
        <v>103.5767668</v>
      </c>
      <c r="AG78" s="72">
        <f t="shared" si="53"/>
        <v>183.8350579</v>
      </c>
      <c r="AH78" s="52">
        <f t="shared" si="38"/>
        <v>80.22330117</v>
      </c>
      <c r="AI78" s="73">
        <f t="shared" si="39"/>
        <v>63.3091426</v>
      </c>
      <c r="AJ78" s="73">
        <f t="shared" si="40"/>
        <v>75.23467921</v>
      </c>
      <c r="AK78" s="11"/>
      <c r="AL78" s="51">
        <f t="shared" si="41"/>
        <v>6092.415404</v>
      </c>
    </row>
    <row r="79" ht="15.0" customHeight="1">
      <c r="A79" s="92" t="s">
        <v>326</v>
      </c>
      <c r="B79" s="56">
        <v>45742.0</v>
      </c>
      <c r="C79" s="56">
        <v>45859.0</v>
      </c>
      <c r="D79" s="57" t="s">
        <v>45</v>
      </c>
      <c r="E79" s="57">
        <f t="array" ref="E79">XLOOKUP(D79,RUC!$B$3:$B$110,RUC!$D$3:$D$110)</f>
        <v>10416085884</v>
      </c>
      <c r="G79" s="3" t="s">
        <v>46</v>
      </c>
      <c r="H79" s="57" t="s">
        <v>47</v>
      </c>
      <c r="I79" s="58">
        <v>31.64</v>
      </c>
      <c r="J79" s="58">
        <v>5.2</v>
      </c>
      <c r="K79" s="59">
        <f t="shared" si="30"/>
        <v>29.99472</v>
      </c>
      <c r="L79" s="60">
        <v>0.245</v>
      </c>
      <c r="M79" s="60">
        <v>0.23</v>
      </c>
      <c r="N79" s="62">
        <v>0.293</v>
      </c>
      <c r="O79" s="60">
        <f t="shared" si="31"/>
        <v>0.262</v>
      </c>
      <c r="P79" s="63">
        <v>90.0</v>
      </c>
      <c r="Q79" s="58">
        <v>90.0</v>
      </c>
      <c r="R79" s="65">
        <v>3013.7</v>
      </c>
      <c r="S79" s="76">
        <v>85.0</v>
      </c>
      <c r="U79" s="67">
        <v>90.0</v>
      </c>
      <c r="V79" s="67">
        <v>1.1023</v>
      </c>
      <c r="Z79" s="69">
        <v>15.0</v>
      </c>
      <c r="AA79" s="70">
        <f t="shared" si="33"/>
        <v>15</v>
      </c>
      <c r="AB79" s="71">
        <f t="shared" si="46"/>
        <v>649.7049455</v>
      </c>
      <c r="AC79" s="71">
        <f>+(S79-T79)*V79-'data 1'!$F$4</f>
        <v>13.6955</v>
      </c>
      <c r="AD79" s="71">
        <f t="shared" si="35"/>
        <v>0</v>
      </c>
      <c r="AE79" s="71">
        <f t="shared" si="36"/>
        <v>-53.4655</v>
      </c>
      <c r="AF79" s="71">
        <f t="shared" si="37"/>
        <v>-49.308756</v>
      </c>
      <c r="AG79" s="72">
        <f>+IF(D79="RONALD WILLIAN GARIBAY ESCUDERO",AC79+AD79+AE79+AF79+70,AC79+AD79+AE79+AF79)+70</f>
        <v>-19.078756</v>
      </c>
      <c r="AH79" s="52">
        <f t="shared" si="38"/>
        <v>226.7579255</v>
      </c>
      <c r="AI79" s="73">
        <f t="shared" si="39"/>
        <v>18.54526055</v>
      </c>
      <c r="AJ79" s="73">
        <f t="shared" si="40"/>
        <v>242.4921489</v>
      </c>
      <c r="AK79" s="11"/>
      <c r="AL79" s="51">
        <f t="shared" si="41"/>
        <v>19487.71792</v>
      </c>
    </row>
    <row r="80" ht="15.0" customHeight="1">
      <c r="A80" s="92" t="s">
        <v>327</v>
      </c>
      <c r="B80" s="56">
        <v>45742.0</v>
      </c>
      <c r="C80" s="56">
        <v>45737.0</v>
      </c>
      <c r="D80" s="113" t="s">
        <v>249</v>
      </c>
      <c r="E80" s="57">
        <f t="array" ref="E80">XLOOKUP(D80,RUC!$B$3:$B$110,RUC!$D$3:$D$110)</f>
        <v>10473108823</v>
      </c>
      <c r="G80" s="3" t="s">
        <v>46</v>
      </c>
      <c r="H80" s="57" t="s">
        <v>47</v>
      </c>
      <c r="I80" s="58">
        <v>32.55</v>
      </c>
      <c r="J80" s="58">
        <v>3.5</v>
      </c>
      <c r="K80" s="59">
        <f t="shared" si="30"/>
        <v>31.41075</v>
      </c>
      <c r="L80" s="60">
        <v>0.128</v>
      </c>
      <c r="M80" s="60">
        <v>0.12</v>
      </c>
      <c r="N80" s="75">
        <v>0.14</v>
      </c>
      <c r="O80" s="60">
        <f t="shared" si="31"/>
        <v>0.13</v>
      </c>
      <c r="P80" s="63">
        <v>85.0</v>
      </c>
      <c r="Q80" s="58">
        <v>90.0</v>
      </c>
      <c r="R80" s="65">
        <v>3013.7</v>
      </c>
      <c r="S80" s="76">
        <v>110.0</v>
      </c>
      <c r="U80" s="67">
        <v>90.0</v>
      </c>
      <c r="V80" s="67">
        <v>1.1023</v>
      </c>
      <c r="Z80" s="69">
        <f t="shared" ref="Z80:Z92" si="54">IF(IF(D80="UNTUCA",IF(+((W80-3)*1.5+(X80-3)*3.1)&gt;0,+((W80-3)*1.5+(X80-3)*3.1),0),IF(+((W80-3)*1.5+(X80-3)*3.1)&gt;0,+((W80-3)*1.5+(X80-3)*3.1),0))&lt;30,30,IF(D80="UNTUCA",IF(+((W80-3)*1.5+(X80-3)*3.1)&gt;0,+((W80-3)*1.5+(X80-3)*3.1),0),IF(+((W80-3)*1.5+(X80-3)*3.1)&gt;0,+((W80-3)*1.5+(X80-3)*3.1),0)))</f>
        <v>30</v>
      </c>
      <c r="AA80" s="70">
        <f t="shared" si="33"/>
        <v>30</v>
      </c>
      <c r="AB80" s="71">
        <f t="shared" si="46"/>
        <v>201.7967934</v>
      </c>
      <c r="AC80" s="71">
        <f>+(S80-T80)*V80-'data 1'!$F$4</f>
        <v>41.253</v>
      </c>
      <c r="AD80" s="71">
        <f t="shared" si="35"/>
        <v>20.62588486</v>
      </c>
      <c r="AE80" s="71">
        <f t="shared" si="36"/>
        <v>-36.931</v>
      </c>
      <c r="AF80" s="71">
        <f t="shared" si="37"/>
        <v>-5.801030118</v>
      </c>
      <c r="AG80" s="72">
        <f t="shared" ref="AG80:AG82" si="55">+IF(D80="RONALD WILLIAN GARIBAY ESCUDERO",AC80+AD80+AE80+AF80+70,AC80+AD80+AE80+AF80)+70-53</f>
        <v>36.14685475</v>
      </c>
      <c r="AH80" s="52">
        <f t="shared" si="38"/>
        <v>124.0623075</v>
      </c>
      <c r="AI80" s="73">
        <f t="shared" si="39"/>
        <v>9.688952448</v>
      </c>
      <c r="AJ80" s="73">
        <f t="shared" si="40"/>
        <v>119.0007377</v>
      </c>
      <c r="AK80" s="11"/>
      <c r="AL80" s="51">
        <f t="shared" si="41"/>
        <v>6338.588627</v>
      </c>
    </row>
    <row r="81" ht="15.0" customHeight="1">
      <c r="A81" s="92" t="s">
        <v>328</v>
      </c>
      <c r="B81" s="112">
        <v>45743.0</v>
      </c>
      <c r="C81" s="56">
        <v>45737.0</v>
      </c>
      <c r="D81" s="57" t="s">
        <v>324</v>
      </c>
      <c r="E81" s="57">
        <f t="array" ref="E81">XLOOKUP(D81,RUC!$B$3:$B$110,RUC!$D$3:$D$110)</f>
        <v>20612937096</v>
      </c>
      <c r="G81" s="3">
        <v>50.0</v>
      </c>
      <c r="H81" s="57" t="s">
        <v>40</v>
      </c>
      <c r="I81" s="58">
        <v>2.23</v>
      </c>
      <c r="J81" s="58">
        <v>17.45</v>
      </c>
      <c r="K81" s="59">
        <f t="shared" si="30"/>
        <v>1.840865</v>
      </c>
      <c r="L81" s="60">
        <v>0.486</v>
      </c>
      <c r="M81" s="60">
        <v>0.457</v>
      </c>
      <c r="N81" s="62">
        <v>0.457</v>
      </c>
      <c r="O81" s="60">
        <f t="shared" si="31"/>
        <v>0.457</v>
      </c>
      <c r="P81" s="63">
        <v>90.0</v>
      </c>
      <c r="Q81" s="58">
        <v>79.0</v>
      </c>
      <c r="R81" s="65">
        <v>3013.7</v>
      </c>
      <c r="S81" s="66">
        <f t="shared" ref="S81:S82" si="56">IF((90+ROUNDDOWN(O81,1)*100)&lt;95,95,(90+ROUNDDOWN(O81,1)*100))</f>
        <v>130</v>
      </c>
      <c r="U81" s="67">
        <v>120.0</v>
      </c>
      <c r="V81" s="67">
        <v>1.1023</v>
      </c>
      <c r="Y81" s="57">
        <v>20.0</v>
      </c>
      <c r="Z81" s="69">
        <f t="shared" si="54"/>
        <v>30</v>
      </c>
      <c r="AA81" s="70">
        <f t="shared" si="33"/>
        <v>50</v>
      </c>
      <c r="AB81" s="71">
        <f t="shared" si="46"/>
        <v>1113.520102</v>
      </c>
      <c r="AC81" s="71">
        <f>+(S81-T81)*V81-'data 1'!$F$4</f>
        <v>63.299</v>
      </c>
      <c r="AD81" s="71">
        <f t="shared" si="35"/>
        <v>-170.5227258</v>
      </c>
      <c r="AE81" s="71">
        <f t="shared" si="36"/>
        <v>-14.885</v>
      </c>
      <c r="AF81" s="71">
        <f t="shared" si="37"/>
        <v>73.07661143</v>
      </c>
      <c r="AG81" s="72">
        <f t="shared" si="55"/>
        <v>-32.03211433</v>
      </c>
      <c r="AH81" s="52">
        <f t="shared" si="38"/>
        <v>24.23228513</v>
      </c>
      <c r="AI81" s="73">
        <f t="shared" si="39"/>
        <v>44.98797369</v>
      </c>
      <c r="AJ81" s="73">
        <f t="shared" si="40"/>
        <v>25.95910526</v>
      </c>
      <c r="AK81" s="11"/>
      <c r="AL81" s="51">
        <f t="shared" si="41"/>
        <v>2049.840183</v>
      </c>
    </row>
    <row r="82" ht="15.0" customHeight="1">
      <c r="A82" s="92" t="s">
        <v>329</v>
      </c>
      <c r="B82" s="112">
        <v>45743.0</v>
      </c>
      <c r="C82" s="56">
        <v>45737.0</v>
      </c>
      <c r="D82" s="57" t="s">
        <v>324</v>
      </c>
      <c r="E82" s="57">
        <f t="array" ref="E82">XLOOKUP(D82,RUC!$B$3:$B$110,RUC!$D$3:$D$110)</f>
        <v>20612937096</v>
      </c>
      <c r="G82" s="3">
        <v>100.0</v>
      </c>
      <c r="H82" s="57" t="s">
        <v>40</v>
      </c>
      <c r="I82" s="58">
        <v>4.83</v>
      </c>
      <c r="J82" s="58">
        <v>17.0</v>
      </c>
      <c r="K82" s="59">
        <f t="shared" si="30"/>
        <v>4.0089</v>
      </c>
      <c r="L82" s="60">
        <v>0.323</v>
      </c>
      <c r="M82" s="60">
        <v>0.304</v>
      </c>
      <c r="N82" s="62">
        <v>0.304</v>
      </c>
      <c r="O82" s="60">
        <f t="shared" si="31"/>
        <v>0.304</v>
      </c>
      <c r="P82" s="63">
        <v>90.0</v>
      </c>
      <c r="Q82" s="58">
        <v>85.0</v>
      </c>
      <c r="R82" s="65">
        <v>3013.7</v>
      </c>
      <c r="S82" s="66">
        <f t="shared" si="56"/>
        <v>120</v>
      </c>
      <c r="U82" s="67">
        <v>120.0</v>
      </c>
      <c r="V82" s="67">
        <v>1.1023</v>
      </c>
      <c r="Y82" s="57">
        <v>20.0</v>
      </c>
      <c r="Z82" s="69">
        <f t="shared" si="54"/>
        <v>30</v>
      </c>
      <c r="AA82" s="70">
        <f t="shared" si="33"/>
        <v>50</v>
      </c>
      <c r="AB82" s="71">
        <f t="shared" si="46"/>
        <v>685.3178995</v>
      </c>
      <c r="AC82" s="71">
        <f>+(S82-T82)*V82-'data 1'!$F$4</f>
        <v>52.276</v>
      </c>
      <c r="AD82" s="71">
        <f t="shared" si="35"/>
        <v>-51.51406699</v>
      </c>
      <c r="AE82" s="71">
        <f t="shared" si="36"/>
        <v>-14.885</v>
      </c>
      <c r="AF82" s="71">
        <f t="shared" si="37"/>
        <v>51.51406699</v>
      </c>
      <c r="AG82" s="72">
        <f t="shared" si="55"/>
        <v>54.391</v>
      </c>
      <c r="AH82" s="52">
        <f t="shared" si="38"/>
        <v>37.73598933</v>
      </c>
      <c r="AI82" s="73">
        <f t="shared" si="39"/>
        <v>32.17025623</v>
      </c>
      <c r="AJ82" s="73">
        <f t="shared" si="40"/>
        <v>37.60541497</v>
      </c>
      <c r="AK82" s="11"/>
      <c r="AL82" s="51">
        <f t="shared" si="41"/>
        <v>2747.370927</v>
      </c>
    </row>
    <row r="83" ht="15.0" customHeight="1">
      <c r="A83" s="92" t="s">
        <v>330</v>
      </c>
      <c r="B83" s="56">
        <v>45742.0</v>
      </c>
      <c r="C83" s="56">
        <v>45738.0</v>
      </c>
      <c r="D83" s="57" t="s">
        <v>306</v>
      </c>
      <c r="E83" s="57">
        <f t="array" ref="E83">XLOOKUP(D83,RUC!$B$3:$B$110,RUC!$D$3:$D$110)</f>
        <v>20612921866</v>
      </c>
      <c r="G83" s="3" t="s">
        <v>46</v>
      </c>
      <c r="H83" s="57" t="s">
        <v>47</v>
      </c>
      <c r="I83" s="58">
        <v>18.76</v>
      </c>
      <c r="J83" s="58">
        <v>1.5</v>
      </c>
      <c r="K83" s="59">
        <f t="shared" si="30"/>
        <v>18.4786</v>
      </c>
      <c r="L83" s="60">
        <v>0.24</v>
      </c>
      <c r="M83" s="60">
        <v>0.223</v>
      </c>
      <c r="N83" s="75">
        <v>0.25</v>
      </c>
      <c r="O83" s="60">
        <f t="shared" si="31"/>
        <v>0.237</v>
      </c>
      <c r="P83" s="63">
        <v>90.0</v>
      </c>
      <c r="Q83" s="58">
        <v>90.1</v>
      </c>
      <c r="R83" s="65">
        <v>3013.7</v>
      </c>
      <c r="S83" s="66">
        <f t="shared" ref="S83:S84" si="57">IF((80+ROUNDDOWN(O83,1)*100)&lt;95,95,(80+ROUNDDOWN(O83,1)*100))</f>
        <v>100</v>
      </c>
      <c r="U83" s="67">
        <v>100.0</v>
      </c>
      <c r="V83" s="67">
        <v>1.1023</v>
      </c>
      <c r="Z83" s="69">
        <f t="shared" si="54"/>
        <v>30</v>
      </c>
      <c r="AA83" s="70">
        <f t="shared" si="33"/>
        <v>30</v>
      </c>
      <c r="AB83" s="71">
        <f t="shared" si="46"/>
        <v>541.7718631</v>
      </c>
      <c r="AC83" s="71">
        <f>+(S83-T83)*V83-'data 1'!$F$4</f>
        <v>30.23</v>
      </c>
      <c r="AD83" s="71">
        <f t="shared" si="35"/>
        <v>0.7708251624</v>
      </c>
      <c r="AE83" s="71">
        <f t="shared" si="36"/>
        <v>-36.931</v>
      </c>
      <c r="AF83" s="71">
        <f t="shared" si="37"/>
        <v>8.681418392</v>
      </c>
      <c r="AG83" s="72">
        <f t="shared" ref="AG83:AG84" si="58">+IF(D83="RONALD WILLIAN GARIBAY ESCUDERO",AC83+AD83+AE83+AF83+70,AC83+AD83+AE83+AF83)+70</f>
        <v>72.75124355</v>
      </c>
      <c r="AH83" s="52">
        <f t="shared" si="38"/>
        <v>136.9979809</v>
      </c>
      <c r="AI83" s="73">
        <f t="shared" si="39"/>
        <v>20.57058468</v>
      </c>
      <c r="AJ83" s="73">
        <f t="shared" si="40"/>
        <v>135.1353557</v>
      </c>
      <c r="AK83" s="11"/>
      <c r="AL83" s="51">
        <f t="shared" si="41"/>
        <v>10011.18555</v>
      </c>
    </row>
    <row r="84" ht="15.0" customHeight="1">
      <c r="A84" s="92" t="s">
        <v>331</v>
      </c>
      <c r="B84" s="56">
        <v>45742.0</v>
      </c>
      <c r="C84" s="56">
        <v>45738.0</v>
      </c>
      <c r="D84" s="57" t="s">
        <v>332</v>
      </c>
      <c r="E84" s="57">
        <f t="array" ref="E84">XLOOKUP(D84,RUC!$B$3:$B$110,RUC!$D$3:$D$110)</f>
        <v>10445192410</v>
      </c>
      <c r="G84" s="3" t="s">
        <v>46</v>
      </c>
      <c r="H84" s="57" t="s">
        <v>47</v>
      </c>
      <c r="I84" s="58">
        <v>5.71</v>
      </c>
      <c r="J84" s="58">
        <v>1.2</v>
      </c>
      <c r="K84" s="59">
        <f t="shared" si="30"/>
        <v>5.64148</v>
      </c>
      <c r="L84" s="60">
        <v>0.215</v>
      </c>
      <c r="M84" s="60">
        <v>0.198</v>
      </c>
      <c r="N84" s="62">
        <v>0.198</v>
      </c>
      <c r="O84" s="60">
        <f t="shared" si="31"/>
        <v>0.198</v>
      </c>
      <c r="P84" s="63">
        <v>90.0</v>
      </c>
      <c r="Q84" s="58">
        <v>90.1</v>
      </c>
      <c r="R84" s="65">
        <v>3013.7</v>
      </c>
      <c r="S84" s="76">
        <f t="shared" si="57"/>
        <v>95</v>
      </c>
      <c r="U84" s="67">
        <v>100.0</v>
      </c>
      <c r="V84" s="67">
        <v>1.1023</v>
      </c>
      <c r="Z84" s="69">
        <f t="shared" si="54"/>
        <v>30</v>
      </c>
      <c r="AA84" s="70">
        <f t="shared" si="33"/>
        <v>30</v>
      </c>
      <c r="AB84" s="71">
        <f t="shared" si="46"/>
        <v>434.5501831</v>
      </c>
      <c r="AC84" s="71">
        <f>+(S84-T84)*V84-'data 1'!$F$4</f>
        <v>24.7185</v>
      </c>
      <c r="AD84" s="71">
        <f t="shared" si="35"/>
        <v>0.6905308746</v>
      </c>
      <c r="AE84" s="71">
        <f t="shared" si="36"/>
        <v>-36.931</v>
      </c>
      <c r="AF84" s="71">
        <f t="shared" si="37"/>
        <v>49.19470422</v>
      </c>
      <c r="AG84" s="72">
        <f t="shared" si="58"/>
        <v>107.6727351</v>
      </c>
      <c r="AH84" s="52">
        <f t="shared" si="38"/>
        <v>37.46841942</v>
      </c>
      <c r="AI84" s="73">
        <f t="shared" si="39"/>
        <v>18.42781544</v>
      </c>
      <c r="AJ84" s="73">
        <f t="shared" si="40"/>
        <v>34.46750298</v>
      </c>
      <c r="AK84" s="11"/>
      <c r="AL84" s="51">
        <f t="shared" si="41"/>
        <v>2451.506167</v>
      </c>
    </row>
    <row r="85" ht="15.0" customHeight="1">
      <c r="A85" s="92" t="s">
        <v>333</v>
      </c>
      <c r="B85" s="56">
        <v>45743.0</v>
      </c>
      <c r="C85" s="56">
        <v>45738.0</v>
      </c>
      <c r="D85" s="2" t="s">
        <v>67</v>
      </c>
      <c r="E85" s="57">
        <f t="array" ref="E85">XLOOKUP(D85,RUC!$B$3:$B$110,RUC!$D$3:$D$110)</f>
        <v>20606094010</v>
      </c>
      <c r="G85" s="3">
        <v>26.0</v>
      </c>
      <c r="H85" s="57" t="s">
        <v>47</v>
      </c>
      <c r="I85" s="58">
        <v>2.38</v>
      </c>
      <c r="J85" s="58">
        <v>1.3</v>
      </c>
      <c r="K85" s="59">
        <f t="shared" si="30"/>
        <v>2.34906</v>
      </c>
      <c r="L85" s="60">
        <v>0.13</v>
      </c>
      <c r="M85" s="60">
        <v>0.114</v>
      </c>
      <c r="N85" s="62">
        <v>0.161</v>
      </c>
      <c r="O85" s="60">
        <f t="shared" si="31"/>
        <v>0.138</v>
      </c>
      <c r="P85" s="63">
        <v>90.0</v>
      </c>
      <c r="Q85" s="58">
        <v>90.2</v>
      </c>
      <c r="R85" s="65">
        <v>3013.7</v>
      </c>
      <c r="S85" s="66">
        <f t="shared" ref="S85:S87" si="59">IF((90+ROUNDDOWN(O85,1)*100)&lt;95,95,(90+ROUNDDOWN(O85,1)*100))</f>
        <v>100</v>
      </c>
      <c r="U85" s="67">
        <v>120.0</v>
      </c>
      <c r="V85" s="67">
        <v>1.1023</v>
      </c>
      <c r="Y85" s="57">
        <v>20.0</v>
      </c>
      <c r="Z85" s="69">
        <f t="shared" si="54"/>
        <v>30</v>
      </c>
      <c r="AA85" s="70">
        <f t="shared" si="33"/>
        <v>50</v>
      </c>
      <c r="AB85" s="71">
        <f t="shared" si="46"/>
        <v>230.8189083</v>
      </c>
      <c r="AC85" s="71">
        <f>+(S85-T85)*V85-'data 1'!$F$4</f>
        <v>30.23</v>
      </c>
      <c r="AD85" s="71">
        <f t="shared" si="35"/>
        <v>0.8293286326</v>
      </c>
      <c r="AE85" s="71">
        <f t="shared" si="36"/>
        <v>-14.885</v>
      </c>
      <c r="AF85" s="71">
        <f t="shared" si="37"/>
        <v>-23.01705928</v>
      </c>
      <c r="AG85" s="72">
        <f t="shared" ref="AG85:AG87" si="60">+IF(D85="RONALD WILLIAN GARIBAY ESCUDERO",AC85+AD85+AE85+AF85+70,AC85+AD85+AE85+AF85)+70-53</f>
        <v>10.15726935</v>
      </c>
      <c r="AH85" s="52">
        <f t="shared" si="38"/>
        <v>9.44393673</v>
      </c>
      <c r="AI85" s="73">
        <f t="shared" si="39"/>
        <v>13.7398807</v>
      </c>
      <c r="AJ85" s="73">
        <f t="shared" si="40"/>
        <v>10.00287346</v>
      </c>
      <c r="AK85" s="11"/>
      <c r="AL85" s="51">
        <f t="shared" si="41"/>
        <v>542.2074648</v>
      </c>
    </row>
    <row r="86" ht="15.0" customHeight="1">
      <c r="A86" s="92" t="s">
        <v>334</v>
      </c>
      <c r="B86" s="56">
        <v>45747.0</v>
      </c>
      <c r="C86" s="56">
        <v>45738.0</v>
      </c>
      <c r="D86" s="57" t="s">
        <v>67</v>
      </c>
      <c r="E86" s="57">
        <f t="array" ref="E86">XLOOKUP(D86,RUC!$B$3:$B$110,RUC!$D$3:$D$110)</f>
        <v>20606094010</v>
      </c>
      <c r="G86" s="3">
        <v>41.0</v>
      </c>
      <c r="H86" s="57" t="s">
        <v>47</v>
      </c>
      <c r="I86" s="58">
        <v>3.44</v>
      </c>
      <c r="J86" s="58">
        <v>1.4</v>
      </c>
      <c r="K86" s="59">
        <f t="shared" si="30"/>
        <v>3.39184</v>
      </c>
      <c r="L86" s="60">
        <v>0.381</v>
      </c>
      <c r="M86" s="60">
        <v>0.36</v>
      </c>
      <c r="N86" s="62">
        <v>0.36</v>
      </c>
      <c r="O86" s="60">
        <f t="shared" si="31"/>
        <v>0.36</v>
      </c>
      <c r="P86" s="63">
        <v>90.0</v>
      </c>
      <c r="Q86" s="58">
        <v>90.4</v>
      </c>
      <c r="R86" s="65">
        <v>3013.7</v>
      </c>
      <c r="S86" s="66">
        <f t="shared" si="59"/>
        <v>120</v>
      </c>
      <c r="U86" s="67">
        <v>120.0</v>
      </c>
      <c r="V86" s="67">
        <v>1.1023</v>
      </c>
      <c r="Y86" s="57">
        <v>20.0</v>
      </c>
      <c r="Z86" s="69">
        <f t="shared" si="54"/>
        <v>30</v>
      </c>
      <c r="AA86" s="70">
        <f t="shared" si="33"/>
        <v>50</v>
      </c>
      <c r="AB86" s="71">
        <f t="shared" si="46"/>
        <v>846.0800652</v>
      </c>
      <c r="AC86" s="71">
        <f>+(S86-T86)*V86-'data 1'!$F$4</f>
        <v>52.276</v>
      </c>
      <c r="AD86" s="71">
        <f t="shared" si="35"/>
        <v>4.861141677</v>
      </c>
      <c r="AE86" s="71">
        <f t="shared" si="36"/>
        <v>-14.885</v>
      </c>
      <c r="AF86" s="71">
        <f t="shared" si="37"/>
        <v>60.55374908</v>
      </c>
      <c r="AG86" s="72">
        <f t="shared" si="60"/>
        <v>119.8058908</v>
      </c>
      <c r="AH86" s="52">
        <f t="shared" si="38"/>
        <v>40.0532566</v>
      </c>
      <c r="AI86" s="73">
        <f t="shared" si="39"/>
        <v>40.35770654</v>
      </c>
      <c r="AJ86" s="73">
        <f t="shared" si="40"/>
        <v>37.6781384</v>
      </c>
      <c r="AK86" s="11"/>
      <c r="AL86" s="51">
        <f t="shared" si="41"/>
        <v>2869.768208</v>
      </c>
    </row>
    <row r="87" ht="15.0" customHeight="1">
      <c r="A87" s="92" t="s">
        <v>335</v>
      </c>
      <c r="B87" s="56">
        <v>45743.0</v>
      </c>
      <c r="C87" s="56">
        <v>45738.0</v>
      </c>
      <c r="D87" s="57" t="s">
        <v>292</v>
      </c>
      <c r="E87" s="57">
        <f t="array" ref="E87">XLOOKUP(D87,RUC!$B$3:$B$110,RUC!$D$3:$D$110)</f>
        <v>20612791148</v>
      </c>
      <c r="G87" s="3">
        <v>30.0</v>
      </c>
      <c r="H87" s="57" t="s">
        <v>47</v>
      </c>
      <c r="I87" s="58">
        <v>2.52</v>
      </c>
      <c r="J87" s="58">
        <v>1.1</v>
      </c>
      <c r="K87" s="59">
        <f t="shared" si="30"/>
        <v>2.49228</v>
      </c>
      <c r="L87" s="60">
        <v>0.513</v>
      </c>
      <c r="M87" s="60">
        <v>0.482</v>
      </c>
      <c r="N87" s="62">
        <v>0.482</v>
      </c>
      <c r="O87" s="60">
        <f t="shared" si="31"/>
        <v>0.482</v>
      </c>
      <c r="P87" s="63">
        <v>90.0</v>
      </c>
      <c r="Q87" s="58">
        <v>90.3</v>
      </c>
      <c r="R87" s="65">
        <v>3013.7</v>
      </c>
      <c r="S87" s="66">
        <f t="shared" si="59"/>
        <v>130</v>
      </c>
      <c r="U87" s="67">
        <v>120.0</v>
      </c>
      <c r="V87" s="67">
        <v>1.1023</v>
      </c>
      <c r="Z87" s="69">
        <f t="shared" si="54"/>
        <v>30</v>
      </c>
      <c r="AA87" s="70">
        <f t="shared" si="33"/>
        <v>30</v>
      </c>
      <c r="AB87" s="71">
        <f t="shared" si="46"/>
        <v>1207.334926</v>
      </c>
      <c r="AC87" s="71">
        <f>+(S87-T87)*V87-'data 1'!$F$4</f>
        <v>63.299</v>
      </c>
      <c r="AD87" s="71">
        <f t="shared" si="35"/>
        <v>4.90898756</v>
      </c>
      <c r="AE87" s="71">
        <f t="shared" si="36"/>
        <v>-36.931</v>
      </c>
      <c r="AF87" s="71">
        <f t="shared" si="37"/>
        <v>89.2899862</v>
      </c>
      <c r="AG87" s="72">
        <f t="shared" si="60"/>
        <v>137.5669738</v>
      </c>
      <c r="AH87" s="52">
        <f t="shared" si="38"/>
        <v>39.58321061</v>
      </c>
      <c r="AI87" s="73">
        <f t="shared" si="39"/>
        <v>54.27979357</v>
      </c>
      <c r="AJ87" s="73">
        <f t="shared" si="40"/>
        <v>37.06768377</v>
      </c>
      <c r="AK87" s="11"/>
      <c r="AL87" s="51">
        <f t="shared" si="41"/>
        <v>3009.01669</v>
      </c>
    </row>
    <row r="88" ht="15.0" customHeight="1">
      <c r="A88" s="92" t="s">
        <v>336</v>
      </c>
      <c r="B88" s="56">
        <v>45742.0</v>
      </c>
      <c r="C88" s="56">
        <v>45739.0</v>
      </c>
      <c r="D88" s="57" t="s">
        <v>306</v>
      </c>
      <c r="E88" s="57">
        <f t="array" ref="E88">XLOOKUP(D88,RUC!$B$3:$B$110,RUC!$D$3:$D$110)</f>
        <v>20612921866</v>
      </c>
      <c r="G88" s="3">
        <v>37.0</v>
      </c>
      <c r="H88" s="57" t="s">
        <v>47</v>
      </c>
      <c r="I88" s="58">
        <v>4.39</v>
      </c>
      <c r="J88" s="58">
        <v>1.1</v>
      </c>
      <c r="K88" s="59">
        <f t="shared" si="30"/>
        <v>4.34171</v>
      </c>
      <c r="L88" s="60">
        <v>0.283</v>
      </c>
      <c r="M88" s="60">
        <v>0.266</v>
      </c>
      <c r="N88" s="62">
        <v>0.266</v>
      </c>
      <c r="O88" s="60">
        <f t="shared" si="31"/>
        <v>0.266</v>
      </c>
      <c r="P88" s="63">
        <v>90.0</v>
      </c>
      <c r="Q88" s="58">
        <v>88.0</v>
      </c>
      <c r="R88" s="65">
        <v>3007.75</v>
      </c>
      <c r="S88" s="66">
        <f t="shared" ref="S88:S90" si="61">IF((80+ROUNDDOWN(O88,1)*100)&lt;95,95,(80+ROUNDDOWN(O88,1)*100))</f>
        <v>100</v>
      </c>
      <c r="U88" s="67">
        <v>100.0</v>
      </c>
      <c r="V88" s="67">
        <v>1.1023</v>
      </c>
      <c r="Z88" s="69">
        <f t="shared" si="54"/>
        <v>30</v>
      </c>
      <c r="AA88" s="70">
        <f t="shared" si="33"/>
        <v>30</v>
      </c>
      <c r="AB88" s="71">
        <f t="shared" si="46"/>
        <v>624.0289503</v>
      </c>
      <c r="AC88" s="71">
        <f>+(S88-T88)*V88-'data 1'!$F$4</f>
        <v>30.23</v>
      </c>
      <c r="AD88" s="71">
        <f t="shared" si="35"/>
        <v>-18.14150459</v>
      </c>
      <c r="AE88" s="71">
        <f t="shared" si="36"/>
        <v>-36.931</v>
      </c>
      <c r="AF88" s="71">
        <f t="shared" si="37"/>
        <v>47.94998386</v>
      </c>
      <c r="AG88" s="72">
        <f t="shared" ref="AG88:AG90" si="62">+IF(D88="RONALD WILLIAN GARIBAY ESCUDERO",AC88+AD88+AE88+AF88+70,AC88+AD88+AE88+AF88)+70</f>
        <v>93.10747927</v>
      </c>
      <c r="AH88" s="52">
        <f t="shared" si="38"/>
        <v>37.07140011</v>
      </c>
      <c r="AI88" s="73">
        <f t="shared" si="39"/>
        <v>25.32417406</v>
      </c>
      <c r="AJ88" s="73">
        <f t="shared" si="40"/>
        <v>35.63641659</v>
      </c>
      <c r="AK88" s="11"/>
      <c r="AL88" s="51">
        <f t="shared" si="41"/>
        <v>2709.352734</v>
      </c>
    </row>
    <row r="89" ht="15.0" customHeight="1">
      <c r="A89" s="92" t="s">
        <v>337</v>
      </c>
      <c r="B89" s="56">
        <v>45742.0</v>
      </c>
      <c r="C89" s="56">
        <v>45739.0</v>
      </c>
      <c r="D89" s="57" t="s">
        <v>306</v>
      </c>
      <c r="E89" s="57">
        <f t="array" ref="E89">XLOOKUP(D89,RUC!$B$3:$B$110,RUC!$D$3:$D$110)</f>
        <v>20612921866</v>
      </c>
      <c r="G89" s="3">
        <v>15.0</v>
      </c>
      <c r="H89" s="57" t="s">
        <v>47</v>
      </c>
      <c r="I89" s="58">
        <v>1.36</v>
      </c>
      <c r="J89" s="58">
        <v>1.1</v>
      </c>
      <c r="K89" s="59">
        <f t="shared" si="30"/>
        <v>1.34504</v>
      </c>
      <c r="L89" s="60">
        <v>0.398</v>
      </c>
      <c r="M89" s="60">
        <v>0.374</v>
      </c>
      <c r="N89" s="62">
        <v>0.374</v>
      </c>
      <c r="O89" s="60">
        <f t="shared" si="31"/>
        <v>0.374</v>
      </c>
      <c r="P89" s="63">
        <v>90.0</v>
      </c>
      <c r="Q89" s="58">
        <v>90.1</v>
      </c>
      <c r="R89" s="65">
        <v>3007.75</v>
      </c>
      <c r="S89" s="66">
        <f t="shared" si="61"/>
        <v>110</v>
      </c>
      <c r="U89" s="67">
        <v>100.0</v>
      </c>
      <c r="V89" s="67">
        <v>1.1023</v>
      </c>
      <c r="Z89" s="69">
        <f t="shared" si="54"/>
        <v>30</v>
      </c>
      <c r="AA89" s="70">
        <f t="shared" si="33"/>
        <v>30</v>
      </c>
      <c r="AB89" s="71">
        <f t="shared" si="46"/>
        <v>924.5526369</v>
      </c>
      <c r="AC89" s="71">
        <f>+(S89-T89)*V89-'data 1'!$F$4</f>
        <v>41.253</v>
      </c>
      <c r="AD89" s="71">
        <f t="shared" si="35"/>
        <v>1.275674704</v>
      </c>
      <c r="AE89" s="71">
        <f t="shared" si="36"/>
        <v>-36.931</v>
      </c>
      <c r="AF89" s="71">
        <f t="shared" si="37"/>
        <v>69.30952213</v>
      </c>
      <c r="AG89" s="72">
        <f t="shared" si="62"/>
        <v>144.9071968</v>
      </c>
      <c r="AH89" s="52">
        <f t="shared" si="38"/>
        <v>16.53682507</v>
      </c>
      <c r="AI89" s="73">
        <f t="shared" si="39"/>
        <v>36.46481758</v>
      </c>
      <c r="AJ89" s="73">
        <f t="shared" si="40"/>
        <v>15.52238249</v>
      </c>
      <c r="AK89" s="11"/>
      <c r="AL89" s="51">
        <f t="shared" si="41"/>
        <v>1243.560279</v>
      </c>
    </row>
    <row r="90" ht="15.0" customHeight="1">
      <c r="A90" s="92" t="s">
        <v>338</v>
      </c>
      <c r="B90" s="56">
        <v>45742.0</v>
      </c>
      <c r="C90" s="56">
        <v>45739.0</v>
      </c>
      <c r="D90" s="57" t="s">
        <v>332</v>
      </c>
      <c r="E90" s="57">
        <f t="array" ref="E90">XLOOKUP(D90,RUC!$B$3:$B$110,RUC!$D$3:$D$110)</f>
        <v>10445192410</v>
      </c>
      <c r="G90" s="3" t="s">
        <v>46</v>
      </c>
      <c r="H90" s="57" t="s">
        <v>339</v>
      </c>
      <c r="I90" s="58">
        <v>8.55</v>
      </c>
      <c r="J90" s="58">
        <v>1.15</v>
      </c>
      <c r="K90" s="59">
        <f t="shared" si="30"/>
        <v>8.451675</v>
      </c>
      <c r="L90" s="60">
        <v>0.292</v>
      </c>
      <c r="M90" s="60">
        <v>0.274</v>
      </c>
      <c r="N90" s="62">
        <v>0.274</v>
      </c>
      <c r="O90" s="60">
        <f t="shared" si="31"/>
        <v>0.274</v>
      </c>
      <c r="P90" s="63">
        <v>90.0</v>
      </c>
      <c r="Q90" s="58">
        <v>90.0</v>
      </c>
      <c r="R90" s="65">
        <v>3007.75</v>
      </c>
      <c r="S90" s="76">
        <f t="shared" si="61"/>
        <v>100</v>
      </c>
      <c r="U90" s="67">
        <v>100.0</v>
      </c>
      <c r="V90" s="67">
        <v>1.1023</v>
      </c>
      <c r="Y90" s="57">
        <v>20.0</v>
      </c>
      <c r="Z90" s="69">
        <f t="shared" si="54"/>
        <v>30</v>
      </c>
      <c r="AA90" s="70">
        <f t="shared" si="33"/>
        <v>50</v>
      </c>
      <c r="AB90" s="71">
        <f t="shared" si="46"/>
        <v>625.0604826</v>
      </c>
      <c r="AC90" s="71">
        <f>+(S90-T90)*V90-'data 1'!$F$4</f>
        <v>30.23</v>
      </c>
      <c r="AD90" s="71">
        <f t="shared" si="35"/>
        <v>0</v>
      </c>
      <c r="AE90" s="71">
        <f t="shared" si="36"/>
        <v>-14.885</v>
      </c>
      <c r="AF90" s="71">
        <f t="shared" si="37"/>
        <v>51.92444776</v>
      </c>
      <c r="AG90" s="72">
        <f t="shared" si="62"/>
        <v>137.2694478</v>
      </c>
      <c r="AH90" s="52">
        <f t="shared" si="38"/>
        <v>76.15128191</v>
      </c>
      <c r="AI90" s="73">
        <f t="shared" si="39"/>
        <v>26.72338959</v>
      </c>
      <c r="AJ90" s="73">
        <f t="shared" si="40"/>
        <v>71.45702481</v>
      </c>
      <c r="AK90" s="11"/>
      <c r="AL90" s="51">
        <f t="shared" si="41"/>
        <v>5282.808055</v>
      </c>
    </row>
    <row r="91" ht="15.0" customHeight="1">
      <c r="A91" s="92" t="s">
        <v>340</v>
      </c>
      <c r="B91" s="56">
        <v>45742.0</v>
      </c>
      <c r="C91" s="56">
        <v>45739.0</v>
      </c>
      <c r="D91" s="57" t="s">
        <v>61</v>
      </c>
      <c r="E91" s="57">
        <f t="array" ref="E91">XLOOKUP(D91,RUC!$B$3:$B$110,RUC!$D$3:$D$110)</f>
        <v>20606526599</v>
      </c>
      <c r="G91" s="3">
        <v>140.0</v>
      </c>
      <c r="H91" s="57" t="s">
        <v>47</v>
      </c>
      <c r="I91" s="58">
        <v>12.07</v>
      </c>
      <c r="J91" s="58">
        <v>1.1</v>
      </c>
      <c r="K91" s="59">
        <f t="shared" si="30"/>
        <v>11.93723</v>
      </c>
      <c r="L91" s="60">
        <v>0.226</v>
      </c>
      <c r="M91" s="60">
        <v>0.21</v>
      </c>
      <c r="N91" s="62">
        <v>0.21</v>
      </c>
      <c r="O91" s="60">
        <f t="shared" si="31"/>
        <v>0.21</v>
      </c>
      <c r="P91" s="63">
        <v>90.0</v>
      </c>
      <c r="Q91" s="58">
        <v>89.0</v>
      </c>
      <c r="R91" s="65">
        <v>3007.75</v>
      </c>
      <c r="S91" s="66">
        <f t="shared" ref="S91:S92" si="63">IF((90+ROUNDDOWN(O91,1)*100)&lt;95,95,(90+ROUNDDOWN(O91,1)*100))</f>
        <v>110</v>
      </c>
      <c r="U91" s="67">
        <v>120.0</v>
      </c>
      <c r="V91" s="67">
        <v>1.1023</v>
      </c>
      <c r="Y91" s="57">
        <v>20.0</v>
      </c>
      <c r="Z91" s="69">
        <f t="shared" si="54"/>
        <v>30</v>
      </c>
      <c r="AA91" s="70">
        <f t="shared" si="33"/>
        <v>50</v>
      </c>
      <c r="AB91" s="71">
        <f t="shared" si="46"/>
        <v>425.2505299</v>
      </c>
      <c r="AC91" s="71">
        <f>+(S91-T91)*V91-'data 1'!$F$4</f>
        <v>41.253</v>
      </c>
      <c r="AD91" s="71">
        <f t="shared" si="35"/>
        <v>-7.193957025</v>
      </c>
      <c r="AE91" s="71">
        <f t="shared" si="36"/>
        <v>-14.885</v>
      </c>
      <c r="AF91" s="71">
        <f t="shared" si="37"/>
        <v>45.32829559</v>
      </c>
      <c r="AG91" s="72">
        <f t="shared" ref="AG91:AG92" si="64">+IF(D91="RONALD WILLIAN GARIBAY ESCUDERO",AC91+AD91+AE91+AF91+70,AC91+AD91+AE91+AF91)+70-53</f>
        <v>81.50233856</v>
      </c>
      <c r="AH91" s="52">
        <f t="shared" si="38"/>
        <v>82.32108328</v>
      </c>
      <c r="AI91" s="73">
        <f t="shared" si="39"/>
        <v>24.88769082</v>
      </c>
      <c r="AJ91" s="73">
        <f t="shared" si="40"/>
        <v>77.35251437</v>
      </c>
      <c r="AK91" s="11"/>
      <c r="AL91" s="51">
        <f t="shared" si="41"/>
        <v>5076.313383</v>
      </c>
    </row>
    <row r="92" ht="15.0" customHeight="1">
      <c r="A92" s="92" t="s">
        <v>341</v>
      </c>
      <c r="B92" s="56">
        <v>45742.0</v>
      </c>
      <c r="C92" s="56">
        <v>45739.0</v>
      </c>
      <c r="D92" s="57" t="s">
        <v>61</v>
      </c>
      <c r="E92" s="57">
        <f t="array" ref="E92">XLOOKUP(D92,RUC!$B$3:$B$110,RUC!$D$3:$D$110)</f>
        <v>20606526599</v>
      </c>
      <c r="G92" s="3">
        <v>60.0</v>
      </c>
      <c r="H92" s="57" t="s">
        <v>47</v>
      </c>
      <c r="I92" s="58">
        <v>4.84</v>
      </c>
      <c r="J92" s="58">
        <v>1.2</v>
      </c>
      <c r="K92" s="59">
        <f t="shared" si="30"/>
        <v>4.78192</v>
      </c>
      <c r="L92" s="60">
        <v>0.232</v>
      </c>
      <c r="M92" s="60">
        <v>0.215</v>
      </c>
      <c r="N92" s="62">
        <v>0.215</v>
      </c>
      <c r="O92" s="60">
        <f t="shared" si="31"/>
        <v>0.215</v>
      </c>
      <c r="P92" s="63">
        <v>90.0</v>
      </c>
      <c r="Q92" s="58">
        <v>88.0</v>
      </c>
      <c r="R92" s="65">
        <v>3007.75</v>
      </c>
      <c r="S92" s="66">
        <f t="shared" si="63"/>
        <v>110</v>
      </c>
      <c r="U92" s="67">
        <v>120.0</v>
      </c>
      <c r="V92" s="67">
        <v>1.1023</v>
      </c>
      <c r="Y92" s="57">
        <v>20.0</v>
      </c>
      <c r="Z92" s="69">
        <f t="shared" si="54"/>
        <v>30</v>
      </c>
      <c r="AA92" s="70">
        <f t="shared" si="33"/>
        <v>50</v>
      </c>
      <c r="AB92" s="71">
        <f t="shared" si="46"/>
        <v>439.5747806</v>
      </c>
      <c r="AC92" s="71">
        <f>+(S92-T92)*V92-'data 1'!$F$4</f>
        <v>41.253</v>
      </c>
      <c r="AD92" s="71">
        <f t="shared" si="35"/>
        <v>-14.76989407</v>
      </c>
      <c r="AE92" s="71">
        <f t="shared" si="36"/>
        <v>-14.885</v>
      </c>
      <c r="AF92" s="71">
        <f t="shared" si="37"/>
        <v>47.6201757</v>
      </c>
      <c r="AG92" s="72">
        <f t="shared" si="64"/>
        <v>76.21828163</v>
      </c>
      <c r="AH92" s="52">
        <f t="shared" si="38"/>
        <v>33.47202849</v>
      </c>
      <c r="AI92" s="73">
        <f t="shared" si="39"/>
        <v>25.26136501</v>
      </c>
      <c r="AJ92" s="73">
        <f t="shared" si="40"/>
        <v>31.72432168</v>
      </c>
      <c r="AK92" s="11"/>
      <c r="AL92" s="51">
        <f t="shared" si="41"/>
        <v>2102.011435</v>
      </c>
    </row>
    <row r="93" ht="15.0" customHeight="1">
      <c r="A93" s="92" t="s">
        <v>342</v>
      </c>
      <c r="B93" s="109">
        <v>45747.0</v>
      </c>
      <c r="C93" s="56">
        <v>45740.0</v>
      </c>
      <c r="D93" s="57" t="s">
        <v>306</v>
      </c>
      <c r="E93" s="57">
        <f t="array" ref="E93">XLOOKUP(D93,RUC!$B$3:$B$110,RUC!$D$3:$D$110)</f>
        <v>20612921866</v>
      </c>
      <c r="G93" s="3"/>
      <c r="L93" s="60"/>
      <c r="M93" s="60"/>
      <c r="N93" s="62"/>
      <c r="Q93" s="58"/>
      <c r="R93" s="65"/>
      <c r="AG93" s="91"/>
    </row>
    <row r="94" ht="15.0" customHeight="1">
      <c r="A94" s="92" t="s">
        <v>343</v>
      </c>
      <c r="B94" s="109">
        <v>45747.0</v>
      </c>
      <c r="C94" s="56">
        <v>45740.0</v>
      </c>
      <c r="D94" s="57" t="s">
        <v>306</v>
      </c>
      <c r="E94" s="57">
        <f t="array" ref="E94">XLOOKUP(D94,RUC!$B$3:$B$110,RUC!$D$3:$D$110)</f>
        <v>20612921866</v>
      </c>
      <c r="G94" s="3"/>
      <c r="L94" s="60"/>
      <c r="M94" s="60"/>
      <c r="N94" s="62"/>
      <c r="R94" s="65"/>
      <c r="AG94" s="91"/>
    </row>
    <row r="95" ht="15.0" customHeight="1">
      <c r="A95" s="92" t="s">
        <v>344</v>
      </c>
      <c r="B95" s="56">
        <v>45742.0</v>
      </c>
      <c r="C95" s="56">
        <v>45740.0</v>
      </c>
      <c r="D95" s="57" t="s">
        <v>306</v>
      </c>
      <c r="E95" s="57">
        <f t="array" ref="E95">XLOOKUP(D95,RUC!$B$3:$B$110,RUC!$D$3:$D$110)</f>
        <v>20612921866</v>
      </c>
      <c r="G95" s="3">
        <v>20.0</v>
      </c>
      <c r="H95" s="57" t="s">
        <v>47</v>
      </c>
      <c r="I95" s="58">
        <v>2.36</v>
      </c>
      <c r="J95" s="58">
        <v>1.2</v>
      </c>
      <c r="K95" s="59">
        <f t="shared" ref="K95:K99" si="65">+I95-(I95*(J95/100))</f>
        <v>2.33168</v>
      </c>
      <c r="L95" s="60">
        <v>0.433</v>
      </c>
      <c r="M95" s="60">
        <v>0.407</v>
      </c>
      <c r="N95" s="62">
        <v>0.407</v>
      </c>
      <c r="O95" s="60">
        <f t="shared" ref="O95:O99" si="66">+ROUND((M95+N95)/2,3)</f>
        <v>0.407</v>
      </c>
      <c r="P95" s="63">
        <v>90.0</v>
      </c>
      <c r="Q95" s="57">
        <v>90.17</v>
      </c>
      <c r="R95" s="65">
        <v>3007.75</v>
      </c>
      <c r="S95" s="66">
        <f t="shared" ref="S95:S99" si="67">IF((80+ROUNDDOWN(O95,1)*100)&lt;95,95,(80+ROUNDDOWN(O95,1)*100))</f>
        <v>120</v>
      </c>
      <c r="U95" s="67">
        <v>100.0</v>
      </c>
      <c r="V95" s="67">
        <v>1.1023</v>
      </c>
      <c r="Y95" s="57">
        <v>20.0</v>
      </c>
      <c r="Z95" s="69">
        <f t="shared" ref="Z95:Z99" si="68">IF(IF(D95="UNTUCA",IF(+((W95-3)*1.5+(X95-3)*3.1)&gt;0,+((W95-3)*1.5+(X95-3)*3.1),0),IF(+((W95-3)*1.5+(X95-3)*3.1)&gt;0,+((W95-3)*1.5+(X95-3)*3.1),0))&lt;30,30,IF(D95="UNTUCA",IF(+((W95-3)*1.5+(X95-3)*3.1)&gt;0,+((W95-3)*1.5+(X95-3)*3.1),0),IF(+((W95-3)*1.5+(X95-3)*3.1)&gt;0,+((W95-3)*1.5+(X95-3)*3.1),0)))</f>
        <v>30</v>
      </c>
      <c r="AA95" s="70">
        <f t="shared" ref="AA95:AA99" si="69">+Y95+Z95</f>
        <v>50</v>
      </c>
      <c r="AB95" s="71">
        <f t="shared" ref="AB95:AB99" si="70">+((O95*P95*(R95-U95)/100)-S95-AA95+T95)*V95</f>
        <v>986.6784578</v>
      </c>
      <c r="AC95" s="71">
        <f>+(S95-T95)*V95-'data 1'!$F$4</f>
        <v>52.276</v>
      </c>
      <c r="AD95" s="71">
        <f t="shared" ref="AD95:AD99" si="71">+(Q95-P95)*(R95-U95)*L95*V95/100</f>
        <v>2.35935716</v>
      </c>
      <c r="AE95" s="71">
        <f t="shared" ref="AE95:AE99" si="72">+(Y95*V95-70)+V95*(Z95-IF(D95="UNTUCA",IF(+((W95-3)*2.5+(X95-3)*3.1)&gt;0,+((W95-3)*1.5+(X95-3)*3.1),0),IF(+((W95-3)*1.5+(X95-3)*3.1)&gt;0,+((W95-3)*1.5+(X95-3)*3.1),0)))</f>
        <v>-14.885</v>
      </c>
      <c r="AF95" s="71">
        <f t="shared" ref="AF95:AF99" si="73">(L95-O95)*(R95-U95)*Q95*V95/100</f>
        <v>75.14365051</v>
      </c>
      <c r="AG95" s="72">
        <f t="shared" ref="AG95:AG96" si="74">+IF(D95="RONALD WILLIAN GARIBAY ESCUDERO",AC95+AD95+AE95+AF95+70,AC95+AD95+AE95+AF95)+70</f>
        <v>184.8940077</v>
      </c>
      <c r="AH95" s="52">
        <f t="shared" ref="AH95:AH99" si="75">31.1035*L95*Q95*1.1023*K95/100</f>
        <v>31.21245885</v>
      </c>
      <c r="AI95" s="73">
        <f t="shared" ref="AI95:AI99" si="76">+((+$AI$2-R95+U95)*L95*Q95*V95)/100</f>
        <v>39.70234403</v>
      </c>
      <c r="AJ95" s="73">
        <f t="shared" ref="AJ95:AJ99" si="77">31.1035*1.1023*K95*P95*O95/100</f>
        <v>29.28295739</v>
      </c>
      <c r="AK95" s="11"/>
      <c r="AL95" s="51">
        <f t="shared" ref="AL95:AL99" si="78">+IF(AB95*K95&gt;0,AB95*K95,0)</f>
        <v>2300.618426</v>
      </c>
    </row>
    <row r="96" ht="15.0" customHeight="1">
      <c r="A96" s="92" t="s">
        <v>345</v>
      </c>
      <c r="B96" s="56">
        <v>45742.0</v>
      </c>
      <c r="C96" s="56">
        <v>45740.0</v>
      </c>
      <c r="D96" s="57" t="s">
        <v>306</v>
      </c>
      <c r="E96" s="57">
        <f t="array" ref="E96">XLOOKUP(D96,RUC!$B$3:$B$110,RUC!$D$3:$D$110)</f>
        <v>20612921866</v>
      </c>
      <c r="G96" s="3">
        <v>22.0</v>
      </c>
      <c r="H96" s="57" t="s">
        <v>47</v>
      </c>
      <c r="I96" s="58">
        <v>2.63</v>
      </c>
      <c r="J96" s="58">
        <v>1.1</v>
      </c>
      <c r="K96" s="59">
        <f t="shared" si="65"/>
        <v>2.60107</v>
      </c>
      <c r="L96" s="60">
        <v>0.121</v>
      </c>
      <c r="M96" s="60">
        <v>0.106</v>
      </c>
      <c r="N96" s="62">
        <v>0.106</v>
      </c>
      <c r="O96" s="60">
        <f t="shared" si="66"/>
        <v>0.106</v>
      </c>
      <c r="P96" s="63">
        <v>90.0</v>
      </c>
      <c r="Q96" s="58">
        <v>90.2</v>
      </c>
      <c r="R96" s="65">
        <v>3007.75</v>
      </c>
      <c r="S96" s="66">
        <f t="shared" si="67"/>
        <v>95</v>
      </c>
      <c r="U96" s="67">
        <v>100.0</v>
      </c>
      <c r="V96" s="67">
        <v>1.1023</v>
      </c>
      <c r="Y96" s="57">
        <v>20.0</v>
      </c>
      <c r="Z96" s="69">
        <f t="shared" si="68"/>
        <v>30</v>
      </c>
      <c r="AA96" s="70">
        <f t="shared" si="69"/>
        <v>50</v>
      </c>
      <c r="AB96" s="71">
        <f t="shared" si="70"/>
        <v>145.9438035</v>
      </c>
      <c r="AC96" s="71">
        <f>+(S96-T96)*V96-'data 1'!$F$4</f>
        <v>24.7185</v>
      </c>
      <c r="AD96" s="71">
        <f t="shared" si="71"/>
        <v>0.7756615037</v>
      </c>
      <c r="AE96" s="71">
        <f t="shared" si="72"/>
        <v>-14.885</v>
      </c>
      <c r="AF96" s="71">
        <f t="shared" si="73"/>
        <v>43.36652952</v>
      </c>
      <c r="AG96" s="72">
        <f t="shared" si="74"/>
        <v>123.975691</v>
      </c>
      <c r="AH96" s="52">
        <f t="shared" si="75"/>
        <v>9.733141053</v>
      </c>
      <c r="AI96" s="73">
        <f t="shared" si="76"/>
        <v>11.09834165</v>
      </c>
      <c r="AJ96" s="73">
        <f t="shared" si="77"/>
        <v>8.507647436</v>
      </c>
      <c r="AK96" s="11"/>
      <c r="AL96" s="51">
        <f t="shared" si="78"/>
        <v>379.610049</v>
      </c>
    </row>
    <row r="97" ht="15.0" customHeight="1">
      <c r="A97" s="92" t="s">
        <v>346</v>
      </c>
      <c r="B97" s="56">
        <v>45748.0</v>
      </c>
      <c r="C97" s="56">
        <v>45744.0</v>
      </c>
      <c r="D97" s="2" t="s">
        <v>61</v>
      </c>
      <c r="E97" s="57">
        <f t="array" ref="E97">XLOOKUP(D97,RUC!$B$3:$B$110,RUC!$D$3:$D$110)</f>
        <v>20606526599</v>
      </c>
      <c r="G97" s="3">
        <v>48.0</v>
      </c>
      <c r="H97" s="57" t="s">
        <v>47</v>
      </c>
      <c r="I97" s="58">
        <v>4.13</v>
      </c>
      <c r="J97" s="58">
        <v>1.1</v>
      </c>
      <c r="K97" s="59">
        <f t="shared" si="65"/>
        <v>4.08457</v>
      </c>
      <c r="L97" s="60">
        <v>0.201</v>
      </c>
      <c r="M97" s="60">
        <v>0.187</v>
      </c>
      <c r="N97" s="62">
        <v>0.187</v>
      </c>
      <c r="O97" s="60">
        <f t="shared" si="66"/>
        <v>0.187</v>
      </c>
      <c r="P97" s="63">
        <v>90.0</v>
      </c>
      <c r="Q97" s="58">
        <v>90.2</v>
      </c>
      <c r="R97" s="65">
        <v>3071.6</v>
      </c>
      <c r="S97" s="66">
        <f t="shared" si="67"/>
        <v>95</v>
      </c>
      <c r="U97" s="67">
        <v>100.0</v>
      </c>
      <c r="V97" s="67">
        <v>1.1023</v>
      </c>
      <c r="Y97" s="57">
        <v>20.0</v>
      </c>
      <c r="Z97" s="69">
        <f t="shared" si="68"/>
        <v>30</v>
      </c>
      <c r="AA97" s="70">
        <f t="shared" si="69"/>
        <v>50</v>
      </c>
      <c r="AB97" s="71">
        <f t="shared" si="70"/>
        <v>391.4490846</v>
      </c>
      <c r="AC97" s="71">
        <f>+(S97-T97)*V97-'data 1'!$F$4</f>
        <v>24.7185</v>
      </c>
      <c r="AD97" s="71">
        <f t="shared" si="71"/>
        <v>1.316789061</v>
      </c>
      <c r="AE97" s="71">
        <f t="shared" si="72"/>
        <v>-14.885</v>
      </c>
      <c r="AF97" s="71">
        <f t="shared" si="73"/>
        <v>41.36420962</v>
      </c>
      <c r="AG97" s="72">
        <f t="shared" ref="AG97:AG99" si="79">+IF(D97="RONALD WILLIAN GARIBAY ESCUDERO",AC97+AD97+AE97+AF97+70,AC97+AD97+AE97+AF97)+70-53</f>
        <v>69.51449868</v>
      </c>
      <c r="AH97" s="52">
        <f t="shared" si="75"/>
        <v>25.38972561</v>
      </c>
      <c r="AI97" s="73">
        <f t="shared" si="76"/>
        <v>5.675717127</v>
      </c>
      <c r="AJ97" s="73">
        <f t="shared" si="77"/>
        <v>23.56891165</v>
      </c>
      <c r="AK97" s="11"/>
      <c r="AL97" s="51">
        <f t="shared" si="78"/>
        <v>1598.901188</v>
      </c>
    </row>
    <row r="98" ht="15.0" customHeight="1">
      <c r="A98" s="92" t="s">
        <v>347</v>
      </c>
      <c r="B98" s="56">
        <v>45748.0</v>
      </c>
      <c r="C98" s="56">
        <v>45744.0</v>
      </c>
      <c r="D98" s="2" t="s">
        <v>61</v>
      </c>
      <c r="E98" s="57">
        <f t="array" ref="E98">XLOOKUP(D98,RUC!$B$3:$B$110,RUC!$D$3:$D$110)</f>
        <v>20606526599</v>
      </c>
      <c r="G98" s="3">
        <v>36.0</v>
      </c>
      <c r="H98" s="57" t="s">
        <v>47</v>
      </c>
      <c r="I98" s="58">
        <v>2.95</v>
      </c>
      <c r="J98" s="58">
        <v>1.2</v>
      </c>
      <c r="K98" s="59">
        <f t="shared" si="65"/>
        <v>2.9146</v>
      </c>
      <c r="L98" s="60">
        <v>0.724</v>
      </c>
      <c r="M98" s="60">
        <v>0.681</v>
      </c>
      <c r="N98" s="62">
        <v>0.681</v>
      </c>
      <c r="O98" s="60">
        <f t="shared" si="66"/>
        <v>0.681</v>
      </c>
      <c r="P98" s="63">
        <v>90.0</v>
      </c>
      <c r="Q98" s="58">
        <v>90.1</v>
      </c>
      <c r="R98" s="65">
        <v>3071.6</v>
      </c>
      <c r="S98" s="66">
        <f t="shared" si="67"/>
        <v>140</v>
      </c>
      <c r="U98" s="67">
        <v>100.0</v>
      </c>
      <c r="V98" s="67">
        <v>1.1023</v>
      </c>
      <c r="Y98" s="57">
        <v>20.0</v>
      </c>
      <c r="Z98" s="69">
        <f t="shared" si="68"/>
        <v>30</v>
      </c>
      <c r="AA98" s="70">
        <f t="shared" si="69"/>
        <v>50</v>
      </c>
      <c r="AB98" s="71">
        <f t="shared" si="70"/>
        <v>1798.174979</v>
      </c>
      <c r="AC98" s="71">
        <f>+(S98-T98)*V98-'data 1'!$F$4</f>
        <v>74.322</v>
      </c>
      <c r="AD98" s="71">
        <f t="shared" si="71"/>
        <v>2.371530548</v>
      </c>
      <c r="AE98" s="71">
        <f t="shared" si="72"/>
        <v>-14.885</v>
      </c>
      <c r="AF98" s="71">
        <f t="shared" si="73"/>
        <v>126.9063647</v>
      </c>
      <c r="AG98" s="72">
        <f t="shared" si="79"/>
        <v>205.7148952</v>
      </c>
      <c r="AH98" s="52">
        <f t="shared" si="75"/>
        <v>65.18555793</v>
      </c>
      <c r="AI98" s="73">
        <f t="shared" si="76"/>
        <v>20.42121156</v>
      </c>
      <c r="AJ98" s="73">
        <f t="shared" si="77"/>
        <v>61.24598888</v>
      </c>
      <c r="AK98" s="11"/>
      <c r="AL98" s="51">
        <f t="shared" si="78"/>
        <v>5240.960795</v>
      </c>
    </row>
    <row r="99" ht="15.0" customHeight="1">
      <c r="A99" s="92" t="s">
        <v>348</v>
      </c>
      <c r="B99" s="56">
        <v>45748.0</v>
      </c>
      <c r="C99" s="56">
        <v>45744.0</v>
      </c>
      <c r="D99" s="2" t="s">
        <v>61</v>
      </c>
      <c r="E99" s="57">
        <f t="array" ref="E99">XLOOKUP(D99,RUC!$B$3:$B$110,RUC!$D$3:$D$110)</f>
        <v>20606526599</v>
      </c>
      <c r="G99" s="3">
        <v>110.0</v>
      </c>
      <c r="H99" s="57" t="s">
        <v>47</v>
      </c>
      <c r="I99" s="58">
        <v>9.51</v>
      </c>
      <c r="J99" s="58">
        <v>1.3</v>
      </c>
      <c r="K99" s="59">
        <f t="shared" si="65"/>
        <v>9.38637</v>
      </c>
      <c r="L99" s="60">
        <v>0.125</v>
      </c>
      <c r="M99" s="60">
        <v>0.11</v>
      </c>
      <c r="N99" s="62">
        <v>0.11</v>
      </c>
      <c r="O99" s="60">
        <f t="shared" si="66"/>
        <v>0.11</v>
      </c>
      <c r="P99" s="63">
        <v>80.0</v>
      </c>
      <c r="Q99" s="58">
        <v>90.2</v>
      </c>
      <c r="R99" s="65">
        <v>3071.6</v>
      </c>
      <c r="S99" s="66">
        <f t="shared" si="67"/>
        <v>95</v>
      </c>
      <c r="U99" s="67">
        <v>100.0</v>
      </c>
      <c r="V99" s="67">
        <v>1.1023</v>
      </c>
      <c r="Y99" s="57">
        <v>20.0</v>
      </c>
      <c r="Z99" s="69">
        <f t="shared" si="68"/>
        <v>30</v>
      </c>
      <c r="AA99" s="70">
        <f t="shared" si="69"/>
        <v>50</v>
      </c>
      <c r="AB99" s="71">
        <f t="shared" si="70"/>
        <v>128.4188318</v>
      </c>
      <c r="AC99" s="71">
        <f>+(S99-T99)*V99-'data 1'!$F$4</f>
        <v>24.7185</v>
      </c>
      <c r="AD99" s="71">
        <f t="shared" si="71"/>
        <v>41.76383217</v>
      </c>
      <c r="AE99" s="71">
        <f t="shared" si="72"/>
        <v>-14.885</v>
      </c>
      <c r="AF99" s="71">
        <f t="shared" si="73"/>
        <v>44.31879602</v>
      </c>
      <c r="AG99" s="72">
        <f t="shared" si="79"/>
        <v>112.9161282</v>
      </c>
      <c r="AH99" s="52">
        <f t="shared" si="75"/>
        <v>36.28467934</v>
      </c>
      <c r="AI99" s="73">
        <f t="shared" si="76"/>
        <v>3.52967483</v>
      </c>
      <c r="AJ99" s="73">
        <f t="shared" si="77"/>
        <v>28.31974973</v>
      </c>
      <c r="AK99" s="11"/>
      <c r="AL99" s="51">
        <f t="shared" si="78"/>
        <v>1205.386671</v>
      </c>
    </row>
    <row r="100" ht="15.0" customHeight="1">
      <c r="A100" s="92" t="s">
        <v>349</v>
      </c>
      <c r="B100" s="56"/>
      <c r="C100" s="56">
        <v>45747.0</v>
      </c>
      <c r="D100" s="57" t="s">
        <v>292</v>
      </c>
      <c r="E100" s="57">
        <f t="array" ref="E100">XLOOKUP(D100,RUC!$B$3:$B$110,RUC!$D$3:$D$110)</f>
        <v>20612791148</v>
      </c>
      <c r="G100" s="3">
        <v>22.0</v>
      </c>
      <c r="H100" s="57" t="s">
        <v>47</v>
      </c>
      <c r="I100" s="58"/>
      <c r="J100" s="58"/>
      <c r="K100" s="59"/>
      <c r="L100" s="60"/>
      <c r="M100" s="60"/>
      <c r="N100" s="62"/>
      <c r="O100" s="60"/>
      <c r="P100" s="63"/>
      <c r="Q100" s="58"/>
      <c r="R100" s="65"/>
      <c r="S100" s="66"/>
      <c r="U100" s="67"/>
      <c r="V100" s="67"/>
      <c r="Z100" s="69"/>
      <c r="AA100" s="70"/>
      <c r="AB100" s="71"/>
      <c r="AC100" s="71"/>
      <c r="AD100" s="71"/>
      <c r="AE100" s="71"/>
      <c r="AF100" s="71"/>
      <c r="AG100" s="72"/>
      <c r="AH100" s="52"/>
      <c r="AI100" s="73"/>
      <c r="AJ100" s="73"/>
      <c r="AK100" s="11"/>
      <c r="AL100" s="51"/>
    </row>
    <row r="101" ht="15.0" customHeight="1">
      <c r="A101" s="92" t="s">
        <v>350</v>
      </c>
      <c r="B101" s="56"/>
      <c r="C101" s="56">
        <v>45747.0</v>
      </c>
      <c r="D101" s="57" t="s">
        <v>292</v>
      </c>
      <c r="E101" s="57">
        <f t="array" ref="E101">XLOOKUP(D101,RUC!$B$3:$B$110,RUC!$D$3:$D$110)</f>
        <v>20612791148</v>
      </c>
      <c r="G101" s="3">
        <v>20.0</v>
      </c>
      <c r="H101" s="57" t="s">
        <v>47</v>
      </c>
      <c r="I101" s="58"/>
      <c r="J101" s="58"/>
      <c r="K101" s="59"/>
      <c r="L101" s="60"/>
      <c r="M101" s="60"/>
      <c r="N101" s="62"/>
      <c r="O101" s="60"/>
      <c r="P101" s="63"/>
      <c r="Q101" s="58"/>
      <c r="R101" s="65"/>
      <c r="S101" s="66"/>
      <c r="U101" s="67"/>
      <c r="V101" s="67"/>
      <c r="Z101" s="69"/>
      <c r="AA101" s="70"/>
      <c r="AB101" s="71"/>
      <c r="AC101" s="71"/>
      <c r="AD101" s="71"/>
      <c r="AE101" s="71"/>
      <c r="AF101" s="71"/>
      <c r="AG101" s="72"/>
      <c r="AH101" s="52"/>
      <c r="AI101" s="73"/>
      <c r="AJ101" s="73"/>
      <c r="AK101" s="11"/>
      <c r="AL101" s="51"/>
    </row>
    <row r="102" ht="15.0" customHeight="1">
      <c r="A102" s="92" t="s">
        <v>351</v>
      </c>
      <c r="B102" s="56"/>
      <c r="C102" s="56">
        <v>45747.0</v>
      </c>
      <c r="D102" s="57" t="s">
        <v>292</v>
      </c>
      <c r="E102" s="57">
        <f t="array" ref="E102">XLOOKUP(D102,RUC!$B$3:$B$110,RUC!$D$3:$D$110)</f>
        <v>20612791148</v>
      </c>
      <c r="G102" s="3">
        <v>20.0</v>
      </c>
      <c r="H102" s="57" t="s">
        <v>47</v>
      </c>
      <c r="I102" s="58"/>
      <c r="J102" s="58"/>
      <c r="K102" s="59"/>
      <c r="L102" s="60"/>
      <c r="M102" s="60"/>
      <c r="N102" s="62"/>
      <c r="O102" s="60"/>
      <c r="P102" s="63"/>
      <c r="Q102" s="58"/>
      <c r="R102" s="65"/>
      <c r="S102" s="66"/>
      <c r="U102" s="67"/>
      <c r="V102" s="67"/>
      <c r="Z102" s="69"/>
      <c r="AA102" s="70"/>
      <c r="AB102" s="71"/>
      <c r="AC102" s="71"/>
      <c r="AD102" s="71"/>
      <c r="AE102" s="71"/>
      <c r="AF102" s="71"/>
      <c r="AG102" s="72"/>
      <c r="AH102" s="52"/>
      <c r="AI102" s="73"/>
      <c r="AJ102" s="73"/>
      <c r="AK102" s="11"/>
      <c r="AL102" s="51"/>
    </row>
    <row r="103" ht="15.0" customHeight="1">
      <c r="A103" s="92" t="s">
        <v>352</v>
      </c>
      <c r="B103" s="56"/>
      <c r="C103" s="56">
        <v>45747.0</v>
      </c>
      <c r="D103" s="57" t="s">
        <v>292</v>
      </c>
      <c r="E103" s="57">
        <f t="array" ref="E103">XLOOKUP(D103,RUC!$B$3:$B$110,RUC!$D$3:$D$110)</f>
        <v>20612791148</v>
      </c>
      <c r="G103" s="3">
        <v>50.0</v>
      </c>
      <c r="H103" s="57" t="s">
        <v>47</v>
      </c>
      <c r="I103" s="58"/>
      <c r="J103" s="58"/>
      <c r="K103" s="59"/>
      <c r="L103" s="60"/>
      <c r="M103" s="60"/>
      <c r="N103" s="62"/>
      <c r="O103" s="60"/>
      <c r="P103" s="63"/>
      <c r="Q103" s="58"/>
      <c r="R103" s="65"/>
      <c r="S103" s="66"/>
      <c r="U103" s="67"/>
      <c r="V103" s="67"/>
      <c r="Z103" s="69"/>
      <c r="AA103" s="70"/>
      <c r="AB103" s="71"/>
      <c r="AC103" s="71"/>
      <c r="AD103" s="71"/>
      <c r="AE103" s="71"/>
      <c r="AF103" s="71"/>
      <c r="AG103" s="72"/>
      <c r="AH103" s="52"/>
      <c r="AI103" s="73"/>
      <c r="AJ103" s="73"/>
      <c r="AK103" s="11"/>
      <c r="AL103" s="51"/>
    </row>
    <row r="104" ht="15.0" customHeight="1">
      <c r="A104" s="92" t="s">
        <v>353</v>
      </c>
      <c r="B104" s="56"/>
      <c r="C104" s="56">
        <v>45751.0</v>
      </c>
      <c r="D104" s="57" t="s">
        <v>324</v>
      </c>
      <c r="E104" s="57">
        <f t="array" ref="E104">XLOOKUP(D104,RUC!$B$3:$B$110,RUC!$D$3:$D$110)</f>
        <v>20612937096</v>
      </c>
      <c r="G104" s="3">
        <v>57.0</v>
      </c>
      <c r="H104" s="57" t="s">
        <v>47</v>
      </c>
      <c r="I104" s="58"/>
      <c r="J104" s="58"/>
      <c r="K104" s="59"/>
      <c r="L104" s="60"/>
      <c r="M104" s="60"/>
      <c r="N104" s="62"/>
      <c r="O104" s="60"/>
      <c r="P104" s="63"/>
      <c r="R104" s="65"/>
      <c r="S104" s="66"/>
      <c r="U104" s="67"/>
      <c r="V104" s="67"/>
      <c r="Z104" s="69"/>
      <c r="AA104" s="70"/>
      <c r="AB104" s="71"/>
      <c r="AC104" s="71"/>
      <c r="AD104" s="71"/>
      <c r="AE104" s="71"/>
      <c r="AF104" s="71"/>
      <c r="AG104" s="72"/>
      <c r="AH104" s="52"/>
      <c r="AI104" s="73"/>
      <c r="AJ104" s="73"/>
      <c r="AK104" s="11"/>
      <c r="AL104" s="51"/>
    </row>
    <row r="105" ht="15.0" customHeight="1">
      <c r="A105" s="92" t="s">
        <v>354</v>
      </c>
      <c r="B105" s="56"/>
      <c r="C105" s="56">
        <v>45751.0</v>
      </c>
      <c r="D105" s="57" t="s">
        <v>324</v>
      </c>
      <c r="E105" s="57">
        <f t="array" ref="E105">XLOOKUP(D105,RUC!$B$3:$B$110,RUC!$D$3:$D$110)</f>
        <v>20612937096</v>
      </c>
      <c r="G105" s="3">
        <v>100.0</v>
      </c>
      <c r="H105" s="57" t="s">
        <v>47</v>
      </c>
      <c r="I105" s="58"/>
      <c r="J105" s="58"/>
      <c r="K105" s="59"/>
      <c r="L105" s="60"/>
      <c r="M105" s="60"/>
      <c r="N105" s="62"/>
      <c r="O105" s="60"/>
      <c r="P105" s="63"/>
      <c r="R105" s="65"/>
      <c r="S105" s="66"/>
      <c r="U105" s="67"/>
      <c r="V105" s="67"/>
      <c r="Z105" s="69"/>
      <c r="AA105" s="70"/>
      <c r="AB105" s="71"/>
      <c r="AC105" s="71"/>
      <c r="AD105" s="71"/>
      <c r="AE105" s="71"/>
      <c r="AF105" s="71"/>
      <c r="AG105" s="72"/>
      <c r="AH105" s="52"/>
      <c r="AI105" s="73"/>
      <c r="AJ105" s="73"/>
      <c r="AK105" s="11"/>
      <c r="AL105" s="51"/>
    </row>
    <row r="106" ht="15.0" customHeight="1">
      <c r="B106" s="56"/>
      <c r="C106" s="56"/>
      <c r="G106" s="3"/>
      <c r="L106" s="60"/>
      <c r="M106" s="60"/>
      <c r="N106" s="62"/>
      <c r="R106" s="65"/>
      <c r="AG106" s="91"/>
    </row>
    <row r="107" ht="15.0" customHeight="1">
      <c r="B107" s="56"/>
      <c r="C107" s="56"/>
      <c r="G107" s="3"/>
      <c r="L107" s="60"/>
      <c r="M107" s="60"/>
      <c r="N107" s="62"/>
      <c r="R107" s="65"/>
      <c r="AG107" s="91"/>
    </row>
    <row r="108" ht="15.0" customHeight="1">
      <c r="B108" s="56"/>
      <c r="C108" s="56"/>
      <c r="G108" s="3"/>
      <c r="L108" s="60"/>
      <c r="M108" s="60"/>
      <c r="N108" s="62"/>
      <c r="R108" s="65"/>
      <c r="AG108" s="91"/>
    </row>
    <row r="109" ht="15.0" customHeight="1">
      <c r="B109" s="56"/>
      <c r="C109" s="56"/>
      <c r="G109" s="3"/>
      <c r="L109" s="60"/>
      <c r="M109" s="60"/>
      <c r="N109" s="62"/>
      <c r="R109" s="65"/>
      <c r="AG109" s="91"/>
    </row>
    <row r="110" ht="15.0" customHeight="1">
      <c r="B110" s="56"/>
      <c r="C110" s="56"/>
      <c r="G110" s="3"/>
      <c r="L110" s="60"/>
      <c r="M110" s="60"/>
      <c r="N110" s="62"/>
      <c r="R110" s="65"/>
      <c r="AG110" s="91"/>
    </row>
    <row r="111" ht="15.0" customHeight="1">
      <c r="B111" s="56"/>
      <c r="C111" s="56"/>
      <c r="G111" s="3"/>
      <c r="L111" s="60"/>
      <c r="M111" s="60"/>
      <c r="N111" s="62"/>
      <c r="R111" s="65"/>
      <c r="AG111" s="91"/>
    </row>
    <row r="112" ht="15.0" customHeight="1">
      <c r="B112" s="56"/>
      <c r="C112" s="56"/>
      <c r="G112" s="3"/>
      <c r="L112" s="60"/>
      <c r="M112" s="60"/>
      <c r="N112" s="62"/>
      <c r="R112" s="65"/>
      <c r="AG112" s="91"/>
    </row>
    <row r="113" ht="15.0" customHeight="1">
      <c r="B113" s="56"/>
      <c r="C113" s="56"/>
      <c r="G113" s="3"/>
      <c r="L113" s="60"/>
      <c r="M113" s="60"/>
      <c r="N113" s="62"/>
      <c r="R113" s="65"/>
      <c r="AG113" s="91"/>
    </row>
    <row r="114" ht="15.0" customHeight="1">
      <c r="B114" s="56"/>
      <c r="C114" s="56"/>
      <c r="G114" s="3"/>
      <c r="L114" s="60"/>
      <c r="M114" s="60"/>
      <c r="N114" s="62"/>
      <c r="R114" s="65"/>
      <c r="AG114" s="91"/>
    </row>
    <row r="115" ht="15.0" customHeight="1">
      <c r="B115" s="56"/>
      <c r="C115" s="56"/>
      <c r="G115" s="3"/>
      <c r="L115" s="60"/>
      <c r="M115" s="60"/>
      <c r="N115" s="62"/>
      <c r="R115" s="65"/>
      <c r="AG115" s="91"/>
    </row>
    <row r="116" ht="15.0" customHeight="1">
      <c r="B116" s="56"/>
      <c r="C116" s="56"/>
      <c r="G116" s="3"/>
      <c r="L116" s="60"/>
      <c r="M116" s="60"/>
      <c r="N116" s="62"/>
      <c r="R116" s="65"/>
      <c r="AG116" s="91"/>
    </row>
    <row r="117" ht="15.0" customHeight="1">
      <c r="B117" s="56"/>
      <c r="C117" s="56"/>
      <c r="G117" s="3"/>
      <c r="L117" s="60"/>
      <c r="M117" s="60"/>
      <c r="N117" s="62"/>
      <c r="R117" s="65"/>
      <c r="AG117" s="91"/>
    </row>
    <row r="118" ht="15.0" customHeight="1">
      <c r="B118" s="56"/>
      <c r="C118" s="56"/>
      <c r="G118" s="3"/>
      <c r="L118" s="60"/>
      <c r="M118" s="60"/>
      <c r="N118" s="62"/>
      <c r="R118" s="65"/>
      <c r="AG118" s="91"/>
    </row>
    <row r="119" ht="15.0" customHeight="1">
      <c r="B119" s="56"/>
      <c r="C119" s="56"/>
      <c r="G119" s="3"/>
      <c r="L119" s="60"/>
      <c r="M119" s="60"/>
      <c r="N119" s="62"/>
      <c r="R119" s="65"/>
      <c r="AG119" s="91"/>
    </row>
    <row r="120" ht="15.0" customHeight="1">
      <c r="B120" s="56"/>
      <c r="C120" s="56"/>
      <c r="G120" s="3"/>
      <c r="L120" s="60"/>
      <c r="M120" s="60"/>
      <c r="N120" s="62"/>
      <c r="R120" s="65"/>
      <c r="AG120" s="91"/>
    </row>
    <row r="121" ht="15.0" customHeight="1">
      <c r="B121" s="56"/>
      <c r="C121" s="56"/>
      <c r="G121" s="3"/>
      <c r="L121" s="60"/>
      <c r="M121" s="60"/>
      <c r="N121" s="62"/>
      <c r="R121" s="65"/>
      <c r="AG121" s="91"/>
    </row>
    <row r="122" ht="15.0" customHeight="1">
      <c r="B122" s="56"/>
      <c r="C122" s="56"/>
      <c r="G122" s="3"/>
      <c r="L122" s="60"/>
      <c r="M122" s="60"/>
      <c r="N122" s="62"/>
      <c r="R122" s="65"/>
      <c r="AG122" s="91"/>
    </row>
    <row r="123" ht="15.0" customHeight="1">
      <c r="B123" s="56"/>
      <c r="C123" s="56"/>
      <c r="G123" s="3"/>
      <c r="L123" s="60"/>
      <c r="M123" s="60"/>
      <c r="N123" s="62"/>
      <c r="R123" s="65"/>
      <c r="AG123" s="91"/>
    </row>
    <row r="124" ht="15.0" customHeight="1">
      <c r="B124" s="56"/>
      <c r="C124" s="56"/>
      <c r="G124" s="3"/>
      <c r="L124" s="60"/>
      <c r="M124" s="60"/>
      <c r="N124" s="62"/>
      <c r="R124" s="65"/>
      <c r="AG124" s="91"/>
    </row>
    <row r="125" ht="15.0" customHeight="1">
      <c r="B125" s="56"/>
      <c r="C125" s="56"/>
      <c r="G125" s="3"/>
      <c r="L125" s="60"/>
      <c r="M125" s="60"/>
      <c r="N125" s="62"/>
      <c r="R125" s="65"/>
      <c r="AG125" s="91"/>
    </row>
    <row r="126" ht="15.0" customHeight="1">
      <c r="B126" s="56"/>
      <c r="C126" s="56"/>
      <c r="G126" s="3"/>
      <c r="L126" s="60"/>
      <c r="M126" s="60"/>
      <c r="N126" s="62"/>
      <c r="R126" s="65"/>
      <c r="AG126" s="91"/>
    </row>
    <row r="127" ht="15.0" customHeight="1">
      <c r="B127" s="56"/>
      <c r="C127" s="56"/>
      <c r="G127" s="3"/>
      <c r="L127" s="60"/>
      <c r="M127" s="60"/>
      <c r="N127" s="62"/>
      <c r="R127" s="65"/>
      <c r="AG127" s="91"/>
    </row>
    <row r="128" ht="15.0" customHeight="1">
      <c r="B128" s="56"/>
      <c r="C128" s="56"/>
      <c r="G128" s="3"/>
      <c r="L128" s="60"/>
      <c r="M128" s="60"/>
      <c r="N128" s="62"/>
      <c r="R128" s="65"/>
      <c r="AG128" s="91"/>
    </row>
    <row r="129" ht="15.0" customHeight="1">
      <c r="B129" s="56"/>
      <c r="C129" s="56"/>
      <c r="G129" s="3"/>
      <c r="L129" s="60"/>
      <c r="M129" s="60"/>
      <c r="N129" s="62"/>
      <c r="R129" s="65"/>
      <c r="AG129" s="91"/>
    </row>
    <row r="130" ht="15.0" customHeight="1">
      <c r="B130" s="56"/>
      <c r="C130" s="56"/>
      <c r="G130" s="3"/>
      <c r="L130" s="60"/>
      <c r="M130" s="60"/>
      <c r="N130" s="62"/>
      <c r="R130" s="65"/>
      <c r="AG130" s="91"/>
    </row>
    <row r="131" ht="15.0" customHeight="1">
      <c r="B131" s="56"/>
      <c r="C131" s="56"/>
      <c r="G131" s="3"/>
      <c r="L131" s="60"/>
      <c r="M131" s="60"/>
      <c r="N131" s="62"/>
      <c r="R131" s="65"/>
      <c r="AG131" s="91"/>
    </row>
    <row r="132" ht="15.0" customHeight="1">
      <c r="B132" s="56"/>
      <c r="C132" s="56"/>
      <c r="G132" s="3"/>
      <c r="L132" s="60"/>
      <c r="M132" s="60"/>
      <c r="N132" s="62"/>
      <c r="R132" s="65"/>
      <c r="AG132" s="91"/>
    </row>
    <row r="133" ht="15.0" customHeight="1">
      <c r="B133" s="56"/>
      <c r="C133" s="56"/>
      <c r="G133" s="3"/>
      <c r="L133" s="60"/>
      <c r="M133" s="60"/>
      <c r="N133" s="62"/>
      <c r="R133" s="65"/>
      <c r="AG133" s="91"/>
    </row>
    <row r="134" ht="15.0" customHeight="1">
      <c r="B134" s="56"/>
      <c r="C134" s="56"/>
      <c r="G134" s="3"/>
      <c r="L134" s="60"/>
      <c r="M134" s="60"/>
      <c r="N134" s="62"/>
      <c r="R134" s="65"/>
      <c r="AG134" s="91"/>
    </row>
    <row r="135" ht="15.0" customHeight="1">
      <c r="B135" s="56"/>
      <c r="C135" s="56"/>
      <c r="G135" s="3"/>
      <c r="L135" s="60"/>
      <c r="M135" s="60"/>
      <c r="N135" s="62"/>
      <c r="R135" s="65"/>
      <c r="AG135" s="91"/>
    </row>
    <row r="136" ht="15.0" customHeight="1">
      <c r="B136" s="56"/>
      <c r="C136" s="56"/>
      <c r="G136" s="3"/>
      <c r="L136" s="60"/>
      <c r="M136" s="60"/>
      <c r="N136" s="62"/>
      <c r="R136" s="65"/>
      <c r="AG136" s="91"/>
    </row>
    <row r="137" ht="15.0" customHeight="1">
      <c r="B137" s="56"/>
      <c r="C137" s="56"/>
      <c r="G137" s="3"/>
      <c r="L137" s="60"/>
      <c r="M137" s="60"/>
      <c r="N137" s="62"/>
      <c r="R137" s="65"/>
      <c r="AG137" s="91"/>
    </row>
    <row r="138" ht="15.0" customHeight="1">
      <c r="B138" s="56"/>
      <c r="C138" s="56"/>
      <c r="G138" s="3"/>
      <c r="L138" s="60"/>
      <c r="M138" s="60"/>
      <c r="N138" s="62"/>
      <c r="R138" s="65"/>
      <c r="AG138" s="91"/>
    </row>
    <row r="139" ht="15.0" customHeight="1">
      <c r="B139" s="56"/>
      <c r="C139" s="56"/>
      <c r="G139" s="3"/>
      <c r="L139" s="60"/>
      <c r="M139" s="60"/>
      <c r="N139" s="62"/>
      <c r="R139" s="65"/>
      <c r="AG139" s="91"/>
    </row>
    <row r="140" ht="15.0" customHeight="1">
      <c r="B140" s="56"/>
      <c r="C140" s="56"/>
      <c r="G140" s="3"/>
      <c r="L140" s="60"/>
      <c r="M140" s="60"/>
      <c r="N140" s="62"/>
      <c r="R140" s="65"/>
      <c r="AG140" s="91"/>
    </row>
    <row r="141" ht="15.0" customHeight="1">
      <c r="B141" s="56"/>
      <c r="C141" s="56"/>
      <c r="G141" s="3"/>
      <c r="L141" s="60"/>
      <c r="M141" s="60"/>
      <c r="N141" s="62"/>
      <c r="R141" s="65"/>
      <c r="AG141" s="91"/>
    </row>
    <row r="142" ht="15.0" customHeight="1">
      <c r="B142" s="56"/>
      <c r="C142" s="56"/>
      <c r="G142" s="3"/>
      <c r="L142" s="60"/>
      <c r="M142" s="60"/>
      <c r="N142" s="62"/>
      <c r="R142" s="65"/>
      <c r="AG142" s="91"/>
    </row>
    <row r="143" ht="15.0" customHeight="1">
      <c r="B143" s="56"/>
      <c r="C143" s="56"/>
      <c r="G143" s="3"/>
      <c r="L143" s="60"/>
      <c r="M143" s="60"/>
      <c r="N143" s="62"/>
      <c r="R143" s="65"/>
      <c r="AG143" s="91"/>
    </row>
    <row r="144" ht="15.0" customHeight="1">
      <c r="B144" s="56"/>
      <c r="C144" s="56"/>
      <c r="G144" s="3"/>
      <c r="L144" s="60"/>
      <c r="M144" s="60"/>
      <c r="N144" s="62"/>
      <c r="R144" s="65"/>
      <c r="AG144" s="91"/>
    </row>
    <row r="145" ht="15.0" customHeight="1">
      <c r="B145" s="56"/>
      <c r="C145" s="56"/>
      <c r="G145" s="3"/>
      <c r="L145" s="60"/>
      <c r="M145" s="60"/>
      <c r="N145" s="62"/>
      <c r="R145" s="65"/>
      <c r="AG145" s="91"/>
    </row>
    <row r="146" ht="15.0" customHeight="1">
      <c r="B146" s="56"/>
      <c r="C146" s="56"/>
      <c r="G146" s="3"/>
      <c r="L146" s="60"/>
      <c r="M146" s="60"/>
      <c r="N146" s="62"/>
      <c r="R146" s="65"/>
      <c r="AG146" s="91"/>
    </row>
    <row r="147" ht="15.0" customHeight="1">
      <c r="B147" s="56"/>
      <c r="C147" s="56"/>
      <c r="G147" s="3"/>
      <c r="L147" s="60"/>
      <c r="M147" s="60"/>
      <c r="N147" s="62"/>
      <c r="R147" s="65"/>
      <c r="AG147" s="91"/>
    </row>
    <row r="148" ht="15.0" customHeight="1">
      <c r="B148" s="56"/>
      <c r="C148" s="56"/>
      <c r="G148" s="3"/>
      <c r="L148" s="60"/>
      <c r="M148" s="60"/>
      <c r="N148" s="62"/>
      <c r="R148" s="65"/>
      <c r="AG148" s="91"/>
    </row>
    <row r="149" ht="15.0" customHeight="1">
      <c r="B149" s="56"/>
      <c r="C149" s="56"/>
      <c r="G149" s="3"/>
      <c r="L149" s="60"/>
      <c r="M149" s="60"/>
      <c r="N149" s="62"/>
      <c r="R149" s="65"/>
      <c r="AG149" s="91"/>
    </row>
    <row r="150" ht="15.0" customHeight="1">
      <c r="B150" s="56"/>
      <c r="C150" s="56"/>
      <c r="G150" s="3"/>
      <c r="L150" s="60"/>
      <c r="M150" s="60"/>
      <c r="N150" s="62"/>
      <c r="R150" s="65"/>
      <c r="AG150" s="91"/>
    </row>
    <row r="151" ht="15.0" customHeight="1">
      <c r="B151" s="56"/>
      <c r="C151" s="56"/>
      <c r="G151" s="3"/>
      <c r="L151" s="60"/>
      <c r="M151" s="60"/>
      <c r="N151" s="62"/>
      <c r="R151" s="65"/>
      <c r="AG151" s="91"/>
    </row>
    <row r="152" ht="15.0" customHeight="1">
      <c r="B152" s="56"/>
      <c r="C152" s="56"/>
      <c r="G152" s="3"/>
      <c r="L152" s="60"/>
      <c r="M152" s="60"/>
      <c r="N152" s="62"/>
      <c r="R152" s="65"/>
      <c r="AG152" s="91"/>
    </row>
    <row r="153" ht="15.0" customHeight="1">
      <c r="B153" s="56"/>
      <c r="C153" s="56"/>
      <c r="G153" s="3"/>
      <c r="L153" s="60"/>
      <c r="M153" s="60"/>
      <c r="N153" s="62"/>
      <c r="R153" s="65"/>
      <c r="AG153" s="91"/>
    </row>
    <row r="154" ht="15.0" customHeight="1">
      <c r="B154" s="56"/>
      <c r="C154" s="56"/>
      <c r="G154" s="3"/>
      <c r="L154" s="60"/>
      <c r="M154" s="60"/>
      <c r="N154" s="62"/>
      <c r="R154" s="65"/>
      <c r="AG154" s="91"/>
    </row>
    <row r="155" ht="15.0" customHeight="1">
      <c r="B155" s="56"/>
      <c r="C155" s="56"/>
      <c r="G155" s="3"/>
      <c r="L155" s="60"/>
      <c r="M155" s="60"/>
      <c r="N155" s="62"/>
      <c r="R155" s="65"/>
      <c r="AG155" s="91"/>
    </row>
    <row r="156" ht="15.0" customHeight="1">
      <c r="B156" s="56"/>
      <c r="C156" s="56"/>
      <c r="G156" s="3"/>
      <c r="L156" s="60"/>
      <c r="M156" s="60"/>
      <c r="N156" s="62"/>
      <c r="R156" s="65"/>
      <c r="AG156" s="91"/>
    </row>
    <row r="157" ht="15.0" customHeight="1">
      <c r="B157" s="56"/>
      <c r="C157" s="56"/>
      <c r="G157" s="3"/>
      <c r="L157" s="60"/>
      <c r="M157" s="60"/>
      <c r="N157" s="62"/>
      <c r="R157" s="65"/>
      <c r="AG157" s="91"/>
    </row>
    <row r="158" ht="15.0" customHeight="1">
      <c r="B158" s="56"/>
      <c r="C158" s="56"/>
      <c r="G158" s="3"/>
      <c r="L158" s="60"/>
      <c r="M158" s="60"/>
      <c r="N158" s="62"/>
      <c r="R158" s="65"/>
      <c r="AG158" s="91"/>
    </row>
    <row r="159" ht="15.0" customHeight="1">
      <c r="B159" s="56"/>
      <c r="C159" s="56"/>
      <c r="G159" s="3"/>
      <c r="L159" s="60"/>
      <c r="M159" s="60"/>
      <c r="N159" s="62"/>
      <c r="R159" s="65"/>
      <c r="AG159" s="91"/>
    </row>
    <row r="160" ht="15.0" customHeight="1">
      <c r="B160" s="56"/>
      <c r="C160" s="56"/>
      <c r="G160" s="3"/>
      <c r="L160" s="60"/>
      <c r="M160" s="60"/>
      <c r="N160" s="62"/>
      <c r="R160" s="65"/>
      <c r="AG160" s="91"/>
    </row>
    <row r="161" ht="15.0" customHeight="1">
      <c r="B161" s="56"/>
      <c r="C161" s="56"/>
      <c r="G161" s="3"/>
      <c r="L161" s="60"/>
      <c r="M161" s="60"/>
      <c r="N161" s="62"/>
      <c r="R161" s="65"/>
      <c r="AG161" s="91"/>
    </row>
    <row r="162" ht="15.0" customHeight="1">
      <c r="B162" s="56"/>
      <c r="C162" s="56"/>
      <c r="G162" s="3"/>
      <c r="L162" s="60"/>
      <c r="M162" s="60"/>
      <c r="N162" s="62"/>
      <c r="R162" s="65"/>
      <c r="AG162" s="91"/>
    </row>
    <row r="163" ht="15.0" customHeight="1">
      <c r="B163" s="56"/>
      <c r="C163" s="56"/>
      <c r="G163" s="3"/>
      <c r="L163" s="60"/>
      <c r="M163" s="60"/>
      <c r="N163" s="62"/>
      <c r="R163" s="65"/>
      <c r="AG163" s="91"/>
    </row>
    <row r="164" ht="15.0" customHeight="1">
      <c r="B164" s="56"/>
      <c r="C164" s="56"/>
      <c r="G164" s="3"/>
      <c r="L164" s="60"/>
      <c r="M164" s="60"/>
      <c r="N164" s="62"/>
      <c r="R164" s="65"/>
      <c r="AG164" s="91"/>
    </row>
    <row r="165" ht="15.0" customHeight="1">
      <c r="B165" s="56"/>
      <c r="C165" s="56"/>
      <c r="G165" s="3"/>
      <c r="L165" s="60"/>
      <c r="M165" s="60"/>
      <c r="N165" s="62"/>
      <c r="R165" s="65"/>
      <c r="AG165" s="91"/>
    </row>
    <row r="166" ht="15.0" customHeight="1">
      <c r="B166" s="56"/>
      <c r="C166" s="56"/>
      <c r="G166" s="3"/>
      <c r="L166" s="60"/>
      <c r="M166" s="60"/>
      <c r="N166" s="62"/>
      <c r="R166" s="65"/>
      <c r="AG166" s="91"/>
    </row>
    <row r="167" ht="15.0" customHeight="1">
      <c r="B167" s="56"/>
      <c r="C167" s="56"/>
      <c r="G167" s="3"/>
      <c r="L167" s="60"/>
      <c r="M167" s="60"/>
      <c r="N167" s="62"/>
      <c r="R167" s="65"/>
      <c r="AG167" s="91"/>
    </row>
    <row r="168" ht="15.0" customHeight="1">
      <c r="B168" s="56"/>
      <c r="C168" s="56"/>
      <c r="G168" s="3"/>
      <c r="L168" s="60"/>
      <c r="M168" s="60"/>
      <c r="N168" s="62"/>
      <c r="R168" s="65"/>
      <c r="AG168" s="91"/>
    </row>
    <row r="169" ht="15.0" customHeight="1">
      <c r="B169" s="56"/>
      <c r="C169" s="56"/>
      <c r="G169" s="3"/>
      <c r="L169" s="60"/>
      <c r="M169" s="60"/>
      <c r="N169" s="62"/>
      <c r="R169" s="65"/>
      <c r="AG169" s="91"/>
    </row>
    <row r="170" ht="15.0" customHeight="1">
      <c r="B170" s="56"/>
      <c r="C170" s="56"/>
      <c r="G170" s="3"/>
      <c r="L170" s="60"/>
      <c r="M170" s="60"/>
      <c r="N170" s="62"/>
      <c r="R170" s="65"/>
      <c r="AG170" s="91"/>
    </row>
    <row r="171" ht="15.0" customHeight="1">
      <c r="B171" s="56"/>
      <c r="C171" s="56"/>
      <c r="G171" s="3"/>
      <c r="L171" s="60"/>
      <c r="M171" s="60"/>
      <c r="N171" s="62"/>
      <c r="R171" s="65"/>
      <c r="AG171" s="91"/>
    </row>
    <row r="172" ht="15.0" customHeight="1">
      <c r="B172" s="56"/>
      <c r="C172" s="56"/>
      <c r="G172" s="3"/>
      <c r="L172" s="60"/>
      <c r="M172" s="60"/>
      <c r="N172" s="62"/>
      <c r="R172" s="65"/>
      <c r="AG172" s="91"/>
    </row>
    <row r="173" ht="15.0" customHeight="1">
      <c r="B173" s="56"/>
      <c r="C173" s="56"/>
      <c r="G173" s="3"/>
      <c r="L173" s="60"/>
      <c r="M173" s="60"/>
      <c r="N173" s="62"/>
      <c r="R173" s="65"/>
      <c r="AG173" s="91"/>
    </row>
    <row r="174" ht="15.0" customHeight="1">
      <c r="B174" s="56"/>
      <c r="C174" s="56"/>
      <c r="G174" s="3"/>
      <c r="L174" s="60"/>
      <c r="M174" s="60"/>
      <c r="N174" s="62"/>
      <c r="R174" s="65"/>
      <c r="AG174" s="91"/>
    </row>
    <row r="175" ht="15.0" customHeight="1">
      <c r="B175" s="56"/>
      <c r="C175" s="56"/>
      <c r="G175" s="3"/>
      <c r="L175" s="60"/>
      <c r="M175" s="60"/>
      <c r="N175" s="62"/>
      <c r="R175" s="65"/>
      <c r="AG175" s="91"/>
    </row>
    <row r="176" ht="15.0" customHeight="1">
      <c r="B176" s="56"/>
      <c r="C176" s="56"/>
      <c r="G176" s="3"/>
      <c r="L176" s="60"/>
      <c r="M176" s="60"/>
      <c r="N176" s="62"/>
      <c r="R176" s="65"/>
      <c r="AG176" s="91"/>
    </row>
    <row r="177" ht="15.0" customHeight="1">
      <c r="B177" s="56"/>
      <c r="C177" s="56"/>
      <c r="G177" s="3"/>
      <c r="L177" s="60"/>
      <c r="M177" s="60"/>
      <c r="N177" s="62"/>
      <c r="R177" s="65"/>
      <c r="AG177" s="91"/>
    </row>
    <row r="178" ht="15.0" customHeight="1">
      <c r="B178" s="56"/>
      <c r="C178" s="56"/>
      <c r="G178" s="3"/>
      <c r="L178" s="60"/>
      <c r="M178" s="60"/>
      <c r="N178" s="62"/>
      <c r="R178" s="65"/>
      <c r="AG178" s="91"/>
    </row>
    <row r="179" ht="15.0" customHeight="1">
      <c r="B179" s="56"/>
      <c r="C179" s="56"/>
      <c r="G179" s="3"/>
      <c r="L179" s="60"/>
      <c r="M179" s="60"/>
      <c r="N179" s="62"/>
      <c r="R179" s="65"/>
      <c r="AG179" s="91"/>
    </row>
    <row r="180" ht="15.0" customHeight="1">
      <c r="B180" s="56"/>
      <c r="C180" s="56"/>
      <c r="G180" s="3"/>
      <c r="L180" s="60"/>
      <c r="M180" s="60"/>
      <c r="N180" s="62"/>
      <c r="R180" s="65"/>
      <c r="AG180" s="91"/>
    </row>
    <row r="181" ht="15.0" customHeight="1">
      <c r="B181" s="56"/>
      <c r="C181" s="56"/>
      <c r="G181" s="3"/>
      <c r="L181" s="60"/>
      <c r="M181" s="60"/>
      <c r="N181" s="62"/>
      <c r="R181" s="65"/>
      <c r="AG181" s="91"/>
    </row>
    <row r="182" ht="15.0" customHeight="1">
      <c r="B182" s="56"/>
      <c r="C182" s="56"/>
      <c r="G182" s="3"/>
      <c r="L182" s="60"/>
      <c r="M182" s="60"/>
      <c r="N182" s="62"/>
      <c r="R182" s="65"/>
      <c r="AG182" s="91"/>
    </row>
    <row r="183" ht="15.0" customHeight="1">
      <c r="B183" s="56"/>
      <c r="C183" s="56"/>
      <c r="G183" s="3"/>
      <c r="L183" s="60"/>
      <c r="M183" s="60"/>
      <c r="N183" s="62"/>
      <c r="R183" s="65"/>
      <c r="AG183" s="91"/>
    </row>
    <row r="184" ht="15.0" customHeight="1">
      <c r="B184" s="56"/>
      <c r="C184" s="56"/>
      <c r="G184" s="3"/>
      <c r="L184" s="60"/>
      <c r="M184" s="60"/>
      <c r="N184" s="62"/>
      <c r="R184" s="65"/>
      <c r="AG184" s="91"/>
    </row>
    <row r="185" ht="15.0" customHeight="1">
      <c r="B185" s="56"/>
      <c r="C185" s="56"/>
      <c r="G185" s="3"/>
      <c r="L185" s="60"/>
      <c r="M185" s="60"/>
      <c r="N185" s="62"/>
      <c r="R185" s="65"/>
      <c r="AG185" s="91"/>
    </row>
    <row r="186" ht="15.0" customHeight="1">
      <c r="B186" s="56"/>
      <c r="C186" s="56"/>
      <c r="G186" s="3"/>
      <c r="L186" s="60"/>
      <c r="M186" s="60"/>
      <c r="N186" s="62"/>
      <c r="R186" s="65"/>
      <c r="AG186" s="91"/>
    </row>
    <row r="187" ht="15.0" customHeight="1">
      <c r="B187" s="56"/>
      <c r="C187" s="56"/>
      <c r="G187" s="3"/>
      <c r="L187" s="60"/>
      <c r="M187" s="60"/>
      <c r="N187" s="62"/>
      <c r="R187" s="65"/>
      <c r="AG187" s="91"/>
    </row>
    <row r="188" ht="15.0" customHeight="1">
      <c r="B188" s="56"/>
      <c r="C188" s="56"/>
      <c r="G188" s="3"/>
      <c r="L188" s="60"/>
      <c r="M188" s="60"/>
      <c r="N188" s="62"/>
      <c r="R188" s="65"/>
      <c r="AG188" s="91"/>
    </row>
    <row r="189" ht="15.0" customHeight="1">
      <c r="B189" s="56"/>
      <c r="C189" s="56"/>
      <c r="G189" s="3"/>
      <c r="L189" s="60"/>
      <c r="M189" s="60"/>
      <c r="N189" s="62"/>
      <c r="R189" s="65"/>
      <c r="AG189" s="91"/>
    </row>
    <row r="190" ht="15.0" customHeight="1">
      <c r="B190" s="56"/>
      <c r="C190" s="56"/>
      <c r="G190" s="3"/>
      <c r="L190" s="60"/>
      <c r="M190" s="60"/>
      <c r="N190" s="62"/>
      <c r="R190" s="65"/>
      <c r="AG190" s="91"/>
    </row>
    <row r="191" ht="15.0" customHeight="1">
      <c r="B191" s="56"/>
      <c r="C191" s="56"/>
      <c r="G191" s="3"/>
      <c r="L191" s="60"/>
      <c r="M191" s="60"/>
      <c r="N191" s="62"/>
      <c r="R191" s="65"/>
      <c r="AG191" s="91"/>
    </row>
    <row r="192" ht="15.0" customHeight="1">
      <c r="B192" s="56"/>
      <c r="C192" s="56"/>
      <c r="G192" s="3"/>
      <c r="L192" s="60"/>
      <c r="M192" s="60"/>
      <c r="N192" s="62"/>
      <c r="R192" s="65"/>
      <c r="AG192" s="91"/>
    </row>
    <row r="193" ht="15.0" customHeight="1">
      <c r="B193" s="56"/>
      <c r="C193" s="56"/>
      <c r="G193" s="3"/>
      <c r="L193" s="60"/>
      <c r="M193" s="60"/>
      <c r="N193" s="62"/>
      <c r="R193" s="65"/>
      <c r="AG193" s="91"/>
    </row>
    <row r="194" ht="15.0" customHeight="1">
      <c r="B194" s="56"/>
      <c r="C194" s="56"/>
      <c r="G194" s="3"/>
      <c r="L194" s="60"/>
      <c r="M194" s="60"/>
      <c r="N194" s="62"/>
      <c r="R194" s="65"/>
      <c r="AG194" s="91"/>
    </row>
    <row r="195" ht="15.0" customHeight="1">
      <c r="B195" s="56"/>
      <c r="C195" s="56"/>
      <c r="G195" s="3"/>
      <c r="L195" s="60"/>
      <c r="M195" s="60"/>
      <c r="N195" s="62"/>
      <c r="R195" s="65"/>
      <c r="AG195" s="91"/>
    </row>
    <row r="196" ht="15.0" customHeight="1">
      <c r="B196" s="56"/>
      <c r="C196" s="56"/>
      <c r="G196" s="3"/>
      <c r="L196" s="60"/>
      <c r="M196" s="60"/>
      <c r="N196" s="62"/>
      <c r="R196" s="65"/>
      <c r="AG196" s="91"/>
    </row>
    <row r="197" ht="15.0" customHeight="1">
      <c r="B197" s="56"/>
      <c r="C197" s="56"/>
      <c r="G197" s="3"/>
      <c r="L197" s="60"/>
      <c r="M197" s="60"/>
      <c r="N197" s="62"/>
      <c r="R197" s="65"/>
      <c r="AG197" s="91"/>
    </row>
    <row r="198" ht="15.0" customHeight="1">
      <c r="B198" s="56"/>
      <c r="C198" s="56"/>
      <c r="G198" s="3"/>
      <c r="L198" s="60"/>
      <c r="M198" s="60"/>
      <c r="N198" s="62"/>
      <c r="R198" s="65"/>
      <c r="AG198" s="91"/>
    </row>
    <row r="199" ht="15.0" customHeight="1">
      <c r="B199" s="56"/>
      <c r="C199" s="56"/>
      <c r="G199" s="3"/>
      <c r="L199" s="60"/>
      <c r="M199" s="60"/>
      <c r="N199" s="62"/>
      <c r="R199" s="65"/>
      <c r="AG199" s="91"/>
    </row>
    <row r="200" ht="15.0" customHeight="1">
      <c r="B200" s="56"/>
      <c r="C200" s="56"/>
      <c r="G200" s="3"/>
      <c r="L200" s="60"/>
      <c r="M200" s="60"/>
      <c r="N200" s="62"/>
      <c r="R200" s="65"/>
      <c r="AG200" s="91"/>
    </row>
    <row r="201" ht="15.0" customHeight="1">
      <c r="B201" s="56"/>
      <c r="C201" s="56"/>
      <c r="G201" s="3"/>
      <c r="L201" s="60"/>
      <c r="M201" s="60"/>
      <c r="N201" s="62"/>
      <c r="R201" s="65"/>
      <c r="AG201" s="91"/>
    </row>
    <row r="202" ht="15.0" customHeight="1">
      <c r="B202" s="56"/>
      <c r="C202" s="56"/>
      <c r="G202" s="3"/>
      <c r="L202" s="60"/>
      <c r="M202" s="60"/>
      <c r="N202" s="62"/>
      <c r="R202" s="65"/>
      <c r="AG202" s="91"/>
    </row>
    <row r="203" ht="15.0" customHeight="1">
      <c r="B203" s="56"/>
      <c r="C203" s="56"/>
      <c r="G203" s="3"/>
      <c r="L203" s="60"/>
      <c r="M203" s="60"/>
      <c r="N203" s="62"/>
      <c r="R203" s="65"/>
      <c r="AG203" s="91"/>
    </row>
    <row r="204" ht="15.0" customHeight="1">
      <c r="B204" s="56"/>
      <c r="C204" s="56"/>
      <c r="G204" s="3"/>
      <c r="L204" s="60"/>
      <c r="M204" s="60"/>
      <c r="N204" s="62"/>
      <c r="R204" s="65"/>
      <c r="AG204" s="91"/>
    </row>
    <row r="205" ht="15.0" customHeight="1">
      <c r="B205" s="56"/>
      <c r="C205" s="56"/>
      <c r="G205" s="3"/>
      <c r="L205" s="60"/>
      <c r="M205" s="60"/>
      <c r="N205" s="62"/>
      <c r="R205" s="65"/>
      <c r="AG205" s="91"/>
    </row>
    <row r="206" ht="15.0" customHeight="1">
      <c r="B206" s="56"/>
      <c r="C206" s="56"/>
      <c r="G206" s="3"/>
      <c r="L206" s="60"/>
      <c r="M206" s="60"/>
      <c r="N206" s="62"/>
      <c r="R206" s="65"/>
      <c r="AG206" s="91"/>
    </row>
    <row r="207" ht="15.0" customHeight="1">
      <c r="B207" s="56"/>
      <c r="C207" s="56"/>
      <c r="G207" s="3"/>
      <c r="L207" s="60"/>
      <c r="M207" s="60"/>
      <c r="N207" s="62"/>
      <c r="R207" s="65"/>
      <c r="AG207" s="91"/>
    </row>
    <row r="208" ht="15.0" customHeight="1">
      <c r="B208" s="56"/>
      <c r="C208" s="56"/>
      <c r="G208" s="3"/>
      <c r="L208" s="60"/>
      <c r="M208" s="60"/>
      <c r="N208" s="62"/>
      <c r="R208" s="65"/>
      <c r="AG208" s="91"/>
    </row>
    <row r="209" ht="15.0" customHeight="1">
      <c r="B209" s="56"/>
      <c r="C209" s="56"/>
      <c r="G209" s="3"/>
      <c r="L209" s="60"/>
      <c r="M209" s="60"/>
      <c r="N209" s="62"/>
      <c r="R209" s="65"/>
      <c r="AG209" s="91"/>
    </row>
    <row r="210" ht="15.0" customHeight="1">
      <c r="B210" s="56"/>
      <c r="C210" s="56"/>
      <c r="G210" s="3"/>
      <c r="L210" s="60"/>
      <c r="M210" s="60"/>
      <c r="N210" s="62"/>
      <c r="R210" s="65"/>
      <c r="AG210" s="91"/>
    </row>
    <row r="211" ht="15.0" customHeight="1">
      <c r="B211" s="56"/>
      <c r="C211" s="56"/>
      <c r="G211" s="3"/>
      <c r="L211" s="60"/>
      <c r="M211" s="60"/>
      <c r="N211" s="62"/>
      <c r="R211" s="65"/>
      <c r="AG211" s="91"/>
    </row>
    <row r="212" ht="15.0" customHeight="1">
      <c r="B212" s="56"/>
      <c r="C212" s="56"/>
      <c r="G212" s="3"/>
      <c r="L212" s="60"/>
      <c r="M212" s="60"/>
      <c r="N212" s="62"/>
      <c r="R212" s="65"/>
      <c r="AG212" s="91"/>
    </row>
    <row r="213" ht="15.0" customHeight="1">
      <c r="B213" s="56"/>
      <c r="C213" s="56"/>
      <c r="G213" s="3"/>
      <c r="L213" s="60"/>
      <c r="M213" s="60"/>
      <c r="N213" s="62"/>
      <c r="R213" s="65"/>
      <c r="AG213" s="91"/>
    </row>
    <row r="214" ht="15.0" customHeight="1">
      <c r="B214" s="56"/>
      <c r="C214" s="56"/>
      <c r="G214" s="3"/>
      <c r="L214" s="60"/>
      <c r="M214" s="60"/>
      <c r="N214" s="62"/>
      <c r="R214" s="65"/>
      <c r="AG214" s="91"/>
    </row>
    <row r="215" ht="15.0" customHeight="1">
      <c r="B215" s="56"/>
      <c r="C215" s="56"/>
      <c r="G215" s="3"/>
      <c r="L215" s="60"/>
      <c r="M215" s="60"/>
      <c r="N215" s="62"/>
      <c r="R215" s="65"/>
      <c r="AG215" s="91"/>
    </row>
    <row r="216" ht="15.0" customHeight="1">
      <c r="B216" s="56"/>
      <c r="C216" s="56"/>
      <c r="G216" s="3"/>
      <c r="L216" s="60"/>
      <c r="M216" s="60"/>
      <c r="N216" s="62"/>
      <c r="R216" s="65"/>
      <c r="AG216" s="91"/>
    </row>
    <row r="217" ht="15.0" customHeight="1">
      <c r="B217" s="56"/>
      <c r="C217" s="56"/>
      <c r="G217" s="3"/>
      <c r="L217" s="60"/>
      <c r="M217" s="60"/>
      <c r="N217" s="62"/>
      <c r="R217" s="65"/>
      <c r="AG217" s="91"/>
    </row>
    <row r="218" ht="15.0" customHeight="1">
      <c r="B218" s="56"/>
      <c r="C218" s="56"/>
      <c r="G218" s="3"/>
      <c r="L218" s="60"/>
      <c r="M218" s="60"/>
      <c r="N218" s="62"/>
      <c r="R218" s="65"/>
      <c r="AG218" s="91"/>
    </row>
    <row r="219" ht="15.0" customHeight="1">
      <c r="B219" s="56"/>
      <c r="C219" s="56"/>
      <c r="G219" s="3"/>
      <c r="L219" s="60"/>
      <c r="M219" s="60"/>
      <c r="N219" s="62"/>
      <c r="R219" s="65"/>
      <c r="AG219" s="91"/>
    </row>
    <row r="220" ht="15.0" customHeight="1">
      <c r="B220" s="56"/>
      <c r="C220" s="56"/>
      <c r="G220" s="3"/>
      <c r="L220" s="60"/>
      <c r="M220" s="60"/>
      <c r="N220" s="62"/>
      <c r="R220" s="65"/>
      <c r="AG220" s="91"/>
    </row>
    <row r="221" ht="15.0" customHeight="1">
      <c r="B221" s="56"/>
      <c r="C221" s="56"/>
      <c r="G221" s="3"/>
      <c r="L221" s="60"/>
      <c r="M221" s="60"/>
      <c r="N221" s="62"/>
      <c r="R221" s="65"/>
      <c r="AG221" s="91"/>
    </row>
    <row r="222" ht="15.0" customHeight="1">
      <c r="B222" s="56"/>
      <c r="C222" s="56"/>
      <c r="G222" s="3"/>
      <c r="L222" s="60"/>
      <c r="M222" s="60"/>
      <c r="N222" s="62"/>
      <c r="R222" s="65"/>
      <c r="AG222" s="91"/>
    </row>
    <row r="223" ht="15.0" customHeight="1">
      <c r="B223" s="56"/>
      <c r="C223" s="56"/>
      <c r="G223" s="3"/>
      <c r="L223" s="60"/>
      <c r="M223" s="60"/>
      <c r="N223" s="62"/>
      <c r="R223" s="65"/>
      <c r="AG223" s="91"/>
    </row>
    <row r="224" ht="15.0" customHeight="1">
      <c r="B224" s="56"/>
      <c r="C224" s="56"/>
      <c r="G224" s="3"/>
      <c r="L224" s="60"/>
      <c r="M224" s="60"/>
      <c r="N224" s="62"/>
      <c r="R224" s="65"/>
      <c r="AG224" s="91"/>
    </row>
    <row r="225" ht="15.0" customHeight="1">
      <c r="B225" s="56"/>
      <c r="C225" s="56"/>
      <c r="G225" s="3"/>
      <c r="L225" s="60"/>
      <c r="M225" s="60"/>
      <c r="N225" s="62"/>
      <c r="R225" s="65"/>
      <c r="AG225" s="91"/>
    </row>
    <row r="226" ht="15.0" customHeight="1">
      <c r="B226" s="56"/>
      <c r="C226" s="56"/>
      <c r="G226" s="3"/>
      <c r="L226" s="60"/>
      <c r="M226" s="60"/>
      <c r="N226" s="62"/>
      <c r="R226" s="65"/>
      <c r="AG226" s="91"/>
    </row>
    <row r="227" ht="15.0" customHeight="1">
      <c r="B227" s="56"/>
      <c r="C227" s="56"/>
      <c r="G227" s="3"/>
      <c r="L227" s="60"/>
      <c r="M227" s="60"/>
      <c r="N227" s="62"/>
      <c r="R227" s="65"/>
      <c r="AG227" s="91"/>
    </row>
    <row r="228" ht="15.0" customHeight="1">
      <c r="B228" s="56"/>
      <c r="C228" s="56"/>
      <c r="G228" s="3"/>
      <c r="L228" s="60"/>
      <c r="M228" s="60"/>
      <c r="N228" s="62"/>
      <c r="R228" s="65"/>
      <c r="AG228" s="91"/>
    </row>
    <row r="229" ht="15.0" customHeight="1">
      <c r="B229" s="56"/>
      <c r="C229" s="56"/>
      <c r="G229" s="3"/>
      <c r="L229" s="60"/>
      <c r="M229" s="60"/>
      <c r="N229" s="62"/>
      <c r="R229" s="65"/>
      <c r="AG229" s="91"/>
    </row>
    <row r="230" ht="15.0" customHeight="1">
      <c r="B230" s="56"/>
      <c r="C230" s="56"/>
      <c r="G230" s="3"/>
      <c r="L230" s="60"/>
      <c r="M230" s="60"/>
      <c r="N230" s="62"/>
      <c r="R230" s="65"/>
      <c r="AG230" s="91"/>
    </row>
    <row r="231" ht="15.0" customHeight="1">
      <c r="B231" s="56"/>
      <c r="C231" s="56"/>
      <c r="G231" s="3"/>
      <c r="L231" s="60"/>
      <c r="M231" s="60"/>
      <c r="N231" s="62"/>
      <c r="R231" s="65"/>
      <c r="AG231" s="91"/>
    </row>
    <row r="232" ht="15.0" customHeight="1">
      <c r="B232" s="56"/>
      <c r="C232" s="56"/>
      <c r="G232" s="3"/>
      <c r="L232" s="60"/>
      <c r="M232" s="60"/>
      <c r="N232" s="62"/>
      <c r="R232" s="65"/>
      <c r="AG232" s="91"/>
    </row>
    <row r="233" ht="15.0" customHeight="1">
      <c r="B233" s="56"/>
      <c r="C233" s="56"/>
      <c r="G233" s="3"/>
      <c r="L233" s="60"/>
      <c r="M233" s="60"/>
      <c r="N233" s="62"/>
      <c r="R233" s="65"/>
      <c r="AG233" s="91"/>
    </row>
    <row r="234" ht="15.0" customHeight="1">
      <c r="B234" s="56"/>
      <c r="C234" s="56"/>
      <c r="G234" s="3"/>
      <c r="L234" s="60"/>
      <c r="M234" s="60"/>
      <c r="N234" s="62"/>
      <c r="R234" s="65"/>
      <c r="AG234" s="91"/>
    </row>
    <row r="235" ht="15.0" customHeight="1">
      <c r="B235" s="56"/>
      <c r="C235" s="56"/>
      <c r="G235" s="3"/>
      <c r="L235" s="60"/>
      <c r="M235" s="60"/>
      <c r="N235" s="62"/>
      <c r="R235" s="65"/>
      <c r="AG235" s="91"/>
    </row>
    <row r="236" ht="15.0" customHeight="1">
      <c r="B236" s="56"/>
      <c r="C236" s="56"/>
      <c r="G236" s="3"/>
      <c r="L236" s="60"/>
      <c r="M236" s="60"/>
      <c r="N236" s="62"/>
      <c r="R236" s="65"/>
      <c r="AG236" s="91"/>
    </row>
    <row r="237" ht="15.0" customHeight="1">
      <c r="B237" s="56"/>
      <c r="C237" s="56"/>
      <c r="G237" s="3"/>
      <c r="L237" s="60"/>
      <c r="M237" s="60"/>
      <c r="N237" s="62"/>
      <c r="R237" s="65"/>
      <c r="AG237" s="91"/>
    </row>
    <row r="238" ht="15.0" customHeight="1">
      <c r="B238" s="56"/>
      <c r="C238" s="56"/>
      <c r="G238" s="3"/>
      <c r="L238" s="60"/>
      <c r="M238" s="60"/>
      <c r="N238" s="62"/>
      <c r="R238" s="65"/>
      <c r="AG238" s="91"/>
    </row>
    <row r="239" ht="15.0" customHeight="1">
      <c r="B239" s="56"/>
      <c r="C239" s="56"/>
      <c r="G239" s="3"/>
      <c r="L239" s="60"/>
      <c r="M239" s="60"/>
      <c r="N239" s="62"/>
      <c r="R239" s="65"/>
      <c r="AG239" s="91"/>
    </row>
    <row r="240" ht="15.0" customHeight="1">
      <c r="B240" s="56"/>
      <c r="C240" s="56"/>
      <c r="G240" s="3"/>
      <c r="L240" s="60"/>
      <c r="M240" s="60"/>
      <c r="N240" s="62"/>
      <c r="R240" s="65"/>
      <c r="AG240" s="91"/>
    </row>
    <row r="241" ht="15.0" customHeight="1">
      <c r="B241" s="56"/>
      <c r="C241" s="56"/>
      <c r="G241" s="3"/>
      <c r="L241" s="60"/>
      <c r="M241" s="60"/>
      <c r="N241" s="62"/>
      <c r="R241" s="65"/>
      <c r="AG241" s="91"/>
    </row>
    <row r="242" ht="15.0" customHeight="1">
      <c r="B242" s="56"/>
      <c r="C242" s="56"/>
      <c r="G242" s="3"/>
      <c r="L242" s="60"/>
      <c r="M242" s="60"/>
      <c r="N242" s="62"/>
      <c r="R242" s="65"/>
      <c r="AG242" s="91"/>
    </row>
    <row r="243" ht="15.0" customHeight="1">
      <c r="B243" s="56"/>
      <c r="C243" s="56"/>
      <c r="G243" s="3"/>
      <c r="L243" s="60"/>
      <c r="M243" s="60"/>
      <c r="N243" s="62"/>
      <c r="R243" s="65"/>
      <c r="AG243" s="91"/>
    </row>
    <row r="244" ht="15.0" customHeight="1">
      <c r="B244" s="56"/>
      <c r="C244" s="56"/>
      <c r="G244" s="3"/>
      <c r="L244" s="60"/>
      <c r="M244" s="60"/>
      <c r="N244" s="62"/>
      <c r="R244" s="65"/>
      <c r="AG244" s="91"/>
    </row>
    <row r="245" ht="15.0" customHeight="1">
      <c r="B245" s="56"/>
      <c r="C245" s="56"/>
      <c r="G245" s="3"/>
      <c r="L245" s="60"/>
      <c r="M245" s="60"/>
      <c r="N245" s="62"/>
      <c r="R245" s="65"/>
      <c r="AG245" s="91"/>
    </row>
    <row r="246" ht="15.0" customHeight="1">
      <c r="B246" s="56"/>
      <c r="C246" s="56"/>
      <c r="G246" s="3"/>
      <c r="L246" s="60"/>
      <c r="M246" s="60"/>
      <c r="N246" s="62"/>
      <c r="R246" s="65"/>
      <c r="AG246" s="91"/>
    </row>
    <row r="247" ht="15.0" customHeight="1">
      <c r="B247" s="56"/>
      <c r="C247" s="56"/>
      <c r="G247" s="3"/>
      <c r="L247" s="60"/>
      <c r="M247" s="60"/>
      <c r="N247" s="62"/>
      <c r="R247" s="65"/>
      <c r="AG247" s="91"/>
    </row>
    <row r="248" ht="15.0" customHeight="1">
      <c r="B248" s="56"/>
      <c r="C248" s="56"/>
      <c r="G248" s="3"/>
      <c r="L248" s="60"/>
      <c r="M248" s="60"/>
      <c r="N248" s="62"/>
      <c r="R248" s="65"/>
      <c r="AG248" s="91"/>
    </row>
    <row r="249" ht="15.0" customHeight="1">
      <c r="B249" s="56"/>
      <c r="C249" s="56"/>
      <c r="G249" s="3"/>
      <c r="L249" s="60"/>
      <c r="M249" s="60"/>
      <c r="N249" s="62"/>
      <c r="R249" s="65"/>
      <c r="AG249" s="91"/>
    </row>
    <row r="250" ht="15.0" customHeight="1">
      <c r="B250" s="56"/>
      <c r="C250" s="56"/>
      <c r="G250" s="3"/>
      <c r="L250" s="60"/>
      <c r="M250" s="60"/>
      <c r="N250" s="62"/>
      <c r="R250" s="65"/>
      <c r="AG250" s="91"/>
    </row>
    <row r="251" ht="15.0" customHeight="1">
      <c r="B251" s="56"/>
      <c r="C251" s="56"/>
      <c r="G251" s="3"/>
      <c r="L251" s="60"/>
      <c r="M251" s="60"/>
      <c r="N251" s="62"/>
      <c r="R251" s="65"/>
      <c r="AG251" s="91"/>
    </row>
    <row r="252" ht="15.0" customHeight="1">
      <c r="B252" s="56"/>
      <c r="C252" s="56"/>
      <c r="G252" s="3"/>
      <c r="L252" s="60"/>
      <c r="M252" s="60"/>
      <c r="N252" s="62"/>
      <c r="R252" s="65"/>
      <c r="AG252" s="91"/>
    </row>
    <row r="253" ht="15.0" customHeight="1">
      <c r="B253" s="56"/>
      <c r="C253" s="56"/>
      <c r="G253" s="3"/>
      <c r="L253" s="60"/>
      <c r="M253" s="60"/>
      <c r="N253" s="62"/>
      <c r="R253" s="65"/>
      <c r="AG253" s="91"/>
    </row>
    <row r="254" ht="15.0" customHeight="1">
      <c r="B254" s="56"/>
      <c r="C254" s="56"/>
      <c r="G254" s="3"/>
      <c r="L254" s="60"/>
      <c r="M254" s="60"/>
      <c r="N254" s="62"/>
      <c r="R254" s="65"/>
      <c r="AG254" s="91"/>
    </row>
    <row r="255" ht="15.0" customHeight="1">
      <c r="B255" s="56"/>
      <c r="C255" s="56"/>
      <c r="G255" s="3"/>
      <c r="L255" s="60"/>
      <c r="M255" s="60"/>
      <c r="N255" s="62"/>
      <c r="R255" s="65"/>
      <c r="AG255" s="91"/>
    </row>
    <row r="256" ht="15.0" customHeight="1">
      <c r="B256" s="56"/>
      <c r="C256" s="56"/>
      <c r="G256" s="3"/>
      <c r="L256" s="60"/>
      <c r="M256" s="60"/>
      <c r="N256" s="62"/>
      <c r="R256" s="65"/>
      <c r="AG256" s="91"/>
    </row>
    <row r="257" ht="15.0" customHeight="1">
      <c r="B257" s="56"/>
      <c r="C257" s="56"/>
      <c r="G257" s="3"/>
      <c r="L257" s="60"/>
      <c r="M257" s="60"/>
      <c r="N257" s="62"/>
      <c r="R257" s="65"/>
      <c r="AG257" s="91"/>
    </row>
    <row r="258" ht="15.0" customHeight="1">
      <c r="B258" s="56"/>
      <c r="C258" s="56"/>
      <c r="G258" s="3"/>
      <c r="L258" s="60"/>
      <c r="M258" s="60"/>
      <c r="N258" s="62"/>
      <c r="R258" s="65"/>
      <c r="AG258" s="91"/>
    </row>
    <row r="259" ht="15.0" customHeight="1">
      <c r="B259" s="56"/>
      <c r="C259" s="56"/>
      <c r="G259" s="3"/>
      <c r="L259" s="60"/>
      <c r="M259" s="60"/>
      <c r="N259" s="62"/>
      <c r="R259" s="65"/>
      <c r="AG259" s="91"/>
    </row>
    <row r="260" ht="15.0" customHeight="1">
      <c r="B260" s="56"/>
      <c r="C260" s="56"/>
      <c r="G260" s="3"/>
      <c r="L260" s="60"/>
      <c r="M260" s="60"/>
      <c r="N260" s="62"/>
      <c r="R260" s="65"/>
      <c r="AG260" s="91"/>
    </row>
    <row r="261" ht="15.0" customHeight="1">
      <c r="B261" s="56"/>
      <c r="C261" s="56"/>
      <c r="G261" s="3"/>
      <c r="L261" s="60"/>
      <c r="M261" s="60"/>
      <c r="N261" s="62"/>
      <c r="R261" s="65"/>
      <c r="AG261" s="91"/>
    </row>
    <row r="262" ht="15.0" customHeight="1">
      <c r="B262" s="56"/>
      <c r="C262" s="56"/>
      <c r="G262" s="3"/>
      <c r="L262" s="60"/>
      <c r="M262" s="60"/>
      <c r="N262" s="62"/>
      <c r="R262" s="65"/>
      <c r="AG262" s="91"/>
    </row>
    <row r="263" ht="15.0" customHeight="1">
      <c r="B263" s="56"/>
      <c r="C263" s="56"/>
      <c r="G263" s="3"/>
      <c r="L263" s="60"/>
      <c r="M263" s="60"/>
      <c r="N263" s="62"/>
      <c r="R263" s="65"/>
      <c r="AG263" s="91"/>
    </row>
    <row r="264" ht="15.0" customHeight="1">
      <c r="B264" s="56"/>
      <c r="C264" s="56"/>
      <c r="G264" s="3"/>
      <c r="L264" s="60"/>
      <c r="M264" s="60"/>
      <c r="N264" s="62"/>
      <c r="R264" s="65"/>
      <c r="AG264" s="91"/>
    </row>
    <row r="265" ht="15.0" customHeight="1">
      <c r="B265" s="56"/>
      <c r="C265" s="56"/>
      <c r="G265" s="3"/>
      <c r="L265" s="60"/>
      <c r="M265" s="60"/>
      <c r="N265" s="62"/>
      <c r="R265" s="65"/>
      <c r="AG265" s="91"/>
    </row>
    <row r="266" ht="15.0" customHeight="1">
      <c r="B266" s="56"/>
      <c r="C266" s="56"/>
      <c r="G266" s="3"/>
      <c r="L266" s="60"/>
      <c r="M266" s="60"/>
      <c r="N266" s="62"/>
      <c r="R266" s="65"/>
      <c r="AG266" s="91"/>
    </row>
    <row r="267" ht="15.0" customHeight="1">
      <c r="B267" s="56"/>
      <c r="C267" s="56"/>
      <c r="G267" s="3"/>
      <c r="L267" s="60"/>
      <c r="M267" s="60"/>
      <c r="N267" s="62"/>
      <c r="R267" s="65"/>
      <c r="AG267" s="91"/>
    </row>
    <row r="268" ht="15.0" customHeight="1">
      <c r="B268" s="56"/>
      <c r="C268" s="56"/>
      <c r="G268" s="3"/>
      <c r="L268" s="60"/>
      <c r="M268" s="60"/>
      <c r="N268" s="62"/>
      <c r="R268" s="65"/>
      <c r="AG268" s="91"/>
    </row>
    <row r="269" ht="15.0" customHeight="1">
      <c r="B269" s="56"/>
      <c r="C269" s="56"/>
      <c r="G269" s="3"/>
      <c r="L269" s="60"/>
      <c r="M269" s="60"/>
      <c r="N269" s="62"/>
      <c r="R269" s="65"/>
      <c r="AG269" s="91"/>
    </row>
    <row r="270" ht="15.0" customHeight="1">
      <c r="B270" s="56"/>
      <c r="C270" s="56"/>
      <c r="G270" s="3"/>
      <c r="L270" s="60"/>
      <c r="M270" s="60"/>
      <c r="N270" s="62"/>
      <c r="R270" s="65"/>
      <c r="AG270" s="91"/>
    </row>
    <row r="271" ht="15.0" customHeight="1">
      <c r="B271" s="56"/>
      <c r="C271" s="56"/>
      <c r="G271" s="3"/>
      <c r="L271" s="60"/>
      <c r="M271" s="60"/>
      <c r="N271" s="62"/>
      <c r="R271" s="65"/>
      <c r="AG271" s="91"/>
    </row>
    <row r="272" ht="15.0" customHeight="1">
      <c r="B272" s="56"/>
      <c r="C272" s="56"/>
      <c r="G272" s="3"/>
      <c r="L272" s="60"/>
      <c r="M272" s="60"/>
      <c r="N272" s="62"/>
      <c r="R272" s="65"/>
      <c r="AG272" s="91"/>
    </row>
    <row r="273" ht="15.0" customHeight="1">
      <c r="B273" s="56"/>
      <c r="C273" s="56"/>
      <c r="G273" s="3"/>
      <c r="L273" s="60"/>
      <c r="M273" s="60"/>
      <c r="N273" s="62"/>
      <c r="R273" s="65"/>
      <c r="AG273" s="91"/>
    </row>
    <row r="274" ht="15.0" customHeight="1">
      <c r="B274" s="56"/>
      <c r="C274" s="56"/>
      <c r="G274" s="3"/>
      <c r="L274" s="60"/>
      <c r="M274" s="60"/>
      <c r="N274" s="62"/>
      <c r="R274" s="65"/>
      <c r="AG274" s="91"/>
    </row>
    <row r="275" ht="15.0" customHeight="1">
      <c r="B275" s="56"/>
      <c r="C275" s="56"/>
      <c r="G275" s="3"/>
      <c r="L275" s="60"/>
      <c r="M275" s="60"/>
      <c r="N275" s="62"/>
      <c r="R275" s="65"/>
      <c r="AG275" s="91"/>
    </row>
    <row r="276" ht="15.0" customHeight="1">
      <c r="B276" s="56"/>
      <c r="C276" s="56"/>
      <c r="G276" s="3"/>
      <c r="L276" s="60"/>
      <c r="M276" s="60"/>
      <c r="N276" s="62"/>
      <c r="R276" s="65"/>
      <c r="AG276" s="91"/>
    </row>
    <row r="277" ht="15.0" customHeight="1">
      <c r="B277" s="56"/>
      <c r="C277" s="56"/>
      <c r="G277" s="3"/>
      <c r="L277" s="60"/>
      <c r="M277" s="60"/>
      <c r="N277" s="62"/>
      <c r="R277" s="65"/>
      <c r="AG277" s="91"/>
    </row>
    <row r="278" ht="15.0" customHeight="1">
      <c r="B278" s="56"/>
      <c r="C278" s="56"/>
      <c r="G278" s="3"/>
      <c r="L278" s="60"/>
      <c r="M278" s="60"/>
      <c r="N278" s="62"/>
      <c r="R278" s="65"/>
      <c r="AG278" s="91"/>
    </row>
    <row r="279" ht="15.0" customHeight="1">
      <c r="B279" s="56"/>
      <c r="C279" s="56"/>
      <c r="G279" s="3"/>
      <c r="L279" s="60"/>
      <c r="M279" s="60"/>
      <c r="N279" s="62"/>
      <c r="R279" s="65"/>
      <c r="AG279" s="91"/>
    </row>
    <row r="280" ht="15.0" customHeight="1">
      <c r="B280" s="56"/>
      <c r="C280" s="56"/>
      <c r="G280" s="3"/>
      <c r="L280" s="60"/>
      <c r="M280" s="60"/>
      <c r="N280" s="62"/>
      <c r="R280" s="65"/>
      <c r="AG280" s="91"/>
    </row>
    <row r="281" ht="15.0" customHeight="1">
      <c r="B281" s="56"/>
      <c r="C281" s="56"/>
      <c r="G281" s="3"/>
      <c r="L281" s="60"/>
      <c r="M281" s="60"/>
      <c r="N281" s="62"/>
      <c r="R281" s="65"/>
      <c r="AG281" s="91"/>
    </row>
    <row r="282" ht="15.0" customHeight="1">
      <c r="B282" s="56"/>
      <c r="C282" s="56"/>
      <c r="G282" s="3"/>
      <c r="L282" s="60"/>
      <c r="M282" s="60"/>
      <c r="N282" s="62"/>
      <c r="R282" s="65"/>
      <c r="AG282" s="91"/>
    </row>
    <row r="283" ht="15.0" customHeight="1">
      <c r="B283" s="56"/>
      <c r="C283" s="56"/>
      <c r="G283" s="3"/>
      <c r="L283" s="60"/>
      <c r="M283" s="60"/>
      <c r="N283" s="62"/>
      <c r="R283" s="65"/>
      <c r="AG283" s="91"/>
    </row>
    <row r="284" ht="15.0" customHeight="1">
      <c r="B284" s="56"/>
      <c r="C284" s="56"/>
      <c r="G284" s="3"/>
      <c r="L284" s="60"/>
      <c r="M284" s="60"/>
      <c r="N284" s="62"/>
      <c r="R284" s="65"/>
      <c r="AG284" s="91"/>
    </row>
    <row r="285" ht="15.0" customHeight="1">
      <c r="B285" s="56"/>
      <c r="C285" s="56"/>
      <c r="G285" s="3"/>
      <c r="L285" s="60"/>
      <c r="M285" s="60"/>
      <c r="N285" s="62"/>
      <c r="R285" s="65"/>
      <c r="AG285" s="91"/>
    </row>
    <row r="286" ht="15.0" customHeight="1">
      <c r="B286" s="56"/>
      <c r="C286" s="56"/>
      <c r="G286" s="3"/>
      <c r="L286" s="60"/>
      <c r="M286" s="60"/>
      <c r="N286" s="62"/>
      <c r="R286" s="65"/>
      <c r="AG286" s="91"/>
    </row>
    <row r="287" ht="15.0" customHeight="1">
      <c r="B287" s="56"/>
      <c r="C287" s="56"/>
      <c r="G287" s="3"/>
      <c r="L287" s="60"/>
      <c r="M287" s="60"/>
      <c r="N287" s="62"/>
      <c r="R287" s="65"/>
      <c r="AG287" s="91"/>
    </row>
    <row r="288" ht="15.0" customHeight="1">
      <c r="B288" s="56"/>
      <c r="C288" s="56"/>
      <c r="G288" s="3"/>
      <c r="L288" s="60"/>
      <c r="M288" s="60"/>
      <c r="N288" s="62"/>
      <c r="R288" s="65"/>
      <c r="AG288" s="91"/>
    </row>
    <row r="289" ht="15.0" customHeight="1">
      <c r="B289" s="56"/>
      <c r="C289" s="56"/>
      <c r="G289" s="3"/>
      <c r="L289" s="60"/>
      <c r="M289" s="60"/>
      <c r="N289" s="62"/>
      <c r="R289" s="65"/>
      <c r="AG289" s="91"/>
    </row>
    <row r="290" ht="15.0" customHeight="1">
      <c r="B290" s="56"/>
      <c r="C290" s="56"/>
      <c r="G290" s="3"/>
      <c r="L290" s="60"/>
      <c r="M290" s="60"/>
      <c r="N290" s="62"/>
      <c r="R290" s="65"/>
      <c r="AG290" s="91"/>
    </row>
    <row r="291" ht="15.0" customHeight="1">
      <c r="B291" s="56"/>
      <c r="C291" s="56"/>
      <c r="G291" s="3"/>
      <c r="L291" s="60"/>
      <c r="M291" s="60"/>
      <c r="N291" s="62"/>
      <c r="R291" s="65"/>
      <c r="AG291" s="91"/>
    </row>
    <row r="292" ht="15.0" customHeight="1">
      <c r="B292" s="56"/>
      <c r="C292" s="56"/>
      <c r="G292" s="3"/>
      <c r="L292" s="60"/>
      <c r="M292" s="60"/>
      <c r="N292" s="62"/>
      <c r="R292" s="65"/>
      <c r="AG292" s="91"/>
    </row>
    <row r="293" ht="15.0" customHeight="1">
      <c r="B293" s="56"/>
      <c r="C293" s="56"/>
      <c r="G293" s="3"/>
      <c r="L293" s="60"/>
      <c r="M293" s="60"/>
      <c r="N293" s="62"/>
      <c r="R293" s="65"/>
      <c r="AG293" s="91"/>
    </row>
    <row r="294" ht="15.0" customHeight="1">
      <c r="B294" s="56"/>
      <c r="C294" s="56"/>
      <c r="G294" s="3"/>
      <c r="L294" s="60"/>
      <c r="M294" s="60"/>
      <c r="N294" s="62"/>
      <c r="R294" s="65"/>
      <c r="AG294" s="91"/>
    </row>
    <row r="295" ht="15.0" customHeight="1">
      <c r="B295" s="56"/>
      <c r="C295" s="56"/>
      <c r="G295" s="3"/>
      <c r="L295" s="60"/>
      <c r="M295" s="60"/>
      <c r="N295" s="62"/>
      <c r="R295" s="65"/>
      <c r="AG295" s="91"/>
    </row>
    <row r="296" ht="15.0" customHeight="1">
      <c r="B296" s="56"/>
      <c r="C296" s="56"/>
      <c r="G296" s="3"/>
      <c r="L296" s="60"/>
      <c r="M296" s="60"/>
      <c r="N296" s="62"/>
      <c r="R296" s="65"/>
      <c r="AG296" s="91"/>
    </row>
    <row r="297" ht="15.0" customHeight="1">
      <c r="B297" s="56"/>
      <c r="C297" s="56"/>
      <c r="G297" s="3"/>
      <c r="L297" s="60"/>
      <c r="M297" s="60"/>
      <c r="N297" s="62"/>
      <c r="R297" s="65"/>
      <c r="AG297" s="91"/>
    </row>
    <row r="298" ht="15.0" customHeight="1">
      <c r="B298" s="56"/>
      <c r="C298" s="56"/>
      <c r="G298" s="3"/>
      <c r="L298" s="60"/>
      <c r="M298" s="60"/>
      <c r="N298" s="62"/>
      <c r="R298" s="65"/>
      <c r="AG298" s="91"/>
    </row>
    <row r="299" ht="15.0" customHeight="1">
      <c r="B299" s="56"/>
      <c r="C299" s="56"/>
      <c r="G299" s="3"/>
      <c r="L299" s="60"/>
      <c r="M299" s="60"/>
      <c r="N299" s="62"/>
      <c r="R299" s="65"/>
      <c r="AG299" s="91"/>
    </row>
    <row r="300" ht="15.0" customHeight="1">
      <c r="B300" s="56"/>
      <c r="C300" s="56"/>
      <c r="G300" s="3"/>
      <c r="L300" s="60"/>
      <c r="M300" s="60"/>
      <c r="N300" s="62"/>
      <c r="R300" s="65"/>
      <c r="AG300" s="91"/>
    </row>
    <row r="301" ht="15.0" customHeight="1">
      <c r="B301" s="56"/>
      <c r="C301" s="56"/>
      <c r="G301" s="3"/>
      <c r="L301" s="60"/>
      <c r="M301" s="60"/>
      <c r="N301" s="62"/>
      <c r="R301" s="65"/>
      <c r="AG301" s="91"/>
    </row>
    <row r="302" ht="15.0" customHeight="1">
      <c r="B302" s="56"/>
      <c r="C302" s="56"/>
      <c r="G302" s="3"/>
      <c r="L302" s="60"/>
      <c r="M302" s="60"/>
      <c r="N302" s="62"/>
      <c r="R302" s="65"/>
      <c r="AG302" s="91"/>
    </row>
    <row r="303" ht="15.0" customHeight="1">
      <c r="B303" s="56"/>
      <c r="C303" s="56"/>
      <c r="G303" s="3"/>
      <c r="L303" s="60"/>
      <c r="M303" s="60"/>
      <c r="N303" s="62"/>
      <c r="R303" s="65"/>
      <c r="AG303" s="91"/>
    </row>
    <row r="304" ht="15.0" customHeight="1">
      <c r="B304" s="56"/>
      <c r="C304" s="56"/>
      <c r="G304" s="3"/>
      <c r="L304" s="60"/>
      <c r="M304" s="60"/>
      <c r="N304" s="62"/>
      <c r="R304" s="65"/>
      <c r="AG304" s="91"/>
    </row>
    <row r="305" ht="15.0" customHeight="1">
      <c r="B305" s="56"/>
      <c r="C305" s="56"/>
      <c r="G305" s="3"/>
      <c r="L305" s="60"/>
      <c r="M305" s="60"/>
      <c r="N305" s="62"/>
      <c r="R305" s="65"/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L$4">
    <sortState ref="A3:AL4">
      <sortCondition ref="A3:A4"/>
    </sortState>
  </autoFilter>
  <printOptions/>
  <pageMargins bottom="0.75" footer="0.0" header="0.0" left="0.7" right="0.7" top="0.7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D1" s="97" t="s">
        <v>241</v>
      </c>
      <c r="E1" s="98">
        <f>+AL3</f>
        <v>377741.4269</v>
      </c>
      <c r="F1" s="2">
        <f>5500/31.1035</f>
        <v>176.8289742</v>
      </c>
      <c r="G1" s="3"/>
      <c r="H1" s="4"/>
      <c r="I1" s="5">
        <v>553.66</v>
      </c>
      <c r="K1" s="5"/>
      <c r="L1" s="5"/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</row>
    <row r="2" ht="15.0" customHeight="1">
      <c r="C2" s="65">
        <f>+E2/0.9006</f>
        <v>5730.524403</v>
      </c>
      <c r="D2" s="97" t="s">
        <v>242</v>
      </c>
      <c r="E2" s="98">
        <f>+AH3</f>
        <v>5160.910278</v>
      </c>
      <c r="F2" s="99" t="s">
        <v>243</v>
      </c>
      <c r="G2" s="100">
        <f>+Q2</f>
        <v>90.05599443</v>
      </c>
      <c r="H2" s="13"/>
      <c r="I2" s="14">
        <f>SUBTOTAL(9,I4:I8844)</f>
        <v>553.66</v>
      </c>
      <c r="J2" s="4"/>
      <c r="K2" s="14">
        <f>SUBTOTAL(9,K4:K8844)</f>
        <v>503.199697</v>
      </c>
      <c r="L2" s="15">
        <f>SUMPRODUCT(L5:L8844,K5:K8844)/K2</f>
        <v>0.3321748365</v>
      </c>
      <c r="M2" s="2"/>
      <c r="P2" s="2"/>
      <c r="Q2" s="16">
        <f>+SUMPRODUCT(Q5:Q8844,AH5:AH8844)/SUM(AH5:AH8844)</f>
        <v>90.05599443</v>
      </c>
      <c r="R2" s="12">
        <f>+SUMPRODUCT(R5:R8844,AH5:AH8844)/SUM(AH5:AH8844)</f>
        <v>2902.327557</v>
      </c>
      <c r="S2" s="2"/>
      <c r="AB2" s="7"/>
      <c r="AC2" s="7"/>
      <c r="AD2" s="7"/>
      <c r="AE2" s="7"/>
      <c r="AF2" s="7"/>
      <c r="AG2" s="17">
        <f>SUMPRODUCT($AG5:$AG8844,$K5:$K8844)/SUM($K5:$K8844)</f>
        <v>47.98468093</v>
      </c>
      <c r="AH2" s="18"/>
      <c r="AI2" s="19">
        <v>3020.0</v>
      </c>
      <c r="AJ2" s="20"/>
      <c r="AK2" s="11"/>
      <c r="AL2" s="21"/>
    </row>
    <row r="3" ht="15.0" customHeight="1">
      <c r="A3" s="22" t="s">
        <v>5</v>
      </c>
      <c r="B3" s="22" t="s">
        <v>6</v>
      </c>
      <c r="C3" s="22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SUBTOTAL(9,AH5:AH8844)</f>
        <v>5160.910278</v>
      </c>
      <c r="AI3" s="40">
        <f>SUMPRODUCT(K5:K8844,AI5:AI8844)/K2</f>
        <v>73.19675821</v>
      </c>
      <c r="AJ3" s="39">
        <f>SUBTOTAL(9,AJ5:AJ8844)</f>
        <v>5107.568947</v>
      </c>
      <c r="AK3" s="11"/>
      <c r="AL3" s="39">
        <f>SUBTOTAL(9,AL5:AL8844)</f>
        <v>377741.4269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</row>
    <row r="5" ht="15.75" customHeight="1">
      <c r="A5" s="92" t="s">
        <v>355</v>
      </c>
      <c r="B5" s="55">
        <v>45685.0</v>
      </c>
      <c r="C5" s="56">
        <v>45675.0</v>
      </c>
      <c r="D5" s="57" t="s">
        <v>45</v>
      </c>
      <c r="E5" s="57">
        <f t="array" ref="E5">XLOOKUP(D5,RUC!$B$3:$B$110,RUC!$D$3:$D$110)</f>
        <v>10416085884</v>
      </c>
      <c r="G5" s="3" t="s">
        <v>46</v>
      </c>
      <c r="H5" s="57" t="s">
        <v>40</v>
      </c>
      <c r="I5" s="58">
        <v>2.72</v>
      </c>
      <c r="J5" s="58">
        <v>1.95</v>
      </c>
      <c r="K5" s="59">
        <f t="shared" ref="K5:K87" si="1">+I5-(I5*(J5/100))</f>
        <v>2.66696</v>
      </c>
      <c r="L5" s="60">
        <v>0.096</v>
      </c>
      <c r="M5" s="60">
        <v>0.086</v>
      </c>
      <c r="N5" s="62">
        <v>0.086</v>
      </c>
      <c r="O5" s="60">
        <f t="shared" ref="O5:O87" si="2">+ROUND((M5+N5)/2,3)</f>
        <v>0.086</v>
      </c>
      <c r="P5" s="63">
        <v>90.0</v>
      </c>
      <c r="Q5" s="64">
        <v>89.92</v>
      </c>
      <c r="R5" s="65">
        <v>2715.2</v>
      </c>
      <c r="S5" s="66">
        <f>IF((90+ROUNDDOWN(O5,1)*100)&lt;95,95,(90+ROUNDDOWN(O5,1)*100))</f>
        <v>95</v>
      </c>
      <c r="U5" s="67">
        <v>120.0</v>
      </c>
      <c r="V5" s="67">
        <v>1.1023</v>
      </c>
      <c r="Z5" s="69">
        <f t="shared" ref="Z5:Z22" si="3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87" si="4">+Y5+Z5</f>
        <v>30</v>
      </c>
      <c r="AB5" s="71">
        <v>0.0</v>
      </c>
      <c r="AC5" s="71">
        <v>0.0</v>
      </c>
      <c r="AD5" s="71">
        <f t="shared" ref="AD5:AD87" si="5">+(Q5-P5)*(R5-U5)*L5*V5/100</f>
        <v>-0.2197009121</v>
      </c>
      <c r="AE5" s="71">
        <f t="shared" ref="AE5:AE87" si="6">+(Y5*V5-70)+V5*(Z5-IF(D5="UNTUCA",IF(+((W5-3)*2.5+(X5-3)*3.1)&gt;0,+((W5-3)*1.5+(X5-3)*3.1),0),IF(+((W5-3)*1.5+(X5-3)*3.1)&gt;0,+((W5-3)*1.5+(X5-3)*3.1),0)))</f>
        <v>-36.931</v>
      </c>
      <c r="AF5" s="71">
        <f t="shared" ref="AF5:AF87" si="7">(L5-O5)*(R5-U5)*Q5*V5/100</f>
        <v>25.72331513</v>
      </c>
      <c r="AG5" s="72">
        <f>+IF(D5="RONALD WILLIAN GARIBAY ESCUDERO",AC5+AD5+AE5+AF5+70,AC5+AD5+AE5+AF5)+70+61.58</f>
        <v>120.1526142</v>
      </c>
      <c r="AH5" s="52">
        <f t="shared" ref="AH5:AH87" si="8">31.1035*L5*Q5*1.1023*K5/100</f>
        <v>7.893199916</v>
      </c>
      <c r="AI5" s="73">
        <f t="shared" ref="AI5:AI40" si="9">+((+$AI$2-R5+U5)*L5*Q5*V5)/100</f>
        <v>40.42144612</v>
      </c>
      <c r="AJ5" s="73">
        <f t="shared" ref="AJ5:AJ87" si="10">31.1035*1.1023*K5*P5*O5/100</f>
        <v>7.077282509</v>
      </c>
      <c r="AK5" s="11"/>
      <c r="AL5" s="51">
        <f t="shared" ref="AL5:AL87" si="11">+IF(AB5*K5&gt;0,AB5*K5,0)</f>
        <v>0</v>
      </c>
    </row>
    <row r="6" ht="15.75" customHeight="1">
      <c r="A6" s="92" t="s">
        <v>356</v>
      </c>
      <c r="B6" s="56">
        <v>45694.0</v>
      </c>
      <c r="C6" s="56">
        <v>45690.0</v>
      </c>
      <c r="D6" s="57" t="s">
        <v>181</v>
      </c>
      <c r="E6" s="57">
        <f t="array" ref="E6">XLOOKUP(D6,RUC!$B$3:$B$110,RUC!$D$3:$D$110)</f>
        <v>20603329059</v>
      </c>
      <c r="G6" s="3">
        <v>94.0</v>
      </c>
      <c r="H6" s="57" t="s">
        <v>40</v>
      </c>
      <c r="I6" s="58">
        <v>3.06</v>
      </c>
      <c r="J6" s="58">
        <v>16.0</v>
      </c>
      <c r="K6" s="59">
        <f t="shared" si="1"/>
        <v>2.5704</v>
      </c>
      <c r="L6" s="60">
        <v>0.289</v>
      </c>
      <c r="M6" s="60">
        <v>0.277</v>
      </c>
      <c r="N6" s="75">
        <v>0.322</v>
      </c>
      <c r="O6" s="60">
        <f t="shared" si="2"/>
        <v>0.3</v>
      </c>
      <c r="P6" s="63">
        <v>90.0</v>
      </c>
      <c r="Q6" s="64">
        <v>90.1</v>
      </c>
      <c r="R6" s="65">
        <v>2826.1</v>
      </c>
      <c r="S6" s="66">
        <f t="shared" ref="S6:S22" si="12">IF((80+ROUNDDOWN(O6,1)*100)&lt;95,95,(80+ROUNDDOWN(O6,1)*100))</f>
        <v>110</v>
      </c>
      <c r="U6" s="67">
        <v>120.0</v>
      </c>
      <c r="V6" s="67">
        <v>1.1023</v>
      </c>
      <c r="Z6" s="69">
        <f t="shared" si="3"/>
        <v>30</v>
      </c>
      <c r="AA6" s="70">
        <f t="shared" si="4"/>
        <v>30</v>
      </c>
      <c r="AB6" s="71">
        <f t="shared" ref="AB6:AB87" si="13">+((O6*P6*(R6-U6)/100)-S6-AA6+T6)*V6</f>
        <v>651.0701881</v>
      </c>
      <c r="AC6" s="71">
        <f>+(S6-T6)*V6-'data 1'!$F$4</f>
        <v>41.253</v>
      </c>
      <c r="AD6" s="71">
        <f t="shared" si="5"/>
        <v>0.8620679347</v>
      </c>
      <c r="AE6" s="71">
        <f t="shared" si="6"/>
        <v>-36.931</v>
      </c>
      <c r="AF6" s="71">
        <f t="shared" si="7"/>
        <v>-29.56385917</v>
      </c>
      <c r="AG6" s="72">
        <f t="shared" ref="AG6:AG34" si="14">+IF(D6="RONALD WILLIAN GARIBAY ESCUDERO",AC6+AD6+AE6+AF6+70,AC6+AD6+AE6+AF6)+70-53</f>
        <v>-7.379791237</v>
      </c>
      <c r="AH6" s="52">
        <f t="shared" si="8"/>
        <v>22.94734344</v>
      </c>
      <c r="AI6" s="73">
        <f t="shared" si="9"/>
        <v>90.09771086</v>
      </c>
      <c r="AJ6" s="73">
        <f t="shared" si="10"/>
        <v>23.79433359</v>
      </c>
      <c r="AK6" s="11"/>
      <c r="AL6" s="51">
        <f t="shared" si="11"/>
        <v>1673.510811</v>
      </c>
    </row>
    <row r="7" ht="15.75" customHeight="1">
      <c r="A7" s="92" t="s">
        <v>357</v>
      </c>
      <c r="B7" s="56">
        <v>45694.0</v>
      </c>
      <c r="C7" s="56">
        <v>45690.0</v>
      </c>
      <c r="D7" s="57" t="s">
        <v>181</v>
      </c>
      <c r="E7" s="57">
        <f t="array" ref="E7">XLOOKUP(D7,RUC!$B$3:$B$110,RUC!$D$3:$D$110)</f>
        <v>20603329059</v>
      </c>
      <c r="G7" s="3">
        <v>220.0</v>
      </c>
      <c r="H7" s="57" t="s">
        <v>40</v>
      </c>
      <c r="I7" s="58">
        <v>6.2</v>
      </c>
      <c r="J7" s="58">
        <v>15.15</v>
      </c>
      <c r="K7" s="59">
        <f t="shared" si="1"/>
        <v>5.2607</v>
      </c>
      <c r="L7" s="60">
        <v>0.252</v>
      </c>
      <c r="M7" s="60">
        <v>0.241</v>
      </c>
      <c r="N7" s="75">
        <v>0.284</v>
      </c>
      <c r="O7" s="60">
        <f t="shared" si="2"/>
        <v>0.263</v>
      </c>
      <c r="P7" s="63">
        <v>90.0</v>
      </c>
      <c r="Q7" s="64">
        <v>90.22</v>
      </c>
      <c r="R7" s="65">
        <v>2826.1</v>
      </c>
      <c r="S7" s="66">
        <f t="shared" si="12"/>
        <v>100</v>
      </c>
      <c r="U7" s="67">
        <v>120.0</v>
      </c>
      <c r="V7" s="67">
        <v>1.1023</v>
      </c>
      <c r="Z7" s="69">
        <f t="shared" si="3"/>
        <v>30</v>
      </c>
      <c r="AA7" s="70">
        <f t="shared" si="4"/>
        <v>30</v>
      </c>
      <c r="AB7" s="71">
        <f t="shared" si="13"/>
        <v>562.7614849</v>
      </c>
      <c r="AC7" s="71">
        <f>+(S7-T7)*V7-'data 1'!$F$4</f>
        <v>30.23</v>
      </c>
      <c r="AD7" s="71">
        <f t="shared" si="5"/>
        <v>1.653738626</v>
      </c>
      <c r="AE7" s="71">
        <f t="shared" si="6"/>
        <v>-36.931</v>
      </c>
      <c r="AF7" s="71">
        <f t="shared" si="7"/>
        <v>-29.6032339</v>
      </c>
      <c r="AG7" s="72">
        <f t="shared" si="14"/>
        <v>-17.65049527</v>
      </c>
      <c r="AH7" s="52">
        <f t="shared" si="8"/>
        <v>41.00680839</v>
      </c>
      <c r="AI7" s="73">
        <f t="shared" si="9"/>
        <v>78.66734383</v>
      </c>
      <c r="AJ7" s="73">
        <f t="shared" si="10"/>
        <v>42.69242885</v>
      </c>
      <c r="AK7" s="11"/>
      <c r="AL7" s="51">
        <f t="shared" si="11"/>
        <v>2960.519344</v>
      </c>
    </row>
    <row r="8" ht="15.75" customHeight="1">
      <c r="A8" s="92" t="s">
        <v>358</v>
      </c>
      <c r="B8" s="56">
        <v>45694.0</v>
      </c>
      <c r="C8" s="56">
        <v>45690.0</v>
      </c>
      <c r="D8" s="57" t="s">
        <v>181</v>
      </c>
      <c r="E8" s="57">
        <f t="array" ref="E8">XLOOKUP(D8,RUC!$B$3:$B$110,RUC!$D$3:$D$110)</f>
        <v>20603329059</v>
      </c>
      <c r="G8" s="3">
        <v>113.0</v>
      </c>
      <c r="H8" s="57" t="s">
        <v>40</v>
      </c>
      <c r="I8" s="58">
        <v>3.54</v>
      </c>
      <c r="J8" s="58">
        <v>16.0</v>
      </c>
      <c r="K8" s="59">
        <f t="shared" si="1"/>
        <v>2.9736</v>
      </c>
      <c r="L8" s="60">
        <v>0.238</v>
      </c>
      <c r="M8" s="60">
        <v>0.228</v>
      </c>
      <c r="N8" s="62">
        <v>0.228</v>
      </c>
      <c r="O8" s="60">
        <f t="shared" si="2"/>
        <v>0.228</v>
      </c>
      <c r="P8" s="63">
        <v>90.0</v>
      </c>
      <c r="Q8" s="64">
        <v>90.08</v>
      </c>
      <c r="R8" s="65">
        <v>2826.1</v>
      </c>
      <c r="S8" s="66">
        <f t="shared" si="12"/>
        <v>100</v>
      </c>
      <c r="U8" s="67">
        <v>120.0</v>
      </c>
      <c r="V8" s="67">
        <v>1.1023</v>
      </c>
      <c r="Z8" s="69">
        <f t="shared" si="3"/>
        <v>30</v>
      </c>
      <c r="AA8" s="70">
        <f t="shared" si="4"/>
        <v>30</v>
      </c>
      <c r="AB8" s="71">
        <f t="shared" si="13"/>
        <v>468.799063</v>
      </c>
      <c r="AC8" s="71">
        <f>+(S8-T8)*V8-'data 1'!$F$4</f>
        <v>30.23</v>
      </c>
      <c r="AD8" s="71">
        <f t="shared" si="5"/>
        <v>0.5679506393</v>
      </c>
      <c r="AE8" s="71">
        <f t="shared" si="6"/>
        <v>-36.931</v>
      </c>
      <c r="AF8" s="71">
        <f t="shared" si="7"/>
        <v>26.87026974</v>
      </c>
      <c r="AG8" s="72">
        <f t="shared" si="14"/>
        <v>37.73722038</v>
      </c>
      <c r="AH8" s="52">
        <f t="shared" si="8"/>
        <v>21.85732208</v>
      </c>
      <c r="AI8" s="73">
        <f t="shared" si="9"/>
        <v>74.18164465</v>
      </c>
      <c r="AJ8" s="73">
        <f t="shared" si="10"/>
        <v>20.92035134</v>
      </c>
      <c r="AK8" s="11"/>
      <c r="AL8" s="51">
        <f t="shared" si="11"/>
        <v>1394.020894</v>
      </c>
    </row>
    <row r="9" ht="15.75" customHeight="1">
      <c r="A9" s="92" t="s">
        <v>359</v>
      </c>
      <c r="B9" s="56">
        <v>45694.0</v>
      </c>
      <c r="C9" s="56">
        <v>45690.0</v>
      </c>
      <c r="D9" s="57" t="s">
        <v>181</v>
      </c>
      <c r="E9" s="57">
        <f t="array" ref="E9">XLOOKUP(D9,RUC!$B$3:$B$110,RUC!$D$3:$D$110)</f>
        <v>20603329059</v>
      </c>
      <c r="G9" s="3">
        <v>79.0</v>
      </c>
      <c r="H9" s="57" t="s">
        <v>40</v>
      </c>
      <c r="I9" s="58">
        <v>2.37</v>
      </c>
      <c r="J9" s="58">
        <v>15.75</v>
      </c>
      <c r="K9" s="59">
        <f t="shared" si="1"/>
        <v>1.996725</v>
      </c>
      <c r="L9" s="60">
        <v>0.338</v>
      </c>
      <c r="M9" s="60">
        <v>0.324</v>
      </c>
      <c r="N9" s="62">
        <v>0.324</v>
      </c>
      <c r="O9" s="60">
        <f t="shared" si="2"/>
        <v>0.324</v>
      </c>
      <c r="P9" s="63">
        <v>90.0</v>
      </c>
      <c r="Q9" s="64">
        <v>90.26</v>
      </c>
      <c r="R9" s="65">
        <v>2826.1</v>
      </c>
      <c r="S9" s="66">
        <f t="shared" si="12"/>
        <v>110</v>
      </c>
      <c r="U9" s="67">
        <v>120.0</v>
      </c>
      <c r="V9" s="67">
        <v>1.1023</v>
      </c>
      <c r="Z9" s="69">
        <f t="shared" si="3"/>
        <v>30</v>
      </c>
      <c r="AA9" s="70">
        <f t="shared" si="4"/>
        <v>30</v>
      </c>
      <c r="AB9" s="71">
        <f t="shared" si="13"/>
        <v>715.5015631</v>
      </c>
      <c r="AC9" s="71">
        <f>+(S9-T9)*V9-'data 1'!$F$4</f>
        <v>41.253</v>
      </c>
      <c r="AD9" s="71">
        <f t="shared" si="5"/>
        <v>2.621402426</v>
      </c>
      <c r="AE9" s="71">
        <f t="shared" si="6"/>
        <v>-36.931</v>
      </c>
      <c r="AF9" s="71">
        <f t="shared" si="7"/>
        <v>37.69354758</v>
      </c>
      <c r="AG9" s="72">
        <f t="shared" si="14"/>
        <v>61.63695</v>
      </c>
      <c r="AH9" s="52">
        <f t="shared" si="8"/>
        <v>20.88523442</v>
      </c>
      <c r="AI9" s="73">
        <f t="shared" si="9"/>
        <v>105.5609166</v>
      </c>
      <c r="AJ9" s="73">
        <f t="shared" si="10"/>
        <v>19.96249611</v>
      </c>
      <c r="AK9" s="11"/>
      <c r="AL9" s="51">
        <f t="shared" si="11"/>
        <v>1428.659859</v>
      </c>
    </row>
    <row r="10" ht="15.75" customHeight="1">
      <c r="A10" s="92" t="s">
        <v>360</v>
      </c>
      <c r="B10" s="56">
        <v>45694.0</v>
      </c>
      <c r="C10" s="56">
        <v>45690.0</v>
      </c>
      <c r="D10" s="57" t="s">
        <v>181</v>
      </c>
      <c r="E10" s="57">
        <f t="array" ref="E10">XLOOKUP(D10,RUC!$B$3:$B$110,RUC!$D$3:$D$110)</f>
        <v>20603329059</v>
      </c>
      <c r="G10" s="3">
        <v>213.0</v>
      </c>
      <c r="H10" s="57" t="s">
        <v>40</v>
      </c>
      <c r="I10" s="58">
        <v>6.97</v>
      </c>
      <c r="J10" s="58">
        <v>14.55</v>
      </c>
      <c r="K10" s="59">
        <f t="shared" si="1"/>
        <v>5.955865</v>
      </c>
      <c r="L10" s="60">
        <v>0.546</v>
      </c>
      <c r="M10" s="60">
        <v>0.524</v>
      </c>
      <c r="N10" s="75">
        <v>0.594</v>
      </c>
      <c r="O10" s="60">
        <f t="shared" si="2"/>
        <v>0.559</v>
      </c>
      <c r="P10" s="63">
        <v>90.0</v>
      </c>
      <c r="Q10" s="64">
        <v>89.86</v>
      </c>
      <c r="R10" s="65">
        <v>2826.1</v>
      </c>
      <c r="S10" s="66">
        <f t="shared" si="12"/>
        <v>130</v>
      </c>
      <c r="U10" s="67">
        <v>120.0</v>
      </c>
      <c r="V10" s="67">
        <v>1.1023</v>
      </c>
      <c r="Z10" s="69">
        <f t="shared" si="3"/>
        <v>30</v>
      </c>
      <c r="AA10" s="70">
        <f t="shared" si="4"/>
        <v>30</v>
      </c>
      <c r="AB10" s="71">
        <f t="shared" si="13"/>
        <v>1324.34611</v>
      </c>
      <c r="AC10" s="71">
        <f>+(S10-T10)*V10-'data 1'!$F$4</f>
        <v>63.299</v>
      </c>
      <c r="AD10" s="71">
        <f t="shared" si="5"/>
        <v>-2.280154773</v>
      </c>
      <c r="AE10" s="71">
        <f t="shared" si="6"/>
        <v>-36.931</v>
      </c>
      <c r="AF10" s="71">
        <f t="shared" si="7"/>
        <v>-34.84603875</v>
      </c>
      <c r="AG10" s="72">
        <f t="shared" si="14"/>
        <v>6.241806476</v>
      </c>
      <c r="AH10" s="52">
        <f t="shared" si="8"/>
        <v>100.1873689</v>
      </c>
      <c r="AI10" s="73">
        <f t="shared" si="9"/>
        <v>169.7657905</v>
      </c>
      <c r="AJ10" s="73">
        <f t="shared" si="10"/>
        <v>102.7325887</v>
      </c>
      <c r="AK10" s="11"/>
      <c r="AL10" s="51">
        <f t="shared" si="11"/>
        <v>7887.626647</v>
      </c>
    </row>
    <row r="11" ht="15.75" customHeight="1">
      <c r="A11" s="92" t="s">
        <v>361</v>
      </c>
      <c r="B11" s="56">
        <v>45694.0</v>
      </c>
      <c r="C11" s="56">
        <v>45690.0</v>
      </c>
      <c r="D11" s="57" t="s">
        <v>181</v>
      </c>
      <c r="E11" s="57">
        <f t="array" ref="E11">XLOOKUP(D11,RUC!$B$3:$B$110,RUC!$D$3:$D$110)</f>
        <v>20603329059</v>
      </c>
      <c r="G11" s="3">
        <v>100.0</v>
      </c>
      <c r="H11" s="57" t="s">
        <v>40</v>
      </c>
      <c r="I11" s="58">
        <v>3.23</v>
      </c>
      <c r="J11" s="58">
        <v>14.6</v>
      </c>
      <c r="K11" s="59">
        <f t="shared" si="1"/>
        <v>2.75842</v>
      </c>
      <c r="L11" s="60">
        <v>0.307</v>
      </c>
      <c r="M11" s="60">
        <v>0.295</v>
      </c>
      <c r="N11" s="62">
        <v>0.295</v>
      </c>
      <c r="O11" s="60">
        <f t="shared" si="2"/>
        <v>0.295</v>
      </c>
      <c r="P11" s="63">
        <v>90.0</v>
      </c>
      <c r="Q11" s="64">
        <v>90.06</v>
      </c>
      <c r="R11" s="65">
        <v>2826.1</v>
      </c>
      <c r="S11" s="66">
        <f t="shared" si="12"/>
        <v>100</v>
      </c>
      <c r="U11" s="67">
        <v>120.0</v>
      </c>
      <c r="V11" s="67">
        <v>1.1023</v>
      </c>
      <c r="Z11" s="69">
        <f t="shared" si="3"/>
        <v>30</v>
      </c>
      <c r="AA11" s="70">
        <f t="shared" si="4"/>
        <v>30</v>
      </c>
      <c r="AB11" s="71">
        <f t="shared" si="13"/>
        <v>648.669985</v>
      </c>
      <c r="AC11" s="71">
        <f>+(S11-T11)*V11-'data 1'!$F$4</f>
        <v>30.23</v>
      </c>
      <c r="AD11" s="71">
        <f t="shared" si="5"/>
        <v>0.5494564483</v>
      </c>
      <c r="AE11" s="71">
        <f t="shared" si="6"/>
        <v>-36.931</v>
      </c>
      <c r="AF11" s="71">
        <f t="shared" si="7"/>
        <v>32.23716465</v>
      </c>
      <c r="AG11" s="72">
        <f t="shared" si="14"/>
        <v>43.0856211</v>
      </c>
      <c r="AH11" s="52">
        <f t="shared" si="8"/>
        <v>26.14807852</v>
      </c>
      <c r="AI11" s="73">
        <f t="shared" si="9"/>
        <v>95.66684272</v>
      </c>
      <c r="AJ11" s="73">
        <f t="shared" si="10"/>
        <v>25.10926428</v>
      </c>
      <c r="AK11" s="11"/>
      <c r="AL11" s="51">
        <f t="shared" si="11"/>
        <v>1789.30426</v>
      </c>
    </row>
    <row r="12" ht="15.75" customHeight="1">
      <c r="A12" s="92" t="s">
        <v>362</v>
      </c>
      <c r="B12" s="56">
        <v>45694.0</v>
      </c>
      <c r="C12" s="56">
        <v>45690.0</v>
      </c>
      <c r="D12" s="57" t="s">
        <v>181</v>
      </c>
      <c r="E12" s="57">
        <f t="array" ref="E12">XLOOKUP(D12,RUC!$B$3:$B$110,RUC!$D$3:$D$110)</f>
        <v>20603329059</v>
      </c>
      <c r="G12" s="3">
        <v>50.0</v>
      </c>
      <c r="H12" s="57" t="s">
        <v>40</v>
      </c>
      <c r="I12" s="58">
        <v>2.77</v>
      </c>
      <c r="J12" s="58">
        <v>16.0</v>
      </c>
      <c r="K12" s="59">
        <f t="shared" si="1"/>
        <v>2.3268</v>
      </c>
      <c r="L12" s="60">
        <v>0.283</v>
      </c>
      <c r="M12" s="60">
        <v>0.271</v>
      </c>
      <c r="N12" s="75">
        <v>0.287</v>
      </c>
      <c r="O12" s="60">
        <f t="shared" si="2"/>
        <v>0.279</v>
      </c>
      <c r="P12" s="63">
        <v>90.0</v>
      </c>
      <c r="Q12" s="64">
        <v>89.98</v>
      </c>
      <c r="R12" s="65">
        <v>2826.1</v>
      </c>
      <c r="S12" s="66">
        <f t="shared" si="12"/>
        <v>100</v>
      </c>
      <c r="U12" s="67">
        <v>120.0</v>
      </c>
      <c r="V12" s="67">
        <v>1.1023</v>
      </c>
      <c r="Z12" s="69">
        <f t="shared" si="3"/>
        <v>30</v>
      </c>
      <c r="AA12" s="70">
        <f t="shared" si="4"/>
        <v>30</v>
      </c>
      <c r="AB12" s="71">
        <f t="shared" si="13"/>
        <v>605.7157349</v>
      </c>
      <c r="AC12" s="71">
        <f>+(S12-T12)*V12-'data 1'!$F$4</f>
        <v>30.23</v>
      </c>
      <c r="AD12" s="71">
        <f t="shared" si="5"/>
        <v>-0.1688340661</v>
      </c>
      <c r="AE12" s="71">
        <f t="shared" si="6"/>
        <v>-36.931</v>
      </c>
      <c r="AF12" s="71">
        <f t="shared" si="7"/>
        <v>10.73617616</v>
      </c>
      <c r="AG12" s="72">
        <f t="shared" si="14"/>
        <v>20.86634209</v>
      </c>
      <c r="AH12" s="52">
        <f t="shared" si="8"/>
        <v>20.31423858</v>
      </c>
      <c r="AI12" s="73">
        <f t="shared" si="9"/>
        <v>88.10966448</v>
      </c>
      <c r="AJ12" s="73">
        <f t="shared" si="10"/>
        <v>20.03156299</v>
      </c>
      <c r="AK12" s="11"/>
      <c r="AL12" s="51">
        <f t="shared" si="11"/>
        <v>1409.379372</v>
      </c>
    </row>
    <row r="13" ht="15.75" customHeight="1">
      <c r="A13" s="92" t="s">
        <v>363</v>
      </c>
      <c r="B13" s="56">
        <v>45692.0</v>
      </c>
      <c r="C13" s="56">
        <v>45690.0</v>
      </c>
      <c r="D13" s="57" t="s">
        <v>181</v>
      </c>
      <c r="E13" s="57">
        <f t="array" ref="E13">XLOOKUP(D13,RUC!$B$3:$B$110,RUC!$D$3:$D$110)</f>
        <v>20603329059</v>
      </c>
      <c r="G13" s="3">
        <v>221.0</v>
      </c>
      <c r="H13" s="57" t="s">
        <v>40</v>
      </c>
      <c r="I13" s="58">
        <v>5.94</v>
      </c>
      <c r="J13" s="58">
        <v>14.75</v>
      </c>
      <c r="K13" s="59">
        <f t="shared" si="1"/>
        <v>5.06385</v>
      </c>
      <c r="L13" s="60">
        <v>0.247</v>
      </c>
      <c r="M13" s="60">
        <v>0.237</v>
      </c>
      <c r="N13" s="75">
        <v>0.267</v>
      </c>
      <c r="O13" s="60">
        <f t="shared" si="2"/>
        <v>0.252</v>
      </c>
      <c r="P13" s="63">
        <v>90.0</v>
      </c>
      <c r="Q13" s="64">
        <v>90.09</v>
      </c>
      <c r="R13" s="65">
        <v>2826.1</v>
      </c>
      <c r="S13" s="66">
        <f t="shared" si="12"/>
        <v>100</v>
      </c>
      <c r="U13" s="67">
        <v>120.0</v>
      </c>
      <c r="V13" s="67">
        <v>1.1023</v>
      </c>
      <c r="Z13" s="69">
        <f t="shared" si="3"/>
        <v>30</v>
      </c>
      <c r="AA13" s="70">
        <f t="shared" si="4"/>
        <v>30</v>
      </c>
      <c r="AB13" s="71">
        <f t="shared" si="13"/>
        <v>533.230438</v>
      </c>
      <c r="AC13" s="71">
        <f>+(S13-T13)*V13-'data 1'!$F$4</f>
        <v>30.23</v>
      </c>
      <c r="AD13" s="71">
        <f t="shared" si="5"/>
        <v>0.6631062349</v>
      </c>
      <c r="AE13" s="71">
        <f t="shared" si="6"/>
        <v>-36.931</v>
      </c>
      <c r="AF13" s="71">
        <f t="shared" si="7"/>
        <v>-13.43662634</v>
      </c>
      <c r="AG13" s="72">
        <f t="shared" si="14"/>
        <v>-2.474520103</v>
      </c>
      <c r="AH13" s="52">
        <f t="shared" si="8"/>
        <v>38.63344549</v>
      </c>
      <c r="AI13" s="73">
        <f t="shared" si="9"/>
        <v>76.99537939</v>
      </c>
      <c r="AJ13" s="73">
        <f t="shared" si="10"/>
        <v>39.37612292</v>
      </c>
      <c r="AK13" s="11"/>
      <c r="AL13" s="51">
        <f t="shared" si="11"/>
        <v>2700.198953</v>
      </c>
    </row>
    <row r="14" ht="15.0" customHeight="1">
      <c r="A14" s="92" t="s">
        <v>364</v>
      </c>
      <c r="B14" s="95">
        <v>45700.0</v>
      </c>
      <c r="C14" s="56">
        <v>45692.0</v>
      </c>
      <c r="D14" s="57" t="s">
        <v>181</v>
      </c>
      <c r="E14" s="57">
        <f t="array" ref="E14">XLOOKUP(D14,RUC!$B$3:$B$110,RUC!$D$3:$D$110)</f>
        <v>20603329059</v>
      </c>
      <c r="G14" s="3">
        <v>34.0</v>
      </c>
      <c r="H14" s="57" t="s">
        <v>40</v>
      </c>
      <c r="I14" s="58">
        <v>2.89</v>
      </c>
      <c r="J14" s="58">
        <v>14.0</v>
      </c>
      <c r="K14" s="59">
        <f t="shared" si="1"/>
        <v>2.4854</v>
      </c>
      <c r="L14" s="60">
        <v>0.219</v>
      </c>
      <c r="M14" s="60">
        <v>0.209</v>
      </c>
      <c r="N14" s="60">
        <v>0.209</v>
      </c>
      <c r="O14" s="60">
        <f t="shared" si="2"/>
        <v>0.209</v>
      </c>
      <c r="P14" s="63">
        <v>90.0</v>
      </c>
      <c r="Q14" s="64">
        <v>90.03</v>
      </c>
      <c r="R14" s="65">
        <v>2843.55</v>
      </c>
      <c r="S14" s="96">
        <f t="shared" si="12"/>
        <v>100</v>
      </c>
      <c r="U14" s="67">
        <v>100.0</v>
      </c>
      <c r="V14" s="67">
        <v>1.1023</v>
      </c>
      <c r="Z14" s="69">
        <f t="shared" si="3"/>
        <v>30</v>
      </c>
      <c r="AA14" s="70">
        <f t="shared" si="4"/>
        <v>30</v>
      </c>
      <c r="AB14" s="71">
        <f t="shared" si="13"/>
        <v>425.5558725</v>
      </c>
      <c r="AC14" s="71">
        <f>+(S14-T14)*V14-'data 1'!$F$4</f>
        <v>30.23</v>
      </c>
      <c r="AD14" s="71">
        <f t="shared" si="5"/>
        <v>0.1986909363</v>
      </c>
      <c r="AE14" s="71">
        <f t="shared" si="6"/>
        <v>-36.931</v>
      </c>
      <c r="AF14" s="71">
        <f t="shared" si="7"/>
        <v>27.22700913</v>
      </c>
      <c r="AG14" s="72">
        <f t="shared" si="14"/>
        <v>37.72470007</v>
      </c>
      <c r="AH14" s="52">
        <f t="shared" si="8"/>
        <v>16.80106176</v>
      </c>
      <c r="AI14" s="73">
        <f t="shared" si="9"/>
        <v>60.08246839</v>
      </c>
      <c r="AJ14" s="73">
        <f t="shared" si="10"/>
        <v>16.02854714</v>
      </c>
      <c r="AK14" s="11"/>
      <c r="AL14" s="51">
        <f t="shared" si="11"/>
        <v>1057.676566</v>
      </c>
    </row>
    <row r="15" ht="15.0" customHeight="1">
      <c r="A15" s="92" t="s">
        <v>365</v>
      </c>
      <c r="B15" s="95">
        <v>45700.0</v>
      </c>
      <c r="C15" s="56">
        <v>45692.0</v>
      </c>
      <c r="D15" s="57" t="s">
        <v>181</v>
      </c>
      <c r="E15" s="57">
        <f t="array" ref="E15">XLOOKUP(D15,RUC!$B$3:$B$110,RUC!$D$3:$D$110)</f>
        <v>20603329059</v>
      </c>
      <c r="G15" s="3">
        <v>54.0</v>
      </c>
      <c r="H15" s="57" t="s">
        <v>40</v>
      </c>
      <c r="I15" s="58">
        <v>5.32</v>
      </c>
      <c r="J15" s="58">
        <v>15.1</v>
      </c>
      <c r="K15" s="59">
        <f t="shared" si="1"/>
        <v>4.51668</v>
      </c>
      <c r="L15" s="60">
        <v>0.308</v>
      </c>
      <c r="M15" s="60">
        <v>0.295</v>
      </c>
      <c r="N15" s="60">
        <v>0.295</v>
      </c>
      <c r="O15" s="60">
        <f t="shared" si="2"/>
        <v>0.295</v>
      </c>
      <c r="P15" s="63">
        <v>90.0</v>
      </c>
      <c r="Q15" s="64">
        <v>90.15</v>
      </c>
      <c r="R15" s="65">
        <v>2843.55</v>
      </c>
      <c r="S15" s="96">
        <f t="shared" si="12"/>
        <v>100</v>
      </c>
      <c r="U15" s="67">
        <v>100.0</v>
      </c>
      <c r="V15" s="67">
        <v>1.1023</v>
      </c>
      <c r="Z15" s="69">
        <f t="shared" si="3"/>
        <v>30</v>
      </c>
      <c r="AA15" s="70">
        <f t="shared" si="4"/>
        <v>30</v>
      </c>
      <c r="AB15" s="71">
        <f t="shared" si="13"/>
        <v>659.6301263</v>
      </c>
      <c r="AC15" s="71">
        <f>+(S15-T15)*V15-'data 1'!$F$4</f>
        <v>30.23</v>
      </c>
      <c r="AD15" s="71">
        <f t="shared" si="5"/>
        <v>1.397187406</v>
      </c>
      <c r="AE15" s="71">
        <f t="shared" si="6"/>
        <v>-36.931</v>
      </c>
      <c r="AF15" s="71">
        <f t="shared" si="7"/>
        <v>35.44228963</v>
      </c>
      <c r="AG15" s="72">
        <f t="shared" si="14"/>
        <v>47.13847703</v>
      </c>
      <c r="AH15" s="52">
        <f t="shared" si="8"/>
        <v>42.9976618</v>
      </c>
      <c r="AI15" s="73">
        <f t="shared" si="9"/>
        <v>84.61217311</v>
      </c>
      <c r="AJ15" s="73">
        <f t="shared" si="10"/>
        <v>41.11430159</v>
      </c>
      <c r="AK15" s="11"/>
      <c r="AL15" s="51">
        <f t="shared" si="11"/>
        <v>2979.338199</v>
      </c>
    </row>
    <row r="16" ht="15.0" customHeight="1">
      <c r="A16" s="92" t="s">
        <v>366</v>
      </c>
      <c r="B16" s="95">
        <v>45700.0</v>
      </c>
      <c r="C16" s="56">
        <v>45692.0</v>
      </c>
      <c r="D16" s="57" t="s">
        <v>181</v>
      </c>
      <c r="E16" s="57">
        <f t="array" ref="E16">XLOOKUP(D16,RUC!$B$3:$B$110,RUC!$D$3:$D$110)</f>
        <v>20603329059</v>
      </c>
      <c r="G16" s="3">
        <v>73.0</v>
      </c>
      <c r="H16" s="57" t="s">
        <v>40</v>
      </c>
      <c r="I16" s="58">
        <v>4.57</v>
      </c>
      <c r="J16" s="58">
        <v>14.5</v>
      </c>
      <c r="K16" s="59">
        <f t="shared" si="1"/>
        <v>3.90735</v>
      </c>
      <c r="L16" s="60">
        <v>0.196</v>
      </c>
      <c r="M16" s="60">
        <v>0.186</v>
      </c>
      <c r="N16" s="60">
        <v>0.186</v>
      </c>
      <c r="O16" s="60">
        <f t="shared" si="2"/>
        <v>0.186</v>
      </c>
      <c r="P16" s="63">
        <v>90.0</v>
      </c>
      <c r="Q16" s="64">
        <v>90.22</v>
      </c>
      <c r="R16" s="65">
        <v>2843.55</v>
      </c>
      <c r="S16" s="96">
        <f t="shared" si="12"/>
        <v>95</v>
      </c>
      <c r="U16" s="67">
        <v>100.0</v>
      </c>
      <c r="V16" s="67">
        <v>1.1023</v>
      </c>
      <c r="Z16" s="69">
        <f t="shared" si="3"/>
        <v>30</v>
      </c>
      <c r="AA16" s="70">
        <f t="shared" si="4"/>
        <v>30</v>
      </c>
      <c r="AB16" s="71">
        <f t="shared" si="13"/>
        <v>368.4661186</v>
      </c>
      <c r="AC16" s="71">
        <f>+(S16-T16)*V16-'data 1'!$F$4</f>
        <v>24.7185</v>
      </c>
      <c r="AD16" s="71">
        <f t="shared" si="5"/>
        <v>1.304041579</v>
      </c>
      <c r="AE16" s="71">
        <f t="shared" si="6"/>
        <v>-36.931</v>
      </c>
      <c r="AF16" s="71">
        <f t="shared" si="7"/>
        <v>27.28446922</v>
      </c>
      <c r="AG16" s="72">
        <f t="shared" si="14"/>
        <v>33.3760108</v>
      </c>
      <c r="AH16" s="52">
        <f t="shared" si="8"/>
        <v>23.68919365</v>
      </c>
      <c r="AI16" s="73">
        <f t="shared" si="9"/>
        <v>53.88591923</v>
      </c>
      <c r="AJ16" s="73">
        <f t="shared" si="10"/>
        <v>22.42574284</v>
      </c>
      <c r="AK16" s="11"/>
      <c r="AL16" s="51">
        <f t="shared" si="11"/>
        <v>1439.726089</v>
      </c>
    </row>
    <row r="17" ht="15.0" customHeight="1">
      <c r="A17" s="92" t="s">
        <v>367</v>
      </c>
      <c r="B17" s="95">
        <v>45700.0</v>
      </c>
      <c r="C17" s="56">
        <v>45692.0</v>
      </c>
      <c r="D17" s="57" t="s">
        <v>181</v>
      </c>
      <c r="E17" s="57">
        <f t="array" ref="E17">XLOOKUP(D17,RUC!$B$3:$B$110,RUC!$D$3:$D$110)</f>
        <v>20603329059</v>
      </c>
      <c r="G17" s="3">
        <v>38.0</v>
      </c>
      <c r="H17" s="57" t="s">
        <v>40</v>
      </c>
      <c r="I17" s="58">
        <v>2.33</v>
      </c>
      <c r="J17" s="58">
        <v>15.1</v>
      </c>
      <c r="K17" s="59">
        <f t="shared" si="1"/>
        <v>1.97817</v>
      </c>
      <c r="L17" s="60">
        <v>0.239</v>
      </c>
      <c r="M17" s="60">
        <v>0.229</v>
      </c>
      <c r="N17" s="60">
        <v>0.229</v>
      </c>
      <c r="O17" s="60">
        <f t="shared" si="2"/>
        <v>0.229</v>
      </c>
      <c r="P17" s="63">
        <v>90.0</v>
      </c>
      <c r="Q17" s="64">
        <v>89.92</v>
      </c>
      <c r="R17" s="65">
        <v>2843.55</v>
      </c>
      <c r="S17" s="96">
        <f t="shared" si="12"/>
        <v>100</v>
      </c>
      <c r="U17" s="67">
        <v>100.0</v>
      </c>
      <c r="V17" s="67">
        <v>1.1023</v>
      </c>
      <c r="Z17" s="69">
        <f t="shared" si="3"/>
        <v>30</v>
      </c>
      <c r="AA17" s="70">
        <f t="shared" si="4"/>
        <v>30</v>
      </c>
      <c r="AB17" s="71">
        <f t="shared" si="13"/>
        <v>479.9917455</v>
      </c>
      <c r="AC17" s="71">
        <f>+(S17-T17)*V17-'data 1'!$F$4</f>
        <v>30.23</v>
      </c>
      <c r="AD17" s="71">
        <f t="shared" si="5"/>
        <v>-0.5782299395</v>
      </c>
      <c r="AE17" s="71">
        <f t="shared" si="6"/>
        <v>-36.931</v>
      </c>
      <c r="AF17" s="71">
        <f t="shared" si="7"/>
        <v>27.19374276</v>
      </c>
      <c r="AG17" s="72">
        <f t="shared" si="14"/>
        <v>36.91451282</v>
      </c>
      <c r="AH17" s="52">
        <f t="shared" si="8"/>
        <v>14.57561471</v>
      </c>
      <c r="AI17" s="73">
        <f t="shared" si="9"/>
        <v>65.48933807</v>
      </c>
      <c r="AJ17" s="73">
        <f t="shared" si="10"/>
        <v>13.9781814</v>
      </c>
      <c r="AK17" s="11"/>
      <c r="AL17" s="51">
        <f t="shared" si="11"/>
        <v>949.5052712</v>
      </c>
    </row>
    <row r="18" ht="15.0" customHeight="1">
      <c r="A18" s="92" t="s">
        <v>368</v>
      </c>
      <c r="B18" s="95">
        <v>45700.0</v>
      </c>
      <c r="C18" s="56">
        <v>45692.0</v>
      </c>
      <c r="D18" s="57" t="s">
        <v>181</v>
      </c>
      <c r="E18" s="57">
        <f t="array" ref="E18">XLOOKUP(D18,RUC!$B$3:$B$110,RUC!$D$3:$D$110)</f>
        <v>20603329059</v>
      </c>
      <c r="G18" s="3">
        <v>49.0</v>
      </c>
      <c r="H18" s="57" t="s">
        <v>40</v>
      </c>
      <c r="I18" s="58">
        <v>3.2</v>
      </c>
      <c r="J18" s="58">
        <v>14.1</v>
      </c>
      <c r="K18" s="59">
        <f t="shared" si="1"/>
        <v>2.7488</v>
      </c>
      <c r="L18" s="60">
        <v>0.223</v>
      </c>
      <c r="M18" s="60">
        <v>0.212</v>
      </c>
      <c r="N18" s="60">
        <v>0.212</v>
      </c>
      <c r="O18" s="60">
        <f t="shared" si="2"/>
        <v>0.212</v>
      </c>
      <c r="P18" s="63">
        <v>90.0</v>
      </c>
      <c r="Q18" s="64">
        <v>89.94</v>
      </c>
      <c r="R18" s="65">
        <v>2843.55</v>
      </c>
      <c r="S18" s="96">
        <f t="shared" si="12"/>
        <v>100</v>
      </c>
      <c r="U18" s="67">
        <v>100.0</v>
      </c>
      <c r="V18" s="67">
        <v>1.1023</v>
      </c>
      <c r="Z18" s="69">
        <f t="shared" si="3"/>
        <v>30</v>
      </c>
      <c r="AA18" s="70">
        <f t="shared" si="4"/>
        <v>30</v>
      </c>
      <c r="AB18" s="71">
        <f t="shared" si="13"/>
        <v>433.7212535</v>
      </c>
      <c r="AC18" s="71">
        <f>+(S18-T18)*V18-'data 1'!$F$4</f>
        <v>30.23</v>
      </c>
      <c r="AD18" s="71">
        <f t="shared" si="5"/>
        <v>-0.4046399891</v>
      </c>
      <c r="AE18" s="71">
        <f t="shared" si="6"/>
        <v>-36.931</v>
      </c>
      <c r="AF18" s="71">
        <f t="shared" si="7"/>
        <v>29.91977031</v>
      </c>
      <c r="AG18" s="72">
        <f t="shared" si="14"/>
        <v>39.81413032</v>
      </c>
      <c r="AH18" s="52">
        <f t="shared" si="8"/>
        <v>18.9020957</v>
      </c>
      <c r="AI18" s="73">
        <f t="shared" si="9"/>
        <v>61.1187056</v>
      </c>
      <c r="AJ18" s="73">
        <f t="shared" si="10"/>
        <v>17.98169313</v>
      </c>
      <c r="AK18" s="11"/>
      <c r="AL18" s="51">
        <f t="shared" si="11"/>
        <v>1192.212982</v>
      </c>
    </row>
    <row r="19" ht="15.0" customHeight="1">
      <c r="A19" s="92" t="s">
        <v>369</v>
      </c>
      <c r="B19" s="95">
        <v>45700.0</v>
      </c>
      <c r="C19" s="56">
        <v>45692.0</v>
      </c>
      <c r="D19" s="57" t="s">
        <v>181</v>
      </c>
      <c r="E19" s="57">
        <f t="array" ref="E19">XLOOKUP(D19,RUC!$B$3:$B$110,RUC!$D$3:$D$110)</f>
        <v>20603329059</v>
      </c>
      <c r="G19" s="3">
        <v>64.0</v>
      </c>
      <c r="H19" s="57" t="s">
        <v>40</v>
      </c>
      <c r="I19" s="58">
        <v>2.02</v>
      </c>
      <c r="J19" s="58">
        <v>16.0</v>
      </c>
      <c r="K19" s="59">
        <f t="shared" si="1"/>
        <v>1.6968</v>
      </c>
      <c r="L19" s="60">
        <v>0.658</v>
      </c>
      <c r="M19" s="60">
        <v>0.631</v>
      </c>
      <c r="N19" s="75">
        <v>0.679</v>
      </c>
      <c r="O19" s="60">
        <f t="shared" si="2"/>
        <v>0.655</v>
      </c>
      <c r="P19" s="63">
        <v>90.0</v>
      </c>
      <c r="Q19" s="64">
        <v>90.16</v>
      </c>
      <c r="R19" s="65">
        <v>2843.55</v>
      </c>
      <c r="S19" s="96">
        <f t="shared" si="12"/>
        <v>140</v>
      </c>
      <c r="U19" s="67">
        <v>100.0</v>
      </c>
      <c r="V19" s="67">
        <v>1.1023</v>
      </c>
      <c r="Z19" s="69">
        <f t="shared" si="3"/>
        <v>30</v>
      </c>
      <c r="AA19" s="70">
        <f t="shared" si="4"/>
        <v>30</v>
      </c>
      <c r="AB19" s="71">
        <f t="shared" si="13"/>
        <v>1595.38384</v>
      </c>
      <c r="AC19" s="71">
        <f>+(S19-T19)*V19-'data 1'!$F$4</f>
        <v>74.322</v>
      </c>
      <c r="AD19" s="71">
        <f t="shared" si="5"/>
        <v>3.183893726</v>
      </c>
      <c r="AE19" s="71">
        <f t="shared" si="6"/>
        <v>-36.931</v>
      </c>
      <c r="AF19" s="71">
        <f t="shared" si="7"/>
        <v>8.179897178</v>
      </c>
      <c r="AG19" s="72">
        <f t="shared" si="14"/>
        <v>65.7547909</v>
      </c>
      <c r="AH19" s="52">
        <f t="shared" si="8"/>
        <v>34.51274649</v>
      </c>
      <c r="AI19" s="73">
        <f t="shared" si="9"/>
        <v>180.7824211</v>
      </c>
      <c r="AJ19" s="73">
        <f t="shared" si="10"/>
        <v>34.29442568</v>
      </c>
      <c r="AK19" s="11"/>
      <c r="AL19" s="51">
        <f t="shared" si="11"/>
        <v>2707.047299</v>
      </c>
    </row>
    <row r="20" ht="15.0" customHeight="1">
      <c r="A20" s="92" t="s">
        <v>370</v>
      </c>
      <c r="B20" s="95">
        <v>45700.0</v>
      </c>
      <c r="C20" s="56">
        <v>45692.0</v>
      </c>
      <c r="D20" s="57" t="s">
        <v>181</v>
      </c>
      <c r="E20" s="57">
        <f t="array" ref="E20">XLOOKUP(D20,RUC!$B$3:$B$110,RUC!$D$3:$D$110)</f>
        <v>20603329059</v>
      </c>
      <c r="G20" s="3">
        <v>62.0</v>
      </c>
      <c r="H20" s="57" t="s">
        <v>40</v>
      </c>
      <c r="I20" s="58">
        <v>1.54</v>
      </c>
      <c r="J20" s="58">
        <v>14.75</v>
      </c>
      <c r="K20" s="59">
        <f t="shared" si="1"/>
        <v>1.31285</v>
      </c>
      <c r="L20" s="60">
        <v>0.334</v>
      </c>
      <c r="M20" s="60">
        <v>0.321</v>
      </c>
      <c r="N20" s="60">
        <v>0.321</v>
      </c>
      <c r="O20" s="60">
        <f t="shared" si="2"/>
        <v>0.321</v>
      </c>
      <c r="P20" s="63">
        <v>90.0</v>
      </c>
      <c r="Q20" s="64">
        <v>90.21</v>
      </c>
      <c r="R20" s="65">
        <v>2843.55</v>
      </c>
      <c r="S20" s="96">
        <f t="shared" si="12"/>
        <v>110</v>
      </c>
      <c r="U20" s="67">
        <v>100.0</v>
      </c>
      <c r="V20" s="67">
        <v>1.1023</v>
      </c>
      <c r="Z20" s="69">
        <f t="shared" si="3"/>
        <v>30</v>
      </c>
      <c r="AA20" s="70">
        <f t="shared" si="4"/>
        <v>30</v>
      </c>
      <c r="AB20" s="71">
        <f t="shared" si="13"/>
        <v>719.3737612</v>
      </c>
      <c r="AC20" s="71">
        <f>+(S20-T20)*V20-'data 1'!$F$4</f>
        <v>41.253</v>
      </c>
      <c r="AD20" s="71">
        <f t="shared" si="5"/>
        <v>2.121184517</v>
      </c>
      <c r="AE20" s="71">
        <f t="shared" si="6"/>
        <v>-36.931</v>
      </c>
      <c r="AF20" s="71">
        <f t="shared" si="7"/>
        <v>35.4658785</v>
      </c>
      <c r="AG20" s="72">
        <f t="shared" si="14"/>
        <v>58.90906302</v>
      </c>
      <c r="AH20" s="52">
        <f t="shared" si="8"/>
        <v>13.56204957</v>
      </c>
      <c r="AI20" s="73">
        <f t="shared" si="9"/>
        <v>91.81582721</v>
      </c>
      <c r="AJ20" s="73">
        <f t="shared" si="10"/>
        <v>13.00384306</v>
      </c>
      <c r="AK20" s="11"/>
      <c r="AL20" s="51">
        <f t="shared" si="11"/>
        <v>944.4298424</v>
      </c>
    </row>
    <row r="21" ht="15.0" customHeight="1">
      <c r="A21" s="92" t="s">
        <v>371</v>
      </c>
      <c r="B21" s="95">
        <v>45700.0</v>
      </c>
      <c r="C21" s="56">
        <v>45692.0</v>
      </c>
      <c r="D21" s="57" t="s">
        <v>181</v>
      </c>
      <c r="E21" s="57">
        <f t="array" ref="E21">XLOOKUP(D21,RUC!$B$3:$B$110,RUC!$D$3:$D$110)</f>
        <v>20603329059</v>
      </c>
      <c r="G21" s="3">
        <v>135.0</v>
      </c>
      <c r="H21" s="57" t="s">
        <v>40</v>
      </c>
      <c r="I21" s="58">
        <v>4.43</v>
      </c>
      <c r="J21" s="58">
        <v>15.3</v>
      </c>
      <c r="K21" s="59">
        <f t="shared" si="1"/>
        <v>3.75221</v>
      </c>
      <c r="L21" s="60">
        <v>0.522</v>
      </c>
      <c r="M21" s="60">
        <v>0.501</v>
      </c>
      <c r="N21" s="75">
        <v>0.542</v>
      </c>
      <c r="O21" s="60">
        <f t="shared" si="2"/>
        <v>0.522</v>
      </c>
      <c r="P21" s="63">
        <v>90.0</v>
      </c>
      <c r="Q21" s="64">
        <v>89.97</v>
      </c>
      <c r="R21" s="65">
        <v>2843.55</v>
      </c>
      <c r="S21" s="96">
        <f t="shared" si="12"/>
        <v>130</v>
      </c>
      <c r="U21" s="67">
        <v>100.0</v>
      </c>
      <c r="V21" s="67">
        <v>1.1023</v>
      </c>
      <c r="Z21" s="69">
        <f t="shared" si="3"/>
        <v>30</v>
      </c>
      <c r="AA21" s="70">
        <f t="shared" si="4"/>
        <v>30</v>
      </c>
      <c r="AB21" s="71">
        <f t="shared" si="13"/>
        <v>1244.408285</v>
      </c>
      <c r="AC21" s="71">
        <f>+(S21-T21)*V21-'data 1'!$F$4</f>
        <v>63.299</v>
      </c>
      <c r="AD21" s="71">
        <f t="shared" si="5"/>
        <v>-0.4735920948</v>
      </c>
      <c r="AE21" s="71">
        <f t="shared" si="6"/>
        <v>-36.931</v>
      </c>
      <c r="AF21" s="71">
        <f t="shared" si="7"/>
        <v>0</v>
      </c>
      <c r="AG21" s="72">
        <f t="shared" si="14"/>
        <v>42.89440791</v>
      </c>
      <c r="AH21" s="52">
        <f t="shared" si="8"/>
        <v>60.41773352</v>
      </c>
      <c r="AI21" s="73">
        <f t="shared" si="9"/>
        <v>143.1148254</v>
      </c>
      <c r="AJ21" s="73">
        <f t="shared" si="10"/>
        <v>60.43787948</v>
      </c>
      <c r="AK21" s="11"/>
      <c r="AL21" s="51">
        <f t="shared" si="11"/>
        <v>4669.281209</v>
      </c>
    </row>
    <row r="22" ht="15.0" customHeight="1">
      <c r="A22" s="92" t="s">
        <v>372</v>
      </c>
      <c r="B22" s="95">
        <v>45700.0</v>
      </c>
      <c r="C22" s="56">
        <v>45692.0</v>
      </c>
      <c r="D22" s="57" t="s">
        <v>181</v>
      </c>
      <c r="E22" s="57">
        <f t="array" ref="E22">XLOOKUP(D22,RUC!$B$3:$B$110,RUC!$D$3:$D$110)</f>
        <v>20603329059</v>
      </c>
      <c r="G22" s="3">
        <v>54.0</v>
      </c>
      <c r="H22" s="57" t="s">
        <v>40</v>
      </c>
      <c r="I22" s="58">
        <v>5.23</v>
      </c>
      <c r="J22" s="58">
        <v>16.15</v>
      </c>
      <c r="K22" s="59">
        <f t="shared" si="1"/>
        <v>4.385355</v>
      </c>
      <c r="L22" s="60">
        <v>0.309</v>
      </c>
      <c r="M22" s="60">
        <v>0.297</v>
      </c>
      <c r="N22" s="60">
        <v>0.297</v>
      </c>
      <c r="O22" s="60">
        <f t="shared" si="2"/>
        <v>0.297</v>
      </c>
      <c r="P22" s="63">
        <v>90.0</v>
      </c>
      <c r="Q22" s="64">
        <v>90.11</v>
      </c>
      <c r="R22" s="65">
        <v>2843.55</v>
      </c>
      <c r="S22" s="96">
        <f t="shared" si="12"/>
        <v>100</v>
      </c>
      <c r="U22" s="67">
        <v>100.0</v>
      </c>
      <c r="V22" s="67">
        <v>1.1023</v>
      </c>
      <c r="Z22" s="69">
        <f t="shared" si="3"/>
        <v>30</v>
      </c>
      <c r="AA22" s="70">
        <f t="shared" si="4"/>
        <v>30</v>
      </c>
      <c r="AB22" s="71">
        <f t="shared" si="13"/>
        <v>665.0737136</v>
      </c>
      <c r="AC22" s="71">
        <f>+(S22-T22)*V22-'data 1'!$F$4</f>
        <v>30.23</v>
      </c>
      <c r="AD22" s="71">
        <f t="shared" si="5"/>
        <v>1.027930735</v>
      </c>
      <c r="AE22" s="71">
        <f t="shared" si="6"/>
        <v>-36.931</v>
      </c>
      <c r="AF22" s="71">
        <f t="shared" si="7"/>
        <v>32.70144342</v>
      </c>
      <c r="AG22" s="72">
        <f t="shared" si="14"/>
        <v>44.02837416</v>
      </c>
      <c r="AH22" s="52">
        <f t="shared" si="8"/>
        <v>41.86444077</v>
      </c>
      <c r="AI22" s="73">
        <f t="shared" si="9"/>
        <v>84.84922322</v>
      </c>
      <c r="AJ22" s="73">
        <f t="shared" si="10"/>
        <v>40.18951672</v>
      </c>
      <c r="AK22" s="11"/>
      <c r="AL22" s="51">
        <f t="shared" si="11"/>
        <v>2916.584335</v>
      </c>
    </row>
    <row r="23" ht="15.0" customHeight="1">
      <c r="A23" s="92" t="s">
        <v>373</v>
      </c>
      <c r="B23" s="95">
        <v>45699.0</v>
      </c>
      <c r="C23" s="56">
        <v>45692.0</v>
      </c>
      <c r="D23" s="57" t="s">
        <v>88</v>
      </c>
      <c r="E23" s="57" t="str">
        <f t="array" ref="E23">XLOOKUP(D23,RUC!$B$3:$B$110,RUC!$D$3:$D$110)</f>
        <v>#N/A</v>
      </c>
      <c r="G23" s="3">
        <v>110.0</v>
      </c>
      <c r="H23" s="57" t="s">
        <v>40</v>
      </c>
      <c r="I23" s="58">
        <v>8.34</v>
      </c>
      <c r="J23" s="58">
        <v>14.45</v>
      </c>
      <c r="K23" s="59">
        <f t="shared" si="1"/>
        <v>7.13487</v>
      </c>
      <c r="L23" s="60">
        <v>0.287</v>
      </c>
      <c r="M23" s="60">
        <v>0.276</v>
      </c>
      <c r="N23" s="75">
        <v>0.332</v>
      </c>
      <c r="O23" s="60">
        <f t="shared" si="2"/>
        <v>0.304</v>
      </c>
      <c r="P23" s="63">
        <v>90.0</v>
      </c>
      <c r="Q23" s="64">
        <v>90.09</v>
      </c>
      <c r="R23" s="65">
        <v>2843.55</v>
      </c>
      <c r="S23" s="96">
        <f>IF((85+ROUNDDOWN(O23,1)*100)&lt;95,95,(85+ROUNDDOWN(O23,1)*100))</f>
        <v>115</v>
      </c>
      <c r="U23" s="87">
        <v>90.0</v>
      </c>
      <c r="V23" s="67">
        <v>1.1023</v>
      </c>
      <c r="Z23" s="77">
        <v>25.0</v>
      </c>
      <c r="AA23" s="70">
        <f t="shared" si="4"/>
        <v>25</v>
      </c>
      <c r="AB23" s="71">
        <f t="shared" si="13"/>
        <v>676.1191619</v>
      </c>
      <c r="AC23" s="71">
        <f>+(S23-T23)*V23-'data 1'!$F$4</f>
        <v>46.7645</v>
      </c>
      <c r="AD23" s="71">
        <f t="shared" si="5"/>
        <v>0.784002018</v>
      </c>
      <c r="AE23" s="71">
        <f t="shared" si="6"/>
        <v>-42.4425</v>
      </c>
      <c r="AF23" s="71">
        <f t="shared" si="7"/>
        <v>-46.48558307</v>
      </c>
      <c r="AG23" s="72">
        <f t="shared" si="14"/>
        <v>-24.37958105</v>
      </c>
      <c r="AH23" s="52">
        <f t="shared" si="8"/>
        <v>63.2489933</v>
      </c>
      <c r="AI23" s="73">
        <f t="shared" si="9"/>
        <v>75.94059851</v>
      </c>
      <c r="AJ23" s="73">
        <f t="shared" si="10"/>
        <v>66.92852082</v>
      </c>
      <c r="AK23" s="11"/>
      <c r="AL23" s="51">
        <f t="shared" si="11"/>
        <v>4824.022325</v>
      </c>
    </row>
    <row r="24" ht="15.0" customHeight="1">
      <c r="A24" s="92" t="s">
        <v>374</v>
      </c>
      <c r="B24" s="95">
        <v>45700.0</v>
      </c>
      <c r="C24" s="56">
        <v>45694.0</v>
      </c>
      <c r="D24" s="57" t="s">
        <v>181</v>
      </c>
      <c r="E24" s="57">
        <f t="array" ref="E24">XLOOKUP(D24,RUC!$B$3:$B$110,RUC!$D$3:$D$110)</f>
        <v>20603329059</v>
      </c>
      <c r="G24" s="3">
        <v>54.0</v>
      </c>
      <c r="H24" s="57" t="s">
        <v>40</v>
      </c>
      <c r="I24" s="58">
        <v>5.22</v>
      </c>
      <c r="J24" s="58">
        <v>16.0</v>
      </c>
      <c r="K24" s="59">
        <f t="shared" si="1"/>
        <v>4.3848</v>
      </c>
      <c r="L24" s="60">
        <v>0.209</v>
      </c>
      <c r="M24" s="60">
        <v>0.199</v>
      </c>
      <c r="N24" s="60">
        <v>0.199</v>
      </c>
      <c r="O24" s="60">
        <f t="shared" si="2"/>
        <v>0.199</v>
      </c>
      <c r="P24" s="63">
        <v>90.0</v>
      </c>
      <c r="Q24" s="58">
        <v>90.25</v>
      </c>
      <c r="R24" s="65">
        <v>2838.95</v>
      </c>
      <c r="S24" s="76">
        <f t="shared" ref="S24:S32" si="15">IF((80+ROUNDDOWN(O24,1)*100)&lt;95,95,(80+ROUNDDOWN(O24,1)*100))</f>
        <v>95</v>
      </c>
      <c r="U24" s="67">
        <v>100.0</v>
      </c>
      <c r="V24" s="67">
        <v>1.1023</v>
      </c>
      <c r="Z24" s="69">
        <f t="shared" ref="Z24:Z52" si="16">IF(IF(D24="UNTUCA",IF(+((W24-3)*1.5+(X24-3)*3.1)&gt;0,+((W24-3)*1.5+(X24-3)*3.1),0),IF(+((W24-3)*1.5+(X24-3)*3.1)&gt;0,+((W24-3)*1.5+(X24-3)*3.1),0))&lt;30,30,IF(D24="UNTUCA",IF(+((W24-3)*1.5+(X24-3)*3.1)&gt;0,+((W24-3)*1.5+(X24-3)*3.1),0),IF(+((W24-3)*1.5+(X24-3)*3.1)&gt;0,+((W24-3)*1.5+(X24-3)*3.1),0)))</f>
        <v>30</v>
      </c>
      <c r="AA24" s="70">
        <f t="shared" si="4"/>
        <v>30</v>
      </c>
      <c r="AB24" s="71">
        <f t="shared" si="13"/>
        <v>402.9412952</v>
      </c>
      <c r="AC24" s="71">
        <f>+(S24-T24)*V24-'data 1'!$F$4</f>
        <v>24.7185</v>
      </c>
      <c r="AD24" s="71">
        <f t="shared" si="5"/>
        <v>1.577503046</v>
      </c>
      <c r="AE24" s="71">
        <f t="shared" si="6"/>
        <v>-36.931</v>
      </c>
      <c r="AF24" s="71">
        <f t="shared" si="7"/>
        <v>27.24777988</v>
      </c>
      <c r="AG24" s="72">
        <f t="shared" si="14"/>
        <v>33.61278293</v>
      </c>
      <c r="AH24" s="52">
        <f t="shared" si="8"/>
        <v>28.35648234</v>
      </c>
      <c r="AI24" s="73">
        <f t="shared" si="9"/>
        <v>58.4355174</v>
      </c>
      <c r="AJ24" s="73">
        <f t="shared" si="10"/>
        <v>26.9249214</v>
      </c>
      <c r="AK24" s="11"/>
      <c r="AL24" s="51">
        <f t="shared" si="11"/>
        <v>1766.816991</v>
      </c>
    </row>
    <row r="25" ht="15.0" customHeight="1">
      <c r="A25" s="92" t="s">
        <v>375</v>
      </c>
      <c r="B25" s="95">
        <v>45700.0</v>
      </c>
      <c r="C25" s="56">
        <v>45694.0</v>
      </c>
      <c r="D25" s="57" t="s">
        <v>181</v>
      </c>
      <c r="E25" s="57">
        <f t="array" ref="E25">XLOOKUP(D25,RUC!$B$3:$B$110,RUC!$D$3:$D$110)</f>
        <v>20603329059</v>
      </c>
      <c r="G25" s="3">
        <v>34.0</v>
      </c>
      <c r="H25" s="57" t="s">
        <v>40</v>
      </c>
      <c r="I25" s="58">
        <v>3.09</v>
      </c>
      <c r="J25" s="58">
        <v>15.15</v>
      </c>
      <c r="K25" s="59">
        <f t="shared" si="1"/>
        <v>2.621865</v>
      </c>
      <c r="L25" s="60">
        <v>0.291</v>
      </c>
      <c r="M25" s="60">
        <v>0.279</v>
      </c>
      <c r="N25" s="75">
        <v>0.336</v>
      </c>
      <c r="O25" s="60">
        <f t="shared" si="2"/>
        <v>0.308</v>
      </c>
      <c r="P25" s="63">
        <v>90.0</v>
      </c>
      <c r="Q25" s="58">
        <v>90.12</v>
      </c>
      <c r="R25" s="65">
        <v>2838.95</v>
      </c>
      <c r="S25" s="76">
        <f t="shared" si="15"/>
        <v>110</v>
      </c>
      <c r="U25" s="67">
        <v>100.0</v>
      </c>
      <c r="V25" s="67">
        <v>1.1023</v>
      </c>
      <c r="Z25" s="69">
        <f t="shared" si="16"/>
        <v>30</v>
      </c>
      <c r="AA25" s="70">
        <f t="shared" si="4"/>
        <v>30</v>
      </c>
      <c r="AB25" s="71">
        <f t="shared" si="13"/>
        <v>682.584879</v>
      </c>
      <c r="AC25" s="71">
        <f>+(S25-T25)*V25-'data 1'!$F$4</f>
        <v>41.253</v>
      </c>
      <c r="AD25" s="71">
        <f t="shared" si="5"/>
        <v>1.054285289</v>
      </c>
      <c r="AE25" s="71">
        <f t="shared" si="6"/>
        <v>-36.931</v>
      </c>
      <c r="AF25" s="71">
        <f t="shared" si="7"/>
        <v>-46.2545027</v>
      </c>
      <c r="AG25" s="72">
        <f t="shared" si="14"/>
        <v>-23.87821741</v>
      </c>
      <c r="AH25" s="52">
        <f t="shared" si="8"/>
        <v>23.57401564</v>
      </c>
      <c r="AI25" s="73">
        <f t="shared" si="9"/>
        <v>81.24517324</v>
      </c>
      <c r="AJ25" s="73">
        <f t="shared" si="10"/>
        <v>24.91796786</v>
      </c>
      <c r="AK25" s="11"/>
      <c r="AL25" s="51">
        <f t="shared" si="11"/>
        <v>1789.645404</v>
      </c>
    </row>
    <row r="26" ht="15.0" customHeight="1">
      <c r="A26" s="92" t="s">
        <v>376</v>
      </c>
      <c r="B26" s="56">
        <v>45700.0</v>
      </c>
      <c r="C26" s="56">
        <v>45694.0</v>
      </c>
      <c r="D26" s="57" t="s">
        <v>181</v>
      </c>
      <c r="E26" s="57">
        <f t="array" ref="E26">XLOOKUP(D26,RUC!$B$3:$B$110,RUC!$D$3:$D$110)</f>
        <v>20603329059</v>
      </c>
      <c r="G26" s="3">
        <v>26.0</v>
      </c>
      <c r="H26" s="57" t="s">
        <v>40</v>
      </c>
      <c r="I26" s="58">
        <v>2.36</v>
      </c>
      <c r="J26" s="58">
        <v>16.0</v>
      </c>
      <c r="K26" s="59">
        <f t="shared" si="1"/>
        <v>1.9824</v>
      </c>
      <c r="L26" s="60">
        <v>0.552</v>
      </c>
      <c r="M26" s="60">
        <v>0.529</v>
      </c>
      <c r="N26" s="75">
        <v>0.606</v>
      </c>
      <c r="O26" s="60">
        <f t="shared" si="2"/>
        <v>0.568</v>
      </c>
      <c r="P26" s="63">
        <v>90.0</v>
      </c>
      <c r="Q26" s="58">
        <v>89.88</v>
      </c>
      <c r="R26" s="65">
        <v>2838.95</v>
      </c>
      <c r="S26" s="76">
        <f t="shared" si="15"/>
        <v>130</v>
      </c>
      <c r="U26" s="67">
        <v>100.0</v>
      </c>
      <c r="V26" s="67">
        <v>1.1023</v>
      </c>
      <c r="Z26" s="69">
        <f t="shared" si="16"/>
        <v>30</v>
      </c>
      <c r="AA26" s="70">
        <f t="shared" si="4"/>
        <v>30</v>
      </c>
      <c r="AB26" s="71">
        <f t="shared" si="13"/>
        <v>1367.018712</v>
      </c>
      <c r="AC26" s="71">
        <f>+(S26-T26)*V26-'data 1'!$F$4</f>
        <v>63.299</v>
      </c>
      <c r="AD26" s="71">
        <f t="shared" si="5"/>
        <v>-1.999881373</v>
      </c>
      <c r="AE26" s="71">
        <f t="shared" si="6"/>
        <v>-36.931</v>
      </c>
      <c r="AF26" s="71">
        <f t="shared" si="7"/>
        <v>-43.41771445</v>
      </c>
      <c r="AG26" s="72">
        <f t="shared" si="14"/>
        <v>-2.049595821</v>
      </c>
      <c r="AH26" s="52">
        <f t="shared" si="8"/>
        <v>33.72115953</v>
      </c>
      <c r="AI26" s="73">
        <f t="shared" si="9"/>
        <v>153.7041305</v>
      </c>
      <c r="AJ26" s="73">
        <f t="shared" si="10"/>
        <v>34.74491099</v>
      </c>
      <c r="AK26" s="11"/>
      <c r="AL26" s="51">
        <f t="shared" si="11"/>
        <v>2709.977894</v>
      </c>
    </row>
    <row r="27" ht="15.0" customHeight="1">
      <c r="A27" s="92" t="s">
        <v>377</v>
      </c>
      <c r="B27" s="56">
        <v>45700.0</v>
      </c>
      <c r="C27" s="56">
        <v>45694.0</v>
      </c>
      <c r="D27" s="57" t="s">
        <v>181</v>
      </c>
      <c r="E27" s="57">
        <f t="array" ref="E27">XLOOKUP(D27,RUC!$B$3:$B$110,RUC!$D$3:$D$110)</f>
        <v>20603329059</v>
      </c>
      <c r="G27" s="3">
        <v>38.0</v>
      </c>
      <c r="H27" s="57" t="s">
        <v>40</v>
      </c>
      <c r="I27" s="58">
        <v>1.38</v>
      </c>
      <c r="J27" s="58">
        <v>15.75</v>
      </c>
      <c r="K27" s="59">
        <f t="shared" si="1"/>
        <v>1.16265</v>
      </c>
      <c r="L27" s="60">
        <v>0.589</v>
      </c>
      <c r="M27" s="60">
        <v>0.565</v>
      </c>
      <c r="N27" s="60">
        <v>0.565</v>
      </c>
      <c r="O27" s="60">
        <f t="shared" si="2"/>
        <v>0.565</v>
      </c>
      <c r="P27" s="63">
        <v>90.0</v>
      </c>
      <c r="Q27" s="58">
        <v>89.9</v>
      </c>
      <c r="R27" s="65">
        <v>2838.95</v>
      </c>
      <c r="S27" s="76">
        <f t="shared" si="15"/>
        <v>130</v>
      </c>
      <c r="U27" s="67">
        <v>100.0</v>
      </c>
      <c r="V27" s="67">
        <v>1.1023</v>
      </c>
      <c r="Z27" s="69">
        <f t="shared" si="16"/>
        <v>30</v>
      </c>
      <c r="AA27" s="70">
        <f t="shared" si="4"/>
        <v>30</v>
      </c>
      <c r="AB27" s="71">
        <f t="shared" si="13"/>
        <v>1358.867021</v>
      </c>
      <c r="AC27" s="71">
        <f>+(S27-T27)*V27-'data 1'!$F$4</f>
        <v>63.299</v>
      </c>
      <c r="AD27" s="71">
        <f t="shared" si="5"/>
        <v>-1.778276161</v>
      </c>
      <c r="AE27" s="71">
        <f t="shared" si="6"/>
        <v>-36.931</v>
      </c>
      <c r="AF27" s="71">
        <f t="shared" si="7"/>
        <v>65.14106357</v>
      </c>
      <c r="AG27" s="72">
        <f t="shared" si="14"/>
        <v>106.7307874</v>
      </c>
      <c r="AH27" s="52">
        <f t="shared" si="8"/>
        <v>21.10731793</v>
      </c>
      <c r="AI27" s="73">
        <f t="shared" si="9"/>
        <v>164.0432571</v>
      </c>
      <c r="AJ27" s="73">
        <f t="shared" si="10"/>
        <v>20.26977941</v>
      </c>
      <c r="AK27" s="11"/>
      <c r="AL27" s="51">
        <f t="shared" si="11"/>
        <v>1579.886743</v>
      </c>
    </row>
    <row r="28" ht="15.0" customHeight="1">
      <c r="A28" s="92" t="s">
        <v>378</v>
      </c>
      <c r="B28" s="56">
        <v>45700.0</v>
      </c>
      <c r="C28" s="56">
        <v>45694.0</v>
      </c>
      <c r="D28" s="57" t="s">
        <v>181</v>
      </c>
      <c r="E28" s="57">
        <f t="array" ref="E28">XLOOKUP(D28,RUC!$B$3:$B$110,RUC!$D$3:$D$110)</f>
        <v>20603329059</v>
      </c>
      <c r="G28" s="3">
        <v>90.0</v>
      </c>
      <c r="H28" s="57" t="s">
        <v>40</v>
      </c>
      <c r="I28" s="58">
        <v>8.44</v>
      </c>
      <c r="J28" s="58">
        <v>14.55</v>
      </c>
      <c r="K28" s="59">
        <f t="shared" si="1"/>
        <v>7.21198</v>
      </c>
      <c r="L28" s="60">
        <v>0.316</v>
      </c>
      <c r="M28" s="60">
        <v>0.303</v>
      </c>
      <c r="N28" s="60">
        <v>0.303</v>
      </c>
      <c r="O28" s="60">
        <f t="shared" si="2"/>
        <v>0.303</v>
      </c>
      <c r="P28" s="63">
        <v>90.0</v>
      </c>
      <c r="Q28" s="58">
        <v>90.09</v>
      </c>
      <c r="R28" s="65">
        <v>2838.95</v>
      </c>
      <c r="S28" s="76">
        <f t="shared" si="15"/>
        <v>110</v>
      </c>
      <c r="U28" s="67">
        <v>100.0</v>
      </c>
      <c r="V28" s="67">
        <v>1.1023</v>
      </c>
      <c r="Z28" s="69">
        <f t="shared" si="16"/>
        <v>30</v>
      </c>
      <c r="AA28" s="70">
        <f t="shared" si="4"/>
        <v>30</v>
      </c>
      <c r="AB28" s="71">
        <f t="shared" si="13"/>
        <v>668.9987283</v>
      </c>
      <c r="AC28" s="71">
        <f>+(S28-T28)*V28-'data 1'!$F$4</f>
        <v>41.253</v>
      </c>
      <c r="AD28" s="71">
        <f t="shared" si="5"/>
        <v>0.85864472</v>
      </c>
      <c r="AE28" s="71">
        <f t="shared" si="6"/>
        <v>-36.931</v>
      </c>
      <c r="AF28" s="71">
        <f t="shared" si="7"/>
        <v>35.35931564</v>
      </c>
      <c r="AG28" s="72">
        <f t="shared" si="14"/>
        <v>57.53996036</v>
      </c>
      <c r="AH28" s="52">
        <f t="shared" si="8"/>
        <v>70.39263988</v>
      </c>
      <c r="AI28" s="73">
        <f t="shared" si="9"/>
        <v>88.19562995</v>
      </c>
      <c r="AJ28" s="73">
        <f t="shared" si="10"/>
        <v>67.42931082</v>
      </c>
      <c r="AK28" s="11"/>
      <c r="AL28" s="51">
        <f t="shared" si="11"/>
        <v>4824.805449</v>
      </c>
    </row>
    <row r="29" ht="15.0" customHeight="1">
      <c r="A29" s="92" t="s">
        <v>379</v>
      </c>
      <c r="B29" s="56">
        <v>45700.0</v>
      </c>
      <c r="C29" s="56">
        <v>45694.0</v>
      </c>
      <c r="D29" s="57" t="s">
        <v>181</v>
      </c>
      <c r="E29" s="57">
        <f t="array" ref="E29">XLOOKUP(D29,RUC!$B$3:$B$110,RUC!$D$3:$D$110)</f>
        <v>20603329059</v>
      </c>
      <c r="G29" s="3">
        <v>45.0</v>
      </c>
      <c r="H29" s="57" t="s">
        <v>40</v>
      </c>
      <c r="I29" s="58">
        <v>3.73</v>
      </c>
      <c r="J29" s="58">
        <v>14.6</v>
      </c>
      <c r="K29" s="59">
        <f t="shared" si="1"/>
        <v>3.18542</v>
      </c>
      <c r="L29" s="60">
        <v>0.332</v>
      </c>
      <c r="M29" s="60">
        <v>0.318</v>
      </c>
      <c r="N29" s="60">
        <v>0.318</v>
      </c>
      <c r="O29" s="60">
        <f t="shared" si="2"/>
        <v>0.318</v>
      </c>
      <c r="P29" s="63">
        <v>90.0</v>
      </c>
      <c r="Q29" s="58">
        <v>90.17</v>
      </c>
      <c r="R29" s="65">
        <v>2838.95</v>
      </c>
      <c r="S29" s="76">
        <f t="shared" si="15"/>
        <v>110</v>
      </c>
      <c r="U29" s="67">
        <v>100.0</v>
      </c>
      <c r="V29" s="67">
        <v>1.1023</v>
      </c>
      <c r="Z29" s="69">
        <f t="shared" si="16"/>
        <v>30</v>
      </c>
      <c r="AA29" s="70">
        <f t="shared" si="4"/>
        <v>30</v>
      </c>
      <c r="AB29" s="71">
        <f t="shared" si="13"/>
        <v>709.7571802</v>
      </c>
      <c r="AC29" s="71">
        <f>+(S29-T29)*V29-'data 1'!$F$4</f>
        <v>41.253</v>
      </c>
      <c r="AD29" s="71">
        <f t="shared" si="5"/>
        <v>1.704005204</v>
      </c>
      <c r="AE29" s="71">
        <f t="shared" si="6"/>
        <v>-36.931</v>
      </c>
      <c r="AF29" s="71">
        <f t="shared" si="7"/>
        <v>38.11307741</v>
      </c>
      <c r="AG29" s="72">
        <f t="shared" si="14"/>
        <v>61.13908262</v>
      </c>
      <c r="AH29" s="52">
        <f t="shared" si="8"/>
        <v>32.69459223</v>
      </c>
      <c r="AI29" s="73">
        <f t="shared" si="9"/>
        <v>92.74351472</v>
      </c>
      <c r="AJ29" s="73">
        <f t="shared" si="10"/>
        <v>31.25686386</v>
      </c>
      <c r="AK29" s="11"/>
      <c r="AL29" s="51">
        <f t="shared" si="11"/>
        <v>2260.874717</v>
      </c>
    </row>
    <row r="30" ht="15.0" customHeight="1">
      <c r="A30" s="92" t="s">
        <v>380</v>
      </c>
      <c r="B30" s="56">
        <v>45700.0</v>
      </c>
      <c r="C30" s="56">
        <v>45694.0</v>
      </c>
      <c r="D30" s="57" t="s">
        <v>181</v>
      </c>
      <c r="E30" s="57">
        <f t="array" ref="E30">XLOOKUP(D30,RUC!$B$3:$B$110,RUC!$D$3:$D$110)</f>
        <v>20603329059</v>
      </c>
      <c r="G30" s="3">
        <v>44.0</v>
      </c>
      <c r="H30" s="57" t="s">
        <v>40</v>
      </c>
      <c r="I30" s="58">
        <v>3.69</v>
      </c>
      <c r="J30" s="58">
        <v>16.0</v>
      </c>
      <c r="K30" s="59">
        <f t="shared" si="1"/>
        <v>3.0996</v>
      </c>
      <c r="L30" s="60">
        <v>0.204</v>
      </c>
      <c r="M30" s="60">
        <v>0.193</v>
      </c>
      <c r="N30" s="60">
        <v>0.193</v>
      </c>
      <c r="O30" s="60">
        <f t="shared" si="2"/>
        <v>0.193</v>
      </c>
      <c r="P30" s="63">
        <v>90.0</v>
      </c>
      <c r="Q30" s="58">
        <v>90.22</v>
      </c>
      <c r="R30" s="65">
        <v>2838.95</v>
      </c>
      <c r="S30" s="76">
        <f t="shared" si="15"/>
        <v>95</v>
      </c>
      <c r="U30" s="67">
        <v>100.0</v>
      </c>
      <c r="V30" s="67">
        <v>1.1023</v>
      </c>
      <c r="Z30" s="69">
        <f t="shared" si="16"/>
        <v>30</v>
      </c>
      <c r="AA30" s="70">
        <f t="shared" si="4"/>
        <v>30</v>
      </c>
      <c r="AB30" s="71">
        <f t="shared" si="13"/>
        <v>386.6379144</v>
      </c>
      <c r="AC30" s="71">
        <f>+(S30-T30)*V30-'data 1'!$F$4</f>
        <v>24.7185</v>
      </c>
      <c r="AD30" s="71">
        <f t="shared" si="5"/>
        <v>1.35499209</v>
      </c>
      <c r="AE30" s="71">
        <f t="shared" si="6"/>
        <v>-36.931</v>
      </c>
      <c r="AF30" s="71">
        <f t="shared" si="7"/>
        <v>29.96259469</v>
      </c>
      <c r="AG30" s="72">
        <f t="shared" si="14"/>
        <v>36.10508678</v>
      </c>
      <c r="AH30" s="52">
        <f t="shared" si="8"/>
        <v>19.55904796</v>
      </c>
      <c r="AI30" s="73">
        <f t="shared" si="9"/>
        <v>57.01857867</v>
      </c>
      <c r="AJ30" s="73">
        <f t="shared" si="10"/>
        <v>18.45927075</v>
      </c>
      <c r="AK30" s="11"/>
      <c r="AL30" s="51">
        <f t="shared" si="11"/>
        <v>1198.42288</v>
      </c>
    </row>
    <row r="31" ht="15.0" customHeight="1">
      <c r="A31" s="92" t="s">
        <v>381</v>
      </c>
      <c r="B31" s="56">
        <v>45669.0</v>
      </c>
      <c r="C31" s="56">
        <v>45694.0</v>
      </c>
      <c r="D31" s="57" t="s">
        <v>181</v>
      </c>
      <c r="E31" s="57">
        <f t="array" ref="E31">XLOOKUP(D31,RUC!$B$3:$B$110,RUC!$D$3:$D$110)</f>
        <v>20603329059</v>
      </c>
      <c r="G31" s="3">
        <v>20.0</v>
      </c>
      <c r="H31" s="57" t="s">
        <v>40</v>
      </c>
      <c r="I31" s="58">
        <v>1.66</v>
      </c>
      <c r="J31" s="58">
        <v>14.65</v>
      </c>
      <c r="K31" s="59">
        <f t="shared" si="1"/>
        <v>1.41681</v>
      </c>
      <c r="L31" s="60">
        <v>0.213</v>
      </c>
      <c r="M31" s="60">
        <v>0.203</v>
      </c>
      <c r="N31" s="60">
        <v>0.203</v>
      </c>
      <c r="O31" s="60">
        <f t="shared" si="2"/>
        <v>0.203</v>
      </c>
      <c r="P31" s="63">
        <v>90.0</v>
      </c>
      <c r="Q31" s="58">
        <v>90.19</v>
      </c>
      <c r="R31" s="65">
        <v>2838.95</v>
      </c>
      <c r="S31" s="76">
        <f t="shared" si="15"/>
        <v>100</v>
      </c>
      <c r="U31" s="67">
        <v>100.0</v>
      </c>
      <c r="V31" s="67">
        <v>1.1023</v>
      </c>
      <c r="Z31" s="69">
        <f t="shared" si="16"/>
        <v>30</v>
      </c>
      <c r="AA31" s="70">
        <f t="shared" si="4"/>
        <v>30</v>
      </c>
      <c r="AB31" s="71">
        <f t="shared" si="13"/>
        <v>408.2987157</v>
      </c>
      <c r="AC31" s="71">
        <f>+(S31-T31)*V31-'data 1'!$F$4</f>
        <v>30.23</v>
      </c>
      <c r="AD31" s="71">
        <f t="shared" si="5"/>
        <v>1.221847814</v>
      </c>
      <c r="AE31" s="71">
        <f t="shared" si="6"/>
        <v>-36.931</v>
      </c>
      <c r="AF31" s="71">
        <f t="shared" si="7"/>
        <v>27.22966501</v>
      </c>
      <c r="AG31" s="72">
        <f t="shared" si="14"/>
        <v>38.75051283</v>
      </c>
      <c r="AH31" s="52">
        <f t="shared" si="8"/>
        <v>9.331654978</v>
      </c>
      <c r="AI31" s="73">
        <f t="shared" si="9"/>
        <v>59.51430789</v>
      </c>
      <c r="AJ31" s="73">
        <f t="shared" si="10"/>
        <v>8.874813393</v>
      </c>
      <c r="AK31" s="11"/>
      <c r="AL31" s="51">
        <f t="shared" si="11"/>
        <v>578.4817034</v>
      </c>
    </row>
    <row r="32" ht="15.0" customHeight="1">
      <c r="A32" s="92" t="s">
        <v>382</v>
      </c>
      <c r="B32" s="56">
        <v>45700.0</v>
      </c>
      <c r="C32" s="56">
        <v>45694.0</v>
      </c>
      <c r="D32" s="57" t="s">
        <v>181</v>
      </c>
      <c r="E32" s="57">
        <f t="array" ref="E32">XLOOKUP(D32,RUC!$B$3:$B$110,RUC!$D$3:$D$110)</f>
        <v>20603329059</v>
      </c>
      <c r="G32" s="3">
        <v>29.0</v>
      </c>
      <c r="H32" s="57" t="s">
        <v>40</v>
      </c>
      <c r="I32" s="58">
        <v>2.53</v>
      </c>
      <c r="J32" s="58">
        <v>14.44</v>
      </c>
      <c r="K32" s="59">
        <f t="shared" si="1"/>
        <v>2.164668</v>
      </c>
      <c r="L32" s="60">
        <v>0.263</v>
      </c>
      <c r="M32" s="60">
        <v>0.252</v>
      </c>
      <c r="N32" s="75">
        <v>0.348</v>
      </c>
      <c r="O32" s="60">
        <f t="shared" si="2"/>
        <v>0.3</v>
      </c>
      <c r="P32" s="63">
        <v>90.0</v>
      </c>
      <c r="Q32" s="58">
        <v>90.11</v>
      </c>
      <c r="R32" s="65">
        <v>2838.95</v>
      </c>
      <c r="S32" s="76">
        <f t="shared" si="15"/>
        <v>110</v>
      </c>
      <c r="U32" s="67">
        <v>100.0</v>
      </c>
      <c r="V32" s="67">
        <v>1.1023</v>
      </c>
      <c r="Z32" s="69">
        <f t="shared" si="16"/>
        <v>30</v>
      </c>
      <c r="AA32" s="70">
        <f t="shared" si="4"/>
        <v>30</v>
      </c>
      <c r="AB32" s="71">
        <f t="shared" si="13"/>
        <v>660.847038</v>
      </c>
      <c r="AC32" s="71">
        <f>+(S32-T32)*V32-'data 1'!$F$4</f>
        <v>41.253</v>
      </c>
      <c r="AD32" s="71">
        <f t="shared" si="5"/>
        <v>0.8734385284</v>
      </c>
      <c r="AE32" s="71">
        <f t="shared" si="6"/>
        <v>-36.931</v>
      </c>
      <c r="AF32" s="71">
        <f t="shared" si="7"/>
        <v>-100.6603939</v>
      </c>
      <c r="AG32" s="72">
        <f t="shared" si="14"/>
        <v>-78.46495534</v>
      </c>
      <c r="AH32" s="52">
        <f t="shared" si="8"/>
        <v>17.58851221</v>
      </c>
      <c r="AI32" s="73">
        <f t="shared" si="9"/>
        <v>73.41962048</v>
      </c>
      <c r="AJ32" s="73">
        <f t="shared" si="10"/>
        <v>20.03845024</v>
      </c>
      <c r="AK32" s="11"/>
      <c r="AL32" s="51">
        <f t="shared" si="11"/>
        <v>1430.514436</v>
      </c>
    </row>
    <row r="33" ht="15.0" customHeight="1">
      <c r="A33" s="92" t="s">
        <v>383</v>
      </c>
      <c r="B33" s="56">
        <v>45700.0</v>
      </c>
      <c r="C33" s="56">
        <v>45695.0</v>
      </c>
      <c r="D33" s="57" t="s">
        <v>384</v>
      </c>
      <c r="E33" s="57" t="str">
        <f t="array" ref="E33">XLOOKUP(D33,RUC!$B$3:$B$110,RUC!$D$3:$D$110)</f>
        <v>#N/A</v>
      </c>
      <c r="G33" s="3" t="s">
        <v>46</v>
      </c>
      <c r="H33" s="57" t="s">
        <v>40</v>
      </c>
      <c r="I33" s="58">
        <v>18.09</v>
      </c>
      <c r="J33" s="58">
        <v>10.0</v>
      </c>
      <c r="K33" s="59">
        <f t="shared" si="1"/>
        <v>16.281</v>
      </c>
      <c r="L33" s="60">
        <v>0.151</v>
      </c>
      <c r="M33" s="60">
        <v>0.141</v>
      </c>
      <c r="N33" s="111">
        <v>0.209</v>
      </c>
      <c r="O33" s="60">
        <f t="shared" si="2"/>
        <v>0.175</v>
      </c>
      <c r="P33" s="63">
        <v>85.0</v>
      </c>
      <c r="Q33" s="58">
        <v>90.12</v>
      </c>
      <c r="R33" s="65">
        <v>2874.65</v>
      </c>
      <c r="S33" s="66">
        <f t="shared" ref="S33:S34" si="17">IF((90+ROUNDDOWN(O33,1)*100)&lt;95,95,(90+ROUNDDOWN(O33,1)*100))</f>
        <v>100</v>
      </c>
      <c r="U33" s="67">
        <v>120.0</v>
      </c>
      <c r="V33" s="67">
        <v>1.1023</v>
      </c>
      <c r="Y33" s="57">
        <v>35.0</v>
      </c>
      <c r="Z33" s="69">
        <f t="shared" si="16"/>
        <v>30</v>
      </c>
      <c r="AA33" s="70">
        <f t="shared" si="4"/>
        <v>65</v>
      </c>
      <c r="AB33" s="71">
        <f t="shared" si="13"/>
        <v>269.7925409</v>
      </c>
      <c r="AC33" s="71">
        <f>+(S33-T33)*V33-'data 1'!$F$4</f>
        <v>30.23</v>
      </c>
      <c r="AD33" s="71">
        <f t="shared" si="5"/>
        <v>23.47540761</v>
      </c>
      <c r="AE33" s="71">
        <f t="shared" si="6"/>
        <v>1.6495</v>
      </c>
      <c r="AF33" s="71">
        <f t="shared" si="7"/>
        <v>-65.67478479</v>
      </c>
      <c r="AG33" s="72">
        <f t="shared" si="14"/>
        <v>6.680122821</v>
      </c>
      <c r="AH33" s="52">
        <f t="shared" si="8"/>
        <v>75.96058066</v>
      </c>
      <c r="AI33" s="73">
        <f t="shared" si="9"/>
        <v>39.8031121</v>
      </c>
      <c r="AJ33" s="73">
        <f t="shared" si="10"/>
        <v>83.03230992</v>
      </c>
      <c r="AK33" s="11"/>
      <c r="AL33" s="51">
        <f t="shared" si="11"/>
        <v>4392.492358</v>
      </c>
    </row>
    <row r="34" ht="15.0" customHeight="1">
      <c r="A34" s="92" t="s">
        <v>385</v>
      </c>
      <c r="B34" s="56">
        <v>45700.0</v>
      </c>
      <c r="C34" s="56">
        <v>45695.0</v>
      </c>
      <c r="D34" s="57" t="s">
        <v>384</v>
      </c>
      <c r="E34" s="57" t="str">
        <f t="array" ref="E34">XLOOKUP(D34,RUC!$B$3:$B$110,RUC!$D$3:$D$110)</f>
        <v>#N/A</v>
      </c>
      <c r="G34" s="3" t="s">
        <v>46</v>
      </c>
      <c r="H34" s="57" t="s">
        <v>40</v>
      </c>
      <c r="I34" s="58">
        <v>16.12</v>
      </c>
      <c r="J34" s="58">
        <v>12.5</v>
      </c>
      <c r="K34" s="59">
        <f t="shared" si="1"/>
        <v>14.105</v>
      </c>
      <c r="L34" s="60">
        <v>0.169</v>
      </c>
      <c r="M34" s="60">
        <v>0.159</v>
      </c>
      <c r="N34" s="111">
        <v>0.247</v>
      </c>
      <c r="O34" s="60">
        <f t="shared" si="2"/>
        <v>0.203</v>
      </c>
      <c r="P34" s="63">
        <v>90.0</v>
      </c>
      <c r="Q34" s="58">
        <v>90.09</v>
      </c>
      <c r="R34" s="65">
        <v>2874.65</v>
      </c>
      <c r="S34" s="66">
        <f t="shared" si="17"/>
        <v>110</v>
      </c>
      <c r="U34" s="67">
        <v>120.0</v>
      </c>
      <c r="V34" s="67">
        <v>1.1023</v>
      </c>
      <c r="Y34" s="57">
        <v>35.0</v>
      </c>
      <c r="Z34" s="69">
        <f t="shared" si="16"/>
        <v>30</v>
      </c>
      <c r="AA34" s="70">
        <f t="shared" si="4"/>
        <v>65</v>
      </c>
      <c r="AB34" s="71">
        <f t="shared" si="13"/>
        <v>361.857042</v>
      </c>
      <c r="AC34" s="71">
        <f>+(S34-T34)*V34-'data 1'!$F$4</f>
        <v>41.253</v>
      </c>
      <c r="AD34" s="71">
        <f t="shared" si="5"/>
        <v>0.4618441507</v>
      </c>
      <c r="AE34" s="71">
        <f t="shared" si="6"/>
        <v>1.6495</v>
      </c>
      <c r="AF34" s="71">
        <f t="shared" si="7"/>
        <v>-93.00830666</v>
      </c>
      <c r="AG34" s="72">
        <f t="shared" si="14"/>
        <v>-32.64396251</v>
      </c>
      <c r="AH34" s="52">
        <f t="shared" si="8"/>
        <v>73.62841496</v>
      </c>
      <c r="AI34" s="73">
        <f t="shared" si="9"/>
        <v>44.53302443</v>
      </c>
      <c r="AJ34" s="73">
        <f t="shared" si="10"/>
        <v>88.3528793</v>
      </c>
      <c r="AK34" s="11"/>
      <c r="AL34" s="51">
        <f t="shared" si="11"/>
        <v>5103.993577</v>
      </c>
    </row>
    <row r="35" ht="15.0" customHeight="1">
      <c r="A35" s="92" t="s">
        <v>386</v>
      </c>
      <c r="B35" s="56">
        <v>45698.0</v>
      </c>
      <c r="C35" s="56">
        <v>45695.0</v>
      </c>
      <c r="D35" s="57" t="s">
        <v>51</v>
      </c>
      <c r="E35" s="57" t="str">
        <f t="array" ref="E35">XLOOKUP(D35,RUC!$B$3:$B$110,RUC!$D$3:$D$110)</f>
        <v>#N/A</v>
      </c>
      <c r="G35" s="3">
        <v>84.0</v>
      </c>
      <c r="H35" s="57" t="s">
        <v>40</v>
      </c>
      <c r="I35" s="58">
        <v>6.27</v>
      </c>
      <c r="J35" s="58">
        <v>1.2</v>
      </c>
      <c r="K35" s="59">
        <f t="shared" si="1"/>
        <v>6.19476</v>
      </c>
      <c r="L35" s="60">
        <v>0.198</v>
      </c>
      <c r="M35" s="60">
        <v>0.19</v>
      </c>
      <c r="N35" s="62">
        <v>0.19</v>
      </c>
      <c r="O35" s="60">
        <f t="shared" si="2"/>
        <v>0.19</v>
      </c>
      <c r="P35" s="63">
        <v>90.0</v>
      </c>
      <c r="Q35" s="58">
        <v>90.16</v>
      </c>
      <c r="R35" s="65">
        <v>2874.65</v>
      </c>
      <c r="S35" s="96">
        <f t="shared" ref="S35:S37" si="18">IF((80+ROUNDDOWN(O35,1)*100)&lt;95,95,(80+ROUNDDOWN(O35,1)*100))</f>
        <v>95</v>
      </c>
      <c r="U35" s="67">
        <v>100.0</v>
      </c>
      <c r="V35" s="67">
        <v>1.1023</v>
      </c>
      <c r="Z35" s="69">
        <f t="shared" si="16"/>
        <v>30</v>
      </c>
      <c r="AA35" s="70">
        <f t="shared" si="4"/>
        <v>30</v>
      </c>
      <c r="AB35" s="71">
        <f t="shared" si="13"/>
        <v>385.2154348</v>
      </c>
      <c r="AC35" s="71">
        <f>+(S35-T35)*V35-'data 1'!$F$4</f>
        <v>24.7185</v>
      </c>
      <c r="AD35" s="71">
        <f t="shared" si="5"/>
        <v>0.968931753</v>
      </c>
      <c r="AE35" s="71">
        <f t="shared" si="6"/>
        <v>-36.931</v>
      </c>
      <c r="AF35" s="71">
        <f t="shared" si="7"/>
        <v>22.06032496</v>
      </c>
      <c r="AG35" s="72">
        <f t="shared" ref="AG35:AG37" si="19">+IF(D35="RONALD WILLIAN GARIBAY ESCUDERO",AC35+AD35+AE35+AF35+70,AC35+AD35+AE35+AF35)</f>
        <v>80.81675671</v>
      </c>
      <c r="AH35" s="52">
        <f t="shared" si="8"/>
        <v>37.91513861</v>
      </c>
      <c r="AI35" s="73">
        <f t="shared" si="9"/>
        <v>48.27974449</v>
      </c>
      <c r="AJ35" s="73">
        <f t="shared" si="10"/>
        <v>36.31864733</v>
      </c>
      <c r="AK35" s="11"/>
      <c r="AL35" s="51">
        <f t="shared" si="11"/>
        <v>2386.317167</v>
      </c>
    </row>
    <row r="36" ht="15.0" customHeight="1">
      <c r="A36" s="92" t="s">
        <v>387</v>
      </c>
      <c r="B36" s="56">
        <v>45698.0</v>
      </c>
      <c r="C36" s="56">
        <v>45695.0</v>
      </c>
      <c r="D36" s="57" t="s">
        <v>51</v>
      </c>
      <c r="E36" s="57" t="str">
        <f t="array" ref="E36">XLOOKUP(D36,RUC!$B$3:$B$110,RUC!$D$3:$D$110)</f>
        <v>#N/A</v>
      </c>
      <c r="G36" s="3">
        <v>95.0</v>
      </c>
      <c r="H36" s="57" t="s">
        <v>40</v>
      </c>
      <c r="I36" s="58">
        <v>6.59</v>
      </c>
      <c r="J36" s="58">
        <v>1.1</v>
      </c>
      <c r="K36" s="59">
        <f t="shared" si="1"/>
        <v>6.51751</v>
      </c>
      <c r="L36" s="60">
        <v>0.21</v>
      </c>
      <c r="M36" s="60">
        <v>0.202</v>
      </c>
      <c r="N36" s="62">
        <v>0.242</v>
      </c>
      <c r="O36" s="60">
        <f t="shared" si="2"/>
        <v>0.222</v>
      </c>
      <c r="P36" s="63">
        <v>90.0</v>
      </c>
      <c r="Q36" s="58">
        <v>90.09</v>
      </c>
      <c r="R36" s="65">
        <v>2874.65</v>
      </c>
      <c r="S36" s="96">
        <f t="shared" si="18"/>
        <v>100</v>
      </c>
      <c r="U36" s="67">
        <v>100.0</v>
      </c>
      <c r="V36" s="67">
        <v>1.1023</v>
      </c>
      <c r="Z36" s="69">
        <f t="shared" si="16"/>
        <v>30</v>
      </c>
      <c r="AA36" s="70">
        <f t="shared" si="4"/>
        <v>30</v>
      </c>
      <c r="AB36" s="71">
        <f t="shared" si="13"/>
        <v>467.7886397</v>
      </c>
      <c r="AC36" s="71">
        <f>+(S36-T36)*V36-'data 1'!$F$4</f>
        <v>30.23</v>
      </c>
      <c r="AD36" s="71">
        <f t="shared" si="5"/>
        <v>0.5780558754</v>
      </c>
      <c r="AE36" s="71">
        <f t="shared" si="6"/>
        <v>-36.931</v>
      </c>
      <c r="AF36" s="71">
        <f t="shared" si="7"/>
        <v>-33.06479607</v>
      </c>
      <c r="AG36" s="72">
        <f t="shared" si="19"/>
        <v>30.81225981</v>
      </c>
      <c r="AH36" s="52">
        <f t="shared" si="8"/>
        <v>42.275296</v>
      </c>
      <c r="AI36" s="73">
        <f t="shared" si="9"/>
        <v>51.16603356</v>
      </c>
      <c r="AJ36" s="73">
        <f t="shared" si="10"/>
        <v>44.64638082</v>
      </c>
      <c r="AK36" s="11"/>
      <c r="AL36" s="51">
        <f t="shared" si="11"/>
        <v>3048.817137</v>
      </c>
    </row>
    <row r="37" ht="15.0" customHeight="1">
      <c r="A37" s="92" t="s">
        <v>388</v>
      </c>
      <c r="B37" s="56">
        <v>45698.0</v>
      </c>
      <c r="C37" s="56">
        <v>45695.0</v>
      </c>
      <c r="D37" s="57" t="s">
        <v>51</v>
      </c>
      <c r="E37" s="57" t="str">
        <f t="array" ref="E37">XLOOKUP(D37,RUC!$B$3:$B$110,RUC!$D$3:$D$110)</f>
        <v>#N/A</v>
      </c>
      <c r="G37" s="3">
        <v>96.0</v>
      </c>
      <c r="H37" s="57" t="s">
        <v>40</v>
      </c>
      <c r="I37" s="58">
        <v>7.02</v>
      </c>
      <c r="J37" s="58">
        <v>1.3</v>
      </c>
      <c r="K37" s="59">
        <f t="shared" si="1"/>
        <v>6.92874</v>
      </c>
      <c r="L37" s="60">
        <v>0.234</v>
      </c>
      <c r="M37" s="60">
        <v>0.225</v>
      </c>
      <c r="N37" s="62">
        <v>0.225</v>
      </c>
      <c r="O37" s="60">
        <f t="shared" si="2"/>
        <v>0.225</v>
      </c>
      <c r="P37" s="63">
        <v>90.0</v>
      </c>
      <c r="Q37" s="58">
        <v>90.2</v>
      </c>
      <c r="R37" s="65">
        <v>2874.65</v>
      </c>
      <c r="S37" s="96">
        <f t="shared" si="18"/>
        <v>100</v>
      </c>
      <c r="U37" s="67">
        <v>100.0</v>
      </c>
      <c r="V37" s="67">
        <v>1.1023</v>
      </c>
      <c r="Z37" s="69">
        <f t="shared" si="16"/>
        <v>30</v>
      </c>
      <c r="AA37" s="70">
        <f t="shared" si="4"/>
        <v>30</v>
      </c>
      <c r="AB37" s="71">
        <f t="shared" si="13"/>
        <v>476.0465807</v>
      </c>
      <c r="AC37" s="71">
        <f>+(S37-T37)*V37-'data 1'!$F$4</f>
        <v>30.23</v>
      </c>
      <c r="AD37" s="71">
        <f t="shared" si="5"/>
        <v>1.431376453</v>
      </c>
      <c r="AE37" s="71">
        <f t="shared" si="6"/>
        <v>-36.931</v>
      </c>
      <c r="AF37" s="71">
        <f t="shared" si="7"/>
        <v>24.82887617</v>
      </c>
      <c r="AG37" s="72">
        <f t="shared" si="19"/>
        <v>89.55925262</v>
      </c>
      <c r="AH37" s="52">
        <f t="shared" si="8"/>
        <v>50.14016156</v>
      </c>
      <c r="AI37" s="73">
        <f t="shared" si="9"/>
        <v>57.08319391</v>
      </c>
      <c r="AJ37" s="73">
        <f t="shared" si="10"/>
        <v>48.10479427</v>
      </c>
      <c r="AK37" s="11"/>
      <c r="AL37" s="51">
        <f t="shared" si="11"/>
        <v>3298.402986</v>
      </c>
    </row>
    <row r="38" ht="15.0" customHeight="1">
      <c r="A38" s="92" t="s">
        <v>389</v>
      </c>
      <c r="B38" s="56">
        <v>45705.0</v>
      </c>
      <c r="C38" s="56">
        <v>45701.0</v>
      </c>
      <c r="D38" s="57" t="s">
        <v>104</v>
      </c>
      <c r="E38" s="57">
        <f t="array" ref="E38">XLOOKUP(D38,RUC!$B$3:$B$110,RUC!$D$3:$D$110)</f>
        <v>10479968131</v>
      </c>
      <c r="G38" s="3" t="s">
        <v>46</v>
      </c>
      <c r="H38" s="57" t="s">
        <v>40</v>
      </c>
      <c r="I38" s="58">
        <v>17.77</v>
      </c>
      <c r="J38" s="58">
        <v>22.0</v>
      </c>
      <c r="K38" s="59">
        <f t="shared" si="1"/>
        <v>13.8606</v>
      </c>
      <c r="L38" s="60">
        <v>0.659</v>
      </c>
      <c r="M38" s="60">
        <v>0.626</v>
      </c>
      <c r="N38" s="62">
        <v>0.67</v>
      </c>
      <c r="O38" s="60">
        <f t="shared" si="2"/>
        <v>0.648</v>
      </c>
      <c r="P38" s="63">
        <v>90.0</v>
      </c>
      <c r="Q38" s="57">
        <v>90.18</v>
      </c>
      <c r="R38" s="65">
        <v>2915.3</v>
      </c>
      <c r="S38" s="66">
        <f t="shared" ref="S38:S49" si="20">IF((90+ROUNDDOWN(O38,1)*100)&lt;95,95,(90+ROUNDDOWN(O38,1)*100))</f>
        <v>150</v>
      </c>
      <c r="U38" s="67">
        <v>120.0</v>
      </c>
      <c r="V38" s="67">
        <v>1.1023</v>
      </c>
      <c r="Y38" s="57">
        <v>20.0</v>
      </c>
      <c r="Z38" s="69">
        <f t="shared" si="16"/>
        <v>30</v>
      </c>
      <c r="AA38" s="70">
        <f t="shared" si="4"/>
        <v>50</v>
      </c>
      <c r="AB38" s="71">
        <f t="shared" si="13"/>
        <v>1576.53036</v>
      </c>
      <c r="AC38" s="71">
        <f>+(S38-T38)*V38-'data 1'!$F$4</f>
        <v>85.345</v>
      </c>
      <c r="AD38" s="71">
        <f t="shared" si="5"/>
        <v>3.654989651</v>
      </c>
      <c r="AE38" s="71">
        <f t="shared" si="6"/>
        <v>-14.885</v>
      </c>
      <c r="AF38" s="71">
        <f t="shared" si="7"/>
        <v>30.56547491</v>
      </c>
      <c r="AG38" s="72">
        <f>+IF(D38="RONALD WILLIAN GARIBAY ESCUDERO",AC38+AD38+AE38+AF38+70,AC38+AD38+AE38+AF38)+70-53</f>
        <v>121.6804646</v>
      </c>
      <c r="AH38" s="52">
        <f t="shared" si="8"/>
        <v>282.4143403</v>
      </c>
      <c r="AI38" s="73">
        <f t="shared" si="9"/>
        <v>147.1968531</v>
      </c>
      <c r="AJ38" s="73">
        <f t="shared" si="10"/>
        <v>277.1460001</v>
      </c>
      <c r="AK38" s="11"/>
      <c r="AL38" s="51">
        <f t="shared" si="11"/>
        <v>21851.6567</v>
      </c>
    </row>
    <row r="39" ht="15.0" customHeight="1">
      <c r="A39" s="92" t="s">
        <v>390</v>
      </c>
      <c r="B39" s="56">
        <v>45707.0</v>
      </c>
      <c r="C39" s="56">
        <v>45703.0</v>
      </c>
      <c r="D39" s="57" t="s">
        <v>264</v>
      </c>
      <c r="E39" s="57">
        <f t="array" ref="E39">XLOOKUP(D39,RUC!$B$3:$B$110,RUC!$D$3:$D$110)</f>
        <v>20606102519</v>
      </c>
      <c r="G39" s="3" t="s">
        <v>46</v>
      </c>
      <c r="H39" s="57" t="s">
        <v>47</v>
      </c>
      <c r="I39" s="58">
        <v>7.44</v>
      </c>
      <c r="J39" s="58">
        <v>1.6</v>
      </c>
      <c r="K39" s="59">
        <f t="shared" si="1"/>
        <v>7.32096</v>
      </c>
      <c r="L39" s="60">
        <v>0.648</v>
      </c>
      <c r="M39" s="60">
        <v>0.616</v>
      </c>
      <c r="N39" s="75">
        <v>0.671</v>
      </c>
      <c r="O39" s="60">
        <f t="shared" si="2"/>
        <v>0.644</v>
      </c>
      <c r="P39" s="63">
        <v>90.0</v>
      </c>
      <c r="Q39" s="57">
        <v>89.86</v>
      </c>
      <c r="R39" s="65">
        <v>2921.5</v>
      </c>
      <c r="S39" s="66">
        <f t="shared" si="20"/>
        <v>150</v>
      </c>
      <c r="U39" s="67">
        <v>120.0</v>
      </c>
      <c r="V39" s="67">
        <v>1.1023</v>
      </c>
      <c r="Y39" s="57">
        <v>20.0</v>
      </c>
      <c r="Z39" s="69">
        <f t="shared" si="16"/>
        <v>30</v>
      </c>
      <c r="AA39" s="70">
        <f t="shared" si="4"/>
        <v>50</v>
      </c>
      <c r="AB39" s="71">
        <f t="shared" si="13"/>
        <v>1569.398964</v>
      </c>
      <c r="AC39" s="71">
        <f>+(S39-T39)*V39-'data 1'!$F$4</f>
        <v>85.345</v>
      </c>
      <c r="AD39" s="71">
        <f t="shared" si="5"/>
        <v>-2.801518378</v>
      </c>
      <c r="AE39" s="71">
        <f t="shared" si="6"/>
        <v>-14.885</v>
      </c>
      <c r="AF39" s="71">
        <f t="shared" si="7"/>
        <v>11.0998431</v>
      </c>
      <c r="AG39" s="72">
        <f>+IF(D39="RONALD WILLIAN GARIBAY ESCUDERO",AC39+AD39+AE39+AF39+70,AC39+AD39+AE39+AF39)+70</f>
        <v>148.7583247</v>
      </c>
      <c r="AH39" s="52">
        <f t="shared" si="8"/>
        <v>146.1566309</v>
      </c>
      <c r="AI39" s="73">
        <f t="shared" si="9"/>
        <v>140.2467057</v>
      </c>
      <c r="AJ39" s="73">
        <f t="shared" si="10"/>
        <v>145.4807328</v>
      </c>
      <c r="AK39" s="11"/>
      <c r="AL39" s="51">
        <f t="shared" si="11"/>
        <v>11489.50704</v>
      </c>
    </row>
    <row r="40" ht="15.0" customHeight="1">
      <c r="A40" s="92" t="s">
        <v>391</v>
      </c>
      <c r="B40" s="56">
        <v>45706.0</v>
      </c>
      <c r="C40" s="56">
        <v>45704.0</v>
      </c>
      <c r="D40" s="57" t="s">
        <v>63</v>
      </c>
      <c r="E40" s="57" t="str">
        <f t="array" ref="E40">XLOOKUP(D40,RUC!$B$3:$B$110,RUC!$D$3:$D$110)</f>
        <v>#N/A</v>
      </c>
      <c r="G40" s="3">
        <v>55.0</v>
      </c>
      <c r="H40" s="57" t="s">
        <v>40</v>
      </c>
      <c r="I40" s="58">
        <v>4.87</v>
      </c>
      <c r="J40" s="58">
        <v>15.65</v>
      </c>
      <c r="K40" s="59">
        <f t="shared" si="1"/>
        <v>4.107845</v>
      </c>
      <c r="L40" s="60">
        <v>0.293</v>
      </c>
      <c r="M40" s="60">
        <v>0.278</v>
      </c>
      <c r="N40" s="62">
        <v>0.278</v>
      </c>
      <c r="O40" s="60">
        <f t="shared" si="2"/>
        <v>0.278</v>
      </c>
      <c r="P40" s="63">
        <v>90.0</v>
      </c>
      <c r="Q40" s="57">
        <v>90.15</v>
      </c>
      <c r="R40" s="65">
        <v>2900.55</v>
      </c>
      <c r="S40" s="66">
        <f t="shared" si="20"/>
        <v>110</v>
      </c>
      <c r="U40" s="67">
        <v>120.0</v>
      </c>
      <c r="V40" s="67">
        <v>1.1023</v>
      </c>
      <c r="Y40" s="57">
        <v>20.0</v>
      </c>
      <c r="Z40" s="69">
        <f t="shared" si="16"/>
        <v>30</v>
      </c>
      <c r="AA40" s="70">
        <f t="shared" si="4"/>
        <v>50</v>
      </c>
      <c r="AB40" s="71">
        <f t="shared" si="13"/>
        <v>590.4950663</v>
      </c>
      <c r="AC40" s="71">
        <f>+(S40-T40)*V40-'data 1'!$F$4</f>
        <v>41.253</v>
      </c>
      <c r="AD40" s="71">
        <f t="shared" si="5"/>
        <v>1.347067616</v>
      </c>
      <c r="AE40" s="71">
        <f t="shared" si="6"/>
        <v>-14.885</v>
      </c>
      <c r="AF40" s="71">
        <f t="shared" si="7"/>
        <v>41.44646608</v>
      </c>
      <c r="AG40" s="72">
        <f t="shared" ref="AG40:AG43" si="21">+IF(D40="RONALD WILLIAN GARIBAY ESCUDERO",AC40+AD40+AE40+AF40+70,AC40+AD40+AE40+AF40)+70-29</f>
        <v>110.1615337</v>
      </c>
      <c r="AH40" s="52">
        <f t="shared" si="8"/>
        <v>37.20115886</v>
      </c>
      <c r="AI40" s="73">
        <f t="shared" si="9"/>
        <v>69.71849447</v>
      </c>
      <c r="AJ40" s="73">
        <f t="shared" si="10"/>
        <v>35.23793278</v>
      </c>
      <c r="AK40" s="11"/>
      <c r="AL40" s="51">
        <f t="shared" si="11"/>
        <v>2425.662206</v>
      </c>
    </row>
    <row r="41" ht="15.0" customHeight="1">
      <c r="A41" s="92" t="s">
        <v>392</v>
      </c>
      <c r="B41" s="56">
        <v>45706.0</v>
      </c>
      <c r="C41" s="56">
        <v>45704.0</v>
      </c>
      <c r="D41" s="57" t="s">
        <v>63</v>
      </c>
      <c r="E41" s="57" t="str">
        <f t="array" ref="E41">XLOOKUP(D41,RUC!$B$3:$B$110,RUC!$D$3:$D$110)</f>
        <v>#N/A</v>
      </c>
      <c r="G41" s="3">
        <v>40.0</v>
      </c>
      <c r="H41" s="57" t="s">
        <v>40</v>
      </c>
      <c r="I41" s="58">
        <v>3.59</v>
      </c>
      <c r="J41" s="58">
        <v>15.55</v>
      </c>
      <c r="K41" s="59">
        <f t="shared" si="1"/>
        <v>3.031755</v>
      </c>
      <c r="L41" s="60">
        <v>0.188</v>
      </c>
      <c r="M41" s="60">
        <v>0.177</v>
      </c>
      <c r="N41" s="62">
        <v>0.177</v>
      </c>
      <c r="O41" s="60">
        <f t="shared" si="2"/>
        <v>0.177</v>
      </c>
      <c r="P41" s="63">
        <v>90.0</v>
      </c>
      <c r="Q41" s="57">
        <v>89.95</v>
      </c>
      <c r="R41" s="65">
        <v>2900.55</v>
      </c>
      <c r="S41" s="66">
        <f t="shared" si="20"/>
        <v>100</v>
      </c>
      <c r="U41" s="67">
        <v>120.0</v>
      </c>
      <c r="V41" s="67">
        <v>1.1023</v>
      </c>
      <c r="Y41" s="57">
        <v>20.0</v>
      </c>
      <c r="Z41" s="69">
        <f t="shared" si="16"/>
        <v>30</v>
      </c>
      <c r="AA41" s="70">
        <f t="shared" si="4"/>
        <v>50</v>
      </c>
      <c r="AB41" s="71">
        <f t="shared" si="13"/>
        <v>322.9095422</v>
      </c>
      <c r="AC41" s="71">
        <f>+(S41-T41)*V41-'data 1'!$F$4</f>
        <v>30.23</v>
      </c>
      <c r="AD41" s="71">
        <f t="shared" si="5"/>
        <v>-0.2881100249</v>
      </c>
      <c r="AE41" s="71">
        <f t="shared" si="6"/>
        <v>-14.885</v>
      </c>
      <c r="AF41" s="71">
        <f t="shared" si="7"/>
        <v>30.32664512</v>
      </c>
      <c r="AG41" s="72">
        <f t="shared" si="21"/>
        <v>86.3835351</v>
      </c>
      <c r="AH41" s="52">
        <f t="shared" si="8"/>
        <v>17.57770569</v>
      </c>
      <c r="AI41" s="73">
        <f>+((+'19'!$AI$2-R41+U41)*L41*Q41*V41)/100</f>
        <v>40.90669659</v>
      </c>
      <c r="AJ41" s="73">
        <f t="shared" si="10"/>
        <v>16.55842204</v>
      </c>
      <c r="AK41" s="11"/>
      <c r="AL41" s="51">
        <f t="shared" si="11"/>
        <v>978.9826192</v>
      </c>
    </row>
    <row r="42" ht="15.0" customHeight="1">
      <c r="A42" s="92" t="s">
        <v>393</v>
      </c>
      <c r="B42" s="56">
        <v>45706.0</v>
      </c>
      <c r="C42" s="56">
        <v>45704.0</v>
      </c>
      <c r="D42" s="57" t="s">
        <v>63</v>
      </c>
      <c r="E42" s="57" t="str">
        <f t="array" ref="E42">XLOOKUP(D42,RUC!$B$3:$B$110,RUC!$D$3:$D$110)</f>
        <v>#N/A</v>
      </c>
      <c r="G42" s="3">
        <v>96.0</v>
      </c>
      <c r="H42" s="57" t="s">
        <v>40</v>
      </c>
      <c r="I42" s="58">
        <v>3.91</v>
      </c>
      <c r="J42" s="58">
        <v>15.75</v>
      </c>
      <c r="K42" s="59">
        <f t="shared" si="1"/>
        <v>3.294175</v>
      </c>
      <c r="L42" s="60">
        <v>0.386</v>
      </c>
      <c r="M42" s="60">
        <v>0.366</v>
      </c>
      <c r="N42" s="62">
        <v>0.366</v>
      </c>
      <c r="O42" s="60">
        <f t="shared" si="2"/>
        <v>0.366</v>
      </c>
      <c r="P42" s="63">
        <v>90.0</v>
      </c>
      <c r="Q42" s="57">
        <v>89.87</v>
      </c>
      <c r="R42" s="65">
        <v>2900.55</v>
      </c>
      <c r="S42" s="66">
        <f t="shared" si="20"/>
        <v>120</v>
      </c>
      <c r="U42" s="67">
        <v>120.0</v>
      </c>
      <c r="V42" s="67">
        <v>1.1023</v>
      </c>
      <c r="Y42" s="57">
        <v>20.0</v>
      </c>
      <c r="Z42" s="69">
        <f t="shared" si="16"/>
        <v>30</v>
      </c>
      <c r="AA42" s="70">
        <f t="shared" si="4"/>
        <v>50</v>
      </c>
      <c r="AB42" s="71">
        <f t="shared" si="13"/>
        <v>822.2200873</v>
      </c>
      <c r="AC42" s="71">
        <f>+(S42-T42)*V42-'data 1'!$F$4</f>
        <v>52.276</v>
      </c>
      <c r="AD42" s="71">
        <f t="shared" si="5"/>
        <v>-1.538017133</v>
      </c>
      <c r="AE42" s="71">
        <f t="shared" si="6"/>
        <v>-14.885</v>
      </c>
      <c r="AF42" s="71">
        <f t="shared" si="7"/>
        <v>55.09031476</v>
      </c>
      <c r="AG42" s="72">
        <f t="shared" si="21"/>
        <v>131.9432976</v>
      </c>
      <c r="AH42" s="52">
        <f t="shared" si="8"/>
        <v>39.17940016</v>
      </c>
      <c r="AI42" s="73">
        <f>+((+'19'!$AI$2-R42+U42)*L42*Q42*V42)/100</f>
        <v>83.91458265</v>
      </c>
      <c r="AJ42" s="73">
        <f t="shared" si="10"/>
        <v>37.20311726</v>
      </c>
      <c r="AK42" s="11"/>
      <c r="AL42" s="51">
        <f t="shared" si="11"/>
        <v>2708.536856</v>
      </c>
    </row>
    <row r="43" ht="15.0" customHeight="1">
      <c r="A43" s="92" t="s">
        <v>394</v>
      </c>
      <c r="B43" s="56">
        <v>45706.0</v>
      </c>
      <c r="C43" s="56">
        <v>45704.0</v>
      </c>
      <c r="D43" s="57" t="s">
        <v>63</v>
      </c>
      <c r="E43" s="57" t="str">
        <f t="array" ref="E43">XLOOKUP(D43,RUC!$B$3:$B$110,RUC!$D$3:$D$110)</f>
        <v>#N/A</v>
      </c>
      <c r="G43" s="3">
        <v>84.0</v>
      </c>
      <c r="H43" s="57" t="s">
        <v>40</v>
      </c>
      <c r="I43" s="58">
        <v>3.42</v>
      </c>
      <c r="J43" s="58">
        <v>15.8</v>
      </c>
      <c r="K43" s="59">
        <f t="shared" si="1"/>
        <v>2.87964</v>
      </c>
      <c r="L43" s="60">
        <v>0.496</v>
      </c>
      <c r="M43" s="60">
        <v>0.471</v>
      </c>
      <c r="N43" s="62">
        <v>0.471</v>
      </c>
      <c r="O43" s="60">
        <f t="shared" si="2"/>
        <v>0.471</v>
      </c>
      <c r="P43" s="63">
        <v>90.0</v>
      </c>
      <c r="Q43" s="57">
        <v>89.94</v>
      </c>
      <c r="R43" s="65">
        <v>2900.55</v>
      </c>
      <c r="S43" s="66">
        <f t="shared" si="20"/>
        <v>130</v>
      </c>
      <c r="U43" s="67">
        <v>120.0</v>
      </c>
      <c r="V43" s="67">
        <v>1.1023</v>
      </c>
      <c r="Y43" s="57">
        <v>20.0</v>
      </c>
      <c r="Z43" s="69">
        <f t="shared" si="16"/>
        <v>30</v>
      </c>
      <c r="AA43" s="70">
        <f t="shared" si="4"/>
        <v>50</v>
      </c>
      <c r="AB43" s="71">
        <f t="shared" si="13"/>
        <v>1100.839612</v>
      </c>
      <c r="AC43" s="71">
        <f>+(S43-T43)*V43-'data 1'!$F$4</f>
        <v>63.299</v>
      </c>
      <c r="AD43" s="71">
        <f t="shared" si="5"/>
        <v>-0.9121440789</v>
      </c>
      <c r="AE43" s="71">
        <f t="shared" si="6"/>
        <v>-14.885</v>
      </c>
      <c r="AF43" s="71">
        <f t="shared" si="7"/>
        <v>68.91653096</v>
      </c>
      <c r="AG43" s="72">
        <f t="shared" si="21"/>
        <v>157.4183869</v>
      </c>
      <c r="AH43" s="52">
        <f t="shared" si="8"/>
        <v>44.04350029</v>
      </c>
      <c r="AI43" s="73">
        <f t="shared" ref="AI43:AI87" si="22">+((+$AI$2-R43+U43)*L43*Q43*V43)/100</f>
        <v>117.7468259</v>
      </c>
      <c r="AJ43" s="73">
        <f t="shared" si="10"/>
        <v>41.85146678</v>
      </c>
      <c r="AK43" s="11"/>
      <c r="AL43" s="51">
        <f t="shared" si="11"/>
        <v>3170.021781</v>
      </c>
    </row>
    <row r="44" ht="15.0" customHeight="1">
      <c r="A44" s="92" t="s">
        <v>395</v>
      </c>
      <c r="B44" s="56">
        <v>45710.0</v>
      </c>
      <c r="C44" s="56">
        <v>45706.0</v>
      </c>
      <c r="D44" s="57" t="s">
        <v>254</v>
      </c>
      <c r="E44" s="57">
        <f t="array" ref="E44">XLOOKUP(D44,RUC!$B$3:$B$110,RUC!$D$3:$D$110)</f>
        <v>20611000350</v>
      </c>
      <c r="G44" s="3">
        <v>52.0</v>
      </c>
      <c r="H44" s="57" t="s">
        <v>40</v>
      </c>
      <c r="I44" s="58">
        <v>4.01</v>
      </c>
      <c r="J44" s="58">
        <v>13.3</v>
      </c>
      <c r="K44" s="59">
        <f t="shared" si="1"/>
        <v>3.47667</v>
      </c>
      <c r="L44" s="60">
        <v>0.576</v>
      </c>
      <c r="M44" s="60">
        <v>0.541</v>
      </c>
      <c r="N44" s="62">
        <v>0.541</v>
      </c>
      <c r="O44" s="60">
        <f t="shared" si="2"/>
        <v>0.541</v>
      </c>
      <c r="P44" s="63">
        <v>90.0</v>
      </c>
      <c r="Q44" s="57">
        <v>90.08</v>
      </c>
      <c r="R44" s="65">
        <v>2927.1</v>
      </c>
      <c r="S44" s="66">
        <f t="shared" si="20"/>
        <v>140</v>
      </c>
      <c r="U44" s="67">
        <v>120.0</v>
      </c>
      <c r="V44" s="67">
        <v>1.1023</v>
      </c>
      <c r="Y44" s="57">
        <v>20.0</v>
      </c>
      <c r="Z44" s="69">
        <f t="shared" si="16"/>
        <v>30</v>
      </c>
      <c r="AA44" s="70">
        <f t="shared" si="4"/>
        <v>50</v>
      </c>
      <c r="AB44" s="71">
        <f t="shared" si="13"/>
        <v>1297.161276</v>
      </c>
      <c r="AC44" s="71">
        <f>+(S44-T44)*V44-'data 1'!$F$4</f>
        <v>74.322</v>
      </c>
      <c r="AD44" s="71">
        <f t="shared" si="5"/>
        <v>1.425837925</v>
      </c>
      <c r="AE44" s="71">
        <f t="shared" si="6"/>
        <v>-14.885</v>
      </c>
      <c r="AF44" s="71">
        <f t="shared" si="7"/>
        <v>97.55602885</v>
      </c>
      <c r="AG44" s="72">
        <f t="shared" ref="AG44:AG72" si="23">+IF(D44="RONALD WILLIAN GARIBAY ESCUDERO",AC44+AD44+AE44+AF44+70,AC44+AD44+AE44+AF44)+70-53</f>
        <v>175.4188668</v>
      </c>
      <c r="AH44" s="52">
        <f t="shared" si="8"/>
        <v>61.84767816</v>
      </c>
      <c r="AI44" s="73">
        <f t="shared" si="22"/>
        <v>121.7660813</v>
      </c>
      <c r="AJ44" s="73">
        <f t="shared" si="10"/>
        <v>58.0379834</v>
      </c>
      <c r="AK44" s="11"/>
      <c r="AL44" s="51">
        <f t="shared" si="11"/>
        <v>4509.801694</v>
      </c>
    </row>
    <row r="45" ht="15.0" customHeight="1">
      <c r="A45" s="92" t="s">
        <v>396</v>
      </c>
      <c r="B45" s="56">
        <v>45710.0</v>
      </c>
      <c r="C45" s="56">
        <v>45706.0</v>
      </c>
      <c r="D45" s="57" t="s">
        <v>254</v>
      </c>
      <c r="E45" s="57">
        <f t="array" ref="E45">XLOOKUP(D45,RUC!$B$3:$B$110,RUC!$D$3:$D$110)</f>
        <v>20611000350</v>
      </c>
      <c r="G45" s="3">
        <v>50.0</v>
      </c>
      <c r="H45" s="57" t="s">
        <v>40</v>
      </c>
      <c r="I45" s="58">
        <v>3.93</v>
      </c>
      <c r="J45" s="58">
        <v>12.6</v>
      </c>
      <c r="K45" s="59">
        <f t="shared" si="1"/>
        <v>3.43482</v>
      </c>
      <c r="L45" s="60">
        <v>0.402</v>
      </c>
      <c r="M45" s="60">
        <v>0.378</v>
      </c>
      <c r="N45" s="62">
        <v>0.378</v>
      </c>
      <c r="O45" s="60">
        <f t="shared" si="2"/>
        <v>0.378</v>
      </c>
      <c r="P45" s="63">
        <v>90.0</v>
      </c>
      <c r="Q45" s="57">
        <v>90.13</v>
      </c>
      <c r="R45" s="65">
        <v>2927.1</v>
      </c>
      <c r="S45" s="66">
        <f t="shared" si="20"/>
        <v>120</v>
      </c>
      <c r="U45" s="67">
        <v>120.0</v>
      </c>
      <c r="V45" s="67">
        <v>1.1023</v>
      </c>
      <c r="Y45" s="57">
        <v>20.0</v>
      </c>
      <c r="Z45" s="69">
        <f t="shared" si="16"/>
        <v>30</v>
      </c>
      <c r="AA45" s="70">
        <f t="shared" si="4"/>
        <v>50</v>
      </c>
      <c r="AB45" s="71">
        <f t="shared" si="13"/>
        <v>865.2784055</v>
      </c>
      <c r="AC45" s="71">
        <f>+(S45-T45)*V45-'data 1'!$F$4</f>
        <v>52.276</v>
      </c>
      <c r="AD45" s="71">
        <f t="shared" si="5"/>
        <v>1.617063584</v>
      </c>
      <c r="AE45" s="71">
        <f t="shared" si="6"/>
        <v>-14.885</v>
      </c>
      <c r="AF45" s="71">
        <f t="shared" si="7"/>
        <v>66.93269384</v>
      </c>
      <c r="AG45" s="72">
        <f t="shared" si="23"/>
        <v>122.9407574</v>
      </c>
      <c r="AH45" s="52">
        <f t="shared" si="8"/>
        <v>42.66860815</v>
      </c>
      <c r="AI45" s="73">
        <f t="shared" si="22"/>
        <v>85.0297482</v>
      </c>
      <c r="AJ45" s="73">
        <f t="shared" si="10"/>
        <v>40.06335927</v>
      </c>
      <c r="AK45" s="11"/>
      <c r="AL45" s="51">
        <f t="shared" si="11"/>
        <v>2972.075573</v>
      </c>
    </row>
    <row r="46" ht="15.0" customHeight="1">
      <c r="A46" s="92" t="s">
        <v>397</v>
      </c>
      <c r="B46" s="56">
        <v>45710.0</v>
      </c>
      <c r="C46" s="56">
        <v>45706.0</v>
      </c>
      <c r="D46" s="57" t="s">
        <v>254</v>
      </c>
      <c r="E46" s="57">
        <f t="array" ref="E46">XLOOKUP(D46,RUC!$B$3:$B$110,RUC!$D$3:$D$110)</f>
        <v>20611000350</v>
      </c>
      <c r="G46" s="3">
        <v>50.0</v>
      </c>
      <c r="H46" s="57" t="s">
        <v>40</v>
      </c>
      <c r="I46" s="58">
        <v>3.79</v>
      </c>
      <c r="J46" s="58">
        <v>15.7</v>
      </c>
      <c r="K46" s="59">
        <f t="shared" si="1"/>
        <v>3.19497</v>
      </c>
      <c r="L46" s="60">
        <v>0.343</v>
      </c>
      <c r="M46" s="60">
        <v>0.322</v>
      </c>
      <c r="N46" s="62">
        <v>0.322</v>
      </c>
      <c r="O46" s="60">
        <f t="shared" si="2"/>
        <v>0.322</v>
      </c>
      <c r="P46" s="63">
        <v>90.0</v>
      </c>
      <c r="Q46" s="57">
        <v>90.21</v>
      </c>
      <c r="R46" s="65">
        <v>2927.1</v>
      </c>
      <c r="S46" s="66">
        <f t="shared" si="20"/>
        <v>120</v>
      </c>
      <c r="U46" s="67">
        <v>120.0</v>
      </c>
      <c r="V46" s="67">
        <v>1.1023</v>
      </c>
      <c r="Y46" s="57">
        <v>20.0</v>
      </c>
      <c r="Z46" s="69">
        <f t="shared" si="16"/>
        <v>30</v>
      </c>
      <c r="AA46" s="70">
        <f t="shared" si="4"/>
        <v>50</v>
      </c>
      <c r="AB46" s="71">
        <f t="shared" si="13"/>
        <v>709.3273824</v>
      </c>
      <c r="AC46" s="71">
        <f>+(S46-T46)*V46-'data 1'!$F$4</f>
        <v>52.276</v>
      </c>
      <c r="AD46" s="71">
        <f t="shared" si="5"/>
        <v>2.228800037</v>
      </c>
      <c r="AE46" s="71">
        <f t="shared" si="6"/>
        <v>-14.885</v>
      </c>
      <c r="AF46" s="71">
        <f t="shared" si="7"/>
        <v>58.61809078</v>
      </c>
      <c r="AG46" s="72">
        <f t="shared" si="23"/>
        <v>115.2378908</v>
      </c>
      <c r="AH46" s="52">
        <f t="shared" si="8"/>
        <v>33.89414295</v>
      </c>
      <c r="AI46" s="73">
        <f t="shared" si="22"/>
        <v>72.6146539</v>
      </c>
      <c r="AJ46" s="73">
        <f t="shared" si="10"/>
        <v>31.74491986</v>
      </c>
      <c r="AK46" s="11"/>
      <c r="AL46" s="51">
        <f t="shared" si="11"/>
        <v>2266.279707</v>
      </c>
    </row>
    <row r="47" ht="15.0" customHeight="1">
      <c r="A47" s="92" t="s">
        <v>398</v>
      </c>
      <c r="B47" s="56">
        <v>45716.0</v>
      </c>
      <c r="C47" s="56">
        <v>45708.0</v>
      </c>
      <c r="D47" s="57" t="s">
        <v>225</v>
      </c>
      <c r="E47" s="57">
        <f t="array" ref="E47">XLOOKUP(D47,RUC!$B$3:$B$110,RUC!$D$3:$D$110)</f>
        <v>10761932735</v>
      </c>
      <c r="G47" s="3">
        <v>190.0</v>
      </c>
      <c r="H47" s="57" t="s">
        <v>47</v>
      </c>
      <c r="I47" s="58">
        <v>14.58</v>
      </c>
      <c r="J47" s="58">
        <v>17.75</v>
      </c>
      <c r="K47" s="59">
        <f t="shared" si="1"/>
        <v>11.99205</v>
      </c>
      <c r="L47" s="60">
        <v>0.142</v>
      </c>
      <c r="M47" s="60">
        <v>0.132</v>
      </c>
      <c r="N47" s="75">
        <v>0.199</v>
      </c>
      <c r="O47" s="60">
        <f t="shared" si="2"/>
        <v>0.166</v>
      </c>
      <c r="P47" s="63">
        <v>85.0</v>
      </c>
      <c r="Q47" s="57">
        <v>90.09</v>
      </c>
      <c r="R47" s="65">
        <v>2932.05</v>
      </c>
      <c r="S47" s="66">
        <f t="shared" si="20"/>
        <v>100</v>
      </c>
      <c r="U47" s="67">
        <v>120.0</v>
      </c>
      <c r="V47" s="67">
        <v>1.1023</v>
      </c>
      <c r="Y47" s="57">
        <v>10.0</v>
      </c>
      <c r="Z47" s="69">
        <f t="shared" si="16"/>
        <v>30</v>
      </c>
      <c r="AA47" s="70">
        <f t="shared" si="4"/>
        <v>40</v>
      </c>
      <c r="AB47" s="71">
        <f t="shared" si="13"/>
        <v>283.0488751</v>
      </c>
      <c r="AC47" s="71">
        <f>+(S47-T47)*V47-'data 1'!$F$4</f>
        <v>30.23</v>
      </c>
      <c r="AD47" s="71">
        <f t="shared" si="5"/>
        <v>22.40417584</v>
      </c>
      <c r="AE47" s="71">
        <f t="shared" si="6"/>
        <v>-25.908</v>
      </c>
      <c r="AF47" s="71">
        <f t="shared" si="7"/>
        <v>-67.02096465</v>
      </c>
      <c r="AG47" s="72">
        <f t="shared" si="23"/>
        <v>-23.29478882</v>
      </c>
      <c r="AH47" s="52">
        <f t="shared" si="8"/>
        <v>52.59778205</v>
      </c>
      <c r="AI47" s="73">
        <f t="shared" si="22"/>
        <v>29.32403056</v>
      </c>
      <c r="AJ47" s="73">
        <f t="shared" si="10"/>
        <v>58.01355958</v>
      </c>
      <c r="AK47" s="11"/>
      <c r="AL47" s="51">
        <f t="shared" si="11"/>
        <v>3394.336262</v>
      </c>
    </row>
    <row r="48" ht="15.0" customHeight="1">
      <c r="A48" s="92" t="s">
        <v>399</v>
      </c>
      <c r="B48" s="56">
        <v>45716.0</v>
      </c>
      <c r="C48" s="56">
        <v>45708.0</v>
      </c>
      <c r="D48" s="57" t="s">
        <v>225</v>
      </c>
      <c r="E48" s="57">
        <f t="array" ref="E48">XLOOKUP(D48,RUC!$B$3:$B$110,RUC!$D$3:$D$110)</f>
        <v>10761932735</v>
      </c>
      <c r="G48" s="3">
        <v>25.0</v>
      </c>
      <c r="H48" s="57" t="s">
        <v>47</v>
      </c>
      <c r="I48" s="58">
        <v>2.78</v>
      </c>
      <c r="J48" s="58">
        <v>19.15</v>
      </c>
      <c r="K48" s="59">
        <f t="shared" si="1"/>
        <v>2.24763</v>
      </c>
      <c r="L48" s="60">
        <v>0.167</v>
      </c>
      <c r="M48" s="60">
        <v>0.157</v>
      </c>
      <c r="N48" s="75">
        <v>0.218</v>
      </c>
      <c r="O48" s="60">
        <f t="shared" si="2"/>
        <v>0.188</v>
      </c>
      <c r="P48" s="63">
        <v>90.0</v>
      </c>
      <c r="Q48" s="57">
        <v>90.14</v>
      </c>
      <c r="R48" s="65">
        <v>2932.05</v>
      </c>
      <c r="S48" s="66">
        <f t="shared" si="20"/>
        <v>100</v>
      </c>
      <c r="U48" s="67">
        <v>120.0</v>
      </c>
      <c r="V48" s="67">
        <v>1.1023</v>
      </c>
      <c r="Y48" s="57">
        <v>10.0</v>
      </c>
      <c r="Z48" s="69">
        <f t="shared" si="16"/>
        <v>30</v>
      </c>
      <c r="AA48" s="70">
        <f t="shared" si="4"/>
        <v>40</v>
      </c>
      <c r="AB48" s="71">
        <f t="shared" si="13"/>
        <v>370.1510834</v>
      </c>
      <c r="AC48" s="71">
        <f>+(S48-T48)*V48-'data 1'!$F$4</f>
        <v>30.23</v>
      </c>
      <c r="AD48" s="71">
        <f t="shared" si="5"/>
        <v>0.7247151708</v>
      </c>
      <c r="AE48" s="71">
        <f t="shared" si="6"/>
        <v>-25.908</v>
      </c>
      <c r="AF48" s="71">
        <f t="shared" si="7"/>
        <v>-58.67589116</v>
      </c>
      <c r="AG48" s="72">
        <f t="shared" si="23"/>
        <v>-36.62917599</v>
      </c>
      <c r="AH48" s="52">
        <f t="shared" si="8"/>
        <v>11.6002651</v>
      </c>
      <c r="AI48" s="73">
        <f t="shared" si="22"/>
        <v>34.50585214</v>
      </c>
      <c r="AJ48" s="73">
        <f t="shared" si="10"/>
        <v>13.03869865</v>
      </c>
      <c r="AK48" s="11"/>
      <c r="AL48" s="51">
        <f t="shared" si="11"/>
        <v>831.9626795</v>
      </c>
    </row>
    <row r="49" ht="15.0" customHeight="1">
      <c r="A49" s="92" t="s">
        <v>400</v>
      </c>
      <c r="B49" s="56">
        <v>45740.0</v>
      </c>
      <c r="C49" s="56">
        <v>45709.0</v>
      </c>
      <c r="D49" s="57" t="s">
        <v>53</v>
      </c>
      <c r="E49" s="57">
        <f t="array" ref="E49">XLOOKUP(D49,RUC!$B$3:$B$110,RUC!$D$3:$D$110)</f>
        <v>10457401928</v>
      </c>
      <c r="G49" s="3">
        <v>60.0</v>
      </c>
      <c r="H49" s="57" t="s">
        <v>71</v>
      </c>
      <c r="I49" s="58">
        <v>4.73</v>
      </c>
      <c r="J49" s="58">
        <v>9.5</v>
      </c>
      <c r="K49" s="59">
        <f t="shared" si="1"/>
        <v>4.28065</v>
      </c>
      <c r="L49" s="60">
        <v>0.137</v>
      </c>
      <c r="M49" s="60">
        <v>0.127</v>
      </c>
      <c r="N49" s="62">
        <v>0.127</v>
      </c>
      <c r="O49" s="60">
        <f t="shared" si="2"/>
        <v>0.127</v>
      </c>
      <c r="P49" s="63">
        <v>90.0</v>
      </c>
      <c r="Q49" s="57">
        <v>90.09</v>
      </c>
      <c r="R49" s="65">
        <v>2934.15</v>
      </c>
      <c r="S49" s="66">
        <f t="shared" si="20"/>
        <v>100</v>
      </c>
      <c r="U49" s="67">
        <v>120.0</v>
      </c>
      <c r="V49" s="67">
        <v>1.1023</v>
      </c>
      <c r="Y49" s="57">
        <v>20.0</v>
      </c>
      <c r="Z49" s="69">
        <f t="shared" si="16"/>
        <v>30</v>
      </c>
      <c r="AA49" s="70">
        <f t="shared" si="4"/>
        <v>50</v>
      </c>
      <c r="AB49" s="71">
        <f t="shared" si="13"/>
        <v>189.2178914</v>
      </c>
      <c r="AC49" s="71">
        <f>+(S49-T49)*V49-'data 1'!$F$4</f>
        <v>30.23</v>
      </c>
      <c r="AD49" s="71">
        <f t="shared" si="5"/>
        <v>0.3824812293</v>
      </c>
      <c r="AE49" s="71">
        <f t="shared" si="6"/>
        <v>-14.885</v>
      </c>
      <c r="AF49" s="71">
        <f t="shared" si="7"/>
        <v>27.94625624</v>
      </c>
      <c r="AG49" s="72">
        <f t="shared" si="23"/>
        <v>60.67373747</v>
      </c>
      <c r="AH49" s="52">
        <f t="shared" si="8"/>
        <v>18.1140659</v>
      </c>
      <c r="AI49" s="73">
        <f t="shared" si="22"/>
        <v>28.00579031</v>
      </c>
      <c r="AJ49" s="73">
        <f t="shared" si="10"/>
        <v>16.77509621</v>
      </c>
      <c r="AK49" s="11"/>
      <c r="AL49" s="51">
        <f t="shared" si="11"/>
        <v>809.9755668</v>
      </c>
    </row>
    <row r="50" ht="15.0" customHeight="1">
      <c r="A50" s="92" t="s">
        <v>401</v>
      </c>
      <c r="B50" s="56">
        <v>45723.0</v>
      </c>
      <c r="C50" s="56">
        <v>45709.0</v>
      </c>
      <c r="D50" s="57" t="s">
        <v>53</v>
      </c>
      <c r="E50" s="57">
        <f t="array" ref="E50">XLOOKUP(D50,RUC!$B$3:$B$110,RUC!$D$3:$D$110)</f>
        <v>10457401928</v>
      </c>
      <c r="G50" s="3">
        <v>123.0</v>
      </c>
      <c r="H50" s="57" t="s">
        <v>47</v>
      </c>
      <c r="I50" s="58">
        <v>11.02</v>
      </c>
      <c r="J50" s="58">
        <v>14.65</v>
      </c>
      <c r="K50" s="59">
        <f t="shared" si="1"/>
        <v>9.40557</v>
      </c>
      <c r="L50" s="60">
        <v>0.855</v>
      </c>
      <c r="M50" s="60">
        <v>0.812</v>
      </c>
      <c r="N50" s="75">
        <v>0.9</v>
      </c>
      <c r="O50" s="60">
        <f t="shared" si="2"/>
        <v>0.856</v>
      </c>
      <c r="P50" s="63">
        <v>90.0</v>
      </c>
      <c r="Q50" s="57">
        <v>90.08</v>
      </c>
      <c r="R50" s="65">
        <v>2934.15</v>
      </c>
      <c r="S50" s="66">
        <f t="shared" ref="S50:S51" si="24">IF((80+ROUNDDOWN(O50,1)*100)&lt;95,95,(80+ROUNDDOWN(O50,1)*100))</f>
        <v>160</v>
      </c>
      <c r="U50" s="67">
        <v>120.0</v>
      </c>
      <c r="V50" s="67">
        <v>1.1023</v>
      </c>
      <c r="Z50" s="69">
        <f t="shared" si="16"/>
        <v>30</v>
      </c>
      <c r="AA50" s="70">
        <f t="shared" si="4"/>
        <v>30</v>
      </c>
      <c r="AB50" s="71">
        <f t="shared" si="13"/>
        <v>2180.372725</v>
      </c>
      <c r="AC50" s="71">
        <f>+(S50-T50)*V50-'data 1'!$F$4</f>
        <v>96.368</v>
      </c>
      <c r="AD50" s="71">
        <f t="shared" si="5"/>
        <v>2.121793681</v>
      </c>
      <c r="AE50" s="71">
        <f t="shared" si="6"/>
        <v>-36.931</v>
      </c>
      <c r="AF50" s="71">
        <f t="shared" si="7"/>
        <v>-2.794315421</v>
      </c>
      <c r="AG50" s="72">
        <f t="shared" si="23"/>
        <v>75.76447826</v>
      </c>
      <c r="AH50" s="52">
        <f t="shared" si="8"/>
        <v>248.3640205</v>
      </c>
      <c r="AI50" s="73">
        <f t="shared" si="22"/>
        <v>174.7612615</v>
      </c>
      <c r="AJ50" s="73">
        <f t="shared" si="10"/>
        <v>248.4336748</v>
      </c>
      <c r="AK50" s="11"/>
      <c r="AL50" s="51">
        <f t="shared" si="11"/>
        <v>20507.64829</v>
      </c>
    </row>
    <row r="51" ht="15.0" customHeight="1">
      <c r="A51" s="92" t="s">
        <v>402</v>
      </c>
      <c r="B51" s="56">
        <v>45723.0</v>
      </c>
      <c r="C51" s="56">
        <v>45709.0</v>
      </c>
      <c r="D51" s="57" t="s">
        <v>53</v>
      </c>
      <c r="E51" s="57">
        <f t="array" ref="E51">XLOOKUP(D51,RUC!$B$3:$B$110,RUC!$D$3:$D$110)</f>
        <v>10457401928</v>
      </c>
      <c r="G51" s="3">
        <v>89.0</v>
      </c>
      <c r="H51" s="57" t="s">
        <v>47</v>
      </c>
      <c r="I51" s="58">
        <v>7.76</v>
      </c>
      <c r="J51" s="58">
        <v>12.85</v>
      </c>
      <c r="K51" s="59">
        <f t="shared" si="1"/>
        <v>6.76284</v>
      </c>
      <c r="L51" s="60">
        <v>0.33</v>
      </c>
      <c r="M51" s="60">
        <v>0.31</v>
      </c>
      <c r="N51" s="75">
        <v>0.374</v>
      </c>
      <c r="O51" s="60">
        <f t="shared" si="2"/>
        <v>0.342</v>
      </c>
      <c r="P51" s="63">
        <v>90.0</v>
      </c>
      <c r="Q51" s="57">
        <v>90.17</v>
      </c>
      <c r="R51" s="65">
        <v>2934.15</v>
      </c>
      <c r="S51" s="66">
        <f t="shared" si="24"/>
        <v>110</v>
      </c>
      <c r="U51" s="67">
        <v>120.0</v>
      </c>
      <c r="V51" s="67">
        <v>1.1023</v>
      </c>
      <c r="Z51" s="69">
        <f t="shared" si="16"/>
        <v>30</v>
      </c>
      <c r="AA51" s="70">
        <f t="shared" si="4"/>
        <v>30</v>
      </c>
      <c r="AB51" s="71">
        <f t="shared" si="13"/>
        <v>800.4851564</v>
      </c>
      <c r="AC51" s="71">
        <f>+(S51-T51)*V51-'data 1'!$F$4</f>
        <v>41.253</v>
      </c>
      <c r="AD51" s="71">
        <f t="shared" si="5"/>
        <v>1.740243063</v>
      </c>
      <c r="AE51" s="71">
        <f t="shared" si="6"/>
        <v>-36.931</v>
      </c>
      <c r="AF51" s="71">
        <f t="shared" si="7"/>
        <v>-33.56528705</v>
      </c>
      <c r="AG51" s="72">
        <f t="shared" si="23"/>
        <v>-10.50304399</v>
      </c>
      <c r="AH51" s="52">
        <f t="shared" si="8"/>
        <v>68.99445549</v>
      </c>
      <c r="AI51" s="73">
        <f t="shared" si="22"/>
        <v>67.51910678</v>
      </c>
      <c r="AJ51" s="73">
        <f t="shared" si="10"/>
        <v>71.36853755</v>
      </c>
      <c r="AK51" s="11"/>
      <c r="AL51" s="51">
        <f t="shared" si="11"/>
        <v>5413.553035</v>
      </c>
    </row>
    <row r="52" ht="15.0" customHeight="1">
      <c r="A52" s="92" t="s">
        <v>403</v>
      </c>
      <c r="B52" s="56">
        <v>45719.0</v>
      </c>
      <c r="C52" s="56">
        <v>45710.0</v>
      </c>
      <c r="D52" s="57" t="s">
        <v>104</v>
      </c>
      <c r="E52" s="57">
        <f t="array" ref="E52">XLOOKUP(D52,RUC!$B$3:$B$110,RUC!$D$3:$D$110)</f>
        <v>10479968131</v>
      </c>
      <c r="G52" s="3">
        <v>105.0</v>
      </c>
      <c r="H52" s="57" t="s">
        <v>47</v>
      </c>
      <c r="I52" s="58">
        <v>8.42</v>
      </c>
      <c r="J52" s="58">
        <v>2.85</v>
      </c>
      <c r="K52" s="59">
        <f t="shared" si="1"/>
        <v>8.18003</v>
      </c>
      <c r="L52" s="60">
        <v>0.138</v>
      </c>
      <c r="M52" s="60">
        <v>0.128</v>
      </c>
      <c r="N52" s="62">
        <v>0.128</v>
      </c>
      <c r="O52" s="60">
        <f t="shared" si="2"/>
        <v>0.128</v>
      </c>
      <c r="P52" s="63">
        <v>85.0</v>
      </c>
      <c r="Q52" s="57">
        <v>90.15</v>
      </c>
      <c r="R52" s="65">
        <v>2934.15</v>
      </c>
      <c r="S52" s="66">
        <f>IF((90+ROUNDDOWN(O52,1)*100)&lt;95,95,(90+ROUNDDOWN(O52,1)*100))</f>
        <v>100</v>
      </c>
      <c r="U52" s="67">
        <v>120.0</v>
      </c>
      <c r="V52" s="67">
        <v>1.1023</v>
      </c>
      <c r="Y52" s="57">
        <v>10.0</v>
      </c>
      <c r="Z52" s="69">
        <f t="shared" si="16"/>
        <v>30</v>
      </c>
      <c r="AA52" s="70">
        <f t="shared" si="4"/>
        <v>40</v>
      </c>
      <c r="AB52" s="71">
        <f t="shared" si="13"/>
        <v>183.1796849</v>
      </c>
      <c r="AC52" s="71">
        <f>+(S52-T52)*V52-'data 1'!$F$4</f>
        <v>30.23</v>
      </c>
      <c r="AD52" s="71">
        <f t="shared" si="5"/>
        <v>22.04618083</v>
      </c>
      <c r="AE52" s="71">
        <f t="shared" si="6"/>
        <v>-25.908</v>
      </c>
      <c r="AF52" s="71">
        <f t="shared" si="7"/>
        <v>27.96486847</v>
      </c>
      <c r="AG52" s="72">
        <f t="shared" si="23"/>
        <v>71.3330493</v>
      </c>
      <c r="AH52" s="52">
        <f t="shared" si="8"/>
        <v>34.89062774</v>
      </c>
      <c r="AI52" s="73">
        <f t="shared" si="22"/>
        <v>28.22900016</v>
      </c>
      <c r="AJ52" s="73">
        <f t="shared" si="10"/>
        <v>30.51355871</v>
      </c>
      <c r="AK52" s="11"/>
      <c r="AL52" s="51">
        <f t="shared" si="11"/>
        <v>1498.415318</v>
      </c>
    </row>
    <row r="53" ht="15.0" customHeight="1">
      <c r="A53" s="92" t="s">
        <v>404</v>
      </c>
      <c r="B53" s="56">
        <v>45723.0</v>
      </c>
      <c r="C53" s="56">
        <v>45710.0</v>
      </c>
      <c r="D53" s="57" t="s">
        <v>88</v>
      </c>
      <c r="E53" s="57" t="str">
        <f t="array" ref="E53">XLOOKUP(D53,RUC!$B$3:$B$110,RUC!$D$3:$D$110)</f>
        <v>#N/A</v>
      </c>
      <c r="G53" s="3">
        <v>50.0</v>
      </c>
      <c r="H53" s="57" t="s">
        <v>47</v>
      </c>
      <c r="I53" s="58">
        <v>6.84</v>
      </c>
      <c r="J53" s="58">
        <v>6.05</v>
      </c>
      <c r="K53" s="59">
        <f t="shared" si="1"/>
        <v>6.42618</v>
      </c>
      <c r="L53" s="60">
        <v>0.581</v>
      </c>
      <c r="M53" s="60">
        <v>0.546</v>
      </c>
      <c r="N53" s="75">
        <v>0.599</v>
      </c>
      <c r="O53" s="60">
        <f t="shared" si="2"/>
        <v>0.573</v>
      </c>
      <c r="P53" s="63">
        <v>90.0</v>
      </c>
      <c r="Q53" s="57">
        <v>89.98</v>
      </c>
      <c r="R53" s="65">
        <v>2934.15</v>
      </c>
      <c r="S53" s="76">
        <f t="shared" ref="S53:S61" si="25">IF((85+ROUNDDOWN(O53,1)*100)&lt;95,95,(85+ROUNDDOWN(O53,1)*100))</f>
        <v>135</v>
      </c>
      <c r="T53" s="68"/>
      <c r="U53" s="87">
        <v>90.0</v>
      </c>
      <c r="V53" s="67">
        <v>1.1023</v>
      </c>
      <c r="Z53" s="77">
        <v>25.0</v>
      </c>
      <c r="AA53" s="70">
        <f t="shared" si="4"/>
        <v>25</v>
      </c>
      <c r="AB53" s="71">
        <f t="shared" si="13"/>
        <v>1440.406445</v>
      </c>
      <c r="AC53" s="71">
        <f>+(S53-T53)*V53-'data 1'!$F$4</f>
        <v>68.8105</v>
      </c>
      <c r="AD53" s="71">
        <f t="shared" si="5"/>
        <v>-0.3642993805</v>
      </c>
      <c r="AE53" s="71">
        <f t="shared" si="6"/>
        <v>-42.4425</v>
      </c>
      <c r="AF53" s="71">
        <f t="shared" si="7"/>
        <v>22.56775095</v>
      </c>
      <c r="AG53" s="72">
        <f t="shared" si="23"/>
        <v>65.57145157</v>
      </c>
      <c r="AH53" s="52">
        <f t="shared" si="8"/>
        <v>115.1818571</v>
      </c>
      <c r="AI53" s="73">
        <f t="shared" si="22"/>
        <v>101.3361269</v>
      </c>
      <c r="AJ53" s="73">
        <f t="shared" si="10"/>
        <v>113.6211255</v>
      </c>
      <c r="AK53" s="11"/>
      <c r="AL53" s="51">
        <f t="shared" si="11"/>
        <v>9256.31109</v>
      </c>
    </row>
    <row r="54" ht="15.0" customHeight="1">
      <c r="A54" s="92" t="s">
        <v>405</v>
      </c>
      <c r="B54" s="56">
        <v>45723.0</v>
      </c>
      <c r="C54" s="56">
        <v>45710.0</v>
      </c>
      <c r="D54" s="57" t="s">
        <v>88</v>
      </c>
      <c r="E54" s="57" t="str">
        <f t="array" ref="E54">XLOOKUP(D54,RUC!$B$3:$B$110,RUC!$D$3:$D$110)</f>
        <v>#N/A</v>
      </c>
      <c r="G54" s="3">
        <v>50.0</v>
      </c>
      <c r="H54" s="57" t="s">
        <v>47</v>
      </c>
      <c r="I54" s="58">
        <v>6.58</v>
      </c>
      <c r="J54" s="58">
        <v>5.5</v>
      </c>
      <c r="K54" s="59">
        <f t="shared" si="1"/>
        <v>6.2181</v>
      </c>
      <c r="L54" s="60">
        <v>0.605</v>
      </c>
      <c r="M54" s="60">
        <v>0.569</v>
      </c>
      <c r="N54" s="75">
        <v>0.616</v>
      </c>
      <c r="O54" s="60">
        <f t="shared" si="2"/>
        <v>0.593</v>
      </c>
      <c r="P54" s="63">
        <v>90.0</v>
      </c>
      <c r="Q54" s="57">
        <v>89.94</v>
      </c>
      <c r="R54" s="65">
        <v>2934.15</v>
      </c>
      <c r="S54" s="76">
        <f t="shared" si="25"/>
        <v>135</v>
      </c>
      <c r="T54" s="68"/>
      <c r="U54" s="87">
        <v>90.0</v>
      </c>
      <c r="V54" s="67">
        <v>1.1023</v>
      </c>
      <c r="Z54" s="77">
        <v>25.0</v>
      </c>
      <c r="AA54" s="70">
        <f t="shared" si="4"/>
        <v>25</v>
      </c>
      <c r="AB54" s="71">
        <f t="shared" si="13"/>
        <v>1496.838363</v>
      </c>
      <c r="AC54" s="71">
        <f>+(S54-T54)*V54-'data 1'!$F$4</f>
        <v>68.8105</v>
      </c>
      <c r="AD54" s="71">
        <f t="shared" si="5"/>
        <v>-1.138043676</v>
      </c>
      <c r="AE54" s="71">
        <f t="shared" si="6"/>
        <v>-42.4425</v>
      </c>
      <c r="AF54" s="71">
        <f t="shared" si="7"/>
        <v>33.83657792</v>
      </c>
      <c r="AG54" s="72">
        <f t="shared" si="23"/>
        <v>76.06653424</v>
      </c>
      <c r="AH54" s="52">
        <f t="shared" si="8"/>
        <v>116.0045515</v>
      </c>
      <c r="AI54" s="73">
        <f t="shared" si="22"/>
        <v>105.4752195</v>
      </c>
      <c r="AJ54" s="73">
        <f t="shared" si="10"/>
        <v>113.7794878</v>
      </c>
      <c r="AK54" s="11"/>
      <c r="AL54" s="51">
        <f t="shared" si="11"/>
        <v>9307.490625</v>
      </c>
    </row>
    <row r="55" ht="15.0" customHeight="1">
      <c r="A55" s="92" t="s">
        <v>406</v>
      </c>
      <c r="B55" s="56">
        <v>45723.0</v>
      </c>
      <c r="C55" s="56">
        <v>45710.0</v>
      </c>
      <c r="D55" s="57" t="s">
        <v>88</v>
      </c>
      <c r="E55" s="57" t="str">
        <f t="array" ref="E55">XLOOKUP(D55,RUC!$B$3:$B$110,RUC!$D$3:$D$110)</f>
        <v>#N/A</v>
      </c>
      <c r="G55" s="3">
        <v>50.0</v>
      </c>
      <c r="H55" s="57" t="s">
        <v>47</v>
      </c>
      <c r="I55" s="58">
        <v>6.77</v>
      </c>
      <c r="J55" s="58">
        <v>5.5</v>
      </c>
      <c r="K55" s="59">
        <f t="shared" si="1"/>
        <v>6.39765</v>
      </c>
      <c r="L55" s="60">
        <v>0.41</v>
      </c>
      <c r="M55" s="60">
        <v>0.385</v>
      </c>
      <c r="N55" s="75">
        <v>0.473</v>
      </c>
      <c r="O55" s="60">
        <f t="shared" si="2"/>
        <v>0.429</v>
      </c>
      <c r="P55" s="63">
        <v>90.0</v>
      </c>
      <c r="Q55" s="57">
        <v>90.13</v>
      </c>
      <c r="R55" s="65">
        <v>2934.15</v>
      </c>
      <c r="S55" s="76">
        <f t="shared" si="25"/>
        <v>125</v>
      </c>
      <c r="T55" s="68"/>
      <c r="U55" s="87">
        <v>90.0</v>
      </c>
      <c r="V55" s="67">
        <v>1.1023</v>
      </c>
      <c r="Z55" s="77">
        <v>25.0</v>
      </c>
      <c r="AA55" s="70">
        <f t="shared" si="4"/>
        <v>25</v>
      </c>
      <c r="AB55" s="71">
        <f t="shared" si="13"/>
        <v>1045.119637</v>
      </c>
      <c r="AC55" s="71">
        <f>+(S55-T55)*V55-'data 1'!$F$4</f>
        <v>57.7875</v>
      </c>
      <c r="AD55" s="71">
        <f t="shared" si="5"/>
        <v>1.671011788</v>
      </c>
      <c r="AE55" s="71">
        <f t="shared" si="6"/>
        <v>-42.4425</v>
      </c>
      <c r="AF55" s="71">
        <f t="shared" si="7"/>
        <v>-53.68775905</v>
      </c>
      <c r="AG55" s="72">
        <f t="shared" si="23"/>
        <v>-19.67174726</v>
      </c>
      <c r="AH55" s="52">
        <f t="shared" si="8"/>
        <v>81.05555322</v>
      </c>
      <c r="AI55" s="73">
        <f t="shared" si="22"/>
        <v>71.63007532</v>
      </c>
      <c r="AJ55" s="73">
        <f t="shared" si="10"/>
        <v>84.68945695</v>
      </c>
      <c r="AK55" s="11"/>
      <c r="AL55" s="51">
        <f t="shared" si="11"/>
        <v>6686.309646</v>
      </c>
    </row>
    <row r="56" ht="15.0" customHeight="1">
      <c r="A56" s="92" t="s">
        <v>407</v>
      </c>
      <c r="B56" s="56">
        <v>45723.0</v>
      </c>
      <c r="C56" s="56">
        <v>45710.0</v>
      </c>
      <c r="D56" s="57" t="s">
        <v>88</v>
      </c>
      <c r="E56" s="57" t="str">
        <f t="array" ref="E56">XLOOKUP(D56,RUC!$B$3:$B$110,RUC!$D$3:$D$110)</f>
        <v>#N/A</v>
      </c>
      <c r="G56" s="3">
        <v>50.0</v>
      </c>
      <c r="H56" s="57" t="s">
        <v>47</v>
      </c>
      <c r="I56" s="58">
        <v>6.7</v>
      </c>
      <c r="J56" s="58">
        <v>3.85</v>
      </c>
      <c r="K56" s="59">
        <f t="shared" si="1"/>
        <v>6.44205</v>
      </c>
      <c r="L56" s="60">
        <v>0.516</v>
      </c>
      <c r="M56" s="60">
        <v>0.484</v>
      </c>
      <c r="N56" s="75">
        <v>0.554</v>
      </c>
      <c r="O56" s="60">
        <f t="shared" si="2"/>
        <v>0.519</v>
      </c>
      <c r="P56" s="63">
        <v>90.0</v>
      </c>
      <c r="Q56" s="57">
        <v>89.96</v>
      </c>
      <c r="R56" s="65">
        <v>2934.15</v>
      </c>
      <c r="S56" s="76">
        <f t="shared" si="25"/>
        <v>135</v>
      </c>
      <c r="T56" s="68"/>
      <c r="U56" s="87">
        <v>90.0</v>
      </c>
      <c r="V56" s="67">
        <v>1.1023</v>
      </c>
      <c r="Z56" s="77">
        <v>25.0</v>
      </c>
      <c r="AA56" s="70">
        <f t="shared" si="4"/>
        <v>25</v>
      </c>
      <c r="AB56" s="71">
        <f t="shared" si="13"/>
        <v>1288.040267</v>
      </c>
      <c r="AC56" s="71">
        <f>+(S56-T56)*V56-'data 1'!$F$4</f>
        <v>68.8105</v>
      </c>
      <c r="AD56" s="71">
        <f t="shared" si="5"/>
        <v>-0.6470859909</v>
      </c>
      <c r="AE56" s="71">
        <f t="shared" si="6"/>
        <v>-42.4425</v>
      </c>
      <c r="AF56" s="71">
        <f t="shared" si="7"/>
        <v>-8.461025544</v>
      </c>
      <c r="AG56" s="72">
        <f t="shared" si="23"/>
        <v>34.25988847</v>
      </c>
      <c r="AH56" s="52">
        <f t="shared" si="8"/>
        <v>102.5255975</v>
      </c>
      <c r="AI56" s="73">
        <f t="shared" si="22"/>
        <v>89.97903444</v>
      </c>
      <c r="AJ56" s="73">
        <f t="shared" si="10"/>
        <v>103.1675288</v>
      </c>
      <c r="AK56" s="11"/>
      <c r="AL56" s="51">
        <f t="shared" si="11"/>
        <v>8297.619803</v>
      </c>
    </row>
    <row r="57" ht="15.0" customHeight="1">
      <c r="A57" s="92" t="s">
        <v>408</v>
      </c>
      <c r="B57" s="56">
        <v>45723.0</v>
      </c>
      <c r="C57" s="56">
        <v>45710.0</v>
      </c>
      <c r="D57" s="57" t="s">
        <v>88</v>
      </c>
      <c r="E57" s="57" t="str">
        <f t="array" ref="E57">XLOOKUP(D57,RUC!$B$3:$B$110,RUC!$D$3:$D$110)</f>
        <v>#N/A</v>
      </c>
      <c r="G57" s="3">
        <v>50.0</v>
      </c>
      <c r="H57" s="57" t="s">
        <v>47</v>
      </c>
      <c r="I57" s="58">
        <v>6.82</v>
      </c>
      <c r="J57" s="58">
        <v>4.5</v>
      </c>
      <c r="K57" s="59">
        <f t="shared" si="1"/>
        <v>6.5131</v>
      </c>
      <c r="L57" s="60">
        <v>0.428</v>
      </c>
      <c r="M57" s="60">
        <v>0.363</v>
      </c>
      <c r="N57" s="75">
        <v>0.425</v>
      </c>
      <c r="O57" s="60">
        <f t="shared" si="2"/>
        <v>0.394</v>
      </c>
      <c r="P57" s="63">
        <v>90.0</v>
      </c>
      <c r="Q57" s="57">
        <v>90.12</v>
      </c>
      <c r="R57" s="65">
        <v>2934.15</v>
      </c>
      <c r="S57" s="76">
        <f t="shared" si="25"/>
        <v>115</v>
      </c>
      <c r="T57" s="68"/>
      <c r="U57" s="87">
        <v>90.0</v>
      </c>
      <c r="V57" s="67">
        <v>1.1023</v>
      </c>
      <c r="Z57" s="77">
        <v>25.0</v>
      </c>
      <c r="AA57" s="70">
        <f t="shared" si="4"/>
        <v>25</v>
      </c>
      <c r="AB57" s="71">
        <f t="shared" si="13"/>
        <v>957.3867809</v>
      </c>
      <c r="AC57" s="71">
        <f>+(S57-T57)*V57-'data 1'!$F$4</f>
        <v>46.7645</v>
      </c>
      <c r="AD57" s="71">
        <f t="shared" si="5"/>
        <v>1.610190722</v>
      </c>
      <c r="AE57" s="71">
        <f t="shared" si="6"/>
        <v>-42.4425</v>
      </c>
      <c r="AF57" s="71">
        <f t="shared" si="7"/>
        <v>96.06217262</v>
      </c>
      <c r="AG57" s="72">
        <f t="shared" si="23"/>
        <v>118.9943633</v>
      </c>
      <c r="AH57" s="52">
        <f t="shared" si="8"/>
        <v>86.1314518</v>
      </c>
      <c r="AI57" s="73">
        <f t="shared" si="22"/>
        <v>74.76651401</v>
      </c>
      <c r="AJ57" s="73">
        <f t="shared" si="10"/>
        <v>79.18365546</v>
      </c>
      <c r="AK57" s="11"/>
      <c r="AL57" s="51">
        <f t="shared" si="11"/>
        <v>6235.555842</v>
      </c>
    </row>
    <row r="58" ht="15.0" customHeight="1">
      <c r="A58" s="92" t="s">
        <v>409</v>
      </c>
      <c r="B58" s="56">
        <v>45723.0</v>
      </c>
      <c r="C58" s="56">
        <v>45710.0</v>
      </c>
      <c r="D58" s="57" t="s">
        <v>88</v>
      </c>
      <c r="E58" s="57" t="str">
        <f t="array" ref="E58">XLOOKUP(D58,RUC!$B$3:$B$110,RUC!$D$3:$D$110)</f>
        <v>#N/A</v>
      </c>
      <c r="G58" s="3">
        <v>50.0</v>
      </c>
      <c r="H58" s="57" t="s">
        <v>47</v>
      </c>
      <c r="I58" s="58">
        <v>6.79</v>
      </c>
      <c r="J58" s="58">
        <v>3.15</v>
      </c>
      <c r="K58" s="59">
        <f t="shared" si="1"/>
        <v>6.576115</v>
      </c>
      <c r="L58" s="60">
        <v>0.439</v>
      </c>
      <c r="M58" s="60">
        <v>0.427</v>
      </c>
      <c r="N58" s="75">
        <v>0.505</v>
      </c>
      <c r="O58" s="60">
        <f t="shared" si="2"/>
        <v>0.466</v>
      </c>
      <c r="P58" s="63">
        <v>90.0</v>
      </c>
      <c r="Q58" s="57">
        <v>90.22</v>
      </c>
      <c r="R58" s="65">
        <v>2934.15</v>
      </c>
      <c r="S58" s="76">
        <f t="shared" si="25"/>
        <v>125</v>
      </c>
      <c r="T58" s="68"/>
      <c r="U58" s="87">
        <v>90.0</v>
      </c>
      <c r="V58" s="67">
        <v>1.1023</v>
      </c>
      <c r="Z58" s="77">
        <v>25.0</v>
      </c>
      <c r="AA58" s="70">
        <f t="shared" si="4"/>
        <v>25</v>
      </c>
      <c r="AB58" s="71">
        <f t="shared" si="13"/>
        <v>1149.518685</v>
      </c>
      <c r="AC58" s="71">
        <f>+(S58-T58)*V58-'data 1'!$F$4</f>
        <v>57.7875</v>
      </c>
      <c r="AD58" s="71">
        <f t="shared" si="5"/>
        <v>3.027885901</v>
      </c>
      <c r="AE58" s="71">
        <f t="shared" si="6"/>
        <v>-42.4425</v>
      </c>
      <c r="AF58" s="71">
        <f t="shared" si="7"/>
        <v>-76.36931437</v>
      </c>
      <c r="AG58" s="72">
        <f t="shared" si="23"/>
        <v>-40.99642847</v>
      </c>
      <c r="AH58" s="52">
        <f t="shared" si="8"/>
        <v>89.29883881</v>
      </c>
      <c r="AI58" s="73">
        <f t="shared" si="22"/>
        <v>76.77317882</v>
      </c>
      <c r="AJ58" s="73">
        <f t="shared" si="10"/>
        <v>94.55987615</v>
      </c>
      <c r="AK58" s="11"/>
      <c r="AL58" s="51">
        <f t="shared" si="11"/>
        <v>7559.367067</v>
      </c>
    </row>
    <row r="59" ht="15.0" customHeight="1">
      <c r="A59" s="92" t="s">
        <v>410</v>
      </c>
      <c r="B59" s="56">
        <v>45723.0</v>
      </c>
      <c r="C59" s="56">
        <v>45710.0</v>
      </c>
      <c r="D59" s="57" t="s">
        <v>88</v>
      </c>
      <c r="E59" s="57" t="str">
        <f t="array" ref="E59">XLOOKUP(D59,RUC!$B$3:$B$110,RUC!$D$3:$D$110)</f>
        <v>#N/A</v>
      </c>
      <c r="G59" s="3">
        <v>50.0</v>
      </c>
      <c r="H59" s="57" t="s">
        <v>47</v>
      </c>
      <c r="I59" s="58">
        <v>5.63</v>
      </c>
      <c r="J59" s="58">
        <v>10.3</v>
      </c>
      <c r="K59" s="59">
        <f t="shared" si="1"/>
        <v>5.05011</v>
      </c>
      <c r="L59" s="60">
        <v>0.439</v>
      </c>
      <c r="M59" s="60">
        <v>0.412</v>
      </c>
      <c r="N59" s="75">
        <v>0.467</v>
      </c>
      <c r="O59" s="60">
        <f t="shared" si="2"/>
        <v>0.44</v>
      </c>
      <c r="P59" s="63">
        <v>90.0</v>
      </c>
      <c r="Q59" s="57">
        <v>90.13</v>
      </c>
      <c r="R59" s="65">
        <v>2934.15</v>
      </c>
      <c r="S59" s="76">
        <f t="shared" si="25"/>
        <v>125</v>
      </c>
      <c r="T59" s="68"/>
      <c r="U59" s="87">
        <v>90.0</v>
      </c>
      <c r="V59" s="67">
        <v>1.1023</v>
      </c>
      <c r="Z59" s="77">
        <v>25.0</v>
      </c>
      <c r="AA59" s="70">
        <f t="shared" si="4"/>
        <v>25</v>
      </c>
      <c r="AB59" s="71">
        <f t="shared" si="13"/>
        <v>1076.157192</v>
      </c>
      <c r="AC59" s="71">
        <f>+(S59-T59)*V59-'data 1'!$F$4</f>
        <v>57.7875</v>
      </c>
      <c r="AD59" s="71">
        <f t="shared" si="5"/>
        <v>1.789205305</v>
      </c>
      <c r="AE59" s="71">
        <f t="shared" si="6"/>
        <v>-42.4425</v>
      </c>
      <c r="AF59" s="71">
        <f t="shared" si="7"/>
        <v>-2.825671529</v>
      </c>
      <c r="AG59" s="72">
        <f t="shared" si="23"/>
        <v>31.30853378</v>
      </c>
      <c r="AH59" s="52">
        <f t="shared" si="8"/>
        <v>68.50839585</v>
      </c>
      <c r="AI59" s="73">
        <f t="shared" si="22"/>
        <v>76.69659285</v>
      </c>
      <c r="AJ59" s="73">
        <f t="shared" si="10"/>
        <v>68.56541249</v>
      </c>
      <c r="AK59" s="11"/>
      <c r="AL59" s="51">
        <f t="shared" si="11"/>
        <v>5434.712196</v>
      </c>
    </row>
    <row r="60" ht="15.0" customHeight="1">
      <c r="A60" s="92" t="s">
        <v>411</v>
      </c>
      <c r="B60" s="56">
        <v>45723.0</v>
      </c>
      <c r="C60" s="56">
        <v>45710.0</v>
      </c>
      <c r="D60" s="57" t="s">
        <v>88</v>
      </c>
      <c r="E60" s="57" t="str">
        <f t="array" ref="E60">XLOOKUP(D60,RUC!$B$3:$B$110,RUC!$D$3:$D$110)</f>
        <v>#N/A</v>
      </c>
      <c r="G60" s="3">
        <v>50.0</v>
      </c>
      <c r="H60" s="57" t="s">
        <v>47</v>
      </c>
      <c r="I60" s="58">
        <v>5.58</v>
      </c>
      <c r="J60" s="58">
        <v>10.2</v>
      </c>
      <c r="K60" s="59">
        <f t="shared" si="1"/>
        <v>5.01084</v>
      </c>
      <c r="L60" s="60">
        <v>0.524</v>
      </c>
      <c r="M60" s="60">
        <v>0.493</v>
      </c>
      <c r="N60" s="75">
        <v>0.58</v>
      </c>
      <c r="O60" s="60">
        <f t="shared" si="2"/>
        <v>0.537</v>
      </c>
      <c r="P60" s="63">
        <v>90.0</v>
      </c>
      <c r="Q60" s="57">
        <v>90.11</v>
      </c>
      <c r="R60" s="65">
        <v>2934.15</v>
      </c>
      <c r="S60" s="76">
        <f t="shared" si="25"/>
        <v>135</v>
      </c>
      <c r="T60" s="68"/>
      <c r="U60" s="87">
        <v>90.0</v>
      </c>
      <c r="V60" s="67">
        <v>1.1023</v>
      </c>
      <c r="Y60" s="57">
        <v>20.0</v>
      </c>
      <c r="Z60" s="77">
        <v>25.0</v>
      </c>
      <c r="AA60" s="70">
        <f t="shared" si="4"/>
        <v>45</v>
      </c>
      <c r="AB60" s="71">
        <f t="shared" si="13"/>
        <v>1316.782993</v>
      </c>
      <c r="AC60" s="71">
        <f>+(S60-T60)*V60-'data 1'!$F$4</f>
        <v>68.8105</v>
      </c>
      <c r="AD60" s="71">
        <f t="shared" si="5"/>
        <v>1.807075413</v>
      </c>
      <c r="AE60" s="71">
        <f t="shared" si="6"/>
        <v>-20.3965</v>
      </c>
      <c r="AF60" s="71">
        <f t="shared" si="7"/>
        <v>-36.7255786</v>
      </c>
      <c r="AG60" s="72">
        <f t="shared" si="23"/>
        <v>30.49549681</v>
      </c>
      <c r="AH60" s="52">
        <f t="shared" si="8"/>
        <v>81.11924157</v>
      </c>
      <c r="AI60" s="73">
        <f t="shared" si="22"/>
        <v>91.52641604</v>
      </c>
      <c r="AJ60" s="73">
        <f t="shared" si="10"/>
        <v>83.03026041</v>
      </c>
      <c r="AK60" s="11"/>
      <c r="AL60" s="51">
        <f t="shared" si="11"/>
        <v>6598.188894</v>
      </c>
    </row>
    <row r="61" ht="15.0" customHeight="1">
      <c r="A61" s="92" t="s">
        <v>412</v>
      </c>
      <c r="B61" s="56">
        <v>45719.0</v>
      </c>
      <c r="C61" s="56">
        <v>45712.0</v>
      </c>
      <c r="D61" s="57" t="s">
        <v>88</v>
      </c>
      <c r="E61" s="57" t="str">
        <f t="array" ref="E61">XLOOKUP(D61,RUC!$B$3:$B$110,RUC!$D$3:$D$110)</f>
        <v>#N/A</v>
      </c>
      <c r="G61" s="3" t="s">
        <v>46</v>
      </c>
      <c r="H61" s="57" t="s">
        <v>47</v>
      </c>
      <c r="I61" s="58">
        <v>40.41</v>
      </c>
      <c r="J61" s="58">
        <v>2.2</v>
      </c>
      <c r="K61" s="59">
        <f t="shared" si="1"/>
        <v>39.52098</v>
      </c>
      <c r="L61" s="60">
        <v>0.225</v>
      </c>
      <c r="M61" s="60">
        <v>0.212</v>
      </c>
      <c r="N61" s="75">
        <v>0.253</v>
      </c>
      <c r="O61" s="60">
        <f t="shared" si="2"/>
        <v>0.233</v>
      </c>
      <c r="P61" s="63">
        <v>90.0</v>
      </c>
      <c r="Q61" s="57">
        <v>90.22</v>
      </c>
      <c r="R61" s="65">
        <v>2931.9</v>
      </c>
      <c r="S61" s="76">
        <f t="shared" si="25"/>
        <v>105</v>
      </c>
      <c r="U61" s="87">
        <v>90.0</v>
      </c>
      <c r="V61" s="67">
        <v>1.1023</v>
      </c>
      <c r="Y61" s="67"/>
      <c r="Z61" s="77">
        <v>25.0</v>
      </c>
      <c r="AA61" s="70">
        <f t="shared" si="4"/>
        <v>25</v>
      </c>
      <c r="AB61" s="71">
        <f t="shared" si="13"/>
        <v>513.6127498</v>
      </c>
      <c r="AC61" s="71">
        <f>+(S61-T61)*V61-'data 1'!$F$4</f>
        <v>35.7415</v>
      </c>
      <c r="AD61" s="71">
        <f t="shared" si="5"/>
        <v>1.550650053</v>
      </c>
      <c r="AE61" s="71">
        <f t="shared" si="6"/>
        <v>-42.4425</v>
      </c>
      <c r="AF61" s="71">
        <f t="shared" si="7"/>
        <v>-22.61004409</v>
      </c>
      <c r="AG61" s="72">
        <f t="shared" si="23"/>
        <v>-10.76039403</v>
      </c>
      <c r="AH61" s="52">
        <f t="shared" si="8"/>
        <v>275.0566285</v>
      </c>
      <c r="AI61" s="73">
        <f t="shared" si="22"/>
        <v>39.85190329</v>
      </c>
      <c r="AJ61" s="73">
        <f t="shared" si="10"/>
        <v>284.1418508</v>
      </c>
      <c r="AK61" s="11"/>
      <c r="AL61" s="51">
        <f t="shared" si="11"/>
        <v>20298.47921</v>
      </c>
    </row>
    <row r="62" ht="15.0" customHeight="1">
      <c r="A62" s="92" t="s">
        <v>413</v>
      </c>
      <c r="B62" s="56">
        <v>45700.0</v>
      </c>
      <c r="C62" s="56">
        <v>45712.0</v>
      </c>
      <c r="D62" s="57" t="s">
        <v>61</v>
      </c>
      <c r="E62" s="57">
        <f t="array" ref="E62">XLOOKUP(D62,RUC!$B$3:$B$110,RUC!$D$3:$D$110)</f>
        <v>20606526599</v>
      </c>
      <c r="G62" s="3">
        <v>123.0</v>
      </c>
      <c r="H62" s="57" t="s">
        <v>47</v>
      </c>
      <c r="I62" s="58">
        <v>9.77</v>
      </c>
      <c r="J62" s="58">
        <v>2.1</v>
      </c>
      <c r="K62" s="59">
        <f t="shared" si="1"/>
        <v>9.56483</v>
      </c>
      <c r="L62" s="60">
        <v>0.211</v>
      </c>
      <c r="M62" s="60">
        <v>0.198</v>
      </c>
      <c r="N62" s="62">
        <v>0.198</v>
      </c>
      <c r="O62" s="60">
        <f t="shared" si="2"/>
        <v>0.198</v>
      </c>
      <c r="P62" s="63">
        <v>90.0</v>
      </c>
      <c r="Q62" s="57">
        <v>90.06</v>
      </c>
      <c r="R62" s="65">
        <v>2931.9</v>
      </c>
      <c r="S62" s="66">
        <f t="shared" ref="S62:S63" si="26">IF((90+ROUNDDOWN(O62,1)*100)&lt;95,95,(90+ROUNDDOWN(O62,1)*100))</f>
        <v>100</v>
      </c>
      <c r="U62" s="67">
        <v>120.0</v>
      </c>
      <c r="V62" s="67">
        <v>1.1023</v>
      </c>
      <c r="Y62" s="57">
        <v>20.0</v>
      </c>
      <c r="Z62" s="69">
        <f t="shared" ref="Z62:Z63" si="27">IF(IF(D62="UNTUCA",IF(+((W62-3)*1.5+(X62-3)*3.1)&gt;0,+((W62-3)*1.5+(X62-3)*3.1),0),IF(+((W62-3)*1.5+(X62-3)*3.1)&gt;0,+((W62-3)*1.5+(X62-3)*3.1),0))&lt;30,30,IF(D62="UNTUCA",IF(+((W62-3)*1.5+(X62-3)*3.1)&gt;0,+((W62-3)*1.5+(X62-3)*3.1),0),IF(+((W62-3)*1.5+(X62-3)*3.1)&gt;0,+((W62-3)*1.5+(X62-3)*3.1),0)))</f>
        <v>30</v>
      </c>
      <c r="AA62" s="70">
        <f t="shared" si="4"/>
        <v>50</v>
      </c>
      <c r="AB62" s="71">
        <f t="shared" si="13"/>
        <v>386.9961233</v>
      </c>
      <c r="AC62" s="71">
        <f>+(S62-T62)*V62-'data 1'!$F$4</f>
        <v>30.23</v>
      </c>
      <c r="AD62" s="71">
        <f t="shared" si="5"/>
        <v>0.392403963</v>
      </c>
      <c r="AE62" s="71">
        <f t="shared" si="6"/>
        <v>-14.885</v>
      </c>
      <c r="AF62" s="71">
        <f t="shared" si="7"/>
        <v>36.28899778</v>
      </c>
      <c r="AG62" s="72">
        <f t="shared" si="23"/>
        <v>69.02640174</v>
      </c>
      <c r="AH62" s="52">
        <f t="shared" si="8"/>
        <v>62.3161656</v>
      </c>
      <c r="AI62" s="73">
        <f t="shared" si="22"/>
        <v>43.58994144</v>
      </c>
      <c r="AJ62" s="73">
        <f t="shared" si="10"/>
        <v>58.43782244</v>
      </c>
      <c r="AK62" s="11"/>
      <c r="AL62" s="51">
        <f t="shared" si="11"/>
        <v>3701.55213</v>
      </c>
    </row>
    <row r="63" ht="15.0" customHeight="1">
      <c r="A63" s="92" t="s">
        <v>414</v>
      </c>
      <c r="B63" s="56">
        <v>45716.0</v>
      </c>
      <c r="C63" s="56">
        <v>45713.0</v>
      </c>
      <c r="D63" s="57" t="s">
        <v>61</v>
      </c>
      <c r="E63" s="57">
        <f t="array" ref="E63">XLOOKUP(D63,RUC!$B$3:$B$110,RUC!$D$3:$D$110)</f>
        <v>20606526599</v>
      </c>
      <c r="G63" s="3">
        <v>139.0</v>
      </c>
      <c r="H63" s="57" t="s">
        <v>47</v>
      </c>
      <c r="I63" s="58">
        <v>10.63</v>
      </c>
      <c r="J63" s="58">
        <v>1.7</v>
      </c>
      <c r="K63" s="59">
        <f t="shared" si="1"/>
        <v>10.44929</v>
      </c>
      <c r="L63" s="60">
        <v>0.242</v>
      </c>
      <c r="M63" s="60">
        <v>0.227</v>
      </c>
      <c r="N63" s="62">
        <v>0.227</v>
      </c>
      <c r="O63" s="60">
        <f t="shared" si="2"/>
        <v>0.227</v>
      </c>
      <c r="P63" s="63">
        <v>90.0</v>
      </c>
      <c r="Q63" s="57">
        <v>90.19</v>
      </c>
      <c r="R63" s="65">
        <v>2933.25</v>
      </c>
      <c r="S63" s="66">
        <f t="shared" si="26"/>
        <v>110</v>
      </c>
      <c r="U63" s="67">
        <v>120.0</v>
      </c>
      <c r="V63" s="67">
        <v>1.1023</v>
      </c>
      <c r="Y63" s="57">
        <v>20.0</v>
      </c>
      <c r="Z63" s="69">
        <f t="shared" si="27"/>
        <v>30</v>
      </c>
      <c r="AA63" s="70">
        <f t="shared" si="4"/>
        <v>50</v>
      </c>
      <c r="AB63" s="71">
        <f t="shared" si="13"/>
        <v>457.1755905</v>
      </c>
      <c r="AC63" s="71">
        <f>+(S63-T63)*V63-'data 1'!$F$4</f>
        <v>41.253</v>
      </c>
      <c r="AD63" s="71">
        <f t="shared" si="5"/>
        <v>1.425860709</v>
      </c>
      <c r="AE63" s="71">
        <f t="shared" si="6"/>
        <v>-14.885</v>
      </c>
      <c r="AF63" s="71">
        <f t="shared" si="7"/>
        <v>41.95249371</v>
      </c>
      <c r="AG63" s="72">
        <f t="shared" si="23"/>
        <v>86.74635442</v>
      </c>
      <c r="AH63" s="52">
        <f t="shared" si="8"/>
        <v>78.19331124</v>
      </c>
      <c r="AI63" s="73">
        <f t="shared" si="22"/>
        <v>49.74152301</v>
      </c>
      <c r="AJ63" s="73">
        <f t="shared" si="10"/>
        <v>73.19210174</v>
      </c>
      <c r="AK63" s="11"/>
      <c r="AL63" s="51">
        <f t="shared" si="11"/>
        <v>4777.160326</v>
      </c>
    </row>
    <row r="64" ht="15.0" customHeight="1">
      <c r="A64" s="92" t="s">
        <v>415</v>
      </c>
      <c r="B64" s="95">
        <v>45723.0</v>
      </c>
      <c r="C64" s="56">
        <v>45714.0</v>
      </c>
      <c r="D64" s="57" t="s">
        <v>88</v>
      </c>
      <c r="E64" s="57" t="str">
        <f t="array" ref="E64">XLOOKUP(D64,RUC!$B$3:$B$110,RUC!$D$3:$D$110)</f>
        <v>#N/A</v>
      </c>
      <c r="G64" s="3">
        <v>50.0</v>
      </c>
      <c r="H64" s="57" t="s">
        <v>47</v>
      </c>
      <c r="I64" s="58">
        <v>7.54</v>
      </c>
      <c r="J64" s="58">
        <v>3.15</v>
      </c>
      <c r="K64" s="59">
        <f t="shared" si="1"/>
        <v>7.30249</v>
      </c>
      <c r="L64" s="60">
        <v>0.576</v>
      </c>
      <c r="M64" s="60">
        <v>0.541</v>
      </c>
      <c r="N64" s="75">
        <v>0.594</v>
      </c>
      <c r="O64" s="60">
        <f t="shared" si="2"/>
        <v>0.568</v>
      </c>
      <c r="P64" s="63">
        <v>90.0</v>
      </c>
      <c r="Q64" s="57">
        <v>89.92</v>
      </c>
      <c r="R64" s="65">
        <v>2901.0</v>
      </c>
      <c r="S64" s="76">
        <f t="shared" ref="S64:S68" si="28">IF((85+ROUNDDOWN(O64,1)*100)&lt;95,95,(85+ROUNDDOWN(O64,1)*100))</f>
        <v>135</v>
      </c>
      <c r="U64" s="87">
        <v>90.0</v>
      </c>
      <c r="V64" s="67">
        <v>1.1023</v>
      </c>
      <c r="Z64" s="77">
        <v>25.0</v>
      </c>
      <c r="AA64" s="70">
        <f t="shared" si="4"/>
        <v>25</v>
      </c>
      <c r="AB64" s="71">
        <f t="shared" si="13"/>
        <v>1407.618581</v>
      </c>
      <c r="AC64" s="71">
        <f>+(S64-T64)*V64-'data 1'!$F$4</f>
        <v>68.8105</v>
      </c>
      <c r="AD64" s="71">
        <f t="shared" si="5"/>
        <v>-1.42781889</v>
      </c>
      <c r="AE64" s="71">
        <f t="shared" si="6"/>
        <v>-42.4425</v>
      </c>
      <c r="AF64" s="71">
        <f t="shared" si="7"/>
        <v>22.28983934</v>
      </c>
      <c r="AG64" s="72">
        <f t="shared" si="23"/>
        <v>64.23002045</v>
      </c>
      <c r="AH64" s="52">
        <f t="shared" si="8"/>
        <v>129.6757659</v>
      </c>
      <c r="AI64" s="73">
        <f t="shared" si="22"/>
        <v>119.3231955</v>
      </c>
      <c r="AJ64" s="73">
        <f t="shared" si="10"/>
        <v>127.9884812</v>
      </c>
      <c r="AK64" s="11"/>
      <c r="AL64" s="51">
        <f t="shared" si="11"/>
        <v>10279.12061</v>
      </c>
    </row>
    <row r="65" ht="15.0" customHeight="1">
      <c r="A65" s="92" t="s">
        <v>416</v>
      </c>
      <c r="B65" s="95">
        <v>45723.0</v>
      </c>
      <c r="C65" s="56">
        <v>45714.0</v>
      </c>
      <c r="D65" s="57" t="s">
        <v>88</v>
      </c>
      <c r="E65" s="57" t="str">
        <f t="array" ref="E65">XLOOKUP(D65,RUC!$B$3:$B$110,RUC!$D$3:$D$110)</f>
        <v>#N/A</v>
      </c>
      <c r="G65" s="3">
        <v>50.0</v>
      </c>
      <c r="H65" s="57" t="s">
        <v>47</v>
      </c>
      <c r="I65" s="58">
        <v>6.9</v>
      </c>
      <c r="J65" s="58">
        <v>1.15</v>
      </c>
      <c r="K65" s="59">
        <f t="shared" si="1"/>
        <v>6.82065</v>
      </c>
      <c r="L65" s="60">
        <v>0.376</v>
      </c>
      <c r="M65" s="60">
        <v>0.353</v>
      </c>
      <c r="N65" s="75">
        <v>0.439</v>
      </c>
      <c r="O65" s="60">
        <f t="shared" si="2"/>
        <v>0.396</v>
      </c>
      <c r="P65" s="63">
        <v>90.0</v>
      </c>
      <c r="Q65" s="57">
        <v>90.12</v>
      </c>
      <c r="R65" s="65">
        <v>2901.0</v>
      </c>
      <c r="S65" s="76">
        <f t="shared" si="28"/>
        <v>115</v>
      </c>
      <c r="U65" s="87">
        <v>90.0</v>
      </c>
      <c r="V65" s="67">
        <v>1.1023</v>
      </c>
      <c r="Z65" s="77">
        <v>25.0</v>
      </c>
      <c r="AA65" s="70">
        <f t="shared" si="4"/>
        <v>25</v>
      </c>
      <c r="AB65" s="71">
        <f t="shared" si="13"/>
        <v>950.0066729</v>
      </c>
      <c r="AC65" s="71">
        <f>+(S65-T65)*V65-'data 1'!$F$4</f>
        <v>46.7645</v>
      </c>
      <c r="AD65" s="71">
        <f t="shared" si="5"/>
        <v>1.398072663</v>
      </c>
      <c r="AE65" s="71">
        <f t="shared" si="6"/>
        <v>-42.4425</v>
      </c>
      <c r="AF65" s="71">
        <f t="shared" si="7"/>
        <v>-55.84854097</v>
      </c>
      <c r="AG65" s="72">
        <f t="shared" si="23"/>
        <v>-33.1284683</v>
      </c>
      <c r="AH65" s="52">
        <f t="shared" si="8"/>
        <v>79.23988957</v>
      </c>
      <c r="AI65" s="73">
        <f t="shared" si="22"/>
        <v>78.06477665</v>
      </c>
      <c r="AJ65" s="73">
        <f t="shared" si="10"/>
        <v>83.34365245</v>
      </c>
      <c r="AK65" s="11"/>
      <c r="AL65" s="51">
        <f t="shared" si="11"/>
        <v>6479.663014</v>
      </c>
    </row>
    <row r="66" ht="15.0" customHeight="1">
      <c r="A66" s="92" t="s">
        <v>417</v>
      </c>
      <c r="B66" s="95">
        <v>45723.0</v>
      </c>
      <c r="C66" s="56">
        <v>45714.0</v>
      </c>
      <c r="D66" s="57" t="s">
        <v>88</v>
      </c>
      <c r="E66" s="57" t="str">
        <f t="array" ref="E66">XLOOKUP(D66,RUC!$B$3:$B$110,RUC!$D$3:$D$110)</f>
        <v>#N/A</v>
      </c>
      <c r="G66" s="3">
        <v>50.0</v>
      </c>
      <c r="H66" s="57" t="s">
        <v>47</v>
      </c>
      <c r="I66" s="58">
        <v>6.79</v>
      </c>
      <c r="J66" s="58">
        <v>3.7</v>
      </c>
      <c r="K66" s="59">
        <f t="shared" si="1"/>
        <v>6.53877</v>
      </c>
      <c r="L66" s="60">
        <v>0.556</v>
      </c>
      <c r="M66" s="60">
        <v>0.523</v>
      </c>
      <c r="N66" s="75">
        <v>0.57</v>
      </c>
      <c r="O66" s="60">
        <f t="shared" si="2"/>
        <v>0.547</v>
      </c>
      <c r="P66" s="63">
        <v>90.0</v>
      </c>
      <c r="Q66" s="57">
        <v>89.94</v>
      </c>
      <c r="R66" s="65">
        <v>2901.0</v>
      </c>
      <c r="S66" s="76">
        <f t="shared" si="28"/>
        <v>135</v>
      </c>
      <c r="U66" s="87">
        <v>90.0</v>
      </c>
      <c r="V66" s="67">
        <v>1.1023</v>
      </c>
      <c r="Z66" s="77">
        <v>25.0</v>
      </c>
      <c r="AA66" s="70">
        <f t="shared" si="4"/>
        <v>25</v>
      </c>
      <c r="AB66" s="71">
        <f t="shared" si="13"/>
        <v>1349.055697</v>
      </c>
      <c r="AC66" s="71">
        <f>+(S66-T66)*V66-'data 1'!$F$4</f>
        <v>68.8105</v>
      </c>
      <c r="AD66" s="71">
        <f t="shared" si="5"/>
        <v>-1.033681384</v>
      </c>
      <c r="AE66" s="71">
        <f t="shared" si="6"/>
        <v>-42.4425</v>
      </c>
      <c r="AF66" s="71">
        <f t="shared" si="7"/>
        <v>25.08164668</v>
      </c>
      <c r="AG66" s="72">
        <f t="shared" si="23"/>
        <v>67.41596529</v>
      </c>
      <c r="AH66" s="52">
        <f t="shared" si="8"/>
        <v>112.1070192</v>
      </c>
      <c r="AI66" s="73">
        <f t="shared" si="22"/>
        <v>115.2056473</v>
      </c>
      <c r="AJ66" s="73">
        <f t="shared" si="10"/>
        <v>110.3659146</v>
      </c>
      <c r="AK66" s="11"/>
      <c r="AL66" s="51">
        <f t="shared" si="11"/>
        <v>8821.164921</v>
      </c>
    </row>
    <row r="67" ht="15.0" customHeight="1">
      <c r="A67" s="92" t="s">
        <v>418</v>
      </c>
      <c r="B67" s="95">
        <v>45723.0</v>
      </c>
      <c r="C67" s="56">
        <v>45714.0</v>
      </c>
      <c r="D67" s="57" t="s">
        <v>88</v>
      </c>
      <c r="E67" s="57" t="str">
        <f t="array" ref="E67">XLOOKUP(D67,RUC!$B$3:$B$110,RUC!$D$3:$D$110)</f>
        <v>#N/A</v>
      </c>
      <c r="G67" s="3">
        <v>50.0</v>
      </c>
      <c r="H67" s="57" t="s">
        <v>47</v>
      </c>
      <c r="I67" s="58">
        <v>6.68</v>
      </c>
      <c r="J67" s="58">
        <v>1.27</v>
      </c>
      <c r="K67" s="59">
        <f t="shared" si="1"/>
        <v>6.595164</v>
      </c>
      <c r="L67" s="60">
        <v>0.361</v>
      </c>
      <c r="M67" s="60">
        <v>0.339</v>
      </c>
      <c r="N67" s="75">
        <v>0.383</v>
      </c>
      <c r="O67" s="60">
        <f t="shared" si="2"/>
        <v>0.361</v>
      </c>
      <c r="P67" s="63">
        <v>90.0</v>
      </c>
      <c r="Q67" s="57">
        <v>90.14</v>
      </c>
      <c r="R67" s="65">
        <v>2901.0</v>
      </c>
      <c r="S67" s="76">
        <f t="shared" si="28"/>
        <v>115</v>
      </c>
      <c r="U67" s="87">
        <v>90.0</v>
      </c>
      <c r="V67" s="67">
        <v>1.1023</v>
      </c>
      <c r="Z67" s="77">
        <v>25.0</v>
      </c>
      <c r="AA67" s="70">
        <f t="shared" si="4"/>
        <v>25</v>
      </c>
      <c r="AB67" s="71">
        <f t="shared" si="13"/>
        <v>852.401866</v>
      </c>
      <c r="AC67" s="71">
        <f>+(S67-T67)*V67-'data 1'!$F$4</f>
        <v>46.7645</v>
      </c>
      <c r="AD67" s="71">
        <f t="shared" si="5"/>
        <v>1.566014903</v>
      </c>
      <c r="AE67" s="71">
        <f t="shared" si="6"/>
        <v>-42.4425</v>
      </c>
      <c r="AF67" s="71">
        <f t="shared" si="7"/>
        <v>0</v>
      </c>
      <c r="AG67" s="72">
        <f t="shared" si="23"/>
        <v>22.8880149</v>
      </c>
      <c r="AH67" s="52">
        <f t="shared" si="8"/>
        <v>73.57993916</v>
      </c>
      <c r="AI67" s="73">
        <f t="shared" si="22"/>
        <v>74.96712384</v>
      </c>
      <c r="AJ67" s="73">
        <f t="shared" si="10"/>
        <v>73.46565925</v>
      </c>
      <c r="AK67" s="11"/>
      <c r="AL67" s="51">
        <f t="shared" si="11"/>
        <v>5621.7301</v>
      </c>
    </row>
    <row r="68" ht="15.0" customHeight="1">
      <c r="A68" s="92" t="s">
        <v>419</v>
      </c>
      <c r="B68" s="95">
        <v>45723.0</v>
      </c>
      <c r="C68" s="56">
        <v>45714.0</v>
      </c>
      <c r="D68" s="57" t="s">
        <v>88</v>
      </c>
      <c r="E68" s="57" t="str">
        <f t="array" ref="E68">XLOOKUP(D68,RUC!$B$3:$B$110,RUC!$D$3:$D$110)</f>
        <v>#N/A</v>
      </c>
      <c r="G68" s="3">
        <v>50.0</v>
      </c>
      <c r="H68" s="57" t="s">
        <v>47</v>
      </c>
      <c r="I68" s="58">
        <v>6.73</v>
      </c>
      <c r="J68" s="58">
        <v>1.3</v>
      </c>
      <c r="K68" s="59">
        <f t="shared" si="1"/>
        <v>6.64251</v>
      </c>
      <c r="L68" s="60">
        <v>0.471</v>
      </c>
      <c r="M68" s="60">
        <v>0.442</v>
      </c>
      <c r="N68" s="75">
        <v>0.512</v>
      </c>
      <c r="O68" s="60">
        <f t="shared" si="2"/>
        <v>0.477</v>
      </c>
      <c r="P68" s="63">
        <v>90.0</v>
      </c>
      <c r="Q68" s="57">
        <v>90.17</v>
      </c>
      <c r="R68" s="65">
        <v>2901.0</v>
      </c>
      <c r="S68" s="76">
        <f t="shared" si="28"/>
        <v>125</v>
      </c>
      <c r="U68" s="87">
        <v>90.0</v>
      </c>
      <c r="V68" s="67">
        <v>1.1023</v>
      </c>
      <c r="Z68" s="77">
        <v>25.0</v>
      </c>
      <c r="AA68" s="70">
        <f t="shared" si="4"/>
        <v>25</v>
      </c>
      <c r="AB68" s="71">
        <f t="shared" si="13"/>
        <v>1164.869083</v>
      </c>
      <c r="AC68" s="71">
        <f>+(S68-T68)*V68-'data 1'!$F$4</f>
        <v>57.7875</v>
      </c>
      <c r="AD68" s="71">
        <f t="shared" si="5"/>
        <v>2.481021236</v>
      </c>
      <c r="AE68" s="71">
        <f t="shared" si="6"/>
        <v>-42.4425</v>
      </c>
      <c r="AF68" s="71">
        <f t="shared" si="7"/>
        <v>-16.76385799</v>
      </c>
      <c r="AG68" s="72">
        <f t="shared" si="23"/>
        <v>18.06216325</v>
      </c>
      <c r="AH68" s="52">
        <f t="shared" si="8"/>
        <v>96.72177612</v>
      </c>
      <c r="AI68" s="73">
        <f t="shared" si="22"/>
        <v>97.84284456</v>
      </c>
      <c r="AJ68" s="73">
        <f t="shared" si="10"/>
        <v>97.76922546</v>
      </c>
      <c r="AK68" s="11"/>
      <c r="AL68" s="51">
        <f t="shared" si="11"/>
        <v>7737.654534</v>
      </c>
    </row>
    <row r="69" ht="15.0" customHeight="1">
      <c r="A69" s="92" t="s">
        <v>420</v>
      </c>
      <c r="B69" s="56">
        <v>45722.0</v>
      </c>
      <c r="C69" s="56">
        <v>45718.0</v>
      </c>
      <c r="D69" s="57" t="s">
        <v>53</v>
      </c>
      <c r="E69" s="57">
        <f t="array" ref="E69">XLOOKUP(D69,RUC!$B$3:$B$110,RUC!$D$3:$D$110)</f>
        <v>10457401928</v>
      </c>
      <c r="G69" s="3">
        <v>153.0</v>
      </c>
      <c r="H69" s="57" t="s">
        <v>47</v>
      </c>
      <c r="I69" s="58">
        <v>15.22</v>
      </c>
      <c r="J69" s="58">
        <v>8.35</v>
      </c>
      <c r="K69" s="59">
        <f t="shared" si="1"/>
        <v>13.94913</v>
      </c>
      <c r="L69" s="60">
        <v>0.224</v>
      </c>
      <c r="M69" s="60">
        <v>0.195</v>
      </c>
      <c r="N69" s="62">
        <v>0.195</v>
      </c>
      <c r="O69" s="60">
        <f t="shared" si="2"/>
        <v>0.195</v>
      </c>
      <c r="P69" s="63">
        <v>90.0</v>
      </c>
      <c r="Q69" s="58">
        <v>90.23</v>
      </c>
      <c r="R69" s="65">
        <v>2880.7</v>
      </c>
      <c r="S69" s="66">
        <f t="shared" ref="S69:S70" si="29">IF((90+ROUNDDOWN(O69,1)*100)&lt;95,95,(90+ROUNDDOWN(O69,1)*100))</f>
        <v>100</v>
      </c>
      <c r="U69" s="67">
        <v>120.0</v>
      </c>
      <c r="V69" s="67">
        <v>1.1023</v>
      </c>
      <c r="Z69" s="69">
        <f t="shared" ref="Z69:Z73" si="30">IF(IF(D69="UNTUCA",IF(+((W69-3)*1.5+(X69-3)*3.1)&gt;0,+((W69-3)*1.5+(X69-3)*3.1),0),IF(+((W69-3)*1.5+(X69-3)*3.1)&gt;0,+((W69-3)*1.5+(X69-3)*3.1),0))&lt;30,30,IF(D69="UNTUCA",IF(+((W69-3)*1.5+(X69-3)*3.1)&gt;0,+((W69-3)*1.5+(X69-3)*3.1),0),IF(+((W69-3)*1.5+(X69-3)*3.1)&gt;0,+((W69-3)*1.5+(X69-3)*3.1),0)))</f>
        <v>30</v>
      </c>
      <c r="AA69" s="70">
        <f t="shared" si="4"/>
        <v>30</v>
      </c>
      <c r="AB69" s="71">
        <f t="shared" si="13"/>
        <v>390.7684916</v>
      </c>
      <c r="AC69" s="71">
        <f>+(S69-T69)*V69-'data 1'!$F$4</f>
        <v>30.23</v>
      </c>
      <c r="AD69" s="71">
        <f t="shared" si="5"/>
        <v>1.567815223</v>
      </c>
      <c r="AE69" s="71">
        <f t="shared" si="6"/>
        <v>-36.931</v>
      </c>
      <c r="AF69" s="71">
        <f t="shared" si="7"/>
        <v>79.6283979</v>
      </c>
      <c r="AG69" s="72">
        <f t="shared" si="23"/>
        <v>91.49521312</v>
      </c>
      <c r="AH69" s="52">
        <f t="shared" si="8"/>
        <v>96.66186423</v>
      </c>
      <c r="AI69" s="73">
        <f t="shared" si="22"/>
        <v>57.76985798</v>
      </c>
      <c r="AJ69" s="73">
        <f t="shared" si="10"/>
        <v>83.93310929</v>
      </c>
      <c r="AK69" s="11"/>
      <c r="AL69" s="51">
        <f t="shared" si="11"/>
        <v>5450.880489</v>
      </c>
    </row>
    <row r="70" ht="15.0" customHeight="1">
      <c r="A70" s="92" t="s">
        <v>421</v>
      </c>
      <c r="B70" s="95">
        <v>45735.0</v>
      </c>
      <c r="C70" s="56">
        <v>45718.0</v>
      </c>
      <c r="D70" s="57" t="s">
        <v>225</v>
      </c>
      <c r="E70" s="57">
        <f t="array" ref="E70">XLOOKUP(D70,RUC!$B$3:$B$110,RUC!$D$3:$D$110)</f>
        <v>10761932735</v>
      </c>
      <c r="G70" s="3"/>
      <c r="H70" s="57" t="s">
        <v>47</v>
      </c>
      <c r="I70" s="58">
        <v>1.16</v>
      </c>
      <c r="J70" s="58">
        <v>9.35</v>
      </c>
      <c r="K70" s="59">
        <f t="shared" si="1"/>
        <v>1.05154</v>
      </c>
      <c r="L70" s="60">
        <v>0.978</v>
      </c>
      <c r="M70" s="60">
        <v>0.92</v>
      </c>
      <c r="N70" s="111">
        <v>1.016</v>
      </c>
      <c r="O70" s="60">
        <f t="shared" si="2"/>
        <v>0.968</v>
      </c>
      <c r="P70" s="63">
        <v>90.0</v>
      </c>
      <c r="Q70" s="58">
        <v>89.92</v>
      </c>
      <c r="R70" s="65">
        <v>2880.7</v>
      </c>
      <c r="S70" s="66">
        <f t="shared" si="29"/>
        <v>180</v>
      </c>
      <c r="U70" s="67">
        <v>100.0</v>
      </c>
      <c r="V70" s="67">
        <v>1.1023</v>
      </c>
      <c r="Z70" s="69">
        <f t="shared" si="30"/>
        <v>30</v>
      </c>
      <c r="AA70" s="70">
        <f t="shared" si="4"/>
        <v>30</v>
      </c>
      <c r="AB70" s="71">
        <f t="shared" si="13"/>
        <v>2438.889279</v>
      </c>
      <c r="AC70" s="71">
        <f>+(S70-T70)*V70-'data 1'!$F$4</f>
        <v>118.414</v>
      </c>
      <c r="AD70" s="71">
        <f t="shared" si="5"/>
        <v>-2.398185573</v>
      </c>
      <c r="AE70" s="71">
        <f t="shared" si="6"/>
        <v>-36.931</v>
      </c>
      <c r="AF70" s="71">
        <f t="shared" si="7"/>
        <v>27.56196917</v>
      </c>
      <c r="AG70" s="72">
        <f t="shared" si="23"/>
        <v>123.6467836</v>
      </c>
      <c r="AH70" s="52">
        <f t="shared" si="8"/>
        <v>31.70516517</v>
      </c>
      <c r="AI70" s="73">
        <f t="shared" si="22"/>
        <v>231.9731175</v>
      </c>
      <c r="AJ70" s="73">
        <f t="shared" si="10"/>
        <v>31.40890049</v>
      </c>
      <c r="AK70" s="11"/>
      <c r="AL70" s="51">
        <f t="shared" si="11"/>
        <v>2564.589633</v>
      </c>
    </row>
    <row r="71" ht="15.0" customHeight="1">
      <c r="A71" s="92" t="s">
        <v>422</v>
      </c>
      <c r="B71" s="95">
        <v>45735.0</v>
      </c>
      <c r="C71" s="56">
        <v>45718.0</v>
      </c>
      <c r="D71" s="57" t="s">
        <v>225</v>
      </c>
      <c r="E71" s="57">
        <f t="array" ref="E71">XLOOKUP(D71,RUC!$B$3:$B$110,RUC!$D$3:$D$110)</f>
        <v>10761932735</v>
      </c>
      <c r="G71" s="3"/>
      <c r="H71" s="57" t="s">
        <v>47</v>
      </c>
      <c r="I71" s="58">
        <v>9.16</v>
      </c>
      <c r="J71" s="58">
        <v>8.2</v>
      </c>
      <c r="K71" s="59">
        <f t="shared" si="1"/>
        <v>8.40888</v>
      </c>
      <c r="L71" s="60">
        <v>0.445</v>
      </c>
      <c r="M71" s="60">
        <v>0.414</v>
      </c>
      <c r="N71" s="60">
        <v>0.452</v>
      </c>
      <c r="O71" s="60">
        <f t="shared" si="2"/>
        <v>0.433</v>
      </c>
      <c r="P71" s="63">
        <v>90.0</v>
      </c>
      <c r="Q71" s="58">
        <v>90.09</v>
      </c>
      <c r="R71" s="65">
        <v>2880.7</v>
      </c>
      <c r="S71" s="76">
        <v>125.0</v>
      </c>
      <c r="U71" s="67">
        <v>100.0</v>
      </c>
      <c r="V71" s="67">
        <v>1.1023</v>
      </c>
      <c r="Z71" s="69">
        <f t="shared" si="30"/>
        <v>30</v>
      </c>
      <c r="AA71" s="70">
        <f t="shared" si="4"/>
        <v>30</v>
      </c>
      <c r="AB71" s="71">
        <f t="shared" si="13"/>
        <v>1023.638538</v>
      </c>
      <c r="AC71" s="71">
        <f>+(S71-T71)*V71-'data 1'!$F$4</f>
        <v>57.7875</v>
      </c>
      <c r="AD71" s="71">
        <f t="shared" si="5"/>
        <v>1.227598827</v>
      </c>
      <c r="AE71" s="71">
        <f t="shared" si="6"/>
        <v>-36.931</v>
      </c>
      <c r="AF71" s="71">
        <f t="shared" si="7"/>
        <v>33.13689238</v>
      </c>
      <c r="AG71" s="72">
        <f t="shared" si="23"/>
        <v>72.2209912</v>
      </c>
      <c r="AH71" s="52">
        <f t="shared" si="8"/>
        <v>115.5803012</v>
      </c>
      <c r="AI71" s="73">
        <f t="shared" si="22"/>
        <v>105.7496902</v>
      </c>
      <c r="AJ71" s="73">
        <f t="shared" si="10"/>
        <v>112.3511779</v>
      </c>
      <c r="AK71" s="11"/>
      <c r="AL71" s="51">
        <f t="shared" si="11"/>
        <v>8607.653631</v>
      </c>
    </row>
    <row r="72" ht="15.0" customHeight="1">
      <c r="A72" s="92" t="s">
        <v>423</v>
      </c>
      <c r="B72" s="56">
        <v>45725.0</v>
      </c>
      <c r="C72" s="56">
        <v>45718.0</v>
      </c>
      <c r="D72" s="57" t="s">
        <v>53</v>
      </c>
      <c r="E72" s="57">
        <f t="array" ref="E72">XLOOKUP(D72,RUC!$B$3:$B$110,RUC!$D$3:$D$110)</f>
        <v>10457401928</v>
      </c>
      <c r="G72" s="3">
        <v>44.0</v>
      </c>
      <c r="H72" s="57" t="s">
        <v>47</v>
      </c>
      <c r="I72" s="58">
        <v>4.25</v>
      </c>
      <c r="J72" s="58">
        <v>9.3</v>
      </c>
      <c r="K72" s="59">
        <f t="shared" si="1"/>
        <v>3.85475</v>
      </c>
      <c r="L72" s="60">
        <v>0.432</v>
      </c>
      <c r="M72" s="60">
        <v>0.41</v>
      </c>
      <c r="N72" s="62">
        <v>0.41</v>
      </c>
      <c r="O72" s="60">
        <f t="shared" si="2"/>
        <v>0.41</v>
      </c>
      <c r="P72" s="63">
        <v>90.0</v>
      </c>
      <c r="Q72" s="58">
        <v>90.11</v>
      </c>
      <c r="R72" s="65">
        <v>2880.7</v>
      </c>
      <c r="S72" s="66">
        <f>IF((90+ROUNDDOWN(O72,1)*100)&lt;95,95,(90+ROUNDDOWN(O72,1)*100))</f>
        <v>130</v>
      </c>
      <c r="U72" s="67">
        <v>120.0</v>
      </c>
      <c r="V72" s="67">
        <v>1.1023</v>
      </c>
      <c r="Y72" s="57">
        <v>20.0</v>
      </c>
      <c r="Z72" s="69">
        <f t="shared" si="30"/>
        <v>30</v>
      </c>
      <c r="AA72" s="70">
        <f t="shared" si="4"/>
        <v>50</v>
      </c>
      <c r="AB72" s="71">
        <f t="shared" si="13"/>
        <v>924.4971361</v>
      </c>
      <c r="AC72" s="71">
        <f>+(S72-T72)*V72-'data 1'!$F$4</f>
        <v>63.299</v>
      </c>
      <c r="AD72" s="71">
        <f t="shared" si="5"/>
        <v>1.446090439</v>
      </c>
      <c r="AE72" s="71">
        <f t="shared" si="6"/>
        <v>-14.885</v>
      </c>
      <c r="AF72" s="71">
        <f t="shared" si="7"/>
        <v>60.32741177</v>
      </c>
      <c r="AG72" s="72">
        <f t="shared" si="23"/>
        <v>127.1875022</v>
      </c>
      <c r="AH72" s="52">
        <f t="shared" si="8"/>
        <v>51.44723311</v>
      </c>
      <c r="AI72" s="73">
        <f t="shared" si="22"/>
        <v>111.2651251</v>
      </c>
      <c r="AJ72" s="73">
        <f t="shared" si="10"/>
        <v>48.76763025</v>
      </c>
      <c r="AK72" s="11"/>
      <c r="AL72" s="51">
        <f t="shared" si="11"/>
        <v>3563.705335</v>
      </c>
    </row>
    <row r="73" ht="15.0" customHeight="1">
      <c r="A73" s="92" t="s">
        <v>424</v>
      </c>
      <c r="B73" s="56">
        <v>45723.0</v>
      </c>
      <c r="C73" s="56">
        <v>45720.0</v>
      </c>
      <c r="D73" s="57" t="s">
        <v>51</v>
      </c>
      <c r="E73" s="57" t="str">
        <f t="array" ref="E73">XLOOKUP(D73,RUC!$B$3:$B$110,RUC!$D$3:$D$110)</f>
        <v>#N/A</v>
      </c>
      <c r="G73" s="3">
        <v>17.0</v>
      </c>
      <c r="H73" s="57" t="s">
        <v>47</v>
      </c>
      <c r="I73" s="58">
        <v>1.8</v>
      </c>
      <c r="J73" s="58">
        <v>1.2</v>
      </c>
      <c r="K73" s="59">
        <f t="shared" si="1"/>
        <v>1.7784</v>
      </c>
      <c r="L73" s="60">
        <v>0.458</v>
      </c>
      <c r="M73" s="60">
        <v>0.43</v>
      </c>
      <c r="N73" s="62">
        <v>0.43</v>
      </c>
      <c r="O73" s="60">
        <f t="shared" si="2"/>
        <v>0.43</v>
      </c>
      <c r="P73" s="63">
        <v>90.0</v>
      </c>
      <c r="Q73" s="58">
        <v>90.11</v>
      </c>
      <c r="R73" s="65">
        <v>2905.9</v>
      </c>
      <c r="S73" s="76">
        <f>IF((80+ROUNDDOWN(O73,1)*100)&lt;95,95,(80+ROUNDDOWN(O73,1)*100))</f>
        <v>120</v>
      </c>
      <c r="U73" s="67">
        <v>100.0</v>
      </c>
      <c r="V73" s="67">
        <v>1.1023</v>
      </c>
      <c r="Z73" s="69">
        <f t="shared" si="30"/>
        <v>30</v>
      </c>
      <c r="AA73" s="70">
        <f t="shared" si="4"/>
        <v>30</v>
      </c>
      <c r="AB73" s="71">
        <f t="shared" si="13"/>
        <v>1031.624162</v>
      </c>
      <c r="AC73" s="71">
        <f>+(S73-T73)*V73-'data 1'!$F$4</f>
        <v>52.276</v>
      </c>
      <c r="AD73" s="71">
        <f t="shared" si="5"/>
        <v>1.558224971</v>
      </c>
      <c r="AE73" s="71">
        <f t="shared" si="6"/>
        <v>-36.931</v>
      </c>
      <c r="AF73" s="71">
        <f t="shared" si="7"/>
        <v>78.03744063</v>
      </c>
      <c r="AG73" s="72">
        <f>+IF(D73="RONALD WILLIAN GARIBAY ESCUDERO",AC73+AD73+AE73+AF73+70,AC73+AD73+AE73+AF73)</f>
        <v>164.9406656</v>
      </c>
      <c r="AH73" s="52">
        <f t="shared" si="8"/>
        <v>25.16384414</v>
      </c>
      <c r="AI73" s="73">
        <f t="shared" si="22"/>
        <v>97.39909967</v>
      </c>
      <c r="AJ73" s="73">
        <f t="shared" si="10"/>
        <v>23.5966029</v>
      </c>
      <c r="AK73" s="11"/>
      <c r="AL73" s="51">
        <f t="shared" si="11"/>
        <v>1834.640409</v>
      </c>
    </row>
    <row r="74" ht="15.0" customHeight="1">
      <c r="A74" s="92" t="s">
        <v>425</v>
      </c>
      <c r="B74" s="56">
        <v>45736.0</v>
      </c>
      <c r="C74" s="56">
        <v>45720.0</v>
      </c>
      <c r="D74" s="57" t="s">
        <v>79</v>
      </c>
      <c r="E74" s="57">
        <f t="array" ref="E74">XLOOKUP(D74,RUC!$B$3:$B$110,RUC!$D$3:$D$110)</f>
        <v>10421580605</v>
      </c>
      <c r="G74" s="3" t="s">
        <v>46</v>
      </c>
      <c r="H74" s="57" t="s">
        <v>47</v>
      </c>
      <c r="I74" s="58">
        <v>32.04</v>
      </c>
      <c r="J74" s="58">
        <v>21.1</v>
      </c>
      <c r="K74" s="59">
        <f t="shared" si="1"/>
        <v>25.27956</v>
      </c>
      <c r="L74" s="60">
        <v>0.199</v>
      </c>
      <c r="M74" s="60">
        <v>0.187</v>
      </c>
      <c r="N74" s="62">
        <v>0.198</v>
      </c>
      <c r="O74" s="60">
        <f t="shared" si="2"/>
        <v>0.193</v>
      </c>
      <c r="P74" s="63">
        <v>90.0</v>
      </c>
      <c r="Q74" s="58">
        <v>89.0</v>
      </c>
      <c r="R74" s="65">
        <v>2905.9</v>
      </c>
      <c r="S74" s="76">
        <v>85.0</v>
      </c>
      <c r="U74" s="67">
        <v>90.0</v>
      </c>
      <c r="V74" s="67">
        <v>1.1023</v>
      </c>
      <c r="Z74" s="77">
        <v>15.0</v>
      </c>
      <c r="AA74" s="70">
        <f t="shared" si="4"/>
        <v>15</v>
      </c>
      <c r="AB74" s="71">
        <f t="shared" si="13"/>
        <v>428.9289932</v>
      </c>
      <c r="AC74" s="71">
        <f>+(S74-T74)*V74-'data 1'!$F$4</f>
        <v>13.6955</v>
      </c>
      <c r="AD74" s="71">
        <f t="shared" si="5"/>
        <v>-6.176893474</v>
      </c>
      <c r="AE74" s="71">
        <f t="shared" si="6"/>
        <v>-53.4655</v>
      </c>
      <c r="AF74" s="71">
        <f t="shared" si="7"/>
        <v>16.57518148</v>
      </c>
      <c r="AG74" s="72">
        <f>+IF(D74="RONALD WILLIAN GARIBAY ESCUDERO",AC74+AD74+AE74+AF74+70,AC74+AD74+AE74+AF74)+70-10</f>
        <v>30.62828801</v>
      </c>
      <c r="AH74" s="52">
        <f t="shared" si="8"/>
        <v>153.504695</v>
      </c>
      <c r="AI74" s="73">
        <f t="shared" si="22"/>
        <v>39.84610685</v>
      </c>
      <c r="AJ74" s="73">
        <f t="shared" si="10"/>
        <v>150.5491814</v>
      </c>
      <c r="AK74" s="11"/>
      <c r="AL74" s="51">
        <f t="shared" si="11"/>
        <v>10843.13622</v>
      </c>
    </row>
    <row r="75" ht="15.0" customHeight="1">
      <c r="A75" s="92" t="s">
        <v>426</v>
      </c>
      <c r="B75" s="56">
        <v>45729.0</v>
      </c>
      <c r="C75" s="56">
        <v>45722.0</v>
      </c>
      <c r="D75" s="57" t="s">
        <v>61</v>
      </c>
      <c r="E75" s="57">
        <f t="array" ref="E75">XLOOKUP(D75,RUC!$B$3:$B$110,RUC!$D$3:$D$110)</f>
        <v>20606526599</v>
      </c>
      <c r="G75" s="3">
        <v>200.0</v>
      </c>
      <c r="H75" s="57" t="s">
        <v>47</v>
      </c>
      <c r="I75" s="58">
        <v>16.33</v>
      </c>
      <c r="J75" s="58">
        <v>1.6</v>
      </c>
      <c r="K75" s="59">
        <f t="shared" si="1"/>
        <v>16.06872</v>
      </c>
      <c r="L75" s="60">
        <v>0.176</v>
      </c>
      <c r="M75" s="60">
        <v>0.159</v>
      </c>
      <c r="N75" s="62">
        <v>0.159</v>
      </c>
      <c r="O75" s="60">
        <f t="shared" si="2"/>
        <v>0.159</v>
      </c>
      <c r="P75" s="63">
        <v>85.0</v>
      </c>
      <c r="Q75" s="58">
        <v>90.16</v>
      </c>
      <c r="R75" s="65">
        <v>2922.2</v>
      </c>
      <c r="S75" s="66">
        <f t="shared" ref="S75:S80" si="31">IF((90+ROUNDDOWN(O75,1)*100)&lt;95,95,(90+ROUNDDOWN(O75,1)*100))</f>
        <v>100</v>
      </c>
      <c r="U75" s="67">
        <v>120.0</v>
      </c>
      <c r="V75" s="67">
        <v>1.1023</v>
      </c>
      <c r="Y75" s="57">
        <v>20.0</v>
      </c>
      <c r="Z75" s="69">
        <f t="shared" ref="Z75:Z77" si="32">IF(IF(D75="UNTUCA",IF(+((W75-3)*1.5+(X75-3)*3.1)&gt;0,+((W75-3)*1.5+(X75-3)*3.1),0),IF(+((W75-3)*1.5+(X75-3)*3.1)&gt;0,+((W75-3)*1.5+(X75-3)*3.1),0))&lt;30,30,IF(D75="UNTUCA",IF(+((W75-3)*1.5+(X75-3)*3.1)&gt;0,+((W75-3)*1.5+(X75-3)*3.1),0),IF(+((W75-3)*1.5+(X75-3)*3.1)&gt;0,+((W75-3)*1.5+(X75-3)*3.1),0)))</f>
        <v>30</v>
      </c>
      <c r="AA75" s="70">
        <f t="shared" si="4"/>
        <v>50</v>
      </c>
      <c r="AB75" s="71">
        <f t="shared" si="13"/>
        <v>252.1151129</v>
      </c>
      <c r="AC75" s="71">
        <f>+(S75-T75)*V75-'data 1'!$F$4</f>
        <v>30.23</v>
      </c>
      <c r="AD75" s="71">
        <f t="shared" si="5"/>
        <v>28.05183693</v>
      </c>
      <c r="AE75" s="71">
        <f t="shared" si="6"/>
        <v>-14.885</v>
      </c>
      <c r="AF75" s="71">
        <f t="shared" si="7"/>
        <v>47.34365255</v>
      </c>
      <c r="AG75" s="72">
        <f t="shared" ref="AG75:AG80" si="33">+IF(D75="RONALD WILLIAN GARIBAY ESCUDERO",AC75+AD75+AE75+AF75+70,AC75+AD75+AE75+AF75)+70-53</f>
        <v>107.7404895</v>
      </c>
      <c r="AH75" s="52">
        <f t="shared" si="8"/>
        <v>87.42123215</v>
      </c>
      <c r="AI75" s="73">
        <f t="shared" si="22"/>
        <v>38.09642769</v>
      </c>
      <c r="AJ75" s="73">
        <f t="shared" si="10"/>
        <v>74.45714894</v>
      </c>
      <c r="AK75" s="11"/>
      <c r="AL75" s="51">
        <f t="shared" si="11"/>
        <v>4051.167156</v>
      </c>
    </row>
    <row r="76" ht="15.0" customHeight="1">
      <c r="A76" s="92" t="s">
        <v>427</v>
      </c>
      <c r="B76" s="56">
        <v>45733.0</v>
      </c>
      <c r="C76" s="56">
        <v>45723.0</v>
      </c>
      <c r="D76" s="57" t="s">
        <v>67</v>
      </c>
      <c r="E76" s="57">
        <f t="array" ref="E76">XLOOKUP(D76,RUC!$B$3:$B$110,RUC!$D$3:$D$110)</f>
        <v>20606094010</v>
      </c>
      <c r="G76" s="3">
        <v>85.0</v>
      </c>
      <c r="H76" s="57" t="s">
        <v>47</v>
      </c>
      <c r="I76" s="58">
        <v>7.13</v>
      </c>
      <c r="J76" s="58">
        <v>1.2</v>
      </c>
      <c r="K76" s="59">
        <f t="shared" si="1"/>
        <v>7.04444</v>
      </c>
      <c r="L76" s="61">
        <v>0.648</v>
      </c>
      <c r="M76" s="61">
        <v>0.648</v>
      </c>
      <c r="N76" s="114">
        <v>0.648</v>
      </c>
      <c r="O76" s="60">
        <f t="shared" si="2"/>
        <v>0.648</v>
      </c>
      <c r="P76" s="63">
        <v>90.0</v>
      </c>
      <c r="Q76" s="58">
        <v>89.89</v>
      </c>
      <c r="R76" s="65">
        <v>2931.15</v>
      </c>
      <c r="S76" s="66">
        <f t="shared" si="31"/>
        <v>150</v>
      </c>
      <c r="U76" s="67">
        <v>120.0</v>
      </c>
      <c r="V76" s="67">
        <v>1.1023</v>
      </c>
      <c r="Y76" s="57">
        <v>20.0</v>
      </c>
      <c r="Z76" s="69">
        <f t="shared" si="32"/>
        <v>30</v>
      </c>
      <c r="AA76" s="70">
        <f t="shared" si="4"/>
        <v>50</v>
      </c>
      <c r="AB76" s="71">
        <f t="shared" si="13"/>
        <v>1586.719712</v>
      </c>
      <c r="AC76" s="71">
        <f>+(S76-T76)*V76-'data 1'!$F$4</f>
        <v>85.345</v>
      </c>
      <c r="AD76" s="71">
        <f t="shared" si="5"/>
        <v>-2.208775204</v>
      </c>
      <c r="AE76" s="71">
        <f t="shared" si="6"/>
        <v>-14.885</v>
      </c>
      <c r="AF76" s="71">
        <f t="shared" si="7"/>
        <v>0</v>
      </c>
      <c r="AG76" s="72">
        <f t="shared" si="33"/>
        <v>85.2512248</v>
      </c>
      <c r="AH76" s="52">
        <f t="shared" si="8"/>
        <v>140.6831001</v>
      </c>
      <c r="AI76" s="73">
        <f t="shared" si="22"/>
        <v>134.0974975</v>
      </c>
      <c r="AJ76" s="73">
        <f t="shared" si="10"/>
        <v>140.8552566</v>
      </c>
      <c r="AK76" s="11"/>
      <c r="AL76" s="51">
        <f t="shared" si="11"/>
        <v>11177.55181</v>
      </c>
    </row>
    <row r="77" ht="15.0" customHeight="1">
      <c r="A77" s="92" t="s">
        <v>428</v>
      </c>
      <c r="B77" s="56">
        <v>45725.0</v>
      </c>
      <c r="C77" s="56">
        <v>45723.0</v>
      </c>
      <c r="D77" s="57" t="s">
        <v>61</v>
      </c>
      <c r="E77" s="57">
        <f t="array" ref="E77">XLOOKUP(D77,RUC!$B$3:$B$110,RUC!$D$3:$D$110)</f>
        <v>20606526599</v>
      </c>
      <c r="G77" s="3">
        <v>98.0</v>
      </c>
      <c r="H77" s="57" t="s">
        <v>47</v>
      </c>
      <c r="I77" s="58">
        <v>8.57</v>
      </c>
      <c r="J77" s="58">
        <v>1.5</v>
      </c>
      <c r="K77" s="59">
        <f t="shared" si="1"/>
        <v>8.44145</v>
      </c>
      <c r="L77" s="60">
        <v>0.263</v>
      </c>
      <c r="M77" s="60">
        <v>0.247</v>
      </c>
      <c r="N77" s="62">
        <v>0.247</v>
      </c>
      <c r="O77" s="60">
        <f t="shared" si="2"/>
        <v>0.247</v>
      </c>
      <c r="P77" s="63">
        <v>90.0</v>
      </c>
      <c r="Q77" s="58">
        <v>90.17</v>
      </c>
      <c r="R77" s="65">
        <v>2931.15</v>
      </c>
      <c r="S77" s="66">
        <f t="shared" si="31"/>
        <v>110</v>
      </c>
      <c r="U77" s="67">
        <v>120.0</v>
      </c>
      <c r="V77" s="67">
        <v>1.1023</v>
      </c>
      <c r="Y77" s="57">
        <v>20.0</v>
      </c>
      <c r="Z77" s="69">
        <f t="shared" si="32"/>
        <v>30</v>
      </c>
      <c r="AA77" s="70">
        <f t="shared" si="4"/>
        <v>50</v>
      </c>
      <c r="AB77" s="71">
        <f t="shared" si="13"/>
        <v>512.4798224</v>
      </c>
      <c r="AC77" s="71">
        <f>+(S77-T77)*V77-'data 1'!$F$4</f>
        <v>41.253</v>
      </c>
      <c r="AD77" s="71">
        <f t="shared" si="5"/>
        <v>1.385442471</v>
      </c>
      <c r="AE77" s="71">
        <f t="shared" si="6"/>
        <v>-14.885</v>
      </c>
      <c r="AF77" s="71">
        <f t="shared" si="7"/>
        <v>44.70600676</v>
      </c>
      <c r="AG77" s="72">
        <f t="shared" si="33"/>
        <v>89.45944923</v>
      </c>
      <c r="AH77" s="52">
        <f t="shared" si="8"/>
        <v>68.63473163</v>
      </c>
      <c r="AI77" s="73">
        <f t="shared" si="22"/>
        <v>54.59490381</v>
      </c>
      <c r="AJ77" s="73">
        <f t="shared" si="10"/>
        <v>64.33770786</v>
      </c>
      <c r="AK77" s="11"/>
      <c r="AL77" s="51">
        <f t="shared" si="11"/>
        <v>4326.072797</v>
      </c>
    </row>
    <row r="78" ht="15.0" customHeight="1">
      <c r="A78" s="92" t="s">
        <v>429</v>
      </c>
      <c r="B78" s="56">
        <v>45727.0</v>
      </c>
      <c r="C78" s="56">
        <v>45724.0</v>
      </c>
      <c r="D78" s="57" t="s">
        <v>430</v>
      </c>
      <c r="E78" s="57">
        <f t="array" ref="E78">XLOOKUP(D78,RUC!$B$3:$B$110,RUC!$D$3:$D$110)</f>
        <v>10424767285</v>
      </c>
      <c r="G78" s="3">
        <v>38.0</v>
      </c>
      <c r="H78" s="57" t="s">
        <v>47</v>
      </c>
      <c r="I78" s="57">
        <v>5.16</v>
      </c>
      <c r="J78" s="58">
        <v>1.1</v>
      </c>
      <c r="K78" s="59">
        <f t="shared" si="1"/>
        <v>5.10324</v>
      </c>
      <c r="L78" s="60">
        <v>0.325</v>
      </c>
      <c r="M78" s="60">
        <v>0.306</v>
      </c>
      <c r="N78" s="62">
        <v>0.306</v>
      </c>
      <c r="O78" s="60">
        <f t="shared" si="2"/>
        <v>0.306</v>
      </c>
      <c r="P78" s="63">
        <v>90.0</v>
      </c>
      <c r="Q78" s="58">
        <v>90.06</v>
      </c>
      <c r="R78" s="65">
        <v>2931.15</v>
      </c>
      <c r="S78" s="66">
        <f t="shared" si="31"/>
        <v>120</v>
      </c>
      <c r="U78" s="67">
        <v>120.0</v>
      </c>
      <c r="V78" s="67">
        <v>1.1023</v>
      </c>
      <c r="Y78" s="57">
        <v>20.0</v>
      </c>
      <c r="Z78" s="77">
        <v>25.0</v>
      </c>
      <c r="AA78" s="70">
        <f t="shared" si="4"/>
        <v>45</v>
      </c>
      <c r="AB78" s="71">
        <f t="shared" si="13"/>
        <v>671.5109196</v>
      </c>
      <c r="AC78" s="71">
        <f>+(S78-T78)*V78-'data 1'!$F$4</f>
        <v>52.276</v>
      </c>
      <c r="AD78" s="71">
        <f t="shared" si="5"/>
        <v>0.6042524758</v>
      </c>
      <c r="AE78" s="71">
        <f t="shared" si="6"/>
        <v>-20.3965</v>
      </c>
      <c r="AF78" s="71">
        <f t="shared" si="7"/>
        <v>53.02361956</v>
      </c>
      <c r="AG78" s="72">
        <f t="shared" si="33"/>
        <v>102.507372</v>
      </c>
      <c r="AH78" s="52">
        <f t="shared" si="8"/>
        <v>51.21183837</v>
      </c>
      <c r="AI78" s="73">
        <f t="shared" si="22"/>
        <v>67.38288333</v>
      </c>
      <c r="AJ78" s="73">
        <f t="shared" si="10"/>
        <v>48.18579165</v>
      </c>
      <c r="AK78" s="11"/>
      <c r="AL78" s="51">
        <f t="shared" si="11"/>
        <v>3426.881386</v>
      </c>
    </row>
    <row r="79" ht="15.0" customHeight="1">
      <c r="A79" s="92" t="s">
        <v>431</v>
      </c>
      <c r="B79" s="56">
        <v>45727.0</v>
      </c>
      <c r="C79" s="56">
        <v>45724.0</v>
      </c>
      <c r="D79" s="57" t="s">
        <v>432</v>
      </c>
      <c r="E79" s="57">
        <f t="array" ref="E79">XLOOKUP(D79,RUC!$B$3:$B$110,RUC!$D$3:$D$110)</f>
        <v>20609578786</v>
      </c>
      <c r="G79" s="3">
        <v>28.0</v>
      </c>
      <c r="H79" s="57" t="s">
        <v>47</v>
      </c>
      <c r="I79" s="57">
        <v>3.91</v>
      </c>
      <c r="J79" s="58">
        <v>1.2</v>
      </c>
      <c r="K79" s="59">
        <f t="shared" si="1"/>
        <v>3.86308</v>
      </c>
      <c r="L79" s="60">
        <v>0.359</v>
      </c>
      <c r="M79" s="60">
        <v>0.337</v>
      </c>
      <c r="N79" s="62">
        <v>0.395</v>
      </c>
      <c r="O79" s="60">
        <f t="shared" si="2"/>
        <v>0.366</v>
      </c>
      <c r="P79" s="63">
        <v>90.0</v>
      </c>
      <c r="Q79" s="58">
        <v>90.11</v>
      </c>
      <c r="R79" s="65">
        <v>2931.15</v>
      </c>
      <c r="S79" s="66">
        <f t="shared" si="31"/>
        <v>120</v>
      </c>
      <c r="U79" s="67">
        <v>120.0</v>
      </c>
      <c r="V79" s="67">
        <v>1.1023</v>
      </c>
      <c r="Y79" s="57">
        <v>20.0</v>
      </c>
      <c r="Z79" s="77">
        <v>25.0</v>
      </c>
      <c r="AA79" s="70">
        <f t="shared" si="4"/>
        <v>45</v>
      </c>
      <c r="AB79" s="71">
        <f t="shared" si="13"/>
        <v>838.8423745</v>
      </c>
      <c r="AC79" s="71">
        <f>+(S79-T79)*V79-'data 1'!$F$4</f>
        <v>52.276</v>
      </c>
      <c r="AD79" s="71">
        <f t="shared" si="5"/>
        <v>1.223688732</v>
      </c>
      <c r="AE79" s="71">
        <f t="shared" si="6"/>
        <v>-20.3965</v>
      </c>
      <c r="AF79" s="71">
        <f t="shared" si="7"/>
        <v>-19.54586329</v>
      </c>
      <c r="AG79" s="72">
        <f t="shared" si="33"/>
        <v>30.55732544</v>
      </c>
      <c r="AH79" s="52">
        <f t="shared" si="8"/>
        <v>42.84599271</v>
      </c>
      <c r="AI79" s="73">
        <f t="shared" si="22"/>
        <v>74.47349324</v>
      </c>
      <c r="AJ79" s="73">
        <f t="shared" si="10"/>
        <v>43.62810665</v>
      </c>
      <c r="AK79" s="11"/>
      <c r="AL79" s="51">
        <f t="shared" si="11"/>
        <v>3240.5152</v>
      </c>
    </row>
    <row r="80" ht="15.0" customHeight="1">
      <c r="A80" s="92" t="s">
        <v>433</v>
      </c>
      <c r="B80" s="56">
        <v>45727.0</v>
      </c>
      <c r="C80" s="56">
        <v>45724.0</v>
      </c>
      <c r="D80" s="57" t="s">
        <v>432</v>
      </c>
      <c r="E80" s="57">
        <f t="array" ref="E80">XLOOKUP(D80,RUC!$B$3:$B$110,RUC!$D$3:$D$110)</f>
        <v>20609578786</v>
      </c>
      <c r="G80" s="3">
        <v>31.0</v>
      </c>
      <c r="H80" s="57" t="s">
        <v>47</v>
      </c>
      <c r="I80" s="57">
        <v>4.43</v>
      </c>
      <c r="J80" s="58">
        <v>1.3</v>
      </c>
      <c r="K80" s="59">
        <f t="shared" si="1"/>
        <v>4.37241</v>
      </c>
      <c r="L80" s="60">
        <v>0.387</v>
      </c>
      <c r="M80" s="60">
        <v>0.364</v>
      </c>
      <c r="N80" s="62">
        <v>0.415</v>
      </c>
      <c r="O80" s="60">
        <f t="shared" si="2"/>
        <v>0.39</v>
      </c>
      <c r="P80" s="63">
        <v>90.0</v>
      </c>
      <c r="Q80" s="58">
        <v>90.18</v>
      </c>
      <c r="R80" s="65">
        <v>2931.15</v>
      </c>
      <c r="S80" s="66">
        <f t="shared" si="31"/>
        <v>120</v>
      </c>
      <c r="U80" s="67">
        <v>120.0</v>
      </c>
      <c r="V80" s="67">
        <v>1.1023</v>
      </c>
      <c r="Y80" s="57">
        <v>20.0</v>
      </c>
      <c r="Z80" s="77">
        <v>25.0</v>
      </c>
      <c r="AA80" s="70">
        <f t="shared" si="4"/>
        <v>45</v>
      </c>
      <c r="AB80" s="71">
        <f t="shared" si="13"/>
        <v>905.7749564</v>
      </c>
      <c r="AC80" s="71">
        <f>+(S80-T80)*V80-'data 1'!$F$4</f>
        <v>52.276</v>
      </c>
      <c r="AD80" s="71">
        <f t="shared" si="5"/>
        <v>2.158575767</v>
      </c>
      <c r="AE80" s="71">
        <f t="shared" si="6"/>
        <v>-20.3965</v>
      </c>
      <c r="AF80" s="71">
        <f t="shared" si="7"/>
        <v>-8.383305887</v>
      </c>
      <c r="AG80" s="72">
        <f t="shared" si="33"/>
        <v>42.65476988</v>
      </c>
      <c r="AH80" s="52">
        <f t="shared" si="8"/>
        <v>52.31800128</v>
      </c>
      <c r="AI80" s="73">
        <f t="shared" si="22"/>
        <v>80.34437616</v>
      </c>
      <c r="AJ80" s="73">
        <f t="shared" si="10"/>
        <v>52.61833052</v>
      </c>
      <c r="AK80" s="11"/>
      <c r="AL80" s="51">
        <f t="shared" si="11"/>
        <v>3960.419477</v>
      </c>
    </row>
    <row r="81" ht="15.0" customHeight="1">
      <c r="A81" s="92" t="s">
        <v>434</v>
      </c>
      <c r="B81" s="56">
        <v>45727.0</v>
      </c>
      <c r="C81" s="56">
        <v>45725.0</v>
      </c>
      <c r="D81" s="57" t="s">
        <v>74</v>
      </c>
      <c r="E81" s="57">
        <f t="array" ref="E81">XLOOKUP(D81,RUC!$B$3:$B$110,RUC!$D$3:$D$110)</f>
        <v>10082235774</v>
      </c>
      <c r="G81" s="3">
        <v>38.0</v>
      </c>
      <c r="H81" s="57" t="s">
        <v>47</v>
      </c>
      <c r="I81" s="58">
        <v>3.87</v>
      </c>
      <c r="J81" s="58">
        <v>2.6</v>
      </c>
      <c r="K81" s="59">
        <f t="shared" si="1"/>
        <v>3.76938</v>
      </c>
      <c r="L81" s="60">
        <v>0.227</v>
      </c>
      <c r="M81" s="60">
        <v>0.223</v>
      </c>
      <c r="N81" s="62">
        <v>0.223</v>
      </c>
      <c r="O81" s="60">
        <f t="shared" si="2"/>
        <v>0.223</v>
      </c>
      <c r="P81" s="63">
        <v>85.0</v>
      </c>
      <c r="Q81" s="58">
        <v>90.2</v>
      </c>
      <c r="R81" s="65">
        <v>2910.2</v>
      </c>
      <c r="S81" s="76">
        <v>105.0</v>
      </c>
      <c r="U81" s="87">
        <v>80.0</v>
      </c>
      <c r="V81" s="67">
        <v>1.1023</v>
      </c>
      <c r="Z81" s="87">
        <v>10.0</v>
      </c>
      <c r="AA81" s="70">
        <f t="shared" si="4"/>
        <v>10</v>
      </c>
      <c r="AB81" s="71">
        <f t="shared" si="13"/>
        <v>464.5802191</v>
      </c>
      <c r="AC81" s="71">
        <f>+(S81-T81)*V81-'data 1'!$F$4</f>
        <v>35.7415</v>
      </c>
      <c r="AD81" s="71">
        <f t="shared" si="5"/>
        <v>36.82528655</v>
      </c>
      <c r="AE81" s="71">
        <f t="shared" si="6"/>
        <v>-58.977</v>
      </c>
      <c r="AF81" s="71">
        <f t="shared" si="7"/>
        <v>11.25598389</v>
      </c>
      <c r="AG81" s="72">
        <f t="shared" ref="AG81:AG87" si="34">+IF(D81="RONALD WILLIAN GARIBAY ESCUDERO",AC81+AD81+AE81+AF81+70,AC81+AD81+AE81+AF81)+70</f>
        <v>94.84577044</v>
      </c>
      <c r="AH81" s="52">
        <f t="shared" si="8"/>
        <v>26.46131276</v>
      </c>
      <c r="AI81" s="73">
        <f t="shared" si="22"/>
        <v>42.83792343</v>
      </c>
      <c r="AJ81" s="73">
        <f t="shared" si="10"/>
        <v>24.49642905</v>
      </c>
      <c r="AK81" s="11"/>
      <c r="AL81" s="51">
        <f t="shared" si="11"/>
        <v>1751.179386</v>
      </c>
    </row>
    <row r="82" ht="15.0" customHeight="1">
      <c r="A82" s="92" t="s">
        <v>435</v>
      </c>
      <c r="B82" s="56">
        <v>45727.0</v>
      </c>
      <c r="C82" s="56">
        <v>45725.0</v>
      </c>
      <c r="D82" s="57" t="s">
        <v>74</v>
      </c>
      <c r="E82" s="57">
        <f t="array" ref="E82">XLOOKUP(D82,RUC!$B$3:$B$110,RUC!$D$3:$D$110)</f>
        <v>10082235774</v>
      </c>
      <c r="G82" s="3">
        <v>49.0</v>
      </c>
      <c r="H82" s="57" t="s">
        <v>47</v>
      </c>
      <c r="I82" s="58">
        <v>4.97</v>
      </c>
      <c r="J82" s="58">
        <v>2.1</v>
      </c>
      <c r="K82" s="59">
        <f t="shared" si="1"/>
        <v>4.86563</v>
      </c>
      <c r="L82" s="60">
        <v>0.437</v>
      </c>
      <c r="M82" s="60">
        <v>0.43</v>
      </c>
      <c r="N82" s="62">
        <v>0.43</v>
      </c>
      <c r="O82" s="60">
        <f t="shared" si="2"/>
        <v>0.43</v>
      </c>
      <c r="P82" s="63">
        <v>90.0</v>
      </c>
      <c r="Q82" s="58">
        <v>90.18</v>
      </c>
      <c r="R82" s="65">
        <v>2910.2</v>
      </c>
      <c r="S82" s="76">
        <v>115.0</v>
      </c>
      <c r="U82" s="87">
        <v>80.0</v>
      </c>
      <c r="V82" s="67">
        <v>1.1023</v>
      </c>
      <c r="Z82" s="87">
        <v>10.0</v>
      </c>
      <c r="AA82" s="70">
        <f t="shared" si="4"/>
        <v>10</v>
      </c>
      <c r="AB82" s="71">
        <f t="shared" si="13"/>
        <v>1069.547801</v>
      </c>
      <c r="AC82" s="71">
        <f>+(S82-T82)*V82-'data 1'!$F$4</f>
        <v>46.7645</v>
      </c>
      <c r="AD82" s="71">
        <f t="shared" si="5"/>
        <v>2.453979193</v>
      </c>
      <c r="AE82" s="71">
        <f t="shared" si="6"/>
        <v>-58.977</v>
      </c>
      <c r="AF82" s="71">
        <f t="shared" si="7"/>
        <v>19.69360419</v>
      </c>
      <c r="AG82" s="72">
        <f t="shared" si="34"/>
        <v>79.93508338</v>
      </c>
      <c r="AH82" s="52">
        <f t="shared" si="8"/>
        <v>65.7415316</v>
      </c>
      <c r="AI82" s="73">
        <f t="shared" si="22"/>
        <v>82.44943491</v>
      </c>
      <c r="AJ82" s="73">
        <f t="shared" si="10"/>
        <v>64.5593449</v>
      </c>
      <c r="AK82" s="11"/>
      <c r="AL82" s="51">
        <f t="shared" si="11"/>
        <v>5204.023867</v>
      </c>
    </row>
    <row r="83" ht="15.0" customHeight="1">
      <c r="A83" s="92" t="s">
        <v>436</v>
      </c>
      <c r="B83" s="56">
        <v>45727.0</v>
      </c>
      <c r="C83" s="56">
        <v>45725.0</v>
      </c>
      <c r="D83" s="57" t="s">
        <v>74</v>
      </c>
      <c r="E83" s="57">
        <f t="array" ref="E83">XLOOKUP(D83,RUC!$B$3:$B$110,RUC!$D$3:$D$110)</f>
        <v>10082235774</v>
      </c>
      <c r="G83" s="3">
        <v>50.0</v>
      </c>
      <c r="H83" s="57" t="s">
        <v>47</v>
      </c>
      <c r="I83" s="58">
        <v>5.02</v>
      </c>
      <c r="J83" s="58">
        <v>2.15</v>
      </c>
      <c r="K83" s="59">
        <f t="shared" si="1"/>
        <v>4.91207</v>
      </c>
      <c r="L83" s="60">
        <v>0.475</v>
      </c>
      <c r="M83" s="60">
        <v>0.468</v>
      </c>
      <c r="N83" s="62">
        <v>0.468</v>
      </c>
      <c r="O83" s="60">
        <f t="shared" si="2"/>
        <v>0.468</v>
      </c>
      <c r="P83" s="63">
        <v>90.0</v>
      </c>
      <c r="Q83" s="58">
        <v>90.11</v>
      </c>
      <c r="R83" s="65">
        <v>2910.2</v>
      </c>
      <c r="S83" s="76">
        <v>115.0</v>
      </c>
      <c r="U83" s="87">
        <v>80.0</v>
      </c>
      <c r="V83" s="67">
        <v>1.1023</v>
      </c>
      <c r="Z83" s="87">
        <v>10.0</v>
      </c>
      <c r="AA83" s="70">
        <f t="shared" si="4"/>
        <v>10</v>
      </c>
      <c r="AB83" s="71">
        <f t="shared" si="13"/>
        <v>1176.242549</v>
      </c>
      <c r="AC83" s="71">
        <f>+(S83-T83)*V83-'data 1'!$F$4</f>
        <v>46.7645</v>
      </c>
      <c r="AD83" s="71">
        <f t="shared" si="5"/>
        <v>1.630058643</v>
      </c>
      <c r="AE83" s="71">
        <f t="shared" si="6"/>
        <v>-58.977</v>
      </c>
      <c r="AF83" s="71">
        <f t="shared" si="7"/>
        <v>19.67831751</v>
      </c>
      <c r="AG83" s="72">
        <f t="shared" si="34"/>
        <v>79.09587616</v>
      </c>
      <c r="AH83" s="52">
        <f t="shared" si="8"/>
        <v>72.08422204</v>
      </c>
      <c r="AI83" s="73">
        <f t="shared" si="22"/>
        <v>89.54938649</v>
      </c>
      <c r="AJ83" s="73">
        <f t="shared" si="10"/>
        <v>70.93522962</v>
      </c>
      <c r="AK83" s="11"/>
      <c r="AL83" s="51">
        <f t="shared" si="11"/>
        <v>5777.785735</v>
      </c>
    </row>
    <row r="84" ht="15.0" customHeight="1">
      <c r="A84" s="92" t="s">
        <v>437</v>
      </c>
      <c r="B84" s="56">
        <v>45727.0</v>
      </c>
      <c r="C84" s="56">
        <v>45725.0</v>
      </c>
      <c r="D84" s="57" t="s">
        <v>74</v>
      </c>
      <c r="E84" s="57">
        <f t="array" ref="E84">XLOOKUP(D84,RUC!$B$3:$B$110,RUC!$D$3:$D$110)</f>
        <v>10082235774</v>
      </c>
      <c r="G84" s="3">
        <v>49.0</v>
      </c>
      <c r="H84" s="57" t="s">
        <v>47</v>
      </c>
      <c r="I84" s="58">
        <v>4.98</v>
      </c>
      <c r="J84" s="58">
        <v>2.8</v>
      </c>
      <c r="K84" s="59">
        <f t="shared" si="1"/>
        <v>4.84056</v>
      </c>
      <c r="L84" s="60">
        <v>0.393</v>
      </c>
      <c r="M84" s="60">
        <v>0.387</v>
      </c>
      <c r="N84" s="62">
        <v>0.387</v>
      </c>
      <c r="O84" s="60">
        <f t="shared" si="2"/>
        <v>0.387</v>
      </c>
      <c r="P84" s="63">
        <v>90.0</v>
      </c>
      <c r="Q84" s="58">
        <v>90.23</v>
      </c>
      <c r="R84" s="65">
        <v>2910.2</v>
      </c>
      <c r="S84" s="76">
        <v>110.0</v>
      </c>
      <c r="U84" s="87">
        <v>80.0</v>
      </c>
      <c r="V84" s="67">
        <v>1.1023</v>
      </c>
      <c r="Z84" s="87">
        <v>10.0</v>
      </c>
      <c r="AA84" s="70">
        <f t="shared" si="4"/>
        <v>10</v>
      </c>
      <c r="AB84" s="71">
        <f t="shared" si="13"/>
        <v>954.3257709</v>
      </c>
      <c r="AC84" s="71">
        <f>+(S84-T84)*V84-'data 1'!$F$4</f>
        <v>41.253</v>
      </c>
      <c r="AD84" s="71">
        <f t="shared" si="5"/>
        <v>2.819923459</v>
      </c>
      <c r="AE84" s="71">
        <f t="shared" si="6"/>
        <v>-58.977</v>
      </c>
      <c r="AF84" s="71">
        <f t="shared" si="7"/>
        <v>16.88959135</v>
      </c>
      <c r="AG84" s="72">
        <f t="shared" si="34"/>
        <v>71.98551481</v>
      </c>
      <c r="AH84" s="52">
        <f t="shared" si="8"/>
        <v>58.85023274</v>
      </c>
      <c r="AI84" s="73">
        <f t="shared" si="22"/>
        <v>74.18900103</v>
      </c>
      <c r="AJ84" s="73">
        <f t="shared" si="10"/>
        <v>57.80403448</v>
      </c>
      <c r="AK84" s="11"/>
      <c r="AL84" s="51">
        <f t="shared" si="11"/>
        <v>4619.471154</v>
      </c>
    </row>
    <row r="85" ht="15.0" customHeight="1">
      <c r="A85" s="92" t="s">
        <v>438</v>
      </c>
      <c r="B85" s="56">
        <v>45727.0</v>
      </c>
      <c r="C85" s="56">
        <v>45725.0</v>
      </c>
      <c r="D85" s="57" t="s">
        <v>146</v>
      </c>
      <c r="E85" s="57">
        <f t="array" ref="E85">XLOOKUP(D85,RUC!$B$3:$B$110,RUC!$D$3:$D$110)</f>
        <v>20517242919</v>
      </c>
      <c r="G85" s="3">
        <v>53.0</v>
      </c>
      <c r="H85" s="57" t="s">
        <v>47</v>
      </c>
      <c r="I85" s="58">
        <v>4.77</v>
      </c>
      <c r="J85" s="58">
        <v>2.5</v>
      </c>
      <c r="K85" s="59">
        <f t="shared" si="1"/>
        <v>4.65075</v>
      </c>
      <c r="L85" s="60">
        <v>0.205</v>
      </c>
      <c r="M85" s="60">
        <v>0.202</v>
      </c>
      <c r="N85" s="62">
        <v>0.202</v>
      </c>
      <c r="O85" s="60">
        <f t="shared" si="2"/>
        <v>0.202</v>
      </c>
      <c r="P85" s="63">
        <v>85.0</v>
      </c>
      <c r="Q85" s="58">
        <v>90.14</v>
      </c>
      <c r="R85" s="65">
        <v>2910.2</v>
      </c>
      <c r="S85" s="76">
        <v>105.0</v>
      </c>
      <c r="U85" s="87">
        <v>80.0</v>
      </c>
      <c r="V85" s="67">
        <v>1.1023</v>
      </c>
      <c r="Z85" s="87">
        <v>10.0</v>
      </c>
      <c r="AA85" s="70">
        <f t="shared" si="4"/>
        <v>10</v>
      </c>
      <c r="AB85" s="71">
        <f t="shared" si="13"/>
        <v>408.8930483</v>
      </c>
      <c r="AC85" s="71">
        <f>+(S85-T85)*V85-'data 1'!$F$4</f>
        <v>35.7415</v>
      </c>
      <c r="AD85" s="71">
        <f t="shared" si="5"/>
        <v>32.87258932</v>
      </c>
      <c r="AE85" s="71">
        <f t="shared" si="6"/>
        <v>-58.977</v>
      </c>
      <c r="AF85" s="71">
        <f t="shared" si="7"/>
        <v>8.436372406</v>
      </c>
      <c r="AG85" s="72">
        <f t="shared" si="34"/>
        <v>88.07346173</v>
      </c>
      <c r="AH85" s="52">
        <f t="shared" si="8"/>
        <v>29.46479873</v>
      </c>
      <c r="AI85" s="73">
        <f t="shared" si="22"/>
        <v>38.66049678</v>
      </c>
      <c r="AJ85" s="73">
        <f t="shared" si="10"/>
        <v>27.37804035</v>
      </c>
      <c r="AK85" s="11"/>
      <c r="AL85" s="51">
        <f t="shared" si="11"/>
        <v>1901.659344</v>
      </c>
    </row>
    <row r="86" ht="15.0" customHeight="1">
      <c r="A86" s="92" t="s">
        <v>439</v>
      </c>
      <c r="B86" s="56">
        <v>45727.0</v>
      </c>
      <c r="C86" s="56">
        <v>45725.0</v>
      </c>
      <c r="D86" s="57" t="s">
        <v>146</v>
      </c>
      <c r="E86" s="57">
        <f t="array" ref="E86">XLOOKUP(D86,RUC!$B$3:$B$110,RUC!$D$3:$D$110)</f>
        <v>20517242919</v>
      </c>
      <c r="G86" s="3">
        <v>50.0</v>
      </c>
      <c r="H86" s="57" t="s">
        <v>47</v>
      </c>
      <c r="I86" s="58">
        <v>4.73</v>
      </c>
      <c r="J86" s="58">
        <v>2.15</v>
      </c>
      <c r="K86" s="59">
        <f t="shared" si="1"/>
        <v>4.628305</v>
      </c>
      <c r="L86" s="60">
        <v>0.138</v>
      </c>
      <c r="M86" s="60">
        <v>0.136</v>
      </c>
      <c r="N86" s="62">
        <v>0.136</v>
      </c>
      <c r="O86" s="60">
        <f t="shared" si="2"/>
        <v>0.136</v>
      </c>
      <c r="P86" s="63">
        <v>85.0</v>
      </c>
      <c r="Q86" s="58">
        <v>90.2</v>
      </c>
      <c r="R86" s="65">
        <v>2910.2</v>
      </c>
      <c r="S86" s="76">
        <v>95.0</v>
      </c>
      <c r="U86" s="87">
        <v>80.0</v>
      </c>
      <c r="V86" s="67">
        <v>1.1023</v>
      </c>
      <c r="Z86" s="87">
        <v>10.0</v>
      </c>
      <c r="AA86" s="70">
        <f t="shared" si="4"/>
        <v>10</v>
      </c>
      <c r="AB86" s="71">
        <f t="shared" si="13"/>
        <v>244.8992256</v>
      </c>
      <c r="AC86" s="71">
        <f>+(S86-T86)*V86-'data 1'!$F$4</f>
        <v>24.7185</v>
      </c>
      <c r="AD86" s="71">
        <f t="shared" si="5"/>
        <v>22.3871786</v>
      </c>
      <c r="AE86" s="71">
        <f t="shared" si="6"/>
        <v>-58.977</v>
      </c>
      <c r="AF86" s="71">
        <f t="shared" si="7"/>
        <v>5.627991946</v>
      </c>
      <c r="AG86" s="72">
        <f t="shared" si="34"/>
        <v>63.75667055</v>
      </c>
      <c r="AH86" s="52">
        <f t="shared" si="8"/>
        <v>19.7522541</v>
      </c>
      <c r="AI86" s="73">
        <f t="shared" si="22"/>
        <v>26.04243803</v>
      </c>
      <c r="AJ86" s="73">
        <f t="shared" si="10"/>
        <v>18.34378173</v>
      </c>
      <c r="AK86" s="11"/>
      <c r="AL86" s="51">
        <f t="shared" si="11"/>
        <v>1133.46831</v>
      </c>
    </row>
    <row r="87" ht="15.0" customHeight="1">
      <c r="A87" s="92" t="s">
        <v>440</v>
      </c>
      <c r="B87" s="56">
        <v>45727.0</v>
      </c>
      <c r="C87" s="56">
        <v>45725.0</v>
      </c>
      <c r="D87" s="57" t="s">
        <v>146</v>
      </c>
      <c r="E87" s="57">
        <f t="array" ref="E87">XLOOKUP(D87,RUC!$B$3:$B$110,RUC!$D$3:$D$110)</f>
        <v>20517242919</v>
      </c>
      <c r="G87" s="3">
        <v>43.0</v>
      </c>
      <c r="H87" s="57" t="s">
        <v>47</v>
      </c>
      <c r="I87" s="58">
        <v>4.12</v>
      </c>
      <c r="J87" s="58">
        <v>2.2</v>
      </c>
      <c r="K87" s="59">
        <f t="shared" si="1"/>
        <v>4.02936</v>
      </c>
      <c r="L87" s="60">
        <v>0.148</v>
      </c>
      <c r="M87" s="60">
        <v>0.146</v>
      </c>
      <c r="N87" s="62">
        <v>0.146</v>
      </c>
      <c r="O87" s="60">
        <f t="shared" si="2"/>
        <v>0.146</v>
      </c>
      <c r="P87" s="63">
        <v>85.0</v>
      </c>
      <c r="Q87" s="58">
        <v>90.13</v>
      </c>
      <c r="R87" s="65">
        <v>2910.2</v>
      </c>
      <c r="S87" s="76">
        <v>95.0</v>
      </c>
      <c r="U87" s="87">
        <v>80.0</v>
      </c>
      <c r="V87" s="67">
        <v>1.1023</v>
      </c>
      <c r="Z87" s="87">
        <v>10.0</v>
      </c>
      <c r="AA87" s="70">
        <f t="shared" si="4"/>
        <v>10</v>
      </c>
      <c r="AB87" s="71">
        <f t="shared" si="13"/>
        <v>271.416926</v>
      </c>
      <c r="AC87" s="71">
        <f>+(S87-T87)*V87-'data 1'!$F$4</f>
        <v>24.7185</v>
      </c>
      <c r="AD87" s="71">
        <f t="shared" si="5"/>
        <v>23.68623395</v>
      </c>
      <c r="AE87" s="71">
        <f t="shared" si="6"/>
        <v>-58.977</v>
      </c>
      <c r="AF87" s="71">
        <f t="shared" si="7"/>
        <v>5.623624325</v>
      </c>
      <c r="AG87" s="72">
        <f t="shared" si="34"/>
        <v>65.05135828</v>
      </c>
      <c r="AH87" s="52">
        <f t="shared" si="8"/>
        <v>18.42791611</v>
      </c>
      <c r="AI87" s="73">
        <f t="shared" si="22"/>
        <v>27.90789639</v>
      </c>
      <c r="AJ87" s="73">
        <f t="shared" si="10"/>
        <v>17.14418805</v>
      </c>
      <c r="AK87" s="11"/>
      <c r="AL87" s="51">
        <f t="shared" si="11"/>
        <v>1093.636505</v>
      </c>
    </row>
    <row r="88" ht="15.0" customHeight="1">
      <c r="B88" s="56"/>
      <c r="C88" s="56"/>
      <c r="G88" s="3"/>
      <c r="L88" s="60"/>
      <c r="M88" s="60"/>
      <c r="N88" s="62"/>
      <c r="R88" s="65"/>
      <c r="AG88" s="91"/>
    </row>
    <row r="89" ht="15.0" customHeight="1">
      <c r="B89" s="56"/>
      <c r="C89" s="56"/>
      <c r="G89" s="3"/>
      <c r="L89" s="60"/>
      <c r="M89" s="60"/>
      <c r="N89" s="62"/>
      <c r="R89" s="65"/>
      <c r="AG89" s="91"/>
    </row>
    <row r="90" ht="15.0" customHeight="1">
      <c r="B90" s="56"/>
      <c r="C90" s="56"/>
      <c r="G90" s="3"/>
      <c r="L90" s="60"/>
      <c r="M90" s="60"/>
      <c r="N90" s="62"/>
      <c r="R90" s="65"/>
      <c r="AG90" s="91"/>
    </row>
    <row r="91" ht="15.0" customHeight="1">
      <c r="B91" s="56"/>
      <c r="C91" s="56"/>
      <c r="G91" s="3"/>
      <c r="L91" s="60"/>
      <c r="M91" s="60"/>
      <c r="N91" s="62"/>
      <c r="R91" s="65"/>
      <c r="AG91" s="91"/>
    </row>
    <row r="92" ht="15.0" customHeight="1">
      <c r="B92" s="56"/>
      <c r="C92" s="56"/>
      <c r="G92" s="3"/>
      <c r="L92" s="60"/>
      <c r="M92" s="60"/>
      <c r="N92" s="62"/>
      <c r="R92" s="65"/>
      <c r="AG92" s="91"/>
    </row>
    <row r="93" ht="15.0" customHeight="1">
      <c r="B93" s="56"/>
      <c r="C93" s="56"/>
      <c r="G93" s="3"/>
      <c r="L93" s="60"/>
      <c r="M93" s="60"/>
      <c r="N93" s="62"/>
      <c r="R93" s="65"/>
      <c r="AG93" s="91"/>
    </row>
    <row r="94" ht="15.0" customHeight="1">
      <c r="B94" s="56"/>
      <c r="C94" s="56"/>
      <c r="G94" s="3"/>
      <c r="L94" s="60"/>
      <c r="M94" s="60"/>
      <c r="N94" s="62"/>
      <c r="R94" s="65"/>
      <c r="AG94" s="91"/>
    </row>
    <row r="95" ht="15.0" customHeight="1">
      <c r="B95" s="56"/>
      <c r="C95" s="56"/>
      <c r="G95" s="3"/>
      <c r="L95" s="60"/>
      <c r="M95" s="60"/>
      <c r="N95" s="62"/>
      <c r="R95" s="65"/>
      <c r="AG95" s="91"/>
    </row>
    <row r="96" ht="15.0" customHeight="1">
      <c r="B96" s="56"/>
      <c r="C96" s="56"/>
      <c r="G96" s="3"/>
      <c r="L96" s="60"/>
      <c r="M96" s="60"/>
      <c r="N96" s="62"/>
      <c r="R96" s="65"/>
      <c r="AG96" s="91"/>
    </row>
    <row r="97" ht="15.0" customHeight="1">
      <c r="B97" s="56"/>
      <c r="C97" s="56"/>
      <c r="G97" s="3"/>
      <c r="L97" s="60"/>
      <c r="M97" s="60"/>
      <c r="N97" s="62"/>
      <c r="R97" s="65"/>
      <c r="AG97" s="91"/>
    </row>
    <row r="98" ht="15.0" customHeight="1">
      <c r="B98" s="56"/>
      <c r="C98" s="56"/>
      <c r="G98" s="3"/>
      <c r="L98" s="60"/>
      <c r="M98" s="60"/>
      <c r="N98" s="62"/>
      <c r="R98" s="65"/>
      <c r="AG98" s="91"/>
    </row>
    <row r="99" ht="15.0" customHeight="1">
      <c r="B99" s="56"/>
      <c r="C99" s="56"/>
      <c r="G99" s="3"/>
      <c r="L99" s="60"/>
      <c r="M99" s="60"/>
      <c r="N99" s="62"/>
      <c r="R99" s="65"/>
      <c r="AG99" s="91"/>
    </row>
    <row r="100" ht="15.0" customHeight="1">
      <c r="B100" s="56"/>
      <c r="C100" s="56"/>
      <c r="G100" s="3"/>
      <c r="L100" s="60"/>
      <c r="M100" s="60"/>
      <c r="N100" s="62"/>
      <c r="R100" s="65"/>
      <c r="AG100" s="91"/>
    </row>
    <row r="101" ht="15.0" customHeight="1">
      <c r="B101" s="56"/>
      <c r="C101" s="56"/>
      <c r="G101" s="3"/>
      <c r="L101" s="60"/>
      <c r="M101" s="60"/>
      <c r="N101" s="62"/>
      <c r="R101" s="65"/>
      <c r="AG101" s="91"/>
    </row>
    <row r="102" ht="15.0" customHeight="1">
      <c r="B102" s="56"/>
      <c r="C102" s="56"/>
      <c r="G102" s="3"/>
      <c r="L102" s="60"/>
      <c r="M102" s="60"/>
      <c r="N102" s="62"/>
      <c r="R102" s="65"/>
      <c r="AG102" s="91"/>
    </row>
    <row r="103" ht="15.0" customHeight="1">
      <c r="B103" s="56"/>
      <c r="C103" s="56"/>
      <c r="G103" s="3"/>
      <c r="L103" s="60"/>
      <c r="M103" s="60"/>
      <c r="N103" s="62"/>
      <c r="R103" s="65"/>
      <c r="AG103" s="91"/>
    </row>
    <row r="104" ht="15.0" customHeight="1">
      <c r="B104" s="56"/>
      <c r="C104" s="56"/>
      <c r="G104" s="3"/>
      <c r="L104" s="60"/>
      <c r="M104" s="60"/>
      <c r="N104" s="62"/>
      <c r="R104" s="65"/>
      <c r="AG104" s="91"/>
    </row>
    <row r="105" ht="15.0" customHeight="1">
      <c r="B105" s="56"/>
      <c r="C105" s="56"/>
      <c r="G105" s="3"/>
      <c r="L105" s="60"/>
      <c r="M105" s="60"/>
      <c r="N105" s="62"/>
      <c r="R105" s="65"/>
      <c r="AG105" s="91"/>
    </row>
    <row r="106" ht="15.0" customHeight="1">
      <c r="B106" s="56"/>
      <c r="C106" s="56"/>
      <c r="G106" s="3"/>
      <c r="L106" s="60"/>
      <c r="M106" s="60"/>
      <c r="N106" s="62"/>
      <c r="R106" s="65"/>
      <c r="AG106" s="91"/>
    </row>
    <row r="107" ht="15.0" customHeight="1">
      <c r="B107" s="56"/>
      <c r="C107" s="56"/>
      <c r="G107" s="3"/>
      <c r="L107" s="60"/>
      <c r="M107" s="60"/>
      <c r="N107" s="62"/>
      <c r="R107" s="65"/>
      <c r="AG107" s="91"/>
    </row>
    <row r="108" ht="15.0" customHeight="1">
      <c r="B108" s="56"/>
      <c r="C108" s="56"/>
      <c r="G108" s="3"/>
      <c r="L108" s="60"/>
      <c r="M108" s="60"/>
      <c r="N108" s="62"/>
      <c r="R108" s="65"/>
      <c r="AG108" s="91"/>
    </row>
    <row r="109" ht="15.0" customHeight="1">
      <c r="B109" s="56"/>
      <c r="C109" s="56"/>
      <c r="G109" s="3"/>
      <c r="L109" s="60"/>
      <c r="M109" s="60"/>
      <c r="N109" s="62"/>
      <c r="R109" s="65"/>
      <c r="AG109" s="91"/>
    </row>
    <row r="110" ht="15.0" customHeight="1">
      <c r="B110" s="56"/>
      <c r="C110" s="56"/>
      <c r="G110" s="3"/>
      <c r="L110" s="60"/>
      <c r="M110" s="60"/>
      <c r="N110" s="62"/>
      <c r="R110" s="65"/>
      <c r="AG110" s="91"/>
    </row>
    <row r="111" ht="15.0" customHeight="1">
      <c r="B111" s="56"/>
      <c r="C111" s="56"/>
      <c r="G111" s="3"/>
      <c r="L111" s="60"/>
      <c r="M111" s="60"/>
      <c r="N111" s="62"/>
      <c r="R111" s="65"/>
      <c r="AG111" s="91"/>
    </row>
    <row r="112" ht="15.0" customHeight="1">
      <c r="B112" s="56"/>
      <c r="C112" s="56"/>
      <c r="G112" s="3"/>
      <c r="L112" s="60"/>
      <c r="M112" s="60"/>
      <c r="N112" s="62"/>
      <c r="R112" s="65"/>
      <c r="AG112" s="91"/>
    </row>
    <row r="113" ht="15.0" customHeight="1">
      <c r="B113" s="56"/>
      <c r="C113" s="56"/>
      <c r="G113" s="3"/>
      <c r="L113" s="60"/>
      <c r="M113" s="60"/>
      <c r="N113" s="62"/>
      <c r="R113" s="65"/>
      <c r="AG113" s="91"/>
    </row>
    <row r="114" ht="15.0" customHeight="1">
      <c r="B114" s="56"/>
      <c r="C114" s="56"/>
      <c r="G114" s="3"/>
      <c r="L114" s="60"/>
      <c r="M114" s="60"/>
      <c r="N114" s="62"/>
      <c r="R114" s="65"/>
      <c r="AG114" s="91"/>
    </row>
    <row r="115" ht="15.0" customHeight="1">
      <c r="B115" s="56"/>
      <c r="C115" s="56"/>
      <c r="G115" s="3"/>
      <c r="L115" s="60"/>
      <c r="M115" s="60"/>
      <c r="N115" s="62"/>
      <c r="R115" s="65"/>
      <c r="AG115" s="91"/>
    </row>
    <row r="116" ht="15.0" customHeight="1">
      <c r="B116" s="56"/>
      <c r="C116" s="56"/>
      <c r="G116" s="3"/>
      <c r="L116" s="60"/>
      <c r="M116" s="60"/>
      <c r="N116" s="62"/>
      <c r="R116" s="65"/>
      <c r="AG116" s="91"/>
    </row>
    <row r="117" ht="15.0" customHeight="1">
      <c r="B117" s="56"/>
      <c r="C117" s="56"/>
      <c r="G117" s="3"/>
      <c r="L117" s="60"/>
      <c r="M117" s="60"/>
      <c r="N117" s="62"/>
      <c r="R117" s="65"/>
      <c r="AG117" s="91"/>
    </row>
    <row r="118" ht="15.0" customHeight="1">
      <c r="B118" s="56"/>
      <c r="C118" s="56"/>
      <c r="G118" s="3"/>
      <c r="L118" s="60"/>
      <c r="M118" s="60"/>
      <c r="N118" s="62"/>
      <c r="R118" s="65"/>
      <c r="AG118" s="91"/>
    </row>
    <row r="119" ht="15.0" customHeight="1">
      <c r="B119" s="56"/>
      <c r="C119" s="56"/>
      <c r="G119" s="3"/>
      <c r="L119" s="60"/>
      <c r="M119" s="60"/>
      <c r="N119" s="62"/>
      <c r="R119" s="65"/>
      <c r="AG119" s="91"/>
    </row>
    <row r="120" ht="15.0" customHeight="1">
      <c r="B120" s="56"/>
      <c r="C120" s="56"/>
      <c r="G120" s="3"/>
      <c r="L120" s="60"/>
      <c r="M120" s="60"/>
      <c r="N120" s="62"/>
      <c r="R120" s="65"/>
      <c r="AG120" s="91"/>
    </row>
    <row r="121" ht="15.0" customHeight="1">
      <c r="B121" s="56"/>
      <c r="C121" s="56"/>
      <c r="G121" s="3"/>
      <c r="L121" s="60"/>
      <c r="M121" s="60"/>
      <c r="N121" s="62"/>
      <c r="R121" s="65"/>
      <c r="AG121" s="91"/>
    </row>
    <row r="122" ht="15.0" customHeight="1">
      <c r="B122" s="56"/>
      <c r="C122" s="56"/>
      <c r="G122" s="3"/>
      <c r="L122" s="60"/>
      <c r="M122" s="60"/>
      <c r="N122" s="62"/>
      <c r="R122" s="65"/>
      <c r="AG122" s="91"/>
    </row>
    <row r="123" ht="15.0" customHeight="1">
      <c r="B123" s="56"/>
      <c r="C123" s="56"/>
      <c r="G123" s="3"/>
      <c r="L123" s="60"/>
      <c r="M123" s="60"/>
      <c r="N123" s="62"/>
      <c r="R123" s="65"/>
      <c r="AG123" s="91"/>
    </row>
    <row r="124" ht="15.0" customHeight="1">
      <c r="B124" s="56"/>
      <c r="C124" s="56"/>
      <c r="G124" s="3"/>
      <c r="L124" s="60"/>
      <c r="M124" s="60"/>
      <c r="N124" s="62"/>
      <c r="R124" s="65"/>
      <c r="AG124" s="91"/>
    </row>
    <row r="125" ht="15.0" customHeight="1">
      <c r="B125" s="56"/>
      <c r="C125" s="56"/>
      <c r="G125" s="3"/>
      <c r="L125" s="60"/>
      <c r="M125" s="60"/>
      <c r="N125" s="62"/>
      <c r="R125" s="65"/>
      <c r="AG125" s="91"/>
    </row>
    <row r="126" ht="15.0" customHeight="1">
      <c r="B126" s="56"/>
      <c r="C126" s="56"/>
      <c r="G126" s="3"/>
      <c r="L126" s="60"/>
      <c r="M126" s="60"/>
      <c r="N126" s="62"/>
      <c r="R126" s="65"/>
      <c r="AG126" s="91"/>
    </row>
    <row r="127" ht="15.0" customHeight="1">
      <c r="B127" s="56"/>
      <c r="C127" s="56"/>
      <c r="G127" s="3"/>
      <c r="L127" s="60"/>
      <c r="M127" s="60"/>
      <c r="N127" s="62"/>
      <c r="R127" s="65"/>
      <c r="AG127" s="91"/>
    </row>
    <row r="128" ht="15.0" customHeight="1">
      <c r="B128" s="56"/>
      <c r="C128" s="56"/>
      <c r="G128" s="3"/>
      <c r="L128" s="60"/>
      <c r="M128" s="60"/>
      <c r="N128" s="62"/>
      <c r="R128" s="65"/>
      <c r="AG128" s="91"/>
    </row>
    <row r="129" ht="15.0" customHeight="1">
      <c r="B129" s="56"/>
      <c r="C129" s="56"/>
      <c r="G129" s="3"/>
      <c r="L129" s="60"/>
      <c r="M129" s="60"/>
      <c r="N129" s="62"/>
      <c r="R129" s="65"/>
      <c r="AG129" s="91"/>
    </row>
    <row r="130" ht="15.0" customHeight="1">
      <c r="B130" s="56"/>
      <c r="C130" s="56"/>
      <c r="G130" s="3"/>
      <c r="L130" s="60"/>
      <c r="M130" s="60"/>
      <c r="N130" s="62"/>
      <c r="R130" s="65"/>
      <c r="AG130" s="91"/>
    </row>
    <row r="131" ht="15.0" customHeight="1">
      <c r="B131" s="56"/>
      <c r="C131" s="56"/>
      <c r="G131" s="3"/>
      <c r="L131" s="60"/>
      <c r="M131" s="60"/>
      <c r="N131" s="62"/>
      <c r="R131" s="65"/>
      <c r="AG131" s="91"/>
    </row>
    <row r="132" ht="15.0" customHeight="1">
      <c r="B132" s="56"/>
      <c r="C132" s="56"/>
      <c r="G132" s="3"/>
      <c r="L132" s="60"/>
      <c r="M132" s="60"/>
      <c r="N132" s="62"/>
      <c r="R132" s="65"/>
      <c r="AG132" s="91"/>
    </row>
    <row r="133" ht="15.0" customHeight="1">
      <c r="B133" s="56"/>
      <c r="C133" s="56"/>
      <c r="G133" s="3"/>
      <c r="L133" s="60"/>
      <c r="M133" s="60"/>
      <c r="N133" s="62"/>
      <c r="R133" s="65"/>
      <c r="AG133" s="91"/>
    </row>
    <row r="134" ht="15.0" customHeight="1">
      <c r="B134" s="56"/>
      <c r="C134" s="56"/>
      <c r="G134" s="3"/>
      <c r="L134" s="60"/>
      <c r="M134" s="60"/>
      <c r="N134" s="62"/>
      <c r="R134" s="65"/>
      <c r="AG134" s="91"/>
    </row>
    <row r="135" ht="15.0" customHeight="1">
      <c r="B135" s="56"/>
      <c r="C135" s="56"/>
      <c r="G135" s="3"/>
      <c r="L135" s="60"/>
      <c r="M135" s="60"/>
      <c r="N135" s="62"/>
      <c r="R135" s="65"/>
      <c r="AG135" s="91"/>
    </row>
    <row r="136" ht="15.0" customHeight="1">
      <c r="B136" s="56"/>
      <c r="C136" s="56"/>
      <c r="G136" s="3"/>
      <c r="L136" s="60"/>
      <c r="M136" s="60"/>
      <c r="N136" s="62"/>
      <c r="R136" s="65"/>
      <c r="AG136" s="91"/>
    </row>
    <row r="137" ht="15.0" customHeight="1">
      <c r="B137" s="56"/>
      <c r="C137" s="56"/>
      <c r="G137" s="3"/>
      <c r="L137" s="60"/>
      <c r="M137" s="60"/>
      <c r="N137" s="62"/>
      <c r="R137" s="65"/>
      <c r="AG137" s="91"/>
    </row>
    <row r="138" ht="15.0" customHeight="1">
      <c r="B138" s="56"/>
      <c r="C138" s="56"/>
      <c r="G138" s="3"/>
      <c r="L138" s="60"/>
      <c r="M138" s="60"/>
      <c r="N138" s="62"/>
      <c r="R138" s="65"/>
      <c r="AG138" s="91"/>
    </row>
    <row r="139" ht="15.0" customHeight="1">
      <c r="B139" s="56"/>
      <c r="C139" s="56"/>
      <c r="G139" s="3"/>
      <c r="L139" s="60"/>
      <c r="M139" s="60"/>
      <c r="N139" s="62"/>
      <c r="R139" s="65"/>
      <c r="AG139" s="91"/>
    </row>
    <row r="140" ht="15.0" customHeight="1">
      <c r="B140" s="56"/>
      <c r="C140" s="56"/>
      <c r="G140" s="3"/>
      <c r="L140" s="60"/>
      <c r="M140" s="60"/>
      <c r="N140" s="62"/>
      <c r="R140" s="65"/>
      <c r="AG140" s="91"/>
    </row>
    <row r="141" ht="15.0" customHeight="1">
      <c r="B141" s="56"/>
      <c r="C141" s="56"/>
      <c r="G141" s="3"/>
      <c r="L141" s="60"/>
      <c r="M141" s="60"/>
      <c r="N141" s="62"/>
      <c r="R141" s="65"/>
      <c r="AG141" s="91"/>
    </row>
    <row r="142" ht="15.0" customHeight="1">
      <c r="B142" s="56"/>
      <c r="C142" s="56"/>
      <c r="G142" s="3"/>
      <c r="L142" s="60"/>
      <c r="M142" s="60"/>
      <c r="N142" s="62"/>
      <c r="R142" s="65"/>
      <c r="AG142" s="91"/>
    </row>
    <row r="143" ht="15.0" customHeight="1">
      <c r="B143" s="56"/>
      <c r="C143" s="56"/>
      <c r="G143" s="3"/>
      <c r="L143" s="60"/>
      <c r="M143" s="60"/>
      <c r="N143" s="62"/>
      <c r="R143" s="65"/>
      <c r="AG143" s="91"/>
    </row>
    <row r="144" ht="15.0" customHeight="1">
      <c r="B144" s="56"/>
      <c r="C144" s="56"/>
      <c r="G144" s="3"/>
      <c r="L144" s="60"/>
      <c r="M144" s="60"/>
      <c r="N144" s="62"/>
      <c r="R144" s="65"/>
      <c r="AG144" s="91"/>
    </row>
    <row r="145" ht="15.0" customHeight="1">
      <c r="B145" s="56"/>
      <c r="C145" s="56"/>
      <c r="G145" s="3"/>
      <c r="L145" s="60"/>
      <c r="M145" s="60"/>
      <c r="N145" s="62"/>
      <c r="R145" s="65"/>
      <c r="AG145" s="91"/>
    </row>
    <row r="146" ht="15.0" customHeight="1">
      <c r="B146" s="56"/>
      <c r="C146" s="56"/>
      <c r="G146" s="3"/>
      <c r="L146" s="60"/>
      <c r="M146" s="60"/>
      <c r="N146" s="62"/>
      <c r="R146" s="65"/>
      <c r="AG146" s="91"/>
    </row>
    <row r="147" ht="15.0" customHeight="1">
      <c r="B147" s="56"/>
      <c r="C147" s="56"/>
      <c r="G147" s="3"/>
      <c r="L147" s="60"/>
      <c r="M147" s="60"/>
      <c r="N147" s="62"/>
      <c r="R147" s="65"/>
      <c r="AG147" s="91"/>
    </row>
    <row r="148" ht="15.0" customHeight="1">
      <c r="B148" s="56"/>
      <c r="C148" s="56"/>
      <c r="G148" s="3"/>
      <c r="L148" s="60"/>
      <c r="M148" s="60"/>
      <c r="N148" s="62"/>
      <c r="R148" s="65"/>
      <c r="AG148" s="91"/>
    </row>
    <row r="149" ht="15.0" customHeight="1">
      <c r="B149" s="56"/>
      <c r="C149" s="56"/>
      <c r="G149" s="3"/>
      <c r="L149" s="60"/>
      <c r="M149" s="60"/>
      <c r="N149" s="62"/>
      <c r="R149" s="65"/>
      <c r="AG149" s="91"/>
    </row>
    <row r="150" ht="15.0" customHeight="1">
      <c r="B150" s="56"/>
      <c r="C150" s="56"/>
      <c r="G150" s="3"/>
      <c r="L150" s="60"/>
      <c r="M150" s="60"/>
      <c r="N150" s="62"/>
      <c r="R150" s="65"/>
      <c r="AG150" s="91"/>
    </row>
    <row r="151" ht="15.0" customHeight="1">
      <c r="B151" s="56"/>
      <c r="C151" s="56"/>
      <c r="G151" s="3"/>
      <c r="L151" s="60"/>
      <c r="M151" s="60"/>
      <c r="N151" s="62"/>
      <c r="R151" s="65"/>
      <c r="AG151" s="91"/>
    </row>
    <row r="152" ht="15.0" customHeight="1">
      <c r="B152" s="56"/>
      <c r="C152" s="56"/>
      <c r="G152" s="3"/>
      <c r="L152" s="60"/>
      <c r="M152" s="60"/>
      <c r="N152" s="62"/>
      <c r="R152" s="65"/>
      <c r="AG152" s="91"/>
    </row>
    <row r="153" ht="15.0" customHeight="1">
      <c r="B153" s="56"/>
      <c r="C153" s="56"/>
      <c r="G153" s="3"/>
      <c r="L153" s="60"/>
      <c r="M153" s="60"/>
      <c r="N153" s="62"/>
      <c r="R153" s="65"/>
      <c r="AG153" s="91"/>
    </row>
    <row r="154" ht="15.0" customHeight="1">
      <c r="B154" s="56"/>
      <c r="C154" s="56"/>
      <c r="G154" s="3"/>
      <c r="L154" s="60"/>
      <c r="M154" s="60"/>
      <c r="N154" s="62"/>
      <c r="R154" s="65"/>
      <c r="AG154" s="91"/>
    </row>
    <row r="155" ht="15.0" customHeight="1">
      <c r="B155" s="56"/>
      <c r="C155" s="56"/>
      <c r="G155" s="3"/>
      <c r="L155" s="60"/>
      <c r="M155" s="60"/>
      <c r="N155" s="62"/>
      <c r="R155" s="65"/>
      <c r="AG155" s="91"/>
    </row>
    <row r="156" ht="15.0" customHeight="1">
      <c r="B156" s="56"/>
      <c r="C156" s="56"/>
      <c r="G156" s="3"/>
      <c r="L156" s="60"/>
      <c r="M156" s="60"/>
      <c r="N156" s="62"/>
      <c r="R156" s="65"/>
      <c r="AG156" s="91"/>
    </row>
    <row r="157" ht="15.0" customHeight="1">
      <c r="B157" s="56"/>
      <c r="C157" s="56"/>
      <c r="G157" s="3"/>
      <c r="L157" s="60"/>
      <c r="M157" s="60"/>
      <c r="N157" s="62"/>
      <c r="R157" s="65"/>
      <c r="AG157" s="91"/>
    </row>
    <row r="158" ht="15.0" customHeight="1">
      <c r="B158" s="56"/>
      <c r="C158" s="56"/>
      <c r="G158" s="3"/>
      <c r="L158" s="60"/>
      <c r="M158" s="60"/>
      <c r="N158" s="62"/>
      <c r="R158" s="65"/>
      <c r="AG158" s="91"/>
    </row>
    <row r="159" ht="15.0" customHeight="1">
      <c r="B159" s="56"/>
      <c r="C159" s="56"/>
      <c r="G159" s="3"/>
      <c r="L159" s="60"/>
      <c r="M159" s="60"/>
      <c r="N159" s="62"/>
      <c r="R159" s="65"/>
      <c r="AG159" s="91"/>
    </row>
    <row r="160" ht="15.0" customHeight="1">
      <c r="B160" s="56"/>
      <c r="C160" s="56"/>
      <c r="G160" s="3"/>
      <c r="L160" s="60"/>
      <c r="M160" s="60"/>
      <c r="N160" s="62"/>
      <c r="R160" s="65"/>
      <c r="AG160" s="91"/>
    </row>
    <row r="161" ht="15.0" customHeight="1">
      <c r="B161" s="56"/>
      <c r="C161" s="56"/>
      <c r="G161" s="3"/>
      <c r="L161" s="60"/>
      <c r="M161" s="60"/>
      <c r="N161" s="62"/>
      <c r="R161" s="65"/>
      <c r="AG161" s="91"/>
    </row>
    <row r="162" ht="15.0" customHeight="1">
      <c r="B162" s="56"/>
      <c r="C162" s="56"/>
      <c r="G162" s="3"/>
      <c r="L162" s="60"/>
      <c r="M162" s="60"/>
      <c r="N162" s="62"/>
      <c r="R162" s="65"/>
      <c r="AG162" s="91"/>
    </row>
    <row r="163" ht="15.0" customHeight="1">
      <c r="B163" s="56"/>
      <c r="C163" s="56"/>
      <c r="G163" s="3"/>
      <c r="L163" s="60"/>
      <c r="M163" s="60"/>
      <c r="N163" s="62"/>
      <c r="R163" s="65"/>
      <c r="AG163" s="91"/>
    </row>
    <row r="164" ht="15.0" customHeight="1">
      <c r="B164" s="56"/>
      <c r="C164" s="56"/>
      <c r="G164" s="3"/>
      <c r="L164" s="60"/>
      <c r="M164" s="60"/>
      <c r="N164" s="62"/>
      <c r="R164" s="65"/>
      <c r="AG164" s="91"/>
    </row>
    <row r="165" ht="15.0" customHeight="1">
      <c r="B165" s="56"/>
      <c r="C165" s="56"/>
      <c r="G165" s="3"/>
      <c r="L165" s="60"/>
      <c r="M165" s="60"/>
      <c r="N165" s="62"/>
      <c r="R165" s="65"/>
      <c r="AG165" s="91"/>
    </row>
    <row r="166" ht="15.0" customHeight="1">
      <c r="B166" s="56"/>
      <c r="C166" s="56"/>
      <c r="G166" s="3"/>
      <c r="L166" s="60"/>
      <c r="M166" s="60"/>
      <c r="N166" s="62"/>
      <c r="R166" s="65"/>
      <c r="AG166" s="91"/>
    </row>
    <row r="167" ht="15.0" customHeight="1">
      <c r="B167" s="56"/>
      <c r="C167" s="56"/>
      <c r="G167" s="3"/>
      <c r="L167" s="60"/>
      <c r="M167" s="60"/>
      <c r="N167" s="62"/>
      <c r="R167" s="65"/>
      <c r="AG167" s="91"/>
    </row>
    <row r="168" ht="15.0" customHeight="1">
      <c r="B168" s="56"/>
      <c r="C168" s="56"/>
      <c r="G168" s="3"/>
      <c r="L168" s="60"/>
      <c r="M168" s="60"/>
      <c r="N168" s="62"/>
      <c r="R168" s="65"/>
      <c r="AG168" s="91"/>
    </row>
    <row r="169" ht="15.0" customHeight="1">
      <c r="B169" s="56"/>
      <c r="C169" s="56"/>
      <c r="G169" s="3"/>
      <c r="L169" s="60"/>
      <c r="M169" s="60"/>
      <c r="N169" s="62"/>
      <c r="R169" s="65"/>
      <c r="AG169" s="91"/>
    </row>
    <row r="170" ht="15.0" customHeight="1">
      <c r="B170" s="56"/>
      <c r="C170" s="56"/>
      <c r="G170" s="3"/>
      <c r="L170" s="60"/>
      <c r="M170" s="60"/>
      <c r="N170" s="62"/>
      <c r="R170" s="65"/>
      <c r="AG170" s="91"/>
    </row>
    <row r="171" ht="15.0" customHeight="1">
      <c r="B171" s="56"/>
      <c r="C171" s="56"/>
      <c r="G171" s="3"/>
      <c r="L171" s="60"/>
      <c r="M171" s="60"/>
      <c r="N171" s="62"/>
      <c r="R171" s="65"/>
      <c r="AG171" s="91"/>
    </row>
    <row r="172" ht="15.0" customHeight="1">
      <c r="B172" s="56"/>
      <c r="C172" s="56"/>
      <c r="G172" s="3"/>
      <c r="L172" s="60"/>
      <c r="M172" s="60"/>
      <c r="N172" s="62"/>
      <c r="R172" s="65"/>
      <c r="AG172" s="91"/>
    </row>
    <row r="173" ht="15.0" customHeight="1">
      <c r="B173" s="56"/>
      <c r="C173" s="56"/>
      <c r="G173" s="3"/>
      <c r="L173" s="60"/>
      <c r="M173" s="60"/>
      <c r="N173" s="62"/>
      <c r="R173" s="65"/>
      <c r="AG173" s="91"/>
    </row>
    <row r="174" ht="15.0" customHeight="1">
      <c r="B174" s="56"/>
      <c r="C174" s="56"/>
      <c r="G174" s="3"/>
      <c r="L174" s="60"/>
      <c r="M174" s="60"/>
      <c r="N174" s="62"/>
      <c r="R174" s="65"/>
      <c r="AG174" s="91"/>
    </row>
    <row r="175" ht="15.0" customHeight="1">
      <c r="B175" s="56"/>
      <c r="C175" s="56"/>
      <c r="G175" s="3"/>
      <c r="L175" s="60"/>
      <c r="M175" s="60"/>
      <c r="N175" s="62"/>
      <c r="R175" s="65"/>
      <c r="AG175" s="91"/>
    </row>
    <row r="176" ht="15.0" customHeight="1">
      <c r="B176" s="56"/>
      <c r="C176" s="56"/>
      <c r="G176" s="3"/>
      <c r="L176" s="60"/>
      <c r="M176" s="60"/>
      <c r="N176" s="62"/>
      <c r="R176" s="65"/>
      <c r="AG176" s="91"/>
    </row>
    <row r="177" ht="15.0" customHeight="1">
      <c r="B177" s="56"/>
      <c r="C177" s="56"/>
      <c r="G177" s="3"/>
      <c r="L177" s="60"/>
      <c r="M177" s="60"/>
      <c r="N177" s="62"/>
      <c r="R177" s="65"/>
      <c r="AG177" s="91"/>
    </row>
    <row r="178" ht="15.0" customHeight="1">
      <c r="B178" s="56"/>
      <c r="C178" s="56"/>
      <c r="G178" s="3"/>
      <c r="L178" s="60"/>
      <c r="M178" s="60"/>
      <c r="N178" s="62"/>
      <c r="R178" s="65"/>
      <c r="AG178" s="91"/>
    </row>
    <row r="179" ht="15.0" customHeight="1">
      <c r="B179" s="56"/>
      <c r="C179" s="56"/>
      <c r="G179" s="3"/>
      <c r="L179" s="60"/>
      <c r="M179" s="60"/>
      <c r="N179" s="62"/>
      <c r="R179" s="65"/>
      <c r="AG179" s="91"/>
    </row>
    <row r="180" ht="15.0" customHeight="1">
      <c r="B180" s="56"/>
      <c r="C180" s="56"/>
      <c r="G180" s="3"/>
      <c r="L180" s="60"/>
      <c r="M180" s="60"/>
      <c r="N180" s="62"/>
      <c r="R180" s="65"/>
      <c r="AG180" s="91"/>
    </row>
    <row r="181" ht="15.0" customHeight="1">
      <c r="B181" s="56"/>
      <c r="C181" s="56"/>
      <c r="G181" s="3"/>
      <c r="L181" s="60"/>
      <c r="M181" s="60"/>
      <c r="N181" s="62"/>
      <c r="R181" s="65"/>
      <c r="AG181" s="91"/>
    </row>
    <row r="182" ht="15.0" customHeight="1">
      <c r="B182" s="56"/>
      <c r="C182" s="56"/>
      <c r="G182" s="3"/>
      <c r="L182" s="60"/>
      <c r="M182" s="60"/>
      <c r="N182" s="62"/>
      <c r="R182" s="65"/>
      <c r="AG182" s="91"/>
    </row>
    <row r="183" ht="15.0" customHeight="1">
      <c r="B183" s="56"/>
      <c r="C183" s="56"/>
      <c r="G183" s="3"/>
      <c r="L183" s="60"/>
      <c r="M183" s="60"/>
      <c r="N183" s="62"/>
      <c r="R183" s="65"/>
      <c r="AG183" s="91"/>
    </row>
    <row r="184" ht="15.0" customHeight="1">
      <c r="B184" s="56"/>
      <c r="C184" s="56"/>
      <c r="G184" s="3"/>
      <c r="L184" s="60"/>
      <c r="M184" s="60"/>
      <c r="N184" s="62"/>
      <c r="R184" s="65"/>
      <c r="AG184" s="91"/>
    </row>
    <row r="185" ht="15.0" customHeight="1">
      <c r="B185" s="56"/>
      <c r="C185" s="56"/>
      <c r="G185" s="3"/>
      <c r="L185" s="60"/>
      <c r="M185" s="60"/>
      <c r="N185" s="62"/>
      <c r="R185" s="65"/>
      <c r="AG185" s="91"/>
    </row>
    <row r="186" ht="15.0" customHeight="1">
      <c r="B186" s="56"/>
      <c r="C186" s="56"/>
      <c r="G186" s="3"/>
      <c r="L186" s="60"/>
      <c r="M186" s="60"/>
      <c r="N186" s="62"/>
      <c r="R186" s="65"/>
      <c r="AG186" s="91"/>
    </row>
    <row r="187" ht="15.0" customHeight="1">
      <c r="B187" s="56"/>
      <c r="C187" s="56"/>
      <c r="G187" s="3"/>
      <c r="L187" s="60"/>
      <c r="M187" s="60"/>
      <c r="N187" s="62"/>
      <c r="R187" s="65"/>
      <c r="AG187" s="91"/>
    </row>
    <row r="188" ht="15.0" customHeight="1">
      <c r="B188" s="56"/>
      <c r="C188" s="56"/>
      <c r="G188" s="3"/>
      <c r="L188" s="60"/>
      <c r="M188" s="60"/>
      <c r="N188" s="62"/>
      <c r="R188" s="65"/>
      <c r="AG188" s="91"/>
    </row>
    <row r="189" ht="15.0" customHeight="1">
      <c r="B189" s="56"/>
      <c r="C189" s="56"/>
      <c r="G189" s="3"/>
      <c r="L189" s="60"/>
      <c r="M189" s="60"/>
      <c r="N189" s="62"/>
      <c r="R189" s="65"/>
      <c r="AG189" s="91"/>
    </row>
    <row r="190" ht="15.0" customHeight="1">
      <c r="B190" s="56"/>
      <c r="C190" s="56"/>
      <c r="G190" s="3"/>
      <c r="L190" s="60"/>
      <c r="M190" s="60"/>
      <c r="N190" s="62"/>
      <c r="R190" s="65"/>
      <c r="AG190" s="91"/>
    </row>
    <row r="191" ht="15.0" customHeight="1">
      <c r="B191" s="56"/>
      <c r="C191" s="56"/>
      <c r="G191" s="3"/>
      <c r="L191" s="60"/>
      <c r="M191" s="60"/>
      <c r="N191" s="62"/>
      <c r="R191" s="65"/>
      <c r="AG191" s="91"/>
    </row>
    <row r="192" ht="15.0" customHeight="1">
      <c r="B192" s="56"/>
      <c r="C192" s="56"/>
      <c r="G192" s="3"/>
      <c r="L192" s="60"/>
      <c r="M192" s="60"/>
      <c r="N192" s="62"/>
      <c r="R192" s="65"/>
      <c r="AG192" s="91"/>
    </row>
    <row r="193" ht="15.0" customHeight="1">
      <c r="B193" s="56"/>
      <c r="C193" s="56"/>
      <c r="G193" s="3"/>
      <c r="L193" s="60"/>
      <c r="M193" s="60"/>
      <c r="N193" s="62"/>
      <c r="R193" s="65"/>
      <c r="AG193" s="91"/>
    </row>
    <row r="194" ht="15.0" customHeight="1">
      <c r="B194" s="56"/>
      <c r="C194" s="56"/>
      <c r="G194" s="3"/>
      <c r="L194" s="60"/>
      <c r="M194" s="60"/>
      <c r="N194" s="62"/>
      <c r="R194" s="65"/>
      <c r="AG194" s="91"/>
    </row>
    <row r="195" ht="15.0" customHeight="1">
      <c r="B195" s="56"/>
      <c r="C195" s="56"/>
      <c r="G195" s="3"/>
      <c r="L195" s="60"/>
      <c r="M195" s="60"/>
      <c r="N195" s="62"/>
      <c r="R195" s="65"/>
      <c r="AG195" s="91"/>
    </row>
    <row r="196" ht="15.0" customHeight="1">
      <c r="B196" s="56"/>
      <c r="C196" s="56"/>
      <c r="G196" s="3"/>
      <c r="L196" s="60"/>
      <c r="M196" s="60"/>
      <c r="N196" s="62"/>
      <c r="R196" s="65"/>
      <c r="AG196" s="91"/>
    </row>
    <row r="197" ht="15.0" customHeight="1">
      <c r="B197" s="56"/>
      <c r="C197" s="56"/>
      <c r="G197" s="3"/>
      <c r="L197" s="60"/>
      <c r="M197" s="60"/>
      <c r="N197" s="62"/>
      <c r="R197" s="65"/>
      <c r="AG197" s="91"/>
    </row>
    <row r="198" ht="15.0" customHeight="1">
      <c r="B198" s="56"/>
      <c r="C198" s="56"/>
      <c r="G198" s="3"/>
      <c r="L198" s="60"/>
      <c r="M198" s="60"/>
      <c r="N198" s="62"/>
      <c r="R198" s="65"/>
      <c r="AG198" s="91"/>
    </row>
    <row r="199" ht="15.0" customHeight="1">
      <c r="B199" s="56"/>
      <c r="C199" s="56"/>
      <c r="G199" s="3"/>
      <c r="L199" s="60"/>
      <c r="M199" s="60"/>
      <c r="N199" s="62"/>
      <c r="R199" s="65"/>
      <c r="AG199" s="91"/>
    </row>
    <row r="200" ht="15.0" customHeight="1">
      <c r="B200" s="56"/>
      <c r="C200" s="56"/>
      <c r="G200" s="3"/>
      <c r="L200" s="60"/>
      <c r="M200" s="60"/>
      <c r="N200" s="62"/>
      <c r="R200" s="65"/>
      <c r="AG200" s="91"/>
    </row>
    <row r="201" ht="15.0" customHeight="1">
      <c r="B201" s="56"/>
      <c r="C201" s="56"/>
      <c r="G201" s="3"/>
      <c r="L201" s="60"/>
      <c r="M201" s="60"/>
      <c r="N201" s="62"/>
      <c r="R201" s="65"/>
      <c r="AG201" s="91"/>
    </row>
    <row r="202" ht="15.0" customHeight="1">
      <c r="B202" s="56"/>
      <c r="C202" s="56"/>
      <c r="G202" s="3"/>
      <c r="L202" s="60"/>
      <c r="M202" s="60"/>
      <c r="N202" s="62"/>
      <c r="R202" s="65"/>
      <c r="AG202" s="91"/>
    </row>
    <row r="203" ht="15.0" customHeight="1">
      <c r="B203" s="56"/>
      <c r="C203" s="56"/>
      <c r="G203" s="3"/>
      <c r="L203" s="60"/>
      <c r="M203" s="60"/>
      <c r="N203" s="62"/>
      <c r="R203" s="65"/>
      <c r="AG203" s="91"/>
    </row>
    <row r="204" ht="15.0" customHeight="1">
      <c r="B204" s="56"/>
      <c r="C204" s="56"/>
      <c r="G204" s="3"/>
      <c r="L204" s="60"/>
      <c r="M204" s="60"/>
      <c r="N204" s="62"/>
      <c r="R204" s="65"/>
      <c r="AG204" s="91"/>
    </row>
    <row r="205" ht="15.0" customHeight="1">
      <c r="B205" s="56"/>
      <c r="C205" s="56"/>
      <c r="G205" s="3"/>
      <c r="L205" s="60"/>
      <c r="M205" s="60"/>
      <c r="N205" s="62"/>
      <c r="R205" s="65"/>
      <c r="AG205" s="91"/>
    </row>
    <row r="206" ht="15.0" customHeight="1">
      <c r="B206" s="56"/>
      <c r="C206" s="56"/>
      <c r="G206" s="3"/>
      <c r="L206" s="60"/>
      <c r="M206" s="60"/>
      <c r="N206" s="62"/>
      <c r="R206" s="65"/>
      <c r="AG206" s="91"/>
    </row>
    <row r="207" ht="15.0" customHeight="1">
      <c r="B207" s="56"/>
      <c r="C207" s="56"/>
      <c r="G207" s="3"/>
      <c r="L207" s="60"/>
      <c r="M207" s="60"/>
      <c r="N207" s="62"/>
      <c r="R207" s="65"/>
      <c r="AG207" s="91"/>
    </row>
    <row r="208" ht="15.0" customHeight="1">
      <c r="B208" s="56"/>
      <c r="C208" s="56"/>
      <c r="G208" s="3"/>
      <c r="L208" s="60"/>
      <c r="M208" s="60"/>
      <c r="N208" s="62"/>
      <c r="R208" s="65"/>
      <c r="AG208" s="91"/>
    </row>
    <row r="209" ht="15.0" customHeight="1">
      <c r="B209" s="56"/>
      <c r="C209" s="56"/>
      <c r="G209" s="3"/>
      <c r="L209" s="60"/>
      <c r="M209" s="60"/>
      <c r="N209" s="62"/>
      <c r="R209" s="65"/>
      <c r="AG209" s="91"/>
    </row>
    <row r="210" ht="15.0" customHeight="1">
      <c r="B210" s="56"/>
      <c r="C210" s="56"/>
      <c r="G210" s="3"/>
      <c r="L210" s="60"/>
      <c r="M210" s="60"/>
      <c r="N210" s="62"/>
      <c r="R210" s="65"/>
      <c r="AG210" s="91"/>
    </row>
    <row r="211" ht="15.0" customHeight="1">
      <c r="B211" s="56"/>
      <c r="C211" s="56"/>
      <c r="G211" s="3"/>
      <c r="L211" s="60"/>
      <c r="M211" s="60"/>
      <c r="N211" s="62"/>
      <c r="R211" s="65"/>
      <c r="AG211" s="91"/>
    </row>
    <row r="212" ht="15.0" customHeight="1">
      <c r="B212" s="56"/>
      <c r="C212" s="56"/>
      <c r="G212" s="3"/>
      <c r="L212" s="60"/>
      <c r="M212" s="60"/>
      <c r="N212" s="62"/>
      <c r="R212" s="65"/>
      <c r="AG212" s="91"/>
    </row>
    <row r="213" ht="15.0" customHeight="1">
      <c r="B213" s="56"/>
      <c r="C213" s="56"/>
      <c r="G213" s="3"/>
      <c r="L213" s="60"/>
      <c r="M213" s="60"/>
      <c r="N213" s="62"/>
      <c r="R213" s="65"/>
      <c r="AG213" s="91"/>
    </row>
    <row r="214" ht="15.0" customHeight="1">
      <c r="B214" s="56"/>
      <c r="C214" s="56"/>
      <c r="G214" s="3"/>
      <c r="L214" s="60"/>
      <c r="M214" s="60"/>
      <c r="N214" s="62"/>
      <c r="R214" s="65"/>
      <c r="AG214" s="91"/>
    </row>
    <row r="215" ht="15.0" customHeight="1">
      <c r="B215" s="56"/>
      <c r="C215" s="56"/>
      <c r="G215" s="3"/>
      <c r="L215" s="60"/>
      <c r="M215" s="60"/>
      <c r="N215" s="62"/>
      <c r="R215" s="65"/>
      <c r="AG215" s="91"/>
    </row>
    <row r="216" ht="15.0" customHeight="1">
      <c r="B216" s="56"/>
      <c r="C216" s="56"/>
      <c r="G216" s="3"/>
      <c r="L216" s="60"/>
      <c r="M216" s="60"/>
      <c r="N216" s="62"/>
      <c r="R216" s="65"/>
      <c r="AG216" s="91"/>
    </row>
    <row r="217" ht="15.0" customHeight="1">
      <c r="B217" s="56"/>
      <c r="C217" s="56"/>
      <c r="G217" s="3"/>
      <c r="L217" s="60"/>
      <c r="M217" s="60"/>
      <c r="N217" s="62"/>
      <c r="R217" s="65"/>
      <c r="AG217" s="91"/>
    </row>
    <row r="218" ht="15.0" customHeight="1">
      <c r="B218" s="56"/>
      <c r="C218" s="56"/>
      <c r="G218" s="3"/>
      <c r="L218" s="60"/>
      <c r="M218" s="60"/>
      <c r="N218" s="62"/>
      <c r="R218" s="65"/>
      <c r="AG218" s="91"/>
    </row>
    <row r="219" ht="15.0" customHeight="1">
      <c r="B219" s="56"/>
      <c r="C219" s="56"/>
      <c r="G219" s="3"/>
      <c r="L219" s="60"/>
      <c r="M219" s="60"/>
      <c r="N219" s="62"/>
      <c r="R219" s="65"/>
      <c r="AG219" s="91"/>
    </row>
    <row r="220" ht="15.0" customHeight="1">
      <c r="B220" s="56"/>
      <c r="C220" s="56"/>
      <c r="G220" s="3"/>
      <c r="L220" s="60"/>
      <c r="M220" s="60"/>
      <c r="N220" s="62"/>
      <c r="R220" s="65"/>
      <c r="AG220" s="91"/>
    </row>
    <row r="221" ht="15.0" customHeight="1">
      <c r="B221" s="56"/>
      <c r="C221" s="56"/>
      <c r="G221" s="3"/>
      <c r="L221" s="60"/>
      <c r="M221" s="60"/>
      <c r="N221" s="62"/>
      <c r="R221" s="65"/>
      <c r="AG221" s="91"/>
    </row>
    <row r="222" ht="15.0" customHeight="1">
      <c r="B222" s="56"/>
      <c r="C222" s="56"/>
      <c r="G222" s="3"/>
      <c r="L222" s="60"/>
      <c r="M222" s="60"/>
      <c r="N222" s="62"/>
      <c r="R222" s="65"/>
      <c r="AG222" s="91"/>
    </row>
    <row r="223" ht="15.0" customHeight="1">
      <c r="B223" s="56"/>
      <c r="C223" s="56"/>
      <c r="G223" s="3"/>
      <c r="L223" s="60"/>
      <c r="M223" s="60"/>
      <c r="N223" s="62"/>
      <c r="R223" s="65"/>
      <c r="AG223" s="91"/>
    </row>
    <row r="224" ht="15.0" customHeight="1">
      <c r="B224" s="56"/>
      <c r="C224" s="56"/>
      <c r="G224" s="3"/>
      <c r="L224" s="60"/>
      <c r="M224" s="60"/>
      <c r="N224" s="62"/>
      <c r="R224" s="65"/>
      <c r="AG224" s="91"/>
    </row>
    <row r="225" ht="15.0" customHeight="1">
      <c r="B225" s="56"/>
      <c r="C225" s="56"/>
      <c r="G225" s="3"/>
      <c r="L225" s="60"/>
      <c r="M225" s="60"/>
      <c r="N225" s="62"/>
      <c r="R225" s="65"/>
      <c r="AG225" s="91"/>
    </row>
    <row r="226" ht="15.0" customHeight="1">
      <c r="B226" s="56"/>
      <c r="C226" s="56"/>
      <c r="G226" s="3"/>
      <c r="L226" s="60"/>
      <c r="M226" s="60"/>
      <c r="N226" s="62"/>
      <c r="R226" s="65"/>
      <c r="AG226" s="91"/>
    </row>
    <row r="227" ht="15.0" customHeight="1">
      <c r="B227" s="56"/>
      <c r="C227" s="56"/>
      <c r="G227" s="3"/>
      <c r="L227" s="60"/>
      <c r="M227" s="60"/>
      <c r="N227" s="62"/>
      <c r="R227" s="65"/>
      <c r="AG227" s="91"/>
    </row>
    <row r="228" ht="15.0" customHeight="1">
      <c r="B228" s="56"/>
      <c r="C228" s="56"/>
      <c r="G228" s="3"/>
      <c r="L228" s="60"/>
      <c r="M228" s="60"/>
      <c r="N228" s="62"/>
      <c r="R228" s="65"/>
      <c r="AG228" s="91"/>
    </row>
    <row r="229" ht="15.0" customHeight="1">
      <c r="B229" s="56"/>
      <c r="C229" s="56"/>
      <c r="G229" s="3"/>
      <c r="L229" s="60"/>
      <c r="M229" s="60"/>
      <c r="N229" s="62"/>
      <c r="R229" s="65"/>
      <c r="AG229" s="91"/>
    </row>
    <row r="230" ht="15.0" customHeight="1">
      <c r="B230" s="56"/>
      <c r="C230" s="56"/>
      <c r="G230" s="3"/>
      <c r="L230" s="60"/>
      <c r="M230" s="60"/>
      <c r="N230" s="62"/>
      <c r="R230" s="65"/>
      <c r="AG230" s="91"/>
    </row>
    <row r="231" ht="15.0" customHeight="1">
      <c r="B231" s="56"/>
      <c r="C231" s="56"/>
      <c r="G231" s="3"/>
      <c r="L231" s="60"/>
      <c r="M231" s="60"/>
      <c r="N231" s="62"/>
      <c r="R231" s="65"/>
      <c r="AG231" s="91"/>
    </row>
    <row r="232" ht="15.0" customHeight="1">
      <c r="B232" s="56"/>
      <c r="C232" s="56"/>
      <c r="G232" s="3"/>
      <c r="L232" s="60"/>
      <c r="M232" s="60"/>
      <c r="N232" s="62"/>
      <c r="R232" s="65"/>
      <c r="AG232" s="91"/>
    </row>
    <row r="233" ht="15.0" customHeight="1">
      <c r="B233" s="56"/>
      <c r="C233" s="56"/>
      <c r="G233" s="3"/>
      <c r="L233" s="60"/>
      <c r="M233" s="60"/>
      <c r="N233" s="62"/>
      <c r="R233" s="65"/>
      <c r="AG233" s="91"/>
    </row>
    <row r="234" ht="15.0" customHeight="1">
      <c r="B234" s="56"/>
      <c r="C234" s="56"/>
      <c r="G234" s="3"/>
      <c r="L234" s="60"/>
      <c r="M234" s="60"/>
      <c r="N234" s="62"/>
      <c r="R234" s="65"/>
      <c r="AG234" s="91"/>
    </row>
    <row r="235" ht="15.0" customHeight="1">
      <c r="B235" s="56"/>
      <c r="C235" s="56"/>
      <c r="G235" s="3"/>
      <c r="L235" s="60"/>
      <c r="M235" s="60"/>
      <c r="N235" s="62"/>
      <c r="R235" s="65"/>
      <c r="AG235" s="91"/>
    </row>
    <row r="236" ht="15.0" customHeight="1">
      <c r="B236" s="56"/>
      <c r="C236" s="56"/>
      <c r="G236" s="3"/>
      <c r="L236" s="60"/>
      <c r="M236" s="60"/>
      <c r="N236" s="62"/>
      <c r="R236" s="65"/>
      <c r="AG236" s="91"/>
    </row>
    <row r="237" ht="15.0" customHeight="1">
      <c r="B237" s="56"/>
      <c r="C237" s="56"/>
      <c r="G237" s="3"/>
      <c r="L237" s="60"/>
      <c r="M237" s="60"/>
      <c r="N237" s="62"/>
      <c r="R237" s="65"/>
      <c r="AG237" s="91"/>
    </row>
    <row r="238" ht="15.0" customHeight="1">
      <c r="B238" s="56"/>
      <c r="C238" s="56"/>
      <c r="G238" s="3"/>
      <c r="L238" s="60"/>
      <c r="M238" s="60"/>
      <c r="N238" s="62"/>
      <c r="R238" s="65"/>
      <c r="AG238" s="91"/>
    </row>
    <row r="239" ht="15.0" customHeight="1">
      <c r="B239" s="56"/>
      <c r="C239" s="56"/>
      <c r="G239" s="3"/>
      <c r="L239" s="60"/>
      <c r="M239" s="60"/>
      <c r="N239" s="62"/>
      <c r="R239" s="65"/>
      <c r="AG239" s="91"/>
    </row>
    <row r="240" ht="15.0" customHeight="1">
      <c r="B240" s="56"/>
      <c r="C240" s="56"/>
      <c r="G240" s="3"/>
      <c r="L240" s="60"/>
      <c r="M240" s="60"/>
      <c r="N240" s="62"/>
      <c r="R240" s="65"/>
      <c r="AG240" s="91"/>
    </row>
    <row r="241" ht="15.0" customHeight="1">
      <c r="B241" s="56"/>
      <c r="C241" s="56"/>
      <c r="G241" s="3"/>
      <c r="L241" s="60"/>
      <c r="M241" s="60"/>
      <c r="N241" s="62"/>
      <c r="R241" s="65"/>
      <c r="AG241" s="91"/>
    </row>
    <row r="242" ht="15.0" customHeight="1">
      <c r="B242" s="56"/>
      <c r="C242" s="56"/>
      <c r="G242" s="3"/>
      <c r="L242" s="60"/>
      <c r="M242" s="60"/>
      <c r="N242" s="62"/>
      <c r="R242" s="65"/>
      <c r="AG242" s="91"/>
    </row>
    <row r="243" ht="15.0" customHeight="1">
      <c r="B243" s="56"/>
      <c r="C243" s="56"/>
      <c r="G243" s="3"/>
      <c r="L243" s="60"/>
      <c r="M243" s="60"/>
      <c r="N243" s="62"/>
      <c r="R243" s="65"/>
      <c r="AG243" s="91"/>
    </row>
    <row r="244" ht="15.0" customHeight="1">
      <c r="B244" s="56"/>
      <c r="C244" s="56"/>
      <c r="G244" s="3"/>
      <c r="L244" s="60"/>
      <c r="M244" s="60"/>
      <c r="N244" s="62"/>
      <c r="R244" s="65"/>
      <c r="AG244" s="91"/>
    </row>
    <row r="245" ht="15.0" customHeight="1">
      <c r="B245" s="56"/>
      <c r="C245" s="56"/>
      <c r="G245" s="3"/>
      <c r="L245" s="60"/>
      <c r="M245" s="60"/>
      <c r="N245" s="62"/>
      <c r="R245" s="65"/>
      <c r="AG245" s="91"/>
    </row>
    <row r="246" ht="15.0" customHeight="1">
      <c r="B246" s="56"/>
      <c r="C246" s="56"/>
      <c r="G246" s="3"/>
      <c r="L246" s="60"/>
      <c r="M246" s="60"/>
      <c r="N246" s="62"/>
      <c r="R246" s="65"/>
      <c r="AG246" s="91"/>
    </row>
    <row r="247" ht="15.0" customHeight="1">
      <c r="B247" s="56"/>
      <c r="C247" s="56"/>
      <c r="G247" s="3"/>
      <c r="L247" s="60"/>
      <c r="M247" s="60"/>
      <c r="N247" s="62"/>
      <c r="R247" s="65"/>
      <c r="AG247" s="91"/>
    </row>
    <row r="248" ht="15.0" customHeight="1">
      <c r="B248" s="56"/>
      <c r="C248" s="56"/>
      <c r="G248" s="3"/>
      <c r="L248" s="60"/>
      <c r="M248" s="60"/>
      <c r="N248" s="62"/>
      <c r="R248" s="65"/>
      <c r="AG248" s="91"/>
    </row>
    <row r="249" ht="15.0" customHeight="1">
      <c r="B249" s="56"/>
      <c r="C249" s="56"/>
      <c r="G249" s="3"/>
      <c r="L249" s="60"/>
      <c r="M249" s="60"/>
      <c r="N249" s="62"/>
      <c r="R249" s="65"/>
      <c r="AG249" s="91"/>
    </row>
    <row r="250" ht="15.0" customHeight="1">
      <c r="B250" s="56"/>
      <c r="C250" s="56"/>
      <c r="G250" s="3"/>
      <c r="L250" s="60"/>
      <c r="M250" s="60"/>
      <c r="N250" s="62"/>
      <c r="R250" s="65"/>
      <c r="AG250" s="91"/>
    </row>
    <row r="251" ht="15.0" customHeight="1">
      <c r="B251" s="56"/>
      <c r="C251" s="56"/>
      <c r="G251" s="3"/>
      <c r="L251" s="60"/>
      <c r="M251" s="60"/>
      <c r="N251" s="62"/>
      <c r="R251" s="65"/>
      <c r="AG251" s="91"/>
    </row>
    <row r="252" ht="15.0" customHeight="1">
      <c r="B252" s="56"/>
      <c r="C252" s="56"/>
      <c r="G252" s="3"/>
      <c r="L252" s="60"/>
      <c r="M252" s="60"/>
      <c r="N252" s="62"/>
      <c r="R252" s="65"/>
      <c r="AG252" s="91"/>
    </row>
    <row r="253" ht="15.0" customHeight="1">
      <c r="B253" s="56"/>
      <c r="C253" s="56"/>
      <c r="G253" s="3"/>
      <c r="L253" s="60"/>
      <c r="M253" s="60"/>
      <c r="N253" s="62"/>
      <c r="R253" s="65"/>
      <c r="AG253" s="91"/>
    </row>
    <row r="254" ht="15.0" customHeight="1">
      <c r="B254" s="56"/>
      <c r="C254" s="56"/>
      <c r="G254" s="3"/>
      <c r="L254" s="60"/>
      <c r="M254" s="60"/>
      <c r="N254" s="62"/>
      <c r="R254" s="65"/>
      <c r="AG254" s="91"/>
    </row>
    <row r="255" ht="15.0" customHeight="1">
      <c r="B255" s="56"/>
      <c r="C255" s="56"/>
      <c r="G255" s="3"/>
      <c r="L255" s="60"/>
      <c r="M255" s="60"/>
      <c r="N255" s="62"/>
      <c r="R255" s="65"/>
      <c r="AG255" s="91"/>
    </row>
    <row r="256" ht="15.0" customHeight="1">
      <c r="B256" s="56"/>
      <c r="C256" s="56"/>
      <c r="G256" s="3"/>
      <c r="L256" s="60"/>
      <c r="M256" s="60"/>
      <c r="N256" s="62"/>
      <c r="R256" s="65"/>
      <c r="AG256" s="91"/>
    </row>
    <row r="257" ht="15.0" customHeight="1">
      <c r="B257" s="56"/>
      <c r="C257" s="56"/>
      <c r="G257" s="3"/>
      <c r="L257" s="60"/>
      <c r="M257" s="60"/>
      <c r="N257" s="62"/>
      <c r="R257" s="65"/>
      <c r="AG257" s="91"/>
    </row>
    <row r="258" ht="15.0" customHeight="1">
      <c r="B258" s="56"/>
      <c r="C258" s="56"/>
      <c r="G258" s="3"/>
      <c r="L258" s="60"/>
      <c r="M258" s="60"/>
      <c r="N258" s="62"/>
      <c r="R258" s="65"/>
      <c r="AG258" s="91"/>
    </row>
    <row r="259" ht="15.0" customHeight="1">
      <c r="B259" s="56"/>
      <c r="C259" s="56"/>
      <c r="G259" s="3"/>
      <c r="L259" s="60"/>
      <c r="M259" s="60"/>
      <c r="N259" s="62"/>
      <c r="R259" s="65"/>
      <c r="AG259" s="91"/>
    </row>
    <row r="260" ht="15.0" customHeight="1">
      <c r="B260" s="56"/>
      <c r="C260" s="56"/>
      <c r="G260" s="3"/>
      <c r="L260" s="60"/>
      <c r="M260" s="60"/>
      <c r="N260" s="62"/>
      <c r="R260" s="65"/>
      <c r="AG260" s="91"/>
    </row>
    <row r="261" ht="15.0" customHeight="1">
      <c r="B261" s="56"/>
      <c r="C261" s="56"/>
      <c r="G261" s="3"/>
      <c r="L261" s="60"/>
      <c r="M261" s="60"/>
      <c r="N261" s="62"/>
      <c r="R261" s="65"/>
      <c r="AG261" s="91"/>
    </row>
    <row r="262" ht="15.0" customHeight="1">
      <c r="B262" s="56"/>
      <c r="C262" s="56"/>
      <c r="G262" s="3"/>
      <c r="L262" s="60"/>
      <c r="M262" s="60"/>
      <c r="N262" s="62"/>
      <c r="R262" s="65"/>
      <c r="AG262" s="91"/>
    </row>
    <row r="263" ht="15.0" customHeight="1">
      <c r="B263" s="56"/>
      <c r="C263" s="56"/>
      <c r="G263" s="3"/>
      <c r="L263" s="60"/>
      <c r="M263" s="60"/>
      <c r="N263" s="62"/>
      <c r="R263" s="65"/>
      <c r="AG263" s="91"/>
    </row>
    <row r="264" ht="15.0" customHeight="1">
      <c r="B264" s="56"/>
      <c r="C264" s="56"/>
      <c r="G264" s="3"/>
      <c r="L264" s="60"/>
      <c r="M264" s="60"/>
      <c r="N264" s="62"/>
      <c r="R264" s="65"/>
      <c r="AG264" s="91"/>
    </row>
    <row r="265" ht="15.0" customHeight="1">
      <c r="B265" s="56"/>
      <c r="C265" s="56"/>
      <c r="G265" s="3"/>
      <c r="L265" s="60"/>
      <c r="M265" s="60"/>
      <c r="N265" s="62"/>
      <c r="R265" s="65"/>
      <c r="AG265" s="91"/>
    </row>
    <row r="266" ht="15.0" customHeight="1">
      <c r="B266" s="56"/>
      <c r="C266" s="56"/>
      <c r="G266" s="3"/>
      <c r="L266" s="60"/>
      <c r="M266" s="60"/>
      <c r="N266" s="62"/>
      <c r="R266" s="65"/>
      <c r="AG266" s="91"/>
    </row>
    <row r="267" ht="15.0" customHeight="1">
      <c r="B267" s="56"/>
      <c r="C267" s="56"/>
      <c r="G267" s="3"/>
      <c r="L267" s="60"/>
      <c r="M267" s="60"/>
      <c r="N267" s="62"/>
      <c r="R267" s="65"/>
      <c r="AG267" s="91"/>
    </row>
    <row r="268" ht="15.0" customHeight="1">
      <c r="B268" s="56"/>
      <c r="C268" s="56"/>
      <c r="G268" s="3"/>
      <c r="L268" s="60"/>
      <c r="M268" s="60"/>
      <c r="N268" s="62"/>
      <c r="R268" s="65"/>
      <c r="AG268" s="91"/>
    </row>
    <row r="269" ht="15.0" customHeight="1">
      <c r="B269" s="56"/>
      <c r="C269" s="56"/>
      <c r="G269" s="3"/>
      <c r="L269" s="60"/>
      <c r="M269" s="60"/>
      <c r="N269" s="62"/>
      <c r="R269" s="65"/>
      <c r="AG269" s="91"/>
    </row>
    <row r="270" ht="15.0" customHeight="1">
      <c r="B270" s="56"/>
      <c r="C270" s="56"/>
      <c r="G270" s="3"/>
      <c r="L270" s="60"/>
      <c r="M270" s="60"/>
      <c r="N270" s="62"/>
      <c r="R270" s="65"/>
      <c r="AG270" s="91"/>
    </row>
    <row r="271" ht="15.0" customHeight="1">
      <c r="B271" s="56"/>
      <c r="C271" s="56"/>
      <c r="G271" s="3"/>
      <c r="L271" s="60"/>
      <c r="M271" s="60"/>
      <c r="N271" s="62"/>
      <c r="R271" s="65"/>
      <c r="AG271" s="91"/>
    </row>
    <row r="272" ht="15.0" customHeight="1">
      <c r="B272" s="56"/>
      <c r="C272" s="56"/>
      <c r="G272" s="3"/>
      <c r="L272" s="60"/>
      <c r="M272" s="60"/>
      <c r="N272" s="62"/>
      <c r="R272" s="65"/>
      <c r="AG272" s="91"/>
    </row>
    <row r="273" ht="15.0" customHeight="1">
      <c r="B273" s="56"/>
      <c r="C273" s="56"/>
      <c r="G273" s="3"/>
      <c r="L273" s="60"/>
      <c r="M273" s="60"/>
      <c r="N273" s="62"/>
      <c r="R273" s="65"/>
      <c r="AG273" s="91"/>
    </row>
    <row r="274" ht="15.0" customHeight="1">
      <c r="B274" s="56"/>
      <c r="C274" s="56"/>
      <c r="G274" s="3"/>
      <c r="L274" s="60"/>
      <c r="M274" s="60"/>
      <c r="N274" s="62"/>
      <c r="R274" s="65"/>
      <c r="AG274" s="91"/>
    </row>
    <row r="275" ht="15.0" customHeight="1">
      <c r="B275" s="56"/>
      <c r="C275" s="56"/>
      <c r="G275" s="3"/>
      <c r="L275" s="60"/>
      <c r="M275" s="60"/>
      <c r="N275" s="62"/>
      <c r="R275" s="65"/>
      <c r="AG275" s="91"/>
    </row>
    <row r="276" ht="15.0" customHeight="1">
      <c r="B276" s="56"/>
      <c r="C276" s="56"/>
      <c r="G276" s="3"/>
      <c r="L276" s="60"/>
      <c r="M276" s="60"/>
      <c r="N276" s="62"/>
      <c r="R276" s="65"/>
      <c r="AG276" s="91"/>
    </row>
    <row r="277" ht="15.0" customHeight="1">
      <c r="B277" s="56"/>
      <c r="C277" s="56"/>
      <c r="G277" s="3"/>
      <c r="L277" s="60"/>
      <c r="M277" s="60"/>
      <c r="N277" s="62"/>
      <c r="R277" s="65"/>
      <c r="AG277" s="91"/>
    </row>
    <row r="278" ht="15.0" customHeight="1">
      <c r="B278" s="56"/>
      <c r="C278" s="56"/>
      <c r="G278" s="3"/>
      <c r="L278" s="60"/>
      <c r="M278" s="60"/>
      <c r="N278" s="62"/>
      <c r="R278" s="65"/>
      <c r="AG278" s="91"/>
    </row>
    <row r="279" ht="15.0" customHeight="1">
      <c r="B279" s="56"/>
      <c r="C279" s="56"/>
      <c r="G279" s="3"/>
      <c r="L279" s="60"/>
      <c r="M279" s="60"/>
      <c r="N279" s="62"/>
      <c r="R279" s="65"/>
      <c r="AG279" s="91"/>
    </row>
    <row r="280" ht="15.0" customHeight="1">
      <c r="B280" s="56"/>
      <c r="C280" s="56"/>
      <c r="G280" s="3"/>
      <c r="L280" s="60"/>
      <c r="M280" s="60"/>
      <c r="N280" s="62"/>
      <c r="R280" s="65"/>
      <c r="AG280" s="91"/>
    </row>
    <row r="281" ht="15.0" customHeight="1">
      <c r="B281" s="56"/>
      <c r="C281" s="56"/>
      <c r="G281" s="3"/>
      <c r="L281" s="60"/>
      <c r="M281" s="60"/>
      <c r="N281" s="62"/>
      <c r="R281" s="65"/>
      <c r="AG281" s="91"/>
    </row>
    <row r="282" ht="15.0" customHeight="1">
      <c r="B282" s="56"/>
      <c r="C282" s="56"/>
      <c r="G282" s="3"/>
      <c r="L282" s="60"/>
      <c r="M282" s="60"/>
      <c r="N282" s="62"/>
      <c r="R282" s="65"/>
      <c r="AG282" s="91"/>
    </row>
    <row r="283" ht="15.0" customHeight="1">
      <c r="B283" s="56"/>
      <c r="C283" s="56"/>
      <c r="G283" s="3"/>
      <c r="L283" s="60"/>
      <c r="M283" s="60"/>
      <c r="N283" s="62"/>
      <c r="R283" s="65"/>
      <c r="AG283" s="91"/>
    </row>
    <row r="284" ht="15.0" customHeight="1">
      <c r="B284" s="56"/>
      <c r="C284" s="56"/>
      <c r="G284" s="3"/>
      <c r="L284" s="60"/>
      <c r="M284" s="60"/>
      <c r="N284" s="62"/>
      <c r="R284" s="65"/>
      <c r="AG284" s="91"/>
    </row>
    <row r="285" ht="15.0" customHeight="1">
      <c r="B285" s="56"/>
      <c r="C285" s="56"/>
      <c r="G285" s="3"/>
      <c r="L285" s="60"/>
      <c r="M285" s="60"/>
      <c r="N285" s="62"/>
      <c r="R285" s="65"/>
      <c r="AG285" s="91"/>
    </row>
    <row r="286" ht="15.0" customHeight="1">
      <c r="B286" s="56"/>
      <c r="C286" s="56"/>
      <c r="G286" s="3"/>
      <c r="L286" s="60"/>
      <c r="M286" s="60"/>
      <c r="N286" s="62"/>
      <c r="R286" s="65"/>
      <c r="AG286" s="91"/>
    </row>
    <row r="287" ht="15.0" customHeight="1">
      <c r="B287" s="56"/>
      <c r="C287" s="56"/>
      <c r="G287" s="3"/>
      <c r="L287" s="60"/>
      <c r="M287" s="60"/>
      <c r="N287" s="62"/>
      <c r="R287" s="65"/>
      <c r="AG287" s="91"/>
    </row>
    <row r="288" ht="15.75" customHeight="1">
      <c r="AG288" s="91"/>
    </row>
    <row r="289" ht="15.75" customHeight="1">
      <c r="AG289" s="91"/>
    </row>
    <row r="290" ht="15.75" customHeight="1">
      <c r="AG290" s="91"/>
    </row>
    <row r="291" ht="15.75" customHeight="1">
      <c r="AG291" s="91"/>
    </row>
    <row r="292" ht="15.75" customHeight="1">
      <c r="AG292" s="91"/>
    </row>
    <row r="293" ht="15.75" customHeight="1">
      <c r="AG293" s="91"/>
    </row>
    <row r="294" ht="15.75" customHeight="1">
      <c r="AG294" s="91"/>
    </row>
    <row r="295" ht="15.75" customHeight="1">
      <c r="AG295" s="91"/>
    </row>
    <row r="296" ht="15.75" customHeight="1">
      <c r="AG296" s="91"/>
    </row>
    <row r="297" ht="15.75" customHeight="1">
      <c r="AG297" s="91"/>
    </row>
    <row r="298" ht="15.75" customHeight="1">
      <c r="AG298" s="91"/>
    </row>
    <row r="299" ht="15.75" customHeight="1">
      <c r="AG299" s="91"/>
    </row>
    <row r="300" ht="15.75" customHeight="1">
      <c r="AG300" s="91"/>
    </row>
    <row r="301" ht="15.75" customHeight="1">
      <c r="AG301" s="91"/>
    </row>
    <row r="302" ht="15.75" customHeight="1">
      <c r="AG302" s="91"/>
    </row>
    <row r="303" ht="15.75" customHeight="1">
      <c r="AG303" s="91"/>
    </row>
    <row r="304" ht="15.75" customHeight="1">
      <c r="AG304" s="91"/>
    </row>
    <row r="305" ht="15.75" customHeight="1"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L$4">
    <sortState ref="A3:AL4">
      <sortCondition ref="A3:A4"/>
    </sortState>
  </autoFilter>
  <printOptions/>
  <pageMargins bottom="0.75" footer="0.0" header="0.0" left="0.7" right="0.7" top="0.75"/>
  <pageSetup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A1" s="67"/>
      <c r="D1" s="97" t="s">
        <v>241</v>
      </c>
      <c r="E1" s="98">
        <f>+AL3</f>
        <v>218064.0816</v>
      </c>
      <c r="F1" s="2"/>
      <c r="G1" s="3"/>
      <c r="H1" s="4"/>
      <c r="I1" s="5"/>
      <c r="K1" s="5"/>
      <c r="L1" s="5"/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</row>
    <row r="2" ht="15.0" customHeight="1">
      <c r="D2" s="97" t="s">
        <v>242</v>
      </c>
      <c r="E2" s="98">
        <f>+AH3</f>
        <v>2884.400306</v>
      </c>
      <c r="F2" s="99" t="s">
        <v>243</v>
      </c>
      <c r="G2" s="100">
        <f>+Q2</f>
        <v>89.84350512</v>
      </c>
      <c r="H2" s="13"/>
      <c r="I2" s="14">
        <f>SUBTOTAL(9,I4:I8703)</f>
        <v>328.07</v>
      </c>
      <c r="J2" s="4"/>
      <c r="K2" s="14">
        <f>SUBTOTAL(9,K4:K8703)</f>
        <v>294.40515</v>
      </c>
      <c r="L2" s="15">
        <f>SUMPRODUCT(L10:L8703,K10:K8703)/K2</f>
        <v>0.3180893623</v>
      </c>
      <c r="M2" s="2"/>
      <c r="P2" s="16">
        <f t="shared" ref="P2:Q2" si="1">+SUMPRODUCT(P10:P8703,AG10:AG8703)/SUM(AG10:AG8703)</f>
        <v>88.65235591</v>
      </c>
      <c r="Q2" s="16">
        <f t="shared" si="1"/>
        <v>89.84350512</v>
      </c>
      <c r="R2" s="12">
        <v>3200.0</v>
      </c>
      <c r="S2" s="2"/>
      <c r="AB2" s="7"/>
      <c r="AC2" s="7"/>
      <c r="AD2" s="7"/>
      <c r="AE2" s="7"/>
      <c r="AF2" s="7"/>
      <c r="AG2" s="17">
        <f>SUMPRODUCT($AG10:$AG8703,$K10:$K8703)/SUM($K10:$K8703)</f>
        <v>66.39714369</v>
      </c>
      <c r="AH2" s="18"/>
      <c r="AI2" s="115">
        <v>3385.7</v>
      </c>
      <c r="AJ2" s="20"/>
      <c r="AK2" s="11"/>
      <c r="AL2" s="21"/>
    </row>
    <row r="3" ht="15.0" customHeight="1">
      <c r="A3" s="22" t="s">
        <v>5</v>
      </c>
      <c r="B3" s="22" t="s">
        <v>6</v>
      </c>
      <c r="C3" s="22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SUBTOTAL(9,AH10:AH8703)</f>
        <v>2884.400306</v>
      </c>
      <c r="AI3" s="40">
        <f>SUMPRODUCT(K10:K8703,AI10:AI8703)/K2</f>
        <v>148.2688866</v>
      </c>
      <c r="AJ3" s="39">
        <f>SUBTOTAL(9,AJ10:AJ8703)</f>
        <v>2806.812566</v>
      </c>
      <c r="AK3" s="11"/>
      <c r="AL3" s="39">
        <f>SUBTOTAL(9,AL10:AL8703)</f>
        <v>218064.0816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</row>
    <row r="5" ht="15.0" customHeight="1">
      <c r="A5" s="116" t="s">
        <v>441</v>
      </c>
      <c r="B5" s="56"/>
      <c r="C5" s="56">
        <v>45746.0</v>
      </c>
      <c r="D5" s="57" t="s">
        <v>324</v>
      </c>
      <c r="E5" s="57">
        <f t="array" ref="E5">XLOOKUP(D5,RUC!$B$3:$B$110,RUC!$D$3:$D$110)</f>
        <v>20612937096</v>
      </c>
      <c r="G5" s="3"/>
      <c r="I5" s="58"/>
      <c r="J5" s="58"/>
      <c r="K5" s="59"/>
      <c r="L5" s="60"/>
      <c r="M5" s="60"/>
      <c r="N5" s="62"/>
      <c r="O5" s="60"/>
      <c r="P5" s="63"/>
      <c r="Q5" s="58"/>
      <c r="R5" s="65"/>
      <c r="S5" s="66"/>
      <c r="U5" s="67"/>
      <c r="V5" s="67"/>
      <c r="Z5" s="69"/>
      <c r="AA5" s="70"/>
      <c r="AB5" s="71"/>
      <c r="AC5" s="71"/>
      <c r="AD5" s="71"/>
      <c r="AE5" s="71"/>
      <c r="AF5" s="71"/>
      <c r="AG5" s="72"/>
      <c r="AH5" s="52"/>
      <c r="AI5" s="73"/>
      <c r="AJ5" s="73"/>
      <c r="AK5" s="11"/>
      <c r="AL5" s="51"/>
    </row>
    <row r="6" ht="15.0" customHeight="1">
      <c r="A6" s="116" t="s">
        <v>442</v>
      </c>
      <c r="B6" s="56"/>
      <c r="C6" s="56">
        <v>45746.0</v>
      </c>
      <c r="D6" s="57" t="s">
        <v>324</v>
      </c>
      <c r="E6" s="57">
        <f t="array" ref="E6">XLOOKUP(D6,RUC!$B$3:$B$110,RUC!$D$3:$D$110)</f>
        <v>20612937096</v>
      </c>
      <c r="G6" s="3"/>
      <c r="I6" s="58"/>
      <c r="J6" s="58"/>
      <c r="K6" s="59"/>
      <c r="L6" s="60"/>
      <c r="M6" s="60"/>
      <c r="N6" s="62"/>
      <c r="O6" s="60"/>
      <c r="P6" s="63"/>
      <c r="Q6" s="58"/>
      <c r="R6" s="65"/>
      <c r="S6" s="66"/>
      <c r="U6" s="67"/>
      <c r="V6" s="67"/>
      <c r="Z6" s="69"/>
      <c r="AA6" s="70"/>
      <c r="AB6" s="71"/>
      <c r="AC6" s="71"/>
      <c r="AD6" s="71"/>
      <c r="AE6" s="71"/>
      <c r="AF6" s="71"/>
      <c r="AG6" s="72"/>
      <c r="AH6" s="52"/>
      <c r="AI6" s="73"/>
      <c r="AJ6" s="73"/>
      <c r="AK6" s="11"/>
      <c r="AL6" s="51"/>
    </row>
    <row r="7" ht="15.0" customHeight="1">
      <c r="A7" s="116" t="s">
        <v>443</v>
      </c>
      <c r="B7" s="56"/>
      <c r="C7" s="56">
        <v>45746.0</v>
      </c>
      <c r="D7" s="57" t="s">
        <v>324</v>
      </c>
      <c r="E7" s="57">
        <f t="array" ref="E7">XLOOKUP(D7,RUC!$B$3:$B$110,RUC!$D$3:$D$110)</f>
        <v>20612937096</v>
      </c>
      <c r="G7" s="3"/>
      <c r="I7" s="58"/>
      <c r="J7" s="58"/>
      <c r="K7" s="59"/>
      <c r="L7" s="60"/>
      <c r="M7" s="60"/>
      <c r="N7" s="62"/>
      <c r="O7" s="60"/>
      <c r="P7" s="63"/>
      <c r="Q7" s="58"/>
      <c r="R7" s="65"/>
      <c r="S7" s="66"/>
      <c r="U7" s="67"/>
      <c r="V7" s="67"/>
      <c r="Z7" s="69"/>
      <c r="AA7" s="70"/>
      <c r="AB7" s="71"/>
      <c r="AC7" s="71"/>
      <c r="AD7" s="71"/>
      <c r="AE7" s="71"/>
      <c r="AF7" s="71"/>
      <c r="AG7" s="72"/>
      <c r="AH7" s="52"/>
      <c r="AI7" s="73"/>
      <c r="AJ7" s="73"/>
      <c r="AK7" s="11"/>
      <c r="AL7" s="51"/>
    </row>
    <row r="8" ht="15.0" customHeight="1">
      <c r="A8" s="116" t="s">
        <v>444</v>
      </c>
      <c r="B8" s="56"/>
      <c r="C8" s="56">
        <v>45746.0</v>
      </c>
      <c r="D8" s="57" t="s">
        <v>324</v>
      </c>
      <c r="E8" s="57">
        <f t="array" ref="E8">XLOOKUP(D8,RUC!$B$3:$B$110,RUC!$D$3:$D$110)</f>
        <v>20612937096</v>
      </c>
      <c r="G8" s="3"/>
      <c r="I8" s="58"/>
      <c r="J8" s="58"/>
      <c r="K8" s="59"/>
      <c r="L8" s="60"/>
      <c r="M8" s="60"/>
      <c r="N8" s="62"/>
      <c r="O8" s="60"/>
      <c r="P8" s="63"/>
      <c r="Q8" s="58"/>
      <c r="R8" s="65"/>
      <c r="S8" s="66"/>
      <c r="U8" s="67"/>
      <c r="V8" s="67"/>
      <c r="Z8" s="69"/>
      <c r="AA8" s="70"/>
      <c r="AB8" s="71"/>
      <c r="AC8" s="71"/>
      <c r="AD8" s="71"/>
      <c r="AE8" s="71"/>
      <c r="AF8" s="71"/>
      <c r="AG8" s="72"/>
      <c r="AH8" s="52"/>
      <c r="AI8" s="73"/>
      <c r="AJ8" s="73"/>
      <c r="AK8" s="11"/>
      <c r="AL8" s="51"/>
    </row>
    <row r="9" ht="15.0" customHeight="1">
      <c r="A9" s="116" t="s">
        <v>445</v>
      </c>
      <c r="B9" s="56"/>
      <c r="C9" s="56">
        <v>45747.0</v>
      </c>
      <c r="D9" s="57" t="s">
        <v>292</v>
      </c>
      <c r="E9" s="57">
        <f t="array" ref="E9">XLOOKUP(D9,RUC!$B$3:$B$110,RUC!$D$3:$D$110)</f>
        <v>20612791148</v>
      </c>
      <c r="G9" s="3"/>
      <c r="I9" s="58"/>
      <c r="J9" s="58"/>
      <c r="K9" s="59"/>
      <c r="L9" s="60"/>
      <c r="M9" s="60"/>
      <c r="N9" s="62"/>
      <c r="O9" s="60"/>
      <c r="P9" s="63"/>
      <c r="Q9" s="58"/>
      <c r="R9" s="65"/>
      <c r="S9" s="66"/>
      <c r="U9" s="67"/>
      <c r="V9" s="67"/>
      <c r="Z9" s="69"/>
      <c r="AA9" s="70"/>
      <c r="AB9" s="71"/>
      <c r="AC9" s="71"/>
      <c r="AD9" s="71"/>
      <c r="AE9" s="71"/>
      <c r="AF9" s="71"/>
      <c r="AG9" s="72"/>
      <c r="AH9" s="52"/>
      <c r="AI9" s="73"/>
      <c r="AJ9" s="73"/>
      <c r="AK9" s="11"/>
      <c r="AL9" s="51"/>
    </row>
    <row r="10" ht="15.0" customHeight="1">
      <c r="A10" s="117" t="s">
        <v>446</v>
      </c>
      <c r="B10" s="95">
        <v>45741.0</v>
      </c>
      <c r="C10" s="56">
        <v>45724.0</v>
      </c>
      <c r="D10" s="57" t="s">
        <v>88</v>
      </c>
      <c r="E10" s="57" t="str">
        <f t="array" ref="E10">XLOOKUP(D10,RUC!$B$3:$B$110,RUC!$D$3:$D$110)</f>
        <v>#N/A</v>
      </c>
      <c r="G10" s="3">
        <v>50.0</v>
      </c>
      <c r="H10" s="57" t="s">
        <v>47</v>
      </c>
      <c r="I10" s="57">
        <v>6.83</v>
      </c>
      <c r="J10" s="58">
        <v>1.5</v>
      </c>
      <c r="K10" s="118">
        <f t="shared" ref="K10:K39" si="2">+I10-(I10*(J10/100))</f>
        <v>6.72755</v>
      </c>
      <c r="L10" s="60">
        <v>1.06</v>
      </c>
      <c r="M10" s="107">
        <v>1.053</v>
      </c>
      <c r="N10" s="107">
        <v>1.177</v>
      </c>
      <c r="O10" s="60">
        <f t="shared" ref="O10:O39" si="3">+ROUND((M10+N10)/2,3)</f>
        <v>1.115</v>
      </c>
      <c r="P10" s="63">
        <v>90.0</v>
      </c>
      <c r="Q10" s="58">
        <v>89.93</v>
      </c>
      <c r="R10" s="65">
        <v>2931.15</v>
      </c>
      <c r="S10" s="76">
        <f t="shared" ref="S10:S17" si="4">IF((85+ROUNDDOWN(O10,1)*100)&lt;95,95,(85+ROUNDDOWN(O10,1)*100))</f>
        <v>195</v>
      </c>
      <c r="U10" s="87">
        <v>90.0</v>
      </c>
      <c r="V10" s="67">
        <v>1.1023</v>
      </c>
      <c r="Z10" s="77">
        <v>25.0</v>
      </c>
      <c r="AA10" s="70">
        <f t="shared" ref="AA10:AA39" si="5">+Y10+Z10</f>
        <v>25</v>
      </c>
      <c r="AB10" s="71">
        <f t="shared" ref="AB10:AB39" si="6">+((O10*P10*(R10-U10)/100)-S10-AA10+T10)*V10</f>
        <v>2900.254944</v>
      </c>
      <c r="AC10" s="71">
        <f>+(S10-T10)*V10-'data 1'!$F$4</f>
        <v>134.9485</v>
      </c>
      <c r="AD10" s="71">
        <f t="shared" ref="AD10:AD39" si="7">+(Q10-P10)*(R10-U10)*L10*V10/100</f>
        <v>-2.323795337</v>
      </c>
      <c r="AE10" s="71">
        <f t="shared" ref="AE10:AE39" si="8">+(Y10*V10-70)+V10*(Z10-IF(D10="UNTUCA",IF(+((W10-3)*2.5+(X10-3)*3.1)&gt;0,+((W10-3)*1.5+(X10-3)*3.1),0),IF(+((W10-3)*1.5+(X10-3)*3.1)&gt;0,+((W10-3)*1.5+(X10-3)*3.1),0)))</f>
        <v>-42.4425</v>
      </c>
      <c r="AF10" s="71">
        <f t="shared" ref="AF10:AF39" si="9">(L10-O10)*(R10-U10)*Q10*V10/100</f>
        <v>-154.9035081</v>
      </c>
      <c r="AG10" s="72">
        <f t="shared" ref="AG10:AG17" si="10">+IF(D10="RONALD WILLIAN GARIBAY ESCUDERO",AC10+AD10+AE10+AF10+70,AC10+AD10+AE10+AF10)+70-53</f>
        <v>-47.72130348</v>
      </c>
      <c r="AH10" s="52">
        <f t="shared" ref="AH10:AH39" si="11">31.1035*L10*Q10*1.1023*K10/100</f>
        <v>219.8753087</v>
      </c>
      <c r="AI10" s="73">
        <f t="shared" ref="AI10:AI39" si="12">+((+$AI$2-R10+U10)*L10*Q10*V10)/100</f>
        <v>572.2002306</v>
      </c>
      <c r="AJ10" s="73">
        <f t="shared" ref="AJ10:AJ39" si="13">31.1035*1.1023*K10*P10*O10/100</f>
        <v>231.4639607</v>
      </c>
      <c r="AK10" s="11"/>
      <c r="AL10" s="51">
        <f t="shared" ref="AL10:AL39" si="14">+IF(AB10*K10&gt;0,AB10*K10,0)</f>
        <v>19511.61015</v>
      </c>
    </row>
    <row r="11" ht="15.0" customHeight="1">
      <c r="A11" s="117" t="s">
        <v>447</v>
      </c>
      <c r="B11" s="95">
        <v>45741.0</v>
      </c>
      <c r="C11" s="56">
        <v>45724.0</v>
      </c>
      <c r="D11" s="57" t="s">
        <v>88</v>
      </c>
      <c r="E11" s="57" t="str">
        <f t="array" ref="E11">XLOOKUP(D11,RUC!$B$3:$B$110,RUC!$D$3:$D$110)</f>
        <v>#N/A</v>
      </c>
      <c r="G11" s="3">
        <v>50.0</v>
      </c>
      <c r="H11" s="57" t="s">
        <v>47</v>
      </c>
      <c r="I11" s="57">
        <v>6.77</v>
      </c>
      <c r="J11" s="58">
        <v>1.15</v>
      </c>
      <c r="K11" s="118">
        <f t="shared" si="2"/>
        <v>6.692145</v>
      </c>
      <c r="L11" s="60">
        <v>1.365</v>
      </c>
      <c r="M11" s="107">
        <v>1.136</v>
      </c>
      <c r="N11" s="107">
        <v>1.155</v>
      </c>
      <c r="O11" s="60">
        <f t="shared" si="3"/>
        <v>1.146</v>
      </c>
      <c r="P11" s="63">
        <v>90.0</v>
      </c>
      <c r="Q11" s="58">
        <v>89.9</v>
      </c>
      <c r="R11" s="65">
        <v>2931.15</v>
      </c>
      <c r="S11" s="76">
        <f t="shared" si="4"/>
        <v>195</v>
      </c>
      <c r="U11" s="87">
        <v>90.0</v>
      </c>
      <c r="V11" s="67">
        <v>1.1023</v>
      </c>
      <c r="Z11" s="77">
        <v>25.0</v>
      </c>
      <c r="AA11" s="70">
        <f t="shared" si="5"/>
        <v>25</v>
      </c>
      <c r="AB11" s="71">
        <f t="shared" si="6"/>
        <v>2987.632154</v>
      </c>
      <c r="AC11" s="71">
        <f>+(S11-T11)*V11-'data 1'!$F$4</f>
        <v>134.9485</v>
      </c>
      <c r="AD11" s="71">
        <f t="shared" si="7"/>
        <v>-4.274906515</v>
      </c>
      <c r="AE11" s="71">
        <f t="shared" si="8"/>
        <v>-42.4425</v>
      </c>
      <c r="AF11" s="108">
        <f t="shared" si="9"/>
        <v>616.5918459</v>
      </c>
      <c r="AG11" s="72">
        <f t="shared" si="10"/>
        <v>721.8229394</v>
      </c>
      <c r="AH11" s="52">
        <f t="shared" si="11"/>
        <v>281.5572759</v>
      </c>
      <c r="AI11" s="73">
        <f t="shared" si="12"/>
        <v>736.5969443</v>
      </c>
      <c r="AJ11" s="73">
        <f t="shared" si="13"/>
        <v>236.6472918</v>
      </c>
      <c r="AK11" s="11"/>
      <c r="AL11" s="51">
        <f t="shared" si="14"/>
        <v>19993.66758</v>
      </c>
    </row>
    <row r="12" ht="15.0" customHeight="1">
      <c r="A12" s="117" t="s">
        <v>448</v>
      </c>
      <c r="B12" s="95">
        <v>45741.0</v>
      </c>
      <c r="C12" s="56">
        <v>45724.0</v>
      </c>
      <c r="D12" s="57" t="s">
        <v>88</v>
      </c>
      <c r="E12" s="57" t="str">
        <f t="array" ref="E12">XLOOKUP(D12,RUC!$B$3:$B$110,RUC!$D$3:$D$110)</f>
        <v>#N/A</v>
      </c>
      <c r="G12" s="3">
        <v>50.0</v>
      </c>
      <c r="H12" s="57" t="s">
        <v>47</v>
      </c>
      <c r="I12" s="57">
        <v>5.61</v>
      </c>
      <c r="J12" s="58">
        <v>1.2</v>
      </c>
      <c r="K12" s="119">
        <f t="shared" si="2"/>
        <v>5.54268</v>
      </c>
      <c r="L12" s="60">
        <v>0.262</v>
      </c>
      <c r="M12" s="60">
        <v>0.246</v>
      </c>
      <c r="N12" s="75">
        <v>0.299</v>
      </c>
      <c r="O12" s="60">
        <f t="shared" si="3"/>
        <v>0.273</v>
      </c>
      <c r="P12" s="63">
        <v>85.0</v>
      </c>
      <c r="Q12" s="58">
        <v>90.21</v>
      </c>
      <c r="R12" s="65">
        <v>2931.15</v>
      </c>
      <c r="S12" s="76">
        <f t="shared" si="4"/>
        <v>105</v>
      </c>
      <c r="U12" s="87">
        <v>90.0</v>
      </c>
      <c r="V12" s="67">
        <v>1.1023</v>
      </c>
      <c r="Z12" s="77">
        <v>25.0</v>
      </c>
      <c r="AA12" s="70">
        <f t="shared" si="5"/>
        <v>25</v>
      </c>
      <c r="AB12" s="71">
        <f t="shared" si="6"/>
        <v>583.4351076</v>
      </c>
      <c r="AC12" s="71">
        <f>+(S12-T12)*V12-'data 1'!$F$4</f>
        <v>35.7415</v>
      </c>
      <c r="AD12" s="71">
        <f t="shared" si="7"/>
        <v>42.74969151</v>
      </c>
      <c r="AE12" s="71">
        <f t="shared" si="8"/>
        <v>-42.4425</v>
      </c>
      <c r="AF12" s="71">
        <f t="shared" si="9"/>
        <v>-31.07716106</v>
      </c>
      <c r="AG12" s="72">
        <f t="shared" si="10"/>
        <v>21.97153046</v>
      </c>
      <c r="AH12" s="52">
        <f t="shared" si="11"/>
        <v>44.91432211</v>
      </c>
      <c r="AI12" s="73">
        <f t="shared" si="12"/>
        <v>141.8709719</v>
      </c>
      <c r="AJ12" s="73">
        <f t="shared" si="13"/>
        <v>44.09714248</v>
      </c>
      <c r="AK12" s="11"/>
      <c r="AL12" s="51">
        <f t="shared" si="14"/>
        <v>3233.794102</v>
      </c>
    </row>
    <row r="13" ht="15.0" customHeight="1">
      <c r="A13" s="117" t="s">
        <v>449</v>
      </c>
      <c r="B13" s="95">
        <v>45736.0</v>
      </c>
      <c r="C13" s="56">
        <v>45724.0</v>
      </c>
      <c r="D13" s="57" t="s">
        <v>88</v>
      </c>
      <c r="E13" s="57" t="str">
        <f t="array" ref="E13">XLOOKUP(D13,RUC!$B$3:$B$110,RUC!$D$3:$D$110)</f>
        <v>#N/A</v>
      </c>
      <c r="G13" s="3">
        <v>50.0</v>
      </c>
      <c r="H13" s="57" t="s">
        <v>47</v>
      </c>
      <c r="I13" s="57">
        <v>6.73</v>
      </c>
      <c r="J13" s="58">
        <v>2.0</v>
      </c>
      <c r="K13" s="59">
        <f t="shared" si="2"/>
        <v>6.5954</v>
      </c>
      <c r="L13" s="60">
        <v>0.528</v>
      </c>
      <c r="M13" s="60">
        <v>0.496</v>
      </c>
      <c r="N13" s="75">
        <v>0.56</v>
      </c>
      <c r="O13" s="60">
        <f t="shared" si="3"/>
        <v>0.528</v>
      </c>
      <c r="P13" s="63">
        <v>90.0</v>
      </c>
      <c r="Q13" s="58">
        <v>90.08</v>
      </c>
      <c r="R13" s="65">
        <v>2931.15</v>
      </c>
      <c r="S13" s="76">
        <f t="shared" si="4"/>
        <v>135</v>
      </c>
      <c r="U13" s="87">
        <v>90.0</v>
      </c>
      <c r="V13" s="67">
        <v>1.1023</v>
      </c>
      <c r="Z13" s="77">
        <v>25.0</v>
      </c>
      <c r="AA13" s="70">
        <f t="shared" si="5"/>
        <v>25</v>
      </c>
      <c r="AB13" s="71">
        <f t="shared" si="6"/>
        <v>1311.863191</v>
      </c>
      <c r="AC13" s="71">
        <f>+(S13-T13)*V13-'data 1'!$F$4</f>
        <v>68.8105</v>
      </c>
      <c r="AD13" s="71">
        <f t="shared" si="7"/>
        <v>1.32287217</v>
      </c>
      <c r="AE13" s="71">
        <f t="shared" si="8"/>
        <v>-42.4425</v>
      </c>
      <c r="AF13" s="71">
        <f t="shared" si="9"/>
        <v>0</v>
      </c>
      <c r="AG13" s="72">
        <f t="shared" si="10"/>
        <v>44.69087217</v>
      </c>
      <c r="AH13" s="52">
        <f t="shared" si="11"/>
        <v>107.5505187</v>
      </c>
      <c r="AI13" s="73">
        <f t="shared" si="12"/>
        <v>285.4958961</v>
      </c>
      <c r="AJ13" s="73">
        <f t="shared" si="13"/>
        <v>107.4550031</v>
      </c>
      <c r="AK13" s="11"/>
      <c r="AL13" s="51">
        <f t="shared" si="14"/>
        <v>8652.262492</v>
      </c>
    </row>
    <row r="14" ht="15.0" customHeight="1">
      <c r="A14" s="117" t="s">
        <v>450</v>
      </c>
      <c r="B14" s="95">
        <v>45736.0</v>
      </c>
      <c r="C14" s="56">
        <v>45724.0</v>
      </c>
      <c r="D14" s="57" t="s">
        <v>88</v>
      </c>
      <c r="E14" s="57" t="str">
        <f t="array" ref="E14">XLOOKUP(D14,RUC!$B$3:$B$110,RUC!$D$3:$D$110)</f>
        <v>#N/A</v>
      </c>
      <c r="G14" s="3">
        <v>50.0</v>
      </c>
      <c r="H14" s="57" t="s">
        <v>47</v>
      </c>
      <c r="I14" s="57">
        <v>6.4</v>
      </c>
      <c r="J14" s="58">
        <v>1.9</v>
      </c>
      <c r="K14" s="59">
        <f t="shared" si="2"/>
        <v>6.2784</v>
      </c>
      <c r="L14" s="60">
        <v>0.694</v>
      </c>
      <c r="M14" s="60">
        <v>0.652</v>
      </c>
      <c r="N14" s="75">
        <v>0.769</v>
      </c>
      <c r="O14" s="60">
        <f t="shared" si="3"/>
        <v>0.711</v>
      </c>
      <c r="P14" s="63">
        <v>90.0</v>
      </c>
      <c r="Q14" s="58">
        <v>90.11</v>
      </c>
      <c r="R14" s="65">
        <v>2931.15</v>
      </c>
      <c r="S14" s="76">
        <f t="shared" si="4"/>
        <v>155</v>
      </c>
      <c r="U14" s="87">
        <v>90.0</v>
      </c>
      <c r="V14" s="67">
        <v>1.1023</v>
      </c>
      <c r="Z14" s="77">
        <v>25.0</v>
      </c>
      <c r="AA14" s="70">
        <f t="shared" si="5"/>
        <v>25</v>
      </c>
      <c r="AB14" s="71">
        <f t="shared" si="6"/>
        <v>1805.624593</v>
      </c>
      <c r="AC14" s="71">
        <f>+(S14-T14)*V14-'data 1'!$F$4</f>
        <v>90.8565</v>
      </c>
      <c r="AD14" s="71">
        <f t="shared" si="7"/>
        <v>2.390815849</v>
      </c>
      <c r="AE14" s="71">
        <f t="shared" si="8"/>
        <v>-42.4425</v>
      </c>
      <c r="AF14" s="71">
        <f t="shared" si="9"/>
        <v>-47.97509922</v>
      </c>
      <c r="AG14" s="72">
        <f t="shared" si="10"/>
        <v>19.82971663</v>
      </c>
      <c r="AH14" s="52">
        <f t="shared" si="11"/>
        <v>134.6140872</v>
      </c>
      <c r="AI14" s="73">
        <f t="shared" si="12"/>
        <v>375.3790492</v>
      </c>
      <c r="AJ14" s="73">
        <f t="shared" si="13"/>
        <v>137.7431977</v>
      </c>
      <c r="AK14" s="11"/>
      <c r="AL14" s="51">
        <f t="shared" si="14"/>
        <v>11336.43344</v>
      </c>
    </row>
    <row r="15" ht="15.0" customHeight="1">
      <c r="A15" s="117" t="s">
        <v>451</v>
      </c>
      <c r="B15" s="95">
        <v>45736.0</v>
      </c>
      <c r="C15" s="56">
        <v>45724.0</v>
      </c>
      <c r="D15" s="57" t="s">
        <v>88</v>
      </c>
      <c r="E15" s="57" t="str">
        <f t="array" ref="E15">XLOOKUP(D15,RUC!$B$3:$B$110,RUC!$D$3:$D$110)</f>
        <v>#N/A</v>
      </c>
      <c r="G15" s="3">
        <v>50.0</v>
      </c>
      <c r="H15" s="57" t="s">
        <v>47</v>
      </c>
      <c r="I15" s="57">
        <v>6.5</v>
      </c>
      <c r="J15" s="58">
        <v>1.9</v>
      </c>
      <c r="K15" s="59">
        <f t="shared" si="2"/>
        <v>6.3765</v>
      </c>
      <c r="L15" s="60">
        <v>0.587</v>
      </c>
      <c r="M15" s="60">
        <v>0.552</v>
      </c>
      <c r="N15" s="75">
        <v>0.617</v>
      </c>
      <c r="O15" s="60">
        <f t="shared" si="3"/>
        <v>0.585</v>
      </c>
      <c r="P15" s="63">
        <v>90.0</v>
      </c>
      <c r="Q15" s="58">
        <v>90.22</v>
      </c>
      <c r="R15" s="65">
        <v>2931.15</v>
      </c>
      <c r="S15" s="76">
        <f t="shared" si="4"/>
        <v>135</v>
      </c>
      <c r="U15" s="87">
        <v>90.0</v>
      </c>
      <c r="V15" s="67">
        <v>1.1023</v>
      </c>
      <c r="Z15" s="77">
        <v>25.0</v>
      </c>
      <c r="AA15" s="70">
        <f t="shared" si="5"/>
        <v>25</v>
      </c>
      <c r="AB15" s="71">
        <f t="shared" si="6"/>
        <v>1472.524513</v>
      </c>
      <c r="AC15" s="71">
        <f>+(S15-T15)*V15-'data 1'!$F$4</f>
        <v>68.8105</v>
      </c>
      <c r="AD15" s="71">
        <f t="shared" si="7"/>
        <v>4.044406062</v>
      </c>
      <c r="AE15" s="71">
        <f t="shared" si="8"/>
        <v>-42.4425</v>
      </c>
      <c r="AF15" s="71">
        <f t="shared" si="9"/>
        <v>5.651019279</v>
      </c>
      <c r="AG15" s="72">
        <f t="shared" si="10"/>
        <v>53.06342534</v>
      </c>
      <c r="AH15" s="52">
        <f t="shared" si="11"/>
        <v>115.7796833</v>
      </c>
      <c r="AI15" s="73">
        <f t="shared" si="12"/>
        <v>317.8911912</v>
      </c>
      <c r="AJ15" s="73">
        <f t="shared" si="13"/>
        <v>115.103839</v>
      </c>
      <c r="AK15" s="11"/>
      <c r="AL15" s="51">
        <f t="shared" si="14"/>
        <v>9389.552558</v>
      </c>
    </row>
    <row r="16" ht="15.0" customHeight="1">
      <c r="A16" s="117" t="s">
        <v>452</v>
      </c>
      <c r="B16" s="95">
        <v>45736.0</v>
      </c>
      <c r="C16" s="56">
        <v>45724.0</v>
      </c>
      <c r="D16" s="57" t="s">
        <v>88</v>
      </c>
      <c r="E16" s="57" t="str">
        <f t="array" ref="E16">XLOOKUP(D16,RUC!$B$3:$B$110,RUC!$D$3:$D$110)</f>
        <v>#N/A</v>
      </c>
      <c r="G16" s="3">
        <v>50.0</v>
      </c>
      <c r="H16" s="57" t="s">
        <v>47</v>
      </c>
      <c r="I16" s="57">
        <v>6.96</v>
      </c>
      <c r="J16" s="58">
        <v>1.7</v>
      </c>
      <c r="K16" s="59">
        <f t="shared" si="2"/>
        <v>6.84168</v>
      </c>
      <c r="L16" s="60">
        <v>0.671</v>
      </c>
      <c r="M16" s="60">
        <v>0.63</v>
      </c>
      <c r="N16" s="60">
        <v>0.63</v>
      </c>
      <c r="O16" s="60">
        <f t="shared" si="3"/>
        <v>0.63</v>
      </c>
      <c r="P16" s="63">
        <v>90.0</v>
      </c>
      <c r="Q16" s="58">
        <v>90.39</v>
      </c>
      <c r="R16" s="65">
        <v>2931.15</v>
      </c>
      <c r="S16" s="76">
        <f t="shared" si="4"/>
        <v>145</v>
      </c>
      <c r="U16" s="87">
        <v>90.0</v>
      </c>
      <c r="V16" s="67">
        <v>1.1023</v>
      </c>
      <c r="Z16" s="77">
        <v>25.0</v>
      </c>
      <c r="AA16" s="70">
        <f t="shared" si="5"/>
        <v>25</v>
      </c>
      <c r="AB16" s="71">
        <f t="shared" si="6"/>
        <v>1588.339399</v>
      </c>
      <c r="AC16" s="71">
        <f>+(S16-T16)*V16-'data 1'!$F$4</f>
        <v>79.8335</v>
      </c>
      <c r="AD16" s="71">
        <f t="shared" si="7"/>
        <v>8.195606491</v>
      </c>
      <c r="AE16" s="71">
        <f t="shared" si="8"/>
        <v>-42.4425</v>
      </c>
      <c r="AF16" s="71">
        <f t="shared" si="9"/>
        <v>116.0641817</v>
      </c>
      <c r="AG16" s="72">
        <f t="shared" si="10"/>
        <v>178.6507882</v>
      </c>
      <c r="AH16" s="52">
        <f t="shared" si="11"/>
        <v>142.2704592</v>
      </c>
      <c r="AI16" s="73">
        <f t="shared" si="12"/>
        <v>364.0662969</v>
      </c>
      <c r="AJ16" s="73">
        <f t="shared" si="13"/>
        <v>133.0009937</v>
      </c>
      <c r="AK16" s="11"/>
      <c r="AL16" s="51">
        <f t="shared" si="14"/>
        <v>10866.9099</v>
      </c>
    </row>
    <row r="17" ht="15.0" customHeight="1">
      <c r="A17" s="117" t="s">
        <v>453</v>
      </c>
      <c r="B17" s="95">
        <v>45736.0</v>
      </c>
      <c r="C17" s="56">
        <v>45724.0</v>
      </c>
      <c r="D17" s="57" t="s">
        <v>88</v>
      </c>
      <c r="E17" s="57" t="str">
        <f t="array" ref="E17">XLOOKUP(D17,RUC!$B$3:$B$110,RUC!$D$3:$D$110)</f>
        <v>#N/A</v>
      </c>
      <c r="G17" s="3">
        <v>50.0</v>
      </c>
      <c r="H17" s="57" t="s">
        <v>47</v>
      </c>
      <c r="I17" s="57">
        <v>6.64</v>
      </c>
      <c r="J17" s="58">
        <v>1.8</v>
      </c>
      <c r="K17" s="118">
        <f t="shared" si="2"/>
        <v>6.52048</v>
      </c>
      <c r="L17" s="60">
        <v>0.864</v>
      </c>
      <c r="M17" s="60">
        <v>0.812</v>
      </c>
      <c r="N17" s="75">
        <v>0.918</v>
      </c>
      <c r="O17" s="60">
        <f t="shared" si="3"/>
        <v>0.865</v>
      </c>
      <c r="P17" s="63">
        <v>90.0</v>
      </c>
      <c r="Q17" s="58">
        <v>90.07</v>
      </c>
      <c r="R17" s="65">
        <v>2931.15</v>
      </c>
      <c r="S17" s="76">
        <f t="shared" si="4"/>
        <v>165</v>
      </c>
      <c r="U17" s="87">
        <v>90.0</v>
      </c>
      <c r="V17" s="67">
        <v>1.1023</v>
      </c>
      <c r="Z17" s="77">
        <v>25.0</v>
      </c>
      <c r="AA17" s="70">
        <f t="shared" si="5"/>
        <v>25</v>
      </c>
      <c r="AB17" s="71">
        <f t="shared" si="6"/>
        <v>2228.669024</v>
      </c>
      <c r="AC17" s="71">
        <f>+(S17-T17)*V17-'data 1'!$F$4</f>
        <v>101.8795</v>
      </c>
      <c r="AD17" s="71">
        <f t="shared" si="7"/>
        <v>1.894112425</v>
      </c>
      <c r="AE17" s="71">
        <f t="shared" si="8"/>
        <v>-42.4425</v>
      </c>
      <c r="AF17" s="71">
        <f t="shared" si="9"/>
        <v>-2.82081194</v>
      </c>
      <c r="AG17" s="72">
        <f t="shared" si="10"/>
        <v>75.51030049</v>
      </c>
      <c r="AH17" s="52">
        <f t="shared" si="11"/>
        <v>173.9732761</v>
      </c>
      <c r="AI17" s="73">
        <f t="shared" si="12"/>
        <v>467.1232405</v>
      </c>
      <c r="AJ17" s="73">
        <f t="shared" si="13"/>
        <v>174.0392701</v>
      </c>
      <c r="AK17" s="11"/>
      <c r="AL17" s="51">
        <f t="shared" si="14"/>
        <v>14531.9918</v>
      </c>
    </row>
    <row r="18" ht="15.0" customHeight="1">
      <c r="A18" s="117" t="s">
        <v>454</v>
      </c>
      <c r="B18" s="56">
        <v>45754.0</v>
      </c>
      <c r="C18" s="56">
        <v>45741.0</v>
      </c>
      <c r="D18" s="57" t="s">
        <v>249</v>
      </c>
      <c r="E18" s="57">
        <f t="array" ref="E18">XLOOKUP(D18,RUC!$B$3:$B$110,RUC!$D$3:$D$110)</f>
        <v>10473108823</v>
      </c>
      <c r="G18" s="3" t="s">
        <v>46</v>
      </c>
      <c r="H18" s="57" t="s">
        <v>47</v>
      </c>
      <c r="I18" s="58">
        <v>33.77</v>
      </c>
      <c r="J18" s="58">
        <v>26.25</v>
      </c>
      <c r="K18" s="118">
        <f t="shared" si="2"/>
        <v>24.905375</v>
      </c>
      <c r="L18" s="60">
        <v>0.235</v>
      </c>
      <c r="M18" s="60">
        <v>0.22</v>
      </c>
      <c r="N18" s="62">
        <v>0.278</v>
      </c>
      <c r="O18" s="60">
        <f t="shared" si="3"/>
        <v>0.249</v>
      </c>
      <c r="P18" s="63">
        <v>90.0</v>
      </c>
      <c r="Q18" s="58">
        <v>89.0</v>
      </c>
      <c r="R18" s="65">
        <v>3025.2</v>
      </c>
      <c r="S18" s="76">
        <v>85.0</v>
      </c>
      <c r="U18" s="67">
        <v>90.0</v>
      </c>
      <c r="V18" s="67">
        <v>1.1023</v>
      </c>
      <c r="Z18" s="69">
        <v>30.0</v>
      </c>
      <c r="AA18" s="70">
        <f t="shared" si="5"/>
        <v>30</v>
      </c>
      <c r="AB18" s="71">
        <f t="shared" si="6"/>
        <v>598.3045421</v>
      </c>
      <c r="AC18" s="71">
        <f>+(S18-T18)*V18-'data 1'!$F$4</f>
        <v>13.6955</v>
      </c>
      <c r="AD18" s="71">
        <f t="shared" si="7"/>
        <v>-7.603356756</v>
      </c>
      <c r="AE18" s="71">
        <f t="shared" si="8"/>
        <v>-36.931</v>
      </c>
      <c r="AF18" s="71">
        <f t="shared" si="9"/>
        <v>-40.31396816</v>
      </c>
      <c r="AG18" s="72">
        <f>+IF(D18="RONALD WILLIAN GARIBAY ESCUDERO",AC18+AD18+AE18+AF18+70,AC18+AD18+AE18+AF18)+70-20</f>
        <v>-21.15282492</v>
      </c>
      <c r="AH18" s="52">
        <f t="shared" si="11"/>
        <v>178.5911869</v>
      </c>
      <c r="AI18" s="73">
        <f t="shared" si="12"/>
        <v>103.8609933</v>
      </c>
      <c r="AJ18" s="73">
        <f t="shared" si="13"/>
        <v>191.356849</v>
      </c>
      <c r="AK18" s="11"/>
      <c r="AL18" s="51">
        <f t="shared" si="14"/>
        <v>14900.99899</v>
      </c>
    </row>
    <row r="19" ht="15.0" customHeight="1">
      <c r="A19" s="117" t="s">
        <v>455</v>
      </c>
      <c r="B19" s="56">
        <v>45754.0</v>
      </c>
      <c r="C19" s="56">
        <v>45741.0</v>
      </c>
      <c r="D19" s="57" t="s">
        <v>249</v>
      </c>
      <c r="E19" s="57">
        <f t="array" ref="E19">XLOOKUP(D19,RUC!$B$3:$B$110,RUC!$D$3:$D$110)</f>
        <v>10473108823</v>
      </c>
      <c r="G19" s="3" t="s">
        <v>46</v>
      </c>
      <c r="H19" s="57" t="s">
        <v>47</v>
      </c>
      <c r="I19" s="58">
        <v>29.76</v>
      </c>
      <c r="J19" s="58">
        <v>11.5</v>
      </c>
      <c r="K19" s="118">
        <f t="shared" si="2"/>
        <v>26.3376</v>
      </c>
      <c r="L19" s="60">
        <v>0.106</v>
      </c>
      <c r="M19" s="60">
        <v>0.091</v>
      </c>
      <c r="N19" s="62">
        <v>0.1</v>
      </c>
      <c r="O19" s="60">
        <f t="shared" si="3"/>
        <v>0.096</v>
      </c>
      <c r="P19" s="63">
        <v>80.0</v>
      </c>
      <c r="Q19" s="58">
        <v>89.0</v>
      </c>
      <c r="R19" s="65">
        <v>3025.2</v>
      </c>
      <c r="S19" s="76">
        <v>110.0</v>
      </c>
      <c r="U19" s="67">
        <v>90.0</v>
      </c>
      <c r="V19" s="67">
        <v>1.1023</v>
      </c>
      <c r="Z19" s="69">
        <f t="shared" ref="Z19:Z22" si="15">IF(IF(D19="UNTUCA",IF(+((W19-3)*1.5+(X19-3)*3.1)&gt;0,+((W19-3)*1.5+(X19-3)*3.1),0),IF(+((W19-3)*1.5+(X19-3)*3.1)&gt;0,+((W19-3)*1.5+(X19-3)*3.1),0))&lt;30,30,IF(D19="UNTUCA",IF(+((W19-3)*1.5+(X19-3)*3.1)&gt;0,+((W19-3)*1.5+(X19-3)*3.1),0),IF(+((W19-3)*1.5+(X19-3)*3.1)&gt;0,+((W19-3)*1.5+(X19-3)*3.1),0)))</f>
        <v>30</v>
      </c>
      <c r="AA19" s="70">
        <f t="shared" si="5"/>
        <v>30</v>
      </c>
      <c r="AB19" s="71">
        <f t="shared" si="6"/>
        <v>94.16216973</v>
      </c>
      <c r="AC19" s="71">
        <f>+(S19-T19)*V19-'data 1'!$F$4</f>
        <v>41.253</v>
      </c>
      <c r="AD19" s="71">
        <f t="shared" si="7"/>
        <v>30.86639296</v>
      </c>
      <c r="AE19" s="71">
        <f t="shared" si="8"/>
        <v>-36.931</v>
      </c>
      <c r="AF19" s="71">
        <f t="shared" si="9"/>
        <v>28.79569154</v>
      </c>
      <c r="AG19" s="72">
        <f>+IF(D19="RONALD WILLIAN GARIBAY ESCUDERO",AC19+AD19+AE19+AF19+70,AC19+AD19+AE19+AF19)+70</f>
        <v>133.9840845</v>
      </c>
      <c r="AH19" s="52">
        <f t="shared" si="11"/>
        <v>85.18853286</v>
      </c>
      <c r="AI19" s="73">
        <f t="shared" si="12"/>
        <v>46.84793739</v>
      </c>
      <c r="AJ19" s="73">
        <f t="shared" si="13"/>
        <v>69.35000343</v>
      </c>
      <c r="AK19" s="11"/>
      <c r="AL19" s="51">
        <f t="shared" si="14"/>
        <v>2480.005561</v>
      </c>
    </row>
    <row r="20" ht="15.0" customHeight="1">
      <c r="A20" s="117" t="s">
        <v>456</v>
      </c>
      <c r="B20" s="56">
        <v>45755.0</v>
      </c>
      <c r="C20" s="56">
        <v>45744.0</v>
      </c>
      <c r="D20" s="57" t="s">
        <v>177</v>
      </c>
      <c r="E20" s="57">
        <f t="array" ref="E20">XLOOKUP(D20,RUC!$B$3:$B$110,RUC!$D$3:$D$110)</f>
        <v>10306762465</v>
      </c>
      <c r="G20" s="3">
        <v>160.0</v>
      </c>
      <c r="H20" s="57" t="s">
        <v>47</v>
      </c>
      <c r="I20" s="58">
        <v>16.35</v>
      </c>
      <c r="J20" s="58">
        <v>1.2</v>
      </c>
      <c r="K20" s="119">
        <f t="shared" si="2"/>
        <v>16.1538</v>
      </c>
      <c r="L20" s="60">
        <v>0.122</v>
      </c>
      <c r="M20" s="60">
        <v>0.118</v>
      </c>
      <c r="N20" s="62">
        <v>0.118</v>
      </c>
      <c r="O20" s="60">
        <f t="shared" si="3"/>
        <v>0.118</v>
      </c>
      <c r="P20" s="63">
        <v>85.0</v>
      </c>
      <c r="Q20" s="58">
        <v>85.0</v>
      </c>
      <c r="R20" s="65">
        <v>3071.6</v>
      </c>
      <c r="S20" s="66">
        <f>IF((90+ROUNDDOWN(O20,1)*100)&lt;95,95,(90+ROUNDDOWN(O20,1)*100))</f>
        <v>100</v>
      </c>
      <c r="U20" s="67">
        <v>120.0</v>
      </c>
      <c r="V20" s="67">
        <v>1.1023</v>
      </c>
      <c r="Y20" s="57">
        <v>20.0</v>
      </c>
      <c r="Z20" s="69">
        <f t="shared" si="15"/>
        <v>30</v>
      </c>
      <c r="AA20" s="70">
        <f t="shared" si="5"/>
        <v>50</v>
      </c>
      <c r="AB20" s="71">
        <f t="shared" si="6"/>
        <v>160.9859326</v>
      </c>
      <c r="AC20" s="71">
        <f>+(S20-T20)*V20-'data 1'!$F$4</f>
        <v>30.23</v>
      </c>
      <c r="AD20" s="71">
        <f t="shared" si="7"/>
        <v>0</v>
      </c>
      <c r="AE20" s="71">
        <f t="shared" si="8"/>
        <v>-14.885</v>
      </c>
      <c r="AF20" s="71">
        <f t="shared" si="9"/>
        <v>11.06206551</v>
      </c>
      <c r="AG20" s="72">
        <f t="shared" ref="AG20:AG22" si="16">+IF(D20="RONALD WILLIAN GARIBAY ESCUDERO",AC20+AD20+AE20+AF20+70,AC20+AD20+AE20+AF20)+70-53</f>
        <v>43.40706551</v>
      </c>
      <c r="AH20" s="52">
        <f t="shared" si="11"/>
        <v>57.43313556</v>
      </c>
      <c r="AI20" s="73">
        <f t="shared" si="12"/>
        <v>49.62132419</v>
      </c>
      <c r="AJ20" s="73">
        <f t="shared" si="13"/>
        <v>55.55008194</v>
      </c>
      <c r="AK20" s="11"/>
      <c r="AL20" s="51">
        <f t="shared" si="14"/>
        <v>2600.534558</v>
      </c>
    </row>
    <row r="21" ht="15.0" customHeight="1">
      <c r="A21" s="117" t="s">
        <v>457</v>
      </c>
      <c r="B21" s="56">
        <v>45754.0</v>
      </c>
      <c r="C21" s="56">
        <v>45744.0</v>
      </c>
      <c r="D21" s="57" t="s">
        <v>249</v>
      </c>
      <c r="E21" s="57">
        <f t="array" ref="E21">XLOOKUP(D21,RUC!$B$3:$B$110,RUC!$D$3:$D$110)</f>
        <v>10473108823</v>
      </c>
      <c r="G21" s="3" t="s">
        <v>46</v>
      </c>
      <c r="H21" s="57" t="s">
        <v>47</v>
      </c>
      <c r="I21" s="58">
        <v>35.21</v>
      </c>
      <c r="J21" s="58">
        <v>13.75</v>
      </c>
      <c r="K21" s="118">
        <f t="shared" si="2"/>
        <v>30.368625</v>
      </c>
      <c r="L21" s="60">
        <v>0.113</v>
      </c>
      <c r="M21" s="60">
        <v>0.098</v>
      </c>
      <c r="N21" s="62">
        <v>0.111</v>
      </c>
      <c r="O21" s="60">
        <f t="shared" si="3"/>
        <v>0.105</v>
      </c>
      <c r="P21" s="63">
        <v>85.0</v>
      </c>
      <c r="Q21" s="58">
        <v>89.0</v>
      </c>
      <c r="R21" s="65">
        <v>3071.6</v>
      </c>
      <c r="S21" s="76">
        <v>110.0</v>
      </c>
      <c r="U21" s="67">
        <v>90.0</v>
      </c>
      <c r="V21" s="67">
        <v>1.1023</v>
      </c>
      <c r="Z21" s="69">
        <f t="shared" si="15"/>
        <v>30</v>
      </c>
      <c r="AA21" s="70">
        <f t="shared" si="5"/>
        <v>30</v>
      </c>
      <c r="AB21" s="71">
        <f t="shared" si="6"/>
        <v>139.0086279</v>
      </c>
      <c r="AC21" s="71">
        <f>+(S21-T21)*V21-'data 1'!$F$4</f>
        <v>41.253</v>
      </c>
      <c r="AD21" s="71">
        <f t="shared" si="7"/>
        <v>14.85551191</v>
      </c>
      <c r="AE21" s="71">
        <f t="shared" si="8"/>
        <v>-36.931</v>
      </c>
      <c r="AF21" s="71">
        <f t="shared" si="9"/>
        <v>23.40071788</v>
      </c>
      <c r="AG21" s="72">
        <f t="shared" si="16"/>
        <v>59.5782298</v>
      </c>
      <c r="AH21" s="52">
        <f t="shared" si="11"/>
        <v>104.7134933</v>
      </c>
      <c r="AI21" s="73">
        <f t="shared" si="12"/>
        <v>44.79784348</v>
      </c>
      <c r="AJ21" s="73">
        <f t="shared" si="13"/>
        <v>92.92710827</v>
      </c>
      <c r="AK21" s="11"/>
      <c r="AL21" s="51">
        <f t="shared" si="14"/>
        <v>4221.500894</v>
      </c>
    </row>
    <row r="22" ht="15.0" customHeight="1">
      <c r="A22" s="117" t="s">
        <v>458</v>
      </c>
      <c r="B22" s="56">
        <v>45752.0</v>
      </c>
      <c r="C22" s="56">
        <v>45744.0</v>
      </c>
      <c r="D22" s="57" t="s">
        <v>61</v>
      </c>
      <c r="E22" s="57">
        <f t="array" ref="E22">XLOOKUP(D22,RUC!$B$3:$B$110,RUC!$D$3:$D$110)</f>
        <v>20606526599</v>
      </c>
      <c r="G22" s="3">
        <v>175.0</v>
      </c>
      <c r="H22" s="57" t="s">
        <v>47</v>
      </c>
      <c r="I22" s="58">
        <v>14.83</v>
      </c>
      <c r="J22" s="58">
        <v>1.75</v>
      </c>
      <c r="K22" s="118">
        <f t="shared" si="2"/>
        <v>14.570475</v>
      </c>
      <c r="L22" s="60">
        <v>0.128</v>
      </c>
      <c r="M22" s="60">
        <v>0.124</v>
      </c>
      <c r="N22" s="62">
        <v>0.124</v>
      </c>
      <c r="O22" s="60">
        <f t="shared" si="3"/>
        <v>0.124</v>
      </c>
      <c r="P22" s="63">
        <v>80.0</v>
      </c>
      <c r="Q22" s="58">
        <v>90.1</v>
      </c>
      <c r="R22" s="65">
        <v>3071.6</v>
      </c>
      <c r="S22" s="66">
        <f>IF((80+ROUNDDOWN(O22,1)*100)&lt;95,95,(80+ROUNDDOWN(O22,1)*100))</f>
        <v>95</v>
      </c>
      <c r="U22" s="67">
        <v>100.0</v>
      </c>
      <c r="V22" s="67">
        <v>1.1023</v>
      </c>
      <c r="Y22" s="57">
        <v>20.0</v>
      </c>
      <c r="Z22" s="69">
        <f t="shared" si="15"/>
        <v>30</v>
      </c>
      <c r="AA22" s="70">
        <f t="shared" si="5"/>
        <v>50</v>
      </c>
      <c r="AB22" s="71">
        <f t="shared" si="6"/>
        <v>165.1054923</v>
      </c>
      <c r="AC22" s="71">
        <f>+(S22-T22)*V22-'data 1'!$F$4</f>
        <v>24.7185</v>
      </c>
      <c r="AD22" s="71">
        <f t="shared" si="7"/>
        <v>42.34688802</v>
      </c>
      <c r="AE22" s="71">
        <f t="shared" si="8"/>
        <v>-14.885</v>
      </c>
      <c r="AF22" s="71">
        <f t="shared" si="9"/>
        <v>11.80524323</v>
      </c>
      <c r="AG22" s="72">
        <f t="shared" si="16"/>
        <v>80.98563125</v>
      </c>
      <c r="AH22" s="52">
        <f t="shared" si="11"/>
        <v>57.61260863</v>
      </c>
      <c r="AI22" s="73">
        <f t="shared" si="12"/>
        <v>52.64289913</v>
      </c>
      <c r="AJ22" s="73">
        <f t="shared" si="13"/>
        <v>49.55579543</v>
      </c>
      <c r="AK22" s="11"/>
      <c r="AL22" s="51">
        <f t="shared" si="14"/>
        <v>2405.665447</v>
      </c>
    </row>
    <row r="23" ht="15.0" customHeight="1">
      <c r="A23" s="117" t="s">
        <v>459</v>
      </c>
      <c r="B23" s="56">
        <v>45754.0</v>
      </c>
      <c r="C23" s="56">
        <v>45746.0</v>
      </c>
      <c r="D23" s="57" t="s">
        <v>249</v>
      </c>
      <c r="E23" s="57">
        <f t="array" ref="E23">XLOOKUP(D23,RUC!$B$3:$B$110,RUC!$D$3:$D$110)</f>
        <v>10473108823</v>
      </c>
      <c r="G23" s="3" t="s">
        <v>46</v>
      </c>
      <c r="H23" s="57" t="s">
        <v>47</v>
      </c>
      <c r="I23" s="58">
        <v>33.47</v>
      </c>
      <c r="J23" s="58">
        <v>19.85</v>
      </c>
      <c r="K23" s="118">
        <f t="shared" si="2"/>
        <v>26.826205</v>
      </c>
      <c r="L23" s="60">
        <v>0.171</v>
      </c>
      <c r="M23" s="60">
        <v>0.156</v>
      </c>
      <c r="N23" s="62">
        <v>0.189</v>
      </c>
      <c r="O23" s="60">
        <f t="shared" si="3"/>
        <v>0.173</v>
      </c>
      <c r="P23" s="63">
        <v>90.0</v>
      </c>
      <c r="Q23" s="58">
        <v>90.06</v>
      </c>
      <c r="R23" s="65">
        <v>3071.6</v>
      </c>
      <c r="S23" s="76">
        <v>85.0</v>
      </c>
      <c r="U23" s="67">
        <v>90.0</v>
      </c>
      <c r="V23" s="67">
        <v>1.1023</v>
      </c>
      <c r="Z23" s="69">
        <v>30.0</v>
      </c>
      <c r="AA23" s="70">
        <f t="shared" si="5"/>
        <v>30</v>
      </c>
      <c r="AB23" s="71">
        <f t="shared" si="6"/>
        <v>384.9618728</v>
      </c>
      <c r="AC23" s="71">
        <f>+(S23-T23)*V23-'data 1'!$F$4</f>
        <v>13.6955</v>
      </c>
      <c r="AD23" s="71">
        <f t="shared" si="7"/>
        <v>0.337206974</v>
      </c>
      <c r="AE23" s="71">
        <f t="shared" si="8"/>
        <v>-36.931</v>
      </c>
      <c r="AF23" s="71">
        <f t="shared" si="9"/>
        <v>-5.919855765</v>
      </c>
      <c r="AG23" s="72">
        <f t="shared" ref="AG23:AG24" si="17">+IF(D23="RONALD WILLIAN GARIBAY ESCUDERO",AC23+AD23+AE23+AF23+70,AC23+AD23+AE23+AF23)+70-20</f>
        <v>21.18185121</v>
      </c>
      <c r="AH23" s="52">
        <f t="shared" si="11"/>
        <v>141.643406</v>
      </c>
      <c r="AI23" s="73">
        <f t="shared" si="12"/>
        <v>68.59883036</v>
      </c>
      <c r="AJ23" s="73">
        <f t="shared" si="13"/>
        <v>143.2045843</v>
      </c>
      <c r="AK23" s="11"/>
      <c r="AL23" s="51">
        <f t="shared" si="14"/>
        <v>10327.06612</v>
      </c>
    </row>
    <row r="24" ht="15.0" customHeight="1">
      <c r="A24" s="117" t="s">
        <v>460</v>
      </c>
      <c r="B24" s="56">
        <v>45754.0</v>
      </c>
      <c r="C24" s="56">
        <v>45746.0</v>
      </c>
      <c r="D24" s="57" t="s">
        <v>249</v>
      </c>
      <c r="E24" s="57">
        <f t="array" ref="E24">XLOOKUP(D24,RUC!$B$3:$B$110,RUC!$D$3:$D$110)</f>
        <v>10473108823</v>
      </c>
      <c r="G24" s="3" t="s">
        <v>46</v>
      </c>
      <c r="H24" s="57" t="s">
        <v>47</v>
      </c>
      <c r="I24" s="58">
        <v>31.89</v>
      </c>
      <c r="J24" s="58">
        <v>22.45</v>
      </c>
      <c r="K24" s="119">
        <f t="shared" si="2"/>
        <v>24.730695</v>
      </c>
      <c r="L24" s="60">
        <v>0.151</v>
      </c>
      <c r="M24" s="60">
        <v>0.135</v>
      </c>
      <c r="N24" s="62">
        <v>0.167</v>
      </c>
      <c r="O24" s="60">
        <f t="shared" si="3"/>
        <v>0.151</v>
      </c>
      <c r="P24" s="63">
        <v>90.0</v>
      </c>
      <c r="Q24" s="58">
        <v>90.09</v>
      </c>
      <c r="R24" s="65">
        <v>3071.6</v>
      </c>
      <c r="S24" s="76">
        <v>85.0</v>
      </c>
      <c r="U24" s="67">
        <v>90.0</v>
      </c>
      <c r="V24" s="67">
        <v>1.1023</v>
      </c>
      <c r="Z24" s="69">
        <f t="shared" ref="Z24:Z25" si="18">IF(IF(D24="UNTUCA",IF(+((W24-3)*1.5+(X24-3)*3.1)&gt;0,+((W24-3)*1.5+(X24-3)*3.1),0),IF(+((W24-3)*1.5+(X24-3)*3.1)&gt;0,+((W24-3)*1.5+(X24-3)*3.1),0))&lt;30,30,IF(D24="UNTUCA",IF(+((W24-3)*1.5+(X24-3)*3.1)&gt;0,+((W24-3)*1.5+(X24-3)*3.1),0),IF(+((W24-3)*1.5+(X24-3)*3.1)&gt;0,+((W24-3)*1.5+(X24-3)*3.1),0)))</f>
        <v>30</v>
      </c>
      <c r="AA24" s="70">
        <f t="shared" si="5"/>
        <v>30</v>
      </c>
      <c r="AB24" s="71">
        <f t="shared" si="6"/>
        <v>319.8868427</v>
      </c>
      <c r="AC24" s="71">
        <f>+(S24-T24)*V24-'data 1'!$F$4</f>
        <v>13.6955</v>
      </c>
      <c r="AD24" s="71">
        <f t="shared" si="7"/>
        <v>0.4466513427</v>
      </c>
      <c r="AE24" s="71">
        <f t="shared" si="8"/>
        <v>-36.931</v>
      </c>
      <c r="AF24" s="71">
        <f t="shared" si="9"/>
        <v>0</v>
      </c>
      <c r="AG24" s="72">
        <f t="shared" si="17"/>
        <v>27.21115134</v>
      </c>
      <c r="AH24" s="52">
        <f t="shared" si="11"/>
        <v>115.3450402</v>
      </c>
      <c r="AI24" s="73">
        <f t="shared" si="12"/>
        <v>60.59575376</v>
      </c>
      <c r="AJ24" s="73">
        <f t="shared" si="13"/>
        <v>115.2298104</v>
      </c>
      <c r="AK24" s="11"/>
      <c r="AL24" s="51">
        <f t="shared" si="14"/>
        <v>7911.023942</v>
      </c>
    </row>
    <row r="25" ht="15.0" customHeight="1">
      <c r="A25" s="117" t="s">
        <v>461</v>
      </c>
      <c r="B25" s="56">
        <v>45757.0</v>
      </c>
      <c r="C25" s="56">
        <v>45751.0</v>
      </c>
      <c r="D25" s="57" t="s">
        <v>306</v>
      </c>
      <c r="E25" s="57">
        <f t="array" ref="E25">XLOOKUP(D25,RUC!$B$3:$B$110,RUC!$D$3:$D$110)</f>
        <v>20612921866</v>
      </c>
      <c r="G25" s="3">
        <v>28.0</v>
      </c>
      <c r="H25" s="57" t="s">
        <v>47</v>
      </c>
      <c r="I25" s="58">
        <v>3.0</v>
      </c>
      <c r="J25" s="58">
        <v>1.2</v>
      </c>
      <c r="K25" s="118">
        <f t="shared" si="2"/>
        <v>2.964</v>
      </c>
      <c r="L25" s="60">
        <v>0.176</v>
      </c>
      <c r="M25" s="60">
        <v>0.165</v>
      </c>
      <c r="N25" s="62">
        <v>0.165</v>
      </c>
      <c r="O25" s="60">
        <f t="shared" si="3"/>
        <v>0.165</v>
      </c>
      <c r="P25" s="63">
        <v>90.0</v>
      </c>
      <c r="Q25" s="57">
        <v>90.03</v>
      </c>
      <c r="R25" s="65">
        <v>3054.6</v>
      </c>
      <c r="S25" s="66">
        <f>IF((80+ROUNDDOWN(O25,1)*100)&lt;95,95,(80+ROUNDDOWN(O25,1)*100))</f>
        <v>95</v>
      </c>
      <c r="U25" s="67">
        <v>100.0</v>
      </c>
      <c r="V25" s="67">
        <v>1.1023</v>
      </c>
      <c r="Z25" s="69">
        <f t="shared" si="18"/>
        <v>30</v>
      </c>
      <c r="AA25" s="70">
        <f t="shared" si="5"/>
        <v>30</v>
      </c>
      <c r="AB25" s="71">
        <f t="shared" si="6"/>
        <v>345.8555536</v>
      </c>
      <c r="AC25" s="71">
        <f>+(S25-T25)*V25-'data 1'!$F$4</f>
        <v>24.7185</v>
      </c>
      <c r="AD25" s="71">
        <f t="shared" si="7"/>
        <v>0.1719619746</v>
      </c>
      <c r="AE25" s="71">
        <f t="shared" si="8"/>
        <v>-36.931</v>
      </c>
      <c r="AF25" s="71">
        <f t="shared" si="9"/>
        <v>32.25361787</v>
      </c>
      <c r="AG25" s="72">
        <f t="shared" ref="AG25:AG34" si="19">+IF(D25="RONALD WILLIAN GARIBAY ESCUDERO",AC25+AD25+AE25+AF25+70,AC25+AD25+AE25+AF25)+70</f>
        <v>90.21307984</v>
      </c>
      <c r="AH25" s="52">
        <f t="shared" si="11"/>
        <v>16.10227304</v>
      </c>
      <c r="AI25" s="73">
        <f t="shared" si="12"/>
        <v>75.29701299</v>
      </c>
      <c r="AJ25" s="73">
        <f t="shared" si="13"/>
        <v>15.09085069</v>
      </c>
      <c r="AK25" s="11"/>
      <c r="AL25" s="51">
        <f t="shared" si="14"/>
        <v>1025.115861</v>
      </c>
    </row>
    <row r="26" ht="15.0" customHeight="1">
      <c r="A26" s="117" t="s">
        <v>462</v>
      </c>
      <c r="B26" s="56">
        <v>45754.0</v>
      </c>
      <c r="C26" s="56">
        <v>45752.0</v>
      </c>
      <c r="D26" s="57" t="s">
        <v>74</v>
      </c>
      <c r="E26" s="57">
        <f t="array" ref="E26">XLOOKUP(D26,RUC!$B$3:$B$110,RUC!$D$3:$D$110)</f>
        <v>10082235774</v>
      </c>
      <c r="G26" s="3">
        <v>60.0</v>
      </c>
      <c r="H26" s="57" t="s">
        <v>47</v>
      </c>
      <c r="I26" s="58">
        <v>6.09</v>
      </c>
      <c r="J26" s="58">
        <v>1.85</v>
      </c>
      <c r="K26" s="118">
        <f t="shared" si="2"/>
        <v>5.977335</v>
      </c>
      <c r="L26" s="60">
        <v>0.315</v>
      </c>
      <c r="M26" s="60">
        <v>0.31</v>
      </c>
      <c r="N26" s="62">
        <v>0.31</v>
      </c>
      <c r="O26" s="60">
        <f t="shared" si="3"/>
        <v>0.31</v>
      </c>
      <c r="P26" s="63">
        <v>90.0</v>
      </c>
      <c r="Q26" s="58">
        <v>90.2</v>
      </c>
      <c r="R26" s="65">
        <v>3054.6</v>
      </c>
      <c r="S26" s="76">
        <v>110.0</v>
      </c>
      <c r="U26" s="87">
        <v>80.0</v>
      </c>
      <c r="V26" s="67">
        <v>1.1023</v>
      </c>
      <c r="Z26" s="87">
        <v>10.0</v>
      </c>
      <c r="AA26" s="70">
        <f t="shared" si="5"/>
        <v>10</v>
      </c>
      <c r="AB26" s="71">
        <f t="shared" si="6"/>
        <v>782.5375408</v>
      </c>
      <c r="AC26" s="71">
        <f>+(S26-T26)*V26-'data 1'!$F$4</f>
        <v>41.253</v>
      </c>
      <c r="AD26" s="71">
        <f t="shared" si="7"/>
        <v>2.065707995</v>
      </c>
      <c r="AE26" s="71">
        <f t="shared" si="8"/>
        <v>-58.977</v>
      </c>
      <c r="AF26" s="71">
        <f t="shared" si="9"/>
        <v>14.78784613</v>
      </c>
      <c r="AG26" s="72">
        <f t="shared" si="19"/>
        <v>69.12955412</v>
      </c>
      <c r="AH26" s="52">
        <f t="shared" si="11"/>
        <v>58.22825258</v>
      </c>
      <c r="AI26" s="73">
        <f t="shared" si="12"/>
        <v>128.7550807</v>
      </c>
      <c r="AJ26" s="73">
        <f t="shared" si="13"/>
        <v>57.17693474</v>
      </c>
      <c r="AK26" s="11"/>
      <c r="AL26" s="51">
        <f t="shared" si="14"/>
        <v>4677.489032</v>
      </c>
    </row>
    <row r="27" ht="15.0" customHeight="1">
      <c r="A27" s="117" t="s">
        <v>463</v>
      </c>
      <c r="B27" s="56">
        <v>45754.0</v>
      </c>
      <c r="C27" s="56">
        <v>45752.0</v>
      </c>
      <c r="D27" s="57" t="s">
        <v>74</v>
      </c>
      <c r="E27" s="57">
        <f t="array" ref="E27">XLOOKUP(D27,RUC!$B$3:$B$110,RUC!$D$3:$D$110)</f>
        <v>10082235774</v>
      </c>
      <c r="G27" s="3">
        <v>37.0</v>
      </c>
      <c r="H27" s="57" t="s">
        <v>47</v>
      </c>
      <c r="I27" s="58">
        <v>3.82</v>
      </c>
      <c r="J27" s="58">
        <v>2.5</v>
      </c>
      <c r="K27" s="118">
        <f t="shared" si="2"/>
        <v>3.7245</v>
      </c>
      <c r="L27" s="60">
        <v>0.412</v>
      </c>
      <c r="M27" s="60">
        <v>0.406</v>
      </c>
      <c r="N27" s="75">
        <v>0.435</v>
      </c>
      <c r="O27" s="60">
        <f t="shared" si="3"/>
        <v>0.421</v>
      </c>
      <c r="P27" s="63">
        <v>90.0</v>
      </c>
      <c r="Q27" s="57">
        <v>90.17</v>
      </c>
      <c r="R27" s="65">
        <v>3054.6</v>
      </c>
      <c r="S27" s="76">
        <v>115.0</v>
      </c>
      <c r="U27" s="87">
        <v>80.0</v>
      </c>
      <c r="V27" s="67">
        <v>1.1023</v>
      </c>
      <c r="Z27" s="87">
        <v>10.0</v>
      </c>
      <c r="AA27" s="70">
        <f t="shared" si="5"/>
        <v>10</v>
      </c>
      <c r="AB27" s="71">
        <f t="shared" si="6"/>
        <v>1104.588309</v>
      </c>
      <c r="AC27" s="71">
        <f>+(S27-T27)*V27-'data 1'!$F$4</f>
        <v>46.7645</v>
      </c>
      <c r="AD27" s="71">
        <f t="shared" si="7"/>
        <v>2.296542667</v>
      </c>
      <c r="AE27" s="71">
        <f t="shared" si="8"/>
        <v>-58.977</v>
      </c>
      <c r="AF27" s="71">
        <f t="shared" si="9"/>
        <v>-26.60926999</v>
      </c>
      <c r="AG27" s="72">
        <f t="shared" si="19"/>
        <v>33.47477267</v>
      </c>
      <c r="AH27" s="52">
        <f t="shared" si="11"/>
        <v>47.43908825</v>
      </c>
      <c r="AI27" s="73">
        <f t="shared" si="12"/>
        <v>168.3474607</v>
      </c>
      <c r="AJ27" s="73">
        <f t="shared" si="13"/>
        <v>48.38398704</v>
      </c>
      <c r="AK27" s="11"/>
      <c r="AL27" s="51">
        <f t="shared" si="14"/>
        <v>4114.039156</v>
      </c>
    </row>
    <row r="28" ht="15.0" customHeight="1">
      <c r="A28" s="117" t="s">
        <v>464</v>
      </c>
      <c r="B28" s="56">
        <v>45754.0</v>
      </c>
      <c r="C28" s="56">
        <v>45752.0</v>
      </c>
      <c r="D28" s="57" t="s">
        <v>74</v>
      </c>
      <c r="E28" s="57">
        <f t="array" ref="E28">XLOOKUP(D28,RUC!$B$3:$B$110,RUC!$D$3:$D$110)</f>
        <v>10082235774</v>
      </c>
      <c r="G28" s="3">
        <v>32.0</v>
      </c>
      <c r="H28" s="57" t="s">
        <v>47</v>
      </c>
      <c r="I28" s="58">
        <v>3.12</v>
      </c>
      <c r="J28" s="58">
        <v>2.1</v>
      </c>
      <c r="K28" s="118">
        <f t="shared" si="2"/>
        <v>3.05448</v>
      </c>
      <c r="L28" s="60">
        <v>0.455</v>
      </c>
      <c r="M28" s="60">
        <v>0.448</v>
      </c>
      <c r="N28" s="75">
        <v>0.469</v>
      </c>
      <c r="O28" s="60">
        <f t="shared" si="3"/>
        <v>0.459</v>
      </c>
      <c r="P28" s="63">
        <v>90.0</v>
      </c>
      <c r="Q28" s="57">
        <v>90.11</v>
      </c>
      <c r="R28" s="65">
        <v>3054.6</v>
      </c>
      <c r="S28" s="76">
        <v>115.0</v>
      </c>
      <c r="U28" s="87">
        <v>80.0</v>
      </c>
      <c r="V28" s="67">
        <v>1.1023</v>
      </c>
      <c r="Z28" s="87">
        <v>10.0</v>
      </c>
      <c r="AA28" s="70">
        <f t="shared" si="5"/>
        <v>10</v>
      </c>
      <c r="AB28" s="71">
        <f t="shared" si="6"/>
        <v>1216.726743</v>
      </c>
      <c r="AC28" s="71">
        <f>+(S28-T28)*V28-'data 1'!$F$4</f>
        <v>46.7645</v>
      </c>
      <c r="AD28" s="71">
        <f t="shared" si="7"/>
        <v>1.641090241</v>
      </c>
      <c r="AE28" s="71">
        <f t="shared" si="8"/>
        <v>-58.977</v>
      </c>
      <c r="AF28" s="71">
        <f t="shared" si="9"/>
        <v>-11.81847285</v>
      </c>
      <c r="AG28" s="72">
        <f t="shared" si="19"/>
        <v>47.61011739</v>
      </c>
      <c r="AH28" s="52">
        <f t="shared" si="11"/>
        <v>42.93690552</v>
      </c>
      <c r="AI28" s="73">
        <f t="shared" si="12"/>
        <v>185.7939939</v>
      </c>
      <c r="AJ28" s="73">
        <f t="shared" si="13"/>
        <v>43.26149766</v>
      </c>
      <c r="AK28" s="11"/>
      <c r="AL28" s="51">
        <f t="shared" si="14"/>
        <v>3716.467501</v>
      </c>
    </row>
    <row r="29" ht="15.0" customHeight="1">
      <c r="A29" s="117" t="s">
        <v>465</v>
      </c>
      <c r="B29" s="56">
        <v>45754.0</v>
      </c>
      <c r="C29" s="56">
        <v>45752.0</v>
      </c>
      <c r="D29" s="57" t="s">
        <v>74</v>
      </c>
      <c r="E29" s="57">
        <f t="array" ref="E29">XLOOKUP(D29,RUC!$B$3:$B$110,RUC!$D$3:$D$110)</f>
        <v>10082235774</v>
      </c>
      <c r="G29" s="3">
        <v>53.0</v>
      </c>
      <c r="H29" s="57" t="s">
        <v>47</v>
      </c>
      <c r="I29" s="58">
        <v>5.62</v>
      </c>
      <c r="J29" s="58">
        <v>2.2</v>
      </c>
      <c r="K29" s="118">
        <f t="shared" si="2"/>
        <v>5.49636</v>
      </c>
      <c r="L29" s="60">
        <v>0.755</v>
      </c>
      <c r="M29" s="60">
        <v>0.744</v>
      </c>
      <c r="N29" s="62">
        <v>0.744</v>
      </c>
      <c r="O29" s="60">
        <f t="shared" si="3"/>
        <v>0.744</v>
      </c>
      <c r="P29" s="63">
        <v>90.0</v>
      </c>
      <c r="Q29" s="57">
        <v>90.05</v>
      </c>
      <c r="R29" s="65">
        <v>3054.6</v>
      </c>
      <c r="S29" s="76">
        <v>130.0</v>
      </c>
      <c r="U29" s="87">
        <v>80.0</v>
      </c>
      <c r="V29" s="67">
        <v>1.1023</v>
      </c>
      <c r="Z29" s="87">
        <v>10.0</v>
      </c>
      <c r="AA29" s="70">
        <f t="shared" si="5"/>
        <v>10</v>
      </c>
      <c r="AB29" s="71">
        <f t="shared" si="6"/>
        <v>2041.230498</v>
      </c>
      <c r="AC29" s="71">
        <f>+(S29-T29)*V29-'data 1'!$F$4</f>
        <v>63.299</v>
      </c>
      <c r="AD29" s="71">
        <f t="shared" si="7"/>
        <v>1.237785346</v>
      </c>
      <c r="AE29" s="71">
        <f t="shared" si="8"/>
        <v>-58.977</v>
      </c>
      <c r="AF29" s="71">
        <f t="shared" si="9"/>
        <v>32.4791596</v>
      </c>
      <c r="AG29" s="72">
        <f t="shared" si="19"/>
        <v>108.0389449</v>
      </c>
      <c r="AH29" s="52">
        <f t="shared" si="11"/>
        <v>128.1194036</v>
      </c>
      <c r="AI29" s="73">
        <f t="shared" si="12"/>
        <v>308.0902488</v>
      </c>
      <c r="AJ29" s="73">
        <f t="shared" si="13"/>
        <v>126.1826618</v>
      </c>
      <c r="AK29" s="11"/>
      <c r="AL29" s="51">
        <f t="shared" si="14"/>
        <v>11219.33766</v>
      </c>
    </row>
    <row r="30" ht="15.0" customHeight="1">
      <c r="A30" s="117" t="s">
        <v>466</v>
      </c>
      <c r="B30" s="56">
        <v>45754.0</v>
      </c>
      <c r="C30" s="56">
        <v>45752.0</v>
      </c>
      <c r="D30" s="57" t="s">
        <v>74</v>
      </c>
      <c r="E30" s="57">
        <f t="array" ref="E30">XLOOKUP(D30,RUC!$B$3:$B$110,RUC!$D$3:$D$110)</f>
        <v>10082235774</v>
      </c>
      <c r="G30" s="3">
        <v>47.0</v>
      </c>
      <c r="H30" s="57" t="s">
        <v>47</v>
      </c>
      <c r="I30" s="58">
        <v>4.61</v>
      </c>
      <c r="J30" s="58">
        <v>2.75</v>
      </c>
      <c r="K30" s="119">
        <f t="shared" si="2"/>
        <v>4.483225</v>
      </c>
      <c r="L30" s="60">
        <v>0.29</v>
      </c>
      <c r="M30" s="60">
        <v>0.286</v>
      </c>
      <c r="N30" s="62">
        <v>0.286</v>
      </c>
      <c r="O30" s="60">
        <f t="shared" si="3"/>
        <v>0.286</v>
      </c>
      <c r="P30" s="63">
        <v>90.0</v>
      </c>
      <c r="Q30" s="57">
        <v>90.12</v>
      </c>
      <c r="R30" s="65">
        <v>3054.6</v>
      </c>
      <c r="S30" s="76">
        <v>105.0</v>
      </c>
      <c r="U30" s="87">
        <v>80.0</v>
      </c>
      <c r="V30" s="67">
        <v>1.1023</v>
      </c>
      <c r="Z30" s="87">
        <v>10.0</v>
      </c>
      <c r="AA30" s="70">
        <f t="shared" si="5"/>
        <v>10</v>
      </c>
      <c r="AB30" s="71">
        <f t="shared" si="6"/>
        <v>717.2247667</v>
      </c>
      <c r="AC30" s="71">
        <f>+(S30-T30)*V30-'data 1'!$F$4</f>
        <v>35.7415</v>
      </c>
      <c r="AD30" s="71">
        <f t="shared" si="7"/>
        <v>1.14105775</v>
      </c>
      <c r="AE30" s="71">
        <f t="shared" si="8"/>
        <v>-58.977</v>
      </c>
      <c r="AF30" s="71">
        <f t="shared" si="9"/>
        <v>11.81978442</v>
      </c>
      <c r="AG30" s="72">
        <f t="shared" si="19"/>
        <v>59.72534217</v>
      </c>
      <c r="AH30" s="52">
        <f t="shared" si="11"/>
        <v>40.17156818</v>
      </c>
      <c r="AI30" s="73">
        <f t="shared" si="12"/>
        <v>118.4312915</v>
      </c>
      <c r="AJ30" s="73">
        <f t="shared" si="13"/>
        <v>39.56472462</v>
      </c>
      <c r="AK30" s="11"/>
      <c r="AL30" s="51">
        <f t="shared" si="14"/>
        <v>3215.480005</v>
      </c>
    </row>
    <row r="31" ht="15.0" customHeight="1">
      <c r="A31" s="117" t="s">
        <v>467</v>
      </c>
      <c r="B31" s="56">
        <v>45754.0</v>
      </c>
      <c r="C31" s="56">
        <v>45752.0</v>
      </c>
      <c r="D31" s="57" t="s">
        <v>74</v>
      </c>
      <c r="E31" s="57">
        <f t="array" ref="E31">XLOOKUP(D31,RUC!$B$3:$B$110,RUC!$D$3:$D$110)</f>
        <v>10082235774</v>
      </c>
      <c r="G31" s="3">
        <v>51.0</v>
      </c>
      <c r="H31" s="57" t="s">
        <v>47</v>
      </c>
      <c r="I31" s="58">
        <v>4.64</v>
      </c>
      <c r="J31" s="58">
        <v>2.5</v>
      </c>
      <c r="K31" s="119">
        <f t="shared" si="2"/>
        <v>4.524</v>
      </c>
      <c r="L31" s="60">
        <v>0.114</v>
      </c>
      <c r="M31" s="60">
        <v>0.112</v>
      </c>
      <c r="N31" s="62">
        <v>0.112</v>
      </c>
      <c r="O31" s="60">
        <f t="shared" si="3"/>
        <v>0.112</v>
      </c>
      <c r="P31" s="63">
        <v>85.0</v>
      </c>
      <c r="Q31" s="57">
        <v>89.92</v>
      </c>
      <c r="R31" s="65">
        <v>3054.6</v>
      </c>
      <c r="S31" s="76">
        <v>95.0</v>
      </c>
      <c r="U31" s="87">
        <v>80.0</v>
      </c>
      <c r="V31" s="67">
        <v>1.1023</v>
      </c>
      <c r="Z31" s="87">
        <v>10.0</v>
      </c>
      <c r="AA31" s="70">
        <f t="shared" si="5"/>
        <v>10</v>
      </c>
      <c r="AB31" s="71">
        <f t="shared" si="6"/>
        <v>196.4099304</v>
      </c>
      <c r="AC31" s="71">
        <f>+(S31-T31)*V31-'data 1'!$F$4</f>
        <v>24.7185</v>
      </c>
      <c r="AD31" s="71">
        <f t="shared" si="7"/>
        <v>18.39070318</v>
      </c>
      <c r="AE31" s="71">
        <f t="shared" si="8"/>
        <v>-58.977</v>
      </c>
      <c r="AF31" s="71">
        <f t="shared" si="9"/>
        <v>5.896776601</v>
      </c>
      <c r="AG31" s="72">
        <f t="shared" si="19"/>
        <v>60.02897978</v>
      </c>
      <c r="AH31" s="52">
        <f t="shared" si="11"/>
        <v>15.89984224</v>
      </c>
      <c r="AI31" s="73">
        <f t="shared" si="12"/>
        <v>46.45242959</v>
      </c>
      <c r="AJ31" s="73">
        <f t="shared" si="13"/>
        <v>14.7661955</v>
      </c>
      <c r="AK31" s="11"/>
      <c r="AL31" s="51">
        <f t="shared" si="14"/>
        <v>888.5585252</v>
      </c>
    </row>
    <row r="32" ht="15.0" customHeight="1">
      <c r="A32" s="117" t="s">
        <v>468</v>
      </c>
      <c r="B32" s="56">
        <v>45754.0</v>
      </c>
      <c r="C32" s="56">
        <v>45752.0</v>
      </c>
      <c r="D32" s="57" t="s">
        <v>146</v>
      </c>
      <c r="E32" s="57">
        <f t="array" ref="E32">XLOOKUP(D32,RUC!$B$3:$B$110,RUC!$D$3:$D$110)</f>
        <v>20517242919</v>
      </c>
      <c r="G32" s="3">
        <v>34.0</v>
      </c>
      <c r="H32" s="57" t="s">
        <v>47</v>
      </c>
      <c r="I32" s="58">
        <v>3.46</v>
      </c>
      <c r="J32" s="58">
        <v>2.5</v>
      </c>
      <c r="K32" s="118">
        <f t="shared" si="2"/>
        <v>3.3735</v>
      </c>
      <c r="L32" s="60">
        <v>0.456</v>
      </c>
      <c r="M32" s="60">
        <v>0.449</v>
      </c>
      <c r="N32" s="62">
        <v>0.449</v>
      </c>
      <c r="O32" s="60">
        <f t="shared" si="3"/>
        <v>0.449</v>
      </c>
      <c r="P32" s="63">
        <v>90.0</v>
      </c>
      <c r="Q32" s="57">
        <v>90.15</v>
      </c>
      <c r="R32" s="65">
        <v>3054.6</v>
      </c>
      <c r="S32" s="76">
        <v>115.0</v>
      </c>
      <c r="U32" s="87">
        <v>80.0</v>
      </c>
      <c r="V32" s="67">
        <v>1.1023</v>
      </c>
      <c r="Z32" s="87">
        <v>10.0</v>
      </c>
      <c r="AA32" s="70">
        <f t="shared" si="5"/>
        <v>10</v>
      </c>
      <c r="AB32" s="71">
        <f t="shared" si="6"/>
        <v>1187.216628</v>
      </c>
      <c r="AC32" s="71">
        <f>+(S32-T32)*V32-'data 1'!$F$4</f>
        <v>46.7645</v>
      </c>
      <c r="AD32" s="71">
        <f t="shared" si="7"/>
        <v>2.242768681</v>
      </c>
      <c r="AE32" s="71">
        <f t="shared" si="8"/>
        <v>-58.977</v>
      </c>
      <c r="AF32" s="71">
        <f t="shared" si="9"/>
        <v>20.69150842</v>
      </c>
      <c r="AG32" s="72">
        <f t="shared" si="19"/>
        <v>80.7217771</v>
      </c>
      <c r="AH32" s="52">
        <f t="shared" si="11"/>
        <v>47.54669754</v>
      </c>
      <c r="AI32" s="73">
        <f t="shared" si="12"/>
        <v>186.2849879</v>
      </c>
      <c r="AJ32" s="73">
        <f t="shared" si="13"/>
        <v>46.73891584</v>
      </c>
      <c r="AK32" s="11"/>
      <c r="AL32" s="51">
        <f t="shared" si="14"/>
        <v>4005.075296</v>
      </c>
    </row>
    <row r="33" ht="15.0" customHeight="1">
      <c r="A33" s="117" t="s">
        <v>469</v>
      </c>
      <c r="B33" s="56">
        <v>45754.0</v>
      </c>
      <c r="C33" s="56">
        <v>45752.0</v>
      </c>
      <c r="D33" s="57" t="s">
        <v>146</v>
      </c>
      <c r="E33" s="57">
        <f t="array" ref="E33">XLOOKUP(D33,RUC!$B$3:$B$110,RUC!$D$3:$D$110)</f>
        <v>20517242919</v>
      </c>
      <c r="G33" s="3">
        <v>45.0</v>
      </c>
      <c r="H33" s="57" t="s">
        <v>47</v>
      </c>
      <c r="I33" s="58">
        <v>4.38</v>
      </c>
      <c r="J33" s="58">
        <v>1.75</v>
      </c>
      <c r="K33" s="118">
        <f t="shared" si="2"/>
        <v>4.30335</v>
      </c>
      <c r="L33" s="60">
        <v>0.323</v>
      </c>
      <c r="M33" s="60">
        <v>0.318</v>
      </c>
      <c r="N33" s="62">
        <v>0.318</v>
      </c>
      <c r="O33" s="60">
        <f t="shared" si="3"/>
        <v>0.318</v>
      </c>
      <c r="P33" s="63">
        <v>90.0</v>
      </c>
      <c r="Q33" s="57">
        <v>90.11</v>
      </c>
      <c r="R33" s="65">
        <v>3054.6</v>
      </c>
      <c r="S33" s="76">
        <v>110.0</v>
      </c>
      <c r="U33" s="87">
        <v>80.0</v>
      </c>
      <c r="V33" s="67">
        <v>1.1023</v>
      </c>
      <c r="Z33" s="87">
        <v>10.0</v>
      </c>
      <c r="AA33" s="70">
        <f t="shared" si="5"/>
        <v>10</v>
      </c>
      <c r="AB33" s="71">
        <f t="shared" si="6"/>
        <v>806.1456322</v>
      </c>
      <c r="AC33" s="71">
        <f>+(S33-T33)*V33-'data 1'!$F$4</f>
        <v>41.253</v>
      </c>
      <c r="AD33" s="71">
        <f t="shared" si="7"/>
        <v>1.164993731</v>
      </c>
      <c r="AE33" s="71">
        <f t="shared" si="8"/>
        <v>-58.977</v>
      </c>
      <c r="AF33" s="71">
        <f t="shared" si="9"/>
        <v>14.77309107</v>
      </c>
      <c r="AG33" s="72">
        <f t="shared" si="19"/>
        <v>68.2140848</v>
      </c>
      <c r="AH33" s="52">
        <f t="shared" si="11"/>
        <v>42.94288825</v>
      </c>
      <c r="AI33" s="73">
        <f t="shared" si="12"/>
        <v>131.8933187</v>
      </c>
      <c r="AJ33" s="73">
        <f t="shared" si="13"/>
        <v>42.22652746</v>
      </c>
      <c r="AK33" s="11"/>
      <c r="AL33" s="51">
        <f t="shared" si="14"/>
        <v>3469.126806</v>
      </c>
    </row>
    <row r="34" ht="15.0" customHeight="1">
      <c r="A34" s="117" t="s">
        <v>470</v>
      </c>
      <c r="B34" s="56">
        <v>45754.0</v>
      </c>
      <c r="C34" s="56">
        <v>45752.0</v>
      </c>
      <c r="D34" s="57" t="s">
        <v>146</v>
      </c>
      <c r="E34" s="57">
        <f t="array" ref="E34">XLOOKUP(D34,RUC!$B$3:$B$110,RUC!$D$3:$D$110)</f>
        <v>20517242919</v>
      </c>
      <c r="G34" s="3">
        <v>72.0</v>
      </c>
      <c r="H34" s="57" t="s">
        <v>47</v>
      </c>
      <c r="I34" s="58">
        <v>7.43</v>
      </c>
      <c r="J34" s="58">
        <v>2.1</v>
      </c>
      <c r="K34" s="118">
        <f t="shared" si="2"/>
        <v>7.27397</v>
      </c>
      <c r="L34" s="60">
        <v>0.441</v>
      </c>
      <c r="M34" s="60">
        <v>0.434</v>
      </c>
      <c r="N34" s="62">
        <v>0.434</v>
      </c>
      <c r="O34" s="60">
        <f t="shared" si="3"/>
        <v>0.434</v>
      </c>
      <c r="P34" s="63">
        <v>90.0</v>
      </c>
      <c r="Q34" s="57">
        <v>90.06</v>
      </c>
      <c r="R34" s="65">
        <v>3054.6</v>
      </c>
      <c r="S34" s="76">
        <v>115.0</v>
      </c>
      <c r="U34" s="87">
        <v>80.0</v>
      </c>
      <c r="V34" s="67">
        <v>1.1023</v>
      </c>
      <c r="Z34" s="87">
        <v>10.0</v>
      </c>
      <c r="AA34" s="70">
        <f t="shared" si="5"/>
        <v>10</v>
      </c>
      <c r="AB34" s="71">
        <f t="shared" si="6"/>
        <v>1142.951457</v>
      </c>
      <c r="AC34" s="71">
        <f>+(S34-T34)*V34-'data 1'!$F$4</f>
        <v>46.7645</v>
      </c>
      <c r="AD34" s="71">
        <f t="shared" si="7"/>
        <v>0.8675973581</v>
      </c>
      <c r="AE34" s="71">
        <f t="shared" si="8"/>
        <v>-58.977</v>
      </c>
      <c r="AF34" s="71">
        <f t="shared" si="9"/>
        <v>20.67085134</v>
      </c>
      <c r="AG34" s="72">
        <f t="shared" si="19"/>
        <v>79.3259487</v>
      </c>
      <c r="AH34" s="52">
        <f t="shared" si="11"/>
        <v>99.04923073</v>
      </c>
      <c r="AI34" s="73">
        <f t="shared" si="12"/>
        <v>179.9773348</v>
      </c>
      <c r="AJ34" s="73">
        <f t="shared" si="13"/>
        <v>97.41207933</v>
      </c>
      <c r="AK34" s="11"/>
      <c r="AL34" s="51">
        <f t="shared" si="14"/>
        <v>8313.794611</v>
      </c>
    </row>
    <row r="35" ht="15.0" customHeight="1">
      <c r="A35" s="117" t="s">
        <v>471</v>
      </c>
      <c r="B35" s="56">
        <v>45698.0</v>
      </c>
      <c r="C35" s="56">
        <v>45755.0</v>
      </c>
      <c r="D35" s="57" t="s">
        <v>306</v>
      </c>
      <c r="E35" s="57">
        <f t="array" ref="E35">XLOOKUP(D35,RUC!$B$3:$B$110,RUC!$D$3:$D$110)</f>
        <v>20612921866</v>
      </c>
      <c r="G35" s="3" t="s">
        <v>46</v>
      </c>
      <c r="H35" s="57" t="s">
        <v>71</v>
      </c>
      <c r="I35" s="58">
        <v>8.72</v>
      </c>
      <c r="J35" s="58">
        <v>1.2</v>
      </c>
      <c r="K35" s="119">
        <f t="shared" si="2"/>
        <v>8.61536</v>
      </c>
      <c r="L35" s="60">
        <v>0.143</v>
      </c>
      <c r="M35" s="60">
        <v>0.128</v>
      </c>
      <c r="N35" s="62">
        <v>0.128</v>
      </c>
      <c r="O35" s="60">
        <f t="shared" si="3"/>
        <v>0.128</v>
      </c>
      <c r="P35" s="63">
        <v>90.0</v>
      </c>
      <c r="Q35" s="58">
        <v>90.0</v>
      </c>
      <c r="R35" s="65">
        <v>3015.4</v>
      </c>
      <c r="S35" s="66">
        <f>IF((90+ROUNDDOWN(O35,1)*100)&lt;95,95,(90+ROUNDDOWN(O35,1)*100))</f>
        <v>100</v>
      </c>
      <c r="U35" s="67">
        <v>120.0</v>
      </c>
      <c r="V35" s="67">
        <v>1.1023</v>
      </c>
      <c r="Y35" s="57">
        <v>20.0</v>
      </c>
      <c r="Z35" s="69">
        <f>IF(IF(D35="UNTUCA",IF(+((W35-3)*1.5+(X35-3)*3.1)&gt;0,+((W35-3)*1.5+(X35-3)*3.1),0),IF(+((W35-3)*1.5+(X35-3)*3.1)&gt;0,+((W35-3)*1.5+(X35-3)*3.1),0))&lt;30,30,IF(D35="UNTUCA",IF(+((W35-3)*1.5+(X35-3)*3.1)&gt;0,+((W35-3)*1.5+(X35-3)*3.1),0),IF(+((W35-3)*1.5+(X35-3)*3.1)&gt;0,+((W35-3)*1.5+(X35-3)*3.1),0)))</f>
        <v>30</v>
      </c>
      <c r="AA35" s="70">
        <f t="shared" si="5"/>
        <v>50</v>
      </c>
      <c r="AB35" s="71">
        <f t="shared" si="6"/>
        <v>202.3272532</v>
      </c>
      <c r="AC35" s="71">
        <f>+(S35-T35)*V35-'data 1'!$F$4</f>
        <v>30.23</v>
      </c>
      <c r="AD35" s="71">
        <f t="shared" si="7"/>
        <v>0</v>
      </c>
      <c r="AE35" s="71">
        <f t="shared" si="8"/>
        <v>-14.885</v>
      </c>
      <c r="AF35" s="71">
        <f t="shared" si="9"/>
        <v>43.08659217</v>
      </c>
      <c r="AG35" s="72">
        <f t="shared" ref="AG35:AG39" si="20">+IF(D35="RONALD WILLIAN GARIBAY ESCUDERO",AC35+AD35+AE35+AF35+70,AC35+AD35+AE35+AF35)+70-53</f>
        <v>75.43159217</v>
      </c>
      <c r="AH35" s="52">
        <f t="shared" si="11"/>
        <v>38.01552965</v>
      </c>
      <c r="AI35" s="73">
        <f t="shared" si="12"/>
        <v>69.5569047</v>
      </c>
      <c r="AJ35" s="73">
        <f t="shared" si="13"/>
        <v>34.02788668</v>
      </c>
      <c r="AK35" s="11"/>
      <c r="AL35" s="51">
        <f t="shared" si="14"/>
        <v>1743.122124</v>
      </c>
    </row>
    <row r="36" ht="15.0" customHeight="1">
      <c r="A36" s="117" t="s">
        <v>472</v>
      </c>
      <c r="B36" s="56">
        <v>45732.0</v>
      </c>
      <c r="C36" s="56">
        <v>45756.0</v>
      </c>
      <c r="D36" s="57" t="s">
        <v>88</v>
      </c>
      <c r="E36" s="57" t="str">
        <f t="array" ref="E36">XLOOKUP(D36,RUC!$B$3:$B$110,RUC!$D$3:$D$110)</f>
        <v>#N/A</v>
      </c>
      <c r="G36" s="3">
        <v>50.0</v>
      </c>
      <c r="H36" s="57" t="s">
        <v>47</v>
      </c>
      <c r="I36" s="58">
        <v>6.57</v>
      </c>
      <c r="J36" s="58">
        <v>1.2</v>
      </c>
      <c r="K36" s="119">
        <f t="shared" si="2"/>
        <v>6.49116</v>
      </c>
      <c r="L36" s="60">
        <v>0.516</v>
      </c>
      <c r="M36" s="60">
        <v>0.485</v>
      </c>
      <c r="N36" s="120">
        <v>0.519</v>
      </c>
      <c r="O36" s="60">
        <f t="shared" si="3"/>
        <v>0.502</v>
      </c>
      <c r="P36" s="63">
        <v>90.0</v>
      </c>
      <c r="Q36" s="58">
        <v>90.1</v>
      </c>
      <c r="R36" s="65">
        <v>3075.1</v>
      </c>
      <c r="S36" s="121">
        <v>115.0</v>
      </c>
      <c r="U36" s="87">
        <v>90.0</v>
      </c>
      <c r="V36" s="67">
        <v>1.1023</v>
      </c>
      <c r="Z36" s="77">
        <v>25.0</v>
      </c>
      <c r="AA36" s="70">
        <f t="shared" si="5"/>
        <v>25</v>
      </c>
      <c r="AB36" s="71">
        <f t="shared" si="6"/>
        <v>1332.314935</v>
      </c>
      <c r="AC36" s="71">
        <f>+(S36-T36)*V36-'data 1'!$F$4</f>
        <v>46.7645</v>
      </c>
      <c r="AD36" s="71">
        <f t="shared" si="7"/>
        <v>1.697885477</v>
      </c>
      <c r="AE36" s="71">
        <f t="shared" si="8"/>
        <v>-42.4425</v>
      </c>
      <c r="AF36" s="71">
        <f t="shared" si="9"/>
        <v>41.50606086</v>
      </c>
      <c r="AG36" s="72">
        <f t="shared" si="20"/>
        <v>64.52594633</v>
      </c>
      <c r="AH36" s="52">
        <f t="shared" si="11"/>
        <v>103.4679575</v>
      </c>
      <c r="AI36" s="73">
        <f t="shared" si="12"/>
        <v>205.2982489</v>
      </c>
      <c r="AJ36" s="73">
        <f t="shared" si="13"/>
        <v>100.5489663</v>
      </c>
      <c r="AK36" s="11"/>
      <c r="AL36" s="51">
        <f t="shared" si="14"/>
        <v>8648.269412</v>
      </c>
    </row>
    <row r="37" ht="15.0" customHeight="1">
      <c r="A37" s="117" t="s">
        <v>473</v>
      </c>
      <c r="B37" s="56">
        <v>45732.0</v>
      </c>
      <c r="C37" s="56">
        <v>45756.0</v>
      </c>
      <c r="D37" s="57" t="s">
        <v>88</v>
      </c>
      <c r="E37" s="57" t="str">
        <f t="array" ref="E37">XLOOKUP(D37,RUC!$B$3:$B$110,RUC!$D$3:$D$110)</f>
        <v>#N/A</v>
      </c>
      <c r="G37" s="3">
        <v>50.0</v>
      </c>
      <c r="H37" s="57" t="s">
        <v>47</v>
      </c>
      <c r="I37" s="58">
        <v>7.02</v>
      </c>
      <c r="J37" s="58">
        <v>1.3</v>
      </c>
      <c r="K37" s="119">
        <f t="shared" si="2"/>
        <v>6.92874</v>
      </c>
      <c r="L37" s="60">
        <v>0.422</v>
      </c>
      <c r="M37" s="60">
        <v>0.397</v>
      </c>
      <c r="N37" s="120">
        <v>0.456</v>
      </c>
      <c r="O37" s="60">
        <f t="shared" si="3"/>
        <v>0.427</v>
      </c>
      <c r="P37" s="63">
        <v>90.0</v>
      </c>
      <c r="Q37" s="58">
        <v>90.1</v>
      </c>
      <c r="R37" s="65">
        <v>3075.1</v>
      </c>
      <c r="S37" s="121">
        <v>115.0</v>
      </c>
      <c r="U37" s="87">
        <v>90.0</v>
      </c>
      <c r="V37" s="67">
        <v>1.1023</v>
      </c>
      <c r="Z37" s="77">
        <v>25.0</v>
      </c>
      <c r="AA37" s="70">
        <f t="shared" si="5"/>
        <v>25</v>
      </c>
      <c r="AB37" s="71">
        <f t="shared" si="6"/>
        <v>1110.207823</v>
      </c>
      <c r="AC37" s="71">
        <f>+(S37-T37)*V37-'data 1'!$F$4</f>
        <v>46.7645</v>
      </c>
      <c r="AD37" s="71">
        <f t="shared" si="7"/>
        <v>1.388580758</v>
      </c>
      <c r="AE37" s="71">
        <f t="shared" si="8"/>
        <v>-42.4425</v>
      </c>
      <c r="AF37" s="71">
        <f t="shared" si="9"/>
        <v>-14.82359316</v>
      </c>
      <c r="AG37" s="72">
        <f t="shared" si="20"/>
        <v>7.886987594</v>
      </c>
      <c r="AH37" s="52">
        <f t="shared" si="11"/>
        <v>90.32346215</v>
      </c>
      <c r="AI37" s="73">
        <f t="shared" si="12"/>
        <v>167.8989555</v>
      </c>
      <c r="AJ37" s="73">
        <f t="shared" si="13"/>
        <v>91.29220957</v>
      </c>
      <c r="AK37" s="11"/>
      <c r="AL37" s="51">
        <f t="shared" si="14"/>
        <v>7692.341352</v>
      </c>
    </row>
    <row r="38" ht="15.0" customHeight="1">
      <c r="A38" s="117" t="s">
        <v>474</v>
      </c>
      <c r="B38" s="56">
        <v>45732.0</v>
      </c>
      <c r="C38" s="56">
        <v>45756.0</v>
      </c>
      <c r="D38" s="57" t="s">
        <v>88</v>
      </c>
      <c r="E38" s="57" t="str">
        <f t="array" ref="E38">XLOOKUP(D38,RUC!$B$3:$B$110,RUC!$D$3:$D$110)</f>
        <v>#N/A</v>
      </c>
      <c r="G38" s="3">
        <v>50.0</v>
      </c>
      <c r="H38" s="57" t="s">
        <v>47</v>
      </c>
      <c r="I38" s="58">
        <v>6.45</v>
      </c>
      <c r="J38" s="58">
        <v>1.2</v>
      </c>
      <c r="K38" s="119">
        <f t="shared" si="2"/>
        <v>6.3726</v>
      </c>
      <c r="L38" s="60">
        <v>0.499</v>
      </c>
      <c r="M38" s="60">
        <v>0.469</v>
      </c>
      <c r="N38" s="120">
        <v>0.524</v>
      </c>
      <c r="O38" s="60">
        <f t="shared" si="3"/>
        <v>0.497</v>
      </c>
      <c r="P38" s="63">
        <v>90.0</v>
      </c>
      <c r="Q38" s="58">
        <v>90.2</v>
      </c>
      <c r="R38" s="65">
        <v>3075.1</v>
      </c>
      <c r="S38" s="121">
        <v>115.0</v>
      </c>
      <c r="U38" s="87">
        <v>90.0</v>
      </c>
      <c r="V38" s="67">
        <v>1.1023</v>
      </c>
      <c r="Z38" s="77">
        <v>25.0</v>
      </c>
      <c r="AA38" s="70">
        <f t="shared" si="5"/>
        <v>25</v>
      </c>
      <c r="AB38" s="71">
        <f t="shared" si="6"/>
        <v>1317.507794</v>
      </c>
      <c r="AC38" s="71">
        <f>+(S38-T38)*V38-'data 1'!$F$4</f>
        <v>46.7645</v>
      </c>
      <c r="AD38" s="71">
        <f t="shared" si="7"/>
        <v>3.283894779</v>
      </c>
      <c r="AE38" s="71">
        <f t="shared" si="8"/>
        <v>-42.4425</v>
      </c>
      <c r="AF38" s="71">
        <f t="shared" si="9"/>
        <v>5.936018217</v>
      </c>
      <c r="AG38" s="72">
        <f t="shared" si="20"/>
        <v>30.541913</v>
      </c>
      <c r="AH38" s="52">
        <f t="shared" si="11"/>
        <v>98.34059048</v>
      </c>
      <c r="AI38" s="73">
        <f t="shared" si="12"/>
        <v>198.754896</v>
      </c>
      <c r="AJ38" s="73">
        <f t="shared" si="13"/>
        <v>97.72926368</v>
      </c>
      <c r="AK38" s="11"/>
      <c r="AL38" s="51">
        <f t="shared" si="14"/>
        <v>8395.950168</v>
      </c>
    </row>
    <row r="39" ht="15.0" customHeight="1">
      <c r="A39" s="117" t="s">
        <v>475</v>
      </c>
      <c r="B39" s="56">
        <v>45732.0</v>
      </c>
      <c r="C39" s="56">
        <v>45756.0</v>
      </c>
      <c r="D39" s="57" t="s">
        <v>88</v>
      </c>
      <c r="E39" s="57" t="str">
        <f t="array" ref="E39">XLOOKUP(D39,RUC!$B$3:$B$110,RUC!$D$3:$D$110)</f>
        <v>#N/A</v>
      </c>
      <c r="G39" s="3">
        <v>50.0</v>
      </c>
      <c r="H39" s="57" t="s">
        <v>47</v>
      </c>
      <c r="I39" s="58">
        <v>5.42</v>
      </c>
      <c r="J39" s="58">
        <v>1.2</v>
      </c>
      <c r="K39" s="119">
        <f t="shared" si="2"/>
        <v>5.35496</v>
      </c>
      <c r="L39" s="60">
        <v>0.331</v>
      </c>
      <c r="M39" s="60">
        <v>0.311</v>
      </c>
      <c r="N39" s="120">
        <v>0.363</v>
      </c>
      <c r="O39" s="60">
        <f t="shared" si="3"/>
        <v>0.337</v>
      </c>
      <c r="P39" s="63">
        <v>90.0</v>
      </c>
      <c r="Q39" s="58">
        <v>90.1</v>
      </c>
      <c r="R39" s="65">
        <v>3075.1</v>
      </c>
      <c r="S39" s="121">
        <v>105.0</v>
      </c>
      <c r="U39" s="87">
        <v>90.0</v>
      </c>
      <c r="V39" s="67">
        <v>1.1023</v>
      </c>
      <c r="Z39" s="77">
        <v>25.0</v>
      </c>
      <c r="AA39" s="70">
        <f t="shared" si="5"/>
        <v>25</v>
      </c>
      <c r="AB39" s="71">
        <f t="shared" si="6"/>
        <v>854.7022889</v>
      </c>
      <c r="AC39" s="71">
        <f>+(S39-T39)*V39-'data 1'!$F$4</f>
        <v>35.7415</v>
      </c>
      <c r="AD39" s="71">
        <f t="shared" si="7"/>
        <v>1.089147467</v>
      </c>
      <c r="AE39" s="71">
        <f t="shared" si="8"/>
        <v>-42.4425</v>
      </c>
      <c r="AF39" s="71">
        <f t="shared" si="9"/>
        <v>-17.7883118</v>
      </c>
      <c r="AG39" s="72">
        <f t="shared" si="20"/>
        <v>-6.40016433</v>
      </c>
      <c r="AH39" s="52">
        <f t="shared" si="11"/>
        <v>54.75428159</v>
      </c>
      <c r="AI39" s="73">
        <f t="shared" si="12"/>
        <v>131.6932565</v>
      </c>
      <c r="AJ39" s="73">
        <f t="shared" si="13"/>
        <v>55.68493419</v>
      </c>
      <c r="AK39" s="11"/>
      <c r="AL39" s="51">
        <f t="shared" si="14"/>
        <v>4576.896569</v>
      </c>
    </row>
    <row r="40" ht="15.0" customHeight="1">
      <c r="B40" s="56"/>
      <c r="C40" s="56"/>
      <c r="G40" s="3"/>
      <c r="L40" s="60"/>
      <c r="M40" s="60"/>
      <c r="N40" s="62"/>
      <c r="R40" s="65"/>
      <c r="AG40" s="91"/>
    </row>
    <row r="41" ht="15.0" customHeight="1">
      <c r="B41" s="56"/>
      <c r="C41" s="56"/>
      <c r="G41" s="3"/>
      <c r="L41" s="60"/>
      <c r="M41" s="60"/>
      <c r="N41" s="62"/>
      <c r="R41" s="65"/>
      <c r="AG41" s="91"/>
    </row>
    <row r="42" ht="15.0" customHeight="1">
      <c r="B42" s="56"/>
      <c r="C42" s="56"/>
      <c r="G42" s="3"/>
      <c r="L42" s="60"/>
      <c r="M42" s="60"/>
      <c r="N42" s="62"/>
      <c r="R42" s="65"/>
      <c r="AG42" s="91"/>
    </row>
    <row r="43" ht="15.0" customHeight="1">
      <c r="B43" s="56"/>
      <c r="C43" s="56"/>
      <c r="G43" s="3"/>
      <c r="L43" s="60"/>
      <c r="M43" s="60"/>
      <c r="N43" s="62"/>
      <c r="R43" s="65"/>
      <c r="AG43" s="91"/>
    </row>
    <row r="44" ht="15.0" customHeight="1">
      <c r="B44" s="56"/>
      <c r="C44" s="56"/>
      <c r="G44" s="3"/>
      <c r="L44" s="60"/>
      <c r="M44" s="60"/>
      <c r="N44" s="62"/>
      <c r="R44" s="65"/>
      <c r="AG44" s="91"/>
    </row>
    <row r="45" ht="15.0" customHeight="1">
      <c r="B45" s="56"/>
      <c r="C45" s="56"/>
      <c r="G45" s="3"/>
      <c r="L45" s="60"/>
      <c r="M45" s="60"/>
      <c r="N45" s="62"/>
      <c r="R45" s="65"/>
      <c r="AG45" s="91"/>
    </row>
    <row r="46" ht="15.0" customHeight="1">
      <c r="B46" s="56"/>
      <c r="C46" s="56"/>
      <c r="G46" s="3"/>
      <c r="L46" s="60"/>
      <c r="M46" s="60"/>
      <c r="N46" s="62"/>
      <c r="R46" s="65"/>
      <c r="AG46" s="91"/>
    </row>
    <row r="47" ht="15.0" customHeight="1">
      <c r="B47" s="56"/>
      <c r="C47" s="56"/>
      <c r="G47" s="3"/>
      <c r="L47" s="60"/>
      <c r="M47" s="60"/>
      <c r="N47" s="62"/>
      <c r="R47" s="65"/>
      <c r="AG47" s="91"/>
    </row>
    <row r="48" ht="15.0" customHeight="1">
      <c r="B48" s="56"/>
      <c r="C48" s="56"/>
      <c r="G48" s="3"/>
      <c r="L48" s="60"/>
      <c r="M48" s="60"/>
      <c r="N48" s="62"/>
      <c r="R48" s="65"/>
      <c r="AG48" s="91"/>
    </row>
    <row r="49" ht="15.0" customHeight="1">
      <c r="B49" s="56"/>
      <c r="C49" s="56"/>
      <c r="G49" s="3"/>
      <c r="L49" s="60"/>
      <c r="M49" s="60"/>
      <c r="N49" s="62"/>
      <c r="R49" s="65"/>
      <c r="AG49" s="91"/>
    </row>
    <row r="50" ht="15.0" customHeight="1">
      <c r="B50" s="56"/>
      <c r="C50" s="56"/>
      <c r="G50" s="3"/>
      <c r="L50" s="60"/>
      <c r="M50" s="60"/>
      <c r="N50" s="62"/>
      <c r="R50" s="65"/>
      <c r="AG50" s="91"/>
    </row>
    <row r="51" ht="15.0" customHeight="1">
      <c r="B51" s="56"/>
      <c r="C51" s="56"/>
      <c r="G51" s="3"/>
      <c r="L51" s="60"/>
      <c r="M51" s="60"/>
      <c r="N51" s="62"/>
      <c r="R51" s="65"/>
      <c r="AG51" s="91"/>
    </row>
    <row r="52" ht="15.0" customHeight="1">
      <c r="B52" s="56"/>
      <c r="C52" s="56"/>
      <c r="G52" s="3"/>
      <c r="L52" s="60"/>
      <c r="M52" s="60"/>
      <c r="N52" s="62"/>
      <c r="R52" s="65"/>
      <c r="AG52" s="91"/>
    </row>
    <row r="53" ht="15.0" customHeight="1">
      <c r="B53" s="56"/>
      <c r="C53" s="56"/>
      <c r="G53" s="3"/>
      <c r="L53" s="60"/>
      <c r="M53" s="60"/>
      <c r="N53" s="62"/>
      <c r="R53" s="65"/>
      <c r="AG53" s="91"/>
    </row>
    <row r="54" ht="15.0" customHeight="1">
      <c r="B54" s="56"/>
      <c r="C54" s="56"/>
      <c r="G54" s="3"/>
      <c r="L54" s="60"/>
      <c r="M54" s="60"/>
      <c r="N54" s="62"/>
      <c r="R54" s="65"/>
      <c r="AG54" s="91"/>
    </row>
    <row r="55" ht="15.0" customHeight="1">
      <c r="B55" s="56"/>
      <c r="C55" s="56"/>
      <c r="G55" s="3"/>
      <c r="L55" s="60"/>
      <c r="M55" s="60"/>
      <c r="N55" s="62"/>
      <c r="R55" s="65"/>
      <c r="AG55" s="91"/>
    </row>
    <row r="56" ht="15.0" customHeight="1">
      <c r="B56" s="56"/>
      <c r="C56" s="56"/>
      <c r="G56" s="3"/>
      <c r="L56" s="60"/>
      <c r="M56" s="60"/>
      <c r="N56" s="62"/>
      <c r="R56" s="65"/>
      <c r="AG56" s="91"/>
    </row>
    <row r="57" ht="15.0" customHeight="1">
      <c r="B57" s="56"/>
      <c r="C57" s="56"/>
      <c r="G57" s="3"/>
      <c r="L57" s="60"/>
      <c r="M57" s="60"/>
      <c r="N57" s="62"/>
      <c r="R57" s="65"/>
      <c r="AG57" s="91"/>
    </row>
    <row r="58" ht="15.0" customHeight="1">
      <c r="B58" s="56"/>
      <c r="C58" s="56"/>
      <c r="G58" s="3"/>
      <c r="L58" s="60"/>
      <c r="M58" s="60"/>
      <c r="N58" s="62"/>
      <c r="R58" s="65"/>
      <c r="AG58" s="91"/>
    </row>
    <row r="59" ht="15.0" customHeight="1">
      <c r="B59" s="56"/>
      <c r="C59" s="56"/>
      <c r="G59" s="3"/>
      <c r="L59" s="60"/>
      <c r="M59" s="60"/>
      <c r="N59" s="62"/>
      <c r="R59" s="65"/>
      <c r="AG59" s="91"/>
    </row>
    <row r="60" ht="15.0" customHeight="1">
      <c r="B60" s="56"/>
      <c r="C60" s="56"/>
      <c r="G60" s="3"/>
      <c r="L60" s="60"/>
      <c r="M60" s="60"/>
      <c r="N60" s="62"/>
      <c r="R60" s="65"/>
      <c r="AG60" s="91"/>
    </row>
    <row r="61" ht="15.0" customHeight="1">
      <c r="B61" s="56"/>
      <c r="C61" s="56"/>
      <c r="G61" s="3"/>
      <c r="L61" s="60"/>
      <c r="M61" s="60"/>
      <c r="N61" s="62"/>
      <c r="R61" s="65"/>
      <c r="AG61" s="91"/>
    </row>
    <row r="62" ht="15.0" customHeight="1">
      <c r="B62" s="56"/>
      <c r="C62" s="56"/>
      <c r="G62" s="3"/>
      <c r="L62" s="60"/>
      <c r="M62" s="60"/>
      <c r="N62" s="62"/>
      <c r="R62" s="65"/>
      <c r="AG62" s="91"/>
    </row>
    <row r="63" ht="15.0" customHeight="1">
      <c r="B63" s="56"/>
      <c r="C63" s="56"/>
      <c r="G63" s="3"/>
      <c r="L63" s="60"/>
      <c r="M63" s="60"/>
      <c r="N63" s="62"/>
      <c r="R63" s="65"/>
      <c r="AG63" s="91"/>
    </row>
    <row r="64" ht="15.0" customHeight="1">
      <c r="B64" s="56"/>
      <c r="C64" s="56"/>
      <c r="G64" s="3"/>
      <c r="L64" s="60"/>
      <c r="M64" s="60"/>
      <c r="N64" s="62"/>
      <c r="R64" s="65"/>
      <c r="AG64" s="91"/>
    </row>
    <row r="65" ht="15.0" customHeight="1">
      <c r="B65" s="56"/>
      <c r="C65" s="56"/>
      <c r="G65" s="3"/>
      <c r="L65" s="60"/>
      <c r="M65" s="60"/>
      <c r="N65" s="62"/>
      <c r="R65" s="65"/>
      <c r="AG65" s="91"/>
    </row>
    <row r="66" ht="15.0" customHeight="1">
      <c r="B66" s="56"/>
      <c r="C66" s="56"/>
      <c r="G66" s="3"/>
      <c r="L66" s="60"/>
      <c r="M66" s="60"/>
      <c r="N66" s="62"/>
      <c r="R66" s="65"/>
      <c r="AG66" s="91"/>
    </row>
    <row r="67" ht="15.0" customHeight="1">
      <c r="B67" s="56"/>
      <c r="C67" s="56"/>
      <c r="G67" s="3"/>
      <c r="L67" s="60"/>
      <c r="M67" s="60"/>
      <c r="N67" s="62"/>
      <c r="R67" s="65"/>
      <c r="AG67" s="91"/>
    </row>
    <row r="68" ht="15.0" customHeight="1">
      <c r="B68" s="56"/>
      <c r="C68" s="56"/>
      <c r="G68" s="3"/>
      <c r="L68" s="60"/>
      <c r="M68" s="60"/>
      <c r="N68" s="62"/>
      <c r="R68" s="65"/>
      <c r="AG68" s="91"/>
    </row>
    <row r="69" ht="15.0" customHeight="1">
      <c r="B69" s="56"/>
      <c r="C69" s="56"/>
      <c r="G69" s="3"/>
      <c r="L69" s="60"/>
      <c r="M69" s="60"/>
      <c r="N69" s="62"/>
      <c r="R69" s="65"/>
      <c r="AG69" s="91"/>
    </row>
    <row r="70" ht="15.0" customHeight="1">
      <c r="B70" s="56"/>
      <c r="C70" s="56"/>
      <c r="G70" s="3"/>
      <c r="L70" s="60"/>
      <c r="M70" s="60"/>
      <c r="N70" s="62"/>
      <c r="R70" s="65"/>
      <c r="AG70" s="91"/>
    </row>
    <row r="71" ht="15.0" customHeight="1">
      <c r="B71" s="56"/>
      <c r="C71" s="56"/>
      <c r="G71" s="3"/>
      <c r="L71" s="60"/>
      <c r="M71" s="60"/>
      <c r="N71" s="62"/>
      <c r="R71" s="65"/>
      <c r="AG71" s="91"/>
    </row>
    <row r="72" ht="15.0" customHeight="1">
      <c r="B72" s="56"/>
      <c r="C72" s="56"/>
      <c r="G72" s="3"/>
      <c r="L72" s="60"/>
      <c r="M72" s="60"/>
      <c r="N72" s="62"/>
      <c r="R72" s="65"/>
      <c r="AG72" s="91"/>
    </row>
    <row r="73" ht="15.0" customHeight="1">
      <c r="B73" s="56"/>
      <c r="C73" s="56"/>
      <c r="G73" s="3"/>
      <c r="L73" s="60"/>
      <c r="M73" s="60"/>
      <c r="N73" s="62"/>
      <c r="R73" s="65"/>
      <c r="AG73" s="91"/>
    </row>
    <row r="74" ht="15.0" customHeight="1">
      <c r="B74" s="56"/>
      <c r="C74" s="56"/>
      <c r="G74" s="3"/>
      <c r="L74" s="60"/>
      <c r="M74" s="60"/>
      <c r="N74" s="62"/>
      <c r="R74" s="65"/>
      <c r="AG74" s="91"/>
    </row>
    <row r="75" ht="15.0" customHeight="1">
      <c r="B75" s="56"/>
      <c r="C75" s="56"/>
      <c r="G75" s="3"/>
      <c r="L75" s="60"/>
      <c r="M75" s="60"/>
      <c r="N75" s="62"/>
      <c r="R75" s="65"/>
      <c r="AG75" s="91"/>
    </row>
    <row r="76" ht="15.0" customHeight="1">
      <c r="B76" s="56"/>
      <c r="C76" s="56"/>
      <c r="G76" s="3"/>
      <c r="L76" s="60"/>
      <c r="M76" s="60"/>
      <c r="N76" s="62"/>
      <c r="R76" s="65"/>
      <c r="AG76" s="91"/>
    </row>
    <row r="77" ht="15.0" customHeight="1">
      <c r="B77" s="56"/>
      <c r="C77" s="56"/>
      <c r="G77" s="3"/>
      <c r="L77" s="60"/>
      <c r="M77" s="60"/>
      <c r="N77" s="62"/>
      <c r="R77" s="65"/>
      <c r="AG77" s="91"/>
    </row>
    <row r="78" ht="15.0" customHeight="1">
      <c r="B78" s="56"/>
      <c r="C78" s="56"/>
      <c r="G78" s="3"/>
      <c r="L78" s="60"/>
      <c r="M78" s="60"/>
      <c r="N78" s="62"/>
      <c r="R78" s="65"/>
      <c r="AG78" s="91"/>
    </row>
    <row r="79" ht="15.0" customHeight="1">
      <c r="B79" s="56"/>
      <c r="C79" s="56"/>
      <c r="G79" s="3"/>
      <c r="L79" s="60"/>
      <c r="M79" s="60"/>
      <c r="N79" s="62"/>
      <c r="R79" s="65"/>
      <c r="AG79" s="91"/>
    </row>
    <row r="80" ht="15.0" customHeight="1">
      <c r="B80" s="56"/>
      <c r="C80" s="56"/>
      <c r="G80" s="3"/>
      <c r="L80" s="60"/>
      <c r="M80" s="60"/>
      <c r="N80" s="62"/>
      <c r="R80" s="65"/>
      <c r="AG80" s="91"/>
    </row>
    <row r="81" ht="15.0" customHeight="1">
      <c r="B81" s="56"/>
      <c r="C81" s="56"/>
      <c r="G81" s="3"/>
      <c r="L81" s="60"/>
      <c r="M81" s="60"/>
      <c r="N81" s="62"/>
      <c r="R81" s="65"/>
      <c r="AG81" s="91"/>
    </row>
    <row r="82" ht="15.0" customHeight="1">
      <c r="B82" s="56"/>
      <c r="C82" s="56"/>
      <c r="G82" s="3"/>
      <c r="L82" s="60"/>
      <c r="M82" s="60"/>
      <c r="N82" s="62"/>
      <c r="R82" s="65"/>
      <c r="AG82" s="91"/>
    </row>
    <row r="83" ht="15.0" customHeight="1">
      <c r="B83" s="56"/>
      <c r="C83" s="56"/>
      <c r="G83" s="3"/>
      <c r="L83" s="60"/>
      <c r="M83" s="60"/>
      <c r="N83" s="62"/>
      <c r="R83" s="65"/>
      <c r="AG83" s="91"/>
    </row>
    <row r="84" ht="15.0" customHeight="1">
      <c r="B84" s="56"/>
      <c r="C84" s="56"/>
      <c r="G84" s="3"/>
      <c r="L84" s="60"/>
      <c r="M84" s="60"/>
      <c r="N84" s="62"/>
      <c r="R84" s="65"/>
      <c r="AG84" s="91"/>
    </row>
    <row r="85" ht="15.0" customHeight="1">
      <c r="B85" s="56"/>
      <c r="C85" s="56"/>
      <c r="G85" s="3"/>
      <c r="L85" s="60"/>
      <c r="M85" s="60"/>
      <c r="N85" s="62"/>
      <c r="R85" s="65"/>
      <c r="AG85" s="91"/>
    </row>
    <row r="86" ht="15.0" customHeight="1">
      <c r="B86" s="56"/>
      <c r="C86" s="56"/>
      <c r="G86" s="3"/>
      <c r="L86" s="60"/>
      <c r="M86" s="60"/>
      <c r="N86" s="62"/>
      <c r="R86" s="65"/>
      <c r="AG86" s="91"/>
    </row>
    <row r="87" ht="15.0" customHeight="1">
      <c r="B87" s="56"/>
      <c r="C87" s="56"/>
      <c r="G87" s="3"/>
      <c r="L87" s="60"/>
      <c r="M87" s="60"/>
      <c r="N87" s="62"/>
      <c r="R87" s="65"/>
      <c r="AG87" s="91"/>
    </row>
    <row r="88" ht="15.0" customHeight="1">
      <c r="B88" s="56"/>
      <c r="C88" s="56"/>
      <c r="G88" s="3"/>
      <c r="L88" s="60"/>
      <c r="M88" s="60"/>
      <c r="N88" s="62"/>
      <c r="R88" s="65"/>
      <c r="AG88" s="91"/>
    </row>
    <row r="89" ht="15.0" customHeight="1">
      <c r="B89" s="56"/>
      <c r="C89" s="56"/>
      <c r="G89" s="3"/>
      <c r="L89" s="60"/>
      <c r="M89" s="60"/>
      <c r="N89" s="62"/>
      <c r="R89" s="65"/>
      <c r="AG89" s="91"/>
    </row>
    <row r="90" ht="15.0" customHeight="1">
      <c r="B90" s="56"/>
      <c r="C90" s="56"/>
      <c r="G90" s="3"/>
      <c r="L90" s="60"/>
      <c r="M90" s="60"/>
      <c r="N90" s="62"/>
      <c r="R90" s="65"/>
      <c r="AG90" s="91"/>
    </row>
    <row r="91" ht="15.0" customHeight="1">
      <c r="B91" s="56"/>
      <c r="C91" s="56"/>
      <c r="G91" s="3"/>
      <c r="L91" s="60"/>
      <c r="M91" s="60"/>
      <c r="N91" s="62"/>
      <c r="R91" s="65"/>
      <c r="AG91" s="91"/>
    </row>
    <row r="92" ht="15.0" customHeight="1">
      <c r="B92" s="56"/>
      <c r="C92" s="56"/>
      <c r="G92" s="3"/>
      <c r="L92" s="60"/>
      <c r="M92" s="60"/>
      <c r="N92" s="62"/>
      <c r="R92" s="65"/>
      <c r="AG92" s="91"/>
    </row>
    <row r="93" ht="15.0" customHeight="1">
      <c r="B93" s="56"/>
      <c r="C93" s="56"/>
      <c r="G93" s="3"/>
      <c r="L93" s="60"/>
      <c r="M93" s="60"/>
      <c r="N93" s="62"/>
      <c r="R93" s="65"/>
      <c r="AG93" s="91"/>
    </row>
    <row r="94" ht="15.0" customHeight="1">
      <c r="B94" s="56"/>
      <c r="C94" s="56"/>
      <c r="G94" s="3"/>
      <c r="L94" s="60"/>
      <c r="M94" s="60"/>
      <c r="N94" s="62"/>
      <c r="R94" s="65"/>
      <c r="AG94" s="91"/>
    </row>
    <row r="95" ht="15.0" customHeight="1">
      <c r="B95" s="56"/>
      <c r="C95" s="56"/>
      <c r="G95" s="3"/>
      <c r="L95" s="60"/>
      <c r="M95" s="60"/>
      <c r="N95" s="62"/>
      <c r="R95" s="65"/>
      <c r="AG95" s="91"/>
    </row>
    <row r="96" ht="15.0" customHeight="1">
      <c r="B96" s="56"/>
      <c r="C96" s="56"/>
      <c r="G96" s="3"/>
      <c r="L96" s="60"/>
      <c r="M96" s="60"/>
      <c r="N96" s="62"/>
      <c r="R96" s="65"/>
      <c r="AG96" s="91"/>
    </row>
    <row r="97" ht="15.0" customHeight="1">
      <c r="B97" s="56"/>
      <c r="C97" s="56"/>
      <c r="G97" s="3"/>
      <c r="L97" s="60"/>
      <c r="M97" s="60"/>
      <c r="N97" s="62"/>
      <c r="R97" s="65"/>
      <c r="AG97" s="91"/>
    </row>
    <row r="98" ht="15.0" customHeight="1">
      <c r="B98" s="56"/>
      <c r="C98" s="56"/>
      <c r="G98" s="3"/>
      <c r="L98" s="60"/>
      <c r="M98" s="60"/>
      <c r="N98" s="62"/>
      <c r="R98" s="65"/>
      <c r="AG98" s="91"/>
    </row>
    <row r="99" ht="15.0" customHeight="1">
      <c r="B99" s="56"/>
      <c r="C99" s="56"/>
      <c r="G99" s="3"/>
      <c r="L99" s="60"/>
      <c r="M99" s="60"/>
      <c r="N99" s="62"/>
      <c r="R99" s="65"/>
      <c r="AG99" s="91"/>
    </row>
    <row r="100" ht="15.0" customHeight="1">
      <c r="B100" s="56"/>
      <c r="C100" s="56"/>
      <c r="G100" s="3"/>
      <c r="L100" s="60"/>
      <c r="M100" s="60"/>
      <c r="N100" s="62"/>
      <c r="R100" s="65"/>
      <c r="AG100" s="91"/>
    </row>
    <row r="101" ht="15.0" customHeight="1">
      <c r="B101" s="56"/>
      <c r="C101" s="56"/>
      <c r="G101" s="3"/>
      <c r="L101" s="60"/>
      <c r="M101" s="60"/>
      <c r="N101" s="62"/>
      <c r="R101" s="65"/>
      <c r="AG101" s="91"/>
    </row>
    <row r="102" ht="15.0" customHeight="1">
      <c r="B102" s="56"/>
      <c r="C102" s="56"/>
      <c r="G102" s="3"/>
      <c r="L102" s="60"/>
      <c r="M102" s="60"/>
      <c r="N102" s="62"/>
      <c r="R102" s="65"/>
      <c r="AG102" s="91"/>
    </row>
    <row r="103" ht="15.0" customHeight="1">
      <c r="B103" s="56"/>
      <c r="C103" s="56"/>
      <c r="G103" s="3"/>
      <c r="L103" s="60"/>
      <c r="M103" s="60"/>
      <c r="N103" s="62"/>
      <c r="R103" s="65"/>
      <c r="AG103" s="91"/>
    </row>
    <row r="104" ht="15.0" customHeight="1">
      <c r="B104" s="56"/>
      <c r="C104" s="56"/>
      <c r="G104" s="3"/>
      <c r="L104" s="60"/>
      <c r="M104" s="60"/>
      <c r="N104" s="62"/>
      <c r="R104" s="65"/>
      <c r="AG104" s="91"/>
    </row>
    <row r="105" ht="15.0" customHeight="1">
      <c r="B105" s="56"/>
      <c r="C105" s="56"/>
      <c r="G105" s="3"/>
      <c r="L105" s="60"/>
      <c r="M105" s="60"/>
      <c r="N105" s="62"/>
      <c r="R105" s="65"/>
      <c r="AG105" s="91"/>
    </row>
    <row r="106" ht="15.0" customHeight="1">
      <c r="B106" s="56"/>
      <c r="C106" s="56"/>
      <c r="G106" s="3"/>
      <c r="L106" s="60"/>
      <c r="M106" s="60"/>
      <c r="N106" s="62"/>
      <c r="R106" s="65"/>
      <c r="AG106" s="91"/>
    </row>
    <row r="107" ht="15.0" customHeight="1">
      <c r="B107" s="56"/>
      <c r="C107" s="56"/>
      <c r="G107" s="3"/>
      <c r="L107" s="60"/>
      <c r="M107" s="60"/>
      <c r="N107" s="62"/>
      <c r="R107" s="65"/>
      <c r="AG107" s="91"/>
    </row>
    <row r="108" ht="15.0" customHeight="1">
      <c r="B108" s="56"/>
      <c r="C108" s="56"/>
      <c r="G108" s="3"/>
      <c r="L108" s="60"/>
      <c r="M108" s="60"/>
      <c r="N108" s="62"/>
      <c r="R108" s="65"/>
      <c r="AG108" s="91"/>
    </row>
    <row r="109" ht="15.0" customHeight="1">
      <c r="B109" s="56"/>
      <c r="C109" s="56"/>
      <c r="G109" s="3"/>
      <c r="L109" s="60"/>
      <c r="M109" s="60"/>
      <c r="N109" s="62"/>
      <c r="R109" s="65"/>
      <c r="AG109" s="91"/>
    </row>
    <row r="110" ht="15.0" customHeight="1">
      <c r="B110" s="56"/>
      <c r="C110" s="56"/>
      <c r="G110" s="3"/>
      <c r="L110" s="60"/>
      <c r="M110" s="60"/>
      <c r="N110" s="62"/>
      <c r="R110" s="65"/>
      <c r="AG110" s="91"/>
    </row>
    <row r="111" ht="15.0" customHeight="1">
      <c r="B111" s="56"/>
      <c r="C111" s="56"/>
      <c r="G111" s="3"/>
      <c r="L111" s="60"/>
      <c r="M111" s="60"/>
      <c r="N111" s="62"/>
      <c r="R111" s="65"/>
      <c r="AG111" s="91"/>
    </row>
    <row r="112" ht="15.0" customHeight="1">
      <c r="B112" s="56"/>
      <c r="C112" s="56"/>
      <c r="G112" s="3"/>
      <c r="L112" s="60"/>
      <c r="M112" s="60"/>
      <c r="N112" s="62"/>
      <c r="R112" s="65"/>
      <c r="AG112" s="91"/>
    </row>
    <row r="113" ht="15.0" customHeight="1">
      <c r="B113" s="56"/>
      <c r="C113" s="56"/>
      <c r="G113" s="3"/>
      <c r="L113" s="60"/>
      <c r="M113" s="60"/>
      <c r="N113" s="62"/>
      <c r="R113" s="65"/>
      <c r="AG113" s="91"/>
    </row>
    <row r="114" ht="15.0" customHeight="1">
      <c r="B114" s="56"/>
      <c r="C114" s="56"/>
      <c r="G114" s="3"/>
      <c r="L114" s="60"/>
      <c r="M114" s="60"/>
      <c r="N114" s="62"/>
      <c r="R114" s="65"/>
      <c r="AG114" s="91"/>
    </row>
    <row r="115" ht="15.0" customHeight="1">
      <c r="B115" s="56"/>
      <c r="C115" s="56"/>
      <c r="G115" s="3"/>
      <c r="L115" s="60"/>
      <c r="M115" s="60"/>
      <c r="N115" s="62"/>
      <c r="R115" s="65"/>
      <c r="AG115" s="91"/>
    </row>
    <row r="116" ht="15.0" customHeight="1">
      <c r="B116" s="56"/>
      <c r="C116" s="56"/>
      <c r="G116" s="3"/>
      <c r="L116" s="60"/>
      <c r="M116" s="60"/>
      <c r="N116" s="62"/>
      <c r="R116" s="65"/>
      <c r="AG116" s="91"/>
    </row>
    <row r="117" ht="15.0" customHeight="1">
      <c r="B117" s="56"/>
      <c r="C117" s="56"/>
      <c r="G117" s="3"/>
      <c r="L117" s="60"/>
      <c r="M117" s="60"/>
      <c r="N117" s="62"/>
      <c r="R117" s="65"/>
      <c r="AG117" s="91"/>
    </row>
    <row r="118" ht="15.0" customHeight="1">
      <c r="B118" s="56"/>
      <c r="C118" s="56"/>
      <c r="G118" s="3"/>
      <c r="L118" s="60"/>
      <c r="M118" s="60"/>
      <c r="N118" s="62"/>
      <c r="R118" s="65"/>
      <c r="AG118" s="91"/>
    </row>
    <row r="119" ht="15.0" customHeight="1">
      <c r="B119" s="56"/>
      <c r="C119" s="56"/>
      <c r="G119" s="3"/>
      <c r="L119" s="60"/>
      <c r="M119" s="60"/>
      <c r="N119" s="62"/>
      <c r="R119" s="65"/>
      <c r="AG119" s="91"/>
    </row>
    <row r="120" ht="15.0" customHeight="1">
      <c r="B120" s="56"/>
      <c r="C120" s="56"/>
      <c r="G120" s="3"/>
      <c r="L120" s="60"/>
      <c r="M120" s="60"/>
      <c r="N120" s="62"/>
      <c r="R120" s="65"/>
      <c r="AG120" s="91"/>
    </row>
    <row r="121" ht="15.0" customHeight="1">
      <c r="B121" s="56"/>
      <c r="C121" s="56"/>
      <c r="G121" s="3"/>
      <c r="L121" s="60"/>
      <c r="M121" s="60"/>
      <c r="N121" s="62"/>
      <c r="R121" s="65"/>
      <c r="AG121" s="91"/>
    </row>
    <row r="122" ht="15.0" customHeight="1">
      <c r="B122" s="56"/>
      <c r="C122" s="56"/>
      <c r="G122" s="3"/>
      <c r="L122" s="60"/>
      <c r="M122" s="60"/>
      <c r="N122" s="62"/>
      <c r="R122" s="65"/>
      <c r="AG122" s="91"/>
    </row>
    <row r="123" ht="15.0" customHeight="1">
      <c r="B123" s="56"/>
      <c r="C123" s="56"/>
      <c r="G123" s="3"/>
      <c r="L123" s="60"/>
      <c r="M123" s="60"/>
      <c r="N123" s="62"/>
      <c r="R123" s="65"/>
      <c r="AG123" s="91"/>
    </row>
    <row r="124" ht="15.0" customHeight="1">
      <c r="B124" s="56"/>
      <c r="C124" s="56"/>
      <c r="G124" s="3"/>
      <c r="L124" s="60"/>
      <c r="M124" s="60"/>
      <c r="N124" s="62"/>
      <c r="R124" s="65"/>
      <c r="AG124" s="91"/>
    </row>
    <row r="125" ht="15.0" customHeight="1">
      <c r="B125" s="56"/>
      <c r="C125" s="56"/>
      <c r="G125" s="3"/>
      <c r="L125" s="60"/>
      <c r="M125" s="60"/>
      <c r="N125" s="62"/>
      <c r="R125" s="65"/>
      <c r="AG125" s="91"/>
    </row>
    <row r="126" ht="15.0" customHeight="1">
      <c r="B126" s="56"/>
      <c r="C126" s="56"/>
      <c r="G126" s="3"/>
      <c r="L126" s="60"/>
      <c r="M126" s="60"/>
      <c r="N126" s="62"/>
      <c r="R126" s="65"/>
      <c r="AG126" s="91"/>
    </row>
    <row r="127" ht="15.0" customHeight="1">
      <c r="B127" s="56"/>
      <c r="C127" s="56"/>
      <c r="G127" s="3"/>
      <c r="L127" s="60"/>
      <c r="M127" s="60"/>
      <c r="N127" s="62"/>
      <c r="R127" s="65"/>
      <c r="AG127" s="91"/>
    </row>
    <row r="128" ht="15.0" customHeight="1">
      <c r="B128" s="56"/>
      <c r="C128" s="56"/>
      <c r="G128" s="3"/>
      <c r="L128" s="60"/>
      <c r="M128" s="60"/>
      <c r="N128" s="62"/>
      <c r="R128" s="65"/>
      <c r="AG128" s="91"/>
    </row>
    <row r="129" ht="15.0" customHeight="1">
      <c r="B129" s="56"/>
      <c r="C129" s="56"/>
      <c r="G129" s="3"/>
      <c r="L129" s="60"/>
      <c r="M129" s="60"/>
      <c r="N129" s="62"/>
      <c r="R129" s="65"/>
      <c r="AG129" s="91"/>
    </row>
    <row r="130" ht="15.0" customHeight="1">
      <c r="B130" s="56"/>
      <c r="C130" s="56"/>
      <c r="G130" s="3"/>
      <c r="L130" s="60"/>
      <c r="M130" s="60"/>
      <c r="N130" s="62"/>
      <c r="R130" s="65"/>
      <c r="AG130" s="91"/>
    </row>
    <row r="131" ht="15.0" customHeight="1">
      <c r="B131" s="56"/>
      <c r="C131" s="56"/>
      <c r="G131" s="3"/>
      <c r="L131" s="60"/>
      <c r="M131" s="60"/>
      <c r="N131" s="62"/>
      <c r="R131" s="65"/>
      <c r="AG131" s="91"/>
    </row>
    <row r="132" ht="15.0" customHeight="1">
      <c r="B132" s="56"/>
      <c r="C132" s="56"/>
      <c r="G132" s="3"/>
      <c r="L132" s="60"/>
      <c r="M132" s="60"/>
      <c r="N132" s="62"/>
      <c r="R132" s="65"/>
      <c r="AG132" s="91"/>
    </row>
    <row r="133" ht="15.0" customHeight="1">
      <c r="B133" s="56"/>
      <c r="C133" s="56"/>
      <c r="G133" s="3"/>
      <c r="L133" s="60"/>
      <c r="M133" s="60"/>
      <c r="N133" s="62"/>
      <c r="R133" s="65"/>
      <c r="AG133" s="91"/>
    </row>
    <row r="134" ht="15.0" customHeight="1">
      <c r="B134" s="56"/>
      <c r="C134" s="56"/>
      <c r="G134" s="3"/>
      <c r="L134" s="60"/>
      <c r="M134" s="60"/>
      <c r="N134" s="62"/>
      <c r="R134" s="65"/>
      <c r="AG134" s="91"/>
    </row>
    <row r="135" ht="15.0" customHeight="1">
      <c r="B135" s="56"/>
      <c r="C135" s="56"/>
      <c r="G135" s="3"/>
      <c r="L135" s="60"/>
      <c r="M135" s="60"/>
      <c r="N135" s="62"/>
      <c r="R135" s="65"/>
      <c r="AG135" s="91"/>
    </row>
    <row r="136" ht="15.0" customHeight="1">
      <c r="B136" s="56"/>
      <c r="C136" s="56"/>
      <c r="G136" s="3"/>
      <c r="L136" s="60"/>
      <c r="M136" s="60"/>
      <c r="N136" s="62"/>
      <c r="R136" s="65"/>
      <c r="AG136" s="91"/>
    </row>
    <row r="137" ht="15.0" customHeight="1">
      <c r="B137" s="56"/>
      <c r="C137" s="56"/>
      <c r="G137" s="3"/>
      <c r="L137" s="60"/>
      <c r="M137" s="60"/>
      <c r="N137" s="62"/>
      <c r="R137" s="65"/>
      <c r="AG137" s="91"/>
    </row>
    <row r="138" ht="15.0" customHeight="1">
      <c r="B138" s="56"/>
      <c r="C138" s="56"/>
      <c r="G138" s="3"/>
      <c r="L138" s="60"/>
      <c r="M138" s="60"/>
      <c r="N138" s="62"/>
      <c r="R138" s="65"/>
      <c r="AG138" s="91"/>
    </row>
    <row r="139" ht="15.0" customHeight="1">
      <c r="B139" s="56"/>
      <c r="C139" s="56"/>
      <c r="G139" s="3"/>
      <c r="L139" s="60"/>
      <c r="M139" s="60"/>
      <c r="N139" s="62"/>
      <c r="R139" s="65"/>
      <c r="AG139" s="91"/>
    </row>
    <row r="140" ht="15.0" customHeight="1">
      <c r="B140" s="56"/>
      <c r="C140" s="56"/>
      <c r="G140" s="3"/>
      <c r="L140" s="60"/>
      <c r="M140" s="60"/>
      <c r="N140" s="62"/>
      <c r="R140" s="65"/>
      <c r="AG140" s="91"/>
    </row>
    <row r="141" ht="15.0" customHeight="1">
      <c r="B141" s="56"/>
      <c r="C141" s="56"/>
      <c r="G141" s="3"/>
      <c r="L141" s="60"/>
      <c r="M141" s="60"/>
      <c r="N141" s="62"/>
      <c r="R141" s="65"/>
      <c r="AG141" s="91"/>
    </row>
    <row r="142" ht="15.0" customHeight="1">
      <c r="B142" s="56"/>
      <c r="C142" s="56"/>
      <c r="G142" s="3"/>
      <c r="L142" s="60"/>
      <c r="M142" s="60"/>
      <c r="N142" s="62"/>
      <c r="R142" s="65"/>
      <c r="AG142" s="91"/>
    </row>
    <row r="143" ht="15.0" customHeight="1">
      <c r="B143" s="56"/>
      <c r="C143" s="56"/>
      <c r="G143" s="3"/>
      <c r="L143" s="60"/>
      <c r="M143" s="60"/>
      <c r="N143" s="62"/>
      <c r="R143" s="65"/>
      <c r="AG143" s="91"/>
    </row>
    <row r="144" ht="15.0" customHeight="1">
      <c r="B144" s="56"/>
      <c r="C144" s="56"/>
      <c r="G144" s="3"/>
      <c r="L144" s="60"/>
      <c r="M144" s="60"/>
      <c r="N144" s="62"/>
      <c r="R144" s="65"/>
      <c r="AG144" s="91"/>
    </row>
    <row r="145" ht="15.0" customHeight="1">
      <c r="B145" s="56"/>
      <c r="C145" s="56"/>
      <c r="G145" s="3"/>
      <c r="L145" s="60"/>
      <c r="M145" s="60"/>
      <c r="N145" s="62"/>
      <c r="R145" s="65"/>
      <c r="AG145" s="91"/>
    </row>
    <row r="146" ht="15.0" customHeight="1">
      <c r="B146" s="56"/>
      <c r="C146" s="56"/>
      <c r="G146" s="3"/>
      <c r="L146" s="60"/>
      <c r="M146" s="60"/>
      <c r="N146" s="62"/>
      <c r="R146" s="65"/>
      <c r="AG146" s="91"/>
    </row>
    <row r="147" ht="15.0" customHeight="1">
      <c r="B147" s="56"/>
      <c r="C147" s="56"/>
      <c r="G147" s="3"/>
      <c r="L147" s="60"/>
      <c r="M147" s="60"/>
      <c r="N147" s="62"/>
      <c r="R147" s="65"/>
      <c r="AG147" s="91"/>
    </row>
    <row r="148" ht="15.0" customHeight="1">
      <c r="B148" s="56"/>
      <c r="C148" s="56"/>
      <c r="G148" s="3"/>
      <c r="L148" s="60"/>
      <c r="M148" s="60"/>
      <c r="N148" s="62"/>
      <c r="R148" s="65"/>
      <c r="AG148" s="91"/>
    </row>
    <row r="149" ht="15.0" customHeight="1">
      <c r="B149" s="56"/>
      <c r="C149" s="56"/>
      <c r="G149" s="3"/>
      <c r="L149" s="60"/>
      <c r="M149" s="60"/>
      <c r="N149" s="62"/>
      <c r="R149" s="65"/>
      <c r="AG149" s="91"/>
    </row>
    <row r="150" ht="15.0" customHeight="1">
      <c r="B150" s="56"/>
      <c r="C150" s="56"/>
      <c r="G150" s="3"/>
      <c r="L150" s="60"/>
      <c r="M150" s="60"/>
      <c r="N150" s="62"/>
      <c r="R150" s="65"/>
      <c r="AG150" s="91"/>
    </row>
    <row r="151" ht="15.0" customHeight="1">
      <c r="B151" s="56"/>
      <c r="C151" s="56"/>
      <c r="G151" s="3"/>
      <c r="L151" s="60"/>
      <c r="M151" s="60"/>
      <c r="N151" s="62"/>
      <c r="R151" s="65"/>
      <c r="AG151" s="91"/>
    </row>
    <row r="152" ht="15.0" customHeight="1">
      <c r="B152" s="56"/>
      <c r="C152" s="56"/>
      <c r="G152" s="3"/>
      <c r="L152" s="60"/>
      <c r="M152" s="60"/>
      <c r="N152" s="62"/>
      <c r="R152" s="65"/>
      <c r="AG152" s="91"/>
    </row>
    <row r="153" ht="15.0" customHeight="1">
      <c r="B153" s="56"/>
      <c r="C153" s="56"/>
      <c r="G153" s="3"/>
      <c r="L153" s="60"/>
      <c r="M153" s="60"/>
      <c r="N153" s="62"/>
      <c r="R153" s="65"/>
      <c r="AG153" s="91"/>
    </row>
    <row r="154" ht="15.0" customHeight="1">
      <c r="B154" s="56"/>
      <c r="C154" s="56"/>
      <c r="G154" s="3"/>
      <c r="L154" s="60"/>
      <c r="M154" s="60"/>
      <c r="N154" s="62"/>
      <c r="R154" s="65"/>
      <c r="AG154" s="91"/>
    </row>
    <row r="155" ht="15.0" customHeight="1">
      <c r="B155" s="56"/>
      <c r="C155" s="56"/>
      <c r="G155" s="3"/>
      <c r="L155" s="60"/>
      <c r="M155" s="60"/>
      <c r="N155" s="62"/>
      <c r="R155" s="65"/>
      <c r="AG155" s="91"/>
    </row>
    <row r="156" ht="15.0" customHeight="1">
      <c r="B156" s="56"/>
      <c r="C156" s="56"/>
      <c r="G156" s="3"/>
      <c r="L156" s="60"/>
      <c r="M156" s="60"/>
      <c r="N156" s="62"/>
      <c r="R156" s="65"/>
      <c r="AG156" s="91"/>
    </row>
    <row r="157" ht="15.0" customHeight="1">
      <c r="B157" s="56"/>
      <c r="C157" s="56"/>
      <c r="G157" s="3"/>
      <c r="L157" s="60"/>
      <c r="M157" s="60"/>
      <c r="N157" s="62"/>
      <c r="R157" s="65"/>
      <c r="AG157" s="91"/>
    </row>
    <row r="158" ht="15.0" customHeight="1">
      <c r="B158" s="56"/>
      <c r="C158" s="56"/>
      <c r="G158" s="3"/>
      <c r="L158" s="60"/>
      <c r="M158" s="60"/>
      <c r="N158" s="62"/>
      <c r="R158" s="65"/>
      <c r="AG158" s="91"/>
    </row>
    <row r="159" ht="15.0" customHeight="1">
      <c r="B159" s="56"/>
      <c r="C159" s="56"/>
      <c r="G159" s="3"/>
      <c r="L159" s="60"/>
      <c r="M159" s="60"/>
      <c r="N159" s="62"/>
      <c r="R159" s="65"/>
      <c r="AG159" s="91"/>
    </row>
    <row r="160" ht="15.0" customHeight="1">
      <c r="B160" s="56"/>
      <c r="C160" s="56"/>
      <c r="G160" s="3"/>
      <c r="L160" s="60"/>
      <c r="M160" s="60"/>
      <c r="N160" s="62"/>
      <c r="R160" s="65"/>
      <c r="AG160" s="91"/>
    </row>
    <row r="161" ht="15.0" customHeight="1">
      <c r="B161" s="56"/>
      <c r="C161" s="56"/>
      <c r="G161" s="3"/>
      <c r="L161" s="60"/>
      <c r="M161" s="60"/>
      <c r="N161" s="62"/>
      <c r="R161" s="65"/>
      <c r="AG161" s="91"/>
    </row>
    <row r="162" ht="15.0" customHeight="1">
      <c r="B162" s="56"/>
      <c r="C162" s="56"/>
      <c r="G162" s="3"/>
      <c r="L162" s="60"/>
      <c r="M162" s="60"/>
      <c r="N162" s="62"/>
      <c r="R162" s="65"/>
      <c r="AG162" s="91"/>
    </row>
    <row r="163" ht="15.0" customHeight="1">
      <c r="B163" s="56"/>
      <c r="C163" s="56"/>
      <c r="G163" s="3"/>
      <c r="L163" s="60"/>
      <c r="M163" s="60"/>
      <c r="N163" s="62"/>
      <c r="R163" s="65"/>
      <c r="AG163" s="91"/>
    </row>
    <row r="164" ht="15.0" customHeight="1">
      <c r="B164" s="56"/>
      <c r="C164" s="56"/>
      <c r="G164" s="3"/>
      <c r="L164" s="60"/>
      <c r="M164" s="60"/>
      <c r="N164" s="62"/>
      <c r="R164" s="65"/>
      <c r="AG164" s="91"/>
    </row>
    <row r="165" ht="15.0" customHeight="1">
      <c r="B165" s="56"/>
      <c r="C165" s="56"/>
      <c r="G165" s="3"/>
      <c r="L165" s="60"/>
      <c r="M165" s="60"/>
      <c r="N165" s="62"/>
      <c r="R165" s="65"/>
      <c r="AG165" s="91"/>
    </row>
    <row r="166" ht="15.0" customHeight="1">
      <c r="B166" s="56"/>
      <c r="C166" s="56"/>
      <c r="G166" s="3"/>
      <c r="L166" s="60"/>
      <c r="M166" s="60"/>
      <c r="N166" s="62"/>
      <c r="R166" s="65"/>
      <c r="AG166" s="91"/>
    </row>
    <row r="167" ht="15.0" customHeight="1">
      <c r="B167" s="56"/>
      <c r="C167" s="56"/>
      <c r="G167" s="3"/>
      <c r="L167" s="60"/>
      <c r="M167" s="60"/>
      <c r="N167" s="62"/>
      <c r="R167" s="65"/>
      <c r="AG167" s="91"/>
    </row>
    <row r="168" ht="15.0" customHeight="1">
      <c r="B168" s="56"/>
      <c r="C168" s="56"/>
      <c r="G168" s="3"/>
      <c r="L168" s="60"/>
      <c r="M168" s="60"/>
      <c r="N168" s="62"/>
      <c r="R168" s="65"/>
      <c r="AG168" s="91"/>
    </row>
    <row r="169" ht="15.0" customHeight="1">
      <c r="B169" s="56"/>
      <c r="C169" s="56"/>
      <c r="G169" s="3"/>
      <c r="L169" s="60"/>
      <c r="M169" s="60"/>
      <c r="N169" s="62"/>
      <c r="R169" s="65"/>
      <c r="AG169" s="91"/>
    </row>
    <row r="170" ht="15.0" customHeight="1">
      <c r="B170" s="56"/>
      <c r="C170" s="56"/>
      <c r="G170" s="3"/>
      <c r="L170" s="60"/>
      <c r="M170" s="60"/>
      <c r="N170" s="62"/>
      <c r="R170" s="65"/>
      <c r="AG170" s="91"/>
    </row>
    <row r="171" ht="15.0" customHeight="1">
      <c r="B171" s="56"/>
      <c r="C171" s="56"/>
      <c r="G171" s="3"/>
      <c r="L171" s="60"/>
      <c r="M171" s="60"/>
      <c r="N171" s="62"/>
      <c r="R171" s="65"/>
      <c r="AG171" s="91"/>
    </row>
    <row r="172" ht="15.0" customHeight="1">
      <c r="B172" s="56"/>
      <c r="C172" s="56"/>
      <c r="G172" s="3"/>
      <c r="L172" s="60"/>
      <c r="M172" s="60"/>
      <c r="N172" s="62"/>
      <c r="R172" s="65"/>
      <c r="AG172" s="91"/>
    </row>
    <row r="173" ht="15.0" customHeight="1">
      <c r="B173" s="56"/>
      <c r="C173" s="56"/>
      <c r="G173" s="3"/>
      <c r="L173" s="60"/>
      <c r="M173" s="60"/>
      <c r="N173" s="62"/>
      <c r="R173" s="65"/>
      <c r="AG173" s="91"/>
    </row>
    <row r="174" ht="15.0" customHeight="1">
      <c r="B174" s="56"/>
      <c r="C174" s="56"/>
      <c r="G174" s="3"/>
      <c r="L174" s="60"/>
      <c r="M174" s="60"/>
      <c r="N174" s="62"/>
      <c r="R174" s="65"/>
      <c r="AG174" s="91"/>
    </row>
    <row r="175" ht="15.0" customHeight="1">
      <c r="B175" s="56"/>
      <c r="C175" s="56"/>
      <c r="G175" s="3"/>
      <c r="L175" s="60"/>
      <c r="M175" s="60"/>
      <c r="N175" s="62"/>
      <c r="R175" s="65"/>
      <c r="AG175" s="91"/>
    </row>
    <row r="176" ht="15.0" customHeight="1">
      <c r="B176" s="56"/>
      <c r="C176" s="56"/>
      <c r="G176" s="3"/>
      <c r="L176" s="60"/>
      <c r="M176" s="60"/>
      <c r="N176" s="62"/>
      <c r="R176" s="65"/>
      <c r="AG176" s="91"/>
    </row>
    <row r="177" ht="15.0" customHeight="1">
      <c r="B177" s="56"/>
      <c r="C177" s="56"/>
      <c r="G177" s="3"/>
      <c r="L177" s="60"/>
      <c r="M177" s="60"/>
      <c r="N177" s="62"/>
      <c r="R177" s="65"/>
      <c r="AG177" s="91"/>
    </row>
    <row r="178" ht="15.0" customHeight="1">
      <c r="B178" s="56"/>
      <c r="C178" s="56"/>
      <c r="G178" s="3"/>
      <c r="L178" s="60"/>
      <c r="M178" s="60"/>
      <c r="N178" s="62"/>
      <c r="R178" s="65"/>
      <c r="AG178" s="91"/>
    </row>
    <row r="179" ht="15.0" customHeight="1">
      <c r="B179" s="56"/>
      <c r="C179" s="56"/>
      <c r="G179" s="3"/>
      <c r="L179" s="60"/>
      <c r="M179" s="60"/>
      <c r="N179" s="62"/>
      <c r="R179" s="65"/>
      <c r="AG179" s="91"/>
    </row>
    <row r="180" ht="15.0" customHeight="1">
      <c r="B180" s="56"/>
      <c r="C180" s="56"/>
      <c r="G180" s="3"/>
      <c r="L180" s="60"/>
      <c r="M180" s="60"/>
      <c r="N180" s="62"/>
      <c r="R180" s="65"/>
      <c r="AG180" s="91"/>
    </row>
    <row r="181" ht="15.0" customHeight="1">
      <c r="B181" s="56"/>
      <c r="C181" s="56"/>
      <c r="G181" s="3"/>
      <c r="L181" s="60"/>
      <c r="M181" s="60"/>
      <c r="N181" s="62"/>
      <c r="R181" s="65"/>
      <c r="AG181" s="91"/>
    </row>
    <row r="182" ht="15.0" customHeight="1">
      <c r="B182" s="56"/>
      <c r="C182" s="56"/>
      <c r="G182" s="3"/>
      <c r="L182" s="60"/>
      <c r="M182" s="60"/>
      <c r="N182" s="62"/>
      <c r="R182" s="65"/>
      <c r="AG182" s="91"/>
    </row>
    <row r="183" ht="15.0" customHeight="1">
      <c r="B183" s="56"/>
      <c r="C183" s="56"/>
      <c r="G183" s="3"/>
      <c r="L183" s="60"/>
      <c r="M183" s="60"/>
      <c r="N183" s="62"/>
      <c r="R183" s="65"/>
      <c r="AG183" s="91"/>
    </row>
    <row r="184" ht="15.0" customHeight="1">
      <c r="B184" s="56"/>
      <c r="C184" s="56"/>
      <c r="G184" s="3"/>
      <c r="L184" s="60"/>
      <c r="M184" s="60"/>
      <c r="N184" s="62"/>
      <c r="R184" s="65"/>
      <c r="AG184" s="91"/>
    </row>
    <row r="185" ht="15.0" customHeight="1">
      <c r="B185" s="56"/>
      <c r="C185" s="56"/>
      <c r="G185" s="3"/>
      <c r="L185" s="60"/>
      <c r="M185" s="60"/>
      <c r="N185" s="62"/>
      <c r="R185" s="65"/>
      <c r="AG185" s="91"/>
    </row>
    <row r="186" ht="15.0" customHeight="1">
      <c r="B186" s="56"/>
      <c r="C186" s="56"/>
      <c r="G186" s="3"/>
      <c r="L186" s="60"/>
      <c r="M186" s="60"/>
      <c r="N186" s="62"/>
      <c r="R186" s="65"/>
      <c r="AG186" s="91"/>
    </row>
    <row r="187" ht="15.0" customHeight="1">
      <c r="B187" s="56"/>
      <c r="C187" s="56"/>
      <c r="G187" s="3"/>
      <c r="L187" s="60"/>
      <c r="M187" s="60"/>
      <c r="N187" s="62"/>
      <c r="R187" s="65"/>
      <c r="AG187" s="91"/>
    </row>
    <row r="188" ht="15.0" customHeight="1">
      <c r="B188" s="56"/>
      <c r="C188" s="56"/>
      <c r="G188" s="3"/>
      <c r="L188" s="60"/>
      <c r="M188" s="60"/>
      <c r="N188" s="62"/>
      <c r="R188" s="65"/>
      <c r="AG188" s="91"/>
    </row>
    <row r="189" ht="15.0" customHeight="1">
      <c r="B189" s="56"/>
      <c r="C189" s="56"/>
      <c r="G189" s="3"/>
      <c r="L189" s="60"/>
      <c r="M189" s="60"/>
      <c r="N189" s="62"/>
      <c r="R189" s="65"/>
      <c r="AG189" s="91"/>
    </row>
    <row r="190" ht="15.0" customHeight="1">
      <c r="B190" s="56"/>
      <c r="C190" s="56"/>
      <c r="G190" s="3"/>
      <c r="L190" s="60"/>
      <c r="M190" s="60"/>
      <c r="N190" s="62"/>
      <c r="R190" s="65"/>
      <c r="AG190" s="91"/>
    </row>
    <row r="191" ht="15.0" customHeight="1">
      <c r="B191" s="56"/>
      <c r="C191" s="56"/>
      <c r="G191" s="3"/>
      <c r="L191" s="60"/>
      <c r="M191" s="60"/>
      <c r="N191" s="62"/>
      <c r="R191" s="65"/>
      <c r="AG191" s="91"/>
    </row>
    <row r="192" ht="15.0" customHeight="1">
      <c r="B192" s="56"/>
      <c r="C192" s="56"/>
      <c r="G192" s="3"/>
      <c r="L192" s="60"/>
      <c r="M192" s="60"/>
      <c r="N192" s="62"/>
      <c r="R192" s="65"/>
      <c r="AG192" s="91"/>
    </row>
    <row r="193" ht="15.0" customHeight="1">
      <c r="B193" s="56"/>
      <c r="C193" s="56"/>
      <c r="G193" s="3"/>
      <c r="L193" s="60"/>
      <c r="M193" s="60"/>
      <c r="N193" s="62"/>
      <c r="R193" s="65"/>
      <c r="AG193" s="91"/>
    </row>
    <row r="194" ht="15.0" customHeight="1">
      <c r="B194" s="56"/>
      <c r="C194" s="56"/>
      <c r="G194" s="3"/>
      <c r="L194" s="60"/>
      <c r="M194" s="60"/>
      <c r="N194" s="62"/>
      <c r="R194" s="65"/>
      <c r="AG194" s="91"/>
    </row>
    <row r="195" ht="15.0" customHeight="1">
      <c r="B195" s="56"/>
      <c r="C195" s="56"/>
      <c r="G195" s="3"/>
      <c r="L195" s="60"/>
      <c r="M195" s="60"/>
      <c r="N195" s="62"/>
      <c r="R195" s="65"/>
      <c r="AG195" s="91"/>
    </row>
    <row r="196" ht="15.0" customHeight="1">
      <c r="B196" s="56"/>
      <c r="C196" s="56"/>
      <c r="G196" s="3"/>
      <c r="L196" s="60"/>
      <c r="M196" s="60"/>
      <c r="N196" s="62"/>
      <c r="R196" s="65"/>
      <c r="AG196" s="91"/>
    </row>
    <row r="197" ht="15.0" customHeight="1">
      <c r="B197" s="56"/>
      <c r="C197" s="56"/>
      <c r="G197" s="3"/>
      <c r="L197" s="60"/>
      <c r="M197" s="60"/>
      <c r="N197" s="62"/>
      <c r="R197" s="65"/>
      <c r="AG197" s="91"/>
    </row>
    <row r="198" ht="15.0" customHeight="1">
      <c r="B198" s="56"/>
      <c r="C198" s="56"/>
      <c r="G198" s="3"/>
      <c r="L198" s="60"/>
      <c r="M198" s="60"/>
      <c r="N198" s="62"/>
      <c r="R198" s="65"/>
      <c r="AG198" s="91"/>
    </row>
    <row r="199" ht="15.0" customHeight="1">
      <c r="B199" s="56"/>
      <c r="C199" s="56"/>
      <c r="G199" s="3"/>
      <c r="L199" s="60"/>
      <c r="M199" s="60"/>
      <c r="N199" s="62"/>
      <c r="R199" s="65"/>
      <c r="AG199" s="91"/>
    </row>
    <row r="200" ht="15.0" customHeight="1">
      <c r="B200" s="56"/>
      <c r="C200" s="56"/>
      <c r="G200" s="3"/>
      <c r="L200" s="60"/>
      <c r="M200" s="60"/>
      <c r="N200" s="62"/>
      <c r="R200" s="65"/>
      <c r="AG200" s="91"/>
    </row>
    <row r="201" ht="15.0" customHeight="1">
      <c r="B201" s="56"/>
      <c r="C201" s="56"/>
      <c r="G201" s="3"/>
      <c r="L201" s="60"/>
      <c r="M201" s="60"/>
      <c r="N201" s="62"/>
      <c r="R201" s="65"/>
      <c r="AG201" s="91"/>
    </row>
    <row r="202" ht="15.0" customHeight="1">
      <c r="B202" s="56"/>
      <c r="C202" s="56"/>
      <c r="G202" s="3"/>
      <c r="L202" s="60"/>
      <c r="M202" s="60"/>
      <c r="N202" s="62"/>
      <c r="R202" s="65"/>
      <c r="AG202" s="91"/>
    </row>
    <row r="203" ht="15.0" customHeight="1">
      <c r="B203" s="56"/>
      <c r="C203" s="56"/>
      <c r="G203" s="3"/>
      <c r="L203" s="60"/>
      <c r="M203" s="60"/>
      <c r="N203" s="62"/>
      <c r="R203" s="65"/>
      <c r="AG203" s="91"/>
    </row>
    <row r="204" ht="15.0" customHeight="1">
      <c r="B204" s="56"/>
      <c r="C204" s="56"/>
      <c r="G204" s="3"/>
      <c r="L204" s="60"/>
      <c r="M204" s="60"/>
      <c r="N204" s="62"/>
      <c r="R204" s="65"/>
      <c r="AG204" s="91"/>
    </row>
    <row r="205" ht="15.0" customHeight="1">
      <c r="B205" s="56"/>
      <c r="C205" s="56"/>
      <c r="G205" s="3"/>
      <c r="L205" s="60"/>
      <c r="M205" s="60"/>
      <c r="N205" s="62"/>
      <c r="R205" s="65"/>
      <c r="AG205" s="91"/>
    </row>
    <row r="206" ht="15.0" customHeight="1">
      <c r="B206" s="56"/>
      <c r="C206" s="56"/>
      <c r="G206" s="3"/>
      <c r="L206" s="60"/>
      <c r="M206" s="60"/>
      <c r="N206" s="62"/>
      <c r="R206" s="65"/>
      <c r="AG206" s="91"/>
    </row>
    <row r="207" ht="15.0" customHeight="1">
      <c r="B207" s="56"/>
      <c r="C207" s="56"/>
      <c r="G207" s="3"/>
      <c r="L207" s="60"/>
      <c r="M207" s="60"/>
      <c r="N207" s="62"/>
      <c r="R207" s="65"/>
      <c r="AG207" s="91"/>
    </row>
    <row r="208" ht="15.0" customHeight="1">
      <c r="B208" s="56"/>
      <c r="C208" s="56"/>
      <c r="G208" s="3"/>
      <c r="L208" s="60"/>
      <c r="M208" s="60"/>
      <c r="N208" s="62"/>
      <c r="R208" s="65"/>
      <c r="AG208" s="91"/>
    </row>
    <row r="209" ht="15.0" customHeight="1">
      <c r="B209" s="56"/>
      <c r="C209" s="56"/>
      <c r="G209" s="3"/>
      <c r="L209" s="60"/>
      <c r="M209" s="60"/>
      <c r="N209" s="62"/>
      <c r="R209" s="65"/>
      <c r="AG209" s="91"/>
    </row>
    <row r="210" ht="15.0" customHeight="1">
      <c r="B210" s="56"/>
      <c r="C210" s="56"/>
      <c r="G210" s="3"/>
      <c r="L210" s="60"/>
      <c r="M210" s="60"/>
      <c r="N210" s="62"/>
      <c r="R210" s="65"/>
      <c r="AG210" s="91"/>
    </row>
    <row r="211" ht="15.0" customHeight="1">
      <c r="B211" s="56"/>
      <c r="C211" s="56"/>
      <c r="G211" s="3"/>
      <c r="L211" s="60"/>
      <c r="M211" s="60"/>
      <c r="N211" s="62"/>
      <c r="R211" s="65"/>
      <c r="AG211" s="91"/>
    </row>
    <row r="212" ht="15.0" customHeight="1">
      <c r="B212" s="56"/>
      <c r="C212" s="56"/>
      <c r="G212" s="3"/>
      <c r="L212" s="60"/>
      <c r="M212" s="60"/>
      <c r="N212" s="62"/>
      <c r="R212" s="65"/>
      <c r="AG212" s="91"/>
    </row>
    <row r="213" ht="15.0" customHeight="1">
      <c r="B213" s="56"/>
      <c r="C213" s="56"/>
      <c r="G213" s="3"/>
      <c r="L213" s="60"/>
      <c r="M213" s="60"/>
      <c r="N213" s="62"/>
      <c r="R213" s="65"/>
      <c r="AG213" s="91"/>
    </row>
    <row r="214" ht="15.0" customHeight="1">
      <c r="B214" s="56"/>
      <c r="C214" s="56"/>
      <c r="G214" s="3"/>
      <c r="L214" s="60"/>
      <c r="M214" s="60"/>
      <c r="N214" s="62"/>
      <c r="R214" s="65"/>
      <c r="AG214" s="91"/>
    </row>
    <row r="215" ht="15.0" customHeight="1">
      <c r="B215" s="56"/>
      <c r="C215" s="56"/>
      <c r="G215" s="3"/>
      <c r="L215" s="60"/>
      <c r="M215" s="60"/>
      <c r="N215" s="62"/>
      <c r="R215" s="65"/>
      <c r="AG215" s="91"/>
    </row>
    <row r="216" ht="15.0" customHeight="1">
      <c r="B216" s="56"/>
      <c r="C216" s="56"/>
      <c r="G216" s="3"/>
      <c r="L216" s="60"/>
      <c r="M216" s="60"/>
      <c r="N216" s="62"/>
      <c r="AG216" s="91"/>
    </row>
    <row r="217" ht="15.0" customHeight="1">
      <c r="B217" s="56"/>
      <c r="C217" s="56"/>
      <c r="G217" s="3"/>
      <c r="L217" s="60"/>
      <c r="M217" s="60"/>
      <c r="N217" s="62"/>
      <c r="AG217" s="91"/>
    </row>
    <row r="218" ht="15.0" customHeight="1">
      <c r="B218" s="56"/>
      <c r="C218" s="56"/>
      <c r="G218" s="3"/>
      <c r="L218" s="60"/>
      <c r="M218" s="60"/>
      <c r="N218" s="62"/>
      <c r="AG218" s="91"/>
    </row>
    <row r="219" ht="15.0" customHeight="1">
      <c r="B219" s="56"/>
      <c r="C219" s="56"/>
      <c r="G219" s="3"/>
      <c r="L219" s="60"/>
      <c r="M219" s="60"/>
      <c r="N219" s="62"/>
      <c r="AG219" s="91"/>
    </row>
    <row r="220" ht="15.0" customHeight="1">
      <c r="B220" s="56"/>
      <c r="C220" s="56"/>
      <c r="G220" s="3"/>
      <c r="L220" s="60"/>
      <c r="M220" s="60"/>
      <c r="N220" s="62"/>
      <c r="AG220" s="91"/>
    </row>
    <row r="221" ht="15.0" customHeight="1">
      <c r="B221" s="56"/>
      <c r="C221" s="56"/>
      <c r="G221" s="3"/>
      <c r="L221" s="60"/>
      <c r="M221" s="60"/>
      <c r="N221" s="62"/>
      <c r="AG221" s="91"/>
    </row>
    <row r="222" ht="15.0" customHeight="1">
      <c r="B222" s="56"/>
      <c r="C222" s="56"/>
      <c r="G222" s="3"/>
      <c r="L222" s="60"/>
      <c r="M222" s="60"/>
      <c r="N222" s="62"/>
      <c r="AG222" s="91"/>
    </row>
    <row r="223" ht="15.0" customHeight="1">
      <c r="B223" s="56"/>
      <c r="C223" s="56"/>
      <c r="G223" s="3"/>
      <c r="L223" s="60"/>
      <c r="M223" s="60"/>
      <c r="N223" s="62"/>
      <c r="AG223" s="91"/>
    </row>
    <row r="224" ht="15.0" customHeight="1">
      <c r="B224" s="56"/>
      <c r="C224" s="56"/>
      <c r="G224" s="3"/>
      <c r="L224" s="60"/>
      <c r="M224" s="60"/>
      <c r="N224" s="62"/>
      <c r="AG224" s="91"/>
    </row>
    <row r="225" ht="15.0" customHeight="1">
      <c r="B225" s="56"/>
      <c r="C225" s="56"/>
      <c r="G225" s="3"/>
      <c r="L225" s="60"/>
      <c r="M225" s="60"/>
      <c r="N225" s="62"/>
      <c r="AG225" s="91"/>
    </row>
    <row r="226" ht="15.0" customHeight="1">
      <c r="B226" s="56"/>
      <c r="C226" s="56"/>
      <c r="G226" s="3"/>
      <c r="L226" s="60"/>
      <c r="M226" s="60"/>
      <c r="N226" s="62"/>
      <c r="AG226" s="91"/>
    </row>
    <row r="227" ht="15.0" customHeight="1">
      <c r="B227" s="56"/>
      <c r="C227" s="56"/>
      <c r="G227" s="3"/>
      <c r="L227" s="60"/>
      <c r="M227" s="60"/>
      <c r="N227" s="62"/>
      <c r="AG227" s="91"/>
    </row>
    <row r="228" ht="15.0" customHeight="1">
      <c r="B228" s="56"/>
      <c r="C228" s="56"/>
      <c r="G228" s="3"/>
      <c r="L228" s="60"/>
      <c r="M228" s="60"/>
      <c r="N228" s="62"/>
      <c r="AG228" s="91"/>
    </row>
    <row r="229" ht="15.0" customHeight="1">
      <c r="B229" s="56"/>
      <c r="C229" s="56"/>
      <c r="G229" s="3"/>
      <c r="L229" s="60"/>
      <c r="M229" s="60"/>
      <c r="N229" s="62"/>
      <c r="AG229" s="91"/>
    </row>
    <row r="230" ht="15.0" customHeight="1">
      <c r="B230" s="56"/>
      <c r="C230" s="56"/>
      <c r="G230" s="3"/>
      <c r="L230" s="60"/>
      <c r="M230" s="60"/>
      <c r="N230" s="62"/>
      <c r="AG230" s="91"/>
    </row>
    <row r="231" ht="15.0" customHeight="1">
      <c r="B231" s="56"/>
      <c r="C231" s="56"/>
      <c r="G231" s="3"/>
      <c r="L231" s="60"/>
      <c r="M231" s="60"/>
      <c r="N231" s="62"/>
      <c r="AG231" s="91"/>
    </row>
    <row r="232" ht="15.0" customHeight="1">
      <c r="B232" s="56"/>
      <c r="C232" s="56"/>
      <c r="G232" s="3"/>
      <c r="L232" s="60"/>
      <c r="M232" s="60"/>
      <c r="N232" s="62"/>
      <c r="AG232" s="91"/>
    </row>
    <row r="233" ht="15.0" customHeight="1">
      <c r="B233" s="56"/>
      <c r="C233" s="56"/>
      <c r="G233" s="3"/>
      <c r="L233" s="60"/>
      <c r="M233" s="60"/>
      <c r="N233" s="62"/>
      <c r="AG233" s="91"/>
    </row>
    <row r="234" ht="15.0" customHeight="1">
      <c r="B234" s="56"/>
      <c r="C234" s="56"/>
      <c r="G234" s="3"/>
      <c r="L234" s="60"/>
      <c r="M234" s="60"/>
      <c r="N234" s="62"/>
      <c r="AG234" s="91"/>
    </row>
    <row r="235" ht="15.0" customHeight="1">
      <c r="B235" s="56"/>
      <c r="C235" s="56"/>
      <c r="G235" s="3"/>
      <c r="L235" s="60"/>
      <c r="M235" s="60"/>
      <c r="N235" s="62"/>
      <c r="AG235" s="91"/>
    </row>
    <row r="236" ht="15.0" customHeight="1">
      <c r="B236" s="56"/>
      <c r="C236" s="56"/>
      <c r="G236" s="3"/>
      <c r="L236" s="60"/>
      <c r="M236" s="60"/>
      <c r="N236" s="62"/>
      <c r="AG236" s="91"/>
    </row>
    <row r="237" ht="15.0" customHeight="1">
      <c r="B237" s="56"/>
      <c r="C237" s="56"/>
      <c r="G237" s="3"/>
      <c r="L237" s="60"/>
      <c r="M237" s="60"/>
      <c r="N237" s="62"/>
      <c r="AG237" s="91"/>
    </row>
    <row r="238" ht="15.0" customHeight="1">
      <c r="B238" s="56"/>
      <c r="C238" s="56"/>
      <c r="G238" s="3"/>
      <c r="L238" s="60"/>
      <c r="M238" s="60"/>
      <c r="N238" s="62"/>
      <c r="AG238" s="91"/>
    </row>
    <row r="239" ht="15.0" customHeight="1">
      <c r="B239" s="56"/>
      <c r="C239" s="56"/>
      <c r="G239" s="3"/>
      <c r="L239" s="60"/>
      <c r="M239" s="60"/>
      <c r="N239" s="62"/>
      <c r="AG239" s="91"/>
    </row>
    <row r="240" ht="15.75" customHeight="1">
      <c r="AG240" s="91"/>
    </row>
    <row r="241" ht="15.75" customHeight="1">
      <c r="AG241" s="91"/>
    </row>
    <row r="242" ht="15.75" customHeight="1">
      <c r="AG242" s="91"/>
    </row>
    <row r="243" ht="15.75" customHeight="1">
      <c r="AG243" s="91"/>
    </row>
    <row r="244" ht="15.75" customHeight="1">
      <c r="AG244" s="91"/>
    </row>
    <row r="245" ht="15.75" customHeight="1">
      <c r="AG245" s="91"/>
    </row>
    <row r="246" ht="15.75" customHeight="1">
      <c r="AG246" s="91"/>
    </row>
    <row r="247" ht="15.75" customHeight="1">
      <c r="AG247" s="91"/>
    </row>
    <row r="248" ht="15.75" customHeight="1">
      <c r="AG248" s="91"/>
    </row>
    <row r="249" ht="15.75" customHeight="1">
      <c r="AG249" s="91"/>
    </row>
    <row r="250" ht="15.75" customHeight="1">
      <c r="AG250" s="91"/>
    </row>
    <row r="251" ht="15.75" customHeight="1">
      <c r="AG251" s="91"/>
    </row>
    <row r="252" ht="15.75" customHeight="1">
      <c r="AG252" s="91"/>
    </row>
    <row r="253" ht="15.75" customHeight="1">
      <c r="AG253" s="91"/>
    </row>
    <row r="254" ht="15.75" customHeight="1">
      <c r="AG254" s="91"/>
    </row>
    <row r="255" ht="15.75" customHeight="1">
      <c r="AG255" s="91"/>
    </row>
    <row r="256" ht="15.75" customHeight="1">
      <c r="AG256" s="91"/>
    </row>
    <row r="257" ht="15.75" customHeight="1">
      <c r="AG257" s="91"/>
    </row>
    <row r="258" ht="15.75" customHeight="1">
      <c r="AG258" s="91"/>
    </row>
    <row r="259" ht="15.75" customHeight="1">
      <c r="AG259" s="91"/>
    </row>
    <row r="260" ht="15.75" customHeight="1">
      <c r="AG260" s="91"/>
    </row>
    <row r="261" ht="15.75" customHeight="1">
      <c r="AG261" s="91"/>
    </row>
    <row r="262" ht="15.75" customHeight="1">
      <c r="AG262" s="91"/>
    </row>
    <row r="263" ht="15.75" customHeight="1">
      <c r="AG263" s="91"/>
    </row>
    <row r="264" ht="15.75" customHeight="1">
      <c r="AG264" s="91"/>
    </row>
    <row r="265" ht="15.75" customHeight="1">
      <c r="AG265" s="91"/>
    </row>
    <row r="266" ht="15.75" customHeight="1">
      <c r="AG266" s="91"/>
    </row>
    <row r="267" ht="15.75" customHeight="1">
      <c r="AG267" s="91"/>
    </row>
    <row r="268" ht="15.75" customHeight="1">
      <c r="AG268" s="91"/>
    </row>
    <row r="269" ht="15.75" customHeight="1">
      <c r="AG269" s="91"/>
    </row>
    <row r="270" ht="15.75" customHeight="1">
      <c r="AG270" s="91"/>
    </row>
    <row r="271" ht="15.75" customHeight="1">
      <c r="AG271" s="91"/>
    </row>
    <row r="272" ht="15.75" customHeight="1">
      <c r="AG272" s="91"/>
    </row>
    <row r="273" ht="15.75" customHeight="1">
      <c r="AG273" s="91"/>
    </row>
    <row r="274" ht="15.75" customHeight="1">
      <c r="AG274" s="91"/>
    </row>
    <row r="275" ht="15.75" customHeight="1">
      <c r="AG275" s="91"/>
    </row>
    <row r="276" ht="15.75" customHeight="1">
      <c r="AG276" s="91"/>
    </row>
    <row r="277" ht="15.75" customHeight="1">
      <c r="AG277" s="91"/>
    </row>
    <row r="278" ht="15.75" customHeight="1">
      <c r="AG278" s="91"/>
    </row>
    <row r="279" ht="15.75" customHeight="1">
      <c r="AG279" s="91"/>
    </row>
    <row r="280" ht="15.75" customHeight="1">
      <c r="AG280" s="91"/>
    </row>
    <row r="281" ht="15.75" customHeight="1">
      <c r="AG281" s="91"/>
    </row>
    <row r="282" ht="15.75" customHeight="1">
      <c r="AG282" s="91"/>
    </row>
    <row r="283" ht="15.75" customHeight="1">
      <c r="AG283" s="91"/>
    </row>
    <row r="284" ht="15.75" customHeight="1">
      <c r="AG284" s="91"/>
    </row>
    <row r="285" ht="15.75" customHeight="1">
      <c r="AG285" s="91"/>
    </row>
    <row r="286" ht="15.75" customHeight="1">
      <c r="AG286" s="91"/>
    </row>
    <row r="287" ht="15.75" customHeight="1">
      <c r="AG287" s="91"/>
    </row>
    <row r="288" ht="15.75" customHeight="1">
      <c r="AG288" s="91"/>
    </row>
    <row r="289" ht="15.75" customHeight="1">
      <c r="AG289" s="91"/>
    </row>
    <row r="290" ht="15.75" customHeight="1">
      <c r="AG290" s="91"/>
    </row>
    <row r="291" ht="15.75" customHeight="1">
      <c r="AG291" s="91"/>
    </row>
    <row r="292" ht="15.75" customHeight="1">
      <c r="AG292" s="91"/>
    </row>
    <row r="293" ht="15.75" customHeight="1">
      <c r="AG293" s="91"/>
    </row>
    <row r="294" ht="15.75" customHeight="1">
      <c r="AG294" s="91"/>
    </row>
    <row r="295" ht="15.75" customHeight="1">
      <c r="AG295" s="91"/>
    </row>
    <row r="296" ht="15.75" customHeight="1">
      <c r="AG296" s="91"/>
    </row>
    <row r="297" ht="15.75" customHeight="1">
      <c r="AG297" s="91"/>
    </row>
    <row r="298" ht="15.75" customHeight="1">
      <c r="AG298" s="91"/>
    </row>
    <row r="299" ht="15.75" customHeight="1">
      <c r="AG299" s="91"/>
    </row>
    <row r="300" ht="15.75" customHeight="1">
      <c r="AG300" s="91"/>
    </row>
    <row r="301" ht="15.75" customHeight="1">
      <c r="AG301" s="91"/>
    </row>
    <row r="302" ht="15.75" customHeight="1">
      <c r="AG302" s="91"/>
    </row>
    <row r="303" ht="15.75" customHeight="1">
      <c r="AG303" s="91"/>
    </row>
    <row r="304" ht="15.75" customHeight="1">
      <c r="AG304" s="91"/>
    </row>
    <row r="305" ht="15.75" customHeight="1"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L$4">
    <sortState ref="A3:AL4">
      <sortCondition ref="A3:A4"/>
    </sortState>
  </autoFilter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A1" s="67"/>
      <c r="D1" s="97" t="s">
        <v>241</v>
      </c>
      <c r="E1" s="98">
        <f>+AL3</f>
        <v>265715.0495</v>
      </c>
      <c r="F1" s="2"/>
      <c r="G1" s="122">
        <f>602+1221+3850</f>
        <v>5673</v>
      </c>
      <c r="H1" s="4"/>
      <c r="I1" s="5"/>
      <c r="K1" s="5">
        <v>389.478</v>
      </c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</row>
    <row r="2" ht="15.0" customHeight="1">
      <c r="D2" s="97" t="s">
        <v>242</v>
      </c>
      <c r="E2" s="98">
        <f>+AH3</f>
        <v>3321.395074</v>
      </c>
      <c r="F2" s="99" t="s">
        <v>243</v>
      </c>
      <c r="G2" s="100">
        <f>+Q2</f>
        <v>87.72481805</v>
      </c>
      <c r="H2" s="13"/>
      <c r="I2" s="14">
        <f>SUBTOTAL(9,I4:I8673)</f>
        <v>431.59</v>
      </c>
      <c r="J2" s="4"/>
      <c r="K2" s="14">
        <f>SUBTOTAL(9,K4:K8673)</f>
        <v>389.477781</v>
      </c>
      <c r="L2" s="15">
        <f>SUMPRODUCT(L5:L8673,K5:K8673)/K2</f>
        <v>0.2864387662</v>
      </c>
      <c r="M2" s="2"/>
      <c r="P2" s="16">
        <f t="shared" ref="P2:Q2" si="1">+SUMPRODUCT(P5:P8673,AG5:AG8673)/SUM(AG5:AG8673)</f>
        <v>88.15444588</v>
      </c>
      <c r="Q2" s="16">
        <f t="shared" si="1"/>
        <v>87.72481805</v>
      </c>
      <c r="R2" s="16">
        <f>+SUMPRODUCT(R5:R8673,AH5:AH8673)/SUM(AH5:AH8673)</f>
        <v>3196.620764</v>
      </c>
      <c r="S2" s="2"/>
      <c r="AB2" s="7"/>
      <c r="AC2" s="7"/>
      <c r="AD2" s="7"/>
      <c r="AE2" s="7"/>
      <c r="AF2" s="7"/>
      <c r="AG2" s="17">
        <f>SUMPRODUCT($AG5:$AG8673,$K5:$K8673)/SUM($K5:$K8673)</f>
        <v>64.55983934</v>
      </c>
      <c r="AH2" s="18"/>
      <c r="AI2" s="19">
        <v>3300.0</v>
      </c>
      <c r="AJ2" s="20"/>
      <c r="AK2" s="11"/>
      <c r="AL2" s="21"/>
    </row>
    <row r="3" ht="15.0" customHeight="1">
      <c r="A3" s="22" t="s">
        <v>5</v>
      </c>
      <c r="B3" s="22" t="s">
        <v>6</v>
      </c>
      <c r="C3" s="22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SUBTOTAL(9,AH5:AH8673)</f>
        <v>3321.395074</v>
      </c>
      <c r="AI3" s="40">
        <f>SUMPRODUCT(K5:K8673,AI5:AI8673)/K2</f>
        <v>53.43361196</v>
      </c>
      <c r="AJ3" s="39">
        <f>SUBTOTAL(9,AJ5:AJ8673)</f>
        <v>3213.792924</v>
      </c>
      <c r="AK3" s="11"/>
      <c r="AL3" s="39">
        <f>SUBTOTAL(9,AL5:AL8673)</f>
        <v>265715.0495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</row>
    <row r="5" ht="15.0" customHeight="1">
      <c r="A5" s="92" t="s">
        <v>476</v>
      </c>
      <c r="B5" s="56">
        <v>45755.0</v>
      </c>
      <c r="C5" s="56">
        <v>45751.0</v>
      </c>
      <c r="D5" s="57" t="s">
        <v>324</v>
      </c>
      <c r="E5" s="57">
        <f t="array" ref="E5">XLOOKUP(D5,RUC!$B$3:$B$110,RUC!$D$3:$D$110)</f>
        <v>20612937096</v>
      </c>
      <c r="G5" s="3">
        <v>78.0</v>
      </c>
      <c r="H5" s="57" t="s">
        <v>40</v>
      </c>
      <c r="I5" s="58">
        <v>4.96</v>
      </c>
      <c r="J5" s="58">
        <v>18.5</v>
      </c>
      <c r="K5" s="59">
        <f t="shared" ref="K5:K36" si="2">+I5-(I5*(J5/100))</f>
        <v>4.0424</v>
      </c>
      <c r="L5" s="60">
        <v>0.255</v>
      </c>
      <c r="M5" s="60">
        <v>0.239</v>
      </c>
      <c r="N5" s="62">
        <v>0.239</v>
      </c>
      <c r="O5" s="60">
        <f t="shared" ref="O5:O36" si="3">+ROUND((M5+N5)/2,3)</f>
        <v>0.239</v>
      </c>
      <c r="P5" s="63">
        <v>90.0</v>
      </c>
      <c r="Q5" s="57">
        <v>90.11</v>
      </c>
      <c r="R5" s="65">
        <v>3054.6</v>
      </c>
      <c r="S5" s="66">
        <f t="shared" ref="S5:S10" si="4">IF((90+ROUNDDOWN(O5,1)*100)&lt;95,95,(90+ROUNDDOWN(O5,1)*100))</f>
        <v>110</v>
      </c>
      <c r="U5" s="67">
        <v>120.0</v>
      </c>
      <c r="V5" s="67">
        <v>1.1023</v>
      </c>
      <c r="Y5" s="57">
        <v>20.0</v>
      </c>
      <c r="Z5" s="69">
        <f t="shared" ref="Z5:Z12" si="5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36" si="6">+Y5+Z5</f>
        <v>50</v>
      </c>
      <c r="AB5" s="71">
        <f t="shared" ref="AB5:AB36" si="7">+((O5*P5*(R5-U5)/100)-S5-AA5+T5)*V5</f>
        <v>519.4395407</v>
      </c>
      <c r="AC5" s="71">
        <f>+(S5-T5)*V5-'data 1'!$F$4</f>
        <v>41.253</v>
      </c>
      <c r="AD5" s="71">
        <f t="shared" ref="AD5:AD36" si="8">+(Q5-P5)*(R5-U5)*L5*V5/100</f>
        <v>0.9073640872</v>
      </c>
      <c r="AE5" s="71">
        <f t="shared" ref="AE5:AE36" si="9">+(Y5*V5-70)+V5*(Z5-IF(D5="UNTUCA",IF(+((W5-3)*2.5+(X5-3)*3.1)&gt;0,+((W5-3)*1.5+(X5-3)*3.1),0),IF(+((W5-3)*1.5+(X5-3)*3.1)&gt;0,+((W5-3)*1.5+(X5-3)*3.1),0)))</f>
        <v>-14.885</v>
      </c>
      <c r="AF5" s="71">
        <f t="shared" ref="AF5:AF36" si="10">(L5-O5)*(R5-U5)*Q5*V5/100</f>
        <v>46.6381906</v>
      </c>
      <c r="AG5" s="72">
        <f t="shared" ref="AG5:AG10" si="11">+IF(D5="RONALD WILLIAN GARIBAY ESCUDERO",AC5+AD5+AE5+AF5+70,AC5+AD5+AE5+AF5)+70-53</f>
        <v>90.91355469</v>
      </c>
      <c r="AH5" s="52">
        <f t="shared" ref="AH5:AH36" si="12">31.1035*L5*Q5*1.1023*K5/100</f>
        <v>31.84648645</v>
      </c>
      <c r="AI5" s="73">
        <f t="shared" ref="AI5:AI36" si="13">+((+$AI$2-R5+U5)*L5*Q5*V5)/100</f>
        <v>92.5510863</v>
      </c>
      <c r="AJ5" s="73">
        <f t="shared" ref="AJ5:AJ36" si="14">31.1035*1.1023*K5*P5*O5/100</f>
        <v>29.81183885</v>
      </c>
      <c r="AK5" s="11"/>
      <c r="AL5" s="51">
        <f t="shared" ref="AL5:AL36" si="15">+IF(AB5*K5&gt;0,AB5*K5,0)</f>
        <v>2099.782399</v>
      </c>
    </row>
    <row r="6" ht="15.0" customHeight="1">
      <c r="A6" s="92" t="s">
        <v>477</v>
      </c>
      <c r="B6" s="56">
        <v>45755.0</v>
      </c>
      <c r="C6" s="56">
        <v>45751.0</v>
      </c>
      <c r="D6" s="57" t="s">
        <v>324</v>
      </c>
      <c r="E6" s="57">
        <f t="array" ref="E6">XLOOKUP(D6,RUC!$B$3:$B$110,RUC!$D$3:$D$110)</f>
        <v>20612937096</v>
      </c>
      <c r="G6" s="3">
        <v>72.0</v>
      </c>
      <c r="H6" s="57" t="s">
        <v>40</v>
      </c>
      <c r="I6" s="58">
        <v>3.56</v>
      </c>
      <c r="J6" s="58">
        <v>18.1</v>
      </c>
      <c r="K6" s="59">
        <f t="shared" si="2"/>
        <v>2.91564</v>
      </c>
      <c r="L6" s="60">
        <v>0.214</v>
      </c>
      <c r="M6" s="60">
        <v>0.201</v>
      </c>
      <c r="N6" s="62">
        <v>0.201</v>
      </c>
      <c r="O6" s="60">
        <f t="shared" si="3"/>
        <v>0.201</v>
      </c>
      <c r="P6" s="63">
        <v>90.0</v>
      </c>
      <c r="Q6" s="57">
        <v>90.13</v>
      </c>
      <c r="R6" s="65">
        <v>3054.6</v>
      </c>
      <c r="S6" s="66">
        <f t="shared" si="4"/>
        <v>110</v>
      </c>
      <c r="U6" s="67">
        <v>120.0</v>
      </c>
      <c r="V6" s="67">
        <v>1.1023</v>
      </c>
      <c r="Y6" s="57">
        <v>20.0</v>
      </c>
      <c r="Z6" s="69">
        <f t="shared" si="5"/>
        <v>30</v>
      </c>
      <c r="AA6" s="70">
        <f t="shared" si="6"/>
        <v>50</v>
      </c>
      <c r="AB6" s="71">
        <f t="shared" si="7"/>
        <v>408.809053</v>
      </c>
      <c r="AC6" s="71">
        <f>+(S6-T6)*V6-'data 1'!$F$4</f>
        <v>41.253</v>
      </c>
      <c r="AD6" s="71">
        <f t="shared" si="8"/>
        <v>0.8999240252</v>
      </c>
      <c r="AE6" s="71">
        <f t="shared" si="9"/>
        <v>-14.885</v>
      </c>
      <c r="AF6" s="71">
        <f t="shared" si="10"/>
        <v>37.90194037</v>
      </c>
      <c r="AG6" s="72">
        <f t="shared" si="11"/>
        <v>82.16986439</v>
      </c>
      <c r="AH6" s="52">
        <f t="shared" si="12"/>
        <v>19.28084722</v>
      </c>
      <c r="AI6" s="73">
        <f t="shared" si="13"/>
        <v>77.6875624</v>
      </c>
      <c r="AJ6" s="73">
        <f t="shared" si="14"/>
        <v>18.08346025</v>
      </c>
      <c r="AK6" s="11"/>
      <c r="AL6" s="51">
        <f t="shared" si="15"/>
        <v>1191.940027</v>
      </c>
    </row>
    <row r="7" ht="15.0" customHeight="1">
      <c r="A7" s="92" t="s">
        <v>478</v>
      </c>
      <c r="B7" s="56">
        <v>45755.0</v>
      </c>
      <c r="C7" s="56">
        <v>45751.0</v>
      </c>
      <c r="D7" s="57" t="s">
        <v>324</v>
      </c>
      <c r="E7" s="57">
        <f t="array" ref="E7">XLOOKUP(D7,RUC!$B$3:$B$110,RUC!$D$3:$D$110)</f>
        <v>20612937096</v>
      </c>
      <c r="G7" s="3">
        <v>75.0</v>
      </c>
      <c r="H7" s="57" t="s">
        <v>40</v>
      </c>
      <c r="I7" s="58">
        <v>2.85</v>
      </c>
      <c r="J7" s="58">
        <v>16.5</v>
      </c>
      <c r="K7" s="59">
        <f t="shared" si="2"/>
        <v>2.37975</v>
      </c>
      <c r="L7" s="60">
        <v>0.294</v>
      </c>
      <c r="M7" s="60">
        <v>0.276</v>
      </c>
      <c r="N7" s="62">
        <v>0.276</v>
      </c>
      <c r="O7" s="60">
        <f t="shared" si="3"/>
        <v>0.276</v>
      </c>
      <c r="P7" s="63">
        <v>90.0</v>
      </c>
      <c r="Q7" s="57">
        <v>90.09</v>
      </c>
      <c r="R7" s="65">
        <v>3054.6</v>
      </c>
      <c r="S7" s="66">
        <f t="shared" si="4"/>
        <v>110</v>
      </c>
      <c r="U7" s="67">
        <v>120.0</v>
      </c>
      <c r="V7" s="67">
        <v>1.1023</v>
      </c>
      <c r="Y7" s="57">
        <v>20.0</v>
      </c>
      <c r="Z7" s="69">
        <f t="shared" si="5"/>
        <v>30</v>
      </c>
      <c r="AA7" s="70">
        <f t="shared" si="6"/>
        <v>50</v>
      </c>
      <c r="AB7" s="71">
        <f t="shared" si="7"/>
        <v>627.1586997</v>
      </c>
      <c r="AC7" s="71">
        <f>+(S7-T7)*V7-'data 1'!$F$4</f>
        <v>41.253</v>
      </c>
      <c r="AD7" s="71">
        <f t="shared" si="8"/>
        <v>0.8559306149</v>
      </c>
      <c r="AE7" s="71">
        <f t="shared" si="9"/>
        <v>-14.885</v>
      </c>
      <c r="AF7" s="71">
        <f t="shared" si="10"/>
        <v>52.45631911</v>
      </c>
      <c r="AG7" s="72">
        <f t="shared" si="11"/>
        <v>96.68024973</v>
      </c>
      <c r="AH7" s="52">
        <f t="shared" si="12"/>
        <v>21.61047546</v>
      </c>
      <c r="AI7" s="73">
        <f t="shared" si="13"/>
        <v>106.6822748</v>
      </c>
      <c r="AJ7" s="73">
        <f t="shared" si="14"/>
        <v>20.26711801</v>
      </c>
      <c r="AK7" s="11"/>
      <c r="AL7" s="51">
        <f t="shared" si="15"/>
        <v>1492.480916</v>
      </c>
    </row>
    <row r="8" ht="15.0" customHeight="1">
      <c r="A8" s="92" t="s">
        <v>479</v>
      </c>
      <c r="B8" s="56">
        <v>45755.0</v>
      </c>
      <c r="C8" s="56">
        <v>45751.0</v>
      </c>
      <c r="D8" s="57" t="s">
        <v>324</v>
      </c>
      <c r="E8" s="57">
        <f t="array" ref="E8">XLOOKUP(D8,RUC!$B$3:$B$110,RUC!$D$3:$D$110)</f>
        <v>20612937096</v>
      </c>
      <c r="G8" s="3">
        <v>61.0</v>
      </c>
      <c r="H8" s="57" t="s">
        <v>40</v>
      </c>
      <c r="I8" s="58">
        <v>2.31</v>
      </c>
      <c r="J8" s="58">
        <v>18.25</v>
      </c>
      <c r="K8" s="59">
        <f t="shared" si="2"/>
        <v>1.888425</v>
      </c>
      <c r="L8" s="60">
        <v>0.399</v>
      </c>
      <c r="M8" s="60">
        <v>0.375</v>
      </c>
      <c r="N8" s="62">
        <v>0.375</v>
      </c>
      <c r="O8" s="60">
        <f t="shared" si="3"/>
        <v>0.375</v>
      </c>
      <c r="P8" s="63">
        <v>90.0</v>
      </c>
      <c r="Q8" s="58">
        <v>90.1</v>
      </c>
      <c r="R8" s="65">
        <v>3054.6</v>
      </c>
      <c r="S8" s="66">
        <f t="shared" si="4"/>
        <v>120</v>
      </c>
      <c r="U8" s="67">
        <v>120.0</v>
      </c>
      <c r="V8" s="67">
        <v>1.1023</v>
      </c>
      <c r="Y8" s="57">
        <v>20.0</v>
      </c>
      <c r="Z8" s="69">
        <f t="shared" si="5"/>
        <v>30</v>
      </c>
      <c r="AA8" s="70">
        <f t="shared" si="6"/>
        <v>50</v>
      </c>
      <c r="AB8" s="71">
        <f t="shared" si="7"/>
        <v>904.3572333</v>
      </c>
      <c r="AC8" s="71">
        <f>+(S8-T8)*V8-'data 1'!$F$4</f>
        <v>52.276</v>
      </c>
      <c r="AD8" s="71">
        <f t="shared" si="8"/>
        <v>1.290689022</v>
      </c>
      <c r="AE8" s="71">
        <f t="shared" si="9"/>
        <v>-14.885</v>
      </c>
      <c r="AF8" s="71">
        <f t="shared" si="10"/>
        <v>69.94952236</v>
      </c>
      <c r="AG8" s="72">
        <f t="shared" si="11"/>
        <v>125.6312114</v>
      </c>
      <c r="AH8" s="52">
        <f t="shared" si="12"/>
        <v>23.27590078</v>
      </c>
      <c r="AI8" s="73">
        <f t="shared" si="13"/>
        <v>144.7991582</v>
      </c>
      <c r="AJ8" s="73">
        <f t="shared" si="14"/>
        <v>21.85156708</v>
      </c>
      <c r="AK8" s="11"/>
      <c r="AL8" s="51">
        <f t="shared" si="15"/>
        <v>1707.810808</v>
      </c>
    </row>
    <row r="9" ht="15.0" customHeight="1">
      <c r="A9" s="92" t="s">
        <v>480</v>
      </c>
      <c r="B9" s="56">
        <v>45755.0</v>
      </c>
      <c r="C9" s="56">
        <v>45751.0</v>
      </c>
      <c r="D9" s="57" t="s">
        <v>324</v>
      </c>
      <c r="E9" s="57">
        <f t="array" ref="E9">XLOOKUP(D9,RUC!$B$3:$B$110,RUC!$D$3:$D$110)</f>
        <v>20612937096</v>
      </c>
      <c r="G9" s="3">
        <v>25.0</v>
      </c>
      <c r="H9" s="57" t="s">
        <v>40</v>
      </c>
      <c r="I9" s="58">
        <v>1.45</v>
      </c>
      <c r="J9" s="58">
        <v>17.55</v>
      </c>
      <c r="K9" s="59">
        <f t="shared" si="2"/>
        <v>1.195525</v>
      </c>
      <c r="L9" s="60">
        <v>0.273</v>
      </c>
      <c r="M9" s="60">
        <v>0.257</v>
      </c>
      <c r="N9" s="62">
        <v>0.257</v>
      </c>
      <c r="O9" s="60">
        <f t="shared" si="3"/>
        <v>0.257</v>
      </c>
      <c r="P9" s="63">
        <v>90.0</v>
      </c>
      <c r="Q9" s="57">
        <v>90.16</v>
      </c>
      <c r="R9" s="65">
        <v>3054.6</v>
      </c>
      <c r="S9" s="66">
        <f t="shared" si="4"/>
        <v>110</v>
      </c>
      <c r="U9" s="67">
        <v>120.0</v>
      </c>
      <c r="V9" s="67">
        <v>1.1023</v>
      </c>
      <c r="Y9" s="57">
        <v>20.0</v>
      </c>
      <c r="Z9" s="69">
        <f t="shared" si="5"/>
        <v>30</v>
      </c>
      <c r="AA9" s="70">
        <f t="shared" si="6"/>
        <v>50</v>
      </c>
      <c r="AB9" s="71">
        <f t="shared" si="7"/>
        <v>571.8434559</v>
      </c>
      <c r="AC9" s="71">
        <f>+(S9-T9)*V9-'data 1'!$F$4</f>
        <v>41.253</v>
      </c>
      <c r="AD9" s="71">
        <f t="shared" si="8"/>
        <v>1.412964825</v>
      </c>
      <c r="AE9" s="71">
        <f t="shared" si="9"/>
        <v>-14.885</v>
      </c>
      <c r="AF9" s="71">
        <f t="shared" si="10"/>
        <v>46.66406908</v>
      </c>
      <c r="AG9" s="72">
        <f t="shared" si="11"/>
        <v>91.4450339</v>
      </c>
      <c r="AH9" s="52">
        <f t="shared" si="12"/>
        <v>10.08891078</v>
      </c>
      <c r="AI9" s="73">
        <f t="shared" si="13"/>
        <v>99.13908368</v>
      </c>
      <c r="AJ9" s="73">
        <f t="shared" si="14"/>
        <v>9.480764616</v>
      </c>
      <c r="AK9" s="11"/>
      <c r="AL9" s="51">
        <f t="shared" si="15"/>
        <v>683.6531476</v>
      </c>
    </row>
    <row r="10" ht="15.0" customHeight="1">
      <c r="A10" s="92" t="s">
        <v>481</v>
      </c>
      <c r="B10" s="56">
        <v>45704.0</v>
      </c>
      <c r="C10" s="56">
        <v>45755.0</v>
      </c>
      <c r="D10" s="57" t="s">
        <v>177</v>
      </c>
      <c r="E10" s="57">
        <f t="array" ref="E10">XLOOKUP(D10,RUC!$B$3:$B$110,RUC!$D$3:$D$110)</f>
        <v>10306762465</v>
      </c>
      <c r="G10" s="3">
        <v>80.0</v>
      </c>
      <c r="H10" s="57" t="s">
        <v>47</v>
      </c>
      <c r="I10" s="58">
        <v>8.31</v>
      </c>
      <c r="J10" s="58">
        <v>1.2</v>
      </c>
      <c r="K10" s="118">
        <f t="shared" si="2"/>
        <v>8.21028</v>
      </c>
      <c r="L10" s="60">
        <v>0.147</v>
      </c>
      <c r="M10" s="60">
        <v>0.136</v>
      </c>
      <c r="N10" s="62">
        <v>0.136</v>
      </c>
      <c r="O10" s="60">
        <f t="shared" si="3"/>
        <v>0.136</v>
      </c>
      <c r="P10" s="63">
        <v>90.0</v>
      </c>
      <c r="Q10" s="58">
        <v>90.2</v>
      </c>
      <c r="R10" s="65">
        <v>3015.4</v>
      </c>
      <c r="S10" s="66">
        <f t="shared" si="4"/>
        <v>100</v>
      </c>
      <c r="U10" s="67">
        <v>120.0</v>
      </c>
      <c r="V10" s="67">
        <v>1.1023</v>
      </c>
      <c r="Y10" s="57">
        <v>20.0</v>
      </c>
      <c r="Z10" s="69">
        <f t="shared" si="5"/>
        <v>30</v>
      </c>
      <c r="AA10" s="70">
        <f t="shared" si="6"/>
        <v>50</v>
      </c>
      <c r="AB10" s="71">
        <f t="shared" si="7"/>
        <v>225.306769</v>
      </c>
      <c r="AC10" s="71">
        <f>+(S10-T10)*V10-'data 1'!$F$4</f>
        <v>30.23</v>
      </c>
      <c r="AD10" s="71">
        <f t="shared" si="8"/>
        <v>0.9383302295</v>
      </c>
      <c r="AE10" s="71">
        <f t="shared" si="9"/>
        <v>-14.885</v>
      </c>
      <c r="AF10" s="71">
        <f t="shared" si="10"/>
        <v>31.66704945</v>
      </c>
      <c r="AG10" s="72">
        <f t="shared" si="11"/>
        <v>64.95037967</v>
      </c>
      <c r="AH10" s="52">
        <f t="shared" si="12"/>
        <v>37.32423455</v>
      </c>
      <c r="AI10" s="73">
        <f t="shared" si="13"/>
        <v>59.13567496</v>
      </c>
      <c r="AJ10" s="73">
        <f t="shared" si="14"/>
        <v>34.45469862</v>
      </c>
      <c r="AK10" s="11"/>
      <c r="AL10" s="51">
        <f t="shared" si="15"/>
        <v>1849.831659</v>
      </c>
    </row>
    <row r="11" ht="15.0" customHeight="1">
      <c r="A11" s="92" t="s">
        <v>482</v>
      </c>
      <c r="B11" s="56">
        <v>45698.0</v>
      </c>
      <c r="C11" s="56">
        <v>45755.0</v>
      </c>
      <c r="D11" s="57" t="s">
        <v>61</v>
      </c>
      <c r="E11" s="57">
        <f t="array" ref="E11">XLOOKUP(D11,RUC!$B$3:$B$110,RUC!$D$3:$D$110)</f>
        <v>20606526599</v>
      </c>
      <c r="G11" s="3">
        <v>246.0</v>
      </c>
      <c r="H11" s="57" t="s">
        <v>47</v>
      </c>
      <c r="I11" s="58">
        <v>21.08</v>
      </c>
      <c r="J11" s="58">
        <v>1.2</v>
      </c>
      <c r="K11" s="118">
        <f t="shared" si="2"/>
        <v>20.82704</v>
      </c>
      <c r="L11" s="60">
        <v>0.322</v>
      </c>
      <c r="M11" s="60">
        <v>0.302</v>
      </c>
      <c r="N11" s="62">
        <v>0.302</v>
      </c>
      <c r="O11" s="60">
        <f t="shared" si="3"/>
        <v>0.302</v>
      </c>
      <c r="P11" s="63">
        <v>90.0</v>
      </c>
      <c r="Q11" s="58">
        <v>90.0</v>
      </c>
      <c r="R11" s="65">
        <v>3015.4</v>
      </c>
      <c r="S11" s="76">
        <f t="shared" ref="S11:S12" si="16">IF((80+ROUNDDOWN(O11,1)*100)&lt;95,95,(80+ROUNDDOWN(O11,1)*100))</f>
        <v>110</v>
      </c>
      <c r="U11" s="67">
        <v>100.0</v>
      </c>
      <c r="V11" s="67">
        <v>1.1023</v>
      </c>
      <c r="Z11" s="69">
        <f t="shared" si="5"/>
        <v>30</v>
      </c>
      <c r="AA11" s="70">
        <f t="shared" si="6"/>
        <v>30</v>
      </c>
      <c r="AB11" s="71">
        <f t="shared" si="7"/>
        <v>719.1468252</v>
      </c>
      <c r="AC11" s="71">
        <f>+(S11-T11)*V11-'data 1'!$F$4</f>
        <v>41.253</v>
      </c>
      <c r="AD11" s="71">
        <f t="shared" si="8"/>
        <v>0</v>
      </c>
      <c r="AE11" s="71">
        <f t="shared" si="9"/>
        <v>-36.931</v>
      </c>
      <c r="AF11" s="71">
        <f t="shared" si="10"/>
        <v>57.84561756</v>
      </c>
      <c r="AG11" s="72">
        <f t="shared" ref="AG11:AG12" si="17">+IF(D11="RONALD WILLIAN GARIBAY ESCUDERO",AC11+AD11+AE11+AF11+70,AC11+AD11+AE11+AF11)+70</f>
        <v>132.1676176</v>
      </c>
      <c r="AH11" s="52">
        <f t="shared" si="12"/>
        <v>206.9355004</v>
      </c>
      <c r="AI11" s="73">
        <f t="shared" si="13"/>
        <v>122.8591393</v>
      </c>
      <c r="AJ11" s="73">
        <f t="shared" si="14"/>
        <v>194.0823637</v>
      </c>
      <c r="AK11" s="11"/>
      <c r="AL11" s="51">
        <f t="shared" si="15"/>
        <v>14977.69969</v>
      </c>
    </row>
    <row r="12" ht="15.0" customHeight="1">
      <c r="A12" s="92" t="s">
        <v>483</v>
      </c>
      <c r="B12" s="56">
        <v>45698.0</v>
      </c>
      <c r="C12" s="56">
        <v>45755.0</v>
      </c>
      <c r="D12" s="57" t="s">
        <v>61</v>
      </c>
      <c r="E12" s="57">
        <f t="array" ref="E12">XLOOKUP(D12,RUC!$B$3:$B$110,RUC!$D$3:$D$110)</f>
        <v>20606526599</v>
      </c>
      <c r="G12" s="3">
        <v>147.0</v>
      </c>
      <c r="H12" s="57" t="s">
        <v>47</v>
      </c>
      <c r="I12" s="58">
        <v>11.17</v>
      </c>
      <c r="J12" s="58">
        <v>1.3</v>
      </c>
      <c r="K12" s="59">
        <f t="shared" si="2"/>
        <v>11.02479</v>
      </c>
      <c r="L12" s="60">
        <v>0.126</v>
      </c>
      <c r="M12" s="60">
        <v>0.11</v>
      </c>
      <c r="N12" s="62">
        <v>0.11</v>
      </c>
      <c r="O12" s="60">
        <f t="shared" si="3"/>
        <v>0.11</v>
      </c>
      <c r="P12" s="63">
        <v>85.0</v>
      </c>
      <c r="Q12" s="58">
        <v>90.0</v>
      </c>
      <c r="R12" s="65">
        <v>3015.4</v>
      </c>
      <c r="S12" s="76">
        <f t="shared" si="16"/>
        <v>95</v>
      </c>
      <c r="U12" s="67">
        <v>100.0</v>
      </c>
      <c r="V12" s="67">
        <v>1.1023</v>
      </c>
      <c r="Z12" s="69">
        <f t="shared" si="5"/>
        <v>30</v>
      </c>
      <c r="AA12" s="70">
        <f t="shared" si="6"/>
        <v>30</v>
      </c>
      <c r="AB12" s="71">
        <f t="shared" si="7"/>
        <v>162.6883468</v>
      </c>
      <c r="AC12" s="71">
        <f>+(S12-T12)*V12-'data 1'!$F$4</f>
        <v>24.7185</v>
      </c>
      <c r="AD12" s="71">
        <f t="shared" si="8"/>
        <v>20.24596615</v>
      </c>
      <c r="AE12" s="71">
        <f t="shared" si="9"/>
        <v>-36.931</v>
      </c>
      <c r="AF12" s="71">
        <f t="shared" si="10"/>
        <v>46.27649405</v>
      </c>
      <c r="AG12" s="72">
        <f t="shared" si="17"/>
        <v>124.3099602</v>
      </c>
      <c r="AH12" s="52">
        <f t="shared" si="12"/>
        <v>42.86397566</v>
      </c>
      <c r="AI12" s="73">
        <f t="shared" si="13"/>
        <v>48.07531537</v>
      </c>
      <c r="AJ12" s="73">
        <f t="shared" si="14"/>
        <v>35.34199051</v>
      </c>
      <c r="AK12" s="11"/>
      <c r="AL12" s="51">
        <f t="shared" si="15"/>
        <v>1793.604859</v>
      </c>
    </row>
    <row r="13" ht="15.0" customHeight="1">
      <c r="A13" s="92" t="s">
        <v>484</v>
      </c>
      <c r="B13" s="56">
        <v>45732.0</v>
      </c>
      <c r="C13" s="56">
        <v>45756.0</v>
      </c>
      <c r="D13" s="57" t="s">
        <v>88</v>
      </c>
      <c r="E13" s="57" t="str">
        <f t="array" ref="E13">XLOOKUP(D13,RUC!$B$3:$B$110,RUC!$D$3:$D$110)</f>
        <v>#N/A</v>
      </c>
      <c r="G13" s="3">
        <v>50.0</v>
      </c>
      <c r="H13" s="57" t="s">
        <v>47</v>
      </c>
      <c r="I13" s="58">
        <v>6.67</v>
      </c>
      <c r="J13" s="58">
        <v>1.2</v>
      </c>
      <c r="K13" s="59">
        <f t="shared" si="2"/>
        <v>6.58996</v>
      </c>
      <c r="L13" s="60">
        <v>0.538</v>
      </c>
      <c r="M13" s="60">
        <v>0.506</v>
      </c>
      <c r="N13" s="123">
        <v>0.534</v>
      </c>
      <c r="O13" s="60">
        <f t="shared" si="3"/>
        <v>0.52</v>
      </c>
      <c r="P13" s="63">
        <v>90.0</v>
      </c>
      <c r="Q13" s="58">
        <v>90.0</v>
      </c>
      <c r="R13" s="65">
        <v>3075.1</v>
      </c>
      <c r="S13" s="121">
        <v>140.0</v>
      </c>
      <c r="U13" s="87">
        <v>90.0</v>
      </c>
      <c r="V13" s="67">
        <v>1.1023</v>
      </c>
      <c r="Z13" s="77">
        <v>25.0</v>
      </c>
      <c r="AA13" s="70">
        <f t="shared" si="6"/>
        <v>25</v>
      </c>
      <c r="AB13" s="71">
        <f t="shared" si="7"/>
        <v>1358.063142</v>
      </c>
      <c r="AC13" s="71">
        <f>+(S13-T13)*V13-'data 1'!$F$4</f>
        <v>74.322</v>
      </c>
      <c r="AD13" s="71">
        <f t="shared" si="8"/>
        <v>0</v>
      </c>
      <c r="AE13" s="71">
        <f t="shared" si="9"/>
        <v>-42.4425</v>
      </c>
      <c r="AF13" s="71">
        <f t="shared" si="10"/>
        <v>53.30570683</v>
      </c>
      <c r="AG13" s="72">
        <f t="shared" ref="AG13:AG22" si="18">+IF(D13="RONALD WILLIAN GARIBAY ESCUDERO",AC13+AD13+AE13+AF13+70,AC13+AD13+AE13+AF13)+70-53</f>
        <v>102.1852068</v>
      </c>
      <c r="AH13" s="52">
        <f t="shared" si="12"/>
        <v>109.3998264</v>
      </c>
      <c r="AI13" s="73">
        <f t="shared" si="13"/>
        <v>168.0727295</v>
      </c>
      <c r="AJ13" s="73">
        <f t="shared" si="14"/>
        <v>105.7396092</v>
      </c>
      <c r="AK13" s="11"/>
      <c r="AL13" s="51">
        <f t="shared" si="15"/>
        <v>8949.581781</v>
      </c>
    </row>
    <row r="14" ht="15.0" customHeight="1">
      <c r="A14" s="92" t="s">
        <v>485</v>
      </c>
      <c r="B14" s="56">
        <v>45732.0</v>
      </c>
      <c r="C14" s="56">
        <v>45756.0</v>
      </c>
      <c r="D14" s="57" t="s">
        <v>88</v>
      </c>
      <c r="E14" s="57" t="str">
        <f t="array" ref="E14">XLOOKUP(D14,RUC!$B$3:$B$110,RUC!$D$3:$D$110)</f>
        <v>#N/A</v>
      </c>
      <c r="G14" s="3">
        <v>50.0</v>
      </c>
      <c r="H14" s="57" t="s">
        <v>47</v>
      </c>
      <c r="I14" s="58">
        <v>6.41</v>
      </c>
      <c r="J14" s="58">
        <v>1.3</v>
      </c>
      <c r="K14" s="59">
        <f t="shared" si="2"/>
        <v>6.32667</v>
      </c>
      <c r="L14" s="60">
        <v>0.426</v>
      </c>
      <c r="M14" s="60">
        <v>0.4</v>
      </c>
      <c r="N14" s="123">
        <v>0.44</v>
      </c>
      <c r="O14" s="60">
        <f t="shared" si="3"/>
        <v>0.42</v>
      </c>
      <c r="P14" s="63">
        <v>90.0</v>
      </c>
      <c r="Q14" s="58">
        <v>90.1</v>
      </c>
      <c r="R14" s="65">
        <v>3075.1</v>
      </c>
      <c r="S14" s="121">
        <v>115.0</v>
      </c>
      <c r="U14" s="87">
        <v>90.0</v>
      </c>
      <c r="V14" s="67">
        <v>1.1023</v>
      </c>
      <c r="Z14" s="77">
        <v>25.0</v>
      </c>
      <c r="AA14" s="70">
        <f t="shared" si="6"/>
        <v>25</v>
      </c>
      <c r="AB14" s="71">
        <f t="shared" si="7"/>
        <v>1089.477826</v>
      </c>
      <c r="AC14" s="71">
        <f>+(S14-T14)*V14-'data 1'!$F$4</f>
        <v>46.7645</v>
      </c>
      <c r="AD14" s="71">
        <f t="shared" si="8"/>
        <v>1.401742661</v>
      </c>
      <c r="AE14" s="71">
        <f t="shared" si="9"/>
        <v>-42.4425</v>
      </c>
      <c r="AF14" s="71">
        <f t="shared" si="10"/>
        <v>17.7883118</v>
      </c>
      <c r="AG14" s="72">
        <f t="shared" si="18"/>
        <v>40.51205446</v>
      </c>
      <c r="AH14" s="52">
        <f t="shared" si="12"/>
        <v>83.25659428</v>
      </c>
      <c r="AI14" s="73">
        <f t="shared" si="13"/>
        <v>133.2314818</v>
      </c>
      <c r="AJ14" s="73">
        <f t="shared" si="14"/>
        <v>81.99286301</v>
      </c>
      <c r="AK14" s="11"/>
      <c r="AL14" s="51">
        <f t="shared" si="15"/>
        <v>6892.766677</v>
      </c>
    </row>
    <row r="15" ht="15.0" customHeight="1">
      <c r="A15" s="92" t="s">
        <v>486</v>
      </c>
      <c r="B15" s="56">
        <v>45732.0</v>
      </c>
      <c r="C15" s="56">
        <v>45756.0</v>
      </c>
      <c r="D15" s="57" t="s">
        <v>88</v>
      </c>
      <c r="E15" s="57" t="str">
        <f t="array" ref="E15">XLOOKUP(D15,RUC!$B$3:$B$110,RUC!$D$3:$D$110)</f>
        <v>#N/A</v>
      </c>
      <c r="G15" s="3">
        <v>50.0</v>
      </c>
      <c r="H15" s="57" t="s">
        <v>47</v>
      </c>
      <c r="I15" s="58">
        <v>6.25</v>
      </c>
      <c r="J15" s="58">
        <v>1.1</v>
      </c>
      <c r="K15" s="59">
        <f t="shared" si="2"/>
        <v>6.18125</v>
      </c>
      <c r="L15" s="60">
        <v>0.592</v>
      </c>
      <c r="M15" s="60">
        <v>0.556</v>
      </c>
      <c r="N15" s="120">
        <v>0.444</v>
      </c>
      <c r="O15" s="60">
        <f t="shared" si="3"/>
        <v>0.5</v>
      </c>
      <c r="P15" s="63">
        <v>90.0</v>
      </c>
      <c r="Q15" s="58">
        <v>90.0</v>
      </c>
      <c r="R15" s="65">
        <v>3075.1</v>
      </c>
      <c r="S15" s="121">
        <v>140.0</v>
      </c>
      <c r="U15" s="87">
        <v>90.0</v>
      </c>
      <c r="V15" s="67">
        <v>1.1023</v>
      </c>
      <c r="Z15" s="77">
        <v>25.0</v>
      </c>
      <c r="AA15" s="70">
        <f t="shared" si="6"/>
        <v>25</v>
      </c>
      <c r="AB15" s="71">
        <f t="shared" si="7"/>
        <v>1298.834579</v>
      </c>
      <c r="AC15" s="71">
        <f>+(S15-T15)*V15-'data 1'!$F$4</f>
        <v>74.322</v>
      </c>
      <c r="AD15" s="71">
        <f t="shared" si="8"/>
        <v>0</v>
      </c>
      <c r="AE15" s="71">
        <f t="shared" si="9"/>
        <v>-42.4425</v>
      </c>
      <c r="AF15" s="71">
        <f t="shared" si="10"/>
        <v>272.4513904</v>
      </c>
      <c r="AG15" s="72">
        <f t="shared" si="18"/>
        <v>321.3308904</v>
      </c>
      <c r="AH15" s="52">
        <f t="shared" si="12"/>
        <v>112.9144684</v>
      </c>
      <c r="AI15" s="73">
        <f t="shared" si="13"/>
        <v>184.9424831</v>
      </c>
      <c r="AJ15" s="73">
        <f t="shared" si="14"/>
        <v>95.3669497</v>
      </c>
      <c r="AK15" s="11"/>
      <c r="AL15" s="51">
        <f t="shared" si="15"/>
        <v>8028.421238</v>
      </c>
    </row>
    <row r="16" ht="15.0" customHeight="1">
      <c r="A16" s="92" t="s">
        <v>487</v>
      </c>
      <c r="B16" s="56">
        <v>45732.0</v>
      </c>
      <c r="C16" s="56">
        <v>45756.0</v>
      </c>
      <c r="D16" s="57" t="s">
        <v>88</v>
      </c>
      <c r="E16" s="57" t="str">
        <f t="array" ref="E16">XLOOKUP(D16,RUC!$B$3:$B$110,RUC!$D$3:$D$110)</f>
        <v>#N/A</v>
      </c>
      <c r="G16" s="3">
        <v>50.0</v>
      </c>
      <c r="H16" s="57" t="s">
        <v>47</v>
      </c>
      <c r="I16" s="58">
        <v>5.44</v>
      </c>
      <c r="J16" s="58">
        <v>1.3</v>
      </c>
      <c r="K16" s="59">
        <f t="shared" si="2"/>
        <v>5.36928</v>
      </c>
      <c r="L16" s="60">
        <v>0.168</v>
      </c>
      <c r="M16" s="60">
        <v>0.153</v>
      </c>
      <c r="N16" s="123">
        <v>0.189</v>
      </c>
      <c r="O16" s="60">
        <f t="shared" si="3"/>
        <v>0.171</v>
      </c>
      <c r="P16" s="63">
        <v>85.0</v>
      </c>
      <c r="Q16" s="58">
        <v>90.1</v>
      </c>
      <c r="R16" s="65">
        <v>3075.1</v>
      </c>
      <c r="S16" s="121">
        <v>105.0</v>
      </c>
      <c r="U16" s="87">
        <v>90.0</v>
      </c>
      <c r="V16" s="67">
        <v>1.1023</v>
      </c>
      <c r="Z16" s="77">
        <v>25.0</v>
      </c>
      <c r="AA16" s="70">
        <f t="shared" si="6"/>
        <v>25</v>
      </c>
      <c r="AB16" s="71">
        <f t="shared" si="7"/>
        <v>334.9716474</v>
      </c>
      <c r="AC16" s="71">
        <f>+(S16-T16)*V16-'data 1'!$F$4</f>
        <v>35.7415</v>
      </c>
      <c r="AD16" s="71">
        <f t="shared" si="8"/>
        <v>28.19279605</v>
      </c>
      <c r="AE16" s="71">
        <f t="shared" si="9"/>
        <v>-42.4425</v>
      </c>
      <c r="AF16" s="71">
        <f t="shared" si="10"/>
        <v>-8.894155898</v>
      </c>
      <c r="AG16" s="72">
        <f t="shared" si="18"/>
        <v>29.59764016</v>
      </c>
      <c r="AH16" s="52">
        <f t="shared" si="12"/>
        <v>27.86500943</v>
      </c>
      <c r="AI16" s="73">
        <f t="shared" si="13"/>
        <v>52.54199282</v>
      </c>
      <c r="AJ16" s="73">
        <f t="shared" si="14"/>
        <v>26.75716876</v>
      </c>
      <c r="AK16" s="11"/>
      <c r="AL16" s="51">
        <f t="shared" si="15"/>
        <v>1798.556567</v>
      </c>
    </row>
    <row r="17" ht="15.0" customHeight="1">
      <c r="A17" s="92" t="s">
        <v>488</v>
      </c>
      <c r="B17" s="56">
        <v>45763.0</v>
      </c>
      <c r="C17" s="56">
        <v>45756.0</v>
      </c>
      <c r="D17" s="57" t="s">
        <v>177</v>
      </c>
      <c r="E17" s="57">
        <f t="array" ref="E17">XLOOKUP(D17,RUC!$B$3:$B$110,RUC!$D$3:$D$110)</f>
        <v>10306762465</v>
      </c>
      <c r="G17" s="3">
        <v>80.0</v>
      </c>
      <c r="H17" s="57" t="s">
        <v>47</v>
      </c>
      <c r="I17" s="58">
        <v>8.26</v>
      </c>
      <c r="J17" s="58">
        <v>1.1</v>
      </c>
      <c r="K17" s="59">
        <f t="shared" si="2"/>
        <v>8.16914</v>
      </c>
      <c r="L17" s="60">
        <v>0.177</v>
      </c>
      <c r="M17" s="60">
        <v>0.161</v>
      </c>
      <c r="N17" s="62">
        <v>0.161</v>
      </c>
      <c r="O17" s="60">
        <f t="shared" si="3"/>
        <v>0.161</v>
      </c>
      <c r="P17" s="63">
        <v>90.0</v>
      </c>
      <c r="Q17" s="58">
        <v>90.0</v>
      </c>
      <c r="R17" s="65">
        <v>3075.1</v>
      </c>
      <c r="S17" s="66">
        <f t="shared" ref="S17:S22" si="19">IF((90+ROUNDDOWN(O17,1)*100)&lt;95,95,(90+ROUNDDOWN(O17,1)*100))</f>
        <v>100</v>
      </c>
      <c r="U17" s="67">
        <v>120.0</v>
      </c>
      <c r="V17" s="67">
        <v>1.1023</v>
      </c>
      <c r="Y17" s="57">
        <v>20.0</v>
      </c>
      <c r="Z17" s="69">
        <f t="shared" ref="Z17:Z22" si="20">IF(IF(D17="UNTUCA",IF(+((W17-3)*1.5+(X17-3)*3.1)&gt;0,+((W17-3)*1.5+(X17-3)*3.1),0),IF(+((W17-3)*1.5+(X17-3)*3.1)&gt;0,+((W17-3)*1.5+(X17-3)*3.1),0))&lt;30,30,IF(D17="UNTUCA",IF(+((W17-3)*1.5+(X17-3)*3.1)&gt;0,+((W17-3)*1.5+(X17-3)*3.1),0),IF(+((W17-3)*1.5+(X17-3)*3.1)&gt;0,+((W17-3)*1.5+(X17-3)*3.1),0)))</f>
        <v>30</v>
      </c>
      <c r="AA17" s="70">
        <f t="shared" si="6"/>
        <v>50</v>
      </c>
      <c r="AB17" s="71">
        <f t="shared" si="7"/>
        <v>306.6532352</v>
      </c>
      <c r="AC17" s="71">
        <f>+(S17-T17)*V17-'data 1'!$F$4</f>
        <v>30.23</v>
      </c>
      <c r="AD17" s="71">
        <f t="shared" si="8"/>
        <v>0</v>
      </c>
      <c r="AE17" s="71">
        <f t="shared" si="9"/>
        <v>-14.885</v>
      </c>
      <c r="AF17" s="71">
        <f t="shared" si="10"/>
        <v>46.90665691</v>
      </c>
      <c r="AG17" s="72">
        <f t="shared" si="18"/>
        <v>79.25165691</v>
      </c>
      <c r="AH17" s="52">
        <f t="shared" si="12"/>
        <v>44.6170841</v>
      </c>
      <c r="AI17" s="73">
        <f t="shared" si="13"/>
        <v>60.56319491</v>
      </c>
      <c r="AJ17" s="73">
        <f t="shared" si="14"/>
        <v>40.58390135</v>
      </c>
      <c r="AK17" s="11"/>
      <c r="AL17" s="51">
        <f t="shared" si="15"/>
        <v>2505.09321</v>
      </c>
    </row>
    <row r="18" ht="15.0" customHeight="1">
      <c r="A18" s="92" t="s">
        <v>489</v>
      </c>
      <c r="B18" s="56">
        <v>45761.0</v>
      </c>
      <c r="C18" s="56">
        <v>45756.0</v>
      </c>
      <c r="D18" s="57" t="s">
        <v>295</v>
      </c>
      <c r="E18" s="57">
        <f t="array" ref="E18">XLOOKUP(D18,RUC!$B$3:$B$110,RUC!$D$3:$D$110)</f>
        <v>20601769396</v>
      </c>
      <c r="G18" s="3">
        <v>40.0</v>
      </c>
      <c r="H18" s="57" t="s">
        <v>47</v>
      </c>
      <c r="I18" s="58">
        <v>2.5</v>
      </c>
      <c r="J18" s="58">
        <v>13.5</v>
      </c>
      <c r="K18" s="59">
        <f t="shared" si="2"/>
        <v>2.1625</v>
      </c>
      <c r="L18" s="60">
        <v>0.118</v>
      </c>
      <c r="M18" s="60">
        <v>0.103</v>
      </c>
      <c r="N18" s="62">
        <v>0.103</v>
      </c>
      <c r="O18" s="60">
        <f t="shared" si="3"/>
        <v>0.103</v>
      </c>
      <c r="P18" s="63">
        <v>85.0</v>
      </c>
      <c r="Q18" s="58">
        <v>89.9</v>
      </c>
      <c r="R18" s="65">
        <v>3075.1</v>
      </c>
      <c r="S18" s="66">
        <f t="shared" si="19"/>
        <v>100</v>
      </c>
      <c r="U18" s="67">
        <v>120.0</v>
      </c>
      <c r="V18" s="67">
        <v>1.1023</v>
      </c>
      <c r="Y18" s="57">
        <v>20.0</v>
      </c>
      <c r="Z18" s="69">
        <f t="shared" si="20"/>
        <v>30</v>
      </c>
      <c r="AA18" s="70">
        <f t="shared" si="6"/>
        <v>50</v>
      </c>
      <c r="AB18" s="71">
        <f t="shared" si="7"/>
        <v>119.8409592</v>
      </c>
      <c r="AC18" s="71">
        <f>+(S18-T18)*V18-'data 1'!$F$4</f>
        <v>30.23</v>
      </c>
      <c r="AD18" s="71">
        <f t="shared" si="8"/>
        <v>18.83432571</v>
      </c>
      <c r="AE18" s="71">
        <f t="shared" si="9"/>
        <v>-14.885</v>
      </c>
      <c r="AF18" s="71">
        <f t="shared" si="10"/>
        <v>43.92612975</v>
      </c>
      <c r="AG18" s="72">
        <f t="shared" si="18"/>
        <v>95.10545547</v>
      </c>
      <c r="AH18" s="52">
        <f t="shared" si="12"/>
        <v>7.865147732</v>
      </c>
      <c r="AI18" s="73">
        <f t="shared" si="13"/>
        <v>40.33060165</v>
      </c>
      <c r="AJ18" s="73">
        <f t="shared" si="14"/>
        <v>6.491145378</v>
      </c>
      <c r="AK18" s="11"/>
      <c r="AL18" s="51">
        <f t="shared" si="15"/>
        <v>259.1560743</v>
      </c>
    </row>
    <row r="19" ht="15.0" customHeight="1">
      <c r="A19" s="92" t="s">
        <v>490</v>
      </c>
      <c r="B19" s="56">
        <v>45761.0</v>
      </c>
      <c r="C19" s="56">
        <v>45756.0</v>
      </c>
      <c r="D19" s="57" t="s">
        <v>295</v>
      </c>
      <c r="E19" s="57">
        <f t="array" ref="E19">XLOOKUP(D19,RUC!$B$3:$B$110,RUC!$D$3:$D$110)</f>
        <v>20601769396</v>
      </c>
      <c r="G19" s="3">
        <v>40.0</v>
      </c>
      <c r="H19" s="57" t="s">
        <v>47</v>
      </c>
      <c r="I19" s="58">
        <v>2.36</v>
      </c>
      <c r="J19" s="58">
        <v>17.0</v>
      </c>
      <c r="K19" s="59">
        <f t="shared" si="2"/>
        <v>1.9588</v>
      </c>
      <c r="L19" s="60">
        <v>0.209</v>
      </c>
      <c r="M19" s="60">
        <v>0.194</v>
      </c>
      <c r="N19" s="62">
        <v>0.194</v>
      </c>
      <c r="O19" s="60">
        <f t="shared" si="3"/>
        <v>0.194</v>
      </c>
      <c r="P19" s="63">
        <v>90.0</v>
      </c>
      <c r="Q19" s="58">
        <v>89.9</v>
      </c>
      <c r="R19" s="65">
        <v>3075.1</v>
      </c>
      <c r="S19" s="66">
        <f t="shared" si="19"/>
        <v>100</v>
      </c>
      <c r="U19" s="67">
        <v>120.0</v>
      </c>
      <c r="V19" s="67">
        <v>1.1023</v>
      </c>
      <c r="Y19" s="57">
        <v>20.0</v>
      </c>
      <c r="Z19" s="69">
        <f t="shared" si="20"/>
        <v>30</v>
      </c>
      <c r="AA19" s="70">
        <f t="shared" si="6"/>
        <v>50</v>
      </c>
      <c r="AB19" s="71">
        <f t="shared" si="7"/>
        <v>403.3982151</v>
      </c>
      <c r="AC19" s="71">
        <f>+(S19-T19)*V19-'data 1'!$F$4</f>
        <v>30.23</v>
      </c>
      <c r="AD19" s="71">
        <f t="shared" si="8"/>
        <v>-0.6807980066</v>
      </c>
      <c r="AE19" s="71">
        <f t="shared" si="9"/>
        <v>-14.885</v>
      </c>
      <c r="AF19" s="71">
        <f t="shared" si="10"/>
        <v>43.92612975</v>
      </c>
      <c r="AG19" s="72">
        <f t="shared" si="18"/>
        <v>75.59033175</v>
      </c>
      <c r="AH19" s="52">
        <f t="shared" si="12"/>
        <v>12.61842476</v>
      </c>
      <c r="AI19" s="73">
        <f t="shared" si="13"/>
        <v>71.43301478</v>
      </c>
      <c r="AJ19" s="73">
        <f t="shared" si="14"/>
        <v>11.72582488</v>
      </c>
      <c r="AK19" s="11"/>
      <c r="AL19" s="51">
        <f t="shared" si="15"/>
        <v>790.1764237</v>
      </c>
    </row>
    <row r="20" ht="15.0" customHeight="1">
      <c r="A20" s="92" t="s">
        <v>491</v>
      </c>
      <c r="B20" s="56">
        <v>45761.0</v>
      </c>
      <c r="C20" s="56">
        <v>45756.0</v>
      </c>
      <c r="D20" s="57" t="s">
        <v>295</v>
      </c>
      <c r="E20" s="57">
        <f t="array" ref="E20">XLOOKUP(D20,RUC!$B$3:$B$110,RUC!$D$3:$D$110)</f>
        <v>20601769396</v>
      </c>
      <c r="G20" s="3">
        <v>40.0</v>
      </c>
      <c r="H20" s="57" t="s">
        <v>47</v>
      </c>
      <c r="I20" s="58">
        <v>2.32</v>
      </c>
      <c r="J20" s="58">
        <v>17.5</v>
      </c>
      <c r="K20" s="59">
        <f t="shared" si="2"/>
        <v>1.914</v>
      </c>
      <c r="L20" s="60">
        <v>0.291</v>
      </c>
      <c r="M20" s="60">
        <v>0.274</v>
      </c>
      <c r="N20" s="62">
        <v>0.274</v>
      </c>
      <c r="O20" s="60">
        <f t="shared" si="3"/>
        <v>0.274</v>
      </c>
      <c r="P20" s="63">
        <v>90.0</v>
      </c>
      <c r="Q20" s="58">
        <v>89.9</v>
      </c>
      <c r="R20" s="65">
        <v>3075.1</v>
      </c>
      <c r="S20" s="66">
        <f t="shared" si="19"/>
        <v>110</v>
      </c>
      <c r="U20" s="67">
        <v>120.0</v>
      </c>
      <c r="V20" s="67">
        <v>1.1023</v>
      </c>
      <c r="Y20" s="57">
        <v>20.0</v>
      </c>
      <c r="Z20" s="69">
        <f t="shared" si="20"/>
        <v>30</v>
      </c>
      <c r="AA20" s="70">
        <f t="shared" si="6"/>
        <v>50</v>
      </c>
      <c r="AB20" s="71">
        <f t="shared" si="7"/>
        <v>626.9084996</v>
      </c>
      <c r="AC20" s="71">
        <f>+(S20-T20)*V20-'data 1'!$F$4</f>
        <v>41.253</v>
      </c>
      <c r="AD20" s="71">
        <f t="shared" si="8"/>
        <v>-0.9479053584</v>
      </c>
      <c r="AE20" s="71">
        <f t="shared" si="9"/>
        <v>-14.885</v>
      </c>
      <c r="AF20" s="71">
        <f t="shared" si="10"/>
        <v>49.78294705</v>
      </c>
      <c r="AG20" s="72">
        <f t="shared" si="18"/>
        <v>92.2030417</v>
      </c>
      <c r="AH20" s="52">
        <f t="shared" si="12"/>
        <v>17.16736668</v>
      </c>
      <c r="AI20" s="73">
        <f t="shared" si="13"/>
        <v>99.45936508</v>
      </c>
      <c r="AJ20" s="73">
        <f t="shared" si="14"/>
        <v>16.18244259</v>
      </c>
      <c r="AK20" s="11"/>
      <c r="AL20" s="51">
        <f t="shared" si="15"/>
        <v>1199.902868</v>
      </c>
    </row>
    <row r="21" ht="15.0" customHeight="1">
      <c r="A21" s="92" t="s">
        <v>492</v>
      </c>
      <c r="B21" s="56">
        <v>45761.0</v>
      </c>
      <c r="C21" s="56">
        <v>45756.0</v>
      </c>
      <c r="D21" s="57" t="s">
        <v>295</v>
      </c>
      <c r="E21" s="57">
        <f t="array" ref="E21">XLOOKUP(D21,RUC!$B$3:$B$110,RUC!$D$3:$D$110)</f>
        <v>20601769396</v>
      </c>
      <c r="G21" s="3">
        <v>40.0</v>
      </c>
      <c r="H21" s="57" t="s">
        <v>47</v>
      </c>
      <c r="I21" s="58">
        <v>2.27</v>
      </c>
      <c r="J21" s="58">
        <v>13.15</v>
      </c>
      <c r="K21" s="59">
        <f t="shared" si="2"/>
        <v>1.971495</v>
      </c>
      <c r="L21" s="60">
        <v>0.31</v>
      </c>
      <c r="M21" s="60">
        <v>0.291</v>
      </c>
      <c r="N21" s="62">
        <v>0.291</v>
      </c>
      <c r="O21" s="60">
        <f t="shared" si="3"/>
        <v>0.291</v>
      </c>
      <c r="P21" s="63">
        <v>90.0</v>
      </c>
      <c r="Q21" s="58">
        <v>89.9</v>
      </c>
      <c r="R21" s="65">
        <v>3075.1</v>
      </c>
      <c r="S21" s="66">
        <f t="shared" si="19"/>
        <v>110</v>
      </c>
      <c r="U21" s="67">
        <v>120.0</v>
      </c>
      <c r="V21" s="67">
        <v>1.1023</v>
      </c>
      <c r="Y21" s="57">
        <v>20.0</v>
      </c>
      <c r="Z21" s="69">
        <f t="shared" si="20"/>
        <v>30</v>
      </c>
      <c r="AA21" s="70">
        <f t="shared" si="6"/>
        <v>50</v>
      </c>
      <c r="AB21" s="71">
        <f t="shared" si="7"/>
        <v>676.7468226</v>
      </c>
      <c r="AC21" s="71">
        <f>+(S21-T21)*V21-'data 1'!$F$4</f>
        <v>41.253</v>
      </c>
      <c r="AD21" s="71">
        <f t="shared" si="8"/>
        <v>-1.009796086</v>
      </c>
      <c r="AE21" s="71">
        <f t="shared" si="9"/>
        <v>-14.885</v>
      </c>
      <c r="AF21" s="71">
        <f t="shared" si="10"/>
        <v>55.63976436</v>
      </c>
      <c r="AG21" s="72">
        <f t="shared" si="18"/>
        <v>97.99796827</v>
      </c>
      <c r="AH21" s="52">
        <f t="shared" si="12"/>
        <v>18.83762446</v>
      </c>
      <c r="AI21" s="73">
        <f t="shared" si="13"/>
        <v>105.9532755</v>
      </c>
      <c r="AJ21" s="73">
        <f t="shared" si="14"/>
        <v>17.70273008</v>
      </c>
      <c r="AK21" s="11"/>
      <c r="AL21" s="51">
        <f t="shared" si="15"/>
        <v>1334.202977</v>
      </c>
    </row>
    <row r="22" ht="15.0" customHeight="1">
      <c r="A22" s="92" t="s">
        <v>493</v>
      </c>
      <c r="B22" s="56">
        <v>45761.0</v>
      </c>
      <c r="C22" s="56">
        <v>45756.0</v>
      </c>
      <c r="D22" s="57" t="s">
        <v>295</v>
      </c>
      <c r="E22" s="57">
        <f t="array" ref="E22">XLOOKUP(D22,RUC!$B$3:$B$110,RUC!$D$3:$D$110)</f>
        <v>20601769396</v>
      </c>
      <c r="G22" s="3">
        <v>40.0</v>
      </c>
      <c r="H22" s="57" t="s">
        <v>47</v>
      </c>
      <c r="I22" s="58">
        <v>2.76</v>
      </c>
      <c r="J22" s="58">
        <v>16.0</v>
      </c>
      <c r="K22" s="59">
        <f t="shared" si="2"/>
        <v>2.3184</v>
      </c>
      <c r="L22" s="60">
        <v>0.202</v>
      </c>
      <c r="M22" s="60">
        <v>0.186</v>
      </c>
      <c r="N22" s="62">
        <v>0.186</v>
      </c>
      <c r="O22" s="60">
        <f t="shared" si="3"/>
        <v>0.186</v>
      </c>
      <c r="P22" s="63">
        <v>90.0</v>
      </c>
      <c r="Q22" s="58">
        <v>89.9</v>
      </c>
      <c r="R22" s="65">
        <v>3075.1</v>
      </c>
      <c r="S22" s="66">
        <f t="shared" si="19"/>
        <v>100</v>
      </c>
      <c r="U22" s="67">
        <v>120.0</v>
      </c>
      <c r="V22" s="67">
        <v>1.1023</v>
      </c>
      <c r="Y22" s="57">
        <v>20.0</v>
      </c>
      <c r="Z22" s="69">
        <f t="shared" si="20"/>
        <v>30</v>
      </c>
      <c r="AA22" s="70">
        <f t="shared" si="6"/>
        <v>50</v>
      </c>
      <c r="AB22" s="71">
        <f t="shared" si="7"/>
        <v>379.9448866</v>
      </c>
      <c r="AC22" s="71">
        <f>+(S22-T22)*V22-'data 1'!$F$4</f>
        <v>30.23</v>
      </c>
      <c r="AD22" s="71">
        <f t="shared" si="8"/>
        <v>-0.6579961595</v>
      </c>
      <c r="AE22" s="71">
        <f t="shared" si="9"/>
        <v>-14.885</v>
      </c>
      <c r="AF22" s="71">
        <f t="shared" si="10"/>
        <v>46.8545384</v>
      </c>
      <c r="AG22" s="72">
        <f t="shared" si="18"/>
        <v>78.54154224</v>
      </c>
      <c r="AH22" s="52">
        <f t="shared" si="12"/>
        <v>14.43472447</v>
      </c>
      <c r="AI22" s="73">
        <f t="shared" si="13"/>
        <v>69.04052147</v>
      </c>
      <c r="AJ22" s="73">
        <f t="shared" si="14"/>
        <v>13.30616459</v>
      </c>
      <c r="AK22" s="11"/>
      <c r="AL22" s="51">
        <f t="shared" si="15"/>
        <v>880.8642251</v>
      </c>
    </row>
    <row r="23" ht="15.0" customHeight="1">
      <c r="A23" s="92" t="s">
        <v>494</v>
      </c>
      <c r="B23" s="56">
        <v>45763.0</v>
      </c>
      <c r="C23" s="56">
        <v>45757.0</v>
      </c>
      <c r="D23" s="57" t="s">
        <v>45</v>
      </c>
      <c r="E23" s="57">
        <f t="array" ref="E23">XLOOKUP(D23,RUC!$B$3:$B$110,RUC!$D$3:$D$110)</f>
        <v>10416085884</v>
      </c>
      <c r="G23" s="3" t="s">
        <v>46</v>
      </c>
      <c r="H23" s="57" t="s">
        <v>47</v>
      </c>
      <c r="I23" s="57">
        <v>35.06</v>
      </c>
      <c r="J23" s="58">
        <v>13.95</v>
      </c>
      <c r="K23" s="59">
        <f t="shared" si="2"/>
        <v>30.16913</v>
      </c>
      <c r="L23" s="60">
        <v>0.157</v>
      </c>
      <c r="M23" s="60">
        <v>0.141</v>
      </c>
      <c r="N23" s="62">
        <v>0.159</v>
      </c>
      <c r="O23" s="60">
        <f t="shared" si="3"/>
        <v>0.15</v>
      </c>
      <c r="P23" s="63">
        <v>90.0</v>
      </c>
      <c r="Q23" s="58">
        <v>90.0</v>
      </c>
      <c r="R23" s="65">
        <v>3143.15</v>
      </c>
      <c r="S23" s="76">
        <v>85.0</v>
      </c>
      <c r="U23" s="67">
        <v>90.0</v>
      </c>
      <c r="V23" s="67">
        <v>1.1023</v>
      </c>
      <c r="Z23" s="69">
        <v>15.0</v>
      </c>
      <c r="AA23" s="70">
        <f t="shared" si="6"/>
        <v>15</v>
      </c>
      <c r="AB23" s="71">
        <f t="shared" si="7"/>
        <v>344.1107781</v>
      </c>
      <c r="AC23" s="71">
        <f>+(S23-T23)*V23-'data 1'!$F$4</f>
        <v>13.6955</v>
      </c>
      <c r="AD23" s="71">
        <f t="shared" si="8"/>
        <v>0</v>
      </c>
      <c r="AE23" s="71">
        <f t="shared" si="9"/>
        <v>-53.4655</v>
      </c>
      <c r="AF23" s="71">
        <f t="shared" si="10"/>
        <v>21.20256964</v>
      </c>
      <c r="AG23" s="72">
        <f t="shared" ref="AG23:AG24" si="21">+IF(D23="RONALD WILLIAN GARIBAY ESCUDERO",AC23+AD23+AE23+AF23+70,AC23+AD23+AE23+AF23)+70</f>
        <v>51.43256964</v>
      </c>
      <c r="AH23" s="52">
        <f t="shared" si="12"/>
        <v>146.1551145</v>
      </c>
      <c r="AI23" s="73">
        <f t="shared" si="13"/>
        <v>38.44811928</v>
      </c>
      <c r="AJ23" s="73">
        <f t="shared" si="14"/>
        <v>139.6386444</v>
      </c>
      <c r="AK23" s="11"/>
      <c r="AL23" s="51">
        <f t="shared" si="15"/>
        <v>10381.5228</v>
      </c>
    </row>
    <row r="24" ht="15.0" customHeight="1">
      <c r="A24" s="92" t="s">
        <v>495</v>
      </c>
      <c r="B24" s="56">
        <v>45763.0</v>
      </c>
      <c r="C24" s="56">
        <v>45757.0</v>
      </c>
      <c r="D24" s="57" t="s">
        <v>45</v>
      </c>
      <c r="E24" s="57">
        <f t="array" ref="E24">XLOOKUP(D24,RUC!$B$3:$B$110,RUC!$D$3:$D$110)</f>
        <v>10416085884</v>
      </c>
      <c r="G24" s="3" t="s">
        <v>46</v>
      </c>
      <c r="H24" s="57" t="s">
        <v>47</v>
      </c>
      <c r="I24" s="57">
        <v>30.29</v>
      </c>
      <c r="J24" s="58">
        <v>14.2</v>
      </c>
      <c r="K24" s="59">
        <f t="shared" si="2"/>
        <v>25.98882</v>
      </c>
      <c r="L24" s="60">
        <v>0.155</v>
      </c>
      <c r="M24" s="60">
        <v>0.14</v>
      </c>
      <c r="N24" s="62">
        <v>0.173</v>
      </c>
      <c r="O24" s="60">
        <f t="shared" si="3"/>
        <v>0.157</v>
      </c>
      <c r="P24" s="63">
        <v>90.0</v>
      </c>
      <c r="Q24" s="58">
        <v>90.0</v>
      </c>
      <c r="R24" s="65">
        <v>3143.15</v>
      </c>
      <c r="S24" s="76">
        <v>85.0</v>
      </c>
      <c r="U24" s="67">
        <v>90.0</v>
      </c>
      <c r="V24" s="67">
        <v>1.1023</v>
      </c>
      <c r="Z24" s="69">
        <v>15.0</v>
      </c>
      <c r="AA24" s="70">
        <f t="shared" si="6"/>
        <v>15</v>
      </c>
      <c r="AB24" s="71">
        <f t="shared" si="7"/>
        <v>365.3133477</v>
      </c>
      <c r="AC24" s="71">
        <f>+(S24-T24)*V24-'data 1'!$F$4</f>
        <v>13.6955</v>
      </c>
      <c r="AD24" s="71">
        <f t="shared" si="8"/>
        <v>0</v>
      </c>
      <c r="AE24" s="71">
        <f t="shared" si="9"/>
        <v>-53.4655</v>
      </c>
      <c r="AF24" s="71">
        <f t="shared" si="10"/>
        <v>-6.057877041</v>
      </c>
      <c r="AG24" s="72">
        <f t="shared" si="21"/>
        <v>24.17212296</v>
      </c>
      <c r="AH24" s="52">
        <f t="shared" si="12"/>
        <v>124.2996306</v>
      </c>
      <c r="AI24" s="73">
        <f t="shared" si="13"/>
        <v>37.95833432</v>
      </c>
      <c r="AJ24" s="73">
        <f t="shared" si="14"/>
        <v>125.9034968</v>
      </c>
      <c r="AK24" s="11"/>
      <c r="AL24" s="51">
        <f t="shared" si="15"/>
        <v>9494.062837</v>
      </c>
    </row>
    <row r="25" ht="15.0" customHeight="1">
      <c r="A25" s="92" t="s">
        <v>496</v>
      </c>
      <c r="B25" s="81"/>
      <c r="C25" s="56">
        <v>45758.0</v>
      </c>
      <c r="D25" s="57" t="s">
        <v>306</v>
      </c>
      <c r="E25" s="57">
        <f t="array" ref="E25">XLOOKUP(D25,RUC!$B$3:$B$110,RUC!$D$3:$D$110)</f>
        <v>20612921866</v>
      </c>
      <c r="G25" s="3">
        <v>14.0</v>
      </c>
      <c r="H25" s="57" t="s">
        <v>47</v>
      </c>
      <c r="I25" s="57">
        <v>1.06</v>
      </c>
      <c r="J25" s="58">
        <v>1.2</v>
      </c>
      <c r="K25" s="59">
        <f t="shared" si="2"/>
        <v>1.04728</v>
      </c>
      <c r="L25" s="60">
        <v>0.061</v>
      </c>
      <c r="M25" s="60">
        <v>0.046</v>
      </c>
      <c r="N25" s="62">
        <v>0.046</v>
      </c>
      <c r="O25" s="60">
        <f t="shared" si="3"/>
        <v>0.046</v>
      </c>
      <c r="P25" s="63">
        <v>90.0</v>
      </c>
      <c r="Q25" s="58">
        <v>90.0</v>
      </c>
      <c r="R25" s="65">
        <v>3230.5</v>
      </c>
      <c r="S25" s="66">
        <f t="shared" ref="S25:S27" si="22">IF((80+ROUNDDOWN(O25,1)*100)&lt;95,95,(80+ROUNDDOWN(O25,1)*100))</f>
        <v>95</v>
      </c>
      <c r="U25" s="67">
        <v>100.0</v>
      </c>
      <c r="V25" s="67">
        <v>1.1023</v>
      </c>
      <c r="Y25" s="57">
        <v>20.0</v>
      </c>
      <c r="Z25" s="69">
        <f>IF(IF(D25="UNTUCA",IF(+((W25-3)*1.5+(X25-3)*3.1)&gt;0,+((W25-3)*1.5+(X25-3)*3.1),0),IF(+((W25-3)*1.5+(X25-3)*3.1)&gt;0,+((W25-3)*1.5+(X25-3)*3.1),0))&lt;30,30,IF(D25="UNTUCA",IF(+((W25-3)*1.5+(X25-3)*3.1)&gt;0,+((W25-3)*1.5+(X25-3)*3.1),0),IF(+((W25-3)*1.5+(X25-3)*3.1)&gt;0,+((W25-3)*1.5+(X25-3)*3.1),0)))</f>
        <v>30</v>
      </c>
      <c r="AA25" s="70">
        <f t="shared" si="6"/>
        <v>50</v>
      </c>
      <c r="AB25" s="71">
        <f t="shared" si="7"/>
        <v>-16.97244379</v>
      </c>
      <c r="AC25" s="71">
        <f>+(S25-T25)*V25-'data 1'!$F$4</f>
        <v>24.7185</v>
      </c>
      <c r="AD25" s="71">
        <f t="shared" si="8"/>
        <v>0</v>
      </c>
      <c r="AE25" s="71">
        <f t="shared" si="9"/>
        <v>-14.885</v>
      </c>
      <c r="AF25" s="71">
        <f t="shared" si="10"/>
        <v>46.58512703</v>
      </c>
      <c r="AG25" s="72">
        <f t="shared" ref="AG25:AG27" si="23">+IF(D25="RONALD WILLIAN GARIBAY ESCUDERO",AC25+AD25+AE25+AF25+70,AC25+AD25+AE25+AF25)+70-53</f>
        <v>73.41862703</v>
      </c>
      <c r="AH25" s="52">
        <f t="shared" si="12"/>
        <v>1.971261426</v>
      </c>
      <c r="AI25" s="73">
        <f t="shared" si="13"/>
        <v>10.25750777</v>
      </c>
      <c r="AJ25" s="73">
        <f t="shared" si="14"/>
        <v>1.48652501</v>
      </c>
      <c r="AK25" s="11"/>
      <c r="AL25" s="51">
        <f t="shared" si="15"/>
        <v>0</v>
      </c>
    </row>
    <row r="26" ht="15.0" customHeight="1">
      <c r="A26" s="92" t="s">
        <v>497</v>
      </c>
      <c r="B26" s="56">
        <v>45763.0</v>
      </c>
      <c r="C26" s="56">
        <v>45760.0</v>
      </c>
      <c r="D26" s="57" t="s">
        <v>207</v>
      </c>
      <c r="E26" s="57">
        <f t="array" ref="E26">XLOOKUP(D26,RUC!$B$3:$B$110,RUC!$D$3:$D$110)</f>
        <v>20548542422</v>
      </c>
      <c r="G26" s="3" t="s">
        <v>46</v>
      </c>
      <c r="H26" s="57" t="s">
        <v>339</v>
      </c>
      <c r="I26" s="57">
        <v>27.63</v>
      </c>
      <c r="J26" s="57">
        <v>20.5</v>
      </c>
      <c r="K26" s="59">
        <f t="shared" si="2"/>
        <v>21.96585</v>
      </c>
      <c r="L26" s="60">
        <v>0.274</v>
      </c>
      <c r="M26" s="60">
        <v>0.258</v>
      </c>
      <c r="N26" s="62">
        <v>0.258</v>
      </c>
      <c r="O26" s="60">
        <f t="shared" si="3"/>
        <v>0.258</v>
      </c>
      <c r="P26" s="63">
        <v>90.0</v>
      </c>
      <c r="Q26" s="58">
        <v>90.0</v>
      </c>
      <c r="R26" s="65">
        <v>3204.2</v>
      </c>
      <c r="S26" s="66">
        <f t="shared" si="22"/>
        <v>100</v>
      </c>
      <c r="U26" s="67">
        <v>100.0</v>
      </c>
      <c r="V26" s="67">
        <v>1.1023</v>
      </c>
      <c r="Z26" s="77">
        <v>25.0</v>
      </c>
      <c r="AA26" s="70">
        <f t="shared" si="6"/>
        <v>25</v>
      </c>
      <c r="AB26" s="71">
        <f t="shared" si="7"/>
        <v>656.7450931</v>
      </c>
      <c r="AC26" s="71">
        <f>+(S26-T26)*V26-'data 1'!$F$4</f>
        <v>30.23</v>
      </c>
      <c r="AD26" s="71">
        <f t="shared" si="8"/>
        <v>0</v>
      </c>
      <c r="AE26" s="71">
        <f t="shared" si="9"/>
        <v>-42.4425</v>
      </c>
      <c r="AF26" s="71">
        <f t="shared" si="10"/>
        <v>49.2733391</v>
      </c>
      <c r="AG26" s="72">
        <f t="shared" si="23"/>
        <v>54.0608391</v>
      </c>
      <c r="AH26" s="52">
        <f t="shared" si="12"/>
        <v>185.7163566</v>
      </c>
      <c r="AI26" s="73">
        <f t="shared" si="13"/>
        <v>53.22376184</v>
      </c>
      <c r="AJ26" s="73">
        <f t="shared" si="14"/>
        <v>174.8716059</v>
      </c>
      <c r="AK26" s="11"/>
      <c r="AL26" s="51">
        <f t="shared" si="15"/>
        <v>14425.9642</v>
      </c>
    </row>
    <row r="27" ht="15.0" customHeight="1">
      <c r="A27" s="92" t="s">
        <v>498</v>
      </c>
      <c r="B27" s="56">
        <v>45763.0</v>
      </c>
      <c r="C27" s="56">
        <v>45761.0</v>
      </c>
      <c r="D27" s="57" t="s">
        <v>207</v>
      </c>
      <c r="E27" s="57">
        <f t="array" ref="E27">XLOOKUP(D27,RUC!$B$3:$B$110,RUC!$D$3:$D$110)</f>
        <v>20548542422</v>
      </c>
      <c r="G27" s="3" t="s">
        <v>46</v>
      </c>
      <c r="H27" s="57" t="s">
        <v>339</v>
      </c>
      <c r="I27" s="57">
        <v>31.3</v>
      </c>
      <c r="J27" s="57">
        <v>24.9</v>
      </c>
      <c r="K27" s="59">
        <f t="shared" si="2"/>
        <v>23.5063</v>
      </c>
      <c r="L27" s="60">
        <v>0.389</v>
      </c>
      <c r="M27" s="60">
        <v>0.366</v>
      </c>
      <c r="N27" s="75">
        <v>0.419</v>
      </c>
      <c r="O27" s="60">
        <f t="shared" si="3"/>
        <v>0.393</v>
      </c>
      <c r="P27" s="63">
        <v>90.0</v>
      </c>
      <c r="Q27" s="58">
        <v>90.0</v>
      </c>
      <c r="R27" s="65">
        <v>3204.2</v>
      </c>
      <c r="S27" s="66">
        <f t="shared" si="22"/>
        <v>110</v>
      </c>
      <c r="U27" s="67">
        <v>100.0</v>
      </c>
      <c r="V27" s="67">
        <v>1.1023</v>
      </c>
      <c r="Z27" s="77">
        <v>25.0</v>
      </c>
      <c r="AA27" s="70">
        <f t="shared" si="6"/>
        <v>25</v>
      </c>
      <c r="AB27" s="71">
        <f t="shared" si="7"/>
        <v>1061.465892</v>
      </c>
      <c r="AC27" s="71">
        <f>+(S27-T27)*V27-'data 1'!$F$4</f>
        <v>41.253</v>
      </c>
      <c r="AD27" s="71">
        <f t="shared" si="8"/>
        <v>0</v>
      </c>
      <c r="AE27" s="71">
        <f t="shared" si="9"/>
        <v>-42.4425</v>
      </c>
      <c r="AF27" s="71">
        <f t="shared" si="10"/>
        <v>-12.31833478</v>
      </c>
      <c r="AG27" s="72">
        <f t="shared" si="23"/>
        <v>3.492165224</v>
      </c>
      <c r="AH27" s="52">
        <f t="shared" si="12"/>
        <v>282.1535083</v>
      </c>
      <c r="AI27" s="73">
        <f t="shared" si="13"/>
        <v>75.56220203</v>
      </c>
      <c r="AJ27" s="73">
        <f t="shared" si="14"/>
        <v>285.0548297</v>
      </c>
      <c r="AK27" s="11"/>
      <c r="AL27" s="51">
        <f t="shared" si="15"/>
        <v>24951.13569</v>
      </c>
    </row>
    <row r="28" ht="15.0" customHeight="1">
      <c r="A28" s="92" t="s">
        <v>499</v>
      </c>
      <c r="B28" s="56">
        <v>45768.0</v>
      </c>
      <c r="C28" s="56">
        <v>45762.0</v>
      </c>
      <c r="D28" s="57" t="s">
        <v>79</v>
      </c>
      <c r="E28" s="57">
        <f t="array" ref="E28">XLOOKUP(D28,RUC!$B$3:$B$110,RUC!$D$3:$D$110)</f>
        <v>10421580605</v>
      </c>
      <c r="G28" s="3" t="s">
        <v>46</v>
      </c>
      <c r="H28" s="57" t="s">
        <v>47</v>
      </c>
      <c r="I28" s="57">
        <v>31.26</v>
      </c>
      <c r="J28" s="57">
        <v>18.5</v>
      </c>
      <c r="K28" s="59">
        <f t="shared" si="2"/>
        <v>25.4769</v>
      </c>
      <c r="L28" s="60">
        <v>0.159</v>
      </c>
      <c r="M28" s="60">
        <v>0.143</v>
      </c>
      <c r="N28" s="75">
        <v>0.163</v>
      </c>
      <c r="O28" s="60">
        <f t="shared" si="3"/>
        <v>0.153</v>
      </c>
      <c r="P28" s="63">
        <v>90.0</v>
      </c>
      <c r="Q28" s="58">
        <v>94.34</v>
      </c>
      <c r="R28" s="65">
        <v>3219.6</v>
      </c>
      <c r="S28" s="76">
        <v>90.0</v>
      </c>
      <c r="U28" s="67">
        <v>90.0</v>
      </c>
      <c r="V28" s="67">
        <v>1.1023</v>
      </c>
      <c r="Z28" s="69">
        <v>30.0</v>
      </c>
      <c r="AA28" s="70">
        <f t="shared" si="6"/>
        <v>30</v>
      </c>
      <c r="AB28" s="71">
        <f t="shared" si="7"/>
        <v>342.7556876</v>
      </c>
      <c r="AC28" s="71">
        <f>+(S28-T28)*V28-'data 1'!$F$4</f>
        <v>19.207</v>
      </c>
      <c r="AD28" s="71">
        <f t="shared" si="8"/>
        <v>23.80540061</v>
      </c>
      <c r="AE28" s="71">
        <f t="shared" si="9"/>
        <v>-36.931</v>
      </c>
      <c r="AF28" s="71">
        <f t="shared" si="10"/>
        <v>19.52701064</v>
      </c>
      <c r="AG28" s="72">
        <f>+IF(D28="RONALD WILLIAN GARIBAY ESCUDERO",AC28+AD28+AE28+AF28+70,AC28+AD28+AE28+AF28)+70-20</f>
        <v>75.60841124</v>
      </c>
      <c r="AH28" s="52">
        <f t="shared" si="12"/>
        <v>131.0233345</v>
      </c>
      <c r="AI28" s="73">
        <f t="shared" si="13"/>
        <v>28.1749007</v>
      </c>
      <c r="AJ28" s="73">
        <f t="shared" si="14"/>
        <v>120.27894</v>
      </c>
      <c r="AK28" s="11"/>
      <c r="AL28" s="51">
        <f t="shared" si="15"/>
        <v>8732.352378</v>
      </c>
    </row>
    <row r="29" ht="15.0" customHeight="1">
      <c r="A29" s="92" t="s">
        <v>500</v>
      </c>
      <c r="B29" s="56">
        <v>45768.0</v>
      </c>
      <c r="C29" s="56">
        <v>45762.0</v>
      </c>
      <c r="D29" s="57" t="s">
        <v>79</v>
      </c>
      <c r="E29" s="57">
        <f t="array" ref="E29">XLOOKUP(D29,RUC!$B$3:$B$110,RUC!$D$3:$D$110)</f>
        <v>10421580605</v>
      </c>
      <c r="G29" s="3" t="s">
        <v>46</v>
      </c>
      <c r="H29" s="57" t="s">
        <v>47</v>
      </c>
      <c r="I29" s="57">
        <v>33.1</v>
      </c>
      <c r="J29" s="57">
        <v>15.9</v>
      </c>
      <c r="K29" s="59">
        <f t="shared" si="2"/>
        <v>27.8371</v>
      </c>
      <c r="L29" s="60">
        <v>0.142</v>
      </c>
      <c r="M29" s="60">
        <v>0.126</v>
      </c>
      <c r="N29" s="75">
        <v>0.152</v>
      </c>
      <c r="O29" s="60">
        <f t="shared" si="3"/>
        <v>0.139</v>
      </c>
      <c r="P29" s="63">
        <v>85.0</v>
      </c>
      <c r="Q29" s="58">
        <v>95.07</v>
      </c>
      <c r="R29" s="65">
        <v>3219.6</v>
      </c>
      <c r="S29" s="76">
        <v>110.0</v>
      </c>
      <c r="U29" s="67">
        <v>90.0</v>
      </c>
      <c r="V29" s="67">
        <v>1.1023</v>
      </c>
      <c r="Z29" s="69">
        <v>30.0</v>
      </c>
      <c r="AA29" s="70">
        <f t="shared" si="6"/>
        <v>30</v>
      </c>
      <c r="AB29" s="71">
        <f t="shared" si="7"/>
        <v>253.2669172</v>
      </c>
      <c r="AC29" s="71">
        <f>+(S29-T29)*V29-'data 1'!$F$4</f>
        <v>41.253</v>
      </c>
      <c r="AD29" s="71">
        <f t="shared" si="8"/>
        <v>49.32947069</v>
      </c>
      <c r="AE29" s="71">
        <f t="shared" si="9"/>
        <v>-36.931</v>
      </c>
      <c r="AF29" s="71">
        <f t="shared" si="10"/>
        <v>9.83905502</v>
      </c>
      <c r="AG29" s="72">
        <f>+IF(D29="RONALD WILLIAN GARIBAY ESCUDERO",AC29+AD29+AE29+AF29+70,AC29+AD29+AE29+AF29)+70-53</f>
        <v>80.49052571</v>
      </c>
      <c r="AH29" s="52">
        <f t="shared" si="12"/>
        <v>128.8442071</v>
      </c>
      <c r="AI29" s="73">
        <f t="shared" si="13"/>
        <v>25.3571965</v>
      </c>
      <c r="AJ29" s="73">
        <f t="shared" si="14"/>
        <v>112.7630424</v>
      </c>
      <c r="AK29" s="11"/>
      <c r="AL29" s="51">
        <f t="shared" si="15"/>
        <v>7050.216499</v>
      </c>
    </row>
    <row r="30" ht="15.0" customHeight="1">
      <c r="A30" s="92" t="s">
        <v>501</v>
      </c>
      <c r="B30" s="56">
        <v>45800.0</v>
      </c>
      <c r="C30" s="56">
        <v>45767.0</v>
      </c>
      <c r="D30" s="57" t="s">
        <v>74</v>
      </c>
      <c r="E30" s="57">
        <f t="array" ref="E30">XLOOKUP(D30,RUC!$B$3:$B$110,RUC!$D$3:$D$110)</f>
        <v>10082235774</v>
      </c>
      <c r="G30" s="3">
        <v>44.0</v>
      </c>
      <c r="H30" s="57" t="s">
        <v>47</v>
      </c>
      <c r="I30" s="58">
        <v>4.42</v>
      </c>
      <c r="J30" s="58">
        <v>2.1</v>
      </c>
      <c r="K30" s="59">
        <f t="shared" si="2"/>
        <v>4.32718</v>
      </c>
      <c r="L30" s="60">
        <v>0.202</v>
      </c>
      <c r="M30" s="60">
        <v>0.199</v>
      </c>
      <c r="N30" s="62">
        <v>0.199</v>
      </c>
      <c r="O30" s="60">
        <f t="shared" si="3"/>
        <v>0.199</v>
      </c>
      <c r="P30" s="63">
        <v>85.0</v>
      </c>
      <c r="Q30" s="58">
        <v>93.56</v>
      </c>
      <c r="R30" s="65">
        <v>3305.65</v>
      </c>
      <c r="S30" s="76">
        <v>95.0</v>
      </c>
      <c r="U30" s="87">
        <v>80.0</v>
      </c>
      <c r="V30" s="67">
        <v>1.1023</v>
      </c>
      <c r="Z30" s="87">
        <v>10.0</v>
      </c>
      <c r="AA30" s="70">
        <f t="shared" si="6"/>
        <v>10</v>
      </c>
      <c r="AB30" s="71">
        <f t="shared" si="7"/>
        <v>485.6939903</v>
      </c>
      <c r="AC30" s="71">
        <f>+(S30-T30)*V30-'data 1'!$F$4</f>
        <v>24.7185</v>
      </c>
      <c r="AD30" s="71">
        <f t="shared" si="8"/>
        <v>61.48117853</v>
      </c>
      <c r="AE30" s="71">
        <f t="shared" si="9"/>
        <v>-58.977</v>
      </c>
      <c r="AF30" s="71">
        <f t="shared" si="10"/>
        <v>9.979953497</v>
      </c>
      <c r="AG30" s="72">
        <f t="shared" ref="AG30:AG36" si="24">+IF(D30="RONALD WILLIAN GARIBAY ESCUDERO",AC30+AD30+AE30+AF30+70,AC30+AD30+AE30+AF30)+70</f>
        <v>107.202632</v>
      </c>
      <c r="AH30" s="52">
        <f t="shared" si="12"/>
        <v>28.03855403</v>
      </c>
      <c r="AI30" s="73">
        <f t="shared" si="13"/>
        <v>15.48896373</v>
      </c>
      <c r="AJ30" s="73">
        <f t="shared" si="14"/>
        <v>25.09493254</v>
      </c>
      <c r="AK30" s="11"/>
      <c r="AL30" s="51">
        <f t="shared" si="15"/>
        <v>2101.685321</v>
      </c>
    </row>
    <row r="31" ht="15.0" customHeight="1">
      <c r="A31" s="92" t="s">
        <v>502</v>
      </c>
      <c r="B31" s="56">
        <v>45800.0</v>
      </c>
      <c r="C31" s="56">
        <v>45767.0</v>
      </c>
      <c r="D31" s="57" t="s">
        <v>74</v>
      </c>
      <c r="E31" s="57">
        <f t="array" ref="E31">XLOOKUP(D31,RUC!$B$3:$B$110,RUC!$D$3:$D$110)</f>
        <v>10082235774</v>
      </c>
      <c r="G31" s="3">
        <v>38.0</v>
      </c>
      <c r="H31" s="57" t="s">
        <v>47</v>
      </c>
      <c r="I31" s="58">
        <v>3.97</v>
      </c>
      <c r="J31" s="58">
        <v>3.0</v>
      </c>
      <c r="K31" s="59">
        <f t="shared" si="2"/>
        <v>3.8509</v>
      </c>
      <c r="L31" s="60">
        <v>0.442</v>
      </c>
      <c r="M31" s="60">
        <v>0.435</v>
      </c>
      <c r="N31" s="62">
        <v>0.435</v>
      </c>
      <c r="O31" s="60">
        <f t="shared" si="3"/>
        <v>0.435</v>
      </c>
      <c r="P31" s="63">
        <v>90.0</v>
      </c>
      <c r="Q31" s="58">
        <v>99.32</v>
      </c>
      <c r="R31" s="65">
        <v>3305.65</v>
      </c>
      <c r="S31" s="76">
        <v>115.0</v>
      </c>
      <c r="U31" s="87">
        <v>80.0</v>
      </c>
      <c r="V31" s="67">
        <v>1.1023</v>
      </c>
      <c r="Z31" s="87">
        <v>10.0</v>
      </c>
      <c r="AA31" s="70">
        <f t="shared" si="6"/>
        <v>10</v>
      </c>
      <c r="AB31" s="71">
        <f t="shared" si="7"/>
        <v>1254.243209</v>
      </c>
      <c r="AC31" s="71">
        <f>+(S31-T31)*V31-'data 1'!$F$4</f>
        <v>46.7645</v>
      </c>
      <c r="AD31" s="71">
        <f t="shared" si="8"/>
        <v>146.472209</v>
      </c>
      <c r="AE31" s="71">
        <f t="shared" si="9"/>
        <v>-58.977</v>
      </c>
      <c r="AF31" s="71">
        <f t="shared" si="10"/>
        <v>24.72018979</v>
      </c>
      <c r="AG31" s="72">
        <f t="shared" si="24"/>
        <v>228.9798988</v>
      </c>
      <c r="AH31" s="52">
        <f t="shared" si="12"/>
        <v>57.9602554</v>
      </c>
      <c r="AI31" s="73">
        <f t="shared" si="13"/>
        <v>35.97822724</v>
      </c>
      <c r="AJ31" s="73">
        <f t="shared" si="14"/>
        <v>51.68958873</v>
      </c>
      <c r="AK31" s="11"/>
      <c r="AL31" s="51">
        <f t="shared" si="15"/>
        <v>4829.965174</v>
      </c>
    </row>
    <row r="32" ht="15.0" customHeight="1">
      <c r="A32" s="92" t="s">
        <v>503</v>
      </c>
      <c r="B32" s="56">
        <v>45800.0</v>
      </c>
      <c r="C32" s="56">
        <v>45767.0</v>
      </c>
      <c r="D32" s="57" t="s">
        <v>74</v>
      </c>
      <c r="E32" s="57">
        <f t="array" ref="E32">XLOOKUP(D32,RUC!$B$3:$B$110,RUC!$D$3:$D$110)</f>
        <v>10082235774</v>
      </c>
      <c r="G32" s="3">
        <v>53.0</v>
      </c>
      <c r="H32" s="57" t="s">
        <v>47</v>
      </c>
      <c r="I32" s="58">
        <v>5.66</v>
      </c>
      <c r="J32" s="58">
        <v>3.15</v>
      </c>
      <c r="K32" s="59">
        <f t="shared" si="2"/>
        <v>5.48171</v>
      </c>
      <c r="L32" s="60">
        <v>0.308</v>
      </c>
      <c r="M32" s="60">
        <v>0.303</v>
      </c>
      <c r="N32" s="62">
        <v>0.303</v>
      </c>
      <c r="O32" s="60">
        <f t="shared" si="3"/>
        <v>0.303</v>
      </c>
      <c r="P32" s="63">
        <v>90.0</v>
      </c>
      <c r="Q32" s="58">
        <v>88.29</v>
      </c>
      <c r="R32" s="65">
        <v>3305.65</v>
      </c>
      <c r="S32" s="76">
        <v>110.0</v>
      </c>
      <c r="U32" s="87">
        <v>80.0</v>
      </c>
      <c r="V32" s="67">
        <v>1.1023</v>
      </c>
      <c r="Z32" s="87">
        <v>10.0</v>
      </c>
      <c r="AA32" s="70">
        <f t="shared" si="6"/>
        <v>10</v>
      </c>
      <c r="AB32" s="71">
        <f t="shared" si="7"/>
        <v>837.3453904</v>
      </c>
      <c r="AC32" s="71">
        <f>+(S32-T32)*V32-'data 1'!$F$4</f>
        <v>41.253</v>
      </c>
      <c r="AD32" s="71">
        <f t="shared" si="8"/>
        <v>-18.72681312</v>
      </c>
      <c r="AE32" s="71">
        <f t="shared" si="9"/>
        <v>-58.977</v>
      </c>
      <c r="AF32" s="71">
        <f t="shared" si="10"/>
        <v>15.69634627</v>
      </c>
      <c r="AG32" s="72">
        <f t="shared" si="24"/>
        <v>49.24553315</v>
      </c>
      <c r="AH32" s="52">
        <f t="shared" si="12"/>
        <v>51.10782027</v>
      </c>
      <c r="AI32" s="73">
        <f t="shared" si="13"/>
        <v>22.2865587</v>
      </c>
      <c r="AJ32" s="73">
        <f t="shared" si="14"/>
        <v>51.25193462</v>
      </c>
      <c r="AK32" s="11"/>
      <c r="AL32" s="51">
        <f t="shared" si="15"/>
        <v>4590.0846</v>
      </c>
    </row>
    <row r="33" ht="15.0" customHeight="1">
      <c r="A33" s="92" t="s">
        <v>504</v>
      </c>
      <c r="B33" s="56">
        <v>45800.0</v>
      </c>
      <c r="C33" s="56">
        <v>45767.0</v>
      </c>
      <c r="D33" s="57" t="s">
        <v>74</v>
      </c>
      <c r="E33" s="57">
        <f t="array" ref="E33">XLOOKUP(D33,RUC!$B$3:$B$110,RUC!$D$3:$D$110)</f>
        <v>10082235774</v>
      </c>
      <c r="G33" s="3">
        <v>51.0</v>
      </c>
      <c r="H33" s="57" t="s">
        <v>47</v>
      </c>
      <c r="I33" s="58">
        <v>5.52</v>
      </c>
      <c r="J33" s="58">
        <v>3.17</v>
      </c>
      <c r="K33" s="59">
        <f t="shared" si="2"/>
        <v>5.345016</v>
      </c>
      <c r="L33" s="60">
        <v>0.493</v>
      </c>
      <c r="M33" s="60">
        <v>0.485</v>
      </c>
      <c r="N33" s="62">
        <v>0.485</v>
      </c>
      <c r="O33" s="60">
        <f t="shared" si="3"/>
        <v>0.485</v>
      </c>
      <c r="P33" s="63">
        <v>90.0</v>
      </c>
      <c r="Q33" s="58">
        <v>89.65</v>
      </c>
      <c r="R33" s="65">
        <v>3305.65</v>
      </c>
      <c r="S33" s="76">
        <v>115.0</v>
      </c>
      <c r="U33" s="87">
        <v>80.0</v>
      </c>
      <c r="V33" s="67">
        <v>1.1023</v>
      </c>
      <c r="Z33" s="87">
        <v>10.0</v>
      </c>
      <c r="AA33" s="70">
        <f t="shared" si="6"/>
        <v>10</v>
      </c>
      <c r="AB33" s="71">
        <f t="shared" si="7"/>
        <v>1414.246739</v>
      </c>
      <c r="AC33" s="71">
        <f>+(S33-T33)*V33-'data 1'!$F$4</f>
        <v>46.7645</v>
      </c>
      <c r="AD33" s="71">
        <f t="shared" si="8"/>
        <v>-6.135246458</v>
      </c>
      <c r="AE33" s="71">
        <f t="shared" si="9"/>
        <v>-58.977</v>
      </c>
      <c r="AF33" s="71">
        <f t="shared" si="10"/>
        <v>25.50100701</v>
      </c>
      <c r="AG33" s="72">
        <f t="shared" si="24"/>
        <v>77.15326055</v>
      </c>
      <c r="AH33" s="52">
        <f t="shared" si="12"/>
        <v>80.99445585</v>
      </c>
      <c r="AI33" s="73">
        <f t="shared" si="13"/>
        <v>36.22246433</v>
      </c>
      <c r="AJ33" s="73">
        <f t="shared" si="14"/>
        <v>79.99122117</v>
      </c>
      <c r="AK33" s="11"/>
      <c r="AL33" s="51">
        <f t="shared" si="15"/>
        <v>7559.171447</v>
      </c>
    </row>
    <row r="34" ht="15.0" customHeight="1">
      <c r="A34" s="92" t="s">
        <v>505</v>
      </c>
      <c r="B34" s="56">
        <v>45800.0</v>
      </c>
      <c r="C34" s="56">
        <v>45767.0</v>
      </c>
      <c r="D34" s="57" t="s">
        <v>74</v>
      </c>
      <c r="E34" s="57">
        <f t="array" ref="E34">XLOOKUP(D34,RUC!$B$3:$B$110,RUC!$D$3:$D$110)</f>
        <v>10082235774</v>
      </c>
      <c r="G34" s="3">
        <v>35.0</v>
      </c>
      <c r="H34" s="57" t="s">
        <v>47</v>
      </c>
      <c r="I34" s="58">
        <v>3.43</v>
      </c>
      <c r="J34" s="58">
        <v>2.5</v>
      </c>
      <c r="K34" s="59">
        <f t="shared" si="2"/>
        <v>3.34425</v>
      </c>
      <c r="L34" s="60">
        <v>0.471</v>
      </c>
      <c r="M34" s="60">
        <v>0.463</v>
      </c>
      <c r="N34" s="62">
        <v>0.463</v>
      </c>
      <c r="O34" s="60">
        <f t="shared" si="3"/>
        <v>0.463</v>
      </c>
      <c r="P34" s="63">
        <v>90.0</v>
      </c>
      <c r="Q34" s="58">
        <v>86.4</v>
      </c>
      <c r="R34" s="65">
        <v>3305.65</v>
      </c>
      <c r="S34" s="76">
        <v>115.0</v>
      </c>
      <c r="U34" s="87">
        <v>80.0</v>
      </c>
      <c r="V34" s="67">
        <v>1.1023</v>
      </c>
      <c r="Z34" s="87">
        <v>10.0</v>
      </c>
      <c r="AA34" s="70">
        <f t="shared" si="6"/>
        <v>10</v>
      </c>
      <c r="AB34" s="71">
        <f t="shared" si="7"/>
        <v>1343.845186</v>
      </c>
      <c r="AC34" s="71">
        <f>+(S34-T34)*V34-'data 1'!$F$4</f>
        <v>46.7645</v>
      </c>
      <c r="AD34" s="71">
        <f t="shared" si="8"/>
        <v>-60.28933002</v>
      </c>
      <c r="AE34" s="71">
        <f t="shared" si="9"/>
        <v>-58.977</v>
      </c>
      <c r="AF34" s="71">
        <f t="shared" si="10"/>
        <v>24.57654217</v>
      </c>
      <c r="AG34" s="72">
        <f t="shared" si="24"/>
        <v>22.07471215</v>
      </c>
      <c r="AH34" s="52">
        <f t="shared" si="12"/>
        <v>46.65975506</v>
      </c>
      <c r="AI34" s="73">
        <f t="shared" si="13"/>
        <v>33.3515045</v>
      </c>
      <c r="AJ34" s="73">
        <f t="shared" si="14"/>
        <v>47.77836737</v>
      </c>
      <c r="AK34" s="11"/>
      <c r="AL34" s="51">
        <f t="shared" si="15"/>
        <v>4494.154262</v>
      </c>
    </row>
    <row r="35" ht="15.0" customHeight="1">
      <c r="A35" s="92" t="s">
        <v>506</v>
      </c>
      <c r="B35" s="56">
        <v>45800.0</v>
      </c>
      <c r="C35" s="56">
        <v>45767.0</v>
      </c>
      <c r="D35" s="57" t="s">
        <v>74</v>
      </c>
      <c r="E35" s="57">
        <f t="array" ref="E35">XLOOKUP(D35,RUC!$B$3:$B$110,RUC!$D$3:$D$110)</f>
        <v>10082235774</v>
      </c>
      <c r="G35" s="3">
        <v>34.0</v>
      </c>
      <c r="H35" s="57" t="s">
        <v>47</v>
      </c>
      <c r="I35" s="58">
        <v>3.75</v>
      </c>
      <c r="J35" s="58">
        <v>3.0</v>
      </c>
      <c r="K35" s="59">
        <f t="shared" si="2"/>
        <v>3.6375</v>
      </c>
      <c r="L35" s="60">
        <v>0.429</v>
      </c>
      <c r="M35" s="60">
        <v>0.423</v>
      </c>
      <c r="N35" s="62">
        <v>0.423</v>
      </c>
      <c r="O35" s="60">
        <f t="shared" si="3"/>
        <v>0.423</v>
      </c>
      <c r="P35" s="63">
        <v>90.0</v>
      </c>
      <c r="Q35" s="58">
        <v>89.04</v>
      </c>
      <c r="R35" s="65">
        <v>3305.65</v>
      </c>
      <c r="S35" s="76">
        <v>115.0</v>
      </c>
      <c r="U35" s="87">
        <v>80.0</v>
      </c>
      <c r="V35" s="67">
        <v>1.1023</v>
      </c>
      <c r="Z35" s="87">
        <v>10.0</v>
      </c>
      <c r="AA35" s="70">
        <f t="shared" si="6"/>
        <v>10</v>
      </c>
      <c r="AB35" s="71">
        <f t="shared" si="7"/>
        <v>1215.842362</v>
      </c>
      <c r="AC35" s="71">
        <f>+(S35-T35)*V35-'data 1'!$F$4</f>
        <v>46.7645</v>
      </c>
      <c r="AD35" s="71">
        <f t="shared" si="8"/>
        <v>-14.64352305</v>
      </c>
      <c r="AE35" s="71">
        <f t="shared" si="9"/>
        <v>-58.977</v>
      </c>
      <c r="AF35" s="71">
        <f t="shared" si="10"/>
        <v>18.99561905</v>
      </c>
      <c r="AG35" s="72">
        <f t="shared" si="24"/>
        <v>62.13959601</v>
      </c>
      <c r="AH35" s="52">
        <f t="shared" si="12"/>
        <v>47.63810911</v>
      </c>
      <c r="AI35" s="73">
        <f t="shared" si="13"/>
        <v>31.30568592</v>
      </c>
      <c r="AJ35" s="73">
        <f t="shared" si="14"/>
        <v>47.4782768</v>
      </c>
      <c r="AK35" s="11"/>
      <c r="AL35" s="51">
        <f t="shared" si="15"/>
        <v>4422.626591</v>
      </c>
    </row>
    <row r="36" ht="15.0" customHeight="1">
      <c r="A36" s="92" t="s">
        <v>507</v>
      </c>
      <c r="B36" s="56">
        <v>45800.0</v>
      </c>
      <c r="C36" s="56">
        <v>45767.0</v>
      </c>
      <c r="D36" s="57" t="s">
        <v>74</v>
      </c>
      <c r="E36" s="57">
        <f t="array" ref="E36">XLOOKUP(D36,RUC!$B$3:$B$110,RUC!$D$3:$D$110)</f>
        <v>10082235774</v>
      </c>
      <c r="G36" s="3">
        <v>50.0</v>
      </c>
      <c r="H36" s="57" t="s">
        <v>47</v>
      </c>
      <c r="I36" s="58">
        <v>4.64</v>
      </c>
      <c r="J36" s="58">
        <v>3.55</v>
      </c>
      <c r="K36" s="59">
        <f t="shared" si="2"/>
        <v>4.47528</v>
      </c>
      <c r="L36" s="60">
        <v>0.271</v>
      </c>
      <c r="M36" s="60">
        <v>0.267</v>
      </c>
      <c r="N36" s="62">
        <v>0.267</v>
      </c>
      <c r="O36" s="60">
        <f t="shared" si="3"/>
        <v>0.267</v>
      </c>
      <c r="P36" s="63">
        <v>90.0</v>
      </c>
      <c r="Q36" s="58">
        <v>87.08</v>
      </c>
      <c r="R36" s="65">
        <v>3305.65</v>
      </c>
      <c r="S36" s="76">
        <v>105.0</v>
      </c>
      <c r="U36" s="87">
        <v>80.0</v>
      </c>
      <c r="V36" s="67">
        <v>1.1023</v>
      </c>
      <c r="Z36" s="87">
        <v>10.0</v>
      </c>
      <c r="AA36" s="70">
        <f t="shared" si="6"/>
        <v>10</v>
      </c>
      <c r="AB36" s="71">
        <f t="shared" si="7"/>
        <v>727.654349</v>
      </c>
      <c r="AC36" s="71">
        <f>+(S36-T36)*V36-'data 1'!$F$4</f>
        <v>35.7415</v>
      </c>
      <c r="AD36" s="71">
        <f t="shared" si="8"/>
        <v>-28.13644293</v>
      </c>
      <c r="AE36" s="71">
        <f t="shared" si="9"/>
        <v>-58.977</v>
      </c>
      <c r="AF36" s="71">
        <f t="shared" si="10"/>
        <v>12.38498433</v>
      </c>
      <c r="AG36" s="72">
        <f t="shared" si="24"/>
        <v>31.0130414</v>
      </c>
      <c r="AH36" s="52">
        <f t="shared" si="12"/>
        <v>36.20903853</v>
      </c>
      <c r="AI36" s="73">
        <f t="shared" si="13"/>
        <v>19.34053536</v>
      </c>
      <c r="AJ36" s="73">
        <f t="shared" si="14"/>
        <v>36.87084176</v>
      </c>
      <c r="AK36" s="11"/>
      <c r="AL36" s="51">
        <f t="shared" si="15"/>
        <v>3256.456955</v>
      </c>
    </row>
    <row r="37" ht="15.0" customHeight="1">
      <c r="A37" s="124" t="s">
        <v>508</v>
      </c>
      <c r="B37" s="56"/>
      <c r="C37" s="56"/>
      <c r="G37" s="3"/>
      <c r="K37" s="59"/>
      <c r="L37" s="60"/>
      <c r="M37" s="60"/>
      <c r="N37" s="75"/>
      <c r="O37" s="60"/>
      <c r="P37" s="63"/>
      <c r="Q37" s="58"/>
      <c r="R37" s="65"/>
      <c r="S37" s="66"/>
      <c r="U37" s="67"/>
      <c r="V37" s="67"/>
      <c r="Z37" s="69"/>
      <c r="AA37" s="70"/>
      <c r="AB37" s="71"/>
      <c r="AC37" s="71"/>
      <c r="AD37" s="71"/>
      <c r="AE37" s="71"/>
      <c r="AF37" s="71"/>
      <c r="AG37" s="72"/>
      <c r="AH37" s="52"/>
      <c r="AI37" s="73"/>
      <c r="AJ37" s="73"/>
      <c r="AK37" s="11"/>
      <c r="AL37" s="51"/>
    </row>
    <row r="38" ht="15.0" customHeight="1">
      <c r="A38" s="124" t="s">
        <v>509</v>
      </c>
      <c r="B38" s="56"/>
      <c r="C38" s="56"/>
      <c r="G38" s="3"/>
      <c r="K38" s="59"/>
      <c r="L38" s="60"/>
      <c r="M38" s="60"/>
      <c r="N38" s="75"/>
      <c r="O38" s="60"/>
      <c r="P38" s="63"/>
      <c r="Q38" s="58"/>
      <c r="R38" s="65"/>
      <c r="S38" s="86"/>
      <c r="U38" s="67"/>
      <c r="V38" s="67"/>
      <c r="Z38" s="69"/>
      <c r="AA38" s="70"/>
      <c r="AB38" s="49"/>
      <c r="AC38" s="71"/>
      <c r="AD38" s="71"/>
      <c r="AE38" s="71"/>
      <c r="AF38" s="71"/>
      <c r="AG38" s="72"/>
      <c r="AH38" s="52"/>
      <c r="AI38" s="73"/>
      <c r="AJ38" s="73"/>
      <c r="AK38" s="11"/>
      <c r="AL38" s="51"/>
    </row>
    <row r="39" ht="15.0" customHeight="1">
      <c r="A39" s="124" t="s">
        <v>510</v>
      </c>
      <c r="B39" s="56"/>
      <c r="C39" s="56"/>
      <c r="G39" s="3"/>
      <c r="J39" s="58"/>
      <c r="K39" s="59"/>
      <c r="L39" s="60"/>
      <c r="M39" s="60"/>
      <c r="N39" s="75"/>
      <c r="O39" s="60"/>
      <c r="P39" s="63"/>
      <c r="Q39" s="58"/>
      <c r="R39" s="65"/>
      <c r="S39" s="66"/>
      <c r="U39" s="67"/>
      <c r="V39" s="67"/>
      <c r="Z39" s="69"/>
      <c r="AA39" s="70"/>
      <c r="AB39" s="71"/>
      <c r="AC39" s="71"/>
      <c r="AD39" s="71"/>
      <c r="AE39" s="71"/>
      <c r="AF39" s="71"/>
      <c r="AG39" s="72"/>
      <c r="AH39" s="52"/>
      <c r="AI39" s="73"/>
      <c r="AJ39" s="73"/>
      <c r="AK39" s="11"/>
      <c r="AL39" s="51"/>
    </row>
    <row r="40" ht="15.0" customHeight="1">
      <c r="A40" s="124" t="s">
        <v>511</v>
      </c>
      <c r="B40" s="56"/>
      <c r="C40" s="56"/>
      <c r="G40" s="3"/>
      <c r="J40" s="58"/>
      <c r="K40" s="59"/>
      <c r="L40" s="60"/>
      <c r="M40" s="60"/>
      <c r="N40" s="75"/>
      <c r="O40" s="60"/>
      <c r="P40" s="63"/>
      <c r="Q40" s="58"/>
      <c r="R40" s="65"/>
      <c r="S40" s="66"/>
      <c r="U40" s="67"/>
      <c r="V40" s="67"/>
      <c r="Z40" s="69"/>
      <c r="AA40" s="70"/>
      <c r="AB40" s="71"/>
      <c r="AC40" s="71"/>
      <c r="AD40" s="71"/>
      <c r="AE40" s="71"/>
      <c r="AF40" s="71"/>
      <c r="AG40" s="72"/>
      <c r="AH40" s="52"/>
      <c r="AI40" s="73"/>
      <c r="AJ40" s="73"/>
      <c r="AK40" s="11"/>
      <c r="AL40" s="51"/>
    </row>
    <row r="41" ht="15.0" customHeight="1">
      <c r="A41" s="92" t="s">
        <v>512</v>
      </c>
      <c r="B41" s="56">
        <v>45804.0</v>
      </c>
      <c r="C41" s="56">
        <v>45781.0</v>
      </c>
      <c r="D41" s="57" t="s">
        <v>74</v>
      </c>
      <c r="E41" s="57">
        <f t="array" ref="E41">XLOOKUP(D41,RUC!$B$3:$B$110,RUC!$D$3:$D$110)</f>
        <v>10082235774</v>
      </c>
      <c r="G41" s="3">
        <v>47.0</v>
      </c>
      <c r="H41" s="57" t="s">
        <v>47</v>
      </c>
      <c r="I41" s="58">
        <v>5.0</v>
      </c>
      <c r="J41" s="58">
        <v>3.5</v>
      </c>
      <c r="K41" s="59">
        <f t="shared" ref="K41:K61" si="25">+I41-(I41*(J41/100))</f>
        <v>4.825</v>
      </c>
      <c r="L41" s="60">
        <v>0.435</v>
      </c>
      <c r="M41" s="60">
        <v>0.428</v>
      </c>
      <c r="N41" s="62">
        <v>0.428</v>
      </c>
      <c r="O41" s="60">
        <f t="shared" ref="O41:O52" si="26">+ROUND((M41+N41)/2,3)</f>
        <v>0.428</v>
      </c>
      <c r="P41" s="63">
        <v>90.0</v>
      </c>
      <c r="Q41" s="58">
        <v>89.29</v>
      </c>
      <c r="R41" s="65">
        <v>3391.45</v>
      </c>
      <c r="S41" s="76">
        <v>115.0</v>
      </c>
      <c r="U41" s="87">
        <v>80.0</v>
      </c>
      <c r="V41" s="67">
        <v>1.1023</v>
      </c>
      <c r="Z41" s="87">
        <v>10.0</v>
      </c>
      <c r="AA41" s="70">
        <f t="shared" ref="AA41:AA61" si="27">+Y41+Z41</f>
        <v>10</v>
      </c>
      <c r="AB41" s="71">
        <f t="shared" ref="AB41:AB61" si="28">+((O41*P41*(R41-U41)/100)-S41-AA41+T41)*V41</f>
        <v>1268.273906</v>
      </c>
      <c r="AC41" s="71">
        <f>+(S41-T41)*V41-'data 1'!$F$4</f>
        <v>46.7645</v>
      </c>
      <c r="AD41" s="71">
        <f t="shared" ref="AD41:AD61" si="29">+(Q41-P41)*(R41-U41)*L41*V41/100</f>
        <v>-11.27367771</v>
      </c>
      <c r="AE41" s="71">
        <f t="shared" ref="AE41:AE61" si="30">+(Y41*V41-70)+V41*(Z41-IF(D41="UNTUCA",IF(+((W41-3)*2.5+(X41-3)*3.1)&gt;0,+((W41-3)*1.5+(X41-3)*3.1),0),IF(+((W41-3)*1.5+(X41-3)*3.1)&gt;0,+((W41-3)*1.5+(X41-3)*3.1),0)))</f>
        <v>-58.977</v>
      </c>
      <c r="AF41" s="71">
        <f t="shared" ref="AF41:AF61" si="31">(L41-O41)*(R41-U41)*Q41*V41/100</f>
        <v>22.81491591</v>
      </c>
      <c r="AG41" s="72">
        <f t="shared" ref="AG41:AG46" si="32">+IF(D41="RONALD WILLIAN GARIBAY ESCUDERO",AC41+AD41+AE41+AF41+70,AC41+AD41+AE41+AF41)+70</f>
        <v>69.3287382</v>
      </c>
      <c r="AH41" s="52">
        <f t="shared" ref="AH41:AH61" si="33">31.1035*L41*Q41*1.1023*K41/100</f>
        <v>64.25374818</v>
      </c>
      <c r="AI41" s="73">
        <f t="shared" ref="AI41:AI61" si="34">+((+$AI$2-R41+U41)*L41*Q41*V41)/100</f>
        <v>-4.902271659</v>
      </c>
      <c r="AJ41" s="73">
        <f t="shared" ref="AJ41:AJ61" si="35">31.1035*1.1023*K41*P41*O41/100</f>
        <v>63.72247938</v>
      </c>
      <c r="AK41" s="11"/>
      <c r="AL41" s="51">
        <f t="shared" ref="AL41:AL61" si="36">+IF(AB41*K41&gt;0,AB41*K41,0)</f>
        <v>6119.421598</v>
      </c>
    </row>
    <row r="42" ht="15.0" customHeight="1">
      <c r="A42" s="92" t="s">
        <v>513</v>
      </c>
      <c r="B42" s="56">
        <v>45804.0</v>
      </c>
      <c r="C42" s="56">
        <v>45781.0</v>
      </c>
      <c r="D42" s="57" t="s">
        <v>74</v>
      </c>
      <c r="E42" s="57">
        <f t="array" ref="E42">XLOOKUP(D42,RUC!$B$3:$B$110,RUC!$D$3:$D$110)</f>
        <v>10082235774</v>
      </c>
      <c r="G42" s="3">
        <v>54.0</v>
      </c>
      <c r="H42" s="57" t="s">
        <v>47</v>
      </c>
      <c r="I42" s="57">
        <v>5.77</v>
      </c>
      <c r="J42" s="58">
        <v>2.2</v>
      </c>
      <c r="K42" s="59">
        <f t="shared" si="25"/>
        <v>5.64306</v>
      </c>
      <c r="L42" s="60">
        <v>0.633</v>
      </c>
      <c r="M42" s="60">
        <v>0.624</v>
      </c>
      <c r="N42" s="75">
        <v>0.662</v>
      </c>
      <c r="O42" s="60">
        <f t="shared" si="26"/>
        <v>0.643</v>
      </c>
      <c r="P42" s="63">
        <v>90.0</v>
      </c>
      <c r="Q42" s="58">
        <v>89.51</v>
      </c>
      <c r="R42" s="65">
        <v>3391.45</v>
      </c>
      <c r="S42" s="76">
        <v>125.0</v>
      </c>
      <c r="U42" s="87">
        <v>80.0</v>
      </c>
      <c r="V42" s="67">
        <v>1.1023</v>
      </c>
      <c r="Z42" s="87">
        <v>10.0</v>
      </c>
      <c r="AA42" s="70">
        <f t="shared" si="27"/>
        <v>10</v>
      </c>
      <c r="AB42" s="71">
        <f t="shared" si="28"/>
        <v>1963.5668</v>
      </c>
      <c r="AC42" s="71">
        <f>+(S42-T42)*V42-'data 1'!$F$4</f>
        <v>57.7875</v>
      </c>
      <c r="AD42" s="71">
        <f t="shared" si="29"/>
        <v>-11.3218605</v>
      </c>
      <c r="AE42" s="71">
        <f t="shared" si="30"/>
        <v>-58.977</v>
      </c>
      <c r="AF42" s="71">
        <f t="shared" si="31"/>
        <v>-32.67304166</v>
      </c>
      <c r="AG42" s="72">
        <f t="shared" si="32"/>
        <v>24.81559784</v>
      </c>
      <c r="AH42" s="52">
        <f t="shared" si="33"/>
        <v>109.6223239</v>
      </c>
      <c r="AI42" s="73">
        <f t="shared" si="34"/>
        <v>-7.151226955</v>
      </c>
      <c r="AJ42" s="73">
        <f t="shared" si="35"/>
        <v>111.9636942</v>
      </c>
      <c r="AK42" s="11"/>
      <c r="AL42" s="51">
        <f t="shared" si="36"/>
        <v>11080.52526</v>
      </c>
    </row>
    <row r="43" ht="15.0" customHeight="1">
      <c r="A43" s="92" t="s">
        <v>514</v>
      </c>
      <c r="B43" s="56">
        <v>45804.0</v>
      </c>
      <c r="C43" s="56">
        <v>45781.0</v>
      </c>
      <c r="D43" s="57" t="s">
        <v>74</v>
      </c>
      <c r="E43" s="57">
        <f t="array" ref="E43">XLOOKUP(D43,RUC!$B$3:$B$110,RUC!$D$3:$D$110)</f>
        <v>10082235774</v>
      </c>
      <c r="G43" s="3">
        <v>38.0</v>
      </c>
      <c r="H43" s="57" t="s">
        <v>47</v>
      </c>
      <c r="I43" s="57">
        <v>3.7</v>
      </c>
      <c r="J43" s="58">
        <v>1.75</v>
      </c>
      <c r="K43" s="59">
        <f t="shared" si="25"/>
        <v>3.63525</v>
      </c>
      <c r="L43" s="60">
        <v>0.128</v>
      </c>
      <c r="M43" s="60">
        <v>0.126</v>
      </c>
      <c r="N43" s="75">
        <v>0.147</v>
      </c>
      <c r="O43" s="60">
        <f t="shared" si="26"/>
        <v>0.137</v>
      </c>
      <c r="P43" s="63">
        <v>85.0</v>
      </c>
      <c r="Q43" s="58">
        <v>91.24</v>
      </c>
      <c r="R43" s="65">
        <v>3391.45</v>
      </c>
      <c r="S43" s="76">
        <v>95.0</v>
      </c>
      <c r="U43" s="87">
        <v>80.0</v>
      </c>
      <c r="V43" s="67">
        <v>1.1023</v>
      </c>
      <c r="Z43" s="87">
        <v>10.0</v>
      </c>
      <c r="AA43" s="70">
        <f t="shared" si="27"/>
        <v>10</v>
      </c>
      <c r="AB43" s="71">
        <f t="shared" si="28"/>
        <v>309.32561</v>
      </c>
      <c r="AC43" s="71">
        <f>+(S43-T43)*V43-'data 1'!$F$4</f>
        <v>24.7185</v>
      </c>
      <c r="AD43" s="71">
        <f t="shared" si="29"/>
        <v>29.15496797</v>
      </c>
      <c r="AE43" s="71">
        <f t="shared" si="30"/>
        <v>-58.977</v>
      </c>
      <c r="AF43" s="71">
        <f t="shared" si="31"/>
        <v>-29.9740754</v>
      </c>
      <c r="AG43" s="72">
        <f t="shared" si="32"/>
        <v>34.92239258</v>
      </c>
      <c r="AH43" s="52">
        <f t="shared" si="33"/>
        <v>14.55588443</v>
      </c>
      <c r="AI43" s="73">
        <f t="shared" si="34"/>
        <v>-1.474010375</v>
      </c>
      <c r="AJ43" s="73">
        <f t="shared" si="35"/>
        <v>14.51385718</v>
      </c>
      <c r="AK43" s="11"/>
      <c r="AL43" s="51">
        <f t="shared" si="36"/>
        <v>1124.475924</v>
      </c>
    </row>
    <row r="44" ht="15.0" customHeight="1">
      <c r="A44" s="92" t="s">
        <v>515</v>
      </c>
      <c r="B44" s="56">
        <v>45804.0</v>
      </c>
      <c r="C44" s="56">
        <v>45781.0</v>
      </c>
      <c r="D44" s="57" t="s">
        <v>74</v>
      </c>
      <c r="E44" s="57">
        <f t="array" ref="E44">XLOOKUP(D44,RUC!$B$3:$B$110,RUC!$D$3:$D$110)</f>
        <v>10082235774</v>
      </c>
      <c r="G44" s="3">
        <v>50.0</v>
      </c>
      <c r="H44" s="57" t="s">
        <v>47</v>
      </c>
      <c r="I44" s="57">
        <v>5.12</v>
      </c>
      <c r="J44" s="58">
        <v>1.65</v>
      </c>
      <c r="K44" s="59">
        <f t="shared" si="25"/>
        <v>5.03552</v>
      </c>
      <c r="L44" s="60">
        <v>0.299</v>
      </c>
      <c r="M44" s="60">
        <v>0.295</v>
      </c>
      <c r="N44" s="62">
        <v>0.295</v>
      </c>
      <c r="O44" s="60">
        <f t="shared" si="26"/>
        <v>0.295</v>
      </c>
      <c r="P44" s="63">
        <v>90.0</v>
      </c>
      <c r="Q44" s="58">
        <v>89.64</v>
      </c>
      <c r="R44" s="65">
        <v>3391.45</v>
      </c>
      <c r="S44" s="76">
        <v>105.0</v>
      </c>
      <c r="U44" s="87">
        <v>80.0</v>
      </c>
      <c r="V44" s="67">
        <v>1.1023</v>
      </c>
      <c r="Z44" s="87">
        <v>10.0</v>
      </c>
      <c r="AA44" s="70">
        <f t="shared" si="27"/>
        <v>10</v>
      </c>
      <c r="AB44" s="71">
        <f t="shared" si="28"/>
        <v>842.3666094</v>
      </c>
      <c r="AC44" s="71">
        <f>+(S44-T44)*V44-'data 1'!$F$4</f>
        <v>35.7415</v>
      </c>
      <c r="AD44" s="71">
        <f t="shared" si="29"/>
        <v>-3.929087481</v>
      </c>
      <c r="AE44" s="71">
        <f t="shared" si="30"/>
        <v>-58.977</v>
      </c>
      <c r="AF44" s="71">
        <f t="shared" si="31"/>
        <v>13.08819776</v>
      </c>
      <c r="AG44" s="72">
        <f t="shared" si="32"/>
        <v>55.92361028</v>
      </c>
      <c r="AH44" s="52">
        <f t="shared" si="33"/>
        <v>46.27286935</v>
      </c>
      <c r="AI44" s="73">
        <f t="shared" si="34"/>
        <v>-3.382815644</v>
      </c>
      <c r="AJ44" s="73">
        <f t="shared" si="35"/>
        <v>45.83718305</v>
      </c>
      <c r="AK44" s="11"/>
      <c r="AL44" s="51">
        <f t="shared" si="36"/>
        <v>4241.753909</v>
      </c>
    </row>
    <row r="45" ht="15.0" customHeight="1">
      <c r="A45" s="92" t="s">
        <v>516</v>
      </c>
      <c r="B45" s="56">
        <v>45804.0</v>
      </c>
      <c r="C45" s="56">
        <v>45781.0</v>
      </c>
      <c r="D45" s="57" t="s">
        <v>74</v>
      </c>
      <c r="E45" s="57">
        <f t="array" ref="E45">XLOOKUP(D45,RUC!$B$3:$B$110,RUC!$D$3:$D$110)</f>
        <v>10082235774</v>
      </c>
      <c r="G45" s="3">
        <v>54.0</v>
      </c>
      <c r="H45" s="57" t="s">
        <v>47</v>
      </c>
      <c r="I45" s="57">
        <v>5.28</v>
      </c>
      <c r="J45" s="58">
        <v>1.75</v>
      </c>
      <c r="K45" s="59">
        <f t="shared" si="25"/>
        <v>5.1876</v>
      </c>
      <c r="L45" s="60">
        <v>0.116</v>
      </c>
      <c r="M45" s="60">
        <v>0.114</v>
      </c>
      <c r="N45" s="75">
        <v>0.135</v>
      </c>
      <c r="O45" s="60">
        <f t="shared" si="26"/>
        <v>0.125</v>
      </c>
      <c r="P45" s="63">
        <v>85.0</v>
      </c>
      <c r="Q45" s="58">
        <v>90.21</v>
      </c>
      <c r="R45" s="65">
        <v>3391.45</v>
      </c>
      <c r="S45" s="76">
        <v>95.0</v>
      </c>
      <c r="U45" s="87">
        <v>80.0</v>
      </c>
      <c r="V45" s="67">
        <v>1.1023</v>
      </c>
      <c r="Z45" s="87">
        <v>10.0</v>
      </c>
      <c r="AA45" s="70">
        <f t="shared" si="27"/>
        <v>10</v>
      </c>
      <c r="AB45" s="71">
        <f t="shared" si="28"/>
        <v>272.0934543</v>
      </c>
      <c r="AC45" s="71">
        <f>+(S45-T45)*V45-'data 1'!$F$4</f>
        <v>24.7185</v>
      </c>
      <c r="AD45" s="71">
        <f t="shared" si="29"/>
        <v>22.06041722</v>
      </c>
      <c r="AE45" s="71">
        <f t="shared" si="30"/>
        <v>-58.977</v>
      </c>
      <c r="AF45" s="71">
        <f t="shared" si="31"/>
        <v>-29.63570081</v>
      </c>
      <c r="AG45" s="72">
        <f t="shared" si="32"/>
        <v>28.16621642</v>
      </c>
      <c r="AH45" s="52">
        <f t="shared" si="33"/>
        <v>18.6117934</v>
      </c>
      <c r="AI45" s="73">
        <f t="shared" si="34"/>
        <v>-1.320741931</v>
      </c>
      <c r="AJ45" s="73">
        <f t="shared" si="35"/>
        <v>18.8975059</v>
      </c>
      <c r="AK45" s="11"/>
      <c r="AL45" s="51">
        <f t="shared" si="36"/>
        <v>1411.512004</v>
      </c>
    </row>
    <row r="46" ht="15.0" customHeight="1">
      <c r="A46" s="92" t="s">
        <v>517</v>
      </c>
      <c r="B46" s="56">
        <v>45804.0</v>
      </c>
      <c r="C46" s="56">
        <v>45781.0</v>
      </c>
      <c r="D46" s="57" t="s">
        <v>74</v>
      </c>
      <c r="E46" s="57">
        <f t="array" ref="E46">XLOOKUP(D46,RUC!$B$3:$B$110,RUC!$D$3:$D$110)</f>
        <v>10082235774</v>
      </c>
      <c r="G46" s="3">
        <v>57.0</v>
      </c>
      <c r="H46" s="57" t="s">
        <v>47</v>
      </c>
      <c r="I46" s="57">
        <v>5.41</v>
      </c>
      <c r="J46" s="58">
        <v>5.15</v>
      </c>
      <c r="K46" s="59">
        <f t="shared" si="25"/>
        <v>5.131385</v>
      </c>
      <c r="L46" s="60">
        <v>0.314</v>
      </c>
      <c r="M46" s="60">
        <v>0.309</v>
      </c>
      <c r="N46" s="62">
        <v>0.309</v>
      </c>
      <c r="O46" s="60">
        <f t="shared" si="26"/>
        <v>0.309</v>
      </c>
      <c r="P46" s="63">
        <v>90.0</v>
      </c>
      <c r="Q46" s="58">
        <v>89.61</v>
      </c>
      <c r="R46" s="65">
        <v>3391.45</v>
      </c>
      <c r="S46" s="76">
        <v>110.0</v>
      </c>
      <c r="U46" s="87">
        <v>80.0</v>
      </c>
      <c r="V46" s="67">
        <v>1.1023</v>
      </c>
      <c r="Z46" s="87">
        <v>10.0</v>
      </c>
      <c r="AA46" s="70">
        <f t="shared" si="27"/>
        <v>10</v>
      </c>
      <c r="AB46" s="71">
        <f t="shared" si="28"/>
        <v>882.8477723</v>
      </c>
      <c r="AC46" s="71">
        <f>+(S46-T46)*V46-'data 1'!$F$4</f>
        <v>41.253</v>
      </c>
      <c r="AD46" s="71">
        <f t="shared" si="29"/>
        <v>-4.470048801</v>
      </c>
      <c r="AE46" s="71">
        <f t="shared" si="30"/>
        <v>-58.977</v>
      </c>
      <c r="AF46" s="71">
        <f t="shared" si="31"/>
        <v>16.35477189</v>
      </c>
      <c r="AG46" s="72">
        <f t="shared" si="32"/>
        <v>64.16072309</v>
      </c>
      <c r="AH46" s="52">
        <f t="shared" si="33"/>
        <v>49.50280349</v>
      </c>
      <c r="AI46" s="73">
        <f t="shared" si="34"/>
        <v>-3.551333184</v>
      </c>
      <c r="AJ46" s="73">
        <f t="shared" si="35"/>
        <v>48.92655737</v>
      </c>
      <c r="AK46" s="11"/>
      <c r="AL46" s="51">
        <f t="shared" si="36"/>
        <v>4530.231816</v>
      </c>
    </row>
    <row r="47" ht="15.0" customHeight="1">
      <c r="A47" s="92" t="s">
        <v>518</v>
      </c>
      <c r="B47" s="56">
        <v>45792.0</v>
      </c>
      <c r="C47" s="56">
        <v>45788.0</v>
      </c>
      <c r="D47" s="57" t="s">
        <v>88</v>
      </c>
      <c r="E47" s="57" t="str">
        <f t="array" ref="E47">XLOOKUP(D47,RUC!$B$3:$B$110,RUC!$D$3:$D$110)</f>
        <v>#N/A</v>
      </c>
      <c r="G47" s="3">
        <v>45.0</v>
      </c>
      <c r="H47" s="57" t="s">
        <v>47</v>
      </c>
      <c r="I47" s="58">
        <v>5.4</v>
      </c>
      <c r="J47" s="58">
        <v>1.0</v>
      </c>
      <c r="K47" s="59">
        <f t="shared" si="25"/>
        <v>5.346</v>
      </c>
      <c r="L47" s="60">
        <v>0.481</v>
      </c>
      <c r="M47" s="60">
        <v>0.45213999999999993</v>
      </c>
      <c r="N47" s="75">
        <v>0.512</v>
      </c>
      <c r="O47" s="60">
        <f t="shared" si="26"/>
        <v>0.482</v>
      </c>
      <c r="P47" s="58">
        <v>77.34</v>
      </c>
      <c r="Q47" s="58">
        <v>77.34</v>
      </c>
      <c r="R47" s="65">
        <v>3235.4</v>
      </c>
      <c r="S47" s="76">
        <v>115.0</v>
      </c>
      <c r="U47" s="87">
        <v>90.0</v>
      </c>
      <c r="V47" s="67">
        <v>1.1023</v>
      </c>
      <c r="Z47" s="87">
        <v>25.0</v>
      </c>
      <c r="AA47" s="70">
        <f t="shared" si="27"/>
        <v>25</v>
      </c>
      <c r="AB47" s="71">
        <f t="shared" si="28"/>
        <v>1138.16712</v>
      </c>
      <c r="AC47" s="71">
        <f>+(S47-T47)*V47-'data 1'!$F$4</f>
        <v>46.7645</v>
      </c>
      <c r="AD47" s="71">
        <f t="shared" si="29"/>
        <v>0</v>
      </c>
      <c r="AE47" s="71">
        <f t="shared" si="30"/>
        <v>-42.4425</v>
      </c>
      <c r="AF47" s="71">
        <f t="shared" si="31"/>
        <v>-2.681512696</v>
      </c>
      <c r="AG47" s="72">
        <f t="shared" ref="AG47:AG53" si="37">+IF(D47="RONALD WILLIAN GARIBAY ESCUDERO",AC47+AD47+AE47+AF47+70,AC47+AD47+AE47+AF47)+70-26-6-5-5</f>
        <v>29.6404873</v>
      </c>
      <c r="AH47" s="52">
        <f t="shared" si="33"/>
        <v>68.1847524</v>
      </c>
      <c r="AI47" s="73">
        <f t="shared" si="34"/>
        <v>63.395516</v>
      </c>
      <c r="AJ47" s="73">
        <f t="shared" si="35"/>
        <v>68.32650865</v>
      </c>
      <c r="AK47" s="11"/>
      <c r="AL47" s="51">
        <f t="shared" si="36"/>
        <v>6084.641422</v>
      </c>
    </row>
    <row r="48" ht="15.0" customHeight="1">
      <c r="A48" s="92" t="s">
        <v>519</v>
      </c>
      <c r="B48" s="56">
        <v>45792.0</v>
      </c>
      <c r="C48" s="56">
        <v>45788.0</v>
      </c>
      <c r="D48" s="57" t="s">
        <v>88</v>
      </c>
      <c r="E48" s="57" t="str">
        <f t="array" ref="E48">XLOOKUP(D48,RUC!$B$3:$B$110,RUC!$D$3:$D$110)</f>
        <v>#N/A</v>
      </c>
      <c r="G48" s="3">
        <v>50.0</v>
      </c>
      <c r="H48" s="57" t="s">
        <v>47</v>
      </c>
      <c r="I48" s="58">
        <v>6.32</v>
      </c>
      <c r="J48" s="58">
        <v>1.1</v>
      </c>
      <c r="K48" s="59">
        <f t="shared" si="25"/>
        <v>6.25048</v>
      </c>
      <c r="L48" s="60">
        <v>0.457</v>
      </c>
      <c r="M48" s="60">
        <v>0.42958</v>
      </c>
      <c r="N48" s="75">
        <v>0.5</v>
      </c>
      <c r="O48" s="60">
        <f t="shared" si="26"/>
        <v>0.465</v>
      </c>
      <c r="P48" s="58">
        <v>72.65</v>
      </c>
      <c r="Q48" s="58">
        <v>72.65</v>
      </c>
      <c r="R48" s="65">
        <v>3235.4</v>
      </c>
      <c r="S48" s="76">
        <v>115.0</v>
      </c>
      <c r="U48" s="87">
        <v>90.0</v>
      </c>
      <c r="V48" s="67">
        <v>1.1023</v>
      </c>
      <c r="Z48" s="87">
        <v>25.0</v>
      </c>
      <c r="AA48" s="70">
        <f t="shared" si="27"/>
        <v>25</v>
      </c>
      <c r="AB48" s="71">
        <f t="shared" si="28"/>
        <v>1016.967531</v>
      </c>
      <c r="AC48" s="71">
        <f>+(S48-T48)*V48-'data 1'!$F$4</f>
        <v>46.7645</v>
      </c>
      <c r="AD48" s="71">
        <f t="shared" si="29"/>
        <v>0</v>
      </c>
      <c r="AE48" s="71">
        <f t="shared" si="30"/>
        <v>-42.4425</v>
      </c>
      <c r="AF48" s="71">
        <f t="shared" si="31"/>
        <v>-20.15121773</v>
      </c>
      <c r="AG48" s="72">
        <f t="shared" si="37"/>
        <v>12.17078227</v>
      </c>
      <c r="AH48" s="52">
        <f t="shared" si="33"/>
        <v>71.14989407</v>
      </c>
      <c r="AI48" s="73">
        <f t="shared" si="34"/>
        <v>56.57976192</v>
      </c>
      <c r="AJ48" s="73">
        <f t="shared" si="35"/>
        <v>72.39540644</v>
      </c>
      <c r="AK48" s="11"/>
      <c r="AL48" s="51">
        <f t="shared" si="36"/>
        <v>6356.53521</v>
      </c>
    </row>
    <row r="49" ht="15.0" customHeight="1">
      <c r="A49" s="92" t="s">
        <v>520</v>
      </c>
      <c r="B49" s="56">
        <v>45792.0</v>
      </c>
      <c r="C49" s="56">
        <v>45788.0</v>
      </c>
      <c r="D49" s="57" t="s">
        <v>88</v>
      </c>
      <c r="E49" s="57" t="str">
        <f t="array" ref="E49">XLOOKUP(D49,RUC!$B$3:$B$110,RUC!$D$3:$D$110)</f>
        <v>#N/A</v>
      </c>
      <c r="G49" s="3">
        <v>50.0</v>
      </c>
      <c r="H49" s="57" t="s">
        <v>47</v>
      </c>
      <c r="I49" s="58">
        <v>6.4</v>
      </c>
      <c r="J49" s="58">
        <v>1.0</v>
      </c>
      <c r="K49" s="59">
        <f t="shared" si="25"/>
        <v>6.336</v>
      </c>
      <c r="L49" s="60">
        <v>0.415</v>
      </c>
      <c r="M49" s="60">
        <v>0.39009999999999995</v>
      </c>
      <c r="N49" s="75">
        <v>0.461</v>
      </c>
      <c r="O49" s="60">
        <f t="shared" si="26"/>
        <v>0.426</v>
      </c>
      <c r="P49" s="58">
        <v>72.29</v>
      </c>
      <c r="Q49" s="58">
        <v>72.29</v>
      </c>
      <c r="R49" s="65">
        <v>3235.4</v>
      </c>
      <c r="S49" s="76">
        <v>115.0</v>
      </c>
      <c r="U49" s="87">
        <v>90.0</v>
      </c>
      <c r="V49" s="67">
        <v>1.1023</v>
      </c>
      <c r="Z49" s="87">
        <v>25.0</v>
      </c>
      <c r="AA49" s="70">
        <f t="shared" si="27"/>
        <v>25</v>
      </c>
      <c r="AB49" s="71">
        <f t="shared" si="28"/>
        <v>913.4130854</v>
      </c>
      <c r="AC49" s="71">
        <f>+(S49-T49)*V49-'data 1'!$F$4</f>
        <v>46.7645</v>
      </c>
      <c r="AD49" s="71">
        <f t="shared" si="29"/>
        <v>0</v>
      </c>
      <c r="AE49" s="71">
        <f t="shared" si="30"/>
        <v>-42.4425</v>
      </c>
      <c r="AF49" s="71">
        <f t="shared" si="31"/>
        <v>-27.57062427</v>
      </c>
      <c r="AG49" s="72">
        <f t="shared" si="37"/>
        <v>4.75137573</v>
      </c>
      <c r="AH49" s="52">
        <f t="shared" si="33"/>
        <v>65.17042592</v>
      </c>
      <c r="AI49" s="73">
        <f t="shared" si="34"/>
        <v>51.12527045</v>
      </c>
      <c r="AJ49" s="73">
        <f t="shared" si="35"/>
        <v>66.8978348</v>
      </c>
      <c r="AK49" s="11"/>
      <c r="AL49" s="51">
        <f t="shared" si="36"/>
        <v>5787.385309</v>
      </c>
    </row>
    <row r="50" ht="15.0" customHeight="1">
      <c r="A50" s="92" t="s">
        <v>521</v>
      </c>
      <c r="B50" s="56">
        <v>45792.0</v>
      </c>
      <c r="C50" s="56">
        <v>45788.0</v>
      </c>
      <c r="D50" s="57" t="s">
        <v>88</v>
      </c>
      <c r="E50" s="57" t="str">
        <f t="array" ref="E50">XLOOKUP(D50,RUC!$B$3:$B$110,RUC!$D$3:$D$110)</f>
        <v>#N/A</v>
      </c>
      <c r="G50" s="3">
        <v>50.0</v>
      </c>
      <c r="H50" s="57" t="s">
        <v>47</v>
      </c>
      <c r="I50" s="58">
        <v>7.09</v>
      </c>
      <c r="J50" s="58">
        <v>1.1</v>
      </c>
      <c r="K50" s="59">
        <f t="shared" si="25"/>
        <v>7.01201</v>
      </c>
      <c r="L50" s="60">
        <v>0.387</v>
      </c>
      <c r="M50" s="60">
        <v>0.36378</v>
      </c>
      <c r="N50" s="75">
        <v>0.414</v>
      </c>
      <c r="O50" s="60">
        <f t="shared" si="26"/>
        <v>0.389</v>
      </c>
      <c r="P50" s="58">
        <v>57.11</v>
      </c>
      <c r="Q50" s="58">
        <v>57.11</v>
      </c>
      <c r="R50" s="65">
        <v>3235.4</v>
      </c>
      <c r="S50" s="76">
        <v>115.0</v>
      </c>
      <c r="U50" s="87">
        <v>90.0</v>
      </c>
      <c r="V50" s="67">
        <v>1.1023</v>
      </c>
      <c r="Z50" s="87">
        <v>25.0</v>
      </c>
      <c r="AA50" s="70">
        <f t="shared" si="27"/>
        <v>25</v>
      </c>
      <c r="AB50" s="71">
        <f t="shared" si="28"/>
        <v>615.9381881</v>
      </c>
      <c r="AC50" s="71">
        <f>+(S50-T50)*V50-'data 1'!$F$4</f>
        <v>46.7645</v>
      </c>
      <c r="AD50" s="71">
        <f t="shared" si="29"/>
        <v>0</v>
      </c>
      <c r="AE50" s="71">
        <f t="shared" si="30"/>
        <v>-42.4425</v>
      </c>
      <c r="AF50" s="71">
        <f t="shared" si="31"/>
        <v>-3.960206623</v>
      </c>
      <c r="AG50" s="72">
        <f t="shared" si="37"/>
        <v>28.36179338</v>
      </c>
      <c r="AH50" s="52">
        <f t="shared" si="33"/>
        <v>53.13427036</v>
      </c>
      <c r="AI50" s="73">
        <f t="shared" si="34"/>
        <v>37.6645187</v>
      </c>
      <c r="AJ50" s="73">
        <f t="shared" si="35"/>
        <v>53.40886607</v>
      </c>
      <c r="AK50" s="11"/>
      <c r="AL50" s="51">
        <f t="shared" si="36"/>
        <v>4318.964734</v>
      </c>
    </row>
    <row r="51" ht="15.0" customHeight="1">
      <c r="A51" s="92" t="s">
        <v>522</v>
      </c>
      <c r="B51" s="56">
        <v>45792.0</v>
      </c>
      <c r="C51" s="56">
        <v>45788.0</v>
      </c>
      <c r="D51" s="57" t="s">
        <v>88</v>
      </c>
      <c r="E51" s="57" t="str">
        <f t="array" ref="E51">XLOOKUP(D51,RUC!$B$3:$B$110,RUC!$D$3:$D$110)</f>
        <v>#N/A</v>
      </c>
      <c r="G51" s="3">
        <v>50.0</v>
      </c>
      <c r="H51" s="57" t="s">
        <v>47</v>
      </c>
      <c r="I51" s="58">
        <v>7.02</v>
      </c>
      <c r="J51" s="58">
        <v>1.2</v>
      </c>
      <c r="K51" s="59">
        <f t="shared" si="25"/>
        <v>6.93576</v>
      </c>
      <c r="L51" s="60">
        <v>0.5555000000000001</v>
      </c>
      <c r="M51" s="60">
        <v>0.52217</v>
      </c>
      <c r="N51" s="75">
        <v>0.598</v>
      </c>
      <c r="O51" s="60">
        <f t="shared" si="26"/>
        <v>0.56</v>
      </c>
      <c r="P51" s="58">
        <v>61.12</v>
      </c>
      <c r="Q51" s="58">
        <v>61.12</v>
      </c>
      <c r="R51" s="65">
        <v>3235.4</v>
      </c>
      <c r="S51" s="76">
        <v>140.0</v>
      </c>
      <c r="U51" s="87">
        <v>90.0</v>
      </c>
      <c r="V51" s="67">
        <v>1.1023</v>
      </c>
      <c r="Z51" s="87">
        <v>25.0</v>
      </c>
      <c r="AA51" s="70">
        <f t="shared" si="27"/>
        <v>25</v>
      </c>
      <c r="AB51" s="71">
        <f t="shared" si="28"/>
        <v>1004.837223</v>
      </c>
      <c r="AC51" s="71">
        <f>+(S51-T51)*V51-'data 1'!$F$4</f>
        <v>74.322</v>
      </c>
      <c r="AD51" s="71">
        <f t="shared" si="29"/>
        <v>0</v>
      </c>
      <c r="AE51" s="71">
        <f t="shared" si="30"/>
        <v>-42.4425</v>
      </c>
      <c r="AF51" s="71">
        <f t="shared" si="31"/>
        <v>-9.536116525</v>
      </c>
      <c r="AG51" s="72">
        <f t="shared" si="37"/>
        <v>50.34338348</v>
      </c>
      <c r="AH51" s="52">
        <f t="shared" si="33"/>
        <v>80.73661459</v>
      </c>
      <c r="AI51" s="73">
        <f t="shared" si="34"/>
        <v>57.85977039</v>
      </c>
      <c r="AJ51" s="73">
        <f t="shared" si="35"/>
        <v>81.39064657</v>
      </c>
      <c r="AK51" s="11"/>
      <c r="AL51" s="51">
        <f t="shared" si="36"/>
        <v>6969.309818</v>
      </c>
    </row>
    <row r="52" ht="15.0" customHeight="1">
      <c r="A52" s="92" t="s">
        <v>523</v>
      </c>
      <c r="B52" s="56">
        <v>45792.0</v>
      </c>
      <c r="C52" s="56">
        <v>45788.0</v>
      </c>
      <c r="D52" s="57" t="s">
        <v>88</v>
      </c>
      <c r="E52" s="57" t="str">
        <f t="array" ref="E52">XLOOKUP(D52,RUC!$B$3:$B$110,RUC!$D$3:$D$110)</f>
        <v>#N/A</v>
      </c>
      <c r="G52" s="3">
        <v>50.0</v>
      </c>
      <c r="H52" s="57" t="s">
        <v>47</v>
      </c>
      <c r="I52" s="58">
        <v>6.88</v>
      </c>
      <c r="J52" s="58">
        <v>1.1</v>
      </c>
      <c r="K52" s="59">
        <f t="shared" si="25"/>
        <v>6.80432</v>
      </c>
      <c r="L52" s="60">
        <v>0.539</v>
      </c>
      <c r="M52" s="60">
        <v>0.50666</v>
      </c>
      <c r="N52" s="75">
        <v>0.592</v>
      </c>
      <c r="O52" s="60">
        <f t="shared" si="26"/>
        <v>0.549</v>
      </c>
      <c r="P52" s="58">
        <v>74.4</v>
      </c>
      <c r="Q52" s="58">
        <v>74.4</v>
      </c>
      <c r="R52" s="65">
        <v>3235.4</v>
      </c>
      <c r="S52" s="76">
        <v>140.0</v>
      </c>
      <c r="U52" s="87">
        <v>90.0</v>
      </c>
      <c r="V52" s="67">
        <v>1.1023</v>
      </c>
      <c r="Z52" s="87">
        <v>25.0</v>
      </c>
      <c r="AA52" s="70">
        <f t="shared" si="27"/>
        <v>25</v>
      </c>
      <c r="AB52" s="71">
        <f t="shared" si="28"/>
        <v>1234.308695</v>
      </c>
      <c r="AC52" s="71">
        <f>+(S52-T52)*V52-'data 1'!$F$4</f>
        <v>74.322</v>
      </c>
      <c r="AD52" s="71">
        <f t="shared" si="29"/>
        <v>0</v>
      </c>
      <c r="AE52" s="71">
        <f t="shared" si="30"/>
        <v>-42.4425</v>
      </c>
      <c r="AF52" s="71">
        <f t="shared" si="31"/>
        <v>-25.79577768</v>
      </c>
      <c r="AG52" s="72">
        <f t="shared" si="37"/>
        <v>34.08372232</v>
      </c>
      <c r="AH52" s="52">
        <f t="shared" si="33"/>
        <v>93.55252202</v>
      </c>
      <c r="AI52" s="73">
        <f t="shared" si="34"/>
        <v>68.33937423</v>
      </c>
      <c r="AJ52" s="73">
        <f t="shared" si="35"/>
        <v>95.28819033</v>
      </c>
      <c r="AK52" s="11"/>
      <c r="AL52" s="51">
        <f t="shared" si="36"/>
        <v>8398.631339</v>
      </c>
    </row>
    <row r="53" ht="15.0" customHeight="1">
      <c r="A53" s="92" t="s">
        <v>524</v>
      </c>
      <c r="B53" s="56">
        <v>45792.0</v>
      </c>
      <c r="C53" s="56">
        <v>45788.0</v>
      </c>
      <c r="D53" s="57" t="s">
        <v>88</v>
      </c>
      <c r="E53" s="57" t="str">
        <f t="array" ref="E53">XLOOKUP(D53,RUC!$B$3:$B$110,RUC!$D$3:$D$110)</f>
        <v>#N/A</v>
      </c>
      <c r="G53" s="3">
        <v>50.0</v>
      </c>
      <c r="H53" s="57" t="s">
        <v>47</v>
      </c>
      <c r="I53" s="58">
        <v>5.49</v>
      </c>
      <c r="J53" s="58">
        <v>1.0</v>
      </c>
      <c r="K53" s="59">
        <f t="shared" si="25"/>
        <v>5.4351</v>
      </c>
      <c r="L53" s="60">
        <v>0.298</v>
      </c>
      <c r="M53" s="60">
        <v>0.28012</v>
      </c>
      <c r="N53" s="75">
        <v>0.319</v>
      </c>
      <c r="O53" s="107">
        <v>0.28</v>
      </c>
      <c r="P53" s="58">
        <v>93.29</v>
      </c>
      <c r="Q53" s="58">
        <v>93.29</v>
      </c>
      <c r="R53" s="65">
        <v>3235.4</v>
      </c>
      <c r="S53" s="76">
        <v>100.0</v>
      </c>
      <c r="U53" s="87">
        <v>90.0</v>
      </c>
      <c r="V53" s="67">
        <v>1.1023</v>
      </c>
      <c r="Z53" s="87">
        <v>25.0</v>
      </c>
      <c r="AA53" s="70">
        <f t="shared" si="27"/>
        <v>25</v>
      </c>
      <c r="AB53" s="71">
        <f t="shared" si="28"/>
        <v>767.8800646</v>
      </c>
      <c r="AC53" s="71">
        <f>+(S53-T53)*V53-'data 1'!$F$4</f>
        <v>30.23</v>
      </c>
      <c r="AD53" s="71">
        <f t="shared" si="29"/>
        <v>0</v>
      </c>
      <c r="AE53" s="71">
        <f t="shared" si="30"/>
        <v>-42.4425</v>
      </c>
      <c r="AF53" s="71">
        <f t="shared" si="31"/>
        <v>58.2214863</v>
      </c>
      <c r="AG53" s="72">
        <f t="shared" si="37"/>
        <v>74.0089863</v>
      </c>
      <c r="AH53" s="52">
        <f t="shared" si="33"/>
        <v>51.80455715</v>
      </c>
      <c r="AI53" s="73">
        <f t="shared" si="34"/>
        <v>47.37624699</v>
      </c>
      <c r="AJ53" s="73">
        <f t="shared" si="35"/>
        <v>48.67542282</v>
      </c>
      <c r="AK53" s="11"/>
      <c r="AL53" s="51">
        <f t="shared" si="36"/>
        <v>4173.504939</v>
      </c>
    </row>
    <row r="54" ht="15.0" customHeight="1">
      <c r="A54" s="92" t="s">
        <v>525</v>
      </c>
      <c r="B54" s="56">
        <v>45793.0</v>
      </c>
      <c r="C54" s="56">
        <v>45790.0</v>
      </c>
      <c r="D54" s="57" t="s">
        <v>74</v>
      </c>
      <c r="E54" s="57">
        <f t="array" ref="E54">XLOOKUP(D54,RUC!$B$3:$B$110,RUC!$D$3:$D$110)</f>
        <v>10082235774</v>
      </c>
      <c r="G54" s="3">
        <v>39.0</v>
      </c>
      <c r="H54" s="57" t="s">
        <v>47</v>
      </c>
      <c r="I54" s="58">
        <v>4.16</v>
      </c>
      <c r="J54" s="58">
        <v>2.5</v>
      </c>
      <c r="K54" s="59">
        <f t="shared" si="25"/>
        <v>4.056</v>
      </c>
      <c r="L54" s="60">
        <v>0.498</v>
      </c>
      <c r="M54" s="60">
        <v>0.491</v>
      </c>
      <c r="N54" s="62">
        <v>0.491</v>
      </c>
      <c r="O54" s="60">
        <f t="shared" ref="O54:O61" si="38">+ROUND((M54+N54)/2,3)</f>
        <v>0.491</v>
      </c>
      <c r="P54" s="63">
        <v>90.0</v>
      </c>
      <c r="Q54" s="58">
        <v>86.35</v>
      </c>
      <c r="R54" s="65">
        <v>3227.95</v>
      </c>
      <c r="S54" s="76">
        <v>115.0</v>
      </c>
      <c r="U54" s="87">
        <v>80.0</v>
      </c>
      <c r="V54" s="67">
        <v>1.1023</v>
      </c>
      <c r="Z54" s="87">
        <v>10.0</v>
      </c>
      <c r="AA54" s="70">
        <f t="shared" si="27"/>
        <v>10</v>
      </c>
      <c r="AB54" s="71">
        <f t="shared" si="28"/>
        <v>1395.598997</v>
      </c>
      <c r="AC54" s="71">
        <f>+(S54-T54)*V54-'data 1'!$F$4</f>
        <v>46.7645</v>
      </c>
      <c r="AD54" s="71">
        <f t="shared" si="29"/>
        <v>-63.07392253</v>
      </c>
      <c r="AE54" s="71">
        <f t="shared" si="30"/>
        <v>-58.977</v>
      </c>
      <c r="AF54" s="71">
        <f t="shared" si="31"/>
        <v>20.97432606</v>
      </c>
      <c r="AG54" s="72">
        <f t="shared" ref="AG54:AG61" si="39">+IF(D54="RONALD WILLIAN GARIBAY ESCUDERO",AC54+AD54+AE54+AF54+70,AC54+AD54+AE54+AF54)+70</f>
        <v>15.68790353</v>
      </c>
      <c r="AH54" s="52">
        <f t="shared" si="33"/>
        <v>59.79965801</v>
      </c>
      <c r="AI54" s="73">
        <f t="shared" si="34"/>
        <v>72.07388236</v>
      </c>
      <c r="AJ54" s="73">
        <f t="shared" si="35"/>
        <v>61.45129184</v>
      </c>
      <c r="AK54" s="11"/>
      <c r="AL54" s="51">
        <f t="shared" si="36"/>
        <v>5660.549534</v>
      </c>
    </row>
    <row r="55" ht="15.0" customHeight="1">
      <c r="A55" s="92" t="s">
        <v>526</v>
      </c>
      <c r="B55" s="56">
        <v>45793.0</v>
      </c>
      <c r="C55" s="56">
        <v>45790.0</v>
      </c>
      <c r="D55" s="57" t="s">
        <v>74</v>
      </c>
      <c r="E55" s="57">
        <f t="array" ref="E55">XLOOKUP(D55,RUC!$B$3:$B$110,RUC!$D$3:$D$110)</f>
        <v>10082235774</v>
      </c>
      <c r="G55" s="3">
        <v>37.0</v>
      </c>
      <c r="H55" s="57" t="s">
        <v>47</v>
      </c>
      <c r="I55" s="58">
        <v>3.93</v>
      </c>
      <c r="J55" s="58">
        <v>1.9</v>
      </c>
      <c r="K55" s="59">
        <f t="shared" si="25"/>
        <v>3.85533</v>
      </c>
      <c r="L55" s="60">
        <v>0.618</v>
      </c>
      <c r="M55" s="60">
        <v>0.609</v>
      </c>
      <c r="N55" s="75">
        <v>0.647</v>
      </c>
      <c r="O55" s="60">
        <f t="shared" si="38"/>
        <v>0.628</v>
      </c>
      <c r="P55" s="63">
        <v>90.0</v>
      </c>
      <c r="Q55" s="58">
        <v>83.98</v>
      </c>
      <c r="R55" s="65">
        <v>3227.95</v>
      </c>
      <c r="S55" s="76">
        <v>125.0</v>
      </c>
      <c r="U55" s="87">
        <v>80.0</v>
      </c>
      <c r="V55" s="67">
        <v>1.1023</v>
      </c>
      <c r="Z55" s="87">
        <v>10.0</v>
      </c>
      <c r="AA55" s="70">
        <f t="shared" si="27"/>
        <v>10</v>
      </c>
      <c r="AB55" s="71">
        <f t="shared" si="28"/>
        <v>1812.425183</v>
      </c>
      <c r="AC55" s="71">
        <f>+(S55-T55)*V55-'data 1'!$F$4</f>
        <v>57.7875</v>
      </c>
      <c r="AD55" s="71">
        <f t="shared" si="29"/>
        <v>-129.0959445</v>
      </c>
      <c r="AE55" s="71">
        <f t="shared" si="30"/>
        <v>-58.977</v>
      </c>
      <c r="AF55" s="71">
        <f t="shared" si="31"/>
        <v>-29.14093642</v>
      </c>
      <c r="AG55" s="72">
        <f t="shared" si="39"/>
        <v>-89.42638097</v>
      </c>
      <c r="AH55" s="52">
        <f t="shared" si="33"/>
        <v>68.60171492</v>
      </c>
      <c r="AI55" s="73">
        <f t="shared" si="34"/>
        <v>86.98624371</v>
      </c>
      <c r="AJ55" s="73">
        <f t="shared" si="35"/>
        <v>74.70897538</v>
      </c>
      <c r="AK55" s="11"/>
      <c r="AL55" s="51">
        <f t="shared" si="36"/>
        <v>6987.497181</v>
      </c>
    </row>
    <row r="56" ht="15.0" customHeight="1">
      <c r="A56" s="92" t="s">
        <v>527</v>
      </c>
      <c r="B56" s="56">
        <v>45793.0</v>
      </c>
      <c r="C56" s="56">
        <v>45790.0</v>
      </c>
      <c r="D56" s="57" t="s">
        <v>74</v>
      </c>
      <c r="E56" s="57">
        <f t="array" ref="E56">XLOOKUP(D56,RUC!$B$3:$B$110,RUC!$D$3:$D$110)</f>
        <v>10082235774</v>
      </c>
      <c r="G56" s="3">
        <v>56.0</v>
      </c>
      <c r="H56" s="57" t="s">
        <v>47</v>
      </c>
      <c r="I56" s="58">
        <v>5.75</v>
      </c>
      <c r="J56" s="58">
        <v>1.85</v>
      </c>
      <c r="K56" s="59">
        <f t="shared" si="25"/>
        <v>5.643625</v>
      </c>
      <c r="L56" s="60">
        <v>0.315</v>
      </c>
      <c r="M56" s="60">
        <v>0.31</v>
      </c>
      <c r="N56" s="62">
        <v>0.31</v>
      </c>
      <c r="O56" s="60">
        <f t="shared" si="38"/>
        <v>0.31</v>
      </c>
      <c r="P56" s="63">
        <v>90.0</v>
      </c>
      <c r="Q56" s="58">
        <v>92.7</v>
      </c>
      <c r="R56" s="65">
        <v>3227.95</v>
      </c>
      <c r="S56" s="76">
        <v>110.0</v>
      </c>
      <c r="U56" s="87">
        <v>80.0</v>
      </c>
      <c r="V56" s="67">
        <v>1.1023</v>
      </c>
      <c r="Z56" s="87">
        <v>10.0</v>
      </c>
      <c r="AA56" s="70">
        <f t="shared" si="27"/>
        <v>10</v>
      </c>
      <c r="AB56" s="71">
        <f t="shared" si="28"/>
        <v>835.8498945</v>
      </c>
      <c r="AC56" s="71">
        <f>+(S56-T56)*V56-'data 1'!$F$4</f>
        <v>41.253</v>
      </c>
      <c r="AD56" s="71">
        <f t="shared" si="29"/>
        <v>29.51222485</v>
      </c>
      <c r="AE56" s="71">
        <f t="shared" si="30"/>
        <v>-58.977</v>
      </c>
      <c r="AF56" s="71">
        <f t="shared" si="31"/>
        <v>16.0833818</v>
      </c>
      <c r="AG56" s="72">
        <f t="shared" si="39"/>
        <v>97.87160664</v>
      </c>
      <c r="AH56" s="52">
        <f t="shared" si="33"/>
        <v>56.50117842</v>
      </c>
      <c r="AI56" s="73">
        <f t="shared" si="34"/>
        <v>48.9414148</v>
      </c>
      <c r="AJ56" s="73">
        <f t="shared" si="35"/>
        <v>53.9847906</v>
      </c>
      <c r="AK56" s="11"/>
      <c r="AL56" s="51">
        <f t="shared" si="36"/>
        <v>4717.223361</v>
      </c>
    </row>
    <row r="57" ht="15.0" customHeight="1">
      <c r="A57" s="92" t="s">
        <v>528</v>
      </c>
      <c r="B57" s="56">
        <v>45793.0</v>
      </c>
      <c r="C57" s="56">
        <v>45790.0</v>
      </c>
      <c r="D57" s="57" t="s">
        <v>74</v>
      </c>
      <c r="E57" s="57">
        <f t="array" ref="E57">XLOOKUP(D57,RUC!$B$3:$B$110,RUC!$D$3:$D$110)</f>
        <v>10082235774</v>
      </c>
      <c r="G57" s="3">
        <v>36.0</v>
      </c>
      <c r="H57" s="57" t="s">
        <v>47</v>
      </c>
      <c r="I57" s="58">
        <v>3.76</v>
      </c>
      <c r="J57" s="58">
        <v>1.8</v>
      </c>
      <c r="K57" s="59">
        <f t="shared" si="25"/>
        <v>3.69232</v>
      </c>
      <c r="L57" s="60">
        <v>0.472</v>
      </c>
      <c r="M57" s="60">
        <v>0.464</v>
      </c>
      <c r="N57" s="62">
        <v>0.464</v>
      </c>
      <c r="O57" s="60">
        <f t="shared" si="38"/>
        <v>0.464</v>
      </c>
      <c r="P57" s="63">
        <v>90.0</v>
      </c>
      <c r="Q57" s="58">
        <v>93.21</v>
      </c>
      <c r="R57" s="65">
        <v>3227.95</v>
      </c>
      <c r="S57" s="76">
        <v>115.0</v>
      </c>
      <c r="U57" s="87">
        <v>80.0</v>
      </c>
      <c r="V57" s="67">
        <v>1.1023</v>
      </c>
      <c r="Z57" s="87">
        <v>10.0</v>
      </c>
      <c r="AA57" s="70">
        <f t="shared" si="27"/>
        <v>10</v>
      </c>
      <c r="AB57" s="71">
        <f t="shared" si="28"/>
        <v>1311.278355</v>
      </c>
      <c r="AC57" s="71">
        <f>+(S57-T57)*V57-'data 1'!$F$4</f>
        <v>46.7645</v>
      </c>
      <c r="AD57" s="71">
        <f t="shared" si="29"/>
        <v>52.57444105</v>
      </c>
      <c r="AE57" s="71">
        <f t="shared" si="30"/>
        <v>-58.977</v>
      </c>
      <c r="AF57" s="71">
        <f t="shared" si="31"/>
        <v>25.87498627</v>
      </c>
      <c r="AG57" s="72">
        <f t="shared" si="39"/>
        <v>136.2369273</v>
      </c>
      <c r="AH57" s="52">
        <f t="shared" si="33"/>
        <v>55.69457684</v>
      </c>
      <c r="AI57" s="73">
        <f t="shared" si="34"/>
        <v>73.73789549</v>
      </c>
      <c r="AJ57" s="73">
        <f t="shared" si="35"/>
        <v>52.86507978</v>
      </c>
      <c r="AK57" s="11"/>
      <c r="AL57" s="51">
        <f t="shared" si="36"/>
        <v>4841.659296</v>
      </c>
    </row>
    <row r="58" ht="15.0" customHeight="1">
      <c r="A58" s="92" t="s">
        <v>529</v>
      </c>
      <c r="B58" s="56">
        <v>45793.0</v>
      </c>
      <c r="C58" s="56">
        <v>45790.0</v>
      </c>
      <c r="D58" s="57" t="s">
        <v>74</v>
      </c>
      <c r="E58" s="57">
        <f t="array" ref="E58">XLOOKUP(D58,RUC!$B$3:$B$110,RUC!$D$3:$D$110)</f>
        <v>10082235774</v>
      </c>
      <c r="G58" s="3">
        <v>46.0</v>
      </c>
      <c r="H58" s="57" t="s">
        <v>47</v>
      </c>
      <c r="I58" s="58">
        <v>4.61</v>
      </c>
      <c r="J58" s="58">
        <v>1.9</v>
      </c>
      <c r="K58" s="59">
        <f t="shared" si="25"/>
        <v>4.52241</v>
      </c>
      <c r="L58" s="60">
        <v>0.159</v>
      </c>
      <c r="M58" s="60">
        <v>0.156</v>
      </c>
      <c r="N58" s="62">
        <v>0.156</v>
      </c>
      <c r="O58" s="60">
        <f t="shared" si="38"/>
        <v>0.156</v>
      </c>
      <c r="P58" s="63">
        <v>85.0</v>
      </c>
      <c r="Q58" s="58">
        <v>93.06</v>
      </c>
      <c r="R58" s="65">
        <v>3227.95</v>
      </c>
      <c r="S58" s="76">
        <v>95.0</v>
      </c>
      <c r="U58" s="87">
        <v>80.0</v>
      </c>
      <c r="V58" s="67">
        <v>1.1023</v>
      </c>
      <c r="Z58" s="87">
        <v>10.0</v>
      </c>
      <c r="AA58" s="70">
        <f t="shared" si="27"/>
        <v>10</v>
      </c>
      <c r="AB58" s="71">
        <f t="shared" si="28"/>
        <v>344.3785488</v>
      </c>
      <c r="AC58" s="71">
        <f>+(S58-T58)*V58-'data 1'!$F$4</f>
        <v>24.7185</v>
      </c>
      <c r="AD58" s="71">
        <f t="shared" si="29"/>
        <v>44.46924942</v>
      </c>
      <c r="AE58" s="71">
        <f t="shared" si="30"/>
        <v>-58.977</v>
      </c>
      <c r="AF58" s="71">
        <f t="shared" si="31"/>
        <v>9.687504919</v>
      </c>
      <c r="AG58" s="72">
        <f t="shared" si="39"/>
        <v>89.89825434</v>
      </c>
      <c r="AH58" s="52">
        <f t="shared" si="33"/>
        <v>22.94241728</v>
      </c>
      <c r="AI58" s="73">
        <f t="shared" si="34"/>
        <v>24.7996987</v>
      </c>
      <c r="AJ58" s="73">
        <f t="shared" si="35"/>
        <v>20.55997234</v>
      </c>
      <c r="AK58" s="11"/>
      <c r="AL58" s="51">
        <f t="shared" si="36"/>
        <v>1557.420993</v>
      </c>
    </row>
    <row r="59" ht="15.0" customHeight="1">
      <c r="A59" s="92" t="s">
        <v>530</v>
      </c>
      <c r="B59" s="56">
        <v>45793.0</v>
      </c>
      <c r="C59" s="56">
        <v>45790.0</v>
      </c>
      <c r="D59" s="57" t="s">
        <v>74</v>
      </c>
      <c r="E59" s="57">
        <f t="array" ref="E59">XLOOKUP(D59,RUC!$B$3:$B$110,RUC!$D$3:$D$110)</f>
        <v>10082235774</v>
      </c>
      <c r="G59" s="3">
        <v>67.0</v>
      </c>
      <c r="H59" s="57" t="s">
        <v>47</v>
      </c>
      <c r="I59" s="58">
        <v>6.79</v>
      </c>
      <c r="J59" s="58">
        <v>1.2</v>
      </c>
      <c r="K59" s="59">
        <f t="shared" si="25"/>
        <v>6.70852</v>
      </c>
      <c r="L59" s="60">
        <v>0.218</v>
      </c>
      <c r="M59" s="60">
        <v>0.215</v>
      </c>
      <c r="N59" s="62">
        <v>0.215</v>
      </c>
      <c r="O59" s="60">
        <f t="shared" si="38"/>
        <v>0.215</v>
      </c>
      <c r="P59" s="63">
        <v>90.0</v>
      </c>
      <c r="Q59" s="58">
        <v>91.74</v>
      </c>
      <c r="R59" s="65">
        <v>3227.95</v>
      </c>
      <c r="S59" s="76">
        <v>105.0</v>
      </c>
      <c r="U59" s="87">
        <v>80.0</v>
      </c>
      <c r="V59" s="67">
        <v>1.1023</v>
      </c>
      <c r="Z59" s="87">
        <v>10.0</v>
      </c>
      <c r="AA59" s="70">
        <f t="shared" si="27"/>
        <v>10</v>
      </c>
      <c r="AB59" s="71">
        <f t="shared" si="28"/>
        <v>544.6776526</v>
      </c>
      <c r="AC59" s="71">
        <f>+(S59-T59)*V59-'data 1'!$F$4</f>
        <v>35.7415</v>
      </c>
      <c r="AD59" s="71">
        <f t="shared" si="29"/>
        <v>13.16234818</v>
      </c>
      <c r="AE59" s="71">
        <f t="shared" si="30"/>
        <v>-58.977</v>
      </c>
      <c r="AF59" s="71">
        <f t="shared" si="31"/>
        <v>9.550093501</v>
      </c>
      <c r="AG59" s="72">
        <f t="shared" si="39"/>
        <v>69.47694168</v>
      </c>
      <c r="AH59" s="52">
        <f t="shared" si="33"/>
        <v>45.99927826</v>
      </c>
      <c r="AI59" s="73">
        <f t="shared" si="34"/>
        <v>33.51980329</v>
      </c>
      <c r="AJ59" s="73">
        <f t="shared" si="35"/>
        <v>44.50581491</v>
      </c>
      <c r="AK59" s="11"/>
      <c r="AL59" s="51">
        <f t="shared" si="36"/>
        <v>3653.980926</v>
      </c>
    </row>
    <row r="60" ht="15.0" customHeight="1">
      <c r="A60" s="92" t="s">
        <v>531</v>
      </c>
      <c r="B60" s="56">
        <v>45793.0</v>
      </c>
      <c r="C60" s="56">
        <v>45790.0</v>
      </c>
      <c r="D60" s="57" t="s">
        <v>74</v>
      </c>
      <c r="E60" s="57">
        <f t="array" ref="E60">XLOOKUP(D60,RUC!$B$3:$B$110,RUC!$D$3:$D$110)</f>
        <v>10082235774</v>
      </c>
      <c r="G60" s="3">
        <v>20.0</v>
      </c>
      <c r="H60" s="57" t="s">
        <v>47</v>
      </c>
      <c r="I60" s="58">
        <v>1.99</v>
      </c>
      <c r="J60" s="58">
        <v>1.3</v>
      </c>
      <c r="K60" s="59">
        <f t="shared" si="25"/>
        <v>1.96413</v>
      </c>
      <c r="L60" s="60">
        <v>0.128</v>
      </c>
      <c r="M60" s="60">
        <v>0.126</v>
      </c>
      <c r="N60" s="62">
        <v>0.126</v>
      </c>
      <c r="O60" s="60">
        <f t="shared" si="38"/>
        <v>0.126</v>
      </c>
      <c r="P60" s="63">
        <v>85.0</v>
      </c>
      <c r="Q60" s="58">
        <v>95.31</v>
      </c>
      <c r="R60" s="65">
        <v>3227.95</v>
      </c>
      <c r="S60" s="76">
        <v>95.0</v>
      </c>
      <c r="U60" s="87">
        <v>80.0</v>
      </c>
      <c r="V60" s="67">
        <v>1.1023</v>
      </c>
      <c r="Z60" s="87">
        <v>10.0</v>
      </c>
      <c r="AA60" s="70">
        <f t="shared" si="27"/>
        <v>10</v>
      </c>
      <c r="AB60" s="71">
        <f t="shared" si="28"/>
        <v>255.893924</v>
      </c>
      <c r="AC60" s="71">
        <f>+(S60-T60)*V60-'data 1'!$F$4</f>
        <v>24.7185</v>
      </c>
      <c r="AD60" s="71">
        <f t="shared" si="29"/>
        <v>45.79270181</v>
      </c>
      <c r="AE60" s="71">
        <f t="shared" si="30"/>
        <v>-58.977</v>
      </c>
      <c r="AF60" s="71">
        <f t="shared" si="31"/>
        <v>6.61448595</v>
      </c>
      <c r="AG60" s="72">
        <f t="shared" si="39"/>
        <v>88.14868776</v>
      </c>
      <c r="AH60" s="52">
        <f t="shared" si="33"/>
        <v>8.215381535</v>
      </c>
      <c r="AI60" s="73">
        <f t="shared" si="34"/>
        <v>20.44723889</v>
      </c>
      <c r="AJ60" s="73">
        <f t="shared" si="35"/>
        <v>7.212216734</v>
      </c>
      <c r="AK60" s="11"/>
      <c r="AL60" s="51">
        <f t="shared" si="36"/>
        <v>502.608933</v>
      </c>
    </row>
    <row r="61" ht="15.0" customHeight="1">
      <c r="A61" s="92" t="s">
        <v>532</v>
      </c>
      <c r="B61" s="56">
        <v>45793.0</v>
      </c>
      <c r="C61" s="56">
        <v>45790.0</v>
      </c>
      <c r="D61" s="57" t="s">
        <v>74</v>
      </c>
      <c r="E61" s="57">
        <f t="array" ref="E61">XLOOKUP(D61,RUC!$B$3:$B$110,RUC!$D$3:$D$110)</f>
        <v>10082235774</v>
      </c>
      <c r="G61" s="3">
        <v>42.0</v>
      </c>
      <c r="H61" s="57" t="s">
        <v>47</v>
      </c>
      <c r="I61" s="58">
        <v>3.7</v>
      </c>
      <c r="J61" s="58">
        <v>3.8</v>
      </c>
      <c r="K61" s="59">
        <f t="shared" si="25"/>
        <v>3.5594</v>
      </c>
      <c r="L61" s="60">
        <v>0.256</v>
      </c>
      <c r="M61" s="60">
        <v>0.252</v>
      </c>
      <c r="N61" s="75">
        <v>0.274</v>
      </c>
      <c r="O61" s="60">
        <f t="shared" si="38"/>
        <v>0.263</v>
      </c>
      <c r="P61" s="63">
        <v>90.0</v>
      </c>
      <c r="Q61" s="58">
        <v>83.59</v>
      </c>
      <c r="R61" s="65">
        <v>3227.95</v>
      </c>
      <c r="S61" s="76">
        <v>105.0</v>
      </c>
      <c r="U61" s="87">
        <v>80.0</v>
      </c>
      <c r="V61" s="67">
        <v>1.1023</v>
      </c>
      <c r="Z61" s="87">
        <v>10.0</v>
      </c>
      <c r="AA61" s="70">
        <f t="shared" si="27"/>
        <v>10</v>
      </c>
      <c r="AB61" s="71">
        <f t="shared" si="28"/>
        <v>694.581017</v>
      </c>
      <c r="AC61" s="71">
        <f>+(S61-T61)*V61-'data 1'!$F$4</f>
        <v>35.7415</v>
      </c>
      <c r="AD61" s="71">
        <f t="shared" si="29"/>
        <v>-56.94107053</v>
      </c>
      <c r="AE61" s="71">
        <f t="shared" si="30"/>
        <v>-58.977</v>
      </c>
      <c r="AF61" s="71">
        <f t="shared" si="31"/>
        <v>-20.3039249</v>
      </c>
      <c r="AG61" s="72">
        <f t="shared" si="39"/>
        <v>-30.48049543</v>
      </c>
      <c r="AH61" s="52">
        <f t="shared" si="33"/>
        <v>26.11440625</v>
      </c>
      <c r="AI61" s="73">
        <f t="shared" si="34"/>
        <v>35.8658</v>
      </c>
      <c r="AJ61" s="73">
        <f t="shared" si="35"/>
        <v>28.8857816</v>
      </c>
      <c r="AK61" s="11"/>
      <c r="AL61" s="51">
        <f t="shared" si="36"/>
        <v>2472.291672</v>
      </c>
    </row>
    <row r="62" ht="15.0" customHeight="1">
      <c r="A62" s="124" t="s">
        <v>533</v>
      </c>
      <c r="B62" s="56">
        <v>45798.0</v>
      </c>
      <c r="C62" s="56">
        <v>45791.0</v>
      </c>
      <c r="D62" s="57" t="s">
        <v>88</v>
      </c>
      <c r="E62" s="57" t="str">
        <f t="array" ref="E62">XLOOKUP(D62,RUC!$B$3:$B$110,RUC!$D$3:$D$110)</f>
        <v>#N/A</v>
      </c>
      <c r="G62" s="3"/>
      <c r="I62" s="58"/>
      <c r="J62" s="58"/>
      <c r="K62" s="59"/>
      <c r="L62" s="60"/>
      <c r="M62" s="60"/>
      <c r="N62" s="75"/>
      <c r="O62" s="60"/>
      <c r="P62" s="63"/>
      <c r="Q62" s="58"/>
      <c r="R62" s="65"/>
      <c r="S62" s="76"/>
      <c r="U62" s="87"/>
      <c r="V62" s="67"/>
      <c r="Z62" s="87"/>
      <c r="AA62" s="70"/>
      <c r="AB62" s="71"/>
      <c r="AC62" s="71"/>
      <c r="AD62" s="71"/>
      <c r="AE62" s="71"/>
      <c r="AF62" s="71"/>
      <c r="AG62" s="72"/>
      <c r="AH62" s="52"/>
      <c r="AI62" s="73"/>
      <c r="AJ62" s="73"/>
      <c r="AK62" s="11"/>
      <c r="AL62" s="51"/>
    </row>
    <row r="63" ht="15.0" customHeight="1">
      <c r="A63" s="124" t="s">
        <v>534</v>
      </c>
      <c r="B63" s="56">
        <v>45798.0</v>
      </c>
      <c r="C63" s="56">
        <v>45791.0</v>
      </c>
      <c r="D63" s="57" t="s">
        <v>88</v>
      </c>
      <c r="E63" s="57" t="str">
        <f t="array" ref="E63">XLOOKUP(D63,RUC!$B$3:$B$110,RUC!$D$3:$D$110)</f>
        <v>#N/A</v>
      </c>
      <c r="G63" s="3"/>
      <c r="I63" s="58"/>
      <c r="J63" s="58"/>
      <c r="K63" s="59"/>
      <c r="L63" s="60"/>
      <c r="M63" s="60"/>
      <c r="N63" s="75"/>
      <c r="O63" s="60"/>
      <c r="P63" s="63"/>
      <c r="Q63" s="58"/>
      <c r="R63" s="65"/>
      <c r="S63" s="76"/>
      <c r="U63" s="87"/>
      <c r="V63" s="67"/>
      <c r="Z63" s="87"/>
      <c r="AA63" s="70"/>
      <c r="AB63" s="71"/>
      <c r="AC63" s="71"/>
      <c r="AD63" s="71"/>
      <c r="AE63" s="71"/>
      <c r="AF63" s="71"/>
      <c r="AG63" s="72"/>
      <c r="AH63" s="52"/>
      <c r="AI63" s="73"/>
      <c r="AJ63" s="73"/>
      <c r="AK63" s="11"/>
      <c r="AL63" s="51"/>
    </row>
    <row r="64" ht="15.0" customHeight="1">
      <c r="A64" s="124" t="s">
        <v>535</v>
      </c>
      <c r="B64" s="56">
        <v>45798.0</v>
      </c>
      <c r="C64" s="56">
        <v>45791.0</v>
      </c>
      <c r="D64" s="57" t="s">
        <v>88</v>
      </c>
      <c r="E64" s="57" t="str">
        <f t="array" ref="E64">XLOOKUP(D64,RUC!$B$3:$B$110,RUC!$D$3:$D$110)</f>
        <v>#N/A</v>
      </c>
      <c r="G64" s="3"/>
      <c r="I64" s="58"/>
      <c r="J64" s="58"/>
      <c r="K64" s="59"/>
      <c r="L64" s="60"/>
      <c r="M64" s="60"/>
      <c r="N64" s="75"/>
      <c r="O64" s="60"/>
      <c r="P64" s="63"/>
      <c r="Q64" s="58"/>
      <c r="R64" s="65"/>
      <c r="S64" s="76"/>
      <c r="U64" s="87"/>
      <c r="V64" s="67"/>
      <c r="Z64" s="87"/>
      <c r="AA64" s="70"/>
      <c r="AB64" s="71"/>
      <c r="AC64" s="71"/>
      <c r="AD64" s="71"/>
      <c r="AE64" s="71"/>
      <c r="AF64" s="71"/>
      <c r="AG64" s="72"/>
      <c r="AH64" s="52"/>
      <c r="AI64" s="73"/>
      <c r="AJ64" s="73"/>
      <c r="AK64" s="11"/>
      <c r="AL64" s="51"/>
    </row>
    <row r="65" ht="15.0" customHeight="1">
      <c r="A65" s="124" t="s">
        <v>536</v>
      </c>
      <c r="B65" s="56">
        <v>45798.0</v>
      </c>
      <c r="C65" s="56">
        <v>45791.0</v>
      </c>
      <c r="D65" s="57" t="s">
        <v>88</v>
      </c>
      <c r="E65" s="57" t="str">
        <f t="array" ref="E65">XLOOKUP(D65,RUC!$B$3:$B$110,RUC!$D$3:$D$110)</f>
        <v>#N/A</v>
      </c>
      <c r="G65" s="3"/>
      <c r="I65" s="58"/>
      <c r="J65" s="58"/>
      <c r="K65" s="59"/>
      <c r="L65" s="60"/>
      <c r="M65" s="60"/>
      <c r="N65" s="75"/>
      <c r="O65" s="60"/>
      <c r="P65" s="63"/>
      <c r="Q65" s="58"/>
      <c r="R65" s="65"/>
      <c r="S65" s="76"/>
      <c r="U65" s="87"/>
      <c r="V65" s="67"/>
      <c r="Z65" s="87"/>
      <c r="AA65" s="70"/>
      <c r="AB65" s="71"/>
      <c r="AC65" s="71"/>
      <c r="AD65" s="71"/>
      <c r="AE65" s="71"/>
      <c r="AF65" s="71"/>
      <c r="AG65" s="72"/>
      <c r="AH65" s="52"/>
      <c r="AI65" s="73"/>
      <c r="AJ65" s="73"/>
      <c r="AK65" s="11"/>
      <c r="AL65" s="51"/>
    </row>
    <row r="66" ht="15.0" customHeight="1">
      <c r="A66" s="124" t="s">
        <v>537</v>
      </c>
      <c r="B66" s="56">
        <v>45798.0</v>
      </c>
      <c r="C66" s="56">
        <v>45791.0</v>
      </c>
      <c r="D66" s="57" t="s">
        <v>88</v>
      </c>
      <c r="E66" s="57" t="str">
        <f t="array" ref="E66">XLOOKUP(D66,RUC!$B$3:$B$110,RUC!$D$3:$D$110)</f>
        <v>#N/A</v>
      </c>
      <c r="G66" s="3"/>
      <c r="I66" s="58"/>
      <c r="J66" s="58"/>
      <c r="K66" s="59"/>
      <c r="L66" s="60"/>
      <c r="M66" s="60"/>
      <c r="N66" s="75"/>
      <c r="O66" s="60"/>
      <c r="P66" s="63"/>
      <c r="Q66" s="58"/>
      <c r="R66" s="65"/>
      <c r="S66" s="76"/>
      <c r="U66" s="87"/>
      <c r="V66" s="67"/>
      <c r="Z66" s="87"/>
      <c r="AA66" s="70"/>
      <c r="AB66" s="71"/>
      <c r="AC66" s="71"/>
      <c r="AD66" s="71"/>
      <c r="AE66" s="71"/>
      <c r="AF66" s="71"/>
      <c r="AG66" s="72"/>
      <c r="AH66" s="52"/>
      <c r="AI66" s="73"/>
      <c r="AJ66" s="73"/>
      <c r="AK66" s="11"/>
      <c r="AL66" s="51"/>
    </row>
    <row r="67" ht="15.0" customHeight="1">
      <c r="A67" s="124" t="s">
        <v>538</v>
      </c>
      <c r="B67" s="56">
        <v>45798.0</v>
      </c>
      <c r="C67" s="56">
        <v>45791.0</v>
      </c>
      <c r="D67" s="57" t="s">
        <v>88</v>
      </c>
      <c r="E67" s="57" t="str">
        <f t="array" ref="E67">XLOOKUP(D67,RUC!$B$3:$B$110,RUC!$D$3:$D$110)</f>
        <v>#N/A</v>
      </c>
      <c r="G67" s="3"/>
      <c r="I67" s="58"/>
      <c r="J67" s="58"/>
      <c r="K67" s="59"/>
      <c r="L67" s="60"/>
      <c r="M67" s="60"/>
      <c r="N67" s="60"/>
      <c r="O67" s="60"/>
      <c r="P67" s="63"/>
      <c r="Q67" s="58"/>
      <c r="R67" s="65"/>
      <c r="S67" s="76"/>
      <c r="U67" s="87"/>
      <c r="V67" s="67"/>
      <c r="Z67" s="87"/>
      <c r="AA67" s="70"/>
      <c r="AB67" s="71"/>
      <c r="AC67" s="71"/>
      <c r="AD67" s="71"/>
      <c r="AE67" s="71"/>
      <c r="AF67" s="71"/>
      <c r="AG67" s="72"/>
      <c r="AH67" s="52"/>
      <c r="AI67" s="73"/>
      <c r="AJ67" s="73"/>
      <c r="AK67" s="11"/>
      <c r="AL67" s="51"/>
    </row>
    <row r="68" ht="15.0" customHeight="1">
      <c r="A68" s="124" t="s">
        <v>539</v>
      </c>
      <c r="B68" s="56">
        <v>45798.0</v>
      </c>
      <c r="C68" s="56">
        <v>45791.0</v>
      </c>
      <c r="D68" s="57" t="s">
        <v>88</v>
      </c>
      <c r="E68" s="57" t="str">
        <f t="array" ref="E68">XLOOKUP(D68,RUC!$B$3:$B$110,RUC!$D$3:$D$110)</f>
        <v>#N/A</v>
      </c>
      <c r="G68" s="3"/>
      <c r="I68" s="58"/>
      <c r="J68" s="58"/>
      <c r="K68" s="59"/>
      <c r="L68" s="60"/>
      <c r="M68" s="60"/>
      <c r="N68" s="75"/>
      <c r="O68" s="60"/>
      <c r="P68" s="63"/>
      <c r="Q68" s="58"/>
      <c r="R68" s="65"/>
      <c r="S68" s="76"/>
      <c r="U68" s="87"/>
      <c r="V68" s="67"/>
      <c r="Z68" s="87"/>
      <c r="AA68" s="70"/>
      <c r="AB68" s="71"/>
      <c r="AC68" s="71"/>
      <c r="AD68" s="71"/>
      <c r="AE68" s="71"/>
      <c r="AF68" s="71"/>
      <c r="AG68" s="72"/>
      <c r="AH68" s="52"/>
      <c r="AI68" s="73"/>
      <c r="AJ68" s="73"/>
      <c r="AK68" s="11"/>
      <c r="AL68" s="51"/>
    </row>
    <row r="69" ht="15.0" customHeight="1">
      <c r="B69" s="56"/>
      <c r="C69" s="56"/>
      <c r="G69" s="3"/>
      <c r="L69" s="60"/>
      <c r="M69" s="60"/>
      <c r="N69" s="62"/>
      <c r="P69" s="63"/>
      <c r="R69" s="65"/>
      <c r="AG69" s="91"/>
    </row>
    <row r="70" ht="15.0" customHeight="1">
      <c r="B70" s="56"/>
      <c r="C70" s="56"/>
      <c r="G70" s="3"/>
      <c r="L70" s="60"/>
      <c r="M70" s="60"/>
      <c r="N70" s="62"/>
      <c r="P70" s="63"/>
      <c r="R70" s="65"/>
      <c r="AG70" s="91"/>
    </row>
    <row r="71" ht="15.0" customHeight="1">
      <c r="B71" s="56"/>
      <c r="C71" s="56"/>
      <c r="G71" s="3"/>
      <c r="L71" s="60"/>
      <c r="M71" s="60"/>
      <c r="N71" s="62"/>
      <c r="P71" s="63"/>
      <c r="R71" s="65"/>
      <c r="AG71" s="91"/>
    </row>
    <row r="72" ht="15.0" customHeight="1">
      <c r="B72" s="56"/>
      <c r="C72" s="56"/>
      <c r="G72" s="3"/>
      <c r="L72" s="60"/>
      <c r="M72" s="60"/>
      <c r="N72" s="62"/>
      <c r="P72" s="63"/>
      <c r="R72" s="65"/>
      <c r="AG72" s="91"/>
    </row>
    <row r="73" ht="15.0" customHeight="1">
      <c r="B73" s="56"/>
      <c r="C73" s="56"/>
      <c r="G73" s="3"/>
      <c r="L73" s="60"/>
      <c r="M73" s="60"/>
      <c r="N73" s="62"/>
      <c r="P73" s="63"/>
      <c r="R73" s="65"/>
      <c r="AG73" s="91"/>
    </row>
    <row r="74" ht="15.0" customHeight="1">
      <c r="B74" s="56"/>
      <c r="C74" s="56"/>
      <c r="G74" s="3"/>
      <c r="L74" s="60"/>
      <c r="M74" s="60"/>
      <c r="N74" s="62"/>
      <c r="P74" s="63"/>
      <c r="R74" s="65"/>
      <c r="AG74" s="91"/>
    </row>
    <row r="75" ht="15.0" customHeight="1">
      <c r="B75" s="56"/>
      <c r="C75" s="56"/>
      <c r="G75" s="3"/>
      <c r="L75" s="60"/>
      <c r="M75" s="60"/>
      <c r="N75" s="62"/>
      <c r="P75" s="63"/>
      <c r="R75" s="65"/>
      <c r="AG75" s="91"/>
    </row>
    <row r="76" ht="15.0" customHeight="1">
      <c r="B76" s="56"/>
      <c r="C76" s="56"/>
      <c r="G76" s="3"/>
      <c r="L76" s="60"/>
      <c r="M76" s="60"/>
      <c r="N76" s="62"/>
      <c r="P76" s="63"/>
      <c r="R76" s="65"/>
      <c r="AG76" s="91"/>
    </row>
    <row r="77" ht="15.0" customHeight="1">
      <c r="B77" s="56"/>
      <c r="C77" s="56"/>
      <c r="G77" s="3"/>
      <c r="L77" s="60"/>
      <c r="M77" s="60"/>
      <c r="N77" s="62"/>
      <c r="P77" s="63"/>
      <c r="R77" s="65"/>
      <c r="AG77" s="91"/>
    </row>
    <row r="78" ht="15.0" customHeight="1">
      <c r="B78" s="56"/>
      <c r="C78" s="56"/>
      <c r="G78" s="3"/>
      <c r="L78" s="60"/>
      <c r="M78" s="60"/>
      <c r="N78" s="62"/>
      <c r="P78" s="63"/>
      <c r="R78" s="65"/>
      <c r="AG78" s="91"/>
    </row>
    <row r="79" ht="15.0" customHeight="1">
      <c r="B79" s="56"/>
      <c r="C79" s="56"/>
      <c r="G79" s="3"/>
      <c r="L79" s="60"/>
      <c r="M79" s="60"/>
      <c r="N79" s="62"/>
      <c r="P79" s="63"/>
      <c r="R79" s="65"/>
      <c r="AG79" s="91"/>
    </row>
    <row r="80" ht="15.0" customHeight="1">
      <c r="B80" s="56"/>
      <c r="C80" s="56"/>
      <c r="G80" s="3"/>
      <c r="L80" s="60"/>
      <c r="M80" s="60"/>
      <c r="N80" s="62"/>
      <c r="P80" s="63"/>
      <c r="R80" s="65"/>
      <c r="AG80" s="91"/>
    </row>
    <row r="81" ht="15.0" customHeight="1">
      <c r="B81" s="56"/>
      <c r="C81" s="56"/>
      <c r="G81" s="3"/>
      <c r="L81" s="60"/>
      <c r="M81" s="60"/>
      <c r="N81" s="62"/>
      <c r="P81" s="63"/>
      <c r="R81" s="65"/>
      <c r="AG81" s="91"/>
    </row>
    <row r="82" ht="15.0" customHeight="1">
      <c r="B82" s="56"/>
      <c r="C82" s="56"/>
      <c r="G82" s="3"/>
      <c r="L82" s="60"/>
      <c r="M82" s="60"/>
      <c r="N82" s="62"/>
      <c r="P82" s="63"/>
      <c r="R82" s="65"/>
      <c r="AG82" s="91"/>
    </row>
    <row r="83" ht="15.0" customHeight="1">
      <c r="B83" s="56"/>
      <c r="C83" s="56"/>
      <c r="G83" s="3"/>
      <c r="L83" s="60"/>
      <c r="M83" s="60"/>
      <c r="N83" s="62"/>
      <c r="P83" s="63"/>
      <c r="R83" s="65"/>
      <c r="AG83" s="91"/>
    </row>
    <row r="84" ht="15.0" customHeight="1">
      <c r="B84" s="56"/>
      <c r="C84" s="56"/>
      <c r="G84" s="3"/>
      <c r="L84" s="60"/>
      <c r="M84" s="60"/>
      <c r="N84" s="62"/>
      <c r="P84" s="63"/>
      <c r="R84" s="65"/>
      <c r="AG84" s="91"/>
    </row>
    <row r="85" ht="15.0" customHeight="1">
      <c r="B85" s="56"/>
      <c r="C85" s="56"/>
      <c r="G85" s="3"/>
      <c r="L85" s="60"/>
      <c r="M85" s="60"/>
      <c r="N85" s="62"/>
      <c r="P85" s="63"/>
      <c r="R85" s="65"/>
      <c r="AG85" s="91"/>
    </row>
    <row r="86" ht="15.0" customHeight="1">
      <c r="B86" s="56"/>
      <c r="C86" s="56"/>
      <c r="G86" s="3"/>
      <c r="L86" s="60"/>
      <c r="M86" s="60"/>
      <c r="N86" s="62"/>
      <c r="P86" s="63"/>
      <c r="R86" s="65"/>
      <c r="AG86" s="91"/>
    </row>
    <row r="87" ht="15.0" customHeight="1">
      <c r="B87" s="56"/>
      <c r="C87" s="56"/>
      <c r="G87" s="3"/>
      <c r="L87" s="60"/>
      <c r="M87" s="60"/>
      <c r="N87" s="62"/>
      <c r="P87" s="63"/>
      <c r="R87" s="65"/>
      <c r="AG87" s="91"/>
    </row>
    <row r="88" ht="15.0" customHeight="1">
      <c r="B88" s="56"/>
      <c r="C88" s="56"/>
      <c r="G88" s="3"/>
      <c r="L88" s="60"/>
      <c r="M88" s="60"/>
      <c r="N88" s="62"/>
      <c r="P88" s="63"/>
      <c r="R88" s="65"/>
      <c r="AG88" s="91"/>
    </row>
    <row r="89" ht="15.0" customHeight="1">
      <c r="B89" s="56"/>
      <c r="C89" s="56"/>
      <c r="G89" s="3"/>
      <c r="L89" s="60"/>
      <c r="M89" s="60"/>
      <c r="N89" s="62"/>
      <c r="P89" s="63"/>
      <c r="R89" s="65"/>
      <c r="AG89" s="91"/>
    </row>
    <row r="90" ht="15.0" customHeight="1">
      <c r="B90" s="56"/>
      <c r="C90" s="56"/>
      <c r="G90" s="3"/>
      <c r="L90" s="60"/>
      <c r="M90" s="60"/>
      <c r="N90" s="62"/>
      <c r="P90" s="63"/>
      <c r="R90" s="65"/>
      <c r="AG90" s="91"/>
    </row>
    <row r="91" ht="15.0" customHeight="1">
      <c r="B91" s="56"/>
      <c r="C91" s="56"/>
      <c r="G91" s="3"/>
      <c r="L91" s="60"/>
      <c r="M91" s="60"/>
      <c r="N91" s="62"/>
      <c r="P91" s="63"/>
      <c r="R91" s="65"/>
      <c r="AG91" s="91"/>
    </row>
    <row r="92" ht="15.0" customHeight="1">
      <c r="B92" s="56"/>
      <c r="C92" s="56"/>
      <c r="G92" s="3"/>
      <c r="L92" s="60"/>
      <c r="M92" s="60"/>
      <c r="N92" s="62"/>
      <c r="P92" s="63"/>
      <c r="R92" s="65"/>
      <c r="AG92" s="91"/>
    </row>
    <row r="93" ht="15.0" customHeight="1">
      <c r="B93" s="56"/>
      <c r="C93" s="56"/>
      <c r="G93" s="3"/>
      <c r="L93" s="60"/>
      <c r="M93" s="60"/>
      <c r="N93" s="62"/>
      <c r="P93" s="63"/>
      <c r="R93" s="65"/>
      <c r="AG93" s="91"/>
    </row>
    <row r="94" ht="15.0" customHeight="1">
      <c r="B94" s="56"/>
      <c r="C94" s="56"/>
      <c r="G94" s="3"/>
      <c r="L94" s="60"/>
      <c r="M94" s="60"/>
      <c r="N94" s="62"/>
      <c r="P94" s="63"/>
      <c r="R94" s="65"/>
      <c r="AG94" s="91"/>
    </row>
    <row r="95" ht="15.0" customHeight="1">
      <c r="B95" s="56"/>
      <c r="C95" s="56"/>
      <c r="G95" s="3"/>
      <c r="L95" s="60"/>
      <c r="M95" s="60"/>
      <c r="N95" s="62"/>
      <c r="P95" s="63"/>
      <c r="R95" s="65"/>
      <c r="AG95" s="91"/>
    </row>
    <row r="96" ht="15.0" customHeight="1">
      <c r="B96" s="56"/>
      <c r="C96" s="56"/>
      <c r="G96" s="3"/>
      <c r="L96" s="60"/>
      <c r="M96" s="60"/>
      <c r="N96" s="62"/>
      <c r="P96" s="63"/>
      <c r="R96" s="65"/>
      <c r="AG96" s="91"/>
    </row>
    <row r="97" ht="15.0" customHeight="1">
      <c r="B97" s="56"/>
      <c r="C97" s="56"/>
      <c r="G97" s="3"/>
      <c r="L97" s="60"/>
      <c r="M97" s="60"/>
      <c r="N97" s="62"/>
      <c r="P97" s="63"/>
      <c r="R97" s="65"/>
      <c r="AG97" s="91"/>
    </row>
    <row r="98" ht="15.0" customHeight="1">
      <c r="B98" s="56"/>
      <c r="C98" s="56"/>
      <c r="G98" s="3"/>
      <c r="L98" s="60"/>
      <c r="M98" s="60"/>
      <c r="N98" s="62"/>
      <c r="P98" s="63"/>
      <c r="R98" s="65"/>
      <c r="AG98" s="91"/>
    </row>
    <row r="99" ht="15.0" customHeight="1">
      <c r="B99" s="56"/>
      <c r="C99" s="56"/>
      <c r="G99" s="3"/>
      <c r="L99" s="60"/>
      <c r="M99" s="60"/>
      <c r="N99" s="62"/>
      <c r="P99" s="63"/>
      <c r="R99" s="65"/>
      <c r="AG99" s="91"/>
    </row>
    <row r="100" ht="15.0" customHeight="1">
      <c r="B100" s="56"/>
      <c r="C100" s="56"/>
      <c r="G100" s="3"/>
      <c r="L100" s="60"/>
      <c r="M100" s="60"/>
      <c r="N100" s="62"/>
      <c r="P100" s="63"/>
      <c r="R100" s="65"/>
      <c r="AG100" s="91"/>
    </row>
    <row r="101" ht="15.0" customHeight="1">
      <c r="B101" s="56"/>
      <c r="C101" s="56"/>
      <c r="G101" s="3"/>
      <c r="L101" s="60"/>
      <c r="M101" s="60"/>
      <c r="N101" s="62"/>
      <c r="P101" s="63"/>
      <c r="R101" s="65"/>
      <c r="AG101" s="91"/>
    </row>
    <row r="102" ht="15.0" customHeight="1">
      <c r="B102" s="56"/>
      <c r="C102" s="56"/>
      <c r="G102" s="3"/>
      <c r="L102" s="60"/>
      <c r="M102" s="60"/>
      <c r="N102" s="62"/>
      <c r="P102" s="63"/>
      <c r="R102" s="65"/>
      <c r="AG102" s="91"/>
    </row>
    <row r="103" ht="15.0" customHeight="1">
      <c r="B103" s="56"/>
      <c r="C103" s="56"/>
      <c r="G103" s="3"/>
      <c r="L103" s="60"/>
      <c r="M103" s="60"/>
      <c r="N103" s="62"/>
      <c r="P103" s="63"/>
      <c r="R103" s="65"/>
      <c r="AG103" s="91"/>
    </row>
    <row r="104" ht="15.0" customHeight="1">
      <c r="B104" s="56"/>
      <c r="C104" s="56"/>
      <c r="G104" s="3"/>
      <c r="L104" s="60"/>
      <c r="M104" s="60"/>
      <c r="N104" s="62"/>
      <c r="P104" s="63"/>
      <c r="R104" s="65"/>
      <c r="AG104" s="91"/>
    </row>
    <row r="105" ht="15.0" customHeight="1">
      <c r="B105" s="56"/>
      <c r="C105" s="56"/>
      <c r="G105" s="3"/>
      <c r="L105" s="60"/>
      <c r="M105" s="60"/>
      <c r="N105" s="62"/>
      <c r="P105" s="63"/>
      <c r="R105" s="65"/>
      <c r="AG105" s="91"/>
    </row>
    <row r="106" ht="15.0" customHeight="1">
      <c r="B106" s="56"/>
      <c r="C106" s="56"/>
      <c r="G106" s="3"/>
      <c r="L106" s="60"/>
      <c r="M106" s="60"/>
      <c r="N106" s="62"/>
      <c r="P106" s="63"/>
      <c r="R106" s="65"/>
      <c r="AG106" s="91"/>
    </row>
    <row r="107" ht="15.0" customHeight="1">
      <c r="B107" s="56"/>
      <c r="C107" s="56"/>
      <c r="G107" s="3"/>
      <c r="L107" s="60"/>
      <c r="M107" s="60"/>
      <c r="N107" s="62"/>
      <c r="P107" s="63"/>
      <c r="R107" s="65"/>
      <c r="AG107" s="91"/>
    </row>
    <row r="108" ht="15.0" customHeight="1">
      <c r="B108" s="56"/>
      <c r="C108" s="56"/>
      <c r="G108" s="3"/>
      <c r="L108" s="60"/>
      <c r="M108" s="60"/>
      <c r="N108" s="62"/>
      <c r="P108" s="63"/>
      <c r="R108" s="65"/>
      <c r="AG108" s="91"/>
    </row>
    <row r="109" ht="15.0" customHeight="1">
      <c r="B109" s="56"/>
      <c r="C109" s="56"/>
      <c r="G109" s="3"/>
      <c r="L109" s="60"/>
      <c r="M109" s="60"/>
      <c r="N109" s="62"/>
      <c r="P109" s="63"/>
      <c r="R109" s="65"/>
      <c r="AG109" s="91"/>
    </row>
    <row r="110" ht="15.0" customHeight="1">
      <c r="B110" s="56"/>
      <c r="C110" s="56"/>
      <c r="G110" s="3"/>
      <c r="L110" s="60"/>
      <c r="M110" s="60"/>
      <c r="N110" s="62"/>
      <c r="P110" s="63"/>
      <c r="R110" s="65"/>
      <c r="AG110" s="91"/>
    </row>
    <row r="111" ht="15.0" customHeight="1">
      <c r="B111" s="56"/>
      <c r="C111" s="56"/>
      <c r="G111" s="3"/>
      <c r="L111" s="60"/>
      <c r="M111" s="60"/>
      <c r="N111" s="62"/>
      <c r="P111" s="63"/>
      <c r="R111" s="65"/>
      <c r="AG111" s="91"/>
    </row>
    <row r="112" ht="15.0" customHeight="1">
      <c r="B112" s="56"/>
      <c r="C112" s="56"/>
      <c r="G112" s="3"/>
      <c r="L112" s="60"/>
      <c r="M112" s="60"/>
      <c r="N112" s="62"/>
      <c r="P112" s="63"/>
      <c r="R112" s="65"/>
      <c r="AG112" s="91"/>
    </row>
    <row r="113" ht="15.0" customHeight="1">
      <c r="B113" s="56"/>
      <c r="C113" s="56"/>
      <c r="G113" s="3"/>
      <c r="L113" s="60"/>
      <c r="M113" s="60"/>
      <c r="N113" s="62"/>
      <c r="P113" s="63"/>
      <c r="R113" s="65"/>
      <c r="AG113" s="91"/>
    </row>
    <row r="114" ht="15.0" customHeight="1">
      <c r="B114" s="56"/>
      <c r="C114" s="56"/>
      <c r="G114" s="3"/>
      <c r="L114" s="60"/>
      <c r="M114" s="60"/>
      <c r="N114" s="62"/>
      <c r="P114" s="63"/>
      <c r="R114" s="65"/>
      <c r="AG114" s="91"/>
    </row>
    <row r="115" ht="15.0" customHeight="1">
      <c r="B115" s="56"/>
      <c r="C115" s="56"/>
      <c r="G115" s="3"/>
      <c r="L115" s="60"/>
      <c r="M115" s="60"/>
      <c r="N115" s="62"/>
      <c r="P115" s="63"/>
      <c r="R115" s="65"/>
      <c r="AG115" s="91"/>
    </row>
    <row r="116" ht="15.0" customHeight="1">
      <c r="B116" s="56"/>
      <c r="C116" s="56"/>
      <c r="G116" s="3"/>
      <c r="L116" s="60"/>
      <c r="M116" s="60"/>
      <c r="N116" s="62"/>
      <c r="P116" s="63"/>
      <c r="R116" s="65"/>
      <c r="AG116" s="91"/>
    </row>
    <row r="117" ht="15.0" customHeight="1">
      <c r="B117" s="56"/>
      <c r="C117" s="56"/>
      <c r="G117" s="3"/>
      <c r="L117" s="60"/>
      <c r="M117" s="60"/>
      <c r="N117" s="62"/>
      <c r="P117" s="63"/>
      <c r="R117" s="65"/>
      <c r="AG117" s="91"/>
    </row>
    <row r="118" ht="15.0" customHeight="1">
      <c r="B118" s="56"/>
      <c r="C118" s="56"/>
      <c r="G118" s="3"/>
      <c r="L118" s="60"/>
      <c r="M118" s="60"/>
      <c r="N118" s="62"/>
      <c r="P118" s="63"/>
      <c r="R118" s="65"/>
      <c r="AG118" s="91"/>
    </row>
    <row r="119" ht="15.0" customHeight="1">
      <c r="B119" s="56"/>
      <c r="C119" s="56"/>
      <c r="G119" s="3"/>
      <c r="L119" s="60"/>
      <c r="M119" s="60"/>
      <c r="N119" s="62"/>
      <c r="P119" s="63"/>
      <c r="R119" s="65"/>
      <c r="AG119" s="91"/>
    </row>
    <row r="120" ht="15.0" customHeight="1">
      <c r="B120" s="56"/>
      <c r="C120" s="56"/>
      <c r="G120" s="3"/>
      <c r="L120" s="60"/>
      <c r="M120" s="60"/>
      <c r="N120" s="62"/>
      <c r="P120" s="63"/>
      <c r="R120" s="65"/>
      <c r="AG120" s="91"/>
    </row>
    <row r="121" ht="15.0" customHeight="1">
      <c r="B121" s="56"/>
      <c r="C121" s="56"/>
      <c r="G121" s="3"/>
      <c r="L121" s="60"/>
      <c r="M121" s="60"/>
      <c r="N121" s="62"/>
      <c r="P121" s="63"/>
      <c r="R121" s="65"/>
      <c r="AG121" s="91"/>
    </row>
    <row r="122" ht="15.0" customHeight="1">
      <c r="B122" s="56"/>
      <c r="C122" s="56"/>
      <c r="G122" s="3"/>
      <c r="L122" s="60"/>
      <c r="M122" s="60"/>
      <c r="N122" s="62"/>
      <c r="P122" s="63"/>
      <c r="R122" s="65"/>
      <c r="AG122" s="91"/>
    </row>
    <row r="123" ht="15.0" customHeight="1">
      <c r="B123" s="56"/>
      <c r="C123" s="56"/>
      <c r="G123" s="3"/>
      <c r="L123" s="60"/>
      <c r="M123" s="60"/>
      <c r="N123" s="62"/>
      <c r="P123" s="63"/>
      <c r="R123" s="65"/>
      <c r="AG123" s="91"/>
    </row>
    <row r="124" ht="15.0" customHeight="1">
      <c r="B124" s="56"/>
      <c r="C124" s="56"/>
      <c r="G124" s="3"/>
      <c r="L124" s="60"/>
      <c r="M124" s="60"/>
      <c r="N124" s="62"/>
      <c r="P124" s="63"/>
      <c r="R124" s="65"/>
      <c r="AG124" s="91"/>
    </row>
    <row r="125" ht="15.0" customHeight="1">
      <c r="B125" s="56"/>
      <c r="C125" s="56"/>
      <c r="G125" s="3"/>
      <c r="L125" s="60"/>
      <c r="M125" s="60"/>
      <c r="N125" s="62"/>
      <c r="P125" s="63"/>
      <c r="R125" s="65"/>
      <c r="AG125" s="91"/>
    </row>
    <row r="126" ht="15.0" customHeight="1">
      <c r="B126" s="56"/>
      <c r="C126" s="56"/>
      <c r="G126" s="3"/>
      <c r="L126" s="60"/>
      <c r="M126" s="60"/>
      <c r="N126" s="62"/>
      <c r="P126" s="63"/>
      <c r="R126" s="65"/>
      <c r="AG126" s="91"/>
    </row>
    <row r="127" ht="15.0" customHeight="1">
      <c r="B127" s="56"/>
      <c r="C127" s="56"/>
      <c r="G127" s="3"/>
      <c r="L127" s="60"/>
      <c r="M127" s="60"/>
      <c r="N127" s="62"/>
      <c r="P127" s="63"/>
      <c r="R127" s="65"/>
      <c r="AG127" s="91"/>
    </row>
    <row r="128" ht="15.0" customHeight="1">
      <c r="B128" s="56"/>
      <c r="C128" s="56"/>
      <c r="G128" s="3"/>
      <c r="L128" s="60"/>
      <c r="M128" s="60"/>
      <c r="N128" s="62"/>
      <c r="P128" s="63"/>
      <c r="R128" s="65"/>
      <c r="AG128" s="91"/>
    </row>
    <row r="129" ht="15.0" customHeight="1">
      <c r="B129" s="56"/>
      <c r="C129" s="56"/>
      <c r="G129" s="3"/>
      <c r="L129" s="60"/>
      <c r="M129" s="60"/>
      <c r="N129" s="62"/>
      <c r="P129" s="63"/>
      <c r="R129" s="65"/>
      <c r="AG129" s="91"/>
    </row>
    <row r="130" ht="15.0" customHeight="1">
      <c r="B130" s="56"/>
      <c r="C130" s="56"/>
      <c r="G130" s="3"/>
      <c r="L130" s="60"/>
      <c r="M130" s="60"/>
      <c r="N130" s="62"/>
      <c r="P130" s="63"/>
      <c r="R130" s="65"/>
      <c r="AG130" s="91"/>
    </row>
    <row r="131" ht="15.0" customHeight="1">
      <c r="B131" s="56"/>
      <c r="C131" s="56"/>
      <c r="G131" s="3"/>
      <c r="L131" s="60"/>
      <c r="M131" s="60"/>
      <c r="N131" s="62"/>
      <c r="P131" s="63"/>
      <c r="R131" s="65"/>
      <c r="AG131" s="91"/>
    </row>
    <row r="132" ht="15.0" customHeight="1">
      <c r="B132" s="56"/>
      <c r="C132" s="56"/>
      <c r="G132" s="3"/>
      <c r="L132" s="60"/>
      <c r="M132" s="60"/>
      <c r="N132" s="62"/>
      <c r="P132" s="63"/>
      <c r="R132" s="65"/>
      <c r="AG132" s="91"/>
    </row>
    <row r="133" ht="15.0" customHeight="1">
      <c r="B133" s="56"/>
      <c r="C133" s="56"/>
      <c r="G133" s="3"/>
      <c r="L133" s="60"/>
      <c r="M133" s="60"/>
      <c r="N133" s="62"/>
      <c r="P133" s="63"/>
      <c r="R133" s="65"/>
      <c r="AG133" s="91"/>
    </row>
    <row r="134" ht="15.0" customHeight="1">
      <c r="B134" s="56"/>
      <c r="C134" s="56"/>
      <c r="G134" s="3"/>
      <c r="L134" s="60"/>
      <c r="M134" s="60"/>
      <c r="N134" s="62"/>
      <c r="R134" s="65"/>
      <c r="AG134" s="91"/>
    </row>
    <row r="135" ht="15.0" customHeight="1">
      <c r="B135" s="56"/>
      <c r="C135" s="56"/>
      <c r="G135" s="3"/>
      <c r="L135" s="60"/>
      <c r="M135" s="60"/>
      <c r="N135" s="62"/>
      <c r="R135" s="65"/>
      <c r="AG135" s="91"/>
    </row>
    <row r="136" ht="15.0" customHeight="1">
      <c r="B136" s="56"/>
      <c r="C136" s="56"/>
      <c r="G136" s="3"/>
      <c r="L136" s="60"/>
      <c r="M136" s="60"/>
      <c r="N136" s="62"/>
      <c r="R136" s="65"/>
      <c r="AG136" s="91"/>
    </row>
    <row r="137" ht="15.0" customHeight="1">
      <c r="B137" s="56"/>
      <c r="C137" s="56"/>
      <c r="G137" s="3"/>
      <c r="L137" s="60"/>
      <c r="M137" s="60"/>
      <c r="N137" s="62"/>
      <c r="R137" s="65"/>
      <c r="AG137" s="91"/>
    </row>
    <row r="138" ht="15.0" customHeight="1">
      <c r="B138" s="56"/>
      <c r="C138" s="56"/>
      <c r="G138" s="3"/>
      <c r="L138" s="60"/>
      <c r="M138" s="60"/>
      <c r="N138" s="62"/>
      <c r="R138" s="65"/>
      <c r="AG138" s="91"/>
    </row>
    <row r="139" ht="15.0" customHeight="1">
      <c r="B139" s="56"/>
      <c r="C139" s="56"/>
      <c r="G139" s="3"/>
      <c r="L139" s="60"/>
      <c r="M139" s="60"/>
      <c r="N139" s="62"/>
      <c r="R139" s="65"/>
      <c r="AG139" s="91"/>
    </row>
    <row r="140" ht="15.0" customHeight="1">
      <c r="B140" s="56"/>
      <c r="C140" s="56"/>
      <c r="G140" s="3"/>
      <c r="L140" s="60"/>
      <c r="M140" s="60"/>
      <c r="N140" s="62"/>
      <c r="R140" s="65"/>
      <c r="AG140" s="91"/>
    </row>
    <row r="141" ht="15.0" customHeight="1">
      <c r="B141" s="56"/>
      <c r="C141" s="56"/>
      <c r="G141" s="3"/>
      <c r="L141" s="60"/>
      <c r="M141" s="60"/>
      <c r="N141" s="62"/>
      <c r="R141" s="65"/>
      <c r="AG141" s="91"/>
    </row>
    <row r="142" ht="15.0" customHeight="1">
      <c r="B142" s="56"/>
      <c r="C142" s="56"/>
      <c r="G142" s="3"/>
      <c r="L142" s="60"/>
      <c r="M142" s="60"/>
      <c r="N142" s="62"/>
      <c r="R142" s="65"/>
      <c r="AG142" s="91"/>
    </row>
    <row r="143" ht="15.0" customHeight="1">
      <c r="B143" s="56"/>
      <c r="C143" s="56"/>
      <c r="G143" s="3"/>
      <c r="L143" s="60"/>
      <c r="M143" s="60"/>
      <c r="N143" s="62"/>
      <c r="R143" s="65"/>
      <c r="AG143" s="91"/>
    </row>
    <row r="144" ht="15.0" customHeight="1">
      <c r="B144" s="56"/>
      <c r="C144" s="56"/>
      <c r="G144" s="3"/>
      <c r="L144" s="60"/>
      <c r="M144" s="60"/>
      <c r="N144" s="62"/>
      <c r="R144" s="65"/>
      <c r="AG144" s="91"/>
    </row>
    <row r="145" ht="15.0" customHeight="1">
      <c r="B145" s="56"/>
      <c r="C145" s="56"/>
      <c r="G145" s="3"/>
      <c r="L145" s="60"/>
      <c r="M145" s="60"/>
      <c r="N145" s="62"/>
      <c r="R145" s="65"/>
      <c r="AG145" s="91"/>
    </row>
    <row r="146" ht="15.0" customHeight="1">
      <c r="B146" s="56"/>
      <c r="C146" s="56"/>
      <c r="G146" s="3"/>
      <c r="L146" s="60"/>
      <c r="M146" s="60"/>
      <c r="N146" s="62"/>
      <c r="R146" s="65"/>
      <c r="AG146" s="91"/>
    </row>
    <row r="147" ht="15.0" customHeight="1">
      <c r="B147" s="56"/>
      <c r="C147" s="56"/>
      <c r="G147" s="3"/>
      <c r="L147" s="60"/>
      <c r="M147" s="60"/>
      <c r="N147" s="62"/>
      <c r="R147" s="65"/>
      <c r="AG147" s="91"/>
    </row>
    <row r="148" ht="15.0" customHeight="1">
      <c r="B148" s="56"/>
      <c r="C148" s="56"/>
      <c r="G148" s="3"/>
      <c r="L148" s="60"/>
      <c r="M148" s="60"/>
      <c r="N148" s="62"/>
      <c r="R148" s="65"/>
      <c r="AG148" s="91"/>
    </row>
    <row r="149" ht="15.0" customHeight="1">
      <c r="B149" s="56"/>
      <c r="C149" s="56"/>
      <c r="G149" s="3"/>
      <c r="L149" s="60"/>
      <c r="M149" s="60"/>
      <c r="N149" s="62"/>
      <c r="R149" s="65"/>
      <c r="AG149" s="91"/>
    </row>
    <row r="150" ht="15.0" customHeight="1">
      <c r="B150" s="56"/>
      <c r="C150" s="56"/>
      <c r="G150" s="3"/>
      <c r="L150" s="60"/>
      <c r="M150" s="60"/>
      <c r="N150" s="62"/>
      <c r="R150" s="65"/>
      <c r="AG150" s="91"/>
    </row>
    <row r="151" ht="15.0" customHeight="1">
      <c r="B151" s="56"/>
      <c r="C151" s="56"/>
      <c r="G151" s="3"/>
      <c r="L151" s="60"/>
      <c r="M151" s="60"/>
      <c r="N151" s="62"/>
      <c r="R151" s="65"/>
      <c r="AG151" s="91"/>
    </row>
    <row r="152" ht="15.0" customHeight="1">
      <c r="B152" s="56"/>
      <c r="C152" s="56"/>
      <c r="G152" s="3"/>
      <c r="L152" s="60"/>
      <c r="M152" s="60"/>
      <c r="N152" s="62"/>
      <c r="R152" s="65"/>
      <c r="AG152" s="91"/>
    </row>
    <row r="153" ht="15.0" customHeight="1">
      <c r="B153" s="56"/>
      <c r="C153" s="56"/>
      <c r="G153" s="3"/>
      <c r="L153" s="60"/>
      <c r="M153" s="60"/>
      <c r="N153" s="62"/>
      <c r="R153" s="65"/>
      <c r="AG153" s="91"/>
    </row>
    <row r="154" ht="15.0" customHeight="1">
      <c r="B154" s="56"/>
      <c r="C154" s="56"/>
      <c r="G154" s="3"/>
      <c r="L154" s="60"/>
      <c r="M154" s="60"/>
      <c r="N154" s="62"/>
      <c r="R154" s="65"/>
      <c r="AG154" s="91"/>
    </row>
    <row r="155" ht="15.0" customHeight="1">
      <c r="B155" s="56"/>
      <c r="C155" s="56"/>
      <c r="G155" s="3"/>
      <c r="L155" s="60"/>
      <c r="M155" s="60"/>
      <c r="N155" s="62"/>
      <c r="R155" s="65"/>
      <c r="AG155" s="91"/>
    </row>
    <row r="156" ht="15.0" customHeight="1">
      <c r="B156" s="56"/>
      <c r="C156" s="56"/>
      <c r="G156" s="3"/>
      <c r="L156" s="60"/>
      <c r="M156" s="60"/>
      <c r="N156" s="62"/>
      <c r="R156" s="65"/>
      <c r="AG156" s="91"/>
    </row>
    <row r="157" ht="15.0" customHeight="1">
      <c r="B157" s="56"/>
      <c r="C157" s="56"/>
      <c r="G157" s="3"/>
      <c r="L157" s="60"/>
      <c r="M157" s="60"/>
      <c r="N157" s="62"/>
      <c r="R157" s="65"/>
      <c r="AG157" s="91"/>
    </row>
    <row r="158" ht="15.0" customHeight="1">
      <c r="B158" s="56"/>
      <c r="C158" s="56"/>
      <c r="G158" s="3"/>
      <c r="L158" s="60"/>
      <c r="M158" s="60"/>
      <c r="N158" s="62"/>
      <c r="R158" s="65"/>
      <c r="AG158" s="91"/>
    </row>
    <row r="159" ht="15.0" customHeight="1">
      <c r="B159" s="56"/>
      <c r="C159" s="56"/>
      <c r="G159" s="3"/>
      <c r="L159" s="60"/>
      <c r="M159" s="60"/>
      <c r="N159" s="62"/>
      <c r="R159" s="65"/>
      <c r="AG159" s="91"/>
    </row>
    <row r="160" ht="15.0" customHeight="1">
      <c r="B160" s="56"/>
      <c r="C160" s="56"/>
      <c r="G160" s="3"/>
      <c r="L160" s="60"/>
      <c r="M160" s="60"/>
      <c r="N160" s="62"/>
      <c r="R160" s="65"/>
      <c r="AG160" s="91"/>
    </row>
    <row r="161" ht="15.0" customHeight="1">
      <c r="B161" s="56"/>
      <c r="C161" s="56"/>
      <c r="G161" s="3"/>
      <c r="L161" s="60"/>
      <c r="M161" s="60"/>
      <c r="N161" s="62"/>
      <c r="R161" s="65"/>
      <c r="AG161" s="91"/>
    </row>
    <row r="162" ht="15.0" customHeight="1">
      <c r="B162" s="56"/>
      <c r="C162" s="56"/>
      <c r="G162" s="3"/>
      <c r="L162" s="60"/>
      <c r="M162" s="60"/>
      <c r="N162" s="62"/>
      <c r="R162" s="65"/>
      <c r="AG162" s="91"/>
    </row>
    <row r="163" ht="15.0" customHeight="1">
      <c r="B163" s="56"/>
      <c r="C163" s="56"/>
      <c r="G163" s="3"/>
      <c r="L163" s="60"/>
      <c r="M163" s="60"/>
      <c r="N163" s="62"/>
      <c r="R163" s="65"/>
      <c r="AG163" s="91"/>
    </row>
    <row r="164" ht="15.0" customHeight="1">
      <c r="B164" s="56"/>
      <c r="C164" s="56"/>
      <c r="G164" s="3"/>
      <c r="L164" s="60"/>
      <c r="M164" s="60"/>
      <c r="N164" s="62"/>
      <c r="R164" s="65"/>
      <c r="AG164" s="91"/>
    </row>
    <row r="165" ht="15.0" customHeight="1">
      <c r="B165" s="56"/>
      <c r="C165" s="56"/>
      <c r="G165" s="3"/>
      <c r="L165" s="60"/>
      <c r="M165" s="60"/>
      <c r="N165" s="62"/>
      <c r="R165" s="65"/>
      <c r="AG165" s="91"/>
    </row>
    <row r="166" ht="15.0" customHeight="1">
      <c r="B166" s="56"/>
      <c r="C166" s="56"/>
      <c r="G166" s="3"/>
      <c r="L166" s="60"/>
      <c r="M166" s="60"/>
      <c r="N166" s="62"/>
      <c r="R166" s="65"/>
      <c r="AG166" s="91"/>
    </row>
    <row r="167" ht="15.0" customHeight="1">
      <c r="B167" s="56"/>
      <c r="C167" s="56"/>
      <c r="G167" s="3"/>
      <c r="L167" s="60"/>
      <c r="M167" s="60"/>
      <c r="N167" s="62"/>
      <c r="R167" s="65"/>
      <c r="AG167" s="91"/>
    </row>
    <row r="168" ht="15.0" customHeight="1">
      <c r="B168" s="56"/>
      <c r="C168" s="56"/>
      <c r="G168" s="3"/>
      <c r="L168" s="60"/>
      <c r="M168" s="60"/>
      <c r="N168" s="62"/>
      <c r="R168" s="65"/>
      <c r="AG168" s="91"/>
    </row>
    <row r="169" ht="15.0" customHeight="1">
      <c r="B169" s="56"/>
      <c r="C169" s="56"/>
      <c r="G169" s="3"/>
      <c r="L169" s="60"/>
      <c r="M169" s="60"/>
      <c r="N169" s="62"/>
      <c r="R169" s="65"/>
      <c r="AG169" s="91"/>
    </row>
    <row r="170" ht="15.0" customHeight="1">
      <c r="B170" s="56"/>
      <c r="C170" s="56"/>
      <c r="G170" s="3"/>
      <c r="L170" s="60"/>
      <c r="M170" s="60"/>
      <c r="N170" s="62"/>
      <c r="R170" s="65"/>
      <c r="AG170" s="91"/>
    </row>
    <row r="171" ht="15.0" customHeight="1">
      <c r="B171" s="56"/>
      <c r="C171" s="56"/>
      <c r="G171" s="3"/>
      <c r="L171" s="60"/>
      <c r="M171" s="60"/>
      <c r="N171" s="62"/>
      <c r="R171" s="65"/>
      <c r="AG171" s="91"/>
    </row>
    <row r="172" ht="15.0" customHeight="1">
      <c r="B172" s="56"/>
      <c r="C172" s="56"/>
      <c r="G172" s="3"/>
      <c r="L172" s="60"/>
      <c r="M172" s="60"/>
      <c r="N172" s="62"/>
      <c r="R172" s="65"/>
      <c r="AG172" s="91"/>
    </row>
    <row r="173" ht="15.0" customHeight="1">
      <c r="B173" s="56"/>
      <c r="C173" s="56"/>
      <c r="G173" s="3"/>
      <c r="L173" s="60"/>
      <c r="M173" s="60"/>
      <c r="N173" s="62"/>
      <c r="R173" s="65"/>
      <c r="AG173" s="91"/>
    </row>
    <row r="174" ht="15.0" customHeight="1">
      <c r="B174" s="56"/>
      <c r="C174" s="56"/>
      <c r="G174" s="3"/>
      <c r="L174" s="60"/>
      <c r="M174" s="60"/>
      <c r="N174" s="62"/>
      <c r="R174" s="65"/>
      <c r="AG174" s="91"/>
    </row>
    <row r="175" ht="15.0" customHeight="1">
      <c r="B175" s="56"/>
      <c r="C175" s="56"/>
      <c r="G175" s="3"/>
      <c r="L175" s="60"/>
      <c r="M175" s="60"/>
      <c r="N175" s="62"/>
      <c r="R175" s="65"/>
      <c r="AG175" s="91"/>
    </row>
    <row r="176" ht="15.0" customHeight="1">
      <c r="B176" s="56"/>
      <c r="C176" s="56"/>
      <c r="G176" s="3"/>
      <c r="L176" s="60"/>
      <c r="M176" s="60"/>
      <c r="N176" s="62"/>
      <c r="R176" s="65"/>
      <c r="AG176" s="91"/>
    </row>
    <row r="177" ht="15.0" customHeight="1">
      <c r="B177" s="56"/>
      <c r="C177" s="56"/>
      <c r="G177" s="3"/>
      <c r="L177" s="60"/>
      <c r="M177" s="60"/>
      <c r="N177" s="62"/>
      <c r="R177" s="65"/>
      <c r="AG177" s="91"/>
    </row>
    <row r="178" ht="15.0" customHeight="1">
      <c r="B178" s="56"/>
      <c r="C178" s="56"/>
      <c r="G178" s="3"/>
      <c r="L178" s="60"/>
      <c r="M178" s="60"/>
      <c r="N178" s="62"/>
      <c r="R178" s="65"/>
      <c r="AG178" s="91"/>
    </row>
    <row r="179" ht="15.0" customHeight="1">
      <c r="B179" s="56"/>
      <c r="C179" s="56"/>
      <c r="G179" s="3"/>
      <c r="L179" s="60"/>
      <c r="M179" s="60"/>
      <c r="N179" s="62"/>
      <c r="R179" s="65"/>
      <c r="AG179" s="91"/>
    </row>
    <row r="180" ht="15.0" customHeight="1">
      <c r="B180" s="56"/>
      <c r="C180" s="56"/>
      <c r="G180" s="3"/>
      <c r="L180" s="60"/>
      <c r="M180" s="60"/>
      <c r="N180" s="62"/>
      <c r="R180" s="65"/>
      <c r="AG180" s="91"/>
    </row>
    <row r="181" ht="15.0" customHeight="1">
      <c r="B181" s="56"/>
      <c r="C181" s="56"/>
      <c r="G181" s="3"/>
      <c r="L181" s="60"/>
      <c r="M181" s="60"/>
      <c r="N181" s="62"/>
      <c r="R181" s="65"/>
      <c r="AG181" s="91"/>
    </row>
    <row r="182" ht="15.0" customHeight="1">
      <c r="B182" s="56"/>
      <c r="C182" s="56"/>
      <c r="G182" s="3"/>
      <c r="L182" s="60"/>
      <c r="M182" s="60"/>
      <c r="N182" s="62"/>
      <c r="R182" s="65"/>
      <c r="AG182" s="91"/>
    </row>
    <row r="183" ht="15.0" customHeight="1">
      <c r="B183" s="56"/>
      <c r="C183" s="56"/>
      <c r="G183" s="3"/>
      <c r="L183" s="60"/>
      <c r="M183" s="60"/>
      <c r="N183" s="62"/>
      <c r="R183" s="65"/>
      <c r="AG183" s="91"/>
    </row>
    <row r="184" ht="15.0" customHeight="1">
      <c r="B184" s="56"/>
      <c r="C184" s="56"/>
      <c r="G184" s="3"/>
      <c r="L184" s="60"/>
      <c r="M184" s="60"/>
      <c r="N184" s="62"/>
      <c r="R184" s="65"/>
      <c r="AG184" s="91"/>
    </row>
    <row r="185" ht="15.0" customHeight="1">
      <c r="B185" s="56"/>
      <c r="C185" s="56"/>
      <c r="G185" s="3"/>
      <c r="L185" s="60"/>
      <c r="M185" s="60"/>
      <c r="N185" s="62"/>
      <c r="R185" s="65"/>
      <c r="AG185" s="91"/>
    </row>
    <row r="186" ht="15.0" customHeight="1">
      <c r="B186" s="56"/>
      <c r="C186" s="56"/>
      <c r="G186" s="3"/>
      <c r="L186" s="60"/>
      <c r="M186" s="60"/>
      <c r="N186" s="62"/>
      <c r="AG186" s="91"/>
    </row>
    <row r="187" ht="15.0" customHeight="1">
      <c r="B187" s="56"/>
      <c r="C187" s="56"/>
      <c r="G187" s="3"/>
      <c r="L187" s="60"/>
      <c r="M187" s="60"/>
      <c r="N187" s="62"/>
      <c r="AG187" s="91"/>
    </row>
    <row r="188" ht="15.0" customHeight="1">
      <c r="B188" s="56"/>
      <c r="C188" s="56"/>
      <c r="G188" s="3"/>
      <c r="L188" s="60"/>
      <c r="M188" s="60"/>
      <c r="N188" s="62"/>
      <c r="AG188" s="91"/>
    </row>
    <row r="189" ht="15.0" customHeight="1">
      <c r="B189" s="56"/>
      <c r="C189" s="56"/>
      <c r="G189" s="3"/>
      <c r="L189" s="60"/>
      <c r="M189" s="60"/>
      <c r="N189" s="62"/>
      <c r="AG189" s="91"/>
    </row>
    <row r="190" ht="15.0" customHeight="1">
      <c r="B190" s="56"/>
      <c r="C190" s="56"/>
      <c r="G190" s="3"/>
      <c r="L190" s="60"/>
      <c r="M190" s="60"/>
      <c r="N190" s="62"/>
      <c r="AG190" s="91"/>
    </row>
    <row r="191" ht="15.0" customHeight="1">
      <c r="B191" s="56"/>
      <c r="C191" s="56"/>
      <c r="G191" s="3"/>
      <c r="L191" s="60"/>
      <c r="M191" s="60"/>
      <c r="N191" s="62"/>
      <c r="AG191" s="91"/>
    </row>
    <row r="192" ht="15.0" customHeight="1">
      <c r="B192" s="56"/>
      <c r="C192" s="56"/>
      <c r="G192" s="3"/>
      <c r="L192" s="60"/>
      <c r="M192" s="60"/>
      <c r="N192" s="62"/>
      <c r="AG192" s="91"/>
    </row>
    <row r="193" ht="15.0" customHeight="1">
      <c r="B193" s="56"/>
      <c r="C193" s="56"/>
      <c r="G193" s="3"/>
      <c r="L193" s="60"/>
      <c r="M193" s="60"/>
      <c r="N193" s="62"/>
      <c r="AG193" s="91"/>
    </row>
    <row r="194" ht="15.0" customHeight="1">
      <c r="B194" s="56"/>
      <c r="C194" s="56"/>
      <c r="G194" s="3"/>
      <c r="L194" s="60"/>
      <c r="M194" s="60"/>
      <c r="N194" s="62"/>
      <c r="AG194" s="91"/>
    </row>
    <row r="195" ht="15.0" customHeight="1">
      <c r="B195" s="56"/>
      <c r="C195" s="56"/>
      <c r="G195" s="3"/>
      <c r="L195" s="60"/>
      <c r="M195" s="60"/>
      <c r="N195" s="62"/>
      <c r="AG195" s="91"/>
    </row>
    <row r="196" ht="15.0" customHeight="1">
      <c r="B196" s="56"/>
      <c r="C196" s="56"/>
      <c r="G196" s="3"/>
      <c r="L196" s="60"/>
      <c r="M196" s="60"/>
      <c r="N196" s="62"/>
      <c r="AG196" s="91"/>
    </row>
    <row r="197" ht="15.0" customHeight="1">
      <c r="B197" s="56"/>
      <c r="C197" s="56"/>
      <c r="G197" s="3"/>
      <c r="L197" s="60"/>
      <c r="M197" s="60"/>
      <c r="N197" s="62"/>
      <c r="AG197" s="91"/>
    </row>
    <row r="198" ht="15.0" customHeight="1">
      <c r="B198" s="56"/>
      <c r="C198" s="56"/>
      <c r="G198" s="3"/>
      <c r="L198" s="60"/>
      <c r="M198" s="60"/>
      <c r="N198" s="62"/>
      <c r="AG198" s="91"/>
    </row>
    <row r="199" ht="15.0" customHeight="1">
      <c r="B199" s="56"/>
      <c r="C199" s="56"/>
      <c r="G199" s="3"/>
      <c r="L199" s="60"/>
      <c r="M199" s="60"/>
      <c r="N199" s="62"/>
      <c r="AG199" s="91"/>
    </row>
    <row r="200" ht="15.0" customHeight="1">
      <c r="B200" s="56"/>
      <c r="C200" s="56"/>
      <c r="G200" s="3"/>
      <c r="L200" s="60"/>
      <c r="M200" s="60"/>
      <c r="N200" s="62"/>
      <c r="AG200" s="91"/>
    </row>
    <row r="201" ht="15.0" customHeight="1">
      <c r="B201" s="56"/>
      <c r="C201" s="56"/>
      <c r="G201" s="3"/>
      <c r="L201" s="60"/>
      <c r="M201" s="60"/>
      <c r="N201" s="62"/>
      <c r="AG201" s="91"/>
    </row>
    <row r="202" ht="15.0" customHeight="1">
      <c r="B202" s="56"/>
      <c r="C202" s="56"/>
      <c r="G202" s="3"/>
      <c r="L202" s="60"/>
      <c r="M202" s="60"/>
      <c r="N202" s="62"/>
      <c r="AG202" s="91"/>
    </row>
    <row r="203" ht="15.0" customHeight="1">
      <c r="B203" s="56"/>
      <c r="C203" s="56"/>
      <c r="G203" s="3"/>
      <c r="L203" s="60"/>
      <c r="M203" s="60"/>
      <c r="N203" s="62"/>
      <c r="AG203" s="91"/>
    </row>
    <row r="204" ht="15.0" customHeight="1">
      <c r="B204" s="56"/>
      <c r="C204" s="56"/>
      <c r="G204" s="3"/>
      <c r="L204" s="60"/>
      <c r="M204" s="60"/>
      <c r="N204" s="62"/>
      <c r="AG204" s="91"/>
    </row>
    <row r="205" ht="15.0" customHeight="1">
      <c r="B205" s="56"/>
      <c r="C205" s="56"/>
      <c r="G205" s="3"/>
      <c r="L205" s="60"/>
      <c r="M205" s="60"/>
      <c r="N205" s="62"/>
      <c r="AG205" s="91"/>
    </row>
    <row r="206" ht="15.0" customHeight="1">
      <c r="B206" s="56"/>
      <c r="C206" s="56"/>
      <c r="G206" s="3"/>
      <c r="L206" s="60"/>
      <c r="M206" s="60"/>
      <c r="N206" s="62"/>
      <c r="AG206" s="91"/>
    </row>
    <row r="207" ht="15.0" customHeight="1">
      <c r="B207" s="56"/>
      <c r="C207" s="56"/>
      <c r="G207" s="3"/>
      <c r="L207" s="60"/>
      <c r="M207" s="60"/>
      <c r="N207" s="62"/>
      <c r="AG207" s="91"/>
    </row>
    <row r="208" ht="15.0" customHeight="1">
      <c r="B208" s="56"/>
      <c r="C208" s="56"/>
      <c r="G208" s="3"/>
      <c r="L208" s="60"/>
      <c r="M208" s="60"/>
      <c r="N208" s="62"/>
      <c r="AG208" s="91"/>
    </row>
    <row r="209" ht="15.0" customHeight="1">
      <c r="B209" s="56"/>
      <c r="C209" s="56"/>
      <c r="G209" s="3"/>
      <c r="L209" s="60"/>
      <c r="M209" s="60"/>
      <c r="N209" s="62"/>
      <c r="AG209" s="91"/>
    </row>
    <row r="210" ht="15.0" customHeight="1">
      <c r="B210" s="56"/>
      <c r="C210" s="56"/>
      <c r="G210" s="3"/>
      <c r="L210" s="60"/>
      <c r="M210" s="60"/>
      <c r="N210" s="62"/>
      <c r="AG210" s="91"/>
    </row>
    <row r="211" ht="15.0" customHeight="1">
      <c r="B211" s="56"/>
      <c r="C211" s="56"/>
      <c r="G211" s="3"/>
      <c r="L211" s="60"/>
      <c r="M211" s="60"/>
      <c r="N211" s="62"/>
      <c r="AG211" s="91"/>
    </row>
    <row r="212" ht="15.0" customHeight="1">
      <c r="B212" s="56"/>
      <c r="C212" s="56"/>
      <c r="G212" s="3"/>
      <c r="L212" s="60"/>
      <c r="M212" s="60"/>
      <c r="N212" s="62"/>
      <c r="AG212" s="91"/>
    </row>
    <row r="213" ht="15.0" customHeight="1">
      <c r="B213" s="56"/>
      <c r="C213" s="56"/>
      <c r="G213" s="3"/>
      <c r="L213" s="60"/>
      <c r="M213" s="60"/>
      <c r="N213" s="62"/>
      <c r="AG213" s="91"/>
    </row>
    <row r="214" ht="15.0" customHeight="1">
      <c r="B214" s="56"/>
      <c r="C214" s="56"/>
      <c r="G214" s="3"/>
      <c r="L214" s="60"/>
      <c r="M214" s="60"/>
      <c r="N214" s="62"/>
      <c r="AG214" s="91"/>
    </row>
    <row r="215" ht="15.0" customHeight="1">
      <c r="B215" s="56"/>
      <c r="C215" s="56"/>
      <c r="G215" s="3"/>
      <c r="L215" s="60"/>
      <c r="M215" s="60"/>
      <c r="N215" s="62"/>
      <c r="AG215" s="91"/>
    </row>
    <row r="216" ht="15.0" customHeight="1">
      <c r="B216" s="56"/>
      <c r="C216" s="56"/>
      <c r="G216" s="3"/>
      <c r="L216" s="60"/>
      <c r="M216" s="60"/>
      <c r="N216" s="62"/>
      <c r="AG216" s="91"/>
    </row>
    <row r="217" ht="15.0" customHeight="1">
      <c r="B217" s="56"/>
      <c r="C217" s="56"/>
      <c r="G217" s="3"/>
      <c r="L217" s="60"/>
      <c r="M217" s="60"/>
      <c r="N217" s="62"/>
      <c r="AG217" s="91"/>
    </row>
    <row r="218" ht="15.0" customHeight="1">
      <c r="B218" s="56"/>
      <c r="C218" s="56"/>
      <c r="M218" s="60"/>
      <c r="N218" s="62"/>
      <c r="AG218" s="91"/>
    </row>
    <row r="219" ht="15.0" customHeight="1">
      <c r="B219" s="56"/>
      <c r="C219" s="56"/>
      <c r="M219" s="60"/>
      <c r="N219" s="62"/>
      <c r="AG219" s="91"/>
    </row>
    <row r="220" ht="15.0" customHeight="1">
      <c r="B220" s="56"/>
      <c r="C220" s="56"/>
      <c r="M220" s="60"/>
      <c r="N220" s="62"/>
      <c r="AG220" s="91"/>
    </row>
    <row r="221" ht="15.0" customHeight="1">
      <c r="B221" s="56"/>
      <c r="C221" s="56"/>
      <c r="M221" s="60"/>
      <c r="N221" s="62"/>
      <c r="AG221" s="91"/>
    </row>
    <row r="222" ht="15.0" customHeight="1">
      <c r="B222" s="56"/>
      <c r="C222" s="56"/>
      <c r="M222" s="60"/>
      <c r="N222" s="62"/>
      <c r="AG222" s="91"/>
    </row>
    <row r="223" ht="15.0" customHeight="1">
      <c r="B223" s="56"/>
      <c r="C223" s="56"/>
      <c r="M223" s="60"/>
      <c r="N223" s="62"/>
      <c r="AG223" s="91"/>
    </row>
    <row r="224" ht="15.0" customHeight="1">
      <c r="B224" s="56"/>
      <c r="C224" s="56"/>
      <c r="M224" s="60"/>
      <c r="N224" s="62"/>
      <c r="AG224" s="91"/>
    </row>
    <row r="225" ht="15.0" customHeight="1">
      <c r="B225" s="56"/>
      <c r="C225" s="56"/>
      <c r="M225" s="60"/>
      <c r="N225" s="62"/>
      <c r="AG225" s="91"/>
    </row>
    <row r="226" ht="15.0" customHeight="1">
      <c r="B226" s="56"/>
      <c r="C226" s="56"/>
      <c r="M226" s="60"/>
      <c r="N226" s="62"/>
      <c r="AG226" s="91"/>
    </row>
    <row r="227" ht="15.0" customHeight="1">
      <c r="B227" s="56"/>
      <c r="C227" s="56"/>
      <c r="M227" s="60"/>
      <c r="N227" s="62"/>
      <c r="AG227" s="91"/>
    </row>
    <row r="228" ht="15.0" customHeight="1">
      <c r="B228" s="56"/>
      <c r="C228" s="56"/>
      <c r="M228" s="60"/>
      <c r="N228" s="62"/>
      <c r="AG228" s="91"/>
    </row>
    <row r="229" ht="15.0" customHeight="1">
      <c r="B229" s="56"/>
      <c r="C229" s="56"/>
      <c r="M229" s="60"/>
      <c r="N229" s="62"/>
      <c r="AG229" s="91"/>
    </row>
    <row r="230" ht="15.0" customHeight="1">
      <c r="B230" s="56"/>
      <c r="C230" s="56"/>
      <c r="M230" s="60"/>
      <c r="N230" s="62"/>
      <c r="AG230" s="91"/>
    </row>
    <row r="231" ht="15.0" customHeight="1">
      <c r="B231" s="56"/>
      <c r="C231" s="56"/>
      <c r="M231" s="60"/>
      <c r="N231" s="62"/>
      <c r="AG231" s="91"/>
    </row>
    <row r="232" ht="15.0" customHeight="1">
      <c r="B232" s="56"/>
      <c r="C232" s="56"/>
      <c r="M232" s="60"/>
      <c r="N232" s="62"/>
      <c r="AG232" s="91"/>
    </row>
    <row r="233" ht="15.0" customHeight="1">
      <c r="B233" s="56"/>
      <c r="C233" s="56"/>
      <c r="M233" s="60"/>
      <c r="N233" s="62"/>
      <c r="AG233" s="91"/>
    </row>
    <row r="234" ht="15.0" customHeight="1">
      <c r="B234" s="56"/>
      <c r="C234" s="56"/>
      <c r="M234" s="60"/>
      <c r="N234" s="62"/>
      <c r="AG234" s="91"/>
    </row>
    <row r="235" ht="15.0" customHeight="1">
      <c r="B235" s="56"/>
      <c r="C235" s="56"/>
      <c r="M235" s="60"/>
      <c r="N235" s="62"/>
      <c r="AG235" s="91"/>
    </row>
    <row r="236" ht="15.0" customHeight="1">
      <c r="B236" s="56"/>
      <c r="C236" s="56"/>
      <c r="M236" s="60"/>
      <c r="N236" s="62"/>
      <c r="AG236" s="91"/>
    </row>
    <row r="237" ht="15.0" customHeight="1">
      <c r="B237" s="56"/>
      <c r="C237" s="56"/>
      <c r="M237" s="60"/>
      <c r="N237" s="62"/>
      <c r="AG237" s="91"/>
    </row>
    <row r="238" ht="15.0" customHeight="1">
      <c r="B238" s="56"/>
      <c r="C238" s="56"/>
      <c r="M238" s="60"/>
      <c r="N238" s="62"/>
      <c r="AG238" s="91"/>
    </row>
    <row r="239" ht="15.0" customHeight="1">
      <c r="B239" s="56"/>
      <c r="C239" s="56"/>
      <c r="M239" s="60"/>
      <c r="N239" s="62"/>
      <c r="AG239" s="91"/>
    </row>
    <row r="240" ht="15.0" customHeight="1">
      <c r="B240" s="56"/>
      <c r="C240" s="56"/>
      <c r="M240" s="60"/>
      <c r="N240" s="62"/>
      <c r="AG240" s="91"/>
    </row>
    <row r="241" ht="15.0" customHeight="1">
      <c r="B241" s="56"/>
      <c r="C241" s="56"/>
      <c r="M241" s="60"/>
      <c r="N241" s="62"/>
      <c r="AG241" s="91"/>
    </row>
    <row r="242" ht="15.0" customHeight="1">
      <c r="B242" s="56"/>
      <c r="C242" s="56"/>
      <c r="M242" s="60"/>
      <c r="N242" s="62"/>
      <c r="AG242" s="91"/>
    </row>
    <row r="243" ht="15.0" customHeight="1">
      <c r="B243" s="56"/>
      <c r="C243" s="56"/>
      <c r="M243" s="60"/>
      <c r="N243" s="62"/>
      <c r="AG243" s="91"/>
    </row>
    <row r="244" ht="15.0" customHeight="1">
      <c r="B244" s="56"/>
      <c r="C244" s="56"/>
      <c r="M244" s="60"/>
      <c r="N244" s="62"/>
      <c r="AG244" s="91"/>
    </row>
    <row r="245" ht="15.0" customHeight="1">
      <c r="B245" s="56"/>
      <c r="C245" s="56"/>
      <c r="M245" s="60"/>
      <c r="N245" s="62"/>
      <c r="AG245" s="91"/>
    </row>
    <row r="246" ht="15.0" customHeight="1">
      <c r="B246" s="56"/>
      <c r="C246" s="56"/>
      <c r="M246" s="60"/>
      <c r="N246" s="62"/>
      <c r="AG246" s="91"/>
    </row>
    <row r="247" ht="15.0" customHeight="1">
      <c r="B247" s="56"/>
      <c r="C247" s="56"/>
      <c r="M247" s="60"/>
      <c r="N247" s="62"/>
      <c r="AG247" s="91"/>
    </row>
    <row r="248" ht="15.0" customHeight="1">
      <c r="B248" s="56"/>
      <c r="C248" s="56"/>
      <c r="M248" s="60"/>
      <c r="N248" s="62"/>
      <c r="AG248" s="91"/>
    </row>
    <row r="249" ht="15.0" customHeight="1">
      <c r="B249" s="56"/>
      <c r="C249" s="56"/>
      <c r="M249" s="60"/>
      <c r="N249" s="62"/>
      <c r="AG249" s="91"/>
    </row>
    <row r="250" ht="15.0" customHeight="1">
      <c r="B250" s="56"/>
      <c r="C250" s="56"/>
      <c r="M250" s="60"/>
      <c r="N250" s="62"/>
      <c r="AG250" s="91"/>
    </row>
    <row r="251" ht="15.0" customHeight="1">
      <c r="B251" s="56"/>
      <c r="C251" s="56"/>
      <c r="M251" s="60"/>
      <c r="N251" s="62"/>
      <c r="AG251" s="91"/>
    </row>
    <row r="252" ht="15.0" customHeight="1">
      <c r="B252" s="56"/>
      <c r="C252" s="56"/>
      <c r="M252" s="60"/>
      <c r="N252" s="62"/>
      <c r="AG252" s="91"/>
    </row>
    <row r="253" ht="15.0" customHeight="1">
      <c r="B253" s="56"/>
      <c r="C253" s="56"/>
      <c r="M253" s="60"/>
      <c r="N253" s="62"/>
      <c r="AG253" s="91"/>
    </row>
    <row r="254" ht="15.0" customHeight="1">
      <c r="B254" s="56"/>
      <c r="C254" s="56"/>
      <c r="M254" s="60"/>
      <c r="N254" s="62"/>
      <c r="AG254" s="91"/>
    </row>
    <row r="255" ht="15.0" customHeight="1">
      <c r="B255" s="56"/>
      <c r="C255" s="56"/>
      <c r="M255" s="60"/>
      <c r="N255" s="62"/>
      <c r="AG255" s="91"/>
    </row>
    <row r="256" ht="15.0" customHeight="1">
      <c r="B256" s="56"/>
      <c r="C256" s="56"/>
      <c r="M256" s="60"/>
      <c r="N256" s="62"/>
      <c r="AG256" s="91"/>
    </row>
    <row r="257" ht="15.0" customHeight="1">
      <c r="B257" s="56"/>
      <c r="C257" s="56"/>
      <c r="M257" s="60"/>
      <c r="N257" s="62"/>
      <c r="AG257" s="91"/>
    </row>
    <row r="258" ht="15.0" customHeight="1">
      <c r="B258" s="56"/>
      <c r="C258" s="56"/>
      <c r="M258" s="60"/>
      <c r="N258" s="62"/>
      <c r="AG258" s="91"/>
    </row>
    <row r="259" ht="15.0" customHeight="1">
      <c r="B259" s="56"/>
      <c r="C259" s="56"/>
      <c r="M259" s="60"/>
      <c r="N259" s="62"/>
      <c r="AG259" s="91"/>
    </row>
    <row r="260" ht="15.0" customHeight="1">
      <c r="B260" s="56"/>
      <c r="C260" s="56"/>
      <c r="M260" s="60"/>
      <c r="N260" s="62"/>
      <c r="AG260" s="91"/>
    </row>
    <row r="261" ht="15.0" customHeight="1">
      <c r="B261" s="56"/>
      <c r="C261" s="56"/>
      <c r="M261" s="60"/>
      <c r="N261" s="62"/>
      <c r="AG261" s="91"/>
    </row>
    <row r="262" ht="15.0" customHeight="1">
      <c r="B262" s="56"/>
      <c r="C262" s="56"/>
      <c r="M262" s="60"/>
      <c r="N262" s="62"/>
      <c r="AG262" s="91"/>
    </row>
    <row r="263" ht="15.0" customHeight="1">
      <c r="B263" s="56"/>
      <c r="C263" s="56"/>
      <c r="M263" s="60"/>
      <c r="N263" s="62"/>
      <c r="AG263" s="91"/>
    </row>
    <row r="264" ht="15.0" customHeight="1">
      <c r="B264" s="56"/>
      <c r="C264" s="56"/>
      <c r="M264" s="60"/>
      <c r="N264" s="62"/>
      <c r="AG264" s="91"/>
    </row>
    <row r="265" ht="15.0" customHeight="1">
      <c r="B265" s="56"/>
      <c r="C265" s="56"/>
      <c r="M265" s="60"/>
      <c r="N265" s="62"/>
      <c r="AG265" s="91"/>
    </row>
    <row r="266" ht="15.0" customHeight="1">
      <c r="B266" s="56"/>
      <c r="C266" s="56"/>
      <c r="M266" s="60"/>
      <c r="N266" s="62"/>
      <c r="AG266" s="91"/>
    </row>
    <row r="267" ht="15.0" customHeight="1">
      <c r="B267" s="56"/>
      <c r="C267" s="56"/>
      <c r="M267" s="60"/>
      <c r="N267" s="62"/>
      <c r="AG267" s="91"/>
    </row>
    <row r="268" ht="15.0" customHeight="1">
      <c r="B268" s="56"/>
      <c r="C268" s="56"/>
      <c r="M268" s="60"/>
      <c r="N268" s="62"/>
      <c r="AG268" s="91"/>
    </row>
    <row r="269" ht="15.75" customHeight="1">
      <c r="AG269" s="91"/>
    </row>
    <row r="270" ht="15.75" customHeight="1">
      <c r="AG270" s="91"/>
    </row>
    <row r="271" ht="15.75" customHeight="1">
      <c r="AG271" s="91"/>
    </row>
    <row r="272" ht="15.75" customHeight="1">
      <c r="AG272" s="91"/>
    </row>
    <row r="273" ht="15.75" customHeight="1">
      <c r="AG273" s="91"/>
    </row>
    <row r="274" ht="15.75" customHeight="1">
      <c r="AG274" s="91"/>
    </row>
    <row r="275" ht="15.75" customHeight="1">
      <c r="AG275" s="91"/>
    </row>
    <row r="276" ht="15.75" customHeight="1">
      <c r="AG276" s="91"/>
    </row>
    <row r="277" ht="15.75" customHeight="1">
      <c r="AG277" s="91"/>
    </row>
    <row r="278" ht="15.75" customHeight="1">
      <c r="AG278" s="91"/>
    </row>
    <row r="279" ht="15.75" customHeight="1">
      <c r="AG279" s="91"/>
    </row>
    <row r="280" ht="15.75" customHeight="1">
      <c r="AG280" s="91"/>
    </row>
    <row r="281" ht="15.75" customHeight="1">
      <c r="AG281" s="91"/>
    </row>
    <row r="282" ht="15.75" customHeight="1">
      <c r="AG282" s="91"/>
    </row>
    <row r="283" ht="15.75" customHeight="1">
      <c r="AG283" s="91"/>
    </row>
    <row r="284" ht="15.75" customHeight="1">
      <c r="AG284" s="91"/>
    </row>
    <row r="285" ht="15.75" customHeight="1">
      <c r="AG285" s="91"/>
    </row>
    <row r="286" ht="15.75" customHeight="1">
      <c r="AG286" s="91"/>
    </row>
    <row r="287" ht="15.75" customHeight="1">
      <c r="AG287" s="91"/>
    </row>
    <row r="288" ht="15.75" customHeight="1">
      <c r="AG288" s="91"/>
    </row>
    <row r="289" ht="15.75" customHeight="1">
      <c r="AG289" s="91"/>
    </row>
    <row r="290" ht="15.75" customHeight="1">
      <c r="AG290" s="91"/>
    </row>
    <row r="291" ht="15.75" customHeight="1">
      <c r="AG291" s="91"/>
    </row>
    <row r="292" ht="15.75" customHeight="1">
      <c r="AG292" s="91"/>
    </row>
    <row r="293" ht="15.75" customHeight="1">
      <c r="AG293" s="91"/>
    </row>
    <row r="294" ht="15.75" customHeight="1">
      <c r="AG294" s="91"/>
    </row>
    <row r="295" ht="15.75" customHeight="1">
      <c r="AG295" s="91"/>
    </row>
    <row r="296" ht="15.75" customHeight="1">
      <c r="AG296" s="91"/>
    </row>
    <row r="297" ht="15.75" customHeight="1">
      <c r="AG297" s="91"/>
    </row>
    <row r="298" ht="15.75" customHeight="1">
      <c r="AG298" s="91"/>
    </row>
    <row r="299" ht="15.75" customHeight="1">
      <c r="AG299" s="91"/>
    </row>
    <row r="300" ht="15.75" customHeight="1">
      <c r="AG300" s="91"/>
    </row>
    <row r="301" ht="15.75" customHeight="1">
      <c r="AG301" s="91"/>
    </row>
    <row r="302" ht="15.75" customHeight="1">
      <c r="AG302" s="91"/>
    </row>
    <row r="303" ht="15.75" customHeight="1">
      <c r="AG303" s="91"/>
    </row>
    <row r="304" ht="15.75" customHeight="1">
      <c r="AG304" s="91"/>
    </row>
    <row r="305" ht="15.75" customHeight="1"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L$4">
    <sortState ref="A3:AL4">
      <sortCondition ref="A3:A4"/>
    </sortState>
  </autoFilter>
  <printOptions/>
  <pageMargins bottom="0.75" footer="0.0" header="0.0" left="0.7" right="0.7" top="0.75"/>
  <pageSetup fitToHeight="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2.86"/>
    <col customWidth="1" min="4" max="4" width="36.86"/>
    <col customWidth="1" min="5" max="5" width="13.14"/>
    <col customWidth="1" min="6" max="6" width="22.57"/>
    <col customWidth="1" min="7" max="7" width="11.71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5.29"/>
    <col customWidth="1" min="41" max="41" width="14.43"/>
    <col customWidth="1" min="42" max="42" width="10.86"/>
    <col customWidth="1" min="43" max="43" width="12.71"/>
  </cols>
  <sheetData>
    <row r="1" ht="15.0" customHeight="1">
      <c r="A1" s="85"/>
      <c r="D1" s="97" t="s">
        <v>540</v>
      </c>
      <c r="E1" s="98">
        <f>+AI3</f>
        <v>4634.858393</v>
      </c>
      <c r="F1" s="97" t="s">
        <v>241</v>
      </c>
      <c r="G1" s="98">
        <f>+$AM3</f>
        <v>331445.8644</v>
      </c>
      <c r="H1" s="4"/>
      <c r="I1" s="5">
        <f>+E1-E2</f>
        <v>318.5347995</v>
      </c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65"/>
      <c r="D2" s="97" t="s">
        <v>242</v>
      </c>
      <c r="E2" s="98">
        <f>+AH3</f>
        <v>4316.323593</v>
      </c>
      <c r="F2" s="99" t="s">
        <v>243</v>
      </c>
      <c r="G2" s="100">
        <f>+Q2</f>
        <v>93.25873152</v>
      </c>
      <c r="H2" s="13"/>
      <c r="I2" s="14">
        <f>SUBTOTAL(9,I4:I203)</f>
        <v>548.82</v>
      </c>
      <c r="J2" s="4"/>
      <c r="K2" s="14">
        <f>SUBTOTAL(9,K4:K203)</f>
        <v>510.030842</v>
      </c>
      <c r="L2" s="126">
        <f>+SUMPRODUCT(L5:L203,K5:K203)/K2</f>
        <v>0.2650519242</v>
      </c>
      <c r="M2" s="2"/>
      <c r="P2" s="16">
        <f>+SUMPRODUCT(P4:P203,AH4:AH203)/SUM(AH4:AH203)</f>
        <v>87.92443609</v>
      </c>
      <c r="Q2" s="16">
        <f>+SUMPRODUCT(Q4:Q203,AH4:AH203)/SUM(AH4:AH203)</f>
        <v>93.25873152</v>
      </c>
      <c r="R2" s="12">
        <f>+SUMPRODUCT(R4:R203,AH4:AH203)/SUM(AH4:AH203)</f>
        <v>3340.134197</v>
      </c>
      <c r="S2" s="2"/>
      <c r="AB2" s="7"/>
      <c r="AC2" s="7"/>
      <c r="AD2" s="7"/>
      <c r="AE2" s="7"/>
      <c r="AF2" s="7"/>
      <c r="AG2" s="17">
        <f>SUMPRODUCT($AG4:$AG203,$K4:$K203)/SUM($K4:$K203)</f>
        <v>120.3738402</v>
      </c>
      <c r="AH2" s="18"/>
      <c r="AI2" s="2"/>
      <c r="AJ2" s="19">
        <v>3350.0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2" t="s">
        <v>6</v>
      </c>
      <c r="C3" s="22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 t="shared" ref="AH3:AI3" si="1">SUBTOTAL(9,AH4:AH203)</f>
        <v>4316.323593</v>
      </c>
      <c r="AI3" s="39">
        <f t="shared" si="1"/>
        <v>4634.858393</v>
      </c>
      <c r="AJ3" s="40">
        <f>SUMPRODUCT(K4:K203,AJ4:AJ203)/K2</f>
        <v>29.63904871</v>
      </c>
      <c r="AK3" s="39">
        <f>SUBTOTAL(9,AK4:AK203)</f>
        <v>3908.19609</v>
      </c>
      <c r="AL3" s="11"/>
      <c r="AM3" s="39">
        <f>SUBTOTAL(9,AM4:AM203)</f>
        <v>331445.8644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>
        <f>SUBTOTAL(9,AS4:AS203)</f>
        <v>63284.8773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</row>
    <row r="5" ht="15.0" customHeight="1">
      <c r="A5" s="116" t="s">
        <v>546</v>
      </c>
      <c r="B5" s="56">
        <v>45804.0</v>
      </c>
      <c r="C5" s="56">
        <v>45781.0</v>
      </c>
      <c r="D5" s="57" t="s">
        <v>74</v>
      </c>
      <c r="E5" s="57">
        <f t="array" ref="E5">XLOOKUP(D5,RUC!$B$3:$B$110,RUC!$D$3:$D$110)</f>
        <v>10082235774</v>
      </c>
      <c r="G5" s="3">
        <v>68.0</v>
      </c>
      <c r="H5" s="57" t="s">
        <v>47</v>
      </c>
      <c r="I5" s="57">
        <v>6.64</v>
      </c>
      <c r="J5" s="58">
        <v>1.6</v>
      </c>
      <c r="K5" s="59">
        <f t="shared" ref="K5:K101" si="2">+I5-(I5*(J5/100))</f>
        <v>6.53376</v>
      </c>
      <c r="L5" s="61">
        <v>0.261</v>
      </c>
      <c r="M5" s="61">
        <v>0.261</v>
      </c>
      <c r="N5" s="114">
        <v>0.261</v>
      </c>
      <c r="O5" s="60">
        <f t="shared" ref="O5:O65" si="3">+ROUND((M5+N5)/2,3)</f>
        <v>0.261</v>
      </c>
      <c r="P5" s="63">
        <v>85.0</v>
      </c>
      <c r="Q5" s="130">
        <v>87.31</v>
      </c>
      <c r="R5" s="65">
        <v>3391.45</v>
      </c>
      <c r="S5" s="76">
        <v>105.0</v>
      </c>
      <c r="U5" s="87">
        <v>80.0</v>
      </c>
      <c r="V5" s="67">
        <v>1.1023</v>
      </c>
      <c r="Z5" s="87">
        <v>10.0</v>
      </c>
      <c r="AA5" s="70">
        <f t="shared" ref="AA5:AA101" si="4">+Y5+Z5</f>
        <v>10</v>
      </c>
      <c r="AB5" s="71">
        <f t="shared" ref="AB5:AB6" si="5">+((O5*P5*(R5-U5)/100)-S5-AA5+T5)*V5</f>
        <v>683.0348847</v>
      </c>
      <c r="AC5" s="71">
        <f>+(S5-T5)*V5-'data 1'!$F$4</f>
        <v>35.7415</v>
      </c>
      <c r="AD5" s="71">
        <f t="shared" ref="AD5:AD101" si="6">+(Q5-P5)*(R5-U5)*L5*V5/100</f>
        <v>22.00748916</v>
      </c>
      <c r="AE5" s="71">
        <f t="shared" ref="AE5:AE101" si="7">+(Y5*V5-70)+V5*(Z5-IF(D5="UNTUCA",IF(+((W5-3)*2.5+(X5-3)*3.1)&gt;0,+((W5-3)*1.5+(X5-3)*3.1),0),IF(+((W5-3)*1.5+(X5-3)*3.1)&gt;0,+((W5-3)*1.5+(X5-3)*3.1),0)))</f>
        <v>-58.977</v>
      </c>
      <c r="AF5" s="71">
        <f t="shared" ref="AF5:AF101" si="8">(L5-O5)*(R5-U5)*Q5*V5/100</f>
        <v>0</v>
      </c>
      <c r="AG5" s="72">
        <f>+IF(D5="RONALD WILLIAN GARIBAY ESCUDERO",AC5+AD5+AE5+AF5+70,AC5+AD5+AE5+AF5)+70</f>
        <v>68.77198916</v>
      </c>
      <c r="AH5" s="52">
        <f t="shared" ref="AH5:AH101" si="9">31.1035*L5*Q5*1.1023*K5/100</f>
        <v>51.04776621</v>
      </c>
      <c r="AI5" s="52">
        <f t="shared" ref="AI5:AI101" si="10">(31.1035*L5*1.1023*K5)</f>
        <v>58.46726172</v>
      </c>
      <c r="AJ5" s="73">
        <f t="shared" ref="AJ5:AJ101" si="11">+((+$AJ$2-R5+U5)*L5*Q5*V5)/100</f>
        <v>9.683418136</v>
      </c>
      <c r="AK5" s="106">
        <f t="shared" ref="AK5:AK6" si="12">31.1035*1.1023*K5*P5*O5/100</f>
        <v>49.69717247</v>
      </c>
      <c r="AL5" s="11"/>
      <c r="AM5" s="51">
        <f t="shared" ref="AM5:AM101" si="13">+IF(AB5*K5&gt;0,AB5*K5,0)</f>
        <v>4462.786008</v>
      </c>
      <c r="AN5" s="51" t="str">
        <f t="array" ref="AN5">XLOOKUP(D5,RUC!$B$3:$B$565,RUC!$M$3:$M$565)</f>
        <v>Melchor Vera</v>
      </c>
      <c r="AO5" s="131" t="s">
        <v>547</v>
      </c>
      <c r="AS5" s="65">
        <f t="shared" ref="AS5:AS101" si="14">+(AH5*AJ$2*0.995)/31.1035-K5*(80+53)-AM5</f>
        <v>138.8290439</v>
      </c>
    </row>
    <row r="6" ht="15.0" customHeight="1">
      <c r="A6" s="116" t="s">
        <v>548</v>
      </c>
      <c r="B6" s="56">
        <v>45795.0</v>
      </c>
      <c r="C6" s="56">
        <v>45787.0</v>
      </c>
      <c r="D6" s="57" t="s">
        <v>45</v>
      </c>
      <c r="E6" s="57">
        <f t="array" ref="E6">XLOOKUP(D6,RUC!$B$3:$B$110,RUC!$D$3:$D$110)</f>
        <v>10416085884</v>
      </c>
      <c r="G6" s="3" t="s">
        <v>46</v>
      </c>
      <c r="H6" s="57" t="s">
        <v>47</v>
      </c>
      <c r="I6" s="58">
        <v>28.54</v>
      </c>
      <c r="J6" s="58">
        <v>8.0</v>
      </c>
      <c r="K6" s="59">
        <f t="shared" si="2"/>
        <v>26.2568</v>
      </c>
      <c r="L6" s="123">
        <v>0.203</v>
      </c>
      <c r="M6" s="123">
        <v>0.203</v>
      </c>
      <c r="N6" s="123">
        <v>0.203</v>
      </c>
      <c r="O6" s="60">
        <f t="shared" si="3"/>
        <v>0.203</v>
      </c>
      <c r="P6" s="63">
        <v>90.0</v>
      </c>
      <c r="Q6" s="58">
        <v>94.29</v>
      </c>
      <c r="R6" s="65">
        <v>3324.55</v>
      </c>
      <c r="S6" s="66">
        <v>100.0</v>
      </c>
      <c r="U6" s="67">
        <v>90.0</v>
      </c>
      <c r="V6" s="67">
        <v>1.1023</v>
      </c>
      <c r="Z6" s="69">
        <f>IF(IF(D6="UNTUCA",IF(+((W6-3)*1.5+(X6-3)*3.1)&gt;0,+((W6-3)*1.5+(X6-3)*3.1),0),IF(+((W6-3)*1.5+(X6-3)*3.1)&gt;0,+((W6-3)*1.5+(X6-3)*3.1),0))&lt;30,30,IF(D6="UNTUCA",IF(+((W6-3)*1.5+(X6-3)*3.1)&gt;0,+((W6-3)*1.5+(X6-3)*3.1),0),IF(+((W6-3)*1.5+(X6-3)*3.1)&gt;0,+((W6-3)*1.5+(X6-3)*3.1),0)))</f>
        <v>30</v>
      </c>
      <c r="AA6" s="70">
        <f t="shared" si="4"/>
        <v>30</v>
      </c>
      <c r="AB6" s="71">
        <f t="shared" si="5"/>
        <v>508.1077038</v>
      </c>
      <c r="AC6" s="71">
        <f>+(S6-T6)*V6-'data 1'!$F$4</f>
        <v>30.23</v>
      </c>
      <c r="AD6" s="71">
        <f t="shared" si="6"/>
        <v>31.05038621</v>
      </c>
      <c r="AE6" s="71">
        <f t="shared" si="7"/>
        <v>-36.931</v>
      </c>
      <c r="AF6" s="71">
        <f t="shared" si="8"/>
        <v>0</v>
      </c>
      <c r="AG6" s="72">
        <f>+IF(D6="RONALD WILLIAN GARIBAY ESCUDERO",AC6+AD6+AE6+AF6+70,AC6+AD6+AE6+AF6)+70-53</f>
        <v>41.34938621</v>
      </c>
      <c r="AH6" s="52">
        <f t="shared" si="9"/>
        <v>172.310816</v>
      </c>
      <c r="AI6" s="52">
        <f t="shared" si="10"/>
        <v>182.7455891</v>
      </c>
      <c r="AJ6" s="73">
        <f t="shared" si="11"/>
        <v>24.35877357</v>
      </c>
      <c r="AK6" s="106">
        <f t="shared" si="12"/>
        <v>164.4710302</v>
      </c>
      <c r="AL6" s="11"/>
      <c r="AM6" s="51">
        <f t="shared" si="13"/>
        <v>13341.28236</v>
      </c>
      <c r="AN6" s="51" t="str">
        <f t="array" ref="AN6">XLOOKUP(D6,RUC!$B$3:$B$565,RUC!$M$3:$M$565)</f>
        <v>Alfred Torres</v>
      </c>
      <c r="AO6" s="131" t="s">
        <v>549</v>
      </c>
      <c r="AS6" s="65">
        <f t="shared" si="14"/>
        <v>1632.492396</v>
      </c>
    </row>
    <row r="7" ht="15.0" customHeight="1">
      <c r="A7" s="132" t="s">
        <v>550</v>
      </c>
      <c r="B7" s="56">
        <v>45793.0</v>
      </c>
      <c r="C7" s="56">
        <v>45790.0</v>
      </c>
      <c r="D7" s="57" t="s">
        <v>74</v>
      </c>
      <c r="E7" s="57">
        <f t="array" ref="E7">XLOOKUP(D7,RUC!$B$3:$B$110,RUC!$D$3:$D$110)</f>
        <v>10082235774</v>
      </c>
      <c r="G7" s="3">
        <v>39.0</v>
      </c>
      <c r="H7" s="57" t="s">
        <v>47</v>
      </c>
      <c r="I7" s="58">
        <v>3.93</v>
      </c>
      <c r="J7" s="58">
        <v>1.4</v>
      </c>
      <c r="K7" s="59">
        <f t="shared" si="2"/>
        <v>3.87498</v>
      </c>
      <c r="L7" s="60">
        <v>0.049</v>
      </c>
      <c r="M7" s="60">
        <v>0.048</v>
      </c>
      <c r="N7" s="62">
        <v>0.048</v>
      </c>
      <c r="O7" s="60">
        <f t="shared" si="3"/>
        <v>0.048</v>
      </c>
      <c r="P7" s="63">
        <v>85.0</v>
      </c>
      <c r="Q7" s="58">
        <v>91.84</v>
      </c>
      <c r="R7" s="65">
        <v>3227.95</v>
      </c>
      <c r="S7" s="76">
        <v>95.0</v>
      </c>
      <c r="U7" s="87">
        <v>80.0</v>
      </c>
      <c r="V7" s="67">
        <v>1.1023</v>
      </c>
      <c r="Z7" s="87">
        <v>10.0</v>
      </c>
      <c r="AA7" s="70">
        <f t="shared" si="4"/>
        <v>10</v>
      </c>
      <c r="AB7" s="71">
        <v>0.005</v>
      </c>
      <c r="AC7" s="71">
        <f>+(S7-T7)*V7-'data 1'!$F$4</f>
        <v>24.7185</v>
      </c>
      <c r="AD7" s="71">
        <f t="shared" si="6"/>
        <v>11.63000268</v>
      </c>
      <c r="AE7" s="71">
        <f t="shared" si="7"/>
        <v>-58.977</v>
      </c>
      <c r="AF7" s="71">
        <f t="shared" si="8"/>
        <v>3.186834486</v>
      </c>
      <c r="AG7" s="72">
        <f>+IF(D7="RONALD WILLIAN GARIBAY ESCUDERO",AC7+AD7+AE7+AF7+70,AC7+AD7+AE7+AF7)+70</f>
        <v>50.55833717</v>
      </c>
      <c r="AH7" s="52">
        <f t="shared" si="9"/>
        <v>5.978696253</v>
      </c>
      <c r="AI7" s="52">
        <f t="shared" si="10"/>
        <v>6.509904456</v>
      </c>
      <c r="AJ7" s="73">
        <f t="shared" si="11"/>
        <v>10.02274353</v>
      </c>
      <c r="AK7" s="73"/>
      <c r="AL7" s="11"/>
      <c r="AM7" s="51">
        <f t="shared" si="13"/>
        <v>0.0193749</v>
      </c>
      <c r="AN7" s="51" t="str">
        <f t="array" ref="AN7">XLOOKUP(D7,RUC!$B$3:$B$565,RUC!$M$3:$M$565)</f>
        <v>Melchor Vera</v>
      </c>
      <c r="AO7" s="131" t="s">
        <v>551</v>
      </c>
      <c r="AS7" s="65">
        <f t="shared" si="14"/>
        <v>125.3236157</v>
      </c>
    </row>
    <row r="8" ht="15.0" customHeight="1">
      <c r="A8" s="116" t="s">
        <v>552</v>
      </c>
      <c r="B8" s="56">
        <v>45803.0</v>
      </c>
      <c r="C8" s="56">
        <v>45797.0</v>
      </c>
      <c r="D8" s="57" t="s">
        <v>146</v>
      </c>
      <c r="E8" s="57">
        <f t="array" ref="E8">XLOOKUP(D8,RUC!$B$3:$B$110,RUC!$D$3:$D$110)</f>
        <v>20517242919</v>
      </c>
      <c r="G8" s="3">
        <v>47.0</v>
      </c>
      <c r="H8" s="57" t="s">
        <v>47</v>
      </c>
      <c r="I8" s="58">
        <v>4.79</v>
      </c>
      <c r="J8" s="130">
        <v>4.0</v>
      </c>
      <c r="K8" s="59">
        <f t="shared" si="2"/>
        <v>4.5984</v>
      </c>
      <c r="L8" s="60">
        <v>0.371</v>
      </c>
      <c r="M8" s="60">
        <v>0.365</v>
      </c>
      <c r="N8" s="62">
        <v>0.365</v>
      </c>
      <c r="O8" s="60">
        <f t="shared" si="3"/>
        <v>0.365</v>
      </c>
      <c r="P8" s="63">
        <v>85.0</v>
      </c>
      <c r="Q8" s="58">
        <v>86.52</v>
      </c>
      <c r="R8" s="65">
        <v>3261.55</v>
      </c>
      <c r="S8" s="76">
        <v>110.0</v>
      </c>
      <c r="U8" s="87">
        <v>80.0</v>
      </c>
      <c r="V8" s="67">
        <v>1.1023</v>
      </c>
      <c r="Z8" s="87">
        <v>10.0</v>
      </c>
      <c r="AA8" s="70">
        <f t="shared" si="4"/>
        <v>10</v>
      </c>
      <c r="AB8" s="71">
        <f t="shared" ref="AB8:AB12" si="15">+((O8*P8*(R8-U8)/100)-S8-AA8+T8)*V8</f>
        <v>955.7777508</v>
      </c>
      <c r="AC8" s="71">
        <f>+(S8-T8)*V8-'data 1'!$F$4</f>
        <v>41.253</v>
      </c>
      <c r="AD8" s="71">
        <f t="shared" si="6"/>
        <v>19.77680165</v>
      </c>
      <c r="AE8" s="71">
        <f t="shared" si="7"/>
        <v>-58.977</v>
      </c>
      <c r="AF8" s="71">
        <f t="shared" si="8"/>
        <v>18.20565554</v>
      </c>
      <c r="AG8" s="72">
        <f t="shared" ref="AG8:AG12" si="16">+IF(D8="RONALD WILLIAN GARIBAY ESCUDERO",AC8+AD8+AE8+AF8+70,AC8+AD8+AE8+AF8)+70-53</f>
        <v>37.25845719</v>
      </c>
      <c r="AH8" s="52">
        <f t="shared" si="9"/>
        <v>50.60649231</v>
      </c>
      <c r="AI8" s="52">
        <f t="shared" si="10"/>
        <v>58.49109144</v>
      </c>
      <c r="AJ8" s="73">
        <f t="shared" si="11"/>
        <v>59.60205626</v>
      </c>
      <c r="AK8" s="106">
        <f t="shared" ref="AK8:AK12" si="17">31.1035*1.1023*K8*P8*O8/100</f>
        <v>48.91337229</v>
      </c>
      <c r="AL8" s="11"/>
      <c r="AM8" s="51">
        <f t="shared" si="13"/>
        <v>4395.048409</v>
      </c>
      <c r="AN8" s="51" t="str">
        <f t="array" ref="AN8">XLOOKUP(D8,RUC!$B$3:$B$565,RUC!$M$3:$M$565)</f>
        <v>Melchor Vera</v>
      </c>
      <c r="AO8" s="131" t="s">
        <v>551</v>
      </c>
      <c r="AS8" s="65">
        <f t="shared" si="14"/>
        <v>416.6797895</v>
      </c>
    </row>
    <row r="9" ht="15.0" customHeight="1">
      <c r="A9" s="116" t="s">
        <v>553</v>
      </c>
      <c r="B9" s="56">
        <v>45803.0</v>
      </c>
      <c r="C9" s="56">
        <v>45797.0</v>
      </c>
      <c r="D9" s="57" t="s">
        <v>146</v>
      </c>
      <c r="E9" s="57">
        <f t="array" ref="E9">XLOOKUP(D9,RUC!$B$3:$B$110,RUC!$D$3:$D$110)</f>
        <v>20517242919</v>
      </c>
      <c r="G9" s="3">
        <v>66.0</v>
      </c>
      <c r="H9" s="57" t="s">
        <v>47</v>
      </c>
      <c r="I9" s="58">
        <v>6.56</v>
      </c>
      <c r="J9" s="58">
        <v>2.8</v>
      </c>
      <c r="K9" s="59">
        <f t="shared" si="2"/>
        <v>6.37632</v>
      </c>
      <c r="L9" s="60">
        <v>0.268</v>
      </c>
      <c r="M9" s="60">
        <v>0.261</v>
      </c>
      <c r="N9" s="62">
        <v>0.261</v>
      </c>
      <c r="O9" s="60">
        <f t="shared" si="3"/>
        <v>0.261</v>
      </c>
      <c r="P9" s="63">
        <v>85.0</v>
      </c>
      <c r="Q9" s="57">
        <v>87.91</v>
      </c>
      <c r="R9" s="65">
        <v>3261.55</v>
      </c>
      <c r="S9" s="76">
        <v>105.0</v>
      </c>
      <c r="U9" s="87">
        <v>80.0</v>
      </c>
      <c r="V9" s="67">
        <v>1.1023</v>
      </c>
      <c r="Z9" s="87">
        <v>10.0</v>
      </c>
      <c r="AA9" s="70">
        <f t="shared" si="4"/>
        <v>10</v>
      </c>
      <c r="AB9" s="71">
        <f t="shared" si="15"/>
        <v>651.268456</v>
      </c>
      <c r="AC9" s="71">
        <f>+(S9-T9)*V9-'data 1'!$F$4</f>
        <v>35.7415</v>
      </c>
      <c r="AD9" s="71">
        <f t="shared" si="6"/>
        <v>27.35056758</v>
      </c>
      <c r="AE9" s="71">
        <f t="shared" si="7"/>
        <v>-58.977</v>
      </c>
      <c r="AF9" s="71">
        <f t="shared" si="8"/>
        <v>21.58116476</v>
      </c>
      <c r="AG9" s="72">
        <f t="shared" si="16"/>
        <v>42.69623234</v>
      </c>
      <c r="AH9" s="52">
        <f t="shared" si="9"/>
        <v>51.50533873</v>
      </c>
      <c r="AI9" s="52">
        <f t="shared" si="10"/>
        <v>58.58871428</v>
      </c>
      <c r="AJ9" s="73">
        <f t="shared" si="11"/>
        <v>43.74655887</v>
      </c>
      <c r="AK9" s="106">
        <f t="shared" si="17"/>
        <v>48.49965024</v>
      </c>
      <c r="AL9" s="11"/>
      <c r="AM9" s="51">
        <f t="shared" si="13"/>
        <v>4152.696082</v>
      </c>
      <c r="AN9" s="51" t="str">
        <f t="array" ref="AN9">XLOOKUP(D9,RUC!$B$3:$B$565,RUC!$M$3:$M$565)</f>
        <v>Melchor Vera</v>
      </c>
      <c r="AO9" s="131" t="s">
        <v>547</v>
      </c>
      <c r="AS9" s="65">
        <f t="shared" si="14"/>
        <v>518.8948877</v>
      </c>
    </row>
    <row r="10" ht="15.0" customHeight="1">
      <c r="A10" s="116" t="s">
        <v>554</v>
      </c>
      <c r="B10" s="56">
        <v>45814.0</v>
      </c>
      <c r="C10" s="56">
        <v>45810.0</v>
      </c>
      <c r="D10" s="57" t="s">
        <v>295</v>
      </c>
      <c r="E10" s="57">
        <f t="array" ref="E10">XLOOKUP(D10,RUC!$B$3:$B$110,RUC!$D$3:$D$110)</f>
        <v>20601769396</v>
      </c>
      <c r="G10" s="3">
        <v>38.0</v>
      </c>
      <c r="H10" s="57" t="s">
        <v>71</v>
      </c>
      <c r="I10" s="58">
        <v>3.65</v>
      </c>
      <c r="J10" s="58">
        <v>5.7</v>
      </c>
      <c r="K10" s="59">
        <f t="shared" si="2"/>
        <v>3.44195</v>
      </c>
      <c r="L10" s="60">
        <v>0.303</v>
      </c>
      <c r="M10" s="60">
        <v>0.284</v>
      </c>
      <c r="N10" s="75">
        <v>0.429</v>
      </c>
      <c r="O10" s="60">
        <f t="shared" si="3"/>
        <v>0.357</v>
      </c>
      <c r="P10" s="63">
        <v>85.0</v>
      </c>
      <c r="Q10" s="58">
        <v>87.11</v>
      </c>
      <c r="R10" s="65">
        <v>3370.85</v>
      </c>
      <c r="S10" s="66">
        <f t="shared" ref="S10:S11" si="18">IF((90+ROUNDDOWN(O10,1)*100)&lt;95,95,(90+ROUNDDOWN(O10,1)*100))</f>
        <v>120</v>
      </c>
      <c r="U10" s="67">
        <v>120.0</v>
      </c>
      <c r="V10" s="67">
        <v>1.1023</v>
      </c>
      <c r="Y10" s="57">
        <v>20.0</v>
      </c>
      <c r="Z10" s="69">
        <f t="shared" ref="Z10:Z12" si="19">IF(IF(D10="UNTUCA",IF(+((W10-3)*1.5+(X10-3)*3.1)&gt;0,+((W10-3)*1.5+(X10-3)*3.1),0),IF(+((W10-3)*1.5+(X10-3)*3.1)&gt;0,+((W10-3)*1.5+(X10-3)*3.1),0))&lt;30,30,IF(D10="UNTUCA",IF(+((W10-3)*1.5+(X10-3)*3.1)&gt;0,+((W10-3)*1.5+(X10-3)*3.1),0),IF(+((W10-3)*1.5+(X10-3)*3.1)&gt;0,+((W10-3)*1.5+(X10-3)*3.1),0)))</f>
        <v>30</v>
      </c>
      <c r="AA10" s="70">
        <f t="shared" si="4"/>
        <v>50</v>
      </c>
      <c r="AB10" s="71">
        <f t="shared" si="15"/>
        <v>899.9953577</v>
      </c>
      <c r="AC10" s="71">
        <f>+(S10-T10)*V10-'data 1'!$F$4</f>
        <v>52.276</v>
      </c>
      <c r="AD10" s="71">
        <f t="shared" si="6"/>
        <v>22.90982765</v>
      </c>
      <c r="AE10" s="71">
        <f t="shared" si="7"/>
        <v>-14.885</v>
      </c>
      <c r="AF10" s="71">
        <f t="shared" si="8"/>
        <v>-168.5615483</v>
      </c>
      <c r="AG10" s="72">
        <f t="shared" si="16"/>
        <v>-91.26072066</v>
      </c>
      <c r="AH10" s="52">
        <f t="shared" si="9"/>
        <v>31.14757704</v>
      </c>
      <c r="AI10" s="52">
        <f t="shared" si="10"/>
        <v>35.75660319</v>
      </c>
      <c r="AJ10" s="73">
        <f t="shared" si="11"/>
        <v>28.84716696</v>
      </c>
      <c r="AK10" s="106">
        <f t="shared" si="17"/>
        <v>35.80970706</v>
      </c>
      <c r="AL10" s="11"/>
      <c r="AM10" s="51">
        <f t="shared" si="13"/>
        <v>3097.739022</v>
      </c>
      <c r="AN10" s="51" t="str">
        <f t="array" ref="AN10">XLOOKUP(D10,RUC!$B$3:$B$565,RUC!$M$3:$M$565)</f>
        <v>Evelyn</v>
      </c>
      <c r="AO10" s="131" t="s">
        <v>551</v>
      </c>
      <c r="AS10" s="65">
        <f t="shared" si="14"/>
        <v>-217.5447938</v>
      </c>
    </row>
    <row r="11" ht="15.0" customHeight="1">
      <c r="A11" s="116" t="s">
        <v>555</v>
      </c>
      <c r="B11" s="56">
        <v>45814.0</v>
      </c>
      <c r="C11" s="56">
        <v>45810.0</v>
      </c>
      <c r="D11" s="57" t="s">
        <v>295</v>
      </c>
      <c r="E11" s="57">
        <f t="array" ref="E11">XLOOKUP(D11,RUC!$B$3:$B$110,RUC!$D$3:$D$110)</f>
        <v>20601769396</v>
      </c>
      <c r="G11" s="3">
        <v>38.0</v>
      </c>
      <c r="H11" s="57" t="s">
        <v>71</v>
      </c>
      <c r="I11" s="58">
        <v>3.38</v>
      </c>
      <c r="J11" s="58">
        <v>7.3</v>
      </c>
      <c r="K11" s="59">
        <f t="shared" si="2"/>
        <v>3.13326</v>
      </c>
      <c r="L11" s="60">
        <v>0.932</v>
      </c>
      <c r="M11" s="60">
        <v>0.876</v>
      </c>
      <c r="N11" s="75">
        <v>1.06</v>
      </c>
      <c r="O11" s="60">
        <f t="shared" si="3"/>
        <v>0.968</v>
      </c>
      <c r="P11" s="63">
        <v>85.0</v>
      </c>
      <c r="Q11" s="58">
        <v>87.55</v>
      </c>
      <c r="R11" s="65">
        <v>3370.85</v>
      </c>
      <c r="S11" s="66">
        <f t="shared" si="18"/>
        <v>180</v>
      </c>
      <c r="U11" s="67">
        <v>120.0</v>
      </c>
      <c r="V11" s="67">
        <v>1.1023</v>
      </c>
      <c r="Y11" s="57">
        <v>20.0</v>
      </c>
      <c r="Z11" s="69">
        <f t="shared" si="19"/>
        <v>30</v>
      </c>
      <c r="AA11" s="70">
        <f t="shared" si="4"/>
        <v>50</v>
      </c>
      <c r="AB11" s="71">
        <f t="shared" si="15"/>
        <v>2694.902357</v>
      </c>
      <c r="AC11" s="71">
        <f>+(S11-T11)*V11-'data 1'!$F$4</f>
        <v>118.414</v>
      </c>
      <c r="AD11" s="71">
        <f t="shared" si="6"/>
        <v>85.16336852</v>
      </c>
      <c r="AE11" s="71">
        <f t="shared" si="7"/>
        <v>-14.885</v>
      </c>
      <c r="AF11" s="71">
        <f t="shared" si="8"/>
        <v>-112.941978</v>
      </c>
      <c r="AG11" s="72">
        <f t="shared" si="16"/>
        <v>92.75039052</v>
      </c>
      <c r="AH11" s="52">
        <f t="shared" si="9"/>
        <v>87.65517608</v>
      </c>
      <c r="AI11" s="52">
        <f t="shared" si="10"/>
        <v>100.1201326</v>
      </c>
      <c r="AJ11" s="73">
        <f t="shared" si="11"/>
        <v>89.17940876</v>
      </c>
      <c r="AK11" s="106">
        <f t="shared" si="17"/>
        <v>88.38931877</v>
      </c>
      <c r="AL11" s="11"/>
      <c r="AM11" s="51">
        <f t="shared" si="13"/>
        <v>8443.829758</v>
      </c>
      <c r="AN11" s="51" t="str">
        <f t="array" ref="AN11">XLOOKUP(D11,RUC!$B$3:$B$565,RUC!$M$3:$M$565)</f>
        <v>Evelyn</v>
      </c>
      <c r="AO11" s="131" t="s">
        <v>551</v>
      </c>
      <c r="AS11" s="65">
        <f t="shared" si="14"/>
        <v>533.1359789</v>
      </c>
    </row>
    <row r="12" ht="15.0" customHeight="1">
      <c r="A12" s="116" t="s">
        <v>556</v>
      </c>
      <c r="B12" s="56">
        <v>45816.0</v>
      </c>
      <c r="C12" s="56">
        <v>45811.0</v>
      </c>
      <c r="D12" s="57" t="s">
        <v>249</v>
      </c>
      <c r="E12" s="57">
        <f t="array" ref="E12">XLOOKUP(D12,RUC!$B$3:$B$110,RUC!$D$3:$D$110)</f>
        <v>10473108823</v>
      </c>
      <c r="G12" s="3" t="s">
        <v>46</v>
      </c>
      <c r="H12" s="57" t="s">
        <v>47</v>
      </c>
      <c r="I12" s="58">
        <v>33.21</v>
      </c>
      <c r="J12" s="58">
        <v>22.4</v>
      </c>
      <c r="K12" s="59">
        <f t="shared" si="2"/>
        <v>25.77096</v>
      </c>
      <c r="L12" s="60">
        <v>0.15250000000000002</v>
      </c>
      <c r="M12" s="60">
        <v>0.13725000000000004</v>
      </c>
      <c r="N12" s="75">
        <v>0.184</v>
      </c>
      <c r="O12" s="60">
        <f t="shared" si="3"/>
        <v>0.161</v>
      </c>
      <c r="P12" s="63">
        <v>90.0</v>
      </c>
      <c r="Q12" s="58">
        <v>93.44</v>
      </c>
      <c r="R12" s="65">
        <v>3334.75</v>
      </c>
      <c r="S12" s="76">
        <v>100.0</v>
      </c>
      <c r="U12" s="67">
        <v>90.0</v>
      </c>
      <c r="V12" s="67">
        <v>1.1023</v>
      </c>
      <c r="Z12" s="69">
        <f t="shared" si="19"/>
        <v>30</v>
      </c>
      <c r="AA12" s="70">
        <f t="shared" si="4"/>
        <v>30</v>
      </c>
      <c r="AB12" s="71">
        <f t="shared" si="15"/>
        <v>374.9630803</v>
      </c>
      <c r="AC12" s="71">
        <f>+(S12-T12)*V12-'data 1'!$F$4</f>
        <v>30.23</v>
      </c>
      <c r="AD12" s="71">
        <f t="shared" si="6"/>
        <v>18.76330485</v>
      </c>
      <c r="AE12" s="71">
        <f t="shared" si="7"/>
        <v>-36.931</v>
      </c>
      <c r="AF12" s="71">
        <f t="shared" si="8"/>
        <v>-28.40748618</v>
      </c>
      <c r="AG12" s="72">
        <f t="shared" si="16"/>
        <v>0.654818679</v>
      </c>
      <c r="AH12" s="52">
        <f t="shared" si="9"/>
        <v>125.9048151</v>
      </c>
      <c r="AI12" s="52">
        <f t="shared" si="10"/>
        <v>134.744023</v>
      </c>
      <c r="AJ12" s="73">
        <f t="shared" si="11"/>
        <v>16.53196912</v>
      </c>
      <c r="AK12" s="106">
        <f t="shared" si="17"/>
        <v>128.028911</v>
      </c>
      <c r="AL12" s="11"/>
      <c r="AM12" s="51">
        <f t="shared" si="13"/>
        <v>9663.158545</v>
      </c>
      <c r="AN12" s="51" t="str">
        <f t="array" ref="AN12">XLOOKUP(D12,RUC!$B$3:$B$565,RUC!$M$3:$M$565)</f>
        <v>Alfred Torres</v>
      </c>
      <c r="AO12" s="131" t="s">
        <v>551</v>
      </c>
      <c r="AS12" s="65">
        <f t="shared" si="14"/>
        <v>402.0690571</v>
      </c>
    </row>
    <row r="13" ht="15.0" customHeight="1">
      <c r="A13" s="132" t="s">
        <v>557</v>
      </c>
      <c r="B13" s="56">
        <v>45821.0</v>
      </c>
      <c r="C13" s="56">
        <v>45815.0</v>
      </c>
      <c r="D13" s="57" t="s">
        <v>146</v>
      </c>
      <c r="E13" s="57">
        <f t="array" ref="E13">XLOOKUP(D13,RUC!$B$3:$B$110,RUC!$D$3:$D$110)</f>
        <v>20517242919</v>
      </c>
      <c r="G13" s="3">
        <v>34.0</v>
      </c>
      <c r="H13" s="57" t="s">
        <v>47</v>
      </c>
      <c r="I13" s="58">
        <v>3.29</v>
      </c>
      <c r="J13" s="58">
        <v>2.0</v>
      </c>
      <c r="K13" s="59">
        <f t="shared" si="2"/>
        <v>3.2242</v>
      </c>
      <c r="L13" s="60">
        <v>0.096</v>
      </c>
      <c r="M13" s="60">
        <v>0.095</v>
      </c>
      <c r="N13" s="62">
        <v>0.095</v>
      </c>
      <c r="O13" s="60">
        <f t="shared" si="3"/>
        <v>0.095</v>
      </c>
      <c r="P13" s="63">
        <v>85.0</v>
      </c>
      <c r="Q13" s="58">
        <v>95.83</v>
      </c>
      <c r="R13" s="65">
        <v>3339.9</v>
      </c>
      <c r="S13" s="76">
        <v>95.0</v>
      </c>
      <c r="U13" s="87">
        <v>80.0</v>
      </c>
      <c r="V13" s="67">
        <v>1.1023</v>
      </c>
      <c r="Z13" s="87">
        <v>10.0</v>
      </c>
      <c r="AA13" s="70">
        <f t="shared" si="4"/>
        <v>10</v>
      </c>
      <c r="AB13" s="71">
        <v>0.01</v>
      </c>
      <c r="AC13" s="71">
        <f>+(S13-T13)*V13-'data 1'!$F$4</f>
        <v>24.7185</v>
      </c>
      <c r="AD13" s="71">
        <f t="shared" si="6"/>
        <v>37.35973397</v>
      </c>
      <c r="AE13" s="71">
        <f t="shared" si="7"/>
        <v>-58.977</v>
      </c>
      <c r="AF13" s="71">
        <f t="shared" si="8"/>
        <v>3.4435435</v>
      </c>
      <c r="AG13" s="72">
        <f>+IF(D13="RONALD WILLIAN GARIBAY ESCUDERO",AC13+AD13+AE13+AF13+70,AC13+AD13+AE13+AF13)+70+174.42</f>
        <v>250.9647775</v>
      </c>
      <c r="AH13" s="52">
        <f t="shared" si="9"/>
        <v>10.16959749</v>
      </c>
      <c r="AI13" s="52">
        <f t="shared" si="10"/>
        <v>10.61212302</v>
      </c>
      <c r="AJ13" s="73">
        <f t="shared" si="11"/>
        <v>9.136867345</v>
      </c>
      <c r="AK13" s="73"/>
      <c r="AL13" s="11"/>
      <c r="AM13" s="51">
        <f t="shared" si="13"/>
        <v>0.032242</v>
      </c>
      <c r="AN13" s="51" t="str">
        <f t="array" ref="AN13">XLOOKUP(D13,RUC!$B$3:$B$565,RUC!$M$3:$M$565)</f>
        <v>Melchor Vera</v>
      </c>
      <c r="AO13" s="131" t="s">
        <v>558</v>
      </c>
      <c r="AS13" s="65">
        <f t="shared" si="14"/>
        <v>660.9882707</v>
      </c>
    </row>
    <row r="14" ht="15.0" customHeight="1">
      <c r="A14" s="116" t="s">
        <v>559</v>
      </c>
      <c r="B14" s="56">
        <v>45821.0</v>
      </c>
      <c r="C14" s="56">
        <v>45815.0</v>
      </c>
      <c r="D14" s="57" t="s">
        <v>146</v>
      </c>
      <c r="E14" s="57">
        <f t="array" ref="E14">XLOOKUP(D14,RUC!$B$3:$B$110,RUC!$D$3:$D$110)</f>
        <v>20517242919</v>
      </c>
      <c r="G14" s="3">
        <v>77.0</v>
      </c>
      <c r="H14" s="57" t="s">
        <v>47</v>
      </c>
      <c r="I14" s="58">
        <v>7.05</v>
      </c>
      <c r="J14" s="58">
        <v>2.1</v>
      </c>
      <c r="K14" s="59">
        <f t="shared" si="2"/>
        <v>6.90195</v>
      </c>
      <c r="L14" s="60">
        <v>0.15</v>
      </c>
      <c r="M14" s="60">
        <v>0.148</v>
      </c>
      <c r="N14" s="62">
        <v>0.148</v>
      </c>
      <c r="O14" s="60">
        <f t="shared" si="3"/>
        <v>0.148</v>
      </c>
      <c r="P14" s="63">
        <v>85.0</v>
      </c>
      <c r="Q14" s="58">
        <v>96.0</v>
      </c>
      <c r="R14" s="65">
        <v>3339.9</v>
      </c>
      <c r="S14" s="76">
        <v>95.0</v>
      </c>
      <c r="U14" s="87">
        <v>80.0</v>
      </c>
      <c r="V14" s="67">
        <v>1.1023</v>
      </c>
      <c r="Z14" s="87">
        <v>10.0</v>
      </c>
      <c r="AA14" s="70">
        <f t="shared" si="4"/>
        <v>10</v>
      </c>
      <c r="AB14" s="71">
        <f t="shared" ref="AB14:AB101" si="20">+((O14*P14*(R14-U14)/100)-S14-AA14+T14)*V14</f>
        <v>336.3066815</v>
      </c>
      <c r="AC14" s="71">
        <f>+(S14-T14)*V14-'data 1'!$F$4</f>
        <v>24.7185</v>
      </c>
      <c r="AD14" s="71">
        <f t="shared" si="6"/>
        <v>59.29089821</v>
      </c>
      <c r="AE14" s="71">
        <f t="shared" si="7"/>
        <v>-58.977</v>
      </c>
      <c r="AF14" s="71">
        <f t="shared" si="8"/>
        <v>6.899304518</v>
      </c>
      <c r="AG14" s="72">
        <f t="shared" ref="AG14:AG21" si="21">+IF(D14="RONALD WILLIAN GARIBAY ESCUDERO",AC14+AD14+AE14+AF14+70,AC14+AD14+AE14+AF14)+70-53</f>
        <v>48.93170272</v>
      </c>
      <c r="AH14" s="52">
        <f t="shared" si="9"/>
        <v>34.0755889</v>
      </c>
      <c r="AI14" s="52">
        <f t="shared" si="10"/>
        <v>35.49540511</v>
      </c>
      <c r="AJ14" s="73">
        <f t="shared" si="11"/>
        <v>14.30168112</v>
      </c>
      <c r="AK14" s="106">
        <f t="shared" ref="AK14:AK101" si="22">31.1035*1.1023*K14*P14*O14/100</f>
        <v>29.76881308</v>
      </c>
      <c r="AL14" s="11"/>
      <c r="AM14" s="51">
        <f t="shared" si="13"/>
        <v>2321.1719</v>
      </c>
      <c r="AN14" s="51" t="str">
        <f t="array" ref="AN14">XLOOKUP(D14,RUC!$B$3:$B$565,RUC!$M$3:$M$565)</f>
        <v>Melchor Vera</v>
      </c>
      <c r="AO14" s="131" t="s">
        <v>558</v>
      </c>
      <c r="AS14" s="65">
        <f t="shared" si="14"/>
        <v>412.6268064</v>
      </c>
    </row>
    <row r="15" ht="15.0" customHeight="1">
      <c r="A15" s="116" t="s">
        <v>560</v>
      </c>
      <c r="B15" s="56">
        <v>45824.0</v>
      </c>
      <c r="C15" s="56">
        <v>45817.0</v>
      </c>
      <c r="D15" s="57" t="s">
        <v>225</v>
      </c>
      <c r="E15" s="57">
        <f t="array" ref="E15">XLOOKUP(D15,RUC!$B$3:$B$110,RUC!$D$3:$D$110)</f>
        <v>10761932735</v>
      </c>
      <c r="G15" s="3">
        <v>109.0</v>
      </c>
      <c r="H15" s="57" t="s">
        <v>47</v>
      </c>
      <c r="I15" s="58">
        <v>8.97</v>
      </c>
      <c r="J15" s="58">
        <v>14.4</v>
      </c>
      <c r="K15" s="59">
        <f t="shared" si="2"/>
        <v>7.67832</v>
      </c>
      <c r="L15" s="60">
        <v>0.141</v>
      </c>
      <c r="M15" s="60">
        <v>0.125</v>
      </c>
      <c r="N15" s="75">
        <v>0.131</v>
      </c>
      <c r="O15" s="60">
        <f t="shared" si="3"/>
        <v>0.128</v>
      </c>
      <c r="P15" s="63">
        <v>85.0</v>
      </c>
      <c r="Q15" s="58">
        <v>94.33</v>
      </c>
      <c r="R15" s="65">
        <v>3319.3</v>
      </c>
      <c r="S15" s="66">
        <f t="shared" ref="S15:S17" si="23">IF((90+ROUNDDOWN(O15,1)*100)&lt;95,95,(90+ROUNDDOWN(O15,1)*100))</f>
        <v>100</v>
      </c>
      <c r="T15" s="67"/>
      <c r="U15" s="67">
        <f t="array" ref="U15">XLOOKUP(D15,RUC!$B$3:$B$110,RUC!$F$3:$F$110)</f>
        <v>120</v>
      </c>
      <c r="V15" s="67">
        <v>1.1023</v>
      </c>
      <c r="Y15" s="57">
        <f t="array" ref="Y15">XLOOKUP(D15,RUC!$B$3:$B$110,RUC!$G$3:$G$110)</f>
        <v>20</v>
      </c>
      <c r="Z15" s="69">
        <f t="shared" ref="Z15:Z17" si="24">IF(IF(D15="UNTUCA",IF(+((W15-3)*1.5+(X15-3)*3.1)&gt;0,+((W15-3)*1.5+(X15-3)*3.1),0),IF(+((W15-3)*1.5+(X15-3)*3.1)&gt;0,+((W15-3)*1.5+(X15-3)*3.1),0))&lt;30,30,IF(D15="UNTUCA",IF(+((W15-3)*1.5+(X15-3)*3.1)&gt;0,+((W15-3)*1.5+(X15-3)*3.1),0),IF(+((W15-3)*1.5+(X15-3)*3.1)&gt;0,+((W15-3)*1.5+(X15-3)*3.1),0)))</f>
        <v>30</v>
      </c>
      <c r="AA15" s="70">
        <f t="shared" si="4"/>
        <v>50</v>
      </c>
      <c r="AB15" s="71">
        <f t="shared" si="20"/>
        <v>218.3478168</v>
      </c>
      <c r="AC15" s="71">
        <f>+(S15-T15)*V15-'data 1'!$F$4</f>
        <v>30.23</v>
      </c>
      <c r="AD15" s="71">
        <f t="shared" si="6"/>
        <v>46.39332825</v>
      </c>
      <c r="AE15" s="71">
        <f t="shared" si="7"/>
        <v>-14.885</v>
      </c>
      <c r="AF15" s="71">
        <f t="shared" si="8"/>
        <v>43.24620077</v>
      </c>
      <c r="AG15" s="72">
        <f t="shared" si="21"/>
        <v>121.984529</v>
      </c>
      <c r="AH15" s="52">
        <f t="shared" si="9"/>
        <v>35.01420129</v>
      </c>
      <c r="AI15" s="52">
        <f t="shared" si="10"/>
        <v>37.11883949</v>
      </c>
      <c r="AJ15" s="73">
        <f t="shared" si="11"/>
        <v>22.09438955</v>
      </c>
      <c r="AK15" s="106">
        <f t="shared" si="22"/>
        <v>28.64205487</v>
      </c>
      <c r="AL15" s="11"/>
      <c r="AM15" s="51">
        <f t="shared" si="13"/>
        <v>1676.544409</v>
      </c>
      <c r="AN15" s="51" t="str">
        <f t="array" ref="AN15">XLOOKUP(D15,RUC!$B$3:$B$565,RUC!$M$3:$M$565)</f>
        <v>Richard Sapacayo</v>
      </c>
      <c r="AO15" s="131" t="s">
        <v>561</v>
      </c>
      <c r="AS15" s="65">
        <f t="shared" si="14"/>
        <v>1054.584794</v>
      </c>
    </row>
    <row r="16" ht="15.0" customHeight="1">
      <c r="A16" s="116" t="s">
        <v>562</v>
      </c>
      <c r="B16" s="56">
        <v>45824.0</v>
      </c>
      <c r="C16" s="56">
        <v>45817.0</v>
      </c>
      <c r="D16" s="57" t="s">
        <v>225</v>
      </c>
      <c r="E16" s="57">
        <f t="array" ref="E16">XLOOKUP(D16,RUC!$B$3:$B$110,RUC!$D$3:$D$110)</f>
        <v>10761932735</v>
      </c>
      <c r="G16" s="3">
        <v>12.0</v>
      </c>
      <c r="H16" s="57" t="s">
        <v>40</v>
      </c>
      <c r="I16" s="58">
        <v>1.02</v>
      </c>
      <c r="J16" s="58">
        <v>18.8</v>
      </c>
      <c r="K16" s="59">
        <f t="shared" si="2"/>
        <v>0.82824</v>
      </c>
      <c r="L16" s="60">
        <v>0.11</v>
      </c>
      <c r="M16" s="60">
        <v>0.095</v>
      </c>
      <c r="N16" s="75">
        <v>0.128</v>
      </c>
      <c r="O16" s="60">
        <f t="shared" si="3"/>
        <v>0.112</v>
      </c>
      <c r="P16" s="63">
        <v>80.0</v>
      </c>
      <c r="Q16" s="58">
        <v>95.45</v>
      </c>
      <c r="R16" s="65">
        <v>3319.3</v>
      </c>
      <c r="S16" s="66">
        <f t="shared" si="23"/>
        <v>100</v>
      </c>
      <c r="T16" s="67"/>
      <c r="U16" s="67">
        <f t="array" ref="U16">XLOOKUP(D16,RUC!$B$3:$B$110,RUC!$F$3:$F$110)</f>
        <v>120</v>
      </c>
      <c r="V16" s="67">
        <v>1.1023</v>
      </c>
      <c r="Y16" s="57">
        <f t="array" ref="Y16">XLOOKUP(D16,RUC!$B$3:$B$110,RUC!$G$3:$G$110)</f>
        <v>20</v>
      </c>
      <c r="Z16" s="69">
        <f t="shared" si="24"/>
        <v>30</v>
      </c>
      <c r="AA16" s="70">
        <f t="shared" si="4"/>
        <v>50</v>
      </c>
      <c r="AB16" s="71">
        <f t="shared" si="20"/>
        <v>150.6373197</v>
      </c>
      <c r="AC16" s="71">
        <f>+(S16-T16)*V16-'data 1'!$F$4</f>
        <v>30.23</v>
      </c>
      <c r="AD16" s="71">
        <f t="shared" si="6"/>
        <v>59.93436969</v>
      </c>
      <c r="AE16" s="71">
        <f t="shared" si="7"/>
        <v>-14.885</v>
      </c>
      <c r="AF16" s="71">
        <f t="shared" si="8"/>
        <v>-6.732257237</v>
      </c>
      <c r="AG16" s="72">
        <f t="shared" si="21"/>
        <v>85.54711245</v>
      </c>
      <c r="AH16" s="52">
        <f t="shared" si="9"/>
        <v>2.981493646</v>
      </c>
      <c r="AI16" s="52">
        <f t="shared" si="10"/>
        <v>3.123618278</v>
      </c>
      <c r="AJ16" s="73">
        <f t="shared" si="11"/>
        <v>17.44141347</v>
      </c>
      <c r="AK16" s="106">
        <f t="shared" si="22"/>
        <v>2.54432907</v>
      </c>
      <c r="AL16" s="11"/>
      <c r="AM16" s="51">
        <f t="shared" si="13"/>
        <v>124.7638537</v>
      </c>
      <c r="AN16" s="51" t="str">
        <f t="array" ref="AN16">XLOOKUP(D16,RUC!$B$3:$B$565,RUC!$M$3:$M$565)</f>
        <v>Richard Sapacayo</v>
      </c>
      <c r="AO16" s="131" t="s">
        <v>547</v>
      </c>
      <c r="AS16" s="65">
        <f t="shared" si="14"/>
        <v>84.59615525</v>
      </c>
    </row>
    <row r="17" ht="15.0" customHeight="1">
      <c r="A17" s="116" t="s">
        <v>563</v>
      </c>
      <c r="B17" s="56">
        <v>45731.0</v>
      </c>
      <c r="C17" s="56">
        <v>45818.0</v>
      </c>
      <c r="D17" s="57" t="s">
        <v>295</v>
      </c>
      <c r="E17" s="57">
        <f t="array" ref="E17">XLOOKUP(D17,RUC!$B$3:$B$110,RUC!$D$3:$D$110)</f>
        <v>20601769396</v>
      </c>
      <c r="G17" s="3">
        <v>30.0</v>
      </c>
      <c r="H17" s="57" t="s">
        <v>40</v>
      </c>
      <c r="I17" s="58">
        <v>1.97</v>
      </c>
      <c r="J17" s="58">
        <v>9.8</v>
      </c>
      <c r="K17" s="59">
        <f t="shared" si="2"/>
        <v>1.77694</v>
      </c>
      <c r="L17" s="60">
        <v>0.935</v>
      </c>
      <c r="M17" s="60">
        <v>0.878</v>
      </c>
      <c r="N17" s="62">
        <v>0.878</v>
      </c>
      <c r="O17" s="60">
        <f t="shared" si="3"/>
        <v>0.878</v>
      </c>
      <c r="P17" s="63">
        <v>90.0</v>
      </c>
      <c r="Q17" s="58">
        <v>93.26</v>
      </c>
      <c r="R17" s="65">
        <v>3337.7</v>
      </c>
      <c r="S17" s="66">
        <f t="shared" si="23"/>
        <v>170</v>
      </c>
      <c r="T17" s="67"/>
      <c r="U17" s="67">
        <f t="array" ref="U17">XLOOKUP(D17,RUC!$B$3:$B$110,RUC!$F$3:$F$110)</f>
        <v>120</v>
      </c>
      <c r="V17" s="67">
        <v>1.1023</v>
      </c>
      <c r="Y17" s="57">
        <f t="array" ref="Y17">XLOOKUP(D17,RUC!$B$3:$B$110,RUC!$G$3:$G$110)</f>
        <v>20</v>
      </c>
      <c r="Z17" s="69">
        <f t="shared" si="24"/>
        <v>30</v>
      </c>
      <c r="AA17" s="70">
        <f t="shared" si="4"/>
        <v>50</v>
      </c>
      <c r="AB17" s="71">
        <f t="shared" si="20"/>
        <v>2560.231235</v>
      </c>
      <c r="AC17" s="71">
        <f>+(S17-T17)*V17-'data 1'!$F$4</f>
        <v>107.391</v>
      </c>
      <c r="AD17" s="71">
        <f t="shared" si="6"/>
        <v>108.1121661</v>
      </c>
      <c r="AE17" s="71">
        <f t="shared" si="7"/>
        <v>-14.885</v>
      </c>
      <c r="AF17" s="71">
        <f t="shared" si="8"/>
        <v>188.5452626</v>
      </c>
      <c r="AG17" s="72">
        <f t="shared" si="21"/>
        <v>406.1634287</v>
      </c>
      <c r="AH17" s="52">
        <f t="shared" si="9"/>
        <v>53.12376599</v>
      </c>
      <c r="AI17" s="52">
        <f t="shared" si="10"/>
        <v>56.96307741</v>
      </c>
      <c r="AJ17" s="73">
        <f t="shared" si="11"/>
        <v>127.16473</v>
      </c>
      <c r="AK17" s="106">
        <f t="shared" si="22"/>
        <v>48.14141579</v>
      </c>
      <c r="AL17" s="11"/>
      <c r="AM17" s="51">
        <f t="shared" si="13"/>
        <v>4549.377291</v>
      </c>
      <c r="AN17" s="51" t="str">
        <f t="array" ref="AN17">XLOOKUP(D17,RUC!$B$3:$B$565,RUC!$M$3:$M$565)</f>
        <v>Evelyn</v>
      </c>
      <c r="AO17" s="131" t="s">
        <v>558</v>
      </c>
      <c r="AS17" s="65">
        <f t="shared" si="14"/>
        <v>907.3722358</v>
      </c>
    </row>
    <row r="18" ht="15.0" customHeight="1">
      <c r="A18" s="116" t="s">
        <v>564</v>
      </c>
      <c r="B18" s="56">
        <v>45825.0</v>
      </c>
      <c r="C18" s="56">
        <v>45820.0</v>
      </c>
      <c r="D18" s="57" t="s">
        <v>79</v>
      </c>
      <c r="E18" s="57">
        <f t="array" ref="E18">XLOOKUP(D18,RUC!$B$3:$B$110,RUC!$D$3:$D$110)</f>
        <v>10421580605</v>
      </c>
      <c r="G18" s="3" t="s">
        <v>46</v>
      </c>
      <c r="H18" s="57" t="s">
        <v>47</v>
      </c>
      <c r="I18" s="58">
        <v>30.8</v>
      </c>
      <c r="J18" s="58">
        <v>14.05</v>
      </c>
      <c r="K18" s="59">
        <f t="shared" si="2"/>
        <v>26.4726</v>
      </c>
      <c r="L18" s="60">
        <v>0.133</v>
      </c>
      <c r="M18" s="60">
        <v>0.117</v>
      </c>
      <c r="N18" s="62">
        <v>0.117</v>
      </c>
      <c r="O18" s="60">
        <f t="shared" si="3"/>
        <v>0.117</v>
      </c>
      <c r="P18" s="63">
        <v>85.0</v>
      </c>
      <c r="Q18" s="58">
        <v>93.14</v>
      </c>
      <c r="R18" s="65">
        <v>3391.4</v>
      </c>
      <c r="S18" s="76">
        <v>110.0</v>
      </c>
      <c r="T18" s="67"/>
      <c r="U18" s="67">
        <f t="array" ref="U18">XLOOKUP(D18,RUC!$B$3:$B$110,RUC!$F$3:$F$110)</f>
        <v>90</v>
      </c>
      <c r="V18" s="67">
        <v>1.1023</v>
      </c>
      <c r="Y18" s="57" t="str">
        <f t="array" ref="Y18">XLOOKUP(D18,RUC!$B$3:$B$110,RUC!$G$3:$G$110)</f>
        <v/>
      </c>
      <c r="Z18" s="69">
        <f t="array" ref="Z18">XLOOKUP(D18,RUC!$B$3:$B$110,RUC!$H$3:$H$110)</f>
        <v>30</v>
      </c>
      <c r="AA18" s="70">
        <f t="shared" si="4"/>
        <v>30</v>
      </c>
      <c r="AB18" s="71">
        <f t="shared" si="20"/>
        <v>207.5897987</v>
      </c>
      <c r="AC18" s="71">
        <f>+(S18-T18)*V18-'data 1'!$F$4</f>
        <v>41.253</v>
      </c>
      <c r="AD18" s="71">
        <f t="shared" si="6"/>
        <v>39.39798407</v>
      </c>
      <c r="AE18" s="71">
        <f t="shared" si="7"/>
        <v>-36.931</v>
      </c>
      <c r="AF18" s="71">
        <f t="shared" si="8"/>
        <v>54.2318189</v>
      </c>
      <c r="AG18" s="72">
        <f t="shared" si="21"/>
        <v>114.951803</v>
      </c>
      <c r="AH18" s="52">
        <f t="shared" si="9"/>
        <v>112.4329333</v>
      </c>
      <c r="AI18" s="52">
        <f t="shared" si="10"/>
        <v>120.7139074</v>
      </c>
      <c r="AJ18" s="73">
        <f t="shared" si="11"/>
        <v>6.636268534</v>
      </c>
      <c r="AK18" s="106">
        <f t="shared" si="22"/>
        <v>90.26314352</v>
      </c>
      <c r="AL18" s="11"/>
      <c r="AM18" s="51">
        <f t="shared" si="13"/>
        <v>5495.441706</v>
      </c>
      <c r="AN18" s="51" t="str">
        <f t="array" ref="AN18">XLOOKUP(D18,RUC!$B$3:$B$565,RUC!$M$3:$M$565)</f>
        <v>Alfred Torres</v>
      </c>
      <c r="AO18" s="131" t="s">
        <v>561</v>
      </c>
      <c r="AS18" s="65">
        <f t="shared" si="14"/>
        <v>3032.734758</v>
      </c>
    </row>
    <row r="19" ht="15.0" customHeight="1">
      <c r="A19" s="116" t="s">
        <v>565</v>
      </c>
      <c r="B19" s="56">
        <v>45825.0</v>
      </c>
      <c r="C19" s="56">
        <v>45820.0</v>
      </c>
      <c r="D19" s="57" t="s">
        <v>79</v>
      </c>
      <c r="E19" s="57">
        <f t="array" ref="E19">XLOOKUP(D19,RUC!$B$3:$B$110,RUC!$D$3:$D$110)</f>
        <v>10421580605</v>
      </c>
      <c r="G19" s="3" t="s">
        <v>46</v>
      </c>
      <c r="H19" s="57" t="s">
        <v>47</v>
      </c>
      <c r="I19" s="58">
        <v>30.21</v>
      </c>
      <c r="J19" s="58">
        <v>13.87</v>
      </c>
      <c r="K19" s="59">
        <f t="shared" si="2"/>
        <v>26.019873</v>
      </c>
      <c r="L19" s="60">
        <v>0.15</v>
      </c>
      <c r="M19" s="60">
        <v>0.135</v>
      </c>
      <c r="N19" s="62">
        <v>0.135</v>
      </c>
      <c r="O19" s="60">
        <f t="shared" si="3"/>
        <v>0.135</v>
      </c>
      <c r="P19" s="63">
        <v>85.0</v>
      </c>
      <c r="Q19" s="58">
        <v>93.33</v>
      </c>
      <c r="R19" s="65">
        <v>3391.4</v>
      </c>
      <c r="S19" s="76">
        <v>110.0</v>
      </c>
      <c r="T19" s="67"/>
      <c r="U19" s="67">
        <f t="array" ref="U19">XLOOKUP(D19,RUC!$B$3:$B$110,RUC!$F$3:$F$110)</f>
        <v>90</v>
      </c>
      <c r="V19" s="67">
        <v>1.1023</v>
      </c>
      <c r="Y19" s="57" t="str">
        <f t="array" ref="Y19">XLOOKUP(D19,RUC!$B$3:$B$110,RUC!$G$3:$G$110)</f>
        <v/>
      </c>
      <c r="Z19" s="69">
        <f t="array" ref="Z19">XLOOKUP(D19,RUC!$B$3:$B$110,RUC!$H$3:$H$110)</f>
        <v>30</v>
      </c>
      <c r="AA19" s="70">
        <f t="shared" si="4"/>
        <v>30</v>
      </c>
      <c r="AB19" s="71">
        <f t="shared" si="20"/>
        <v>263.268537</v>
      </c>
      <c r="AC19" s="71">
        <f>+(S19-T19)*V19-'data 1'!$F$4</f>
        <v>41.253</v>
      </c>
      <c r="AD19" s="71">
        <f t="shared" si="6"/>
        <v>45.47096958</v>
      </c>
      <c r="AE19" s="71">
        <f t="shared" si="7"/>
        <v>-36.931</v>
      </c>
      <c r="AF19" s="71">
        <f t="shared" si="8"/>
        <v>50.94604551</v>
      </c>
      <c r="AG19" s="72">
        <f t="shared" si="21"/>
        <v>117.7390151</v>
      </c>
      <c r="AH19" s="52">
        <f t="shared" si="9"/>
        <v>124.8897415</v>
      </c>
      <c r="AI19" s="52">
        <f t="shared" si="10"/>
        <v>133.8152164</v>
      </c>
      <c r="AJ19" s="73">
        <f t="shared" si="11"/>
        <v>7.499781341</v>
      </c>
      <c r="AK19" s="106">
        <f t="shared" si="22"/>
        <v>102.3686406</v>
      </c>
      <c r="AL19" s="11"/>
      <c r="AM19" s="51">
        <f t="shared" si="13"/>
        <v>6850.213898</v>
      </c>
      <c r="AN19" s="51" t="str">
        <f t="array" ref="AN19">XLOOKUP(D19,RUC!$B$3:$B$565,RUC!$M$3:$M$565)</f>
        <v>Alfred Torres</v>
      </c>
      <c r="AO19" s="131" t="s">
        <v>558</v>
      </c>
      <c r="AS19" s="65">
        <f t="shared" si="14"/>
        <v>3073.126494</v>
      </c>
    </row>
    <row r="20" ht="15.0" customHeight="1">
      <c r="A20" s="116" t="s">
        <v>566</v>
      </c>
      <c r="B20" s="56">
        <v>45847.0</v>
      </c>
      <c r="C20" s="56">
        <v>45823.0</v>
      </c>
      <c r="D20" s="57" t="s">
        <v>225</v>
      </c>
      <c r="E20" s="57">
        <f t="array" ref="E20">XLOOKUP(D20,RUC!$B$3:$B$110,RUC!$D$3:$D$110)</f>
        <v>10761932735</v>
      </c>
      <c r="G20" s="3">
        <v>21.0</v>
      </c>
      <c r="H20" s="57" t="s">
        <v>47</v>
      </c>
      <c r="I20" s="58">
        <v>1.37</v>
      </c>
      <c r="J20" s="58">
        <v>11.15</v>
      </c>
      <c r="K20" s="59">
        <f t="shared" si="2"/>
        <v>1.217245</v>
      </c>
      <c r="L20" s="60">
        <v>0.189</v>
      </c>
      <c r="M20" s="60">
        <v>0.174</v>
      </c>
      <c r="N20" s="62">
        <v>0.174</v>
      </c>
      <c r="O20" s="60">
        <f t="shared" si="3"/>
        <v>0.174</v>
      </c>
      <c r="P20" s="63">
        <v>90.0</v>
      </c>
      <c r="Q20" s="58">
        <v>94.25</v>
      </c>
      <c r="R20" s="65">
        <v>3397.6</v>
      </c>
      <c r="S20" s="66">
        <f t="shared" ref="S20:S21" si="25">IF((90+ROUNDDOWN(O20,1)*100)&lt;95,95,(90+ROUNDDOWN(O20,1)*100))</f>
        <v>100</v>
      </c>
      <c r="T20" s="67"/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69">
        <f t="array" ref="Z20">XLOOKUP(D20,RUC!$B$3:$B$110,RUC!$H$3:$H$110)</f>
        <v>30</v>
      </c>
      <c r="AA20" s="70">
        <f t="shared" si="4"/>
        <v>50</v>
      </c>
      <c r="AB20" s="71">
        <f t="shared" si="20"/>
        <v>400.434902</v>
      </c>
      <c r="AC20" s="71">
        <f>+(S20-T20)*V20-'data 1'!$F$4</f>
        <v>30.23</v>
      </c>
      <c r="AD20" s="71">
        <f t="shared" si="6"/>
        <v>29.02060704</v>
      </c>
      <c r="AE20" s="71">
        <f t="shared" si="7"/>
        <v>-14.885</v>
      </c>
      <c r="AF20" s="71">
        <f t="shared" si="8"/>
        <v>51.07735226</v>
      </c>
      <c r="AG20" s="72">
        <f t="shared" si="21"/>
        <v>112.4429593</v>
      </c>
      <c r="AH20" s="52">
        <f t="shared" si="9"/>
        <v>7.434131375</v>
      </c>
      <c r="AI20" s="52">
        <f t="shared" si="10"/>
        <v>7.887672546</v>
      </c>
      <c r="AJ20" s="73">
        <f t="shared" si="11"/>
        <v>14.21613492</v>
      </c>
      <c r="AK20" s="106">
        <f t="shared" si="22"/>
        <v>6.53550011</v>
      </c>
      <c r="AL20" s="11"/>
      <c r="AM20" s="51">
        <f t="shared" si="13"/>
        <v>487.4273822</v>
      </c>
      <c r="AN20" s="51" t="str">
        <f t="array" ref="AN20">XLOOKUP(D20,RUC!$B$3:$B$565,RUC!$M$3:$M$565)</f>
        <v>Richard Sapacayo</v>
      </c>
      <c r="AO20" s="131" t="s">
        <v>547</v>
      </c>
      <c r="AS20" s="65">
        <f t="shared" si="14"/>
        <v>147.3681001</v>
      </c>
    </row>
    <row r="21" ht="15.0" customHeight="1">
      <c r="A21" s="116" t="s">
        <v>567</v>
      </c>
      <c r="B21" s="56">
        <v>45829.0</v>
      </c>
      <c r="C21" s="56">
        <v>45826.0</v>
      </c>
      <c r="D21" s="2" t="s">
        <v>181</v>
      </c>
      <c r="E21" s="57">
        <f t="array" ref="E21">XLOOKUP(D21,RUC!$B$3:$B$110,RUC!$D$3:$D$110)</f>
        <v>20603329059</v>
      </c>
      <c r="G21" s="3" t="s">
        <v>46</v>
      </c>
      <c r="H21" s="57" t="s">
        <v>40</v>
      </c>
      <c r="I21" s="6">
        <v>22.32</v>
      </c>
      <c r="J21" s="6">
        <v>6.6</v>
      </c>
      <c r="K21" s="59">
        <f t="shared" si="2"/>
        <v>20.84688</v>
      </c>
      <c r="L21" s="60">
        <v>0.137</v>
      </c>
      <c r="M21" s="60">
        <v>0.121</v>
      </c>
      <c r="N21" s="62">
        <v>0.121</v>
      </c>
      <c r="O21" s="60">
        <f t="shared" si="3"/>
        <v>0.121</v>
      </c>
      <c r="P21" s="63">
        <v>80.0</v>
      </c>
      <c r="Q21" s="58">
        <v>94.87</v>
      </c>
      <c r="R21" s="65">
        <v>3391.5</v>
      </c>
      <c r="S21" s="66">
        <f t="shared" si="25"/>
        <v>100</v>
      </c>
      <c r="T21" s="67"/>
      <c r="U21" s="67">
        <f t="array" ref="U21">XLOOKUP(D21,RUC!$B$3:$B$110,RUC!$F$3:$F$110)</f>
        <v>100</v>
      </c>
      <c r="V21" s="67">
        <v>1.1023</v>
      </c>
      <c r="Y21" s="57" t="str">
        <f t="array" ref="Y21">XLOOKUP(D21,RUC!$B$3:$B$110,RUC!$G$3:$G$110)</f>
        <v/>
      </c>
      <c r="Z21" s="69">
        <f t="array" ref="Z21">XLOOKUP(D21,RUC!$B$3:$B$110,RUC!$H$3:$H$110)</f>
        <v>30</v>
      </c>
      <c r="AA21" s="70">
        <f t="shared" si="4"/>
        <v>30</v>
      </c>
      <c r="AB21" s="71">
        <f t="shared" si="20"/>
        <v>207.9127396</v>
      </c>
      <c r="AC21" s="71">
        <f>+(S21-T21)*V21-'data 1'!$F$4</f>
        <v>30.23</v>
      </c>
      <c r="AD21" s="71">
        <f t="shared" si="6"/>
        <v>73.91374419</v>
      </c>
      <c r="AE21" s="71">
        <f t="shared" si="7"/>
        <v>-36.931</v>
      </c>
      <c r="AF21" s="71">
        <f t="shared" si="8"/>
        <v>55.07348385</v>
      </c>
      <c r="AG21" s="72">
        <f t="shared" si="21"/>
        <v>139.286228</v>
      </c>
      <c r="AH21" s="52">
        <f t="shared" si="9"/>
        <v>92.89655387</v>
      </c>
      <c r="AI21" s="52">
        <f t="shared" si="10"/>
        <v>97.91984175</v>
      </c>
      <c r="AJ21" s="73">
        <f t="shared" si="11"/>
        <v>8.381179484</v>
      </c>
      <c r="AK21" s="106">
        <f t="shared" si="22"/>
        <v>69.18715826</v>
      </c>
      <c r="AL21" s="11"/>
      <c r="AM21" s="51">
        <f t="shared" si="13"/>
        <v>4334.331932</v>
      </c>
      <c r="AN21" s="51" t="str">
        <f t="array" ref="AN21">XLOOKUP(D21,RUC!$B$3:$B$565,RUC!$M$3:$M$565)</f>
        <v>Yuri Rospigliossi</v>
      </c>
      <c r="AO21" s="131" t="s">
        <v>561</v>
      </c>
      <c r="AS21" s="65">
        <f t="shared" si="14"/>
        <v>2848.421913</v>
      </c>
    </row>
    <row r="22" ht="15.0" customHeight="1">
      <c r="A22" s="116" t="s">
        <v>568</v>
      </c>
      <c r="B22" s="56">
        <v>45839.0</v>
      </c>
      <c r="C22" s="56">
        <v>45835.0</v>
      </c>
      <c r="D22" s="57" t="s">
        <v>306</v>
      </c>
      <c r="E22" s="57">
        <f t="array" ref="E22">XLOOKUP(D22,RUC!$B$3:$B$110,RUC!$D$3:$D$110)</f>
        <v>20612921866</v>
      </c>
      <c r="G22" s="3">
        <v>69.0</v>
      </c>
      <c r="H22" s="57" t="s">
        <v>47</v>
      </c>
      <c r="I22" s="57">
        <v>6.13</v>
      </c>
      <c r="J22" s="58">
        <v>1.5</v>
      </c>
      <c r="K22" s="59">
        <f t="shared" si="2"/>
        <v>6.03805</v>
      </c>
      <c r="L22" s="60">
        <v>0.1825</v>
      </c>
      <c r="M22" s="60">
        <v>0.168</v>
      </c>
      <c r="N22" s="75">
        <v>0.225</v>
      </c>
      <c r="O22" s="60">
        <f t="shared" si="3"/>
        <v>0.197</v>
      </c>
      <c r="P22" s="63">
        <v>90.0</v>
      </c>
      <c r="Q22" s="57">
        <v>90.14</v>
      </c>
      <c r="R22" s="65">
        <v>3271.75</v>
      </c>
      <c r="S22" s="66">
        <f t="shared" ref="S22:S23" si="26">IF((80+ROUNDDOWN(O22,1)*100)&lt;95,95,(80+ROUNDDOWN(O22,1)*100))</f>
        <v>95</v>
      </c>
      <c r="U22" s="67">
        <f t="array" ref="U22">XLOOKUP(D22,RUC!$B$3:$B$110,RUC!$F$3:$F$110)</f>
        <v>100</v>
      </c>
      <c r="V22" s="67">
        <v>1.1023</v>
      </c>
      <c r="Y22" s="57" t="str">
        <f t="array" ref="Y22">XLOOKUP(D22,RUC!$B$3:$B$110,RUC!$G$3:$G$110)</f>
        <v/>
      </c>
      <c r="Z22" s="69">
        <f t="array" ref="Z22">XLOOKUP(D22,RUC!$B$3:$B$110,RUC!$H$3:$H$110)</f>
        <v>30</v>
      </c>
      <c r="AA22" s="70">
        <f t="shared" si="4"/>
        <v>30</v>
      </c>
      <c r="AB22" s="71">
        <f t="shared" si="20"/>
        <v>482.0923104</v>
      </c>
      <c r="AC22" s="71">
        <f>+(S22-T22)*V22-'data 1'!$F$4</f>
        <v>24.7185</v>
      </c>
      <c r="AD22" s="71">
        <f t="shared" si="6"/>
        <v>0.8932842164</v>
      </c>
      <c r="AE22" s="71">
        <f t="shared" si="7"/>
        <v>-36.931</v>
      </c>
      <c r="AF22" s="71">
        <f t="shared" si="8"/>
        <v>-45.69664459</v>
      </c>
      <c r="AG22" s="72">
        <f t="shared" ref="AG22:AG23" si="27">AC22+AD22+AE22+AF22+70-10</f>
        <v>2.984139624</v>
      </c>
      <c r="AH22" s="52">
        <f t="shared" si="9"/>
        <v>34.05541656</v>
      </c>
      <c r="AI22" s="52">
        <f t="shared" si="10"/>
        <v>37.78058194</v>
      </c>
      <c r="AJ22" s="73">
        <f t="shared" si="11"/>
        <v>32.32285905</v>
      </c>
      <c r="AK22" s="106">
        <f t="shared" si="22"/>
        <v>36.70409412</v>
      </c>
      <c r="AL22" s="11"/>
      <c r="AM22" s="51">
        <f t="shared" si="13"/>
        <v>2910.897475</v>
      </c>
      <c r="AN22" s="51" t="str">
        <f t="array" ref="AN22">XLOOKUP(D22,RUC!$B$3:$B$565,RUC!$M$3:$M$565)</f>
        <v>Ronald Garibay</v>
      </c>
      <c r="AO22" s="131" t="s">
        <v>558</v>
      </c>
      <c r="AS22" s="65">
        <f t="shared" si="14"/>
        <v>-64.36186619</v>
      </c>
    </row>
    <row r="23" ht="15.0" customHeight="1">
      <c r="A23" s="116" t="s">
        <v>569</v>
      </c>
      <c r="B23" s="56">
        <v>45839.0</v>
      </c>
      <c r="C23" s="56">
        <v>45835.0</v>
      </c>
      <c r="D23" s="57" t="s">
        <v>306</v>
      </c>
      <c r="E23" s="57">
        <f t="array" ref="E23">XLOOKUP(D23,RUC!$B$3:$B$110,RUC!$D$3:$D$110)</f>
        <v>20612921866</v>
      </c>
      <c r="G23" s="3">
        <v>36.0</v>
      </c>
      <c r="H23" s="57" t="s">
        <v>40</v>
      </c>
      <c r="I23" s="57">
        <v>3.38</v>
      </c>
      <c r="J23" s="58">
        <v>14.4</v>
      </c>
      <c r="K23" s="59">
        <f t="shared" si="2"/>
        <v>2.89328</v>
      </c>
      <c r="L23" s="60">
        <v>0.2535</v>
      </c>
      <c r="M23" s="60">
        <v>0.238</v>
      </c>
      <c r="N23" s="62">
        <v>0.238</v>
      </c>
      <c r="O23" s="60">
        <f t="shared" si="3"/>
        <v>0.238</v>
      </c>
      <c r="P23" s="63">
        <v>90.0</v>
      </c>
      <c r="Q23" s="57">
        <v>96.45</v>
      </c>
      <c r="R23" s="65">
        <v>3271.75</v>
      </c>
      <c r="S23" s="66">
        <f t="shared" si="26"/>
        <v>100</v>
      </c>
      <c r="U23" s="67">
        <f t="array" ref="U23">XLOOKUP(D23,RUC!$B$3:$B$110,RUC!$F$3:$F$110)</f>
        <v>100</v>
      </c>
      <c r="V23" s="67">
        <v>1.1023</v>
      </c>
      <c r="Y23" s="57" t="str">
        <f t="array" ref="Y23">XLOOKUP(D23,RUC!$B$3:$B$110,RUC!$G$3:$G$110)</f>
        <v/>
      </c>
      <c r="Z23" s="69">
        <f t="array" ref="Z23">XLOOKUP(D23,RUC!$B$3:$B$110,RUC!$H$3:$H$110)</f>
        <v>30</v>
      </c>
      <c r="AA23" s="70">
        <f t="shared" si="4"/>
        <v>30</v>
      </c>
      <c r="AB23" s="71">
        <f t="shared" si="20"/>
        <v>605.5913294</v>
      </c>
      <c r="AC23" s="71">
        <f>+(S23-T23)*V23-'data 1'!$F$4</f>
        <v>30.23</v>
      </c>
      <c r="AD23" s="71">
        <f t="shared" si="6"/>
        <v>57.16581957</v>
      </c>
      <c r="AE23" s="71">
        <f t="shared" si="7"/>
        <v>-36.931</v>
      </c>
      <c r="AF23" s="71">
        <f t="shared" si="8"/>
        <v>52.26761532</v>
      </c>
      <c r="AG23" s="72">
        <f t="shared" si="27"/>
        <v>162.7324349</v>
      </c>
      <c r="AH23" s="52">
        <f t="shared" si="9"/>
        <v>24.25379653</v>
      </c>
      <c r="AI23" s="52">
        <f t="shared" si="10"/>
        <v>25.14649718</v>
      </c>
      <c r="AJ23" s="73">
        <f t="shared" si="11"/>
        <v>48.04072375</v>
      </c>
      <c r="AK23" s="106">
        <f t="shared" si="22"/>
        <v>21.24804614</v>
      </c>
      <c r="AL23" s="11"/>
      <c r="AM23" s="51">
        <f t="shared" si="13"/>
        <v>1752.145281</v>
      </c>
      <c r="AN23" s="51" t="str">
        <f t="array" ref="AN23">XLOOKUP(D23,RUC!$B$3:$B$565,RUC!$M$3:$M$565)</f>
        <v>Ronald Garibay</v>
      </c>
      <c r="AO23" s="131" t="s">
        <v>558</v>
      </c>
      <c r="AS23" s="65">
        <f t="shared" si="14"/>
        <v>462.2404437</v>
      </c>
    </row>
    <row r="24" ht="15.0" customHeight="1">
      <c r="A24" s="116" t="s">
        <v>570</v>
      </c>
      <c r="B24" s="56">
        <v>45840.0</v>
      </c>
      <c r="C24" s="56">
        <v>45837.0</v>
      </c>
      <c r="D24" s="57" t="s">
        <v>181</v>
      </c>
      <c r="E24" s="57">
        <f t="array" ref="E24">XLOOKUP(D24,RUC!$B$3:$B$110,RUC!$D$3:$D$110)</f>
        <v>20603329059</v>
      </c>
      <c r="G24" s="3">
        <v>23.0</v>
      </c>
      <c r="H24" s="57" t="s">
        <v>339</v>
      </c>
      <c r="I24" s="57">
        <v>1.68</v>
      </c>
      <c r="J24" s="58">
        <v>1.65</v>
      </c>
      <c r="K24" s="59">
        <f t="shared" si="2"/>
        <v>1.65228</v>
      </c>
      <c r="L24" s="60">
        <v>0.654</v>
      </c>
      <c r="M24" s="60">
        <v>0.614</v>
      </c>
      <c r="N24" s="62">
        <v>0.614</v>
      </c>
      <c r="O24" s="60">
        <f t="shared" si="3"/>
        <v>0.614</v>
      </c>
      <c r="P24" s="63">
        <v>90.0</v>
      </c>
      <c r="Q24" s="58">
        <v>97.7</v>
      </c>
      <c r="R24" s="65">
        <v>3287.45</v>
      </c>
      <c r="S24" s="66">
        <f t="shared" ref="S24:S25" si="28">IF((90+ROUNDDOWN(O24,1)*100)&lt;95,95,(90+ROUNDDOWN(O24,1)*100))</f>
        <v>150</v>
      </c>
      <c r="U24" s="67">
        <f t="array" ref="U24">XLOOKUP(D24,RUC!$B$3:$B$110,RUC!$F$3:$F$110)</f>
        <v>100</v>
      </c>
      <c r="V24" s="67">
        <v>1.1023</v>
      </c>
      <c r="Y24" s="57" t="str">
        <f t="array" ref="Y24">XLOOKUP(D24,RUC!$B$3:$B$110,RUC!$G$3:$G$110)</f>
        <v/>
      </c>
      <c r="Z24" s="69">
        <f t="array" ref="Z24">XLOOKUP(D24,RUC!$B$3:$B$110,RUC!$H$3:$H$110)</f>
        <v>30</v>
      </c>
      <c r="AA24" s="70">
        <f t="shared" si="4"/>
        <v>30</v>
      </c>
      <c r="AB24" s="71">
        <f t="shared" si="20"/>
        <v>1743.160542</v>
      </c>
      <c r="AC24" s="71">
        <f>+(S24-T24)*V24-'data 1'!$F$4</f>
        <v>85.345</v>
      </c>
      <c r="AD24" s="71">
        <f t="shared" si="6"/>
        <v>176.9341491</v>
      </c>
      <c r="AE24" s="71">
        <f t="shared" si="7"/>
        <v>-36.931</v>
      </c>
      <c r="AF24" s="71">
        <f t="shared" si="8"/>
        <v>137.3086014</v>
      </c>
      <c r="AG24" s="72">
        <f t="shared" ref="AG24:AG25" si="29">AC24+AD24+AE24+AF24+70-53</f>
        <v>379.6567505</v>
      </c>
      <c r="AH24" s="52">
        <f t="shared" si="9"/>
        <v>36.1963707</v>
      </c>
      <c r="AI24" s="52">
        <f t="shared" si="10"/>
        <v>37.04848587</v>
      </c>
      <c r="AJ24" s="73">
        <f t="shared" si="11"/>
        <v>114.4877692</v>
      </c>
      <c r="AK24" s="106">
        <f t="shared" si="22"/>
        <v>31.30427109</v>
      </c>
      <c r="AL24" s="11"/>
      <c r="AM24" s="51">
        <f t="shared" si="13"/>
        <v>2880.189301</v>
      </c>
      <c r="AN24" s="51" t="str">
        <f t="array" ref="AN24">XLOOKUP(D24,RUC!$B$3:$B$565,RUC!$M$3:$M$565)</f>
        <v>Yuri Rospigliossi</v>
      </c>
      <c r="AO24" s="131" t="s">
        <v>558</v>
      </c>
      <c r="AS24" s="65">
        <f t="shared" si="14"/>
        <v>779.0920576</v>
      </c>
    </row>
    <row r="25" ht="15.0" customHeight="1">
      <c r="A25" s="116" t="s">
        <v>571</v>
      </c>
      <c r="B25" s="56">
        <v>45840.0</v>
      </c>
      <c r="C25" s="56">
        <v>45837.0</v>
      </c>
      <c r="D25" s="57" t="s">
        <v>181</v>
      </c>
      <c r="E25" s="57">
        <f t="array" ref="E25">XLOOKUP(D25,RUC!$B$3:$B$110,RUC!$D$3:$D$110)</f>
        <v>20603329059</v>
      </c>
      <c r="G25" s="3">
        <v>18.0</v>
      </c>
      <c r="H25" s="57" t="s">
        <v>339</v>
      </c>
      <c r="I25" s="57">
        <v>1.27</v>
      </c>
      <c r="J25" s="58">
        <v>1.5</v>
      </c>
      <c r="K25" s="59">
        <f t="shared" si="2"/>
        <v>1.25095</v>
      </c>
      <c r="L25" s="60">
        <v>0.28</v>
      </c>
      <c r="M25" s="60">
        <v>0.263</v>
      </c>
      <c r="N25" s="62">
        <v>0.263</v>
      </c>
      <c r="O25" s="60">
        <f t="shared" si="3"/>
        <v>0.263</v>
      </c>
      <c r="P25" s="63">
        <v>90.0</v>
      </c>
      <c r="Q25" s="58">
        <v>97.5</v>
      </c>
      <c r="R25" s="65">
        <v>3287.45</v>
      </c>
      <c r="S25" s="66">
        <f t="shared" si="28"/>
        <v>110</v>
      </c>
      <c r="U25" s="67">
        <f t="array" ref="U25">XLOOKUP(D25,RUC!$B$3:$B$110,RUC!$F$3:$F$110)</f>
        <v>100</v>
      </c>
      <c r="V25" s="67">
        <v>1.1023</v>
      </c>
      <c r="Y25" s="57" t="str">
        <f t="array" ref="Y25">XLOOKUP(D25,RUC!$B$3:$B$110,RUC!$G$3:$G$110)</f>
        <v/>
      </c>
      <c r="Z25" s="69">
        <f t="array" ref="Z25">XLOOKUP(D25,RUC!$B$3:$B$110,RUC!$H$3:$H$110)</f>
        <v>30</v>
      </c>
      <c r="AA25" s="70">
        <f t="shared" si="4"/>
        <v>30</v>
      </c>
      <c r="AB25" s="71">
        <f t="shared" si="20"/>
        <v>677.3296362</v>
      </c>
      <c r="AC25" s="71">
        <f>+(S25-T25)*V25-'data 1'!$F$4</f>
        <v>41.253</v>
      </c>
      <c r="AD25" s="71">
        <f t="shared" si="6"/>
        <v>73.78404884</v>
      </c>
      <c r="AE25" s="71">
        <f t="shared" si="7"/>
        <v>-36.931</v>
      </c>
      <c r="AF25" s="71">
        <f t="shared" si="8"/>
        <v>58.23669569</v>
      </c>
      <c r="AG25" s="72">
        <f t="shared" si="29"/>
        <v>153.3427445</v>
      </c>
      <c r="AH25" s="52">
        <f t="shared" si="9"/>
        <v>11.70878059</v>
      </c>
      <c r="AI25" s="52">
        <f t="shared" si="10"/>
        <v>12.00900573</v>
      </c>
      <c r="AJ25" s="73">
        <f t="shared" si="11"/>
        <v>48.91583015</v>
      </c>
      <c r="AK25" s="106">
        <f t="shared" si="22"/>
        <v>10.15189877</v>
      </c>
      <c r="AL25" s="11"/>
      <c r="AM25" s="51">
        <f t="shared" si="13"/>
        <v>847.3055083</v>
      </c>
      <c r="AN25" s="51" t="str">
        <f t="array" ref="AN25">XLOOKUP(D25,RUC!$B$3:$B$565,RUC!$M$3:$M$565)</f>
        <v>Yuri Rospigliossi</v>
      </c>
      <c r="AO25" s="131" t="s">
        <v>558</v>
      </c>
      <c r="AS25" s="65">
        <f t="shared" si="14"/>
        <v>241.1059595</v>
      </c>
    </row>
    <row r="26" ht="15.0" customHeight="1">
      <c r="A26" s="116" t="s">
        <v>572</v>
      </c>
      <c r="B26" s="56">
        <v>45842.0</v>
      </c>
      <c r="C26" s="56">
        <v>45838.0</v>
      </c>
      <c r="D26" s="57" t="s">
        <v>146</v>
      </c>
      <c r="E26" s="57">
        <f t="array" ref="E26">XLOOKUP(D26,RUC!$B$3:$B$110,RUC!$D$3:$D$110)</f>
        <v>20517242919</v>
      </c>
      <c r="G26" s="3">
        <v>62.0</v>
      </c>
      <c r="H26" s="57" t="s">
        <v>47</v>
      </c>
      <c r="I26" s="57">
        <v>5.43</v>
      </c>
      <c r="J26" s="58">
        <v>1.35</v>
      </c>
      <c r="K26" s="59">
        <f t="shared" si="2"/>
        <v>5.356695</v>
      </c>
      <c r="L26" s="60">
        <v>0.229</v>
      </c>
      <c r="M26" s="60">
        <v>0.226</v>
      </c>
      <c r="N26" s="62">
        <v>0.226</v>
      </c>
      <c r="O26" s="60">
        <f t="shared" si="3"/>
        <v>0.226</v>
      </c>
      <c r="P26" s="63">
        <v>85.0</v>
      </c>
      <c r="Q26" s="58">
        <v>94.32</v>
      </c>
      <c r="R26" s="65">
        <v>3287.45</v>
      </c>
      <c r="S26" s="133">
        <v>105.0</v>
      </c>
      <c r="U26" s="67">
        <f t="array" ref="U26">XLOOKUP(D26,RUC!$B$3:$B$110,RUC!$F$3:$F$110)</f>
        <v>80</v>
      </c>
      <c r="V26" s="67">
        <v>1.1023</v>
      </c>
      <c r="Y26" s="57" t="str">
        <f t="array" ref="Y26">XLOOKUP(D26,RUC!$B$3:$B$110,RUC!$G$3:$G$110)</f>
        <v/>
      </c>
      <c r="Z26" s="69">
        <f t="array" ref="Z26">XLOOKUP(D26,RUC!$B$3:$B$110,RUC!$H$3:$H$110)</f>
        <v>10</v>
      </c>
      <c r="AA26" s="70">
        <f t="shared" si="4"/>
        <v>10</v>
      </c>
      <c r="AB26" s="71">
        <f t="shared" si="20"/>
        <v>552.4189071</v>
      </c>
      <c r="AC26" s="71">
        <f>+(S26-T26)*V26-'data 1'!$F$4</f>
        <v>35.7415</v>
      </c>
      <c r="AD26" s="71">
        <f t="shared" si="6"/>
        <v>75.45900896</v>
      </c>
      <c r="AE26" s="71">
        <f t="shared" si="7"/>
        <v>-58.977</v>
      </c>
      <c r="AF26" s="71">
        <f t="shared" si="8"/>
        <v>10.00425491</v>
      </c>
      <c r="AG26" s="72">
        <f t="shared" ref="AG26:AG33" si="30">AC26+AD26+AE26+AF26+70</f>
        <v>132.2277639</v>
      </c>
      <c r="AH26" s="52">
        <f t="shared" si="9"/>
        <v>39.66845289</v>
      </c>
      <c r="AI26" s="52">
        <f t="shared" si="10"/>
        <v>42.05730798</v>
      </c>
      <c r="AJ26" s="73">
        <f t="shared" si="11"/>
        <v>33.93956748</v>
      </c>
      <c r="AK26" s="106">
        <f t="shared" si="22"/>
        <v>35.28038805</v>
      </c>
      <c r="AL26" s="11"/>
      <c r="AM26" s="51">
        <f t="shared" si="13"/>
        <v>2959.139598</v>
      </c>
      <c r="AN26" s="51" t="str">
        <f t="array" ref="AN26">XLOOKUP(D26,RUC!$B$3:$B$565,RUC!$M$3:$M$565)</f>
        <v>Melchor Vera</v>
      </c>
      <c r="AO26" s="131" t="s">
        <v>558</v>
      </c>
      <c r="AP26" s="57" t="s">
        <v>573</v>
      </c>
      <c r="AQ26" s="57" t="s">
        <v>574</v>
      </c>
      <c r="AS26" s="65">
        <f t="shared" si="14"/>
        <v>579.5451009</v>
      </c>
    </row>
    <row r="27" ht="15.0" customHeight="1">
      <c r="A27" s="116" t="s">
        <v>575</v>
      </c>
      <c r="B27" s="56">
        <v>45842.0</v>
      </c>
      <c r="C27" s="56">
        <v>45838.0</v>
      </c>
      <c r="D27" s="57" t="s">
        <v>146</v>
      </c>
      <c r="E27" s="57">
        <f t="array" ref="E27">XLOOKUP(D27,RUC!$B$3:$B$110,RUC!$D$3:$D$110)</f>
        <v>20517242919</v>
      </c>
      <c r="G27" s="3">
        <v>74.0</v>
      </c>
      <c r="H27" s="57" t="s">
        <v>47</v>
      </c>
      <c r="I27" s="57">
        <v>6.67</v>
      </c>
      <c r="J27" s="58">
        <v>3.0</v>
      </c>
      <c r="K27" s="59">
        <f t="shared" si="2"/>
        <v>6.4699</v>
      </c>
      <c r="L27" s="60">
        <v>0.195</v>
      </c>
      <c r="M27" s="60">
        <v>0.192</v>
      </c>
      <c r="N27" s="62">
        <v>0.192</v>
      </c>
      <c r="O27" s="60">
        <f t="shared" si="3"/>
        <v>0.192</v>
      </c>
      <c r="P27" s="63">
        <v>85.0</v>
      </c>
      <c r="Q27" s="58">
        <v>93.33</v>
      </c>
      <c r="R27" s="65">
        <v>3287.45</v>
      </c>
      <c r="S27" s="133">
        <v>95.0</v>
      </c>
      <c r="U27" s="67">
        <f t="array" ref="U27">XLOOKUP(D27,RUC!$B$3:$B$110,RUC!$F$3:$F$110)</f>
        <v>80</v>
      </c>
      <c r="V27" s="67">
        <v>1.1023</v>
      </c>
      <c r="Y27" s="57" t="str">
        <f t="array" ref="Y27">XLOOKUP(D27,RUC!$B$3:$B$110,RUC!$G$3:$G$110)</f>
        <v/>
      </c>
      <c r="Z27" s="69">
        <f t="array" ref="Z27">XLOOKUP(D27,RUC!$B$3:$B$110,RUC!$H$3:$H$110)</f>
        <v>10</v>
      </c>
      <c r="AA27" s="70">
        <f t="shared" si="4"/>
        <v>10</v>
      </c>
      <c r="AB27" s="71">
        <f t="shared" si="20"/>
        <v>461.2638724</v>
      </c>
      <c r="AC27" s="71">
        <f>+(S27-T27)*V27-'data 1'!$F$4</f>
        <v>24.7185</v>
      </c>
      <c r="AD27" s="71">
        <f t="shared" si="6"/>
        <v>57.43006597</v>
      </c>
      <c r="AE27" s="71">
        <f t="shared" si="7"/>
        <v>-58.977</v>
      </c>
      <c r="AF27" s="71">
        <f t="shared" si="8"/>
        <v>9.899248421</v>
      </c>
      <c r="AG27" s="72">
        <f t="shared" si="30"/>
        <v>103.0708144</v>
      </c>
      <c r="AH27" s="52">
        <f t="shared" si="9"/>
        <v>40.37035</v>
      </c>
      <c r="AI27" s="52">
        <f t="shared" si="10"/>
        <v>43.25549127</v>
      </c>
      <c r="AJ27" s="73">
        <f t="shared" si="11"/>
        <v>28.59716007</v>
      </c>
      <c r="AK27" s="106">
        <f t="shared" si="22"/>
        <v>36.20151885</v>
      </c>
      <c r="AL27" s="11"/>
      <c r="AM27" s="51">
        <f t="shared" si="13"/>
        <v>2984.331128</v>
      </c>
      <c r="AN27" s="51" t="str">
        <f t="array" ref="AN27">XLOOKUP(D27,RUC!$B$3:$B$565,RUC!$M$3:$M$565)</f>
        <v>Melchor Vera</v>
      </c>
      <c r="AO27" s="131" t="s">
        <v>558</v>
      </c>
      <c r="AP27" s="57" t="s">
        <v>573</v>
      </c>
      <c r="AQ27" s="57" t="s">
        <v>574</v>
      </c>
      <c r="AS27" s="65">
        <f t="shared" si="14"/>
        <v>481.5170892</v>
      </c>
    </row>
    <row r="28" ht="15.0" customHeight="1">
      <c r="A28" s="116" t="s">
        <v>576</v>
      </c>
      <c r="B28" s="56">
        <v>45842.0</v>
      </c>
      <c r="C28" s="56">
        <v>45838.0</v>
      </c>
      <c r="D28" s="57" t="s">
        <v>146</v>
      </c>
      <c r="E28" s="57">
        <f t="array" ref="E28">XLOOKUP(D28,RUC!$B$3:$B$110,RUC!$D$3:$D$110)</f>
        <v>20517242919</v>
      </c>
      <c r="G28" s="3">
        <v>73.0</v>
      </c>
      <c r="H28" s="57" t="s">
        <v>47</v>
      </c>
      <c r="I28" s="57">
        <v>6.53</v>
      </c>
      <c r="J28" s="58">
        <v>3.55</v>
      </c>
      <c r="K28" s="59">
        <f t="shared" si="2"/>
        <v>6.298185</v>
      </c>
      <c r="L28" s="60">
        <v>0.188</v>
      </c>
      <c r="M28" s="60">
        <v>0.185</v>
      </c>
      <c r="N28" s="62">
        <v>0.185</v>
      </c>
      <c r="O28" s="60">
        <f t="shared" si="3"/>
        <v>0.185</v>
      </c>
      <c r="P28" s="63">
        <v>85.0</v>
      </c>
      <c r="Q28" s="58">
        <v>93.6</v>
      </c>
      <c r="R28" s="65">
        <v>3287.45</v>
      </c>
      <c r="S28" s="133">
        <v>95.0</v>
      </c>
      <c r="U28" s="67">
        <f t="array" ref="U28">XLOOKUP(D28,RUC!$B$3:$B$110,RUC!$F$3:$F$110)</f>
        <v>80</v>
      </c>
      <c r="V28" s="67">
        <v>1.1023</v>
      </c>
      <c r="Y28" s="57" t="str">
        <f t="array" ref="Y28">XLOOKUP(D28,RUC!$B$3:$B$110,RUC!$G$3:$G$110)</f>
        <v/>
      </c>
      <c r="Z28" s="69">
        <f t="array" ref="Z28">XLOOKUP(D28,RUC!$B$3:$B$110,RUC!$H$3:$H$110)</f>
        <v>10</v>
      </c>
      <c r="AA28" s="70">
        <f t="shared" si="4"/>
        <v>10</v>
      </c>
      <c r="AB28" s="71">
        <f t="shared" si="20"/>
        <v>440.2272182</v>
      </c>
      <c r="AC28" s="71">
        <f>+(S28-T28)*V28-'data 1'!$F$4</f>
        <v>24.7185</v>
      </c>
      <c r="AD28" s="71">
        <f t="shared" si="6"/>
        <v>57.16313028</v>
      </c>
      <c r="AE28" s="71">
        <f t="shared" si="7"/>
        <v>-58.977</v>
      </c>
      <c r="AF28" s="71">
        <f t="shared" si="8"/>
        <v>9.927886555</v>
      </c>
      <c r="AG28" s="72">
        <f t="shared" si="30"/>
        <v>102.8325168</v>
      </c>
      <c r="AH28" s="52">
        <f t="shared" si="9"/>
        <v>37.9977762</v>
      </c>
      <c r="AI28" s="52">
        <f t="shared" si="10"/>
        <v>40.59591475</v>
      </c>
      <c r="AJ28" s="73">
        <f t="shared" si="11"/>
        <v>27.65035599</v>
      </c>
      <c r="AK28" s="106">
        <f t="shared" si="22"/>
        <v>33.95589146</v>
      </c>
      <c r="AL28" s="11"/>
      <c r="AM28" s="51">
        <f t="shared" si="13"/>
        <v>2772.632462</v>
      </c>
      <c r="AN28" s="51" t="str">
        <f t="array" ref="AN28">XLOOKUP(D28,RUC!$B$3:$B$565,RUC!$M$3:$M$565)</f>
        <v>Melchor Vera</v>
      </c>
      <c r="AO28" s="131" t="s">
        <v>558</v>
      </c>
      <c r="AP28" s="57" t="s">
        <v>573</v>
      </c>
      <c r="AQ28" s="57" t="s">
        <v>574</v>
      </c>
      <c r="AS28" s="65">
        <f t="shared" si="14"/>
        <v>461.7936667</v>
      </c>
    </row>
    <row r="29" ht="15.0" customHeight="1">
      <c r="A29" s="116" t="s">
        <v>577</v>
      </c>
      <c r="B29" s="56">
        <v>45842.0</v>
      </c>
      <c r="C29" s="56">
        <v>45838.0</v>
      </c>
      <c r="D29" s="57" t="s">
        <v>146</v>
      </c>
      <c r="E29" s="57">
        <f t="array" ref="E29">XLOOKUP(D29,RUC!$B$3:$B$110,RUC!$D$3:$D$110)</f>
        <v>20517242919</v>
      </c>
      <c r="G29" s="3">
        <v>61.0</v>
      </c>
      <c r="H29" s="57" t="s">
        <v>47</v>
      </c>
      <c r="I29" s="57">
        <v>5.47</v>
      </c>
      <c r="J29" s="58">
        <v>2.25</v>
      </c>
      <c r="K29" s="59">
        <f t="shared" si="2"/>
        <v>5.346925</v>
      </c>
      <c r="L29" s="60">
        <v>0.399</v>
      </c>
      <c r="M29" s="60">
        <v>0.393</v>
      </c>
      <c r="N29" s="62">
        <v>0.393</v>
      </c>
      <c r="O29" s="60">
        <f t="shared" si="3"/>
        <v>0.393</v>
      </c>
      <c r="P29" s="63">
        <v>90.0</v>
      </c>
      <c r="Q29" s="58">
        <v>96.24</v>
      </c>
      <c r="R29" s="65">
        <v>3287.45</v>
      </c>
      <c r="S29" s="133">
        <v>110.0</v>
      </c>
      <c r="U29" s="67">
        <f t="array" ref="U29">XLOOKUP(D29,RUC!$B$3:$B$110,RUC!$F$3:$F$110)</f>
        <v>80</v>
      </c>
      <c r="V29" s="67">
        <v>1.1023</v>
      </c>
      <c r="Y29" s="57" t="str">
        <f t="array" ref="Y29">XLOOKUP(D29,RUC!$B$3:$B$110,RUC!$G$3:$G$110)</f>
        <v/>
      </c>
      <c r="Z29" s="69">
        <f t="array" ref="Z29">XLOOKUP(D29,RUC!$B$3:$B$110,RUC!$H$3:$H$110)</f>
        <v>10</v>
      </c>
      <c r="AA29" s="70">
        <f t="shared" si="4"/>
        <v>10</v>
      </c>
      <c r="AB29" s="71">
        <f t="shared" si="20"/>
        <v>1118.255864</v>
      </c>
      <c r="AC29" s="71">
        <f>+(S29-T29)*V29-'data 1'!$F$4</f>
        <v>41.253</v>
      </c>
      <c r="AD29" s="71">
        <f t="shared" si="6"/>
        <v>88.02726079</v>
      </c>
      <c r="AE29" s="71">
        <f t="shared" si="7"/>
        <v>-58.977</v>
      </c>
      <c r="AF29" s="71">
        <f t="shared" si="8"/>
        <v>20.41580774</v>
      </c>
      <c r="AG29" s="72">
        <f t="shared" si="30"/>
        <v>160.7190685</v>
      </c>
      <c r="AH29" s="52">
        <f t="shared" si="9"/>
        <v>70.39497705</v>
      </c>
      <c r="AI29" s="52">
        <f t="shared" si="10"/>
        <v>73.145238</v>
      </c>
      <c r="AJ29" s="73">
        <f t="shared" si="11"/>
        <v>60.33864304</v>
      </c>
      <c r="AK29" s="106">
        <f t="shared" si="22"/>
        <v>64.84077865</v>
      </c>
      <c r="AL29" s="11"/>
      <c r="AM29" s="51">
        <f t="shared" si="13"/>
        <v>5979.230236</v>
      </c>
      <c r="AN29" s="51" t="str">
        <f t="array" ref="AN29">XLOOKUP(D29,RUC!$B$3:$B$565,RUC!$M$3:$M$565)</f>
        <v>Melchor Vera</v>
      </c>
      <c r="AO29" s="131" t="s">
        <v>558</v>
      </c>
      <c r="AP29" s="57" t="s">
        <v>573</v>
      </c>
      <c r="AQ29" s="57" t="s">
        <v>574</v>
      </c>
      <c r="AS29" s="65">
        <f t="shared" si="14"/>
        <v>853.6047303</v>
      </c>
    </row>
    <row r="30" ht="15.0" customHeight="1">
      <c r="A30" s="116" t="s">
        <v>578</v>
      </c>
      <c r="B30" s="56">
        <v>45842.0</v>
      </c>
      <c r="C30" s="56">
        <v>45838.0</v>
      </c>
      <c r="D30" s="57" t="s">
        <v>146</v>
      </c>
      <c r="E30" s="57">
        <f t="array" ref="E30">XLOOKUP(D30,RUC!$B$3:$B$110,RUC!$D$3:$D$110)</f>
        <v>20517242919</v>
      </c>
      <c r="G30" s="3">
        <v>51.0</v>
      </c>
      <c r="H30" s="57" t="s">
        <v>47</v>
      </c>
      <c r="I30" s="57">
        <v>4.63</v>
      </c>
      <c r="J30" s="58">
        <v>2.15</v>
      </c>
      <c r="K30" s="59">
        <f t="shared" si="2"/>
        <v>4.530455</v>
      </c>
      <c r="L30" s="60">
        <v>0.424</v>
      </c>
      <c r="M30" s="60">
        <v>0.418</v>
      </c>
      <c r="N30" s="75">
        <v>0.457</v>
      </c>
      <c r="O30" s="60">
        <f t="shared" si="3"/>
        <v>0.438</v>
      </c>
      <c r="P30" s="63">
        <v>90.0</v>
      </c>
      <c r="Q30" s="58">
        <v>96.46</v>
      </c>
      <c r="R30" s="65">
        <v>3287.45</v>
      </c>
      <c r="S30" s="133">
        <v>115.0</v>
      </c>
      <c r="U30" s="67">
        <f t="array" ref="U30">XLOOKUP(D30,RUC!$B$3:$B$110,RUC!$F$3:$F$110)</f>
        <v>80</v>
      </c>
      <c r="V30" s="67">
        <v>1.1023</v>
      </c>
      <c r="Y30" s="57" t="str">
        <f t="array" ref="Y30">XLOOKUP(D30,RUC!$B$3:$B$110,RUC!$G$3:$G$110)</f>
        <v/>
      </c>
      <c r="Z30" s="69">
        <f t="array" ref="Z30">XLOOKUP(D30,RUC!$B$3:$B$110,RUC!$H$3:$H$110)</f>
        <v>10</v>
      </c>
      <c r="AA30" s="70">
        <f t="shared" si="4"/>
        <v>10</v>
      </c>
      <c r="AB30" s="71">
        <f t="shared" si="20"/>
        <v>1255.935036</v>
      </c>
      <c r="AC30" s="71">
        <f>+(S30-T30)*V30-'data 1'!$F$4</f>
        <v>46.7645</v>
      </c>
      <c r="AD30" s="71">
        <f t="shared" si="6"/>
        <v>96.84073501</v>
      </c>
      <c r="AE30" s="71">
        <f t="shared" si="7"/>
        <v>-58.977</v>
      </c>
      <c r="AF30" s="71">
        <f t="shared" si="8"/>
        <v>-47.74578034</v>
      </c>
      <c r="AG30" s="72">
        <f t="shared" si="30"/>
        <v>106.8824547</v>
      </c>
      <c r="AH30" s="52">
        <f t="shared" si="9"/>
        <v>63.5278276</v>
      </c>
      <c r="AI30" s="52">
        <f t="shared" si="10"/>
        <v>65.85924487</v>
      </c>
      <c r="AJ30" s="73">
        <f t="shared" si="11"/>
        <v>64.26583331</v>
      </c>
      <c r="AK30" s="106">
        <f t="shared" si="22"/>
        <v>61.23045832</v>
      </c>
      <c r="AL30" s="11"/>
      <c r="AM30" s="51">
        <f t="shared" si="13"/>
        <v>5689.957162</v>
      </c>
      <c r="AN30" s="51" t="str">
        <f t="array" ref="AN30">XLOOKUP(D30,RUC!$B$3:$B$565,RUC!$M$3:$M$565)</f>
        <v>Melchor Vera</v>
      </c>
      <c r="AO30" s="131" t="s">
        <v>558</v>
      </c>
      <c r="AP30" s="57" t="s">
        <v>573</v>
      </c>
      <c r="AQ30" s="57" t="s">
        <v>574</v>
      </c>
      <c r="AS30" s="65">
        <f t="shared" si="14"/>
        <v>515.5406574</v>
      </c>
    </row>
    <row r="31" ht="15.0" customHeight="1">
      <c r="A31" s="116" t="s">
        <v>579</v>
      </c>
      <c r="B31" s="56">
        <v>45842.0</v>
      </c>
      <c r="C31" s="56">
        <v>45838.0</v>
      </c>
      <c r="D31" s="57" t="s">
        <v>146</v>
      </c>
      <c r="E31" s="57">
        <f t="array" ref="E31">XLOOKUP(D31,RUC!$B$3:$B$110,RUC!$D$3:$D$110)</f>
        <v>20517242919</v>
      </c>
      <c r="G31" s="3">
        <v>57.0</v>
      </c>
      <c r="H31" s="57" t="s">
        <v>47</v>
      </c>
      <c r="I31" s="57">
        <v>5.26</v>
      </c>
      <c r="J31" s="58">
        <v>2.0</v>
      </c>
      <c r="K31" s="59">
        <f t="shared" si="2"/>
        <v>5.1548</v>
      </c>
      <c r="L31" s="60">
        <v>0.159</v>
      </c>
      <c r="M31" s="60">
        <v>0.156</v>
      </c>
      <c r="N31" s="62">
        <v>0.156</v>
      </c>
      <c r="O31" s="60">
        <f t="shared" si="3"/>
        <v>0.156</v>
      </c>
      <c r="P31" s="63">
        <v>85.0</v>
      </c>
      <c r="Q31" s="58">
        <v>93.69</v>
      </c>
      <c r="R31" s="65">
        <v>3287.45</v>
      </c>
      <c r="S31" s="133">
        <v>95.0</v>
      </c>
      <c r="U31" s="67">
        <f t="array" ref="U31">XLOOKUP(D31,RUC!$B$3:$B$110,RUC!$F$3:$F$110)</f>
        <v>80</v>
      </c>
      <c r="V31" s="67">
        <v>1.1023</v>
      </c>
      <c r="Y31" s="57" t="str">
        <f t="array" ref="Y31">XLOOKUP(D31,RUC!$B$3:$B$110,RUC!$G$3:$G$110)</f>
        <v/>
      </c>
      <c r="Z31" s="69">
        <f t="array" ref="Z31">XLOOKUP(D31,RUC!$B$3:$B$110,RUC!$H$3:$H$110)</f>
        <v>10</v>
      </c>
      <c r="AA31" s="70">
        <f t="shared" si="4"/>
        <v>10</v>
      </c>
      <c r="AB31" s="71">
        <f t="shared" si="20"/>
        <v>353.0753651</v>
      </c>
      <c r="AC31" s="71">
        <f>+(S31-T31)*V31-'data 1'!$F$4</f>
        <v>24.7185</v>
      </c>
      <c r="AD31" s="71">
        <f t="shared" si="6"/>
        <v>48.85135375</v>
      </c>
      <c r="AE31" s="71">
        <f t="shared" si="7"/>
        <v>-58.977</v>
      </c>
      <c r="AF31" s="71">
        <f t="shared" si="8"/>
        <v>9.9374326</v>
      </c>
      <c r="AG31" s="72">
        <f t="shared" si="30"/>
        <v>94.53028635</v>
      </c>
      <c r="AH31" s="52">
        <f t="shared" si="9"/>
        <v>26.32759887</v>
      </c>
      <c r="AI31" s="52">
        <f t="shared" si="10"/>
        <v>28.10075661</v>
      </c>
      <c r="AJ31" s="73">
        <f t="shared" si="11"/>
        <v>23.40762721</v>
      </c>
      <c r="AK31" s="106">
        <f t="shared" si="22"/>
        <v>23.43497061</v>
      </c>
      <c r="AL31" s="11"/>
      <c r="AM31" s="51">
        <f t="shared" si="13"/>
        <v>1820.032892</v>
      </c>
      <c r="AN31" s="51" t="str">
        <f t="array" ref="AN31">XLOOKUP(D31,RUC!$B$3:$B$565,RUC!$M$3:$M$565)</f>
        <v>Melchor Vera</v>
      </c>
      <c r="AO31" s="131" t="s">
        <v>558</v>
      </c>
      <c r="AP31" s="57" t="s">
        <v>573</v>
      </c>
      <c r="AQ31" s="57" t="s">
        <v>574</v>
      </c>
      <c r="AS31" s="65">
        <f t="shared" si="14"/>
        <v>315.812596</v>
      </c>
    </row>
    <row r="32" ht="15.0" customHeight="1">
      <c r="A32" s="116" t="s">
        <v>580</v>
      </c>
      <c r="B32" s="56">
        <v>45842.0</v>
      </c>
      <c r="C32" s="56">
        <v>45838.0</v>
      </c>
      <c r="D32" s="57" t="s">
        <v>146</v>
      </c>
      <c r="E32" s="57">
        <f t="array" ref="E32">XLOOKUP(D32,RUC!$B$3:$B$110,RUC!$D$3:$D$110)</f>
        <v>20517242919</v>
      </c>
      <c r="G32" s="3">
        <v>27.0</v>
      </c>
      <c r="H32" s="57" t="s">
        <v>47</v>
      </c>
      <c r="I32" s="57">
        <v>2.56</v>
      </c>
      <c r="J32" s="58">
        <v>2.9</v>
      </c>
      <c r="K32" s="59">
        <f t="shared" si="2"/>
        <v>2.48576</v>
      </c>
      <c r="L32" s="60">
        <v>0.9410000000000001</v>
      </c>
      <c r="M32" s="60">
        <v>0.9268850000000001</v>
      </c>
      <c r="N32" s="62">
        <v>0.927</v>
      </c>
      <c r="O32" s="60">
        <f t="shared" si="3"/>
        <v>0.927</v>
      </c>
      <c r="P32" s="63">
        <v>90.0</v>
      </c>
      <c r="Q32" s="58">
        <v>96.81190223166844</v>
      </c>
      <c r="R32" s="65">
        <v>3287.45</v>
      </c>
      <c r="S32" s="133">
        <v>150.0</v>
      </c>
      <c r="U32" s="67">
        <f t="array" ref="U32">XLOOKUP(D32,RUC!$B$3:$B$110,RUC!$F$3:$F$110)</f>
        <v>80</v>
      </c>
      <c r="V32" s="67">
        <v>1.1023</v>
      </c>
      <c r="Y32" s="57" t="str">
        <f t="array" ref="Y32">XLOOKUP(D32,RUC!$B$3:$B$110,RUC!$G$3:$G$110)</f>
        <v/>
      </c>
      <c r="Z32" s="69">
        <f t="array" ref="Z32">XLOOKUP(D32,RUC!$B$3:$B$110,RUC!$H$3:$H$110)</f>
        <v>10</v>
      </c>
      <c r="AA32" s="70">
        <f t="shared" si="4"/>
        <v>10</v>
      </c>
      <c r="AB32" s="71">
        <f t="shared" si="20"/>
        <v>2773.359832</v>
      </c>
      <c r="AC32" s="71">
        <f>+(S32-T32)*V32-'data 1'!$F$4</f>
        <v>85.345</v>
      </c>
      <c r="AD32" s="71">
        <f t="shared" si="6"/>
        <v>226.6301739</v>
      </c>
      <c r="AE32" s="71">
        <f t="shared" si="7"/>
        <v>-58.977</v>
      </c>
      <c r="AF32" s="71">
        <f t="shared" si="8"/>
        <v>47.91996494</v>
      </c>
      <c r="AG32" s="72">
        <f t="shared" si="30"/>
        <v>370.9181388</v>
      </c>
      <c r="AH32" s="52">
        <f t="shared" si="9"/>
        <v>77.64019929</v>
      </c>
      <c r="AI32" s="52">
        <f t="shared" si="10"/>
        <v>80.19695667</v>
      </c>
      <c r="AJ32" s="73">
        <f t="shared" si="11"/>
        <v>143.14804</v>
      </c>
      <c r="AK32" s="106">
        <f t="shared" si="22"/>
        <v>71.1034229</v>
      </c>
      <c r="AL32" s="11"/>
      <c r="AM32" s="51">
        <f t="shared" si="13"/>
        <v>6893.906937</v>
      </c>
      <c r="AN32" s="51" t="str">
        <f t="array" ref="AN32">XLOOKUP(D32,RUC!$B$3:$B$565,RUC!$M$3:$M$565)</f>
        <v>Melchor Vera</v>
      </c>
      <c r="AO32" s="131" t="s">
        <v>558</v>
      </c>
      <c r="AP32" s="57" t="s">
        <v>573</v>
      </c>
      <c r="AQ32" s="57" t="s">
        <v>574</v>
      </c>
      <c r="AS32" s="65">
        <f t="shared" si="14"/>
        <v>1095.907331</v>
      </c>
    </row>
    <row r="33" ht="15.0" customHeight="1">
      <c r="A33" s="116" t="s">
        <v>581</v>
      </c>
      <c r="B33" s="56">
        <v>45842.0</v>
      </c>
      <c r="C33" s="56">
        <v>45838.0</v>
      </c>
      <c r="D33" s="57" t="s">
        <v>146</v>
      </c>
      <c r="E33" s="57">
        <f t="array" ref="E33">XLOOKUP(D33,RUC!$B$3:$B$110,RUC!$D$3:$D$110)</f>
        <v>20517242919</v>
      </c>
      <c r="G33" s="3">
        <v>51.0</v>
      </c>
      <c r="H33" s="57" t="s">
        <v>47</v>
      </c>
      <c r="I33" s="57">
        <v>4.57</v>
      </c>
      <c r="J33" s="58">
        <v>1.95</v>
      </c>
      <c r="K33" s="59">
        <f t="shared" si="2"/>
        <v>4.480885</v>
      </c>
      <c r="L33" s="60">
        <v>0.285</v>
      </c>
      <c r="M33" s="60">
        <v>0.28</v>
      </c>
      <c r="N33" s="75">
        <v>0.316</v>
      </c>
      <c r="O33" s="60">
        <f t="shared" si="3"/>
        <v>0.298</v>
      </c>
      <c r="P33" s="63">
        <v>90.0</v>
      </c>
      <c r="Q33" s="58">
        <v>94.72759226713534</v>
      </c>
      <c r="R33" s="65">
        <v>3287.45</v>
      </c>
      <c r="S33" s="133">
        <v>105.0</v>
      </c>
      <c r="U33" s="67">
        <f t="array" ref="U33">XLOOKUP(D33,RUC!$B$3:$B$110,RUC!$F$3:$F$110)</f>
        <v>80</v>
      </c>
      <c r="V33" s="67">
        <v>1.1023</v>
      </c>
      <c r="Y33" s="57" t="str">
        <f t="array" ref="Y33">XLOOKUP(D33,RUC!$B$3:$B$110,RUC!$G$3:$G$110)</f>
        <v/>
      </c>
      <c r="Z33" s="69">
        <f t="array" ref="Z33">XLOOKUP(D33,RUC!$B$3:$B$110,RUC!$H$3:$H$110)</f>
        <v>10</v>
      </c>
      <c r="AA33" s="70">
        <f t="shared" si="4"/>
        <v>10</v>
      </c>
      <c r="AB33" s="71">
        <f t="shared" si="20"/>
        <v>821.4759466</v>
      </c>
      <c r="AC33" s="71">
        <f>+(S33-T33)*V33-'data 1'!$F$4</f>
        <v>35.7415</v>
      </c>
      <c r="AD33" s="71">
        <f t="shared" si="6"/>
        <v>47.63701893</v>
      </c>
      <c r="AE33" s="71">
        <f t="shared" si="7"/>
        <v>-58.977</v>
      </c>
      <c r="AF33" s="71">
        <f t="shared" si="8"/>
        <v>-43.53911063</v>
      </c>
      <c r="AG33" s="72">
        <f t="shared" si="30"/>
        <v>50.8624083</v>
      </c>
      <c r="AH33" s="52">
        <f t="shared" si="9"/>
        <v>41.47574791</v>
      </c>
      <c r="AI33" s="52">
        <f t="shared" si="10"/>
        <v>43.78423109</v>
      </c>
      <c r="AJ33" s="73">
        <f t="shared" si="11"/>
        <v>42.42173121</v>
      </c>
      <c r="AK33" s="106">
        <f t="shared" si="22"/>
        <v>41.20326589</v>
      </c>
      <c r="AL33" s="11"/>
      <c r="AM33" s="51">
        <f t="shared" si="13"/>
        <v>3680.939247</v>
      </c>
      <c r="AN33" s="51" t="str">
        <f t="array" ref="AN33">XLOOKUP(D33,RUC!$B$3:$B$565,RUC!$M$3:$M$565)</f>
        <v>Melchor Vera</v>
      </c>
      <c r="AO33" s="131" t="s">
        <v>558</v>
      </c>
      <c r="AP33" s="57" t="s">
        <v>573</v>
      </c>
      <c r="AQ33" s="57" t="s">
        <v>574</v>
      </c>
      <c r="AS33" s="65">
        <f t="shared" si="14"/>
        <v>167.9094754</v>
      </c>
    </row>
    <row r="34" ht="15.0" customHeight="1">
      <c r="A34" s="116" t="s">
        <v>582</v>
      </c>
      <c r="B34" s="56">
        <v>45845.0</v>
      </c>
      <c r="C34" s="56">
        <v>45838.0</v>
      </c>
      <c r="D34" s="57" t="s">
        <v>181</v>
      </c>
      <c r="E34" s="57">
        <f t="array" ref="E34">XLOOKUP(D34,RUC!$B$3:$B$110,RUC!$D$3:$D$110)</f>
        <v>20603329059</v>
      </c>
      <c r="G34" s="3">
        <v>57.0</v>
      </c>
      <c r="H34" s="57" t="s">
        <v>40</v>
      </c>
      <c r="I34" s="57">
        <v>4.36</v>
      </c>
      <c r="J34" s="58">
        <v>1.15</v>
      </c>
      <c r="K34" s="59">
        <f t="shared" si="2"/>
        <v>4.30986</v>
      </c>
      <c r="L34" s="60">
        <v>0.466</v>
      </c>
      <c r="M34" s="60">
        <v>0.438</v>
      </c>
      <c r="N34" s="62">
        <v>0.438</v>
      </c>
      <c r="O34" s="60">
        <f t="shared" si="3"/>
        <v>0.438</v>
      </c>
      <c r="P34" s="63">
        <v>85.0</v>
      </c>
      <c r="Q34" s="57">
        <v>85.84</v>
      </c>
      <c r="R34" s="65">
        <v>3287.45</v>
      </c>
      <c r="S34" s="66">
        <f t="shared" ref="S34:S37" si="31">IF((90+ROUNDDOWN(O34,1)*100)&lt;95,95,(90+ROUNDDOWN(O34,1)*100))</f>
        <v>130</v>
      </c>
      <c r="U34" s="67">
        <f t="array" ref="U34">XLOOKUP(D34,RUC!$B$3:$B$110,RUC!$F$3:$F$110)</f>
        <v>100</v>
      </c>
      <c r="V34" s="67">
        <v>1.1023</v>
      </c>
      <c r="Y34" s="57" t="str">
        <f t="array" ref="Y34">XLOOKUP(D34,RUC!$B$3:$B$110,RUC!$G$3:$G$110)</f>
        <v/>
      </c>
      <c r="Z34" s="69">
        <f t="array" ref="Z34">XLOOKUP(D34,RUC!$B$3:$B$110,RUC!$H$3:$H$110)</f>
        <v>30</v>
      </c>
      <c r="AA34" s="70">
        <f t="shared" si="4"/>
        <v>30</v>
      </c>
      <c r="AB34" s="71">
        <f t="shared" si="20"/>
        <v>1131.71778</v>
      </c>
      <c r="AC34" s="71">
        <f>+(S34-T34)*V34-'data 1'!$F$4</f>
        <v>63.299</v>
      </c>
      <c r="AD34" s="71">
        <f t="shared" si="6"/>
        <v>13.7533467</v>
      </c>
      <c r="AE34" s="71">
        <f t="shared" si="7"/>
        <v>-36.931</v>
      </c>
      <c r="AF34" s="71">
        <f t="shared" si="8"/>
        <v>84.44830336</v>
      </c>
      <c r="AG34" s="72">
        <f t="shared" ref="AG34:AG37" si="32">AC34+AD34+AE34+AF34+70-53</f>
        <v>141.5696501</v>
      </c>
      <c r="AH34" s="52">
        <f t="shared" si="9"/>
        <v>59.10821684</v>
      </c>
      <c r="AI34" s="52">
        <f t="shared" si="10"/>
        <v>68.8585937</v>
      </c>
      <c r="AJ34" s="73">
        <f t="shared" si="11"/>
        <v>71.67412618</v>
      </c>
      <c r="AK34" s="106">
        <f t="shared" si="22"/>
        <v>55.01299235</v>
      </c>
      <c r="AL34" s="11"/>
      <c r="AM34" s="51">
        <f t="shared" si="13"/>
        <v>4877.545192</v>
      </c>
      <c r="AN34" s="51" t="str">
        <f t="array" ref="AN34">XLOOKUP(D34,RUC!$B$3:$B$565,RUC!$M$3:$M$565)</f>
        <v>Yuri Rospigliossi</v>
      </c>
      <c r="AO34" s="131" t="s">
        <v>558</v>
      </c>
      <c r="AS34" s="65">
        <f t="shared" si="14"/>
        <v>883.6580045</v>
      </c>
    </row>
    <row r="35" ht="15.0" customHeight="1">
      <c r="A35" s="116" t="s">
        <v>583</v>
      </c>
      <c r="B35" s="56">
        <v>45848.0</v>
      </c>
      <c r="C35" s="56">
        <v>45844.0</v>
      </c>
      <c r="D35" s="57" t="s">
        <v>295</v>
      </c>
      <c r="E35" s="57">
        <f t="array" ref="E35">XLOOKUP(D35,RUC!$B$3:$B$110,RUC!$D$3:$D$110)</f>
        <v>20601769396</v>
      </c>
      <c r="G35" s="3">
        <v>10.0</v>
      </c>
      <c r="H35" s="57" t="s">
        <v>47</v>
      </c>
      <c r="I35" s="57">
        <v>0.64</v>
      </c>
      <c r="J35" s="57">
        <v>5.2</v>
      </c>
      <c r="K35" s="59">
        <f t="shared" si="2"/>
        <v>0.60672</v>
      </c>
      <c r="L35" s="60">
        <v>0.249</v>
      </c>
      <c r="M35" s="60">
        <v>0.234</v>
      </c>
      <c r="N35" s="62">
        <v>0.234</v>
      </c>
      <c r="O35" s="60">
        <f t="shared" si="3"/>
        <v>0.234</v>
      </c>
      <c r="P35" s="63">
        <v>90.0</v>
      </c>
      <c r="Q35" s="58">
        <v>95.18</v>
      </c>
      <c r="R35" s="65">
        <v>3315.35</v>
      </c>
      <c r="S35" s="66">
        <f t="shared" si="31"/>
        <v>110</v>
      </c>
      <c r="U35" s="67">
        <f t="array" ref="U35">XLOOKUP(D35,RUC!$B$3:$B$110,RUC!$F$3:$F$110)</f>
        <v>120</v>
      </c>
      <c r="V35" s="67">
        <v>1.1023</v>
      </c>
      <c r="Y35" s="57">
        <f t="array" ref="Y35">XLOOKUP(D35,RUC!$B$3:$B$110,RUC!$G$3:$G$110)</f>
        <v>20</v>
      </c>
      <c r="Z35" s="69">
        <f t="array" ref="Z35">XLOOKUP(D35,RUC!$B$3:$B$110,RUC!$H$3:$H$110)</f>
        <v>30</v>
      </c>
      <c r="AA35" s="70">
        <f t="shared" si="4"/>
        <v>50</v>
      </c>
      <c r="AB35" s="71">
        <f t="shared" si="20"/>
        <v>565.4145446</v>
      </c>
      <c r="AC35" s="71">
        <f>+(S35-T35)*V35-'data 1'!$F$4</f>
        <v>41.253</v>
      </c>
      <c r="AD35" s="71">
        <f t="shared" si="6"/>
        <v>45.43048251</v>
      </c>
      <c r="AE35" s="71">
        <f t="shared" si="7"/>
        <v>-14.885</v>
      </c>
      <c r="AF35" s="71">
        <f t="shared" si="8"/>
        <v>50.28693917</v>
      </c>
      <c r="AG35" s="72">
        <f t="shared" si="32"/>
        <v>139.0854217</v>
      </c>
      <c r="AH35" s="52">
        <f t="shared" si="9"/>
        <v>4.929949018</v>
      </c>
      <c r="AI35" s="52">
        <f t="shared" si="10"/>
        <v>5.179606029</v>
      </c>
      <c r="AJ35" s="73">
        <f t="shared" si="11"/>
        <v>40.40124787</v>
      </c>
      <c r="AK35" s="106">
        <f t="shared" si="22"/>
        <v>4.380823412</v>
      </c>
      <c r="AL35" s="11"/>
      <c r="AM35" s="51">
        <f t="shared" si="13"/>
        <v>343.0483125</v>
      </c>
      <c r="AN35" s="51" t="str">
        <f t="array" ref="AN35">XLOOKUP(D35,RUC!$B$3:$B$565,RUC!$M$3:$M$565)</f>
        <v>Evelyn</v>
      </c>
      <c r="AO35" s="131" t="s">
        <v>558</v>
      </c>
      <c r="AS35" s="65">
        <f t="shared" si="14"/>
        <v>104.5827965</v>
      </c>
    </row>
    <row r="36" ht="15.0" customHeight="1">
      <c r="A36" s="116" t="s">
        <v>584</v>
      </c>
      <c r="B36" s="56">
        <v>45848.0</v>
      </c>
      <c r="C36" s="56">
        <v>45844.0</v>
      </c>
      <c r="D36" s="57" t="s">
        <v>295</v>
      </c>
      <c r="E36" s="57">
        <f t="array" ref="E36">XLOOKUP(D36,RUC!$B$3:$B$110,RUC!$D$3:$D$110)</f>
        <v>20601769396</v>
      </c>
      <c r="G36" s="3">
        <v>70.0</v>
      </c>
      <c r="H36" s="57" t="s">
        <v>47</v>
      </c>
      <c r="I36" s="57">
        <v>4.37</v>
      </c>
      <c r="J36" s="57">
        <v>13.1</v>
      </c>
      <c r="K36" s="59">
        <f t="shared" si="2"/>
        <v>3.79753</v>
      </c>
      <c r="L36" s="60">
        <v>0.297</v>
      </c>
      <c r="M36" s="60">
        <v>0.279</v>
      </c>
      <c r="N36" s="62">
        <v>0.279</v>
      </c>
      <c r="O36" s="60">
        <f t="shared" si="3"/>
        <v>0.279</v>
      </c>
      <c r="P36" s="63">
        <v>90.0</v>
      </c>
      <c r="Q36" s="58">
        <v>93.6</v>
      </c>
      <c r="R36" s="65">
        <v>3315.35</v>
      </c>
      <c r="S36" s="66">
        <f t="shared" si="31"/>
        <v>110</v>
      </c>
      <c r="U36" s="67">
        <f t="array" ref="U36">XLOOKUP(D36,RUC!$B$3:$B$110,RUC!$F$3:$F$110)</f>
        <v>120</v>
      </c>
      <c r="V36" s="67">
        <v>1.1023</v>
      </c>
      <c r="Y36" s="57">
        <f t="array" ref="Y36">XLOOKUP(D36,RUC!$B$3:$B$110,RUC!$G$3:$G$110)</f>
        <v>20</v>
      </c>
      <c r="Z36" s="69">
        <f t="array" ref="Z36">XLOOKUP(D36,RUC!$B$3:$B$110,RUC!$H$3:$H$110)</f>
        <v>30</v>
      </c>
      <c r="AA36" s="70">
        <f t="shared" si="4"/>
        <v>50</v>
      </c>
      <c r="AB36" s="71">
        <f t="shared" si="20"/>
        <v>708.065034</v>
      </c>
      <c r="AC36" s="71">
        <f>+(S36-T36)*V36-'data 1'!$F$4</f>
        <v>41.253</v>
      </c>
      <c r="AD36" s="71">
        <f t="shared" si="6"/>
        <v>37.65972919</v>
      </c>
      <c r="AE36" s="71">
        <f t="shared" si="7"/>
        <v>-14.885</v>
      </c>
      <c r="AF36" s="71">
        <f t="shared" si="8"/>
        <v>59.34260357</v>
      </c>
      <c r="AG36" s="72">
        <f t="shared" si="32"/>
        <v>140.3703328</v>
      </c>
      <c r="AH36" s="52">
        <f t="shared" si="9"/>
        <v>36.19449993</v>
      </c>
      <c r="AI36" s="52">
        <f t="shared" si="10"/>
        <v>38.66933754</v>
      </c>
      <c r="AJ36" s="73">
        <f t="shared" si="11"/>
        <v>47.38948944</v>
      </c>
      <c r="AK36" s="106">
        <f t="shared" si="22"/>
        <v>32.69316719</v>
      </c>
      <c r="AL36" s="11"/>
      <c r="AM36" s="51">
        <f t="shared" si="13"/>
        <v>2688.898209</v>
      </c>
      <c r="AN36" s="51" t="str">
        <f t="array" ref="AN36">XLOOKUP(D36,RUC!$B$3:$B$565,RUC!$M$3:$M$565)</f>
        <v>Evelyn</v>
      </c>
      <c r="AO36" s="131" t="s">
        <v>558</v>
      </c>
      <c r="AS36" s="65">
        <f t="shared" si="14"/>
        <v>684.8644167</v>
      </c>
    </row>
    <row r="37" ht="15.0" customHeight="1">
      <c r="A37" s="116" t="s">
        <v>585</v>
      </c>
      <c r="B37" s="56">
        <v>45849.0</v>
      </c>
      <c r="C37" s="56">
        <v>45844.0</v>
      </c>
      <c r="D37" s="57" t="s">
        <v>295</v>
      </c>
      <c r="E37" s="57">
        <f t="array" ref="E37">XLOOKUP(D37,RUC!$B$3:$B$110,RUC!$D$3:$D$110)</f>
        <v>20601769396</v>
      </c>
      <c r="G37" s="3">
        <v>71.0</v>
      </c>
      <c r="H37" s="57" t="s">
        <v>47</v>
      </c>
      <c r="I37" s="57">
        <v>4.36</v>
      </c>
      <c r="J37" s="57">
        <v>14.6</v>
      </c>
      <c r="K37" s="59">
        <f t="shared" si="2"/>
        <v>3.72344</v>
      </c>
      <c r="L37" s="60">
        <v>0.361</v>
      </c>
      <c r="M37" s="60">
        <v>0.339</v>
      </c>
      <c r="N37" s="62">
        <v>0.339</v>
      </c>
      <c r="O37" s="60">
        <f t="shared" si="3"/>
        <v>0.339</v>
      </c>
      <c r="P37" s="63">
        <v>86.0</v>
      </c>
      <c r="Q37" s="57">
        <v>88.37</v>
      </c>
      <c r="R37" s="65">
        <v>3315.35</v>
      </c>
      <c r="S37" s="66">
        <f t="shared" si="31"/>
        <v>120</v>
      </c>
      <c r="U37" s="67">
        <f t="array" ref="U37">XLOOKUP(D37,RUC!$B$3:$B$110,RUC!$F$3:$F$110)</f>
        <v>120</v>
      </c>
      <c r="V37" s="67">
        <v>1.1023</v>
      </c>
      <c r="Y37" s="57">
        <f t="array" ref="Y37">XLOOKUP(D37,RUC!$B$3:$B$110,RUC!$G$3:$G$110)</f>
        <v>20</v>
      </c>
      <c r="Z37" s="69">
        <f t="array" ref="Z37">XLOOKUP(D37,RUC!$B$3:$B$110,RUC!$H$3:$H$110)</f>
        <v>30</v>
      </c>
      <c r="AA37" s="70">
        <f t="shared" si="4"/>
        <v>50</v>
      </c>
      <c r="AB37" s="71">
        <f t="shared" si="20"/>
        <v>839.4811893</v>
      </c>
      <c r="AC37" s="71">
        <f>+(S37-T37)*V37-'data 1'!$F$4</f>
        <v>52.276</v>
      </c>
      <c r="AD37" s="71">
        <f t="shared" si="6"/>
        <v>30.13518004</v>
      </c>
      <c r="AE37" s="71">
        <f t="shared" si="7"/>
        <v>-14.885</v>
      </c>
      <c r="AF37" s="71">
        <f t="shared" si="8"/>
        <v>68.47716602</v>
      </c>
      <c r="AG37" s="72">
        <f t="shared" si="32"/>
        <v>153.0033461</v>
      </c>
      <c r="AH37" s="52">
        <f t="shared" si="9"/>
        <v>40.72541196</v>
      </c>
      <c r="AI37" s="52">
        <f t="shared" si="10"/>
        <v>46.08511029</v>
      </c>
      <c r="AJ37" s="73">
        <f t="shared" si="11"/>
        <v>54.38282809</v>
      </c>
      <c r="AK37" s="106">
        <f t="shared" si="22"/>
        <v>37.21787549</v>
      </c>
      <c r="AL37" s="11"/>
      <c r="AM37" s="51">
        <f t="shared" si="13"/>
        <v>3125.757839</v>
      </c>
      <c r="AN37" s="51" t="str">
        <f t="array" ref="AN37">XLOOKUP(D37,RUC!$B$3:$B$565,RUC!$M$3:$M$565)</f>
        <v>Evelyn</v>
      </c>
      <c r="AO37" s="131" t="s">
        <v>558</v>
      </c>
      <c r="AS37" s="65">
        <f t="shared" si="14"/>
        <v>743.4202686</v>
      </c>
    </row>
    <row r="38" ht="15.0" customHeight="1">
      <c r="A38" s="116" t="s">
        <v>586</v>
      </c>
      <c r="B38" s="95">
        <v>45857.0</v>
      </c>
      <c r="C38" s="95">
        <v>45852.0</v>
      </c>
      <c r="D38" s="67" t="s">
        <v>74</v>
      </c>
      <c r="E38" s="67">
        <f t="array" ref="E38">XLOOKUP(D38,RUC!$B$3:$B$110,RUC!$D$3:$D$110)</f>
        <v>10082235774</v>
      </c>
      <c r="F38" s="67"/>
      <c r="G38" s="134">
        <v>43.0</v>
      </c>
      <c r="H38" s="67" t="s">
        <v>47</v>
      </c>
      <c r="I38" s="69">
        <v>3.92</v>
      </c>
      <c r="J38" s="69">
        <v>2.0</v>
      </c>
      <c r="K38" s="59">
        <f t="shared" si="2"/>
        <v>3.8416</v>
      </c>
      <c r="L38" s="106">
        <v>0.37</v>
      </c>
      <c r="M38" s="106">
        <v>0.364</v>
      </c>
      <c r="N38" s="135">
        <v>0.364</v>
      </c>
      <c r="O38" s="106">
        <f t="shared" si="3"/>
        <v>0.364</v>
      </c>
      <c r="P38" s="136">
        <v>90.0</v>
      </c>
      <c r="Q38" s="69">
        <v>94.59</v>
      </c>
      <c r="R38" s="70">
        <v>3351.15</v>
      </c>
      <c r="S38" s="76">
        <v>110.0</v>
      </c>
      <c r="T38" s="67"/>
      <c r="U38" s="67">
        <f t="array" ref="U38">XLOOKUP(D38,RUC!$B$3:$B$110,RUC!$F$3:$F$110)</f>
        <v>80</v>
      </c>
      <c r="V38" s="67">
        <v>1.1023</v>
      </c>
      <c r="W38" s="67"/>
      <c r="X38" s="67"/>
      <c r="Y38" s="67" t="str">
        <f t="array" ref="Y38">XLOOKUP(D38,RUC!$B$3:$B$110,RUC!$G$3:$G$110)</f>
        <v/>
      </c>
      <c r="Z38" s="69">
        <f t="array" ref="Z38">XLOOKUP(D38,RUC!$B$3:$B$110,RUC!$H$3:$H$110)</f>
        <v>10</v>
      </c>
      <c r="AA38" s="70">
        <f t="shared" si="4"/>
        <v>10</v>
      </c>
      <c r="AB38" s="71">
        <f t="shared" si="20"/>
        <v>1048.98036</v>
      </c>
      <c r="AC38" s="71">
        <f>+(S38-T38)*V38-'data 1'!$F$4</f>
        <v>41.253</v>
      </c>
      <c r="AD38" s="71">
        <f t="shared" si="6"/>
        <v>61.23710856</v>
      </c>
      <c r="AE38" s="71">
        <f t="shared" si="7"/>
        <v>-58.977</v>
      </c>
      <c r="AF38" s="71">
        <f t="shared" si="8"/>
        <v>20.46429288</v>
      </c>
      <c r="AG38" s="72">
        <f t="shared" ref="AG38:AG46" si="33">AC38+AD38+AE38+AF38+70</f>
        <v>133.9774014</v>
      </c>
      <c r="AH38" s="52">
        <f t="shared" si="9"/>
        <v>46.09652227</v>
      </c>
      <c r="AI38" s="52">
        <f t="shared" si="10"/>
        <v>48.73297629</v>
      </c>
      <c r="AJ38" s="73">
        <f t="shared" si="11"/>
        <v>30.41924667</v>
      </c>
      <c r="AK38" s="106">
        <f t="shared" si="22"/>
        <v>43.14844063</v>
      </c>
      <c r="AL38" s="53"/>
      <c r="AM38" s="51">
        <f t="shared" si="13"/>
        <v>4029.762951</v>
      </c>
      <c r="AN38" s="51" t="str">
        <f t="array" ref="AN38">XLOOKUP(D38,RUC!$B$3:$B$565,RUC!$M$3:$M$565)</f>
        <v>Melchor Vera</v>
      </c>
      <c r="AO38" s="137" t="s">
        <v>551</v>
      </c>
      <c r="AP38" s="2" t="s">
        <v>587</v>
      </c>
      <c r="AQ38" s="2" t="s">
        <v>588</v>
      </c>
      <c r="AR38" s="67"/>
      <c r="AS38" s="65">
        <f t="shared" si="14"/>
        <v>399.3024118</v>
      </c>
    </row>
    <row r="39" ht="15.0" customHeight="1">
      <c r="A39" s="116" t="s">
        <v>589</v>
      </c>
      <c r="B39" s="95">
        <v>45857.0</v>
      </c>
      <c r="C39" s="56">
        <v>45852.0</v>
      </c>
      <c r="D39" s="57" t="s">
        <v>74</v>
      </c>
      <c r="E39" s="57">
        <f t="array" ref="E39">XLOOKUP(D39,RUC!$B$3:$B$110,RUC!$D$3:$D$110)</f>
        <v>10082235774</v>
      </c>
      <c r="G39" s="3">
        <v>49.0</v>
      </c>
      <c r="H39" s="57" t="s">
        <v>47</v>
      </c>
      <c r="I39" s="58">
        <v>4.54</v>
      </c>
      <c r="J39" s="58">
        <v>2.8</v>
      </c>
      <c r="K39" s="59">
        <f t="shared" si="2"/>
        <v>4.41288</v>
      </c>
      <c r="L39" s="60">
        <v>0.263</v>
      </c>
      <c r="M39" s="60">
        <v>0.259</v>
      </c>
      <c r="N39" s="62">
        <v>0.259</v>
      </c>
      <c r="O39" s="60">
        <f t="shared" si="3"/>
        <v>0.259</v>
      </c>
      <c r="P39" s="63">
        <v>90.0</v>
      </c>
      <c r="Q39" s="58">
        <v>92.4</v>
      </c>
      <c r="R39" s="65">
        <v>3351.15</v>
      </c>
      <c r="S39" s="76">
        <v>105.0</v>
      </c>
      <c r="U39" s="67">
        <f t="array" ref="U39">XLOOKUP(D39,RUC!$B$3:$B$110,RUC!$F$3:$F$110)</f>
        <v>80</v>
      </c>
      <c r="V39" s="67">
        <v>1.1023</v>
      </c>
      <c r="Y39" s="57" t="str">
        <f t="array" ref="Y39">XLOOKUP(D39,RUC!$B$3:$B$110,RUC!$G$3:$G$110)</f>
        <v/>
      </c>
      <c r="Z39" s="69">
        <f t="array" ref="Z39">XLOOKUP(D39,RUC!$B$3:$B$110,RUC!$H$3:$H$110)</f>
        <v>10</v>
      </c>
      <c r="AA39" s="70">
        <f t="shared" si="4"/>
        <v>10</v>
      </c>
      <c r="AB39" s="71">
        <f t="shared" si="20"/>
        <v>713.7448331</v>
      </c>
      <c r="AC39" s="71">
        <f>+(S39-T39)*V39-'data 1'!$F$4</f>
        <v>35.7415</v>
      </c>
      <c r="AD39" s="71">
        <f t="shared" si="6"/>
        <v>22.75973793</v>
      </c>
      <c r="AE39" s="71">
        <f t="shared" si="7"/>
        <v>-58.977</v>
      </c>
      <c r="AF39" s="71">
        <f t="shared" si="8"/>
        <v>13.32699483</v>
      </c>
      <c r="AG39" s="72">
        <f t="shared" si="33"/>
        <v>82.85123276</v>
      </c>
      <c r="AH39" s="52">
        <f t="shared" si="9"/>
        <v>36.76706025</v>
      </c>
      <c r="AI39" s="52">
        <f t="shared" si="10"/>
        <v>39.79119075</v>
      </c>
      <c r="AJ39" s="73">
        <f t="shared" si="11"/>
        <v>21.12171726</v>
      </c>
      <c r="AK39" s="106">
        <f t="shared" si="22"/>
        <v>35.26740138</v>
      </c>
      <c r="AL39" s="11"/>
      <c r="AM39" s="51">
        <f t="shared" si="13"/>
        <v>3149.670299</v>
      </c>
      <c r="AN39" s="51" t="str">
        <f t="array" ref="AN39">XLOOKUP(D39,RUC!$B$3:$B$565,RUC!$M$3:$M$565)</f>
        <v>Melchor Vera</v>
      </c>
      <c r="AO39" s="131" t="s">
        <v>547</v>
      </c>
      <c r="AP39" s="2" t="s">
        <v>587</v>
      </c>
      <c r="AQ39" s="2" t="s">
        <v>588</v>
      </c>
      <c r="AS39" s="65">
        <f t="shared" si="14"/>
        <v>203.6100015</v>
      </c>
    </row>
    <row r="40" ht="15.0" customHeight="1">
      <c r="A40" s="116" t="s">
        <v>590</v>
      </c>
      <c r="B40" s="95">
        <v>45857.0</v>
      </c>
      <c r="C40" s="56">
        <v>45852.0</v>
      </c>
      <c r="D40" s="57" t="s">
        <v>74</v>
      </c>
      <c r="E40" s="57">
        <f t="array" ref="E40">XLOOKUP(D40,RUC!$B$3:$B$110,RUC!$D$3:$D$110)</f>
        <v>10082235774</v>
      </c>
      <c r="G40" s="3">
        <v>47.0</v>
      </c>
      <c r="H40" s="57" t="s">
        <v>47</v>
      </c>
      <c r="I40" s="58">
        <v>4.41</v>
      </c>
      <c r="J40" s="58">
        <v>2.5</v>
      </c>
      <c r="K40" s="59">
        <f t="shared" si="2"/>
        <v>4.29975</v>
      </c>
      <c r="L40" s="60">
        <v>0.799</v>
      </c>
      <c r="M40" s="60">
        <v>0.787</v>
      </c>
      <c r="N40" s="62">
        <v>0.787</v>
      </c>
      <c r="O40" s="60">
        <f t="shared" si="3"/>
        <v>0.787</v>
      </c>
      <c r="P40" s="63">
        <v>90.0</v>
      </c>
      <c r="Q40" s="58">
        <v>97.5</v>
      </c>
      <c r="R40" s="65">
        <v>3351.15</v>
      </c>
      <c r="S40" s="76">
        <v>130.0</v>
      </c>
      <c r="U40" s="67">
        <f t="array" ref="U40">XLOOKUP(D40,RUC!$B$3:$B$110,RUC!$F$3:$F$110)</f>
        <v>80</v>
      </c>
      <c r="V40" s="67">
        <v>1.1023</v>
      </c>
      <c r="Y40" s="57" t="str">
        <f t="array" ref="Y40">XLOOKUP(D40,RUC!$B$3:$B$110,RUC!$G$3:$G$110)</f>
        <v/>
      </c>
      <c r="Z40" s="69">
        <f t="array" ref="Z40">XLOOKUP(D40,RUC!$B$3:$B$110,RUC!$H$3:$H$110)</f>
        <v>10</v>
      </c>
      <c r="AA40" s="70">
        <f t="shared" si="4"/>
        <v>10</v>
      </c>
      <c r="AB40" s="71">
        <f t="shared" si="20"/>
        <v>2399.658097</v>
      </c>
      <c r="AC40" s="71">
        <f>+(S40-T40)*V40-'data 1'!$F$4</f>
        <v>63.299</v>
      </c>
      <c r="AD40" s="71">
        <f t="shared" si="6"/>
        <v>216.0768846</v>
      </c>
      <c r="AE40" s="71">
        <f t="shared" si="7"/>
        <v>-58.977</v>
      </c>
      <c r="AF40" s="71">
        <f t="shared" si="8"/>
        <v>42.18772715</v>
      </c>
      <c r="AG40" s="72">
        <f t="shared" si="33"/>
        <v>332.5866117</v>
      </c>
      <c r="AH40" s="52">
        <f t="shared" si="9"/>
        <v>114.8427727</v>
      </c>
      <c r="AI40" s="52">
        <f t="shared" si="10"/>
        <v>117.7874592</v>
      </c>
      <c r="AJ40" s="73">
        <f t="shared" si="11"/>
        <v>67.71001345</v>
      </c>
      <c r="AK40" s="106">
        <f t="shared" si="22"/>
        <v>104.4165924</v>
      </c>
      <c r="AL40" s="11"/>
      <c r="AM40" s="51">
        <f t="shared" si="13"/>
        <v>10317.9299</v>
      </c>
      <c r="AN40" s="51" t="str">
        <f t="array" ref="AN40">XLOOKUP(D40,RUC!$B$3:$B$565,RUC!$M$3:$M$565)</f>
        <v>Melchor Vera</v>
      </c>
      <c r="AO40" s="131" t="s">
        <v>551</v>
      </c>
      <c r="AP40" s="2" t="s">
        <v>587</v>
      </c>
      <c r="AQ40" s="2" t="s">
        <v>588</v>
      </c>
      <c r="AS40" s="65">
        <f t="shared" si="14"/>
        <v>1417.489415</v>
      </c>
    </row>
    <row r="41" ht="15.0" customHeight="1">
      <c r="A41" s="116" t="s">
        <v>591</v>
      </c>
      <c r="B41" s="95">
        <v>45857.0</v>
      </c>
      <c r="C41" s="56">
        <v>45852.0</v>
      </c>
      <c r="D41" s="57" t="s">
        <v>74</v>
      </c>
      <c r="E41" s="57">
        <f t="array" ref="E41">XLOOKUP(D41,RUC!$B$3:$B$110,RUC!$D$3:$D$110)</f>
        <v>10082235774</v>
      </c>
      <c r="G41" s="3">
        <v>44.0</v>
      </c>
      <c r="H41" s="57" t="s">
        <v>47</v>
      </c>
      <c r="I41" s="58">
        <v>4.31</v>
      </c>
      <c r="J41" s="58">
        <v>2.6</v>
      </c>
      <c r="K41" s="59">
        <f t="shared" si="2"/>
        <v>4.19794</v>
      </c>
      <c r="L41" s="60">
        <v>0.196</v>
      </c>
      <c r="M41" s="60">
        <v>0.193</v>
      </c>
      <c r="N41" s="62">
        <v>0.193</v>
      </c>
      <c r="O41" s="60">
        <f t="shared" si="3"/>
        <v>0.193</v>
      </c>
      <c r="P41" s="63">
        <v>85.0</v>
      </c>
      <c r="Q41" s="58">
        <v>93.88</v>
      </c>
      <c r="R41" s="65">
        <v>3351.15</v>
      </c>
      <c r="S41" s="76">
        <v>95.0</v>
      </c>
      <c r="U41" s="67">
        <f t="array" ref="U41">XLOOKUP(D41,RUC!$B$3:$B$110,RUC!$F$3:$F$110)</f>
        <v>80</v>
      </c>
      <c r="V41" s="67">
        <v>1.1023</v>
      </c>
      <c r="Y41" s="57" t="str">
        <f t="array" ref="Y41">XLOOKUP(D41,RUC!$B$3:$B$110,RUC!$G$3:$G$110)</f>
        <v/>
      </c>
      <c r="Z41" s="69">
        <f t="array" ref="Z41">XLOOKUP(D41,RUC!$B$3:$B$110,RUC!$H$3:$H$110)</f>
        <v>10</v>
      </c>
      <c r="AA41" s="70">
        <f t="shared" si="4"/>
        <v>10</v>
      </c>
      <c r="AB41" s="71">
        <f t="shared" si="20"/>
        <v>475.7881272</v>
      </c>
      <c r="AC41" s="71">
        <f>+(S41-T41)*V41-'data 1'!$F$4</f>
        <v>24.7185</v>
      </c>
      <c r="AD41" s="71">
        <f t="shared" si="6"/>
        <v>62.75803021</v>
      </c>
      <c r="AE41" s="71">
        <f t="shared" si="7"/>
        <v>-58.977</v>
      </c>
      <c r="AF41" s="71">
        <f t="shared" si="8"/>
        <v>10.15534314</v>
      </c>
      <c r="AG41" s="72">
        <f t="shared" si="33"/>
        <v>108.6548733</v>
      </c>
      <c r="AH41" s="52">
        <f t="shared" si="9"/>
        <v>26.48344321</v>
      </c>
      <c r="AI41" s="52">
        <f t="shared" si="10"/>
        <v>28.20988837</v>
      </c>
      <c r="AJ41" s="73">
        <f t="shared" si="11"/>
        <v>15.99302652</v>
      </c>
      <c r="AK41" s="106">
        <f t="shared" si="22"/>
        <v>23.61138871</v>
      </c>
      <c r="AL41" s="11"/>
      <c r="AM41" s="51">
        <f t="shared" si="13"/>
        <v>1997.330011</v>
      </c>
      <c r="AN41" s="51" t="str">
        <f t="array" ref="AN41">XLOOKUP(D41,RUC!$B$3:$B$565,RUC!$M$3:$M$565)</f>
        <v>Melchor Vera</v>
      </c>
      <c r="AO41" s="131" t="s">
        <v>551</v>
      </c>
      <c r="AP41" s="2" t="s">
        <v>587</v>
      </c>
      <c r="AQ41" s="2" t="s">
        <v>588</v>
      </c>
      <c r="AS41" s="65">
        <f t="shared" si="14"/>
        <v>282.479133</v>
      </c>
    </row>
    <row r="42" ht="15.0" customHeight="1">
      <c r="A42" s="116" t="s">
        <v>592</v>
      </c>
      <c r="B42" s="95">
        <v>45857.0</v>
      </c>
      <c r="C42" s="56">
        <v>45852.0</v>
      </c>
      <c r="D42" s="57" t="s">
        <v>74</v>
      </c>
      <c r="E42" s="57">
        <f t="array" ref="E42">XLOOKUP(D42,RUC!$B$3:$B$110,RUC!$D$3:$D$110)</f>
        <v>10082235774</v>
      </c>
      <c r="G42" s="3">
        <v>44.0</v>
      </c>
      <c r="H42" s="57" t="s">
        <v>47</v>
      </c>
      <c r="I42" s="58">
        <v>4.23</v>
      </c>
      <c r="J42" s="58">
        <v>2.55</v>
      </c>
      <c r="K42" s="59">
        <f t="shared" si="2"/>
        <v>4.122135</v>
      </c>
      <c r="L42" s="60">
        <v>0.154</v>
      </c>
      <c r="M42" s="60">
        <v>0.152</v>
      </c>
      <c r="N42" s="62">
        <v>0.152</v>
      </c>
      <c r="O42" s="60">
        <f t="shared" si="3"/>
        <v>0.152</v>
      </c>
      <c r="P42" s="63">
        <v>85.0</v>
      </c>
      <c r="Q42" s="58">
        <v>94.81</v>
      </c>
      <c r="R42" s="65">
        <v>3351.15</v>
      </c>
      <c r="S42" s="76">
        <v>95.0</v>
      </c>
      <c r="U42" s="67">
        <f t="array" ref="U42">XLOOKUP(D42,RUC!$B$3:$B$110,RUC!$F$3:$F$110)</f>
        <v>80</v>
      </c>
      <c r="V42" s="67">
        <v>1.1023</v>
      </c>
      <c r="Y42" s="57" t="str">
        <f t="array" ref="Y42">XLOOKUP(D42,RUC!$B$3:$B$110,RUC!$G$3:$G$110)</f>
        <v/>
      </c>
      <c r="Z42" s="69">
        <f t="array" ref="Z42">XLOOKUP(D42,RUC!$B$3:$B$110,RUC!$H$3:$H$110)</f>
        <v>10</v>
      </c>
      <c r="AA42" s="70">
        <f t="shared" si="4"/>
        <v>10</v>
      </c>
      <c r="AB42" s="71">
        <f t="shared" si="20"/>
        <v>350.1263929</v>
      </c>
      <c r="AC42" s="71">
        <f>+(S42-T42)*V42-'data 1'!$F$4</f>
        <v>24.7185</v>
      </c>
      <c r="AD42" s="71">
        <f t="shared" si="6"/>
        <v>54.47409138</v>
      </c>
      <c r="AE42" s="71">
        <f t="shared" si="7"/>
        <v>-58.977</v>
      </c>
      <c r="AF42" s="71">
        <f t="shared" si="8"/>
        <v>6.837296429</v>
      </c>
      <c r="AG42" s="72">
        <f t="shared" si="33"/>
        <v>97.0528878</v>
      </c>
      <c r="AH42" s="52">
        <f t="shared" si="9"/>
        <v>20.63507955</v>
      </c>
      <c r="AI42" s="52">
        <f t="shared" si="10"/>
        <v>21.7646657</v>
      </c>
      <c r="AJ42" s="73">
        <f t="shared" si="11"/>
        <v>12.69043101</v>
      </c>
      <c r="AK42" s="106">
        <f t="shared" si="22"/>
        <v>18.25970655</v>
      </c>
      <c r="AL42" s="11"/>
      <c r="AM42" s="51">
        <f t="shared" si="13"/>
        <v>1443.268259</v>
      </c>
      <c r="AN42" s="51" t="str">
        <f t="array" ref="AN42">XLOOKUP(D42,RUC!$B$3:$B$565,RUC!$M$3:$M$565)</f>
        <v>Melchor Vera</v>
      </c>
      <c r="AO42" s="131" t="s">
        <v>551</v>
      </c>
      <c r="AP42" s="2" t="s">
        <v>587</v>
      </c>
      <c r="AQ42" s="2" t="s">
        <v>588</v>
      </c>
      <c r="AS42" s="65">
        <f t="shared" si="14"/>
        <v>219.8748944</v>
      </c>
    </row>
    <row r="43" ht="15.0" customHeight="1">
      <c r="A43" s="116" t="s">
        <v>593</v>
      </c>
      <c r="B43" s="95">
        <v>45857.0</v>
      </c>
      <c r="C43" s="56">
        <v>45852.0</v>
      </c>
      <c r="D43" s="57" t="s">
        <v>74</v>
      </c>
      <c r="E43" s="57">
        <f t="array" ref="E43">XLOOKUP(D43,RUC!$B$3:$B$110,RUC!$D$3:$D$110)</f>
        <v>10082235774</v>
      </c>
      <c r="G43" s="3">
        <v>49.0</v>
      </c>
      <c r="H43" s="57" t="s">
        <v>47</v>
      </c>
      <c r="I43" s="58">
        <v>4.45</v>
      </c>
      <c r="J43" s="58">
        <v>2.0</v>
      </c>
      <c r="K43" s="59">
        <f t="shared" si="2"/>
        <v>4.361</v>
      </c>
      <c r="L43" s="60">
        <v>0.196</v>
      </c>
      <c r="M43" s="60">
        <v>0.193</v>
      </c>
      <c r="N43" s="62">
        <v>0.193</v>
      </c>
      <c r="O43" s="60">
        <f t="shared" si="3"/>
        <v>0.193</v>
      </c>
      <c r="P43" s="63">
        <v>85.0</v>
      </c>
      <c r="Q43" s="58">
        <v>95.41</v>
      </c>
      <c r="R43" s="65">
        <v>3351.15</v>
      </c>
      <c r="S43" s="76">
        <v>95.0</v>
      </c>
      <c r="U43" s="67">
        <f t="array" ref="U43">XLOOKUP(D43,RUC!$B$3:$B$110,RUC!$F$3:$F$110)</f>
        <v>80</v>
      </c>
      <c r="V43" s="67">
        <v>1.1023</v>
      </c>
      <c r="Y43" s="57" t="str">
        <f t="array" ref="Y43">XLOOKUP(D43,RUC!$B$3:$B$110,RUC!$G$3:$G$110)</f>
        <v/>
      </c>
      <c r="Z43" s="69">
        <f t="array" ref="Z43">XLOOKUP(D43,RUC!$B$3:$B$110,RUC!$H$3:$H$110)</f>
        <v>10</v>
      </c>
      <c r="AA43" s="70">
        <f t="shared" si="4"/>
        <v>10</v>
      </c>
      <c r="AB43" s="71">
        <f t="shared" si="20"/>
        <v>475.7881272</v>
      </c>
      <c r="AC43" s="71">
        <f>+(S43-T43)*V43-'data 1'!$F$4</f>
        <v>24.7185</v>
      </c>
      <c r="AD43" s="71">
        <f t="shared" si="6"/>
        <v>73.5710692</v>
      </c>
      <c r="AE43" s="71">
        <f t="shared" si="7"/>
        <v>-58.977</v>
      </c>
      <c r="AF43" s="71">
        <f t="shared" si="8"/>
        <v>10.32084884</v>
      </c>
      <c r="AG43" s="72">
        <f t="shared" si="33"/>
        <v>119.633418</v>
      </c>
      <c r="AH43" s="52">
        <f t="shared" si="9"/>
        <v>27.96051222</v>
      </c>
      <c r="AI43" s="52">
        <f t="shared" si="10"/>
        <v>29.30564115</v>
      </c>
      <c r="AJ43" s="73">
        <f t="shared" si="11"/>
        <v>16.25367128</v>
      </c>
      <c r="AK43" s="106">
        <f t="shared" si="22"/>
        <v>24.5285226</v>
      </c>
      <c r="AL43" s="11"/>
      <c r="AM43" s="51">
        <f t="shared" si="13"/>
        <v>2074.912023</v>
      </c>
      <c r="AN43" s="51" t="str">
        <f t="array" ref="AN43">XLOOKUP(D43,RUC!$B$3:$B$565,RUC!$M$3:$M$565)</f>
        <v>Melchor Vera</v>
      </c>
      <c r="AO43" s="131" t="s">
        <v>551</v>
      </c>
      <c r="AP43" s="2" t="s">
        <v>587</v>
      </c>
      <c r="AQ43" s="2" t="s">
        <v>588</v>
      </c>
      <c r="AS43" s="65">
        <f t="shared" si="14"/>
        <v>341.5023039</v>
      </c>
    </row>
    <row r="44" ht="15.0" customHeight="1">
      <c r="A44" s="116" t="s">
        <v>594</v>
      </c>
      <c r="B44" s="95">
        <v>45857.0</v>
      </c>
      <c r="C44" s="56">
        <v>45852.0</v>
      </c>
      <c r="D44" s="57" t="s">
        <v>74</v>
      </c>
      <c r="E44" s="57">
        <f t="array" ref="E44">XLOOKUP(D44,RUC!$B$3:$B$110,RUC!$D$3:$D$110)</f>
        <v>10082235774</v>
      </c>
      <c r="G44" s="3">
        <v>48.0</v>
      </c>
      <c r="H44" s="57" t="s">
        <v>47</v>
      </c>
      <c r="I44" s="58">
        <v>4.6</v>
      </c>
      <c r="J44" s="58">
        <v>2.2</v>
      </c>
      <c r="K44" s="59">
        <f t="shared" si="2"/>
        <v>4.4988</v>
      </c>
      <c r="L44" s="60">
        <v>0.237</v>
      </c>
      <c r="M44" s="60">
        <v>0.233</v>
      </c>
      <c r="N44" s="62">
        <v>0.233</v>
      </c>
      <c r="O44" s="60">
        <f t="shared" si="3"/>
        <v>0.233</v>
      </c>
      <c r="P44" s="63">
        <v>85.0</v>
      </c>
      <c r="Q44" s="58">
        <v>94.94</v>
      </c>
      <c r="R44" s="65">
        <v>3351.15</v>
      </c>
      <c r="S44" s="76">
        <v>105.0</v>
      </c>
      <c r="U44" s="67">
        <f t="array" ref="U44">XLOOKUP(D44,RUC!$B$3:$B$110,RUC!$F$3:$F$110)</f>
        <v>80</v>
      </c>
      <c r="V44" s="67">
        <v>1.1023</v>
      </c>
      <c r="Y44" s="57" t="str">
        <f t="array" ref="Y44">XLOOKUP(D44,RUC!$B$3:$B$110,RUC!$G$3:$G$110)</f>
        <v/>
      </c>
      <c r="Z44" s="69">
        <f t="array" ref="Z44">XLOOKUP(D44,RUC!$B$3:$B$110,RUC!$H$3:$H$110)</f>
        <v>10</v>
      </c>
      <c r="AA44" s="70">
        <f t="shared" si="4"/>
        <v>10</v>
      </c>
      <c r="AB44" s="71">
        <f t="shared" si="20"/>
        <v>587.3619411</v>
      </c>
      <c r="AC44" s="71">
        <f>+(S44-T44)*V44-'data 1'!$F$4</f>
        <v>35.7415</v>
      </c>
      <c r="AD44" s="71">
        <f t="shared" si="6"/>
        <v>84.94444774</v>
      </c>
      <c r="AE44" s="71">
        <f t="shared" si="7"/>
        <v>-58.977</v>
      </c>
      <c r="AF44" s="71">
        <f t="shared" si="8"/>
        <v>13.69334296</v>
      </c>
      <c r="AG44" s="72">
        <f t="shared" si="33"/>
        <v>145.4022907</v>
      </c>
      <c r="AH44" s="52">
        <f t="shared" si="9"/>
        <v>34.70590144</v>
      </c>
      <c r="AI44" s="52">
        <f t="shared" si="10"/>
        <v>36.55561559</v>
      </c>
      <c r="AJ44" s="73">
        <f t="shared" si="11"/>
        <v>19.55685782</v>
      </c>
      <c r="AK44" s="106">
        <f t="shared" si="22"/>
        <v>30.5478467</v>
      </c>
      <c r="AL44" s="11"/>
      <c r="AM44" s="51">
        <f t="shared" si="13"/>
        <v>2642.423901</v>
      </c>
      <c r="AN44" s="51" t="str">
        <f t="array" ref="AN44">XLOOKUP(D44,RUC!$B$3:$B$565,RUC!$M$3:$M$565)</f>
        <v>Melchor Vera</v>
      </c>
      <c r="AO44" s="131" t="s">
        <v>551</v>
      </c>
      <c r="AP44" s="2" t="s">
        <v>587</v>
      </c>
      <c r="AQ44" s="2" t="s">
        <v>588</v>
      </c>
      <c r="AS44" s="65">
        <f t="shared" si="14"/>
        <v>478.5420789</v>
      </c>
    </row>
    <row r="45" ht="15.0" customHeight="1">
      <c r="A45" s="116" t="s">
        <v>595</v>
      </c>
      <c r="B45" s="95">
        <v>45857.0</v>
      </c>
      <c r="C45" s="56">
        <v>45852.0</v>
      </c>
      <c r="D45" s="57" t="s">
        <v>74</v>
      </c>
      <c r="E45" s="57">
        <f t="array" ref="E45">XLOOKUP(D45,RUC!$B$3:$B$110,RUC!$D$3:$D$110)</f>
        <v>10082235774</v>
      </c>
      <c r="G45" s="3">
        <v>50.0</v>
      </c>
      <c r="H45" s="57" t="s">
        <v>47</v>
      </c>
      <c r="I45" s="58">
        <v>4.81</v>
      </c>
      <c r="J45" s="58">
        <v>2.6</v>
      </c>
      <c r="K45" s="59">
        <f t="shared" si="2"/>
        <v>4.68494</v>
      </c>
      <c r="L45" s="60">
        <v>0.248</v>
      </c>
      <c r="M45" s="60">
        <v>0.244</v>
      </c>
      <c r="N45" s="62">
        <v>0.244</v>
      </c>
      <c r="O45" s="60">
        <f t="shared" si="3"/>
        <v>0.244</v>
      </c>
      <c r="P45" s="63">
        <v>85.0</v>
      </c>
      <c r="Q45" s="58">
        <v>95.56</v>
      </c>
      <c r="R45" s="65">
        <v>3351.15</v>
      </c>
      <c r="S45" s="76">
        <v>105.0</v>
      </c>
      <c r="U45" s="67">
        <f t="array" ref="U45">XLOOKUP(D45,RUC!$B$3:$B$110,RUC!$F$3:$F$110)</f>
        <v>80</v>
      </c>
      <c r="V45" s="67">
        <v>1.1023</v>
      </c>
      <c r="Y45" s="57" t="str">
        <f t="array" ref="Y45">XLOOKUP(D45,RUC!$B$3:$B$110,RUC!$G$3:$G$110)</f>
        <v/>
      </c>
      <c r="Z45" s="69">
        <f t="array" ref="Z45">XLOOKUP(D45,RUC!$B$3:$B$110,RUC!$H$3:$H$110)</f>
        <v>10</v>
      </c>
      <c r="AA45" s="70">
        <f t="shared" si="4"/>
        <v>10</v>
      </c>
      <c r="AB45" s="71">
        <f t="shared" si="20"/>
        <v>621.076065</v>
      </c>
      <c r="AC45" s="71">
        <f>+(S45-T45)*V45-'data 1'!$F$4</f>
        <v>35.7415</v>
      </c>
      <c r="AD45" s="71">
        <f t="shared" si="6"/>
        <v>94.43127767</v>
      </c>
      <c r="AE45" s="71">
        <f t="shared" si="7"/>
        <v>-58.977</v>
      </c>
      <c r="AF45" s="71">
        <f t="shared" si="8"/>
        <v>13.78276652</v>
      </c>
      <c r="AG45" s="72">
        <f t="shared" si="33"/>
        <v>154.9785442</v>
      </c>
      <c r="AH45" s="52">
        <f t="shared" si="9"/>
        <v>38.06632266</v>
      </c>
      <c r="AI45" s="52">
        <f t="shared" si="10"/>
        <v>39.8349965</v>
      </c>
      <c r="AJ45" s="73">
        <f t="shared" si="11"/>
        <v>20.59820267</v>
      </c>
      <c r="AK45" s="106">
        <f t="shared" si="22"/>
        <v>33.31362207</v>
      </c>
      <c r="AL45" s="11"/>
      <c r="AM45" s="51">
        <f t="shared" si="13"/>
        <v>2909.7041</v>
      </c>
      <c r="AN45" s="51" t="str">
        <f t="array" ref="AN45">XLOOKUP(D45,RUC!$B$3:$B$565,RUC!$M$3:$M$565)</f>
        <v>Melchor Vera</v>
      </c>
      <c r="AO45" s="131" t="s">
        <v>551</v>
      </c>
      <c r="AP45" s="2" t="s">
        <v>587</v>
      </c>
      <c r="AQ45" s="2" t="s">
        <v>588</v>
      </c>
      <c r="AS45" s="65">
        <f t="shared" si="14"/>
        <v>546.6294907</v>
      </c>
    </row>
    <row r="46" ht="15.0" customHeight="1">
      <c r="A46" s="116" t="s">
        <v>596</v>
      </c>
      <c r="B46" s="95">
        <v>45857.0</v>
      </c>
      <c r="C46" s="56">
        <v>45852.0</v>
      </c>
      <c r="D46" s="57" t="s">
        <v>74</v>
      </c>
      <c r="E46" s="57">
        <f t="array" ref="E46">XLOOKUP(D46,RUC!$B$3:$B$110,RUC!$D$3:$D$110)</f>
        <v>10082235774</v>
      </c>
      <c r="G46" s="3">
        <v>76.0</v>
      </c>
      <c r="H46" s="57" t="s">
        <v>47</v>
      </c>
      <c r="I46" s="58">
        <v>7.27</v>
      </c>
      <c r="J46" s="58">
        <v>2.2</v>
      </c>
      <c r="K46" s="59">
        <f t="shared" si="2"/>
        <v>7.11006</v>
      </c>
      <c r="L46" s="60">
        <v>0.296</v>
      </c>
      <c r="M46" s="60">
        <v>0.292</v>
      </c>
      <c r="N46" s="62">
        <v>0.292</v>
      </c>
      <c r="O46" s="60">
        <f t="shared" si="3"/>
        <v>0.292</v>
      </c>
      <c r="P46" s="63">
        <v>90.0</v>
      </c>
      <c r="Q46" s="58">
        <v>94.59</v>
      </c>
      <c r="R46" s="65">
        <v>3351.15</v>
      </c>
      <c r="S46" s="76">
        <v>105.0</v>
      </c>
      <c r="U46" s="67">
        <f t="array" ref="U46">XLOOKUP(D46,RUC!$B$3:$B$110,RUC!$F$3:$F$110)</f>
        <v>80</v>
      </c>
      <c r="V46" s="67">
        <v>1.1023</v>
      </c>
      <c r="Y46" s="57" t="str">
        <f t="array" ref="Y46">XLOOKUP(D46,RUC!$B$3:$B$110,RUC!$G$3:$G$110)</f>
        <v/>
      </c>
      <c r="Z46" s="69">
        <f t="array" ref="Z46">XLOOKUP(D46,RUC!$B$3:$B$110,RUC!$H$3:$H$110)</f>
        <v>10</v>
      </c>
      <c r="AA46" s="70">
        <f t="shared" si="4"/>
        <v>10</v>
      </c>
      <c r="AB46" s="71">
        <f t="shared" si="20"/>
        <v>820.8367559</v>
      </c>
      <c r="AC46" s="71">
        <f>+(S46-T46)*V46-'data 1'!$F$4</f>
        <v>35.7415</v>
      </c>
      <c r="AD46" s="71">
        <f t="shared" si="6"/>
        <v>48.98968685</v>
      </c>
      <c r="AE46" s="71">
        <f t="shared" si="7"/>
        <v>-58.977</v>
      </c>
      <c r="AF46" s="71">
        <f t="shared" si="8"/>
        <v>13.64286192</v>
      </c>
      <c r="AG46" s="72">
        <f t="shared" si="33"/>
        <v>109.3970488</v>
      </c>
      <c r="AH46" s="52">
        <f t="shared" si="9"/>
        <v>68.25261124</v>
      </c>
      <c r="AI46" s="52">
        <f t="shared" si="10"/>
        <v>72.15626518</v>
      </c>
      <c r="AJ46" s="73">
        <f t="shared" si="11"/>
        <v>24.33539734</v>
      </c>
      <c r="AK46" s="106">
        <f t="shared" si="22"/>
        <v>64.06306247</v>
      </c>
      <c r="AL46" s="11"/>
      <c r="AM46" s="51">
        <f t="shared" si="13"/>
        <v>5836.198585</v>
      </c>
      <c r="AN46" s="51" t="str">
        <f t="array" ref="AN46">XLOOKUP(D46,RUC!$B$3:$B$565,RUC!$M$3:$M$565)</f>
        <v>Melchor Vera</v>
      </c>
      <c r="AO46" s="131" t="s">
        <v>551</v>
      </c>
      <c r="AP46" s="2" t="s">
        <v>587</v>
      </c>
      <c r="AQ46" s="2" t="s">
        <v>588</v>
      </c>
      <c r="AS46" s="65">
        <f t="shared" si="14"/>
        <v>532.5498035</v>
      </c>
    </row>
    <row r="47" ht="15.0" customHeight="1">
      <c r="A47" s="116" t="s">
        <v>597</v>
      </c>
      <c r="B47" s="56">
        <v>45857.0</v>
      </c>
      <c r="C47" s="56">
        <v>45853.0</v>
      </c>
      <c r="D47" s="57" t="s">
        <v>225</v>
      </c>
      <c r="E47" s="57">
        <f t="array" ref="E47">XLOOKUP(D47,RUC!$B$3:$B$110,RUC!$D$3:$D$110)</f>
        <v>10761932735</v>
      </c>
      <c r="G47" s="3">
        <v>43.0</v>
      </c>
      <c r="H47" s="57" t="s">
        <v>47</v>
      </c>
      <c r="I47" s="58">
        <v>4.17</v>
      </c>
      <c r="J47" s="58">
        <v>7.8</v>
      </c>
      <c r="K47" s="59">
        <f t="shared" si="2"/>
        <v>3.84474</v>
      </c>
      <c r="L47" s="60">
        <v>0.557</v>
      </c>
      <c r="M47" s="60">
        <v>0.524</v>
      </c>
      <c r="N47" s="75">
        <v>0.534</v>
      </c>
      <c r="O47" s="60">
        <f t="shared" si="3"/>
        <v>0.529</v>
      </c>
      <c r="P47" s="63">
        <v>90.0</v>
      </c>
      <c r="Q47" s="58">
        <v>97.31</v>
      </c>
      <c r="R47" s="65">
        <v>3345.1</v>
      </c>
      <c r="S47" s="66">
        <f>IF((90+ROUNDDOWN(O47,1)*100)&lt;95,95,(90+ROUNDDOWN(O47,1)*100))</f>
        <v>140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4"/>
        <v>50</v>
      </c>
      <c r="AB47" s="71">
        <f t="shared" si="20"/>
        <v>1483.111702</v>
      </c>
      <c r="AC47" s="71">
        <f>+(S47-T47)*V47-'data 1'!$F$4</f>
        <v>74.322</v>
      </c>
      <c r="AD47" s="71">
        <f t="shared" si="6"/>
        <v>144.7489976</v>
      </c>
      <c r="AE47" s="71">
        <f t="shared" si="7"/>
        <v>-14.885</v>
      </c>
      <c r="AF47" s="71">
        <f t="shared" si="8"/>
        <v>96.86312955</v>
      </c>
      <c r="AG47" s="72">
        <f t="shared" ref="AG47:AG49" si="34">AC47+AD47+AE47+AF47+70-53</f>
        <v>318.0491271</v>
      </c>
      <c r="AH47" s="52">
        <f t="shared" si="9"/>
        <v>71.44777571</v>
      </c>
      <c r="AI47" s="52">
        <f t="shared" si="10"/>
        <v>73.42285039</v>
      </c>
      <c r="AJ47" s="73">
        <f t="shared" si="11"/>
        <v>74.62337955</v>
      </c>
      <c r="AK47" s="106">
        <f t="shared" si="22"/>
        <v>62.7587416</v>
      </c>
      <c r="AL47" s="11"/>
      <c r="AM47" s="51">
        <f t="shared" si="13"/>
        <v>5702.178886</v>
      </c>
      <c r="AN47" s="51" t="str">
        <f t="array" ref="AN47">XLOOKUP(D47,RUC!$B$3:$B$565,RUC!$M$3:$M$565)</f>
        <v>Richard Sapacayo</v>
      </c>
      <c r="AO47" s="131" t="s">
        <v>547</v>
      </c>
      <c r="AP47" s="2" t="s">
        <v>598</v>
      </c>
      <c r="AQ47" s="2" t="s">
        <v>599</v>
      </c>
      <c r="AS47" s="65">
        <f t="shared" si="14"/>
        <v>1443.271324</v>
      </c>
    </row>
    <row r="48" ht="15.0" customHeight="1">
      <c r="A48" s="116" t="s">
        <v>600</v>
      </c>
      <c r="B48" s="56">
        <v>45857.0</v>
      </c>
      <c r="C48" s="56">
        <v>45853.0</v>
      </c>
      <c r="D48" s="57" t="s">
        <v>225</v>
      </c>
      <c r="E48" s="57">
        <f t="array" ref="E48">XLOOKUP(D48,RUC!$B$3:$B$110,RUC!$D$3:$D$110)</f>
        <v>10761932735</v>
      </c>
      <c r="G48" s="3" t="s">
        <v>46</v>
      </c>
      <c r="H48" s="57" t="s">
        <v>47</v>
      </c>
      <c r="I48" s="58">
        <v>27.56</v>
      </c>
      <c r="J48" s="58">
        <v>5.2</v>
      </c>
      <c r="K48" s="59">
        <f t="shared" si="2"/>
        <v>26.12688</v>
      </c>
      <c r="L48" s="60">
        <v>0.258</v>
      </c>
      <c r="M48" s="60">
        <v>0.24</v>
      </c>
      <c r="N48" s="62">
        <v>0.24</v>
      </c>
      <c r="O48" s="60">
        <f t="shared" si="3"/>
        <v>0.24</v>
      </c>
      <c r="P48" s="63">
        <v>90.0</v>
      </c>
      <c r="Q48" s="58">
        <v>96.51</v>
      </c>
      <c r="R48" s="65">
        <v>3345.1</v>
      </c>
      <c r="S48" s="76">
        <v>100.0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4"/>
        <v>50</v>
      </c>
      <c r="AB48" s="71">
        <f t="shared" si="20"/>
        <v>602.5409897</v>
      </c>
      <c r="AC48" s="71">
        <f>+(S48-T48)*V48-'data 1'!$F$4</f>
        <v>30.23</v>
      </c>
      <c r="AD48" s="71">
        <f t="shared" si="6"/>
        <v>59.70953475</v>
      </c>
      <c r="AE48" s="71">
        <f t="shared" si="7"/>
        <v>-14.885</v>
      </c>
      <c r="AF48" s="71">
        <f t="shared" si="8"/>
        <v>61.75723072</v>
      </c>
      <c r="AG48" s="72">
        <f t="shared" si="34"/>
        <v>153.8117655</v>
      </c>
      <c r="AH48" s="52">
        <f t="shared" si="9"/>
        <v>223.0430224</v>
      </c>
      <c r="AI48" s="52">
        <f t="shared" si="10"/>
        <v>231.1087166</v>
      </c>
      <c r="AJ48" s="73">
        <f t="shared" si="11"/>
        <v>34.28106199</v>
      </c>
      <c r="AK48" s="106">
        <f t="shared" si="22"/>
        <v>193.4863674</v>
      </c>
      <c r="AL48" s="11"/>
      <c r="AM48" s="51">
        <f t="shared" si="13"/>
        <v>15742.51613</v>
      </c>
      <c r="AN48" s="51" t="str">
        <f t="array" ref="AN48">XLOOKUP(D48,RUC!$B$3:$B$565,RUC!$M$3:$M$565)</f>
        <v>Richard Sapacayo</v>
      </c>
      <c r="AO48" s="131" t="s">
        <v>547</v>
      </c>
      <c r="AP48" s="2" t="s">
        <v>598</v>
      </c>
      <c r="AQ48" s="2" t="s">
        <v>599</v>
      </c>
      <c r="AS48" s="65">
        <f t="shared" si="14"/>
        <v>4685.325703</v>
      </c>
    </row>
    <row r="49" ht="15.0" customHeight="1">
      <c r="A49" s="116" t="s">
        <v>601</v>
      </c>
      <c r="B49" s="56">
        <v>45864.0</v>
      </c>
      <c r="C49" s="56">
        <v>45854.0</v>
      </c>
      <c r="D49" s="57" t="s">
        <v>602</v>
      </c>
      <c r="E49" s="57">
        <f t="array" ref="E49">XLOOKUP(D49,RUC!$B$3:$B$110,RUC!$D$3:$D$110)</f>
        <v>20169040231</v>
      </c>
      <c r="G49" s="3">
        <v>100.0</v>
      </c>
      <c r="H49" s="57" t="s">
        <v>47</v>
      </c>
      <c r="I49" s="58">
        <v>10.0</v>
      </c>
      <c r="J49" s="58">
        <v>1.1</v>
      </c>
      <c r="K49" s="59">
        <f t="shared" si="2"/>
        <v>9.89</v>
      </c>
      <c r="L49" s="60">
        <v>0.465</v>
      </c>
      <c r="M49" s="60">
        <v>0.437</v>
      </c>
      <c r="N49" s="62">
        <v>0.437</v>
      </c>
      <c r="O49" s="60">
        <f t="shared" si="3"/>
        <v>0.437</v>
      </c>
      <c r="P49" s="63">
        <v>87.0</v>
      </c>
      <c r="Q49" s="58">
        <v>87.74</v>
      </c>
      <c r="R49" s="65">
        <v>3323.8</v>
      </c>
      <c r="S49" s="66">
        <f>IF((90+ROUNDDOWN(O49,1)*100)&lt;95,95,(85+ROUNDDOWN(O49,1)*100))</f>
        <v>125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4"/>
        <v>50</v>
      </c>
      <c r="AB49" s="71">
        <f t="shared" si="20"/>
        <v>1149.757015</v>
      </c>
      <c r="AC49" s="71">
        <f>+(S49-T49)*V49-'data 1'!$F$4</f>
        <v>57.7875</v>
      </c>
      <c r="AD49" s="71">
        <f t="shared" si="6"/>
        <v>12.15205921</v>
      </c>
      <c r="AE49" s="71">
        <f t="shared" si="7"/>
        <v>-14.885</v>
      </c>
      <c r="AF49" s="71">
        <f t="shared" si="8"/>
        <v>86.76026421</v>
      </c>
      <c r="AG49" s="72">
        <f t="shared" si="34"/>
        <v>158.8148234</v>
      </c>
      <c r="AH49" s="52">
        <f t="shared" si="9"/>
        <v>138.3426033</v>
      </c>
      <c r="AI49" s="52">
        <f t="shared" si="10"/>
        <v>157.6733568</v>
      </c>
      <c r="AJ49" s="73">
        <f t="shared" si="11"/>
        <v>65.75030367</v>
      </c>
      <c r="AK49" s="106">
        <f t="shared" si="22"/>
        <v>128.915771</v>
      </c>
      <c r="AL49" s="11"/>
      <c r="AM49" s="51">
        <f t="shared" si="13"/>
        <v>11371.09688</v>
      </c>
      <c r="AN49" s="51" t="str">
        <f t="array" ref="AN49">XLOOKUP(D49,RUC!$B$3:$B$565,RUC!$M$3:$M$565)</f>
        <v>Ronald Miranda</v>
      </c>
      <c r="AO49" s="131" t="s">
        <v>561</v>
      </c>
      <c r="AP49" s="57" t="s">
        <v>603</v>
      </c>
      <c r="AQ49" s="2" t="s">
        <v>604</v>
      </c>
      <c r="AS49" s="65">
        <f t="shared" si="14"/>
        <v>2139.211333</v>
      </c>
    </row>
    <row r="50" ht="15.0" customHeight="1">
      <c r="A50" s="116" t="s">
        <v>605</v>
      </c>
      <c r="B50" s="56">
        <v>45859.0</v>
      </c>
      <c r="C50" s="56">
        <v>45854.0</v>
      </c>
      <c r="D50" s="57" t="s">
        <v>146</v>
      </c>
      <c r="E50" s="57">
        <f t="array" ref="E50">XLOOKUP(D50,RUC!$B$3:$B$110,RUC!$D$3:$D$110)</f>
        <v>20517242919</v>
      </c>
      <c r="G50" s="3">
        <v>56.0</v>
      </c>
      <c r="H50" s="57" t="s">
        <v>47</v>
      </c>
      <c r="I50" s="58">
        <v>5.18</v>
      </c>
      <c r="J50" s="58">
        <v>1.75</v>
      </c>
      <c r="K50" s="59">
        <f t="shared" si="2"/>
        <v>5.08935</v>
      </c>
      <c r="L50" s="60">
        <v>0.366</v>
      </c>
      <c r="M50" s="60">
        <v>0.344</v>
      </c>
      <c r="N50" s="75">
        <v>0.374</v>
      </c>
      <c r="O50" s="60">
        <f t="shared" si="3"/>
        <v>0.359</v>
      </c>
      <c r="P50" s="63">
        <v>90.0</v>
      </c>
      <c r="Q50" s="58">
        <v>95.9</v>
      </c>
      <c r="R50" s="65">
        <v>3323.8</v>
      </c>
      <c r="S50" s="133">
        <v>110.0</v>
      </c>
      <c r="U50" s="67">
        <f t="array" ref="U50">XLOOKUP(D50,RUC!$B$3:$B$110,RUC!$F$3:$F$110)</f>
        <v>80</v>
      </c>
      <c r="V50" s="67">
        <v>1.1023</v>
      </c>
      <c r="Y50" s="57" t="str">
        <f t="array" ref="Y50">XLOOKUP(D50,RUC!$B$3:$B$110,RUC!$G$3:$G$110)</f>
        <v/>
      </c>
      <c r="Z50" s="69">
        <f t="array" ref="Z50">XLOOKUP(D50,RUC!$B$3:$B$110,RUC!$H$3:$H$110)</f>
        <v>10</v>
      </c>
      <c r="AA50" s="70">
        <f t="shared" si="4"/>
        <v>10</v>
      </c>
      <c r="AB50" s="71">
        <f t="shared" si="20"/>
        <v>1023.013523</v>
      </c>
      <c r="AC50" s="71">
        <f>+(S50-T50)*V50-'data 1'!$F$4</f>
        <v>41.253</v>
      </c>
      <c r="AD50" s="71">
        <f t="shared" si="6"/>
        <v>77.21238614</v>
      </c>
      <c r="AE50" s="71">
        <f t="shared" si="7"/>
        <v>-58.977</v>
      </c>
      <c r="AF50" s="71">
        <f t="shared" si="8"/>
        <v>24.00327629</v>
      </c>
      <c r="AG50" s="72">
        <f t="shared" ref="AG50:AG58" si="35">AC50+AD50+AE50+AF50+70</f>
        <v>153.4916624</v>
      </c>
      <c r="AH50" s="52">
        <f t="shared" si="9"/>
        <v>61.24506228</v>
      </c>
      <c r="AI50" s="52">
        <f t="shared" si="10"/>
        <v>63.86346432</v>
      </c>
      <c r="AJ50" s="73">
        <f t="shared" si="11"/>
        <v>41.08885287</v>
      </c>
      <c r="AK50" s="106">
        <f t="shared" si="22"/>
        <v>56.37782875</v>
      </c>
      <c r="AL50" s="11"/>
      <c r="AM50" s="51">
        <f t="shared" si="13"/>
        <v>5206.473874</v>
      </c>
      <c r="AN50" s="51" t="str">
        <f t="array" ref="AN50">XLOOKUP(D50,RUC!$B$3:$B$565,RUC!$M$3:$M$565)</f>
        <v>Melchor Vera</v>
      </c>
      <c r="AO50" s="131" t="s">
        <v>551</v>
      </c>
      <c r="AP50" s="2" t="s">
        <v>606</v>
      </c>
      <c r="AQ50" s="2" t="s">
        <v>607</v>
      </c>
      <c r="AS50" s="65">
        <f t="shared" si="14"/>
        <v>680.0551779</v>
      </c>
    </row>
    <row r="51" ht="15.0" customHeight="1">
      <c r="A51" s="116" t="s">
        <v>608</v>
      </c>
      <c r="B51" s="56">
        <v>45859.0</v>
      </c>
      <c r="C51" s="56">
        <v>45854.0</v>
      </c>
      <c r="D51" s="57" t="s">
        <v>146</v>
      </c>
      <c r="E51" s="57">
        <f t="array" ref="E51">XLOOKUP(D51,RUC!$B$3:$B$110,RUC!$D$3:$D$110)</f>
        <v>20517242919</v>
      </c>
      <c r="G51" s="3">
        <v>43.0</v>
      </c>
      <c r="H51" s="57" t="s">
        <v>47</v>
      </c>
      <c r="I51" s="58">
        <v>4.07</v>
      </c>
      <c r="J51" s="58">
        <v>2.45</v>
      </c>
      <c r="K51" s="59">
        <f t="shared" si="2"/>
        <v>3.970285</v>
      </c>
      <c r="L51" s="60">
        <v>0.345</v>
      </c>
      <c r="M51" s="60">
        <v>0.324</v>
      </c>
      <c r="N51" s="62">
        <v>0.324</v>
      </c>
      <c r="O51" s="60">
        <f t="shared" si="3"/>
        <v>0.324</v>
      </c>
      <c r="P51" s="63">
        <v>90.0</v>
      </c>
      <c r="Q51" s="58">
        <v>97.97</v>
      </c>
      <c r="R51" s="65">
        <v>3323.8</v>
      </c>
      <c r="S51" s="133">
        <v>110.0</v>
      </c>
      <c r="U51" s="67">
        <f t="array" ref="U51">XLOOKUP(D51,RUC!$B$3:$B$110,RUC!$F$3:$F$110)</f>
        <v>80</v>
      </c>
      <c r="V51" s="67">
        <v>1.1023</v>
      </c>
      <c r="Y51" s="57" t="str">
        <f t="array" ref="Y51">XLOOKUP(D51,RUC!$B$3:$B$110,RUC!$G$3:$G$110)</f>
        <v/>
      </c>
      <c r="Z51" s="69">
        <f t="array" ref="Z51">XLOOKUP(D51,RUC!$B$3:$B$110,RUC!$H$3:$H$110)</f>
        <v>10</v>
      </c>
      <c r="AA51" s="70">
        <f t="shared" si="4"/>
        <v>10</v>
      </c>
      <c r="AB51" s="71">
        <f t="shared" si="20"/>
        <v>910.3808398</v>
      </c>
      <c r="AC51" s="71">
        <f>+(S51-T51)*V51-'data 1'!$F$4</f>
        <v>41.253</v>
      </c>
      <c r="AD51" s="71">
        <f t="shared" si="6"/>
        <v>98.31760561</v>
      </c>
      <c r="AE51" s="71">
        <f t="shared" si="7"/>
        <v>-58.977</v>
      </c>
      <c r="AF51" s="71">
        <f t="shared" si="8"/>
        <v>73.56415989</v>
      </c>
      <c r="AG51" s="72">
        <f t="shared" si="35"/>
        <v>224.1577655</v>
      </c>
      <c r="AH51" s="52">
        <f t="shared" si="9"/>
        <v>46.00901709</v>
      </c>
      <c r="AI51" s="52">
        <f t="shared" si="10"/>
        <v>46.96235285</v>
      </c>
      <c r="AJ51" s="73">
        <f t="shared" si="11"/>
        <v>39.56731016</v>
      </c>
      <c r="AK51" s="106">
        <f t="shared" si="22"/>
        <v>39.69339737</v>
      </c>
      <c r="AL51" s="11"/>
      <c r="AM51" s="51">
        <f t="shared" si="13"/>
        <v>3614.471392</v>
      </c>
      <c r="AN51" s="51" t="str">
        <f t="array" ref="AN51">XLOOKUP(D51,RUC!$B$3:$B$565,RUC!$M$3:$M$565)</f>
        <v>Melchor Vera</v>
      </c>
      <c r="AO51" s="131" t="s">
        <v>551</v>
      </c>
      <c r="AP51" s="2" t="s">
        <v>606</v>
      </c>
      <c r="AQ51" s="2" t="s">
        <v>607</v>
      </c>
      <c r="AS51" s="65">
        <f t="shared" si="14"/>
        <v>788.1012506</v>
      </c>
    </row>
    <row r="52" ht="15.0" customHeight="1">
      <c r="A52" s="116" t="s">
        <v>609</v>
      </c>
      <c r="B52" s="56">
        <v>45859.0</v>
      </c>
      <c r="C52" s="56">
        <v>45854.0</v>
      </c>
      <c r="D52" s="57" t="s">
        <v>146</v>
      </c>
      <c r="E52" s="57">
        <f t="array" ref="E52">XLOOKUP(D52,RUC!$B$3:$B$110,RUC!$D$3:$D$110)</f>
        <v>20517242919</v>
      </c>
      <c r="G52" s="3">
        <v>43.0</v>
      </c>
      <c r="H52" s="57" t="s">
        <v>47</v>
      </c>
      <c r="I52" s="58">
        <v>4.12</v>
      </c>
      <c r="J52" s="58">
        <v>2.3</v>
      </c>
      <c r="K52" s="59">
        <f t="shared" si="2"/>
        <v>4.02524</v>
      </c>
      <c r="L52" s="60">
        <v>0.283</v>
      </c>
      <c r="M52" s="60">
        <v>0.266</v>
      </c>
      <c r="N52" s="75">
        <v>0.289</v>
      </c>
      <c r="O52" s="60">
        <f t="shared" si="3"/>
        <v>0.278</v>
      </c>
      <c r="P52" s="63">
        <v>90.0</v>
      </c>
      <c r="Q52" s="58">
        <v>97.53</v>
      </c>
      <c r="R52" s="65">
        <v>3323.8</v>
      </c>
      <c r="S52" s="133">
        <v>105.0</v>
      </c>
      <c r="U52" s="67">
        <f t="array" ref="U52">XLOOKUP(D52,RUC!$B$3:$B$110,RUC!$F$3:$F$110)</f>
        <v>80</v>
      </c>
      <c r="V52" s="67">
        <v>1.1023</v>
      </c>
      <c r="Y52" s="57" t="str">
        <f t="array" ref="Y52">XLOOKUP(D52,RUC!$B$3:$B$110,RUC!$G$3:$G$110)</f>
        <v/>
      </c>
      <c r="Z52" s="69">
        <f t="array" ref="Z52">XLOOKUP(D52,RUC!$B$3:$B$110,RUC!$H$3:$H$110)</f>
        <v>10</v>
      </c>
      <c r="AA52" s="70">
        <f t="shared" si="4"/>
        <v>10</v>
      </c>
      <c r="AB52" s="71">
        <f t="shared" si="20"/>
        <v>767.8608131</v>
      </c>
      <c r="AC52" s="71">
        <f>+(S52-T52)*V52-'data 1'!$F$4</f>
        <v>35.7415</v>
      </c>
      <c r="AD52" s="71">
        <f t="shared" si="6"/>
        <v>76.19654661</v>
      </c>
      <c r="AE52" s="71">
        <f t="shared" si="7"/>
        <v>-58.977</v>
      </c>
      <c r="AF52" s="71">
        <f t="shared" si="8"/>
        <v>17.43661207</v>
      </c>
      <c r="AG52" s="72">
        <f t="shared" si="35"/>
        <v>140.3976587</v>
      </c>
      <c r="AH52" s="52">
        <f t="shared" si="9"/>
        <v>38.09127492</v>
      </c>
      <c r="AI52" s="52">
        <f t="shared" si="10"/>
        <v>39.05595706</v>
      </c>
      <c r="AJ52" s="73">
        <f t="shared" si="11"/>
        <v>32.3108947</v>
      </c>
      <c r="AK52" s="106">
        <f t="shared" si="22"/>
        <v>34.52933023</v>
      </c>
      <c r="AL52" s="11"/>
      <c r="AM52" s="51">
        <f t="shared" si="13"/>
        <v>3090.82406</v>
      </c>
      <c r="AN52" s="51" t="str">
        <f t="array" ref="AN52">XLOOKUP(D52,RUC!$B$3:$B$565,RUC!$M$3:$M$565)</f>
        <v>Melchor Vera</v>
      </c>
      <c r="AO52" s="131" t="s">
        <v>549</v>
      </c>
      <c r="AP52" s="2" t="s">
        <v>606</v>
      </c>
      <c r="AQ52" s="2" t="s">
        <v>607</v>
      </c>
      <c r="AS52" s="65">
        <f t="shared" si="14"/>
        <v>455.9236749</v>
      </c>
    </row>
    <row r="53" ht="15.0" customHeight="1">
      <c r="A53" s="116" t="s">
        <v>610</v>
      </c>
      <c r="B53" s="56">
        <v>45859.0</v>
      </c>
      <c r="C53" s="56">
        <v>45854.0</v>
      </c>
      <c r="D53" s="57" t="s">
        <v>146</v>
      </c>
      <c r="E53" s="57">
        <f t="array" ref="E53">XLOOKUP(D53,RUC!$B$3:$B$110,RUC!$D$3:$D$110)</f>
        <v>20517242919</v>
      </c>
      <c r="G53" s="3">
        <v>66.0</v>
      </c>
      <c r="H53" s="57" t="s">
        <v>47</v>
      </c>
      <c r="I53" s="58">
        <v>6.33</v>
      </c>
      <c r="J53" s="58">
        <v>2.4</v>
      </c>
      <c r="K53" s="59">
        <f t="shared" si="2"/>
        <v>6.17808</v>
      </c>
      <c r="L53" s="60">
        <v>0.264</v>
      </c>
      <c r="M53" s="60">
        <v>0.257</v>
      </c>
      <c r="N53" s="62">
        <v>0.257</v>
      </c>
      <c r="O53" s="60">
        <f t="shared" si="3"/>
        <v>0.257</v>
      </c>
      <c r="P53" s="63">
        <v>90.0</v>
      </c>
      <c r="Q53" s="58">
        <v>96.59</v>
      </c>
      <c r="R53" s="65">
        <v>3323.8</v>
      </c>
      <c r="S53" s="133">
        <v>105.0</v>
      </c>
      <c r="U53" s="67">
        <f t="array" ref="U53">XLOOKUP(D53,RUC!$B$3:$B$110,RUC!$F$3:$F$110)</f>
        <v>80</v>
      </c>
      <c r="V53" s="67">
        <v>1.1023</v>
      </c>
      <c r="Y53" s="57" t="str">
        <f t="array" ref="Y53">XLOOKUP(D53,RUC!$B$3:$B$110,RUC!$G$3:$G$110)</f>
        <v/>
      </c>
      <c r="Z53" s="69">
        <f t="array" ref="Z53">XLOOKUP(D53,RUC!$B$3:$B$110,RUC!$H$3:$H$110)</f>
        <v>10</v>
      </c>
      <c r="AA53" s="70">
        <f t="shared" si="4"/>
        <v>10</v>
      </c>
      <c r="AB53" s="71">
        <f t="shared" si="20"/>
        <v>700.2812032</v>
      </c>
      <c r="AC53" s="71">
        <f>+(S53-T53)*V53-'data 1'!$F$4</f>
        <v>35.7415</v>
      </c>
      <c r="AD53" s="71">
        <f t="shared" si="6"/>
        <v>62.20756734</v>
      </c>
      <c r="AE53" s="71">
        <f t="shared" si="7"/>
        <v>-58.977</v>
      </c>
      <c r="AF53" s="71">
        <f t="shared" si="8"/>
        <v>24.17597974</v>
      </c>
      <c r="AG53" s="72">
        <f t="shared" si="35"/>
        <v>133.1480471</v>
      </c>
      <c r="AH53" s="52">
        <f t="shared" si="9"/>
        <v>54.01304854</v>
      </c>
      <c r="AI53" s="52">
        <f t="shared" si="10"/>
        <v>55.91991773</v>
      </c>
      <c r="AJ53" s="73">
        <f t="shared" si="11"/>
        <v>29.85110535</v>
      </c>
      <c r="AK53" s="106">
        <f t="shared" si="22"/>
        <v>48.99347338</v>
      </c>
      <c r="AL53" s="11"/>
      <c r="AM53" s="51">
        <f t="shared" si="13"/>
        <v>4326.393296</v>
      </c>
      <c r="AN53" s="51" t="str">
        <f t="array" ref="AN53">XLOOKUP(D53,RUC!$B$3:$B$565,RUC!$M$3:$M$565)</f>
        <v>Melchor Vera</v>
      </c>
      <c r="AO53" s="131" t="s">
        <v>551</v>
      </c>
      <c r="AP53" s="2" t="s">
        <v>606</v>
      </c>
      <c r="AQ53" s="2" t="s">
        <v>607</v>
      </c>
      <c r="AS53" s="65">
        <f t="shared" si="14"/>
        <v>640.3058168</v>
      </c>
    </row>
    <row r="54" ht="15.0" customHeight="1">
      <c r="A54" s="116" t="s">
        <v>611</v>
      </c>
      <c r="B54" s="56">
        <v>45859.0</v>
      </c>
      <c r="C54" s="56">
        <v>45854.0</v>
      </c>
      <c r="D54" s="57" t="s">
        <v>146</v>
      </c>
      <c r="E54" s="57">
        <f t="array" ref="E54">XLOOKUP(D54,RUC!$B$3:$B$110,RUC!$D$3:$D$110)</f>
        <v>20517242919</v>
      </c>
      <c r="G54" s="3">
        <v>48.0</v>
      </c>
      <c r="H54" s="57" t="s">
        <v>47</v>
      </c>
      <c r="I54" s="58">
        <v>4.52</v>
      </c>
      <c r="J54" s="58">
        <v>2.2</v>
      </c>
      <c r="K54" s="59">
        <f t="shared" si="2"/>
        <v>4.42056</v>
      </c>
      <c r="L54" s="60">
        <v>0.298</v>
      </c>
      <c r="M54" s="60">
        <v>0.291</v>
      </c>
      <c r="N54" s="62">
        <v>0.291</v>
      </c>
      <c r="O54" s="60">
        <f t="shared" si="3"/>
        <v>0.291</v>
      </c>
      <c r="P54" s="63">
        <v>90.0</v>
      </c>
      <c r="Q54" s="58">
        <v>94.63</v>
      </c>
      <c r="R54" s="65">
        <v>3323.8</v>
      </c>
      <c r="S54" s="133">
        <v>105.0</v>
      </c>
      <c r="U54" s="67">
        <f t="array" ref="U54">XLOOKUP(D54,RUC!$B$3:$B$110,RUC!$F$3:$F$110)</f>
        <v>80</v>
      </c>
      <c r="V54" s="67">
        <v>1.1023</v>
      </c>
      <c r="Y54" s="57" t="str">
        <f t="array" ref="Y54">XLOOKUP(D54,RUC!$B$3:$B$110,RUC!$G$3:$G$110)</f>
        <v/>
      </c>
      <c r="Z54" s="69">
        <f t="array" ref="Z54">XLOOKUP(D54,RUC!$B$3:$B$110,RUC!$H$3:$H$110)</f>
        <v>10</v>
      </c>
      <c r="AA54" s="70">
        <f t="shared" si="4"/>
        <v>10</v>
      </c>
      <c r="AB54" s="71">
        <f t="shared" si="20"/>
        <v>809.6958098</v>
      </c>
      <c r="AC54" s="71">
        <f>+(S54-T54)*V54-'data 1'!$F$4</f>
        <v>35.7415</v>
      </c>
      <c r="AD54" s="71">
        <f t="shared" si="6"/>
        <v>49.33454555</v>
      </c>
      <c r="AE54" s="71">
        <f t="shared" si="7"/>
        <v>-58.977</v>
      </c>
      <c r="AF54" s="71">
        <f t="shared" si="8"/>
        <v>23.68540183</v>
      </c>
      <c r="AG54" s="72">
        <f t="shared" si="35"/>
        <v>119.7844474</v>
      </c>
      <c r="AH54" s="52">
        <f t="shared" si="9"/>
        <v>42.73969937</v>
      </c>
      <c r="AI54" s="52">
        <f t="shared" si="10"/>
        <v>45.16506327</v>
      </c>
      <c r="AJ54" s="73">
        <f t="shared" si="11"/>
        <v>33.01181695</v>
      </c>
      <c r="AK54" s="106">
        <f t="shared" si="22"/>
        <v>39.69372507</v>
      </c>
      <c r="AL54" s="11"/>
      <c r="AM54" s="51">
        <f t="shared" si="13"/>
        <v>3579.308909</v>
      </c>
      <c r="AN54" s="51" t="str">
        <f t="array" ref="AN54">XLOOKUP(D54,RUC!$B$3:$B$565,RUC!$M$3:$M$565)</f>
        <v>Melchor Vera</v>
      </c>
      <c r="AO54" s="131" t="s">
        <v>551</v>
      </c>
      <c r="AP54" s="2" t="s">
        <v>606</v>
      </c>
      <c r="AQ54" s="2" t="s">
        <v>607</v>
      </c>
      <c r="AS54" s="65">
        <f t="shared" si="14"/>
        <v>413.0161616</v>
      </c>
    </row>
    <row r="55" ht="15.0" customHeight="1">
      <c r="A55" s="116" t="s">
        <v>612</v>
      </c>
      <c r="B55" s="56">
        <v>45859.0</v>
      </c>
      <c r="C55" s="56">
        <v>45854.0</v>
      </c>
      <c r="D55" s="57" t="s">
        <v>146</v>
      </c>
      <c r="E55" s="57">
        <f t="array" ref="E55">XLOOKUP(D55,RUC!$B$3:$B$110,RUC!$D$3:$D$110)</f>
        <v>20517242919</v>
      </c>
      <c r="G55" s="3">
        <v>40.0</v>
      </c>
      <c r="H55" s="57" t="s">
        <v>47</v>
      </c>
      <c r="I55" s="58">
        <v>3.71</v>
      </c>
      <c r="J55" s="58">
        <v>2.25</v>
      </c>
      <c r="K55" s="59">
        <f t="shared" si="2"/>
        <v>3.626525</v>
      </c>
      <c r="L55" s="60">
        <v>0.338</v>
      </c>
      <c r="M55" s="60">
        <v>0.33</v>
      </c>
      <c r="N55" s="75">
        <v>0.37</v>
      </c>
      <c r="O55" s="60">
        <f t="shared" si="3"/>
        <v>0.35</v>
      </c>
      <c r="P55" s="63">
        <v>90.0</v>
      </c>
      <c r="Q55" s="58">
        <v>98.82</v>
      </c>
      <c r="R55" s="65">
        <v>3323.8</v>
      </c>
      <c r="S55" s="133">
        <v>110.0</v>
      </c>
      <c r="U55" s="67">
        <f t="array" ref="U55">XLOOKUP(D55,RUC!$B$3:$B$110,RUC!$F$3:$F$110)</f>
        <v>80</v>
      </c>
      <c r="V55" s="67">
        <v>1.1023</v>
      </c>
      <c r="Y55" s="57" t="str">
        <f t="array" ref="Y55">XLOOKUP(D55,RUC!$B$3:$B$110,RUC!$G$3:$G$110)</f>
        <v/>
      </c>
      <c r="Z55" s="69">
        <f t="array" ref="Z55">XLOOKUP(D55,RUC!$B$3:$B$110,RUC!$H$3:$H$110)</f>
        <v>10</v>
      </c>
      <c r="AA55" s="70">
        <f t="shared" si="4"/>
        <v>10</v>
      </c>
      <c r="AB55" s="71">
        <f t="shared" si="20"/>
        <v>994.0508331</v>
      </c>
      <c r="AC55" s="71">
        <f>+(S55-T55)*V55-'data 1'!$F$4</f>
        <v>41.253</v>
      </c>
      <c r="AD55" s="71">
        <f t="shared" si="6"/>
        <v>106.5955715</v>
      </c>
      <c r="AE55" s="71">
        <f t="shared" si="7"/>
        <v>-58.977</v>
      </c>
      <c r="AF55" s="71">
        <f t="shared" si="8"/>
        <v>-42.40137815</v>
      </c>
      <c r="AG55" s="72">
        <f t="shared" si="35"/>
        <v>116.4701933</v>
      </c>
      <c r="AH55" s="52">
        <f t="shared" si="9"/>
        <v>41.52993915</v>
      </c>
      <c r="AI55" s="52">
        <f t="shared" si="10"/>
        <v>42.02584411</v>
      </c>
      <c r="AJ55" s="73">
        <f t="shared" si="11"/>
        <v>39.10082079</v>
      </c>
      <c r="AK55" s="106">
        <f t="shared" si="22"/>
        <v>39.16609732</v>
      </c>
      <c r="AL55" s="11"/>
      <c r="AM55" s="51">
        <f t="shared" si="13"/>
        <v>3604.950198</v>
      </c>
      <c r="AN55" s="51" t="str">
        <f t="array" ref="AN55">XLOOKUP(D55,RUC!$B$3:$B$565,RUC!$M$3:$M$565)</f>
        <v>Melchor Vera</v>
      </c>
      <c r="AO55" s="131" t="s">
        <v>551</v>
      </c>
      <c r="AP55" s="2" t="s">
        <v>606</v>
      </c>
      <c r="AQ55" s="2" t="s">
        <v>607</v>
      </c>
      <c r="AS55" s="65">
        <f t="shared" si="14"/>
        <v>363.3358851</v>
      </c>
    </row>
    <row r="56" ht="15.0" customHeight="1">
      <c r="A56" s="116" t="s">
        <v>613</v>
      </c>
      <c r="B56" s="56">
        <v>45859.0</v>
      </c>
      <c r="C56" s="56">
        <v>45854.0</v>
      </c>
      <c r="D56" s="57" t="s">
        <v>146</v>
      </c>
      <c r="E56" s="57">
        <f t="array" ref="E56">XLOOKUP(D56,RUC!$B$3:$B$110,RUC!$D$3:$D$110)</f>
        <v>20517242919</v>
      </c>
      <c r="G56" s="3">
        <v>39.0</v>
      </c>
      <c r="H56" s="57" t="s">
        <v>47</v>
      </c>
      <c r="I56" s="58">
        <v>3.61</v>
      </c>
      <c r="J56" s="58">
        <v>2.35</v>
      </c>
      <c r="K56" s="59">
        <f t="shared" si="2"/>
        <v>3.525165</v>
      </c>
      <c r="L56" s="60">
        <v>0.327</v>
      </c>
      <c r="M56" s="60">
        <v>0.319</v>
      </c>
      <c r="N56" s="62">
        <v>0.319</v>
      </c>
      <c r="O56" s="60">
        <f t="shared" si="3"/>
        <v>0.319</v>
      </c>
      <c r="P56" s="63">
        <v>90.0</v>
      </c>
      <c r="Q56" s="58">
        <v>98.17</v>
      </c>
      <c r="R56" s="65">
        <v>3323.8</v>
      </c>
      <c r="S56" s="133">
        <v>110.0</v>
      </c>
      <c r="U56" s="67">
        <f t="array" ref="U56">XLOOKUP(D56,RUC!$B$3:$B$110,RUC!$F$3:$F$110)</f>
        <v>80</v>
      </c>
      <c r="V56" s="67">
        <v>1.1023</v>
      </c>
      <c r="Y56" s="57" t="str">
        <f t="array" ref="Y56">XLOOKUP(D56,RUC!$B$3:$B$110,RUC!$G$3:$G$110)</f>
        <v/>
      </c>
      <c r="Z56" s="69">
        <f t="array" ref="Z56">XLOOKUP(D56,RUC!$B$3:$B$110,RUC!$H$3:$H$110)</f>
        <v>10</v>
      </c>
      <c r="AA56" s="70">
        <f t="shared" si="4"/>
        <v>10</v>
      </c>
      <c r="AB56" s="71">
        <f t="shared" si="20"/>
        <v>894.2904565</v>
      </c>
      <c r="AC56" s="71">
        <f>+(S56-T56)*V56-'data 1'!$F$4</f>
        <v>41.253</v>
      </c>
      <c r="AD56" s="71">
        <f t="shared" si="6"/>
        <v>95.52646045</v>
      </c>
      <c r="AE56" s="71">
        <f t="shared" si="7"/>
        <v>-58.977</v>
      </c>
      <c r="AF56" s="71">
        <f t="shared" si="8"/>
        <v>28.08165212</v>
      </c>
      <c r="AG56" s="72">
        <f t="shared" si="35"/>
        <v>175.8841126</v>
      </c>
      <c r="AH56" s="52">
        <f t="shared" si="9"/>
        <v>38.79851134</v>
      </c>
      <c r="AI56" s="52">
        <f t="shared" si="10"/>
        <v>39.52175954</v>
      </c>
      <c r="AJ56" s="73">
        <f t="shared" si="11"/>
        <v>37.57948878</v>
      </c>
      <c r="AK56" s="106">
        <f t="shared" si="22"/>
        <v>34.69937971</v>
      </c>
      <c r="AL56" s="11"/>
      <c r="AM56" s="51">
        <f t="shared" si="13"/>
        <v>3152.521417</v>
      </c>
      <c r="AN56" s="51" t="str">
        <f t="array" ref="AN56">XLOOKUP(D56,RUC!$B$3:$B$565,RUC!$M$3:$M$565)</f>
        <v>Melchor Vera</v>
      </c>
      <c r="AO56" s="131" t="s">
        <v>547</v>
      </c>
      <c r="AP56" s="2" t="s">
        <v>606</v>
      </c>
      <c r="AQ56" s="2" t="s">
        <v>607</v>
      </c>
      <c r="AS56" s="65">
        <f t="shared" si="14"/>
        <v>536.528271</v>
      </c>
    </row>
    <row r="57" ht="15.0" customHeight="1">
      <c r="A57" s="116" t="s">
        <v>614</v>
      </c>
      <c r="B57" s="56">
        <v>45859.0</v>
      </c>
      <c r="C57" s="56">
        <v>45854.0</v>
      </c>
      <c r="D57" s="57" t="s">
        <v>146</v>
      </c>
      <c r="E57" s="57">
        <f t="array" ref="E57">XLOOKUP(D57,RUC!$B$3:$B$110,RUC!$D$3:$D$110)</f>
        <v>20517242919</v>
      </c>
      <c r="G57" s="3">
        <v>61.0</v>
      </c>
      <c r="H57" s="57" t="s">
        <v>47</v>
      </c>
      <c r="I57" s="58">
        <v>5.81</v>
      </c>
      <c r="J57" s="58">
        <v>2.4</v>
      </c>
      <c r="K57" s="59">
        <f t="shared" si="2"/>
        <v>5.67056</v>
      </c>
      <c r="L57" s="60">
        <v>0.219</v>
      </c>
      <c r="M57" s="60">
        <v>0.212</v>
      </c>
      <c r="N57" s="62">
        <v>0.212</v>
      </c>
      <c r="O57" s="60">
        <f t="shared" si="3"/>
        <v>0.212</v>
      </c>
      <c r="P57" s="63">
        <v>85.0</v>
      </c>
      <c r="Q57" s="58">
        <v>89.5</v>
      </c>
      <c r="R57" s="65">
        <v>3323.8</v>
      </c>
      <c r="S57" s="133">
        <v>105.0</v>
      </c>
      <c r="U57" s="67">
        <f t="array" ref="U57">XLOOKUP(D57,RUC!$B$3:$B$110,RUC!$F$3:$F$110)</f>
        <v>80</v>
      </c>
      <c r="V57" s="67">
        <v>1.1023</v>
      </c>
      <c r="Y57" s="57" t="str">
        <f t="array" ref="Y57">XLOOKUP(D57,RUC!$B$3:$B$110,RUC!$G$3:$G$110)</f>
        <v/>
      </c>
      <c r="Z57" s="69">
        <f t="array" ref="Z57">XLOOKUP(D57,RUC!$B$3:$B$110,RUC!$H$3:$H$110)</f>
        <v>10</v>
      </c>
      <c r="AA57" s="70">
        <f t="shared" si="4"/>
        <v>10</v>
      </c>
      <c r="AB57" s="71">
        <f t="shared" si="20"/>
        <v>517.5659613</v>
      </c>
      <c r="AC57" s="71">
        <f>+(S57-T57)*V57-'data 1'!$F$4</f>
        <v>35.7415</v>
      </c>
      <c r="AD57" s="71">
        <f t="shared" si="6"/>
        <v>35.23793949</v>
      </c>
      <c r="AE57" s="71">
        <f t="shared" si="7"/>
        <v>-58.977</v>
      </c>
      <c r="AF57" s="71">
        <f t="shared" si="8"/>
        <v>22.40138924</v>
      </c>
      <c r="AG57" s="72">
        <f t="shared" si="35"/>
        <v>104.4038287</v>
      </c>
      <c r="AH57" s="52">
        <f t="shared" si="9"/>
        <v>38.1067727</v>
      </c>
      <c r="AI57" s="52">
        <f t="shared" si="10"/>
        <v>42.57739966</v>
      </c>
      <c r="AJ57" s="73">
        <f t="shared" si="11"/>
        <v>22.94518028</v>
      </c>
      <c r="AK57" s="106">
        <f t="shared" si="22"/>
        <v>35.03400648</v>
      </c>
      <c r="AL57" s="11"/>
      <c r="AM57" s="51">
        <f t="shared" si="13"/>
        <v>2934.888838</v>
      </c>
      <c r="AN57" s="51" t="str">
        <f t="array" ref="AN57">XLOOKUP(D57,RUC!$B$3:$B$565,RUC!$M$3:$M$565)</f>
        <v>Melchor Vera</v>
      </c>
      <c r="AO57" s="131" t="s">
        <v>547</v>
      </c>
      <c r="AP57" s="2" t="s">
        <v>606</v>
      </c>
      <c r="AQ57" s="2" t="s">
        <v>607</v>
      </c>
      <c r="AS57" s="65">
        <f t="shared" si="14"/>
        <v>394.692178</v>
      </c>
    </row>
    <row r="58" ht="15.0" customHeight="1">
      <c r="A58" s="116" t="s">
        <v>615</v>
      </c>
      <c r="B58" s="56">
        <v>45859.0</v>
      </c>
      <c r="C58" s="56">
        <v>45854.0</v>
      </c>
      <c r="D58" s="57" t="s">
        <v>146</v>
      </c>
      <c r="E58" s="57">
        <f t="array" ref="E58">XLOOKUP(D58,RUC!$B$3:$B$110,RUC!$D$3:$D$110)</f>
        <v>20517242919</v>
      </c>
      <c r="G58" s="3">
        <v>64.0</v>
      </c>
      <c r="H58" s="57" t="s">
        <v>47</v>
      </c>
      <c r="I58" s="58">
        <v>6.27</v>
      </c>
      <c r="J58" s="58">
        <v>2.25</v>
      </c>
      <c r="K58" s="59">
        <f t="shared" si="2"/>
        <v>6.128925</v>
      </c>
      <c r="L58" s="60">
        <v>0.202</v>
      </c>
      <c r="M58" s="60">
        <v>0.194</v>
      </c>
      <c r="N58" s="62">
        <v>0.194</v>
      </c>
      <c r="O58" s="60">
        <f t="shared" si="3"/>
        <v>0.194</v>
      </c>
      <c r="P58" s="63">
        <v>85.0</v>
      </c>
      <c r="Q58" s="58">
        <v>96.53</v>
      </c>
      <c r="R58" s="65">
        <v>3323.8</v>
      </c>
      <c r="S58" s="133">
        <v>95.0</v>
      </c>
      <c r="U58" s="67">
        <f t="array" ref="U58">XLOOKUP(D58,RUC!$B$3:$B$110,RUC!$F$3:$F$110)</f>
        <v>80</v>
      </c>
      <c r="V58" s="67">
        <v>1.1023</v>
      </c>
      <c r="Y58" s="57" t="str">
        <f t="array" ref="Y58">XLOOKUP(D58,RUC!$B$3:$B$110,RUC!$G$3:$G$110)</f>
        <v/>
      </c>
      <c r="Z58" s="69">
        <f t="array" ref="Z58">XLOOKUP(D58,RUC!$B$3:$B$110,RUC!$H$3:$H$110)</f>
        <v>10</v>
      </c>
      <c r="AA58" s="70">
        <f t="shared" si="4"/>
        <v>10</v>
      </c>
      <c r="AB58" s="71">
        <f t="shared" si="20"/>
        <v>473.881658</v>
      </c>
      <c r="AC58" s="71">
        <f>+(S58-T58)*V58-'data 1'!$F$4</f>
        <v>24.7185</v>
      </c>
      <c r="AD58" s="71">
        <f t="shared" si="6"/>
        <v>83.27881822</v>
      </c>
      <c r="AE58" s="71">
        <f t="shared" si="7"/>
        <v>-58.977</v>
      </c>
      <c r="AF58" s="71">
        <f t="shared" si="8"/>
        <v>27.61252805</v>
      </c>
      <c r="AG58" s="72">
        <f t="shared" si="35"/>
        <v>146.6328463</v>
      </c>
      <c r="AH58" s="52">
        <f t="shared" si="9"/>
        <v>40.97387628</v>
      </c>
      <c r="AI58" s="52">
        <f t="shared" si="10"/>
        <v>42.44677953</v>
      </c>
      <c r="AJ58" s="73">
        <f t="shared" si="11"/>
        <v>22.8264303</v>
      </c>
      <c r="AK58" s="106">
        <f t="shared" si="22"/>
        <v>34.65086112</v>
      </c>
      <c r="AL58" s="11"/>
      <c r="AM58" s="51">
        <f t="shared" si="13"/>
        <v>2904.385141</v>
      </c>
      <c r="AN58" s="51" t="str">
        <f t="array" ref="AN58">XLOOKUP(D58,RUC!$B$3:$B$565,RUC!$M$3:$M$565)</f>
        <v>Melchor Vera</v>
      </c>
      <c r="AO58" s="131" t="s">
        <v>547</v>
      </c>
      <c r="AP58" s="2" t="s">
        <v>606</v>
      </c>
      <c r="AQ58" s="2" t="s">
        <v>607</v>
      </c>
      <c r="AS58" s="65">
        <f t="shared" si="14"/>
        <v>671.4904883</v>
      </c>
    </row>
    <row r="59" ht="15.0" customHeight="1">
      <c r="A59" s="116" t="s">
        <v>616</v>
      </c>
      <c r="B59" s="56">
        <v>45863.0</v>
      </c>
      <c r="C59" s="56">
        <v>45855.0</v>
      </c>
      <c r="D59" s="57" t="s">
        <v>602</v>
      </c>
      <c r="E59" s="57">
        <f t="array" ref="E59">XLOOKUP(D59,RUC!$B$3:$B$110,RUC!$D$3:$D$110)</f>
        <v>20169040231</v>
      </c>
      <c r="G59" s="3">
        <v>117.0</v>
      </c>
      <c r="H59" s="57" t="s">
        <v>47</v>
      </c>
      <c r="I59" s="58">
        <v>11.49</v>
      </c>
      <c r="J59" s="58">
        <v>1.0</v>
      </c>
      <c r="K59" s="59">
        <f t="shared" si="2"/>
        <v>11.3751</v>
      </c>
      <c r="L59" s="60">
        <v>0.515</v>
      </c>
      <c r="M59" s="60">
        <v>0.479</v>
      </c>
      <c r="N59" s="62">
        <v>0.479</v>
      </c>
      <c r="O59" s="60">
        <f t="shared" si="3"/>
        <v>0.479</v>
      </c>
      <c r="P59" s="63">
        <v>88.0</v>
      </c>
      <c r="Q59" s="58">
        <v>88.74</v>
      </c>
      <c r="R59" s="65">
        <v>3318.5</v>
      </c>
      <c r="S59" s="66">
        <f t="shared" ref="S59:S61" si="36">IF((90+ROUNDDOWN(O59,1)*100)&lt;95,95,(85+ROUNDDOWN(O59,1)*100))</f>
        <v>125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69">
        <f t="array" ref="Z59">XLOOKUP(D59,RUC!$B$3:$B$110,RUC!$H$3:$H$110)</f>
        <v>30</v>
      </c>
      <c r="AA59" s="70">
        <f t="shared" si="4"/>
        <v>50</v>
      </c>
      <c r="AB59" s="71">
        <f t="shared" si="20"/>
        <v>1293.253325</v>
      </c>
      <c r="AC59" s="71">
        <f>+(S59-T59)*V59-'data 1'!$F$4</f>
        <v>57.7875</v>
      </c>
      <c r="AD59" s="71">
        <f t="shared" si="6"/>
        <v>13.43646766</v>
      </c>
      <c r="AE59" s="71">
        <f t="shared" si="7"/>
        <v>-14.885</v>
      </c>
      <c r="AF59" s="71">
        <f t="shared" si="8"/>
        <v>112.6336317</v>
      </c>
      <c r="AG59" s="72">
        <f t="shared" ref="AG59:AG83" si="37">AC59+AD59+AE59+AF59+70-53</f>
        <v>185.9725994</v>
      </c>
      <c r="AH59" s="52">
        <f t="shared" si="9"/>
        <v>178.2341609</v>
      </c>
      <c r="AI59" s="52">
        <f t="shared" si="10"/>
        <v>200.8498546</v>
      </c>
      <c r="AJ59" s="73">
        <f t="shared" si="11"/>
        <v>76.32012863</v>
      </c>
      <c r="AK59" s="106">
        <f t="shared" si="22"/>
        <v>164.392681</v>
      </c>
      <c r="AL59" s="11"/>
      <c r="AM59" s="51">
        <f t="shared" si="13"/>
        <v>14710.8859</v>
      </c>
      <c r="AN59" s="51" t="str">
        <f t="array" ref="AN59">XLOOKUP(D59,RUC!$B$3:$B$565,RUC!$M$3:$M$565)</f>
        <v>Ronald Miranda</v>
      </c>
      <c r="AO59" s="131" t="s">
        <v>549</v>
      </c>
      <c r="AP59" s="57" t="s">
        <v>617</v>
      </c>
      <c r="AQ59" s="2" t="s">
        <v>618</v>
      </c>
      <c r="AS59" s="65">
        <f t="shared" si="14"/>
        <v>2876.938487</v>
      </c>
    </row>
    <row r="60" ht="15.0" customHeight="1">
      <c r="A60" s="116" t="s">
        <v>619</v>
      </c>
      <c r="B60" s="56">
        <v>45863.0</v>
      </c>
      <c r="C60" s="56">
        <v>45855.0</v>
      </c>
      <c r="D60" s="57" t="s">
        <v>602</v>
      </c>
      <c r="E60" s="57">
        <f t="array" ref="E60">XLOOKUP(D60,RUC!$B$3:$B$110,RUC!$D$3:$D$110)</f>
        <v>20169040231</v>
      </c>
      <c r="G60" s="3">
        <v>100.0</v>
      </c>
      <c r="H60" s="57" t="s">
        <v>47</v>
      </c>
      <c r="I60" s="58">
        <v>9.66</v>
      </c>
      <c r="J60" s="58">
        <v>1.05</v>
      </c>
      <c r="K60" s="59">
        <f t="shared" si="2"/>
        <v>9.55857</v>
      </c>
      <c r="L60" s="60">
        <v>0.446</v>
      </c>
      <c r="M60" s="60">
        <v>0.419</v>
      </c>
      <c r="N60" s="62">
        <v>0.419</v>
      </c>
      <c r="O60" s="60">
        <f t="shared" si="3"/>
        <v>0.419</v>
      </c>
      <c r="P60" s="63">
        <v>88.0</v>
      </c>
      <c r="Q60" s="58">
        <v>88.01</v>
      </c>
      <c r="R60" s="65">
        <v>3318.5</v>
      </c>
      <c r="S60" s="66">
        <f t="shared" si="36"/>
        <v>125</v>
      </c>
      <c r="U60" s="67">
        <f t="array" ref="U60">XLOOKUP(D60,RUC!$B$3:$B$110,RUC!$F$3:$F$110)</f>
        <v>120</v>
      </c>
      <c r="V60" s="67">
        <v>1.1023</v>
      </c>
      <c r="Y60" s="57">
        <f t="array" ref="Y60">XLOOKUP(D60,RUC!$B$3:$B$110,RUC!$G$3:$G$110)</f>
        <v>20</v>
      </c>
      <c r="Z60" s="69">
        <f t="array" ref="Z60">XLOOKUP(D60,RUC!$B$3:$B$110,RUC!$H$3:$H$110)</f>
        <v>30</v>
      </c>
      <c r="AA60" s="70">
        <f t="shared" si="4"/>
        <v>50</v>
      </c>
      <c r="AB60" s="71">
        <f t="shared" si="20"/>
        <v>1107.096019</v>
      </c>
      <c r="AC60" s="71">
        <f>+(S60-T60)*V60-'data 1'!$F$4</f>
        <v>57.7875</v>
      </c>
      <c r="AD60" s="71">
        <f t="shared" si="6"/>
        <v>0.1572465121</v>
      </c>
      <c r="AE60" s="71">
        <f t="shared" si="7"/>
        <v>-14.885</v>
      </c>
      <c r="AF60" s="71">
        <f t="shared" si="8"/>
        <v>83.78030704</v>
      </c>
      <c r="AG60" s="72">
        <f t="shared" si="37"/>
        <v>143.8400535</v>
      </c>
      <c r="AH60" s="52">
        <f t="shared" si="9"/>
        <v>128.6378799</v>
      </c>
      <c r="AI60" s="52">
        <f t="shared" si="10"/>
        <v>146.1627996</v>
      </c>
      <c r="AJ60" s="73">
        <f t="shared" si="11"/>
        <v>65.55099979</v>
      </c>
      <c r="AK60" s="106">
        <f t="shared" si="22"/>
        <v>120.8366535</v>
      </c>
      <c r="AL60" s="11"/>
      <c r="AM60" s="51">
        <f t="shared" si="13"/>
        <v>10582.2548</v>
      </c>
      <c r="AN60" s="51" t="str">
        <f t="array" ref="AN60">XLOOKUP(D60,RUC!$B$3:$B$565,RUC!$M$3:$M$565)</f>
        <v>Ronald Miranda</v>
      </c>
      <c r="AO60" s="131" t="s">
        <v>561</v>
      </c>
      <c r="AP60" s="57" t="s">
        <v>617</v>
      </c>
      <c r="AQ60" s="2" t="s">
        <v>618</v>
      </c>
      <c r="AS60" s="65">
        <f t="shared" si="14"/>
        <v>1932.113385</v>
      </c>
    </row>
    <row r="61" ht="15.0" customHeight="1">
      <c r="A61" s="116" t="s">
        <v>620</v>
      </c>
      <c r="B61" s="56">
        <v>45863.0</v>
      </c>
      <c r="C61" s="56">
        <v>45855.0</v>
      </c>
      <c r="D61" s="57" t="s">
        <v>602</v>
      </c>
      <c r="E61" s="57">
        <f t="array" ref="E61">XLOOKUP(D61,RUC!$B$3:$B$110,RUC!$D$3:$D$110)</f>
        <v>20169040231</v>
      </c>
      <c r="G61" s="3">
        <v>25.0</v>
      </c>
      <c r="H61" s="57" t="s">
        <v>47</v>
      </c>
      <c r="I61" s="58">
        <v>2.42</v>
      </c>
      <c r="J61" s="58">
        <v>1.1</v>
      </c>
      <c r="K61" s="59">
        <f t="shared" si="2"/>
        <v>2.39338</v>
      </c>
      <c r="L61" s="60">
        <v>0.255</v>
      </c>
      <c r="M61" s="60">
        <v>0.237</v>
      </c>
      <c r="N61" s="75">
        <v>0.279</v>
      </c>
      <c r="O61" s="60">
        <f t="shared" si="3"/>
        <v>0.258</v>
      </c>
      <c r="P61" s="63">
        <v>89.0</v>
      </c>
      <c r="Q61" s="58">
        <v>89.01960784313725</v>
      </c>
      <c r="R61" s="65">
        <v>3318.5</v>
      </c>
      <c r="S61" s="66">
        <f t="shared" si="36"/>
        <v>105</v>
      </c>
      <c r="U61" s="67">
        <f t="array" ref="U61">XLOOKUP(D61,RUC!$B$3:$B$110,RUC!$F$3:$F$110)</f>
        <v>120</v>
      </c>
      <c r="V61" s="67">
        <v>1.1023</v>
      </c>
      <c r="Y61" s="57">
        <f t="array" ref="Y61">XLOOKUP(D61,RUC!$B$3:$B$110,RUC!$G$3:$G$110)</f>
        <v>20</v>
      </c>
      <c r="Z61" s="69">
        <f t="array" ref="Z61">XLOOKUP(D61,RUC!$B$3:$B$110,RUC!$H$3:$H$110)</f>
        <v>30</v>
      </c>
      <c r="AA61" s="70">
        <f t="shared" si="4"/>
        <v>50</v>
      </c>
      <c r="AB61" s="71">
        <f t="shared" si="20"/>
        <v>638.716238</v>
      </c>
      <c r="AC61" s="71">
        <f>+(S61-T61)*V61-'data 1'!$F$4</f>
        <v>35.7415</v>
      </c>
      <c r="AD61" s="71">
        <f t="shared" si="6"/>
        <v>0.1762853275</v>
      </c>
      <c r="AE61" s="71">
        <f t="shared" si="7"/>
        <v>-14.885</v>
      </c>
      <c r="AF61" s="71">
        <f t="shared" si="8"/>
        <v>-9.415710434</v>
      </c>
      <c r="AG61" s="72">
        <f t="shared" si="37"/>
        <v>28.61707489</v>
      </c>
      <c r="AH61" s="52">
        <f t="shared" si="9"/>
        <v>18.62715739</v>
      </c>
      <c r="AI61" s="52">
        <f t="shared" si="10"/>
        <v>20.92478032</v>
      </c>
      <c r="AJ61" s="73">
        <f t="shared" si="11"/>
        <v>37.90864815</v>
      </c>
      <c r="AK61" s="106">
        <f t="shared" si="22"/>
        <v>18.84214925</v>
      </c>
      <c r="AL61" s="11"/>
      <c r="AM61" s="51">
        <f t="shared" si="13"/>
        <v>1528.69067</v>
      </c>
      <c r="AN61" s="51" t="str">
        <f t="array" ref="AN61">XLOOKUP(D61,RUC!$B$3:$B$565,RUC!$M$3:$M$565)</f>
        <v>Ronald Miranda</v>
      </c>
      <c r="AO61" s="131" t="s">
        <v>549</v>
      </c>
      <c r="AP61" s="57" t="s">
        <v>617</v>
      </c>
      <c r="AQ61" s="2" t="s">
        <v>618</v>
      </c>
      <c r="AS61" s="65">
        <f t="shared" si="14"/>
        <v>149.1951162</v>
      </c>
    </row>
    <row r="62" ht="15.0" customHeight="1">
      <c r="A62" s="116" t="s">
        <v>621</v>
      </c>
      <c r="B62" s="56">
        <v>45862.0</v>
      </c>
      <c r="C62" s="56">
        <v>45856.0</v>
      </c>
      <c r="D62" s="57" t="s">
        <v>622</v>
      </c>
      <c r="E62" s="57">
        <f t="array" ref="E62">XLOOKUP(D62,RUC!$B$3:$B$110,RUC!$D$3:$D$110)</f>
        <v>20612719757</v>
      </c>
      <c r="G62" s="3">
        <v>36.0</v>
      </c>
      <c r="H62" s="138" t="s">
        <v>339</v>
      </c>
      <c r="I62" s="57">
        <v>2.6</v>
      </c>
      <c r="J62" s="58">
        <v>12.45</v>
      </c>
      <c r="K62" s="59">
        <f t="shared" si="2"/>
        <v>2.2763</v>
      </c>
      <c r="L62" s="139">
        <v>0.524</v>
      </c>
      <c r="M62" s="60">
        <v>0.493</v>
      </c>
      <c r="N62" s="62">
        <v>0.493</v>
      </c>
      <c r="O62" s="60">
        <f t="shared" si="3"/>
        <v>0.493</v>
      </c>
      <c r="P62" s="63">
        <v>85.0</v>
      </c>
      <c r="Q62" s="58">
        <v>86.6412213740458</v>
      </c>
      <c r="R62" s="65">
        <v>3355.1</v>
      </c>
      <c r="S62" s="66">
        <f t="shared" ref="S62:S83" si="38">IF((90+ROUNDDOWN(O62,1)*100)&lt;95,95,(90+ROUNDDOWN(O62,1)*100))</f>
        <v>130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69">
        <f t="array" ref="Z62">XLOOKUP(D62,RUC!$B$3:$B$110,RUC!$H$3:$H$110)</f>
        <v>30</v>
      </c>
      <c r="AA62" s="70">
        <f t="shared" si="4"/>
        <v>50</v>
      </c>
      <c r="AB62" s="71">
        <f t="shared" si="20"/>
        <v>1295.939558</v>
      </c>
      <c r="AC62" s="71">
        <f>+(S62-T62)*V62-'data 1'!$F$4</f>
        <v>63.299</v>
      </c>
      <c r="AD62" s="71">
        <f t="shared" si="6"/>
        <v>30.66803628</v>
      </c>
      <c r="AE62" s="71">
        <f t="shared" si="7"/>
        <v>-14.885</v>
      </c>
      <c r="AF62" s="71">
        <f t="shared" si="8"/>
        <v>95.77976713</v>
      </c>
      <c r="AG62" s="72">
        <f t="shared" si="37"/>
        <v>191.8618034</v>
      </c>
      <c r="AH62" s="52">
        <f t="shared" si="9"/>
        <v>35.43189828</v>
      </c>
      <c r="AI62" s="52">
        <f t="shared" si="10"/>
        <v>40.8949663</v>
      </c>
      <c r="AJ62" s="73">
        <f t="shared" si="11"/>
        <v>57.50103858</v>
      </c>
      <c r="AK62" s="106">
        <f t="shared" si="22"/>
        <v>32.70426647</v>
      </c>
      <c r="AL62" s="11"/>
      <c r="AM62" s="51">
        <f t="shared" si="13"/>
        <v>2949.947217</v>
      </c>
      <c r="AN62" s="51" t="str">
        <f t="array" ref="AN62">XLOOKUP(D62,RUC!$B$3:$B$565,RUC!$M$3:$M$565)</f>
        <v>Walter Achulla </v>
      </c>
      <c r="AO62" s="131" t="s">
        <v>561</v>
      </c>
      <c r="AP62" s="2" t="s">
        <v>623</v>
      </c>
      <c r="AQ62" s="2" t="s">
        <v>624</v>
      </c>
      <c r="AS62" s="65">
        <f t="shared" si="14"/>
        <v>544.413728</v>
      </c>
    </row>
    <row r="63" ht="15.0" customHeight="1">
      <c r="A63" s="116" t="s">
        <v>625</v>
      </c>
      <c r="B63" s="56">
        <v>45862.0</v>
      </c>
      <c r="C63" s="56">
        <v>45856.0</v>
      </c>
      <c r="D63" s="2" t="s">
        <v>622</v>
      </c>
      <c r="E63" s="57">
        <f t="array" ref="E63">XLOOKUP(D63,RUC!$B$3:$B$110,RUC!$D$3:$D$110)</f>
        <v>20612719757</v>
      </c>
      <c r="G63" s="3">
        <v>40.0</v>
      </c>
      <c r="H63" s="138" t="s">
        <v>71</v>
      </c>
      <c r="I63" s="57">
        <v>3.0</v>
      </c>
      <c r="J63" s="58">
        <v>16.95</v>
      </c>
      <c r="K63" s="59">
        <f t="shared" si="2"/>
        <v>2.4915</v>
      </c>
      <c r="L63" s="139">
        <v>0.459</v>
      </c>
      <c r="M63" s="60">
        <v>0.431</v>
      </c>
      <c r="N63" s="62">
        <v>0.431</v>
      </c>
      <c r="O63" s="60">
        <f t="shared" si="3"/>
        <v>0.431</v>
      </c>
      <c r="P63" s="63">
        <v>85.0</v>
      </c>
      <c r="Q63" s="58">
        <v>87.36</v>
      </c>
      <c r="R63" s="65">
        <v>3355.1</v>
      </c>
      <c r="S63" s="66">
        <f t="shared" si="38"/>
        <v>130</v>
      </c>
      <c r="U63" s="67">
        <f t="array" ref="U63">XLOOKUP(D63,RUC!$B$3:$B$110,RUC!$F$3:$F$110)</f>
        <v>120</v>
      </c>
      <c r="V63" s="67">
        <v>1.1023</v>
      </c>
      <c r="Y63" s="57">
        <f t="array" ref="Y63">XLOOKUP(D63,RUC!$B$3:$B$110,RUC!$G$3:$G$110)</f>
        <v>20</v>
      </c>
      <c r="Z63" s="69">
        <f t="array" ref="Z63">XLOOKUP(D63,RUC!$B$3:$B$110,RUC!$H$3:$H$110)</f>
        <v>30</v>
      </c>
      <c r="AA63" s="70">
        <f t="shared" si="4"/>
        <v>50</v>
      </c>
      <c r="AB63" s="71">
        <f t="shared" si="20"/>
        <v>1108.008685</v>
      </c>
      <c r="AC63" s="71">
        <f>+(S63-T63)*V63-'data 1'!$F$4</f>
        <v>63.299</v>
      </c>
      <c r="AD63" s="71">
        <f t="shared" si="6"/>
        <v>38.62888793</v>
      </c>
      <c r="AE63" s="71">
        <f t="shared" si="7"/>
        <v>-14.885</v>
      </c>
      <c r="AF63" s="71">
        <f t="shared" si="8"/>
        <v>87.2284537</v>
      </c>
      <c r="AG63" s="72">
        <f t="shared" si="37"/>
        <v>191.2713416</v>
      </c>
      <c r="AH63" s="52">
        <f t="shared" si="9"/>
        <v>34.25273635</v>
      </c>
      <c r="AI63" s="52">
        <f t="shared" si="10"/>
        <v>39.20871835</v>
      </c>
      <c r="AJ63" s="73">
        <f t="shared" si="11"/>
        <v>50.78613315</v>
      </c>
      <c r="AK63" s="106">
        <f t="shared" si="22"/>
        <v>31.29436594</v>
      </c>
      <c r="AL63" s="11"/>
      <c r="AM63" s="51">
        <f t="shared" si="13"/>
        <v>2760.603639</v>
      </c>
      <c r="AN63" s="51" t="str">
        <f t="array" ref="AN63">XLOOKUP(D63,RUC!$B$3:$B$565,RUC!$M$3:$M$565)</f>
        <v>Walter Achulla </v>
      </c>
      <c r="AO63" s="131" t="s">
        <v>561</v>
      </c>
      <c r="AP63" s="2" t="s">
        <v>623</v>
      </c>
      <c r="AQ63" s="2" t="s">
        <v>624</v>
      </c>
      <c r="AS63" s="65">
        <f t="shared" si="14"/>
        <v>578.7691711</v>
      </c>
    </row>
    <row r="64" ht="15.0" customHeight="1">
      <c r="A64" s="116" t="s">
        <v>626</v>
      </c>
      <c r="B64" s="56">
        <v>45862.0</v>
      </c>
      <c r="C64" s="56">
        <v>45856.0</v>
      </c>
      <c r="D64" s="57" t="s">
        <v>295</v>
      </c>
      <c r="E64" s="57">
        <f t="array" ref="E64">XLOOKUP(D64,RUC!$B$3:$B$110,RUC!$D$3:$D$110)</f>
        <v>20601769396</v>
      </c>
      <c r="G64" s="3">
        <v>34.0</v>
      </c>
      <c r="H64" s="138" t="s">
        <v>71</v>
      </c>
      <c r="I64" s="57">
        <v>3.42</v>
      </c>
      <c r="J64" s="58">
        <v>6.65</v>
      </c>
      <c r="K64" s="59">
        <f t="shared" si="2"/>
        <v>3.19257</v>
      </c>
      <c r="L64" s="139">
        <v>0.462</v>
      </c>
      <c r="M64" s="60">
        <v>0.434</v>
      </c>
      <c r="N64" s="62">
        <v>0.434</v>
      </c>
      <c r="O64" s="60">
        <f t="shared" si="3"/>
        <v>0.434</v>
      </c>
      <c r="P64" s="63">
        <v>90.0</v>
      </c>
      <c r="Q64" s="58">
        <v>91.77489177489177</v>
      </c>
      <c r="R64" s="65">
        <v>3355.1</v>
      </c>
      <c r="S64" s="66">
        <f t="shared" si="38"/>
        <v>130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69">
        <f t="array" ref="Z64">XLOOKUP(D64,RUC!$B$3:$B$110,RUC!$H$3:$H$110)</f>
        <v>30</v>
      </c>
      <c r="AA64" s="70">
        <f t="shared" si="4"/>
        <v>50</v>
      </c>
      <c r="AB64" s="71">
        <f t="shared" si="20"/>
        <v>1194.485415</v>
      </c>
      <c r="AC64" s="71">
        <f>+(S64-T64)*V64-'data 1'!$F$4</f>
        <v>63.299</v>
      </c>
      <c r="AD64" s="71">
        <f t="shared" si="6"/>
        <v>29.24161599</v>
      </c>
      <c r="AE64" s="71">
        <f t="shared" si="7"/>
        <v>-14.885</v>
      </c>
      <c r="AF64" s="71">
        <f t="shared" si="8"/>
        <v>91.63669755</v>
      </c>
      <c r="AG64" s="72">
        <f t="shared" si="37"/>
        <v>186.2923135</v>
      </c>
      <c r="AH64" s="52">
        <f t="shared" si="9"/>
        <v>46.41040456</v>
      </c>
      <c r="AI64" s="52">
        <f t="shared" si="10"/>
        <v>50.56982761</v>
      </c>
      <c r="AJ64" s="73">
        <f t="shared" si="11"/>
        <v>53.70141048</v>
      </c>
      <c r="AK64" s="106">
        <f t="shared" si="22"/>
        <v>42.75449062</v>
      </c>
      <c r="AL64" s="11"/>
      <c r="AM64" s="51">
        <f t="shared" si="13"/>
        <v>3813.478302</v>
      </c>
      <c r="AN64" s="51" t="str">
        <f t="array" ref="AN64">XLOOKUP(D64,RUC!$B$3:$B$565,RUC!$M$3:$M$565)</f>
        <v>Evelyn</v>
      </c>
      <c r="AO64" s="131" t="s">
        <v>561</v>
      </c>
      <c r="AP64" s="2" t="s">
        <v>627</v>
      </c>
      <c r="AQ64" s="2" t="s">
        <v>628</v>
      </c>
      <c r="AS64" s="65">
        <f t="shared" si="14"/>
        <v>735.5456851</v>
      </c>
    </row>
    <row r="65" ht="15.0" customHeight="1">
      <c r="A65" s="116" t="s">
        <v>629</v>
      </c>
      <c r="B65" s="56">
        <v>45862.0</v>
      </c>
      <c r="C65" s="56">
        <v>45856.0</v>
      </c>
      <c r="D65" s="57" t="s">
        <v>295</v>
      </c>
      <c r="E65" s="57">
        <f t="array" ref="E65">XLOOKUP(D65,RUC!$B$3:$B$110,RUC!$D$3:$D$110)</f>
        <v>20601769396</v>
      </c>
      <c r="G65" s="3">
        <v>34.0</v>
      </c>
      <c r="H65" s="138" t="s">
        <v>339</v>
      </c>
      <c r="I65" s="57">
        <v>3.31</v>
      </c>
      <c r="J65" s="58">
        <v>6.4</v>
      </c>
      <c r="K65" s="59">
        <f t="shared" si="2"/>
        <v>3.09816</v>
      </c>
      <c r="L65" s="139">
        <v>0.46</v>
      </c>
      <c r="M65" s="60">
        <v>0.432</v>
      </c>
      <c r="N65" s="75">
        <v>0.488</v>
      </c>
      <c r="O65" s="60">
        <f t="shared" si="3"/>
        <v>0.46</v>
      </c>
      <c r="P65" s="63">
        <v>90.0</v>
      </c>
      <c r="Q65" s="58">
        <v>95.0</v>
      </c>
      <c r="R65" s="65">
        <v>3355.1</v>
      </c>
      <c r="S65" s="66">
        <f t="shared" si="38"/>
        <v>130</v>
      </c>
      <c r="U65" s="67">
        <f t="array" ref="U65">XLOOKUP(D65,RUC!$B$3:$B$110,RUC!$F$3:$F$110)</f>
        <v>120</v>
      </c>
      <c r="V65" s="67">
        <v>1.1023</v>
      </c>
      <c r="Y65" s="57">
        <f t="array" ref="Y65">XLOOKUP(D65,RUC!$B$3:$B$110,RUC!$G$3:$G$110)</f>
        <v>20</v>
      </c>
      <c r="Z65" s="69">
        <f t="array" ref="Z65">XLOOKUP(D65,RUC!$B$3:$B$110,RUC!$H$3:$H$110)</f>
        <v>30</v>
      </c>
      <c r="AA65" s="70">
        <f t="shared" si="4"/>
        <v>50</v>
      </c>
      <c r="AB65" s="71">
        <f t="shared" si="20"/>
        <v>1277.931002</v>
      </c>
      <c r="AC65" s="71">
        <f>+(S65-T65)*V65-'data 1'!$F$4</f>
        <v>63.299</v>
      </c>
      <c r="AD65" s="71">
        <f t="shared" si="6"/>
        <v>82.01916679</v>
      </c>
      <c r="AE65" s="71">
        <f t="shared" si="7"/>
        <v>-14.885</v>
      </c>
      <c r="AF65" s="71">
        <f t="shared" si="8"/>
        <v>0</v>
      </c>
      <c r="AG65" s="72">
        <f t="shared" si="37"/>
        <v>147.4331668</v>
      </c>
      <c r="AH65" s="52">
        <f t="shared" si="9"/>
        <v>46.418847</v>
      </c>
      <c r="AI65" s="52">
        <f t="shared" si="10"/>
        <v>48.86194421</v>
      </c>
      <c r="AJ65" s="73">
        <f t="shared" si="11"/>
        <v>55.34791599</v>
      </c>
      <c r="AK65" s="106">
        <f t="shared" si="22"/>
        <v>43.97574979</v>
      </c>
      <c r="AL65" s="11"/>
      <c r="AM65" s="51">
        <f t="shared" si="13"/>
        <v>3959.234714</v>
      </c>
      <c r="AN65" s="51" t="str">
        <f t="array" ref="AN65">XLOOKUP(D65,RUC!$B$3:$B$565,RUC!$M$3:$M$565)</f>
        <v>Evelyn</v>
      </c>
      <c r="AO65" s="131" t="s">
        <v>561</v>
      </c>
      <c r="AP65" s="2" t="s">
        <v>627</v>
      </c>
      <c r="AQ65" s="2" t="s">
        <v>628</v>
      </c>
      <c r="AS65" s="65">
        <f t="shared" si="14"/>
        <v>603.2505483</v>
      </c>
    </row>
    <row r="66" ht="15.0" customHeight="1">
      <c r="A66" s="116" t="s">
        <v>630</v>
      </c>
      <c r="B66" s="56">
        <v>45884.0</v>
      </c>
      <c r="C66" s="56">
        <v>45856.0</v>
      </c>
      <c r="D66" s="57" t="s">
        <v>295</v>
      </c>
      <c r="E66" s="57">
        <f t="array" ref="E66">XLOOKUP(D66,RUC!$B$3:$B$110,RUC!$D$3:$D$110)</f>
        <v>20601769396</v>
      </c>
      <c r="G66" s="3">
        <v>41.0</v>
      </c>
      <c r="H66" s="138" t="s">
        <v>339</v>
      </c>
      <c r="I66" s="57">
        <v>3.29</v>
      </c>
      <c r="J66" s="58">
        <v>12.15</v>
      </c>
      <c r="K66" s="59">
        <f t="shared" si="2"/>
        <v>2.890265</v>
      </c>
      <c r="L66" s="139">
        <v>0.159</v>
      </c>
      <c r="M66" s="60">
        <v>0.143</v>
      </c>
      <c r="N66" s="75">
        <v>0.225</v>
      </c>
      <c r="O66" s="60">
        <v>0.143</v>
      </c>
      <c r="P66" s="63">
        <v>85.0</v>
      </c>
      <c r="Q66" s="58">
        <v>94.23076923076923</v>
      </c>
      <c r="R66" s="65">
        <v>3355.1</v>
      </c>
      <c r="S66" s="66">
        <f t="shared" si="38"/>
        <v>100</v>
      </c>
      <c r="U66" s="67">
        <f t="array" ref="U66">XLOOKUP(D66,RUC!$B$3:$B$110,RUC!$F$3:$F$110)</f>
        <v>120</v>
      </c>
      <c r="V66" s="67">
        <v>1.1023</v>
      </c>
      <c r="Y66" s="57">
        <f t="array" ref="Y66">XLOOKUP(D66,RUC!$B$3:$B$110,RUC!$G$3:$G$110)</f>
        <v>20</v>
      </c>
      <c r="Z66" s="69">
        <f t="array" ref="Z66">XLOOKUP(D66,RUC!$B$3:$B$110,RUC!$H$3:$H$110)</f>
        <v>30</v>
      </c>
      <c r="AA66" s="70">
        <f t="shared" si="4"/>
        <v>50</v>
      </c>
      <c r="AB66" s="71">
        <f t="shared" si="20"/>
        <v>268.1084662</v>
      </c>
      <c r="AC66" s="71">
        <f>+(S66-T66)*V66-'data 1'!$F$4</f>
        <v>30.23</v>
      </c>
      <c r="AD66" s="71">
        <f t="shared" si="6"/>
        <v>52.33865225</v>
      </c>
      <c r="AE66" s="71">
        <f t="shared" si="7"/>
        <v>-14.885</v>
      </c>
      <c r="AF66" s="71">
        <f t="shared" si="8"/>
        <v>53.76507254</v>
      </c>
      <c r="AG66" s="72">
        <f t="shared" si="37"/>
        <v>138.4487248</v>
      </c>
      <c r="AH66" s="52">
        <f t="shared" si="9"/>
        <v>14.8469277</v>
      </c>
      <c r="AI66" s="52">
        <f t="shared" si="10"/>
        <v>15.75592328</v>
      </c>
      <c r="AJ66" s="73">
        <f t="shared" si="11"/>
        <v>18.97621957</v>
      </c>
      <c r="AK66" s="106">
        <f t="shared" si="22"/>
        <v>12.04485833</v>
      </c>
      <c r="AL66" s="11"/>
      <c r="AM66" s="51">
        <f t="shared" si="13"/>
        <v>774.9045162</v>
      </c>
      <c r="AN66" s="51" t="str">
        <f t="array" ref="AN66">XLOOKUP(D66,RUC!$B$3:$B$565,RUC!$M$3:$M$565)</f>
        <v>Evelyn</v>
      </c>
      <c r="AO66" s="131" t="s">
        <v>561</v>
      </c>
      <c r="AP66" s="2" t="s">
        <v>627</v>
      </c>
      <c r="AQ66" s="2" t="s">
        <v>628</v>
      </c>
      <c r="AS66" s="65">
        <f t="shared" si="14"/>
        <v>431.7819735</v>
      </c>
    </row>
    <row r="67" ht="15.0" customHeight="1">
      <c r="A67" s="116" t="s">
        <v>631</v>
      </c>
      <c r="B67" s="56">
        <v>45869.0</v>
      </c>
      <c r="C67" s="56">
        <v>45856.0</v>
      </c>
      <c r="D67" s="57" t="s">
        <v>295</v>
      </c>
      <c r="E67" s="57">
        <f t="array" ref="E67">XLOOKUP(D67,RUC!$B$3:$B$110,RUC!$D$3:$D$110)</f>
        <v>20601769396</v>
      </c>
      <c r="G67" s="3">
        <v>41.0</v>
      </c>
      <c r="H67" s="138" t="s">
        <v>339</v>
      </c>
      <c r="I67" s="57">
        <v>3.28</v>
      </c>
      <c r="J67" s="58">
        <v>10.5</v>
      </c>
      <c r="K67" s="59">
        <f t="shared" si="2"/>
        <v>2.9356</v>
      </c>
      <c r="L67" s="139">
        <v>0.178</v>
      </c>
      <c r="M67" s="60">
        <v>0.16</v>
      </c>
      <c r="N67" s="75">
        <v>0.338</v>
      </c>
      <c r="O67" s="61">
        <v>0.197</v>
      </c>
      <c r="P67" s="63">
        <v>90.0</v>
      </c>
      <c r="Q67" s="58">
        <v>94.3820224719101</v>
      </c>
      <c r="R67" s="65">
        <v>3355.1</v>
      </c>
      <c r="S67" s="66">
        <f t="shared" si="38"/>
        <v>100</v>
      </c>
      <c r="U67" s="67">
        <f t="array" ref="U67">XLOOKUP(D67,RUC!$B$3:$B$110,RUC!$F$3:$F$110)</f>
        <v>120</v>
      </c>
      <c r="V67" s="67">
        <v>1.1023</v>
      </c>
      <c r="Y67" s="57">
        <f t="array" ref="Y67">XLOOKUP(D67,RUC!$B$3:$B$110,RUC!$G$3:$G$110)</f>
        <v>20</v>
      </c>
      <c r="Z67" s="69">
        <f t="array" ref="Z67">XLOOKUP(D67,RUC!$B$3:$B$110,RUC!$H$3:$H$110)</f>
        <v>30</v>
      </c>
      <c r="AA67" s="70">
        <f t="shared" si="4"/>
        <v>50</v>
      </c>
      <c r="AB67" s="71">
        <f t="shared" si="20"/>
        <v>466.9157944</v>
      </c>
      <c r="AC67" s="71">
        <f>+(S67-T67)*V67-'data 1'!$F$4</f>
        <v>30.23</v>
      </c>
      <c r="AD67" s="71">
        <f t="shared" si="6"/>
        <v>27.81519569</v>
      </c>
      <c r="AE67" s="71">
        <f t="shared" si="7"/>
        <v>-14.885</v>
      </c>
      <c r="AF67" s="71">
        <f t="shared" si="8"/>
        <v>-63.94850523</v>
      </c>
      <c r="AG67" s="72">
        <f t="shared" si="37"/>
        <v>-3.788309532</v>
      </c>
      <c r="AH67" s="52">
        <f t="shared" si="9"/>
        <v>16.90889511</v>
      </c>
      <c r="AI67" s="52">
        <f t="shared" si="10"/>
        <v>17.91537696</v>
      </c>
      <c r="AJ67" s="73">
        <f t="shared" si="11"/>
        <v>21.27791736</v>
      </c>
      <c r="AK67" s="106">
        <f t="shared" si="22"/>
        <v>17.84492323</v>
      </c>
      <c r="AL67" s="11"/>
      <c r="AM67" s="51">
        <f t="shared" si="13"/>
        <v>1370.678006</v>
      </c>
      <c r="AN67" s="51" t="str">
        <f t="array" ref="AN67">XLOOKUP(D67,RUC!$B$3:$B$565,RUC!$M$3:$M$565)</f>
        <v>Evelyn</v>
      </c>
      <c r="AO67" s="131" t="s">
        <v>561</v>
      </c>
      <c r="AP67" s="2" t="s">
        <v>627</v>
      </c>
      <c r="AQ67" s="2" t="s">
        <v>628</v>
      </c>
      <c r="AS67" s="65">
        <f t="shared" si="14"/>
        <v>50.95254391</v>
      </c>
    </row>
    <row r="68" ht="15.0" customHeight="1">
      <c r="A68" s="116" t="s">
        <v>632</v>
      </c>
      <c r="B68" s="56">
        <v>45869.0</v>
      </c>
      <c r="C68" s="56">
        <v>45856.0</v>
      </c>
      <c r="D68" s="57" t="s">
        <v>295</v>
      </c>
      <c r="E68" s="57">
        <f t="array" ref="E68">XLOOKUP(D68,RUC!$B$3:$B$110,RUC!$D$3:$D$110)</f>
        <v>20601769396</v>
      </c>
      <c r="G68" s="3">
        <v>41.0</v>
      </c>
      <c r="H68" s="138" t="s">
        <v>71</v>
      </c>
      <c r="I68" s="57">
        <v>3.2</v>
      </c>
      <c r="J68" s="58">
        <v>12.05</v>
      </c>
      <c r="K68" s="59">
        <f t="shared" si="2"/>
        <v>2.8144</v>
      </c>
      <c r="L68" s="139">
        <v>0.198</v>
      </c>
      <c r="M68" s="60">
        <v>0.18</v>
      </c>
      <c r="N68" s="62">
        <v>0.18</v>
      </c>
      <c r="O68" s="60">
        <f t="shared" ref="O68:O101" si="39">+ROUND((M68+N68)/2,3)</f>
        <v>0.18</v>
      </c>
      <c r="P68" s="63">
        <v>90.0</v>
      </c>
      <c r="Q68" s="58">
        <v>96.55</v>
      </c>
      <c r="R68" s="65">
        <v>3355.1</v>
      </c>
      <c r="S68" s="66">
        <f t="shared" si="38"/>
        <v>100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4"/>
        <v>50</v>
      </c>
      <c r="AB68" s="71">
        <f t="shared" si="20"/>
        <v>412.3552183</v>
      </c>
      <c r="AC68" s="71">
        <f>+(S68-T68)*V68-'data 1'!$F$4</f>
        <v>30.23</v>
      </c>
      <c r="AD68" s="71">
        <f t="shared" si="6"/>
        <v>46.24811192</v>
      </c>
      <c r="AE68" s="71">
        <f t="shared" si="7"/>
        <v>-14.885</v>
      </c>
      <c r="AF68" s="71">
        <f t="shared" si="8"/>
        <v>61.97439564</v>
      </c>
      <c r="AG68" s="72">
        <f t="shared" si="37"/>
        <v>140.5675076</v>
      </c>
      <c r="AH68" s="52">
        <f t="shared" si="9"/>
        <v>18.44643134</v>
      </c>
      <c r="AI68" s="52">
        <f t="shared" si="10"/>
        <v>19.10557363</v>
      </c>
      <c r="AJ68" s="73">
        <f t="shared" si="11"/>
        <v>24.21237014</v>
      </c>
      <c r="AK68" s="106">
        <f t="shared" si="22"/>
        <v>15.63183297</v>
      </c>
      <c r="AL68" s="11"/>
      <c r="AM68" s="51">
        <f t="shared" si="13"/>
        <v>1160.532526</v>
      </c>
      <c r="AN68" s="51" t="str">
        <f t="array" ref="AN68">XLOOKUP(D68,RUC!$B$3:$B$565,RUC!$M$3:$M$565)</f>
        <v>Evelyn</v>
      </c>
      <c r="AO68" s="131" t="s">
        <v>561</v>
      </c>
      <c r="AP68" s="2" t="s">
        <v>627</v>
      </c>
      <c r="AQ68" s="2" t="s">
        <v>628</v>
      </c>
      <c r="AS68" s="65">
        <f t="shared" si="14"/>
        <v>441.989841</v>
      </c>
    </row>
    <row r="69" ht="15.0" customHeight="1">
      <c r="A69" s="116" t="s">
        <v>633</v>
      </c>
      <c r="B69" s="56">
        <v>45866.0</v>
      </c>
      <c r="C69" s="56">
        <v>45857.0</v>
      </c>
      <c r="D69" s="57" t="s">
        <v>295</v>
      </c>
      <c r="E69" s="57">
        <f t="array" ref="E69">XLOOKUP(D69,RUC!$B$3:$B$110,RUC!$D$3:$D$110)</f>
        <v>20601769396</v>
      </c>
      <c r="G69" s="3">
        <v>24.0</v>
      </c>
      <c r="H69" s="57" t="s">
        <v>47</v>
      </c>
      <c r="I69" s="57">
        <v>1.86</v>
      </c>
      <c r="J69" s="58">
        <v>2.3</v>
      </c>
      <c r="K69" s="59">
        <f t="shared" si="2"/>
        <v>1.81722</v>
      </c>
      <c r="L69" s="139">
        <v>0.323</v>
      </c>
      <c r="M69" s="60">
        <v>0.258</v>
      </c>
      <c r="N69" s="62">
        <v>0.258</v>
      </c>
      <c r="O69" s="60">
        <f t="shared" si="39"/>
        <v>0.258</v>
      </c>
      <c r="P69" s="63">
        <v>90.0</v>
      </c>
      <c r="Q69" s="58">
        <v>95.26</v>
      </c>
      <c r="R69" s="65">
        <v>3355.1</v>
      </c>
      <c r="S69" s="66">
        <f t="shared" si="38"/>
        <v>110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4"/>
        <v>50</v>
      </c>
      <c r="AB69" s="71">
        <f t="shared" si="20"/>
        <v>651.6689795</v>
      </c>
      <c r="AC69" s="71">
        <f>+(S69-T69)*V69-'data 1'!$F$4</f>
        <v>41.253</v>
      </c>
      <c r="AD69" s="71">
        <f t="shared" si="6"/>
        <v>60.58648869</v>
      </c>
      <c r="AE69" s="71">
        <f t="shared" si="7"/>
        <v>-14.885</v>
      </c>
      <c r="AF69" s="71">
        <f t="shared" si="8"/>
        <v>220.8062952</v>
      </c>
      <c r="AG69" s="72">
        <f t="shared" si="37"/>
        <v>324.7607838</v>
      </c>
      <c r="AH69" s="52">
        <f t="shared" si="9"/>
        <v>19.17033388</v>
      </c>
      <c r="AI69" s="52">
        <f t="shared" si="10"/>
        <v>20.124222</v>
      </c>
      <c r="AJ69" s="73">
        <f t="shared" si="11"/>
        <v>38.97022701</v>
      </c>
      <c r="AK69" s="106">
        <f t="shared" si="22"/>
        <v>14.46701036</v>
      </c>
      <c r="AL69" s="11"/>
      <c r="AM69" s="51">
        <f t="shared" si="13"/>
        <v>1184.225903</v>
      </c>
      <c r="AN69" s="51" t="str">
        <f t="array" ref="AN69">XLOOKUP(D69,RUC!$B$3:$B$565,RUC!$M$3:$M$565)</f>
        <v>Evelyn</v>
      </c>
      <c r="AO69" s="131" t="s">
        <v>549</v>
      </c>
      <c r="AP69" s="57" t="s">
        <v>634</v>
      </c>
      <c r="AQ69" s="57" t="s">
        <v>635</v>
      </c>
      <c r="AS69" s="65">
        <f t="shared" si="14"/>
        <v>628.4994298</v>
      </c>
    </row>
    <row r="70" ht="15.0" customHeight="1">
      <c r="A70" s="116" t="s">
        <v>636</v>
      </c>
      <c r="B70" s="56">
        <v>45866.0</v>
      </c>
      <c r="C70" s="56">
        <v>45857.0</v>
      </c>
      <c r="D70" s="57" t="s">
        <v>295</v>
      </c>
      <c r="E70" s="57">
        <f t="array" ref="E70">XLOOKUP(D70,RUC!$B$3:$B$110,RUC!$D$3:$D$110)</f>
        <v>20601769396</v>
      </c>
      <c r="G70" s="3">
        <v>40.0</v>
      </c>
      <c r="H70" s="57" t="s">
        <v>40</v>
      </c>
      <c r="I70" s="58">
        <v>3.08</v>
      </c>
      <c r="J70" s="58">
        <v>8.5</v>
      </c>
      <c r="K70" s="59">
        <f t="shared" si="2"/>
        <v>2.8182</v>
      </c>
      <c r="L70" s="139">
        <v>0.46</v>
      </c>
      <c r="M70" s="60">
        <v>0.423</v>
      </c>
      <c r="N70" s="62">
        <v>0.423</v>
      </c>
      <c r="O70" s="60">
        <f t="shared" si="39"/>
        <v>0.423</v>
      </c>
      <c r="P70" s="63">
        <v>90.0</v>
      </c>
      <c r="Q70" s="58">
        <v>94.35</v>
      </c>
      <c r="R70" s="65">
        <v>3355.1</v>
      </c>
      <c r="S70" s="66">
        <f t="shared" si="38"/>
        <v>130</v>
      </c>
      <c r="U70" s="67">
        <f t="array" ref="U70">XLOOKUP(D70,RUC!$B$3:$B$110,RUC!$F$3:$F$110)</f>
        <v>120</v>
      </c>
      <c r="V70" s="67">
        <v>1.1023</v>
      </c>
      <c r="Y70" s="57">
        <f t="array" ref="Y70">XLOOKUP(D70,RUC!$B$3:$B$110,RUC!$G$3:$G$110)</f>
        <v>20</v>
      </c>
      <c r="Z70" s="69">
        <f t="array" ref="Z70">XLOOKUP(D70,RUC!$B$3:$B$110,RUC!$H$3:$H$110)</f>
        <v>30</v>
      </c>
      <c r="AA70" s="70">
        <f t="shared" si="4"/>
        <v>50</v>
      </c>
      <c r="AB70" s="71">
        <f t="shared" si="20"/>
        <v>1159.181513</v>
      </c>
      <c r="AC70" s="71">
        <f>+(S70-T70)*V70-'data 1'!$F$4</f>
        <v>63.299</v>
      </c>
      <c r="AD70" s="71">
        <f t="shared" si="6"/>
        <v>71.35667511</v>
      </c>
      <c r="AE70" s="71">
        <f t="shared" si="7"/>
        <v>-14.885</v>
      </c>
      <c r="AF70" s="71">
        <f t="shared" si="8"/>
        <v>124.489048</v>
      </c>
      <c r="AG70" s="72">
        <f t="shared" si="37"/>
        <v>261.2597231</v>
      </c>
      <c r="AH70" s="52">
        <f t="shared" si="9"/>
        <v>41.93538321</v>
      </c>
      <c r="AI70" s="52">
        <f t="shared" si="10"/>
        <v>44.44661708</v>
      </c>
      <c r="AJ70" s="73">
        <f t="shared" si="11"/>
        <v>54.96921972</v>
      </c>
      <c r="AK70" s="106">
        <f t="shared" si="22"/>
        <v>36.78440679</v>
      </c>
      <c r="AL70" s="11"/>
      <c r="AM70" s="51">
        <f t="shared" si="13"/>
        <v>3266.80534</v>
      </c>
      <c r="AN70" s="51" t="str">
        <f t="array" ref="AN70">XLOOKUP(D70,RUC!$B$3:$B$565,RUC!$M$3:$M$565)</f>
        <v>Evelyn</v>
      </c>
      <c r="AO70" s="131" t="s">
        <v>549</v>
      </c>
      <c r="AP70" s="57" t="s">
        <v>634</v>
      </c>
      <c r="AQ70" s="57" t="s">
        <v>635</v>
      </c>
      <c r="AS70" s="65">
        <f t="shared" si="14"/>
        <v>852.4379468</v>
      </c>
    </row>
    <row r="71" ht="15.0" customHeight="1">
      <c r="A71" s="116" t="s">
        <v>637</v>
      </c>
      <c r="B71" s="56">
        <v>45866.0</v>
      </c>
      <c r="C71" s="56">
        <v>45857.0</v>
      </c>
      <c r="D71" s="57" t="s">
        <v>295</v>
      </c>
      <c r="E71" s="57">
        <f t="array" ref="E71">XLOOKUP(D71,RUC!$B$3:$B$110,RUC!$D$3:$D$110)</f>
        <v>20601769396</v>
      </c>
      <c r="G71" s="3">
        <v>41.0</v>
      </c>
      <c r="H71" s="57" t="s">
        <v>40</v>
      </c>
      <c r="I71" s="58">
        <v>3.23</v>
      </c>
      <c r="J71" s="58">
        <v>7.5</v>
      </c>
      <c r="K71" s="59">
        <f t="shared" si="2"/>
        <v>2.98775</v>
      </c>
      <c r="L71" s="139">
        <v>0.347</v>
      </c>
      <c r="M71" s="60">
        <v>0.326</v>
      </c>
      <c r="N71" s="62">
        <v>0.326</v>
      </c>
      <c r="O71" s="60">
        <f t="shared" si="39"/>
        <v>0.326</v>
      </c>
      <c r="P71" s="63">
        <v>90.0</v>
      </c>
      <c r="Q71" s="58">
        <v>94.27</v>
      </c>
      <c r="R71" s="65">
        <v>3355.1</v>
      </c>
      <c r="S71" s="66">
        <f t="shared" si="38"/>
        <v>120</v>
      </c>
      <c r="U71" s="67">
        <f t="array" ref="U71">XLOOKUP(D71,RUC!$B$3:$B$110,RUC!$F$3:$F$110)</f>
        <v>120</v>
      </c>
      <c r="V71" s="67">
        <v>1.1023</v>
      </c>
      <c r="Y71" s="57">
        <f t="array" ref="Y71">XLOOKUP(D71,RUC!$B$3:$B$110,RUC!$G$3:$G$110)</f>
        <v>20</v>
      </c>
      <c r="Z71" s="69">
        <f t="array" ref="Z71">XLOOKUP(D71,RUC!$B$3:$B$110,RUC!$H$3:$H$110)</f>
        <v>30</v>
      </c>
      <c r="AA71" s="70">
        <f t="shared" si="4"/>
        <v>50</v>
      </c>
      <c r="AB71" s="71">
        <f t="shared" si="20"/>
        <v>858.8882842</v>
      </c>
      <c r="AC71" s="71">
        <f>+(S71-T71)*V71-'data 1'!$F$4</f>
        <v>52.276</v>
      </c>
      <c r="AD71" s="71">
        <f t="shared" si="6"/>
        <v>52.83781706</v>
      </c>
      <c r="AE71" s="71">
        <f t="shared" si="7"/>
        <v>-14.885</v>
      </c>
      <c r="AF71" s="71">
        <f t="shared" si="8"/>
        <v>70.59603649</v>
      </c>
      <c r="AG71" s="72">
        <f t="shared" si="37"/>
        <v>177.8248535</v>
      </c>
      <c r="AH71" s="52">
        <f t="shared" si="9"/>
        <v>33.50860177</v>
      </c>
      <c r="AI71" s="52">
        <f t="shared" si="10"/>
        <v>35.54535035</v>
      </c>
      <c r="AJ71" s="73">
        <f t="shared" si="11"/>
        <v>41.43075217</v>
      </c>
      <c r="AK71" s="106">
        <f t="shared" si="22"/>
        <v>30.05477173</v>
      </c>
      <c r="AL71" s="11"/>
      <c r="AM71" s="51">
        <f t="shared" si="13"/>
        <v>2566.143471</v>
      </c>
      <c r="AN71" s="51" t="str">
        <f t="array" ref="AN71">XLOOKUP(D71,RUC!$B$3:$B$565,RUC!$M$3:$M$565)</f>
        <v>Evelyn</v>
      </c>
      <c r="AO71" s="131" t="s">
        <v>549</v>
      </c>
      <c r="AP71" s="57" t="s">
        <v>634</v>
      </c>
      <c r="AQ71" s="57" t="s">
        <v>635</v>
      </c>
      <c r="AS71" s="65">
        <f t="shared" si="14"/>
        <v>627.481868</v>
      </c>
    </row>
    <row r="72" ht="15.0" customHeight="1">
      <c r="A72" s="116" t="s">
        <v>638</v>
      </c>
      <c r="B72" s="56">
        <v>45869.0</v>
      </c>
      <c r="C72" s="56">
        <v>45857.0</v>
      </c>
      <c r="D72" s="57" t="s">
        <v>295</v>
      </c>
      <c r="E72" s="57">
        <f t="array" ref="E72">XLOOKUP(D72,RUC!$B$3:$B$110,RUC!$D$3:$D$110)</f>
        <v>20601769396</v>
      </c>
      <c r="G72" s="3">
        <v>30.0</v>
      </c>
      <c r="H72" s="57" t="s">
        <v>40</v>
      </c>
      <c r="I72" s="58">
        <v>3.02</v>
      </c>
      <c r="J72" s="58">
        <v>5.9</v>
      </c>
      <c r="K72" s="59">
        <f t="shared" si="2"/>
        <v>2.84182</v>
      </c>
      <c r="L72" s="139">
        <v>0.351</v>
      </c>
      <c r="M72" s="60">
        <v>0.33</v>
      </c>
      <c r="N72" s="62">
        <v>0.33</v>
      </c>
      <c r="O72" s="60">
        <f t="shared" si="39"/>
        <v>0.33</v>
      </c>
      <c r="P72" s="63">
        <v>90.0</v>
      </c>
      <c r="Q72" s="58">
        <v>91.74</v>
      </c>
      <c r="R72" s="65">
        <v>3355.1</v>
      </c>
      <c r="S72" s="66">
        <f t="shared" si="38"/>
        <v>120</v>
      </c>
      <c r="U72" s="67">
        <f t="array" ref="U72">XLOOKUP(D72,RUC!$B$3:$B$110,RUC!$F$3:$F$110)</f>
        <v>120</v>
      </c>
      <c r="V72" s="67">
        <v>1.1023</v>
      </c>
      <c r="Y72" s="57">
        <f t="array" ref="Y72">XLOOKUP(D72,RUC!$B$3:$B$110,RUC!$G$3:$G$110)</f>
        <v>20</v>
      </c>
      <c r="Z72" s="69">
        <f t="array" ref="Z72">XLOOKUP(D72,RUC!$B$3:$B$110,RUC!$H$3:$H$110)</f>
        <v>30</v>
      </c>
      <c r="AA72" s="70">
        <f t="shared" si="4"/>
        <v>50</v>
      </c>
      <c r="AB72" s="71">
        <f t="shared" si="20"/>
        <v>871.7260668</v>
      </c>
      <c r="AC72" s="71">
        <f>+(S72-T72)*V72-'data 1'!$F$4</f>
        <v>52.276</v>
      </c>
      <c r="AD72" s="71">
        <f t="shared" si="6"/>
        <v>21.77929823</v>
      </c>
      <c r="AE72" s="71">
        <f t="shared" si="7"/>
        <v>-14.885</v>
      </c>
      <c r="AF72" s="71">
        <f t="shared" si="8"/>
        <v>68.70139373</v>
      </c>
      <c r="AG72" s="72">
        <f t="shared" si="37"/>
        <v>144.871692</v>
      </c>
      <c r="AH72" s="52">
        <f t="shared" si="9"/>
        <v>31.37411528</v>
      </c>
      <c r="AI72" s="52">
        <f t="shared" si="10"/>
        <v>34.19894842</v>
      </c>
      <c r="AJ72" s="73">
        <f t="shared" si="11"/>
        <v>40.78361218</v>
      </c>
      <c r="AK72" s="106">
        <f t="shared" si="22"/>
        <v>28.93757174</v>
      </c>
      <c r="AL72" s="11"/>
      <c r="AM72" s="51">
        <f t="shared" si="13"/>
        <v>2477.288571</v>
      </c>
      <c r="AN72" s="51" t="str">
        <f t="array" ref="AN72">XLOOKUP(D72,RUC!$B$3:$B$565,RUC!$M$3:$M$565)</f>
        <v>Evelyn</v>
      </c>
      <c r="AO72" s="131" t="s">
        <v>549</v>
      </c>
      <c r="AP72" s="57" t="s">
        <v>634</v>
      </c>
      <c r="AQ72" s="57" t="s">
        <v>635</v>
      </c>
      <c r="AS72" s="65">
        <f t="shared" si="14"/>
        <v>507.0002327</v>
      </c>
    </row>
    <row r="73" ht="15.0" customHeight="1">
      <c r="A73" s="116" t="s">
        <v>639</v>
      </c>
      <c r="B73" s="56">
        <v>45869.0</v>
      </c>
      <c r="C73" s="56">
        <v>45857.0</v>
      </c>
      <c r="D73" s="57" t="s">
        <v>295</v>
      </c>
      <c r="E73" s="57">
        <f t="array" ref="E73">XLOOKUP(D73,RUC!$B$3:$B$110,RUC!$D$3:$D$110)</f>
        <v>20601769396</v>
      </c>
      <c r="G73" s="3">
        <v>30.0</v>
      </c>
      <c r="H73" s="57" t="s">
        <v>40</v>
      </c>
      <c r="I73" s="58">
        <v>2.98</v>
      </c>
      <c r="J73" s="58">
        <v>6.8</v>
      </c>
      <c r="K73" s="59">
        <f t="shared" si="2"/>
        <v>2.77736</v>
      </c>
      <c r="L73" s="139">
        <v>0.31</v>
      </c>
      <c r="M73" s="60">
        <v>0.256</v>
      </c>
      <c r="N73" s="62">
        <v>0.256</v>
      </c>
      <c r="O73" s="60">
        <f t="shared" si="39"/>
        <v>0.256</v>
      </c>
      <c r="P73" s="63">
        <v>89.0</v>
      </c>
      <c r="Q73" s="140">
        <v>89.64</v>
      </c>
      <c r="R73" s="65">
        <v>3355.1</v>
      </c>
      <c r="S73" s="66">
        <f t="shared" si="38"/>
        <v>110</v>
      </c>
      <c r="U73" s="67">
        <f t="array" ref="U73">XLOOKUP(D73,RUC!$B$3:$B$110,RUC!$F$3:$F$110)</f>
        <v>120</v>
      </c>
      <c r="V73" s="67">
        <v>1.1023</v>
      </c>
      <c r="Y73" s="57">
        <f t="array" ref="Y73">XLOOKUP(D73,RUC!$B$3:$B$110,RUC!$G$3:$G$110)</f>
        <v>20</v>
      </c>
      <c r="Z73" s="69">
        <f t="array" ref="Z73">XLOOKUP(D73,RUC!$B$3:$B$110,RUC!$H$3:$H$110)</f>
        <v>30</v>
      </c>
      <c r="AA73" s="70">
        <f t="shared" si="4"/>
        <v>50</v>
      </c>
      <c r="AB73" s="71">
        <f t="shared" si="20"/>
        <v>636.1209983</v>
      </c>
      <c r="AC73" s="71">
        <f>+(S73-T73)*V73-'data 1'!$F$4</f>
        <v>41.253</v>
      </c>
      <c r="AD73" s="71">
        <f t="shared" si="6"/>
        <v>7.075044648</v>
      </c>
      <c r="AE73" s="71">
        <f t="shared" si="7"/>
        <v>-14.885</v>
      </c>
      <c r="AF73" s="71">
        <f t="shared" si="8"/>
        <v>172.6168252</v>
      </c>
      <c r="AG73" s="72">
        <f t="shared" si="37"/>
        <v>223.0598699</v>
      </c>
      <c r="AH73" s="52">
        <f t="shared" si="9"/>
        <v>26.46091072</v>
      </c>
      <c r="AI73" s="52">
        <f t="shared" si="10"/>
        <v>29.51908826</v>
      </c>
      <c r="AJ73" s="73">
        <f t="shared" si="11"/>
        <v>35.19519516</v>
      </c>
      <c r="AK73" s="106">
        <f t="shared" si="22"/>
        <v>21.69557764</v>
      </c>
      <c r="AL73" s="11"/>
      <c r="AM73" s="51">
        <f t="shared" si="13"/>
        <v>1766.737016</v>
      </c>
      <c r="AN73" s="51" t="str">
        <f t="array" ref="AN73">XLOOKUP(D73,RUC!$B$3:$B$565,RUC!$M$3:$M$565)</f>
        <v>Evelyn</v>
      </c>
      <c r="AO73" s="131" t="s">
        <v>549</v>
      </c>
      <c r="AP73" s="57" t="s">
        <v>634</v>
      </c>
      <c r="AQ73" s="57" t="s">
        <v>635</v>
      </c>
      <c r="AS73" s="65">
        <f t="shared" si="14"/>
        <v>699.5945421</v>
      </c>
    </row>
    <row r="74" ht="15.0" customHeight="1">
      <c r="A74" s="116" t="s">
        <v>640</v>
      </c>
      <c r="B74" s="56">
        <v>45869.0</v>
      </c>
      <c r="C74" s="56">
        <v>45857.0</v>
      </c>
      <c r="D74" s="57" t="s">
        <v>295</v>
      </c>
      <c r="E74" s="57">
        <f t="array" ref="E74">XLOOKUP(D74,RUC!$B$3:$B$110,RUC!$D$3:$D$110)</f>
        <v>20601769396</v>
      </c>
      <c r="G74" s="3">
        <v>30.0</v>
      </c>
      <c r="H74" s="57" t="s">
        <v>40</v>
      </c>
      <c r="I74" s="58">
        <v>2.94</v>
      </c>
      <c r="J74" s="58">
        <v>7.55</v>
      </c>
      <c r="K74" s="59">
        <f t="shared" si="2"/>
        <v>2.71803</v>
      </c>
      <c r="L74" s="139">
        <v>0.204</v>
      </c>
      <c r="M74" s="60">
        <v>0.184</v>
      </c>
      <c r="N74" s="62">
        <v>0.184</v>
      </c>
      <c r="O74" s="60">
        <f t="shared" si="39"/>
        <v>0.184</v>
      </c>
      <c r="P74" s="63">
        <v>89.0</v>
      </c>
      <c r="Q74" s="140">
        <v>89.47</v>
      </c>
      <c r="R74" s="65">
        <v>3355.1</v>
      </c>
      <c r="S74" s="66">
        <f t="shared" si="38"/>
        <v>100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69">
        <f t="array" ref="Z74">XLOOKUP(D74,RUC!$B$3:$B$110,RUC!$H$3:$H$110)</f>
        <v>30</v>
      </c>
      <c r="AA74" s="70">
        <f t="shared" si="4"/>
        <v>50</v>
      </c>
      <c r="AB74" s="71">
        <f t="shared" si="20"/>
        <v>418.6314675</v>
      </c>
      <c r="AC74" s="71">
        <f>+(S74-T74)*V74-'data 1'!$F$4</f>
        <v>30.23</v>
      </c>
      <c r="AD74" s="71">
        <f t="shared" si="6"/>
        <v>3.41912944</v>
      </c>
      <c r="AE74" s="71">
        <f t="shared" si="7"/>
        <v>-14.885</v>
      </c>
      <c r="AF74" s="71">
        <f t="shared" si="8"/>
        <v>63.81091176</v>
      </c>
      <c r="AG74" s="72">
        <f t="shared" si="37"/>
        <v>99.5750412</v>
      </c>
      <c r="AH74" s="52">
        <f t="shared" si="9"/>
        <v>17.00869212</v>
      </c>
      <c r="AI74" s="52">
        <f t="shared" si="10"/>
        <v>19.01049751</v>
      </c>
      <c r="AJ74" s="73">
        <f t="shared" si="11"/>
        <v>23.11678538</v>
      </c>
      <c r="AK74" s="106">
        <f t="shared" si="22"/>
        <v>15.26058369</v>
      </c>
      <c r="AL74" s="11"/>
      <c r="AM74" s="51">
        <f t="shared" si="13"/>
        <v>1137.852888</v>
      </c>
      <c r="AN74" s="51" t="str">
        <f t="array" ref="AN74">XLOOKUP(D74,RUC!$B$3:$B$565,RUC!$M$3:$M$565)</f>
        <v>Evelyn</v>
      </c>
      <c r="AO74" s="131" t="s">
        <v>549</v>
      </c>
      <c r="AP74" s="57" t="s">
        <v>634</v>
      </c>
      <c r="AQ74" s="57" t="s">
        <v>635</v>
      </c>
      <c r="AS74" s="65">
        <f t="shared" si="14"/>
        <v>323.4093587</v>
      </c>
    </row>
    <row r="75" ht="15.0" customHeight="1">
      <c r="A75" s="116" t="s">
        <v>641</v>
      </c>
      <c r="B75" s="56">
        <v>45869.0</v>
      </c>
      <c r="C75" s="56">
        <v>45857.0</v>
      </c>
      <c r="D75" s="57" t="s">
        <v>295</v>
      </c>
      <c r="E75" s="57">
        <f t="array" ref="E75">XLOOKUP(D75,RUC!$B$3:$B$110,RUC!$D$3:$D$110)</f>
        <v>20601769396</v>
      </c>
      <c r="G75" s="3">
        <v>30.0</v>
      </c>
      <c r="H75" s="57" t="s">
        <v>40</v>
      </c>
      <c r="I75" s="58">
        <v>2.94</v>
      </c>
      <c r="J75" s="58">
        <v>7.55</v>
      </c>
      <c r="K75" s="59">
        <f t="shared" si="2"/>
        <v>2.71803</v>
      </c>
      <c r="L75" s="139">
        <v>0.193</v>
      </c>
      <c r="M75" s="60">
        <v>0.178</v>
      </c>
      <c r="N75" s="62">
        <v>0.178</v>
      </c>
      <c r="O75" s="60">
        <f t="shared" si="39"/>
        <v>0.178</v>
      </c>
      <c r="P75" s="63">
        <v>90.0</v>
      </c>
      <c r="Q75" s="58">
        <v>90.27</v>
      </c>
      <c r="R75" s="65">
        <v>3355.1</v>
      </c>
      <c r="S75" s="66">
        <f t="shared" si="38"/>
        <v>100</v>
      </c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69">
        <f t="array" ref="Z75">XLOOKUP(D75,RUC!$B$3:$B$110,RUC!$H$3:$H$110)</f>
        <v>30</v>
      </c>
      <c r="AA75" s="70">
        <f t="shared" si="4"/>
        <v>50</v>
      </c>
      <c r="AB75" s="71">
        <f t="shared" si="20"/>
        <v>405.9363269</v>
      </c>
      <c r="AC75" s="71">
        <f>+(S75-T75)*V75-'data 1'!$F$4</f>
        <v>30.23</v>
      </c>
      <c r="AD75" s="71">
        <f t="shared" si="6"/>
        <v>1.858269035</v>
      </c>
      <c r="AE75" s="71">
        <f t="shared" si="7"/>
        <v>-14.885</v>
      </c>
      <c r="AF75" s="71">
        <f t="shared" si="8"/>
        <v>48.28610991</v>
      </c>
      <c r="AG75" s="72">
        <f t="shared" si="37"/>
        <v>82.48937894</v>
      </c>
      <c r="AH75" s="52">
        <f t="shared" si="9"/>
        <v>16.23544014</v>
      </c>
      <c r="AI75" s="52">
        <f t="shared" si="10"/>
        <v>17.98542166</v>
      </c>
      <c r="AJ75" s="73">
        <f t="shared" si="11"/>
        <v>22.06584624</v>
      </c>
      <c r="AK75" s="106">
        <f t="shared" si="22"/>
        <v>14.92883187</v>
      </c>
      <c r="AL75" s="11"/>
      <c r="AM75" s="51">
        <f t="shared" si="13"/>
        <v>1103.347115</v>
      </c>
      <c r="AN75" s="51" t="str">
        <f t="array" ref="AN75">XLOOKUP(D75,RUC!$B$3:$B$565,RUC!$M$3:$M$565)</f>
        <v>Evelyn</v>
      </c>
      <c r="AO75" s="131" t="s">
        <v>549</v>
      </c>
      <c r="AP75" s="57" t="s">
        <v>634</v>
      </c>
      <c r="AQ75" s="57" t="s">
        <v>635</v>
      </c>
      <c r="AS75" s="65">
        <f t="shared" si="14"/>
        <v>275.0485031</v>
      </c>
    </row>
    <row r="76" ht="15.0" customHeight="1">
      <c r="A76" s="116" t="s">
        <v>642</v>
      </c>
      <c r="B76" s="56">
        <v>45869.0</v>
      </c>
      <c r="C76" s="56">
        <v>45857.0</v>
      </c>
      <c r="D76" s="57" t="s">
        <v>295</v>
      </c>
      <c r="E76" s="57">
        <f t="array" ref="E76">XLOOKUP(D76,RUC!$B$3:$B$110,RUC!$D$3:$D$110)</f>
        <v>20601769396</v>
      </c>
      <c r="G76" s="3">
        <v>30.0</v>
      </c>
      <c r="H76" s="57" t="s">
        <v>40</v>
      </c>
      <c r="I76" s="58">
        <v>2.27</v>
      </c>
      <c r="J76" s="58">
        <v>12.45</v>
      </c>
      <c r="K76" s="59">
        <f t="shared" si="2"/>
        <v>1.987385</v>
      </c>
      <c r="L76" s="139">
        <v>0.256</v>
      </c>
      <c r="M76" s="60">
        <v>0.23</v>
      </c>
      <c r="N76" s="62">
        <v>0.23</v>
      </c>
      <c r="O76" s="60">
        <f t="shared" si="39"/>
        <v>0.23</v>
      </c>
      <c r="P76" s="63">
        <v>90.0</v>
      </c>
      <c r="Q76" s="58">
        <v>92.19</v>
      </c>
      <c r="R76" s="65">
        <v>3355.1</v>
      </c>
      <c r="S76" s="66">
        <f t="shared" si="38"/>
        <v>110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69">
        <f t="array" ref="Z76">XLOOKUP(D76,RUC!$B$3:$B$110,RUC!$H$3:$H$110)</f>
        <v>30</v>
      </c>
      <c r="AA76" s="70">
        <f t="shared" si="4"/>
        <v>50</v>
      </c>
      <c r="AB76" s="71">
        <f t="shared" si="20"/>
        <v>561.8045011</v>
      </c>
      <c r="AC76" s="71">
        <f>+(S76-T76)*V76-'data 1'!$F$4</f>
        <v>41.253</v>
      </c>
      <c r="AD76" s="71">
        <f t="shared" si="6"/>
        <v>19.99270681</v>
      </c>
      <c r="AE76" s="71">
        <f t="shared" si="7"/>
        <v>-14.885</v>
      </c>
      <c r="AF76" s="71">
        <f t="shared" si="8"/>
        <v>85.47609637</v>
      </c>
      <c r="AG76" s="72">
        <f t="shared" si="37"/>
        <v>148.8368032</v>
      </c>
      <c r="AH76" s="52">
        <f t="shared" si="9"/>
        <v>16.08106684</v>
      </c>
      <c r="AI76" s="52">
        <f t="shared" si="10"/>
        <v>17.44339608</v>
      </c>
      <c r="AJ76" s="73">
        <f t="shared" si="11"/>
        <v>29.89121831</v>
      </c>
      <c r="AK76" s="106">
        <f t="shared" si="22"/>
        <v>14.10462105</v>
      </c>
      <c r="AL76" s="11"/>
      <c r="AM76" s="51">
        <f t="shared" si="13"/>
        <v>1116.521838</v>
      </c>
      <c r="AN76" s="51" t="str">
        <f t="array" ref="AN76">XLOOKUP(D76,RUC!$B$3:$B$565,RUC!$M$3:$M$565)</f>
        <v>Evelyn</v>
      </c>
      <c r="AO76" s="131" t="s">
        <v>549</v>
      </c>
      <c r="AP76" s="57" t="s">
        <v>634</v>
      </c>
      <c r="AQ76" s="57" t="s">
        <v>635</v>
      </c>
      <c r="AS76" s="65">
        <f t="shared" si="14"/>
        <v>342.5059351</v>
      </c>
    </row>
    <row r="77" ht="15.0" customHeight="1">
      <c r="A77" s="116" t="s">
        <v>643</v>
      </c>
      <c r="B77" s="56">
        <v>45869.0</v>
      </c>
      <c r="C77" s="56">
        <v>45857.0</v>
      </c>
      <c r="D77" s="57" t="s">
        <v>295</v>
      </c>
      <c r="E77" s="57">
        <f t="array" ref="E77">XLOOKUP(D77,RUC!$B$3:$B$110,RUC!$D$3:$D$110)</f>
        <v>20601769396</v>
      </c>
      <c r="G77" s="3">
        <v>30.0</v>
      </c>
      <c r="H77" s="57" t="s">
        <v>40</v>
      </c>
      <c r="I77" s="58">
        <v>2.28</v>
      </c>
      <c r="J77" s="58">
        <v>13.05</v>
      </c>
      <c r="K77" s="59">
        <f t="shared" si="2"/>
        <v>1.98246</v>
      </c>
      <c r="L77" s="139">
        <v>0.221</v>
      </c>
      <c r="M77" s="60">
        <v>0.203</v>
      </c>
      <c r="N77" s="62">
        <v>0.203</v>
      </c>
      <c r="O77" s="60">
        <f t="shared" si="39"/>
        <v>0.203</v>
      </c>
      <c r="P77" s="63">
        <v>90.0</v>
      </c>
      <c r="Q77" s="58">
        <v>90.05</v>
      </c>
      <c r="R77" s="65">
        <v>3355.1</v>
      </c>
      <c r="S77" s="66">
        <f t="shared" si="38"/>
        <v>110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69">
        <f t="array" ref="Z77">XLOOKUP(D77,RUC!$B$3:$B$110,RUC!$H$3:$H$110)</f>
        <v>30</v>
      </c>
      <c r="AA77" s="70">
        <f t="shared" si="4"/>
        <v>50</v>
      </c>
      <c r="AB77" s="71">
        <f t="shared" si="20"/>
        <v>475.1494684</v>
      </c>
      <c r="AC77" s="71">
        <f>+(S77-T77)*V77-'data 1'!$F$4</f>
        <v>41.253</v>
      </c>
      <c r="AD77" s="71">
        <f t="shared" si="6"/>
        <v>0.3940486057</v>
      </c>
      <c r="AE77" s="71">
        <f t="shared" si="7"/>
        <v>-14.885</v>
      </c>
      <c r="AF77" s="71">
        <f t="shared" si="8"/>
        <v>57.80211628</v>
      </c>
      <c r="AG77" s="72">
        <f t="shared" si="37"/>
        <v>101.5641649</v>
      </c>
      <c r="AH77" s="52">
        <f t="shared" si="9"/>
        <v>13.52662635</v>
      </c>
      <c r="AI77" s="52">
        <f t="shared" si="10"/>
        <v>15.0212397</v>
      </c>
      <c r="AJ77" s="73">
        <f t="shared" si="11"/>
        <v>25.2055296</v>
      </c>
      <c r="AK77" s="106">
        <f t="shared" si="22"/>
        <v>12.41801128</v>
      </c>
      <c r="AL77" s="11"/>
      <c r="AM77" s="51">
        <f t="shared" si="13"/>
        <v>941.9648151</v>
      </c>
      <c r="AN77" s="51" t="str">
        <f t="array" ref="AN77">XLOOKUP(D77,RUC!$B$3:$B$565,RUC!$M$3:$M$565)</f>
        <v>Evelyn</v>
      </c>
      <c r="AO77" s="131" t="s">
        <v>549</v>
      </c>
      <c r="AP77" s="57" t="s">
        <v>634</v>
      </c>
      <c r="AQ77" s="57" t="s">
        <v>635</v>
      </c>
      <c r="AS77" s="65">
        <f t="shared" si="14"/>
        <v>243.9678015</v>
      </c>
    </row>
    <row r="78" ht="15.0" customHeight="1">
      <c r="A78" s="116" t="s">
        <v>644</v>
      </c>
      <c r="B78" s="56">
        <v>45869.0</v>
      </c>
      <c r="C78" s="56">
        <v>45857.0</v>
      </c>
      <c r="D78" s="57" t="s">
        <v>295</v>
      </c>
      <c r="E78" s="57">
        <f t="array" ref="E78">XLOOKUP(D78,RUC!$B$3:$B$110,RUC!$D$3:$D$110)</f>
        <v>20601769396</v>
      </c>
      <c r="G78" s="3">
        <v>30.0</v>
      </c>
      <c r="H78" s="57" t="s">
        <v>40</v>
      </c>
      <c r="I78" s="58">
        <v>2.3</v>
      </c>
      <c r="J78" s="58">
        <v>13.5</v>
      </c>
      <c r="K78" s="59">
        <f t="shared" si="2"/>
        <v>1.9895</v>
      </c>
      <c r="L78" s="139">
        <v>0.337</v>
      </c>
      <c r="M78" s="60">
        <v>0.317</v>
      </c>
      <c r="N78" s="62">
        <v>0.317</v>
      </c>
      <c r="O78" s="60">
        <f t="shared" si="39"/>
        <v>0.317</v>
      </c>
      <c r="P78" s="63">
        <v>90.0</v>
      </c>
      <c r="Q78" s="58">
        <v>92.75</v>
      </c>
      <c r="R78" s="65">
        <v>3355.1</v>
      </c>
      <c r="S78" s="66">
        <f t="shared" si="38"/>
        <v>120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69">
        <f t="array" ref="Z78">XLOOKUP(D78,RUC!$B$3:$B$110,RUC!$H$3:$H$110)</f>
        <v>30</v>
      </c>
      <c r="AA78" s="70">
        <f t="shared" si="4"/>
        <v>50</v>
      </c>
      <c r="AB78" s="71">
        <f t="shared" si="20"/>
        <v>830.0032733</v>
      </c>
      <c r="AC78" s="71">
        <f>+(S78-T78)*V78-'data 1'!$F$4</f>
        <v>52.276</v>
      </c>
      <c r="AD78" s="71">
        <f t="shared" si="6"/>
        <v>33.04837514</v>
      </c>
      <c r="AE78" s="71">
        <f t="shared" si="7"/>
        <v>-14.885</v>
      </c>
      <c r="AF78" s="71">
        <f t="shared" si="8"/>
        <v>66.15024104</v>
      </c>
      <c r="AG78" s="72">
        <f t="shared" si="37"/>
        <v>153.5896162</v>
      </c>
      <c r="AH78" s="52">
        <f t="shared" si="9"/>
        <v>21.32047283</v>
      </c>
      <c r="AI78" s="52">
        <f t="shared" si="10"/>
        <v>22.9870327</v>
      </c>
      <c r="AJ78" s="73">
        <f t="shared" si="11"/>
        <v>39.58800854</v>
      </c>
      <c r="AK78" s="106">
        <f t="shared" si="22"/>
        <v>19.4605354</v>
      </c>
      <c r="AL78" s="11"/>
      <c r="AM78" s="51">
        <f t="shared" si="13"/>
        <v>1651.291512</v>
      </c>
      <c r="AN78" s="51" t="str">
        <f t="array" ref="AN78">XLOOKUP(D78,RUC!$B$3:$B$565,RUC!$M$3:$M$565)</f>
        <v>Evelyn</v>
      </c>
      <c r="AO78" s="131" t="s">
        <v>549</v>
      </c>
      <c r="AP78" s="57" t="s">
        <v>634</v>
      </c>
      <c r="AQ78" s="57" t="s">
        <v>635</v>
      </c>
      <c r="AS78" s="65">
        <f t="shared" si="14"/>
        <v>368.9432233</v>
      </c>
    </row>
    <row r="79" ht="15.0" customHeight="1">
      <c r="A79" s="116" t="s">
        <v>645</v>
      </c>
      <c r="B79" s="56">
        <v>45869.0</v>
      </c>
      <c r="C79" s="56">
        <v>45857.0</v>
      </c>
      <c r="D79" s="57" t="s">
        <v>295</v>
      </c>
      <c r="E79" s="57">
        <f t="array" ref="E79">XLOOKUP(D79,RUC!$B$3:$B$110,RUC!$D$3:$D$110)</f>
        <v>20601769396</v>
      </c>
      <c r="G79" s="3">
        <v>30.0</v>
      </c>
      <c r="H79" s="57" t="s">
        <v>40</v>
      </c>
      <c r="I79" s="58">
        <v>2.4</v>
      </c>
      <c r="J79" s="58">
        <v>12.35</v>
      </c>
      <c r="K79" s="59">
        <f t="shared" si="2"/>
        <v>2.1036</v>
      </c>
      <c r="L79" s="139">
        <v>0.239</v>
      </c>
      <c r="M79" s="60">
        <v>0.215</v>
      </c>
      <c r="N79" s="62">
        <v>0.215</v>
      </c>
      <c r="O79" s="60">
        <f t="shared" si="39"/>
        <v>0.215</v>
      </c>
      <c r="P79" s="63">
        <v>90.0</v>
      </c>
      <c r="Q79" s="58">
        <v>93.72</v>
      </c>
      <c r="R79" s="65">
        <v>3355.1</v>
      </c>
      <c r="S79" s="66">
        <f t="shared" si="38"/>
        <v>110</v>
      </c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69">
        <f t="array" ref="Z79">XLOOKUP(D79,RUC!$B$3:$B$110,RUC!$H$3:$H$110)</f>
        <v>30</v>
      </c>
      <c r="AA79" s="70">
        <f t="shared" si="4"/>
        <v>50</v>
      </c>
      <c r="AB79" s="71">
        <f t="shared" si="20"/>
        <v>513.6628163</v>
      </c>
      <c r="AC79" s="71">
        <f>+(S79-T79)*V79-'data 1'!$F$4</f>
        <v>41.253</v>
      </c>
      <c r="AD79" s="71">
        <f t="shared" si="6"/>
        <v>31.70504383</v>
      </c>
      <c r="AE79" s="71">
        <f t="shared" si="7"/>
        <v>-14.885</v>
      </c>
      <c r="AF79" s="71">
        <f t="shared" si="8"/>
        <v>80.21046586</v>
      </c>
      <c r="AG79" s="72">
        <f t="shared" si="37"/>
        <v>155.2835097</v>
      </c>
      <c r="AH79" s="52">
        <f t="shared" si="9"/>
        <v>16.15483075</v>
      </c>
      <c r="AI79" s="52">
        <f t="shared" si="10"/>
        <v>17.23733541</v>
      </c>
      <c r="AJ79" s="73">
        <f t="shared" si="11"/>
        <v>28.36939126</v>
      </c>
      <c r="AK79" s="106">
        <f t="shared" si="22"/>
        <v>13.95575064</v>
      </c>
      <c r="AL79" s="11"/>
      <c r="AM79" s="51">
        <f t="shared" si="13"/>
        <v>1080.5411</v>
      </c>
      <c r="AN79" s="51" t="str">
        <f t="array" ref="AN79">XLOOKUP(D79,RUC!$B$3:$B$565,RUC!$M$3:$M$565)</f>
        <v>Evelyn</v>
      </c>
      <c r="AO79" s="131" t="s">
        <v>549</v>
      </c>
      <c r="AP79" s="57" t="s">
        <v>634</v>
      </c>
      <c r="AQ79" s="57" t="s">
        <v>635</v>
      </c>
      <c r="AS79" s="65">
        <f t="shared" si="14"/>
        <v>370.9350899</v>
      </c>
    </row>
    <row r="80" ht="15.0" customHeight="1">
      <c r="A80" s="116" t="s">
        <v>646</v>
      </c>
      <c r="B80" s="56">
        <v>45869.0</v>
      </c>
      <c r="C80" s="56">
        <v>45857.0</v>
      </c>
      <c r="D80" s="57" t="s">
        <v>295</v>
      </c>
      <c r="E80" s="57">
        <f t="array" ref="E80">XLOOKUP(D80,RUC!$B$3:$B$110,RUC!$D$3:$D$110)</f>
        <v>20601769396</v>
      </c>
      <c r="G80" s="3">
        <v>30.0</v>
      </c>
      <c r="H80" s="57" t="s">
        <v>40</v>
      </c>
      <c r="I80" s="58">
        <v>2.49</v>
      </c>
      <c r="J80" s="58">
        <v>6.25</v>
      </c>
      <c r="K80" s="59">
        <f t="shared" si="2"/>
        <v>2.334375</v>
      </c>
      <c r="L80" s="139">
        <v>0.165</v>
      </c>
      <c r="M80" s="60">
        <v>0.149</v>
      </c>
      <c r="N80" s="62">
        <v>0.149</v>
      </c>
      <c r="O80" s="60">
        <f t="shared" si="39"/>
        <v>0.149</v>
      </c>
      <c r="P80" s="63">
        <v>85.0</v>
      </c>
      <c r="Q80" s="58">
        <v>94.55</v>
      </c>
      <c r="R80" s="65">
        <v>3355.1</v>
      </c>
      <c r="S80" s="66">
        <f t="shared" si="38"/>
        <v>100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69">
        <f t="array" ref="Z80">XLOOKUP(D80,RUC!$B$3:$B$110,RUC!$H$3:$H$110)</f>
        <v>30</v>
      </c>
      <c r="AA80" s="70">
        <f t="shared" si="4"/>
        <v>50</v>
      </c>
      <c r="AB80" s="71">
        <f t="shared" si="20"/>
        <v>286.295325</v>
      </c>
      <c r="AC80" s="71">
        <f>+(S80-T80)*V80-'data 1'!$F$4</f>
        <v>30.23</v>
      </c>
      <c r="AD80" s="71">
        <f t="shared" si="6"/>
        <v>56.19204438</v>
      </c>
      <c r="AE80" s="71">
        <f t="shared" si="7"/>
        <v>-14.885</v>
      </c>
      <c r="AF80" s="71">
        <f t="shared" si="8"/>
        <v>53.94721544</v>
      </c>
      <c r="AG80" s="72">
        <f t="shared" si="37"/>
        <v>142.4842598</v>
      </c>
      <c r="AH80" s="52">
        <f t="shared" si="9"/>
        <v>12.48605289</v>
      </c>
      <c r="AI80" s="52">
        <f t="shared" si="10"/>
        <v>13.2057672</v>
      </c>
      <c r="AJ80" s="73">
        <f t="shared" si="11"/>
        <v>19.75901603</v>
      </c>
      <c r="AK80" s="106">
        <f t="shared" si="22"/>
        <v>10.13642676</v>
      </c>
      <c r="AL80" s="11"/>
      <c r="AM80" s="51">
        <f t="shared" si="13"/>
        <v>668.3206492</v>
      </c>
      <c r="AN80" s="51" t="str">
        <f t="array" ref="AN80">XLOOKUP(D80,RUC!$B$3:$B$565,RUC!$M$3:$M$565)</f>
        <v>Evelyn</v>
      </c>
      <c r="AO80" s="131" t="s">
        <v>549</v>
      </c>
      <c r="AP80" s="57" t="s">
        <v>634</v>
      </c>
      <c r="AQ80" s="57" t="s">
        <v>635</v>
      </c>
      <c r="AS80" s="65">
        <f t="shared" si="14"/>
        <v>359.2927649</v>
      </c>
    </row>
    <row r="81" ht="15.0" customHeight="1">
      <c r="A81" s="116" t="s">
        <v>647</v>
      </c>
      <c r="B81" s="56">
        <v>45867.0</v>
      </c>
      <c r="C81" s="56">
        <v>45858.0</v>
      </c>
      <c r="D81" s="57" t="s">
        <v>225</v>
      </c>
      <c r="E81" s="57">
        <f t="array" ref="E81">XLOOKUP(D81,RUC!$B$3:$B$110,RUC!$D$3:$D$110)</f>
        <v>10761932735</v>
      </c>
      <c r="G81" s="3">
        <v>50.0</v>
      </c>
      <c r="H81" s="57" t="s">
        <v>47</v>
      </c>
      <c r="I81" s="58">
        <v>4.45</v>
      </c>
      <c r="J81" s="58">
        <v>6.1</v>
      </c>
      <c r="K81" s="59">
        <f t="shared" si="2"/>
        <v>4.17855</v>
      </c>
      <c r="L81" s="3">
        <v>0.294</v>
      </c>
      <c r="M81" s="60">
        <v>0.276</v>
      </c>
      <c r="N81" s="75">
        <v>0.303</v>
      </c>
      <c r="O81" s="60">
        <f t="shared" si="39"/>
        <v>0.29</v>
      </c>
      <c r="P81" s="63">
        <v>90.0</v>
      </c>
      <c r="Q81" s="58">
        <v>94.9</v>
      </c>
      <c r="R81" s="65">
        <v>3386.2</v>
      </c>
      <c r="S81" s="66">
        <f t="shared" si="38"/>
        <v>110</v>
      </c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69">
        <f t="array" ref="Z81">XLOOKUP(D81,RUC!$B$3:$B$110,RUC!$H$3:$H$110)</f>
        <v>30</v>
      </c>
      <c r="AA81" s="70">
        <f t="shared" si="4"/>
        <v>50</v>
      </c>
      <c r="AB81" s="71">
        <f t="shared" si="20"/>
        <v>763.3187199</v>
      </c>
      <c r="AC81" s="71">
        <f>+(S81-T81)*V81-'data 1'!$F$4</f>
        <v>41.253</v>
      </c>
      <c r="AD81" s="71">
        <f t="shared" si="6"/>
        <v>51.86638654</v>
      </c>
      <c r="AE81" s="71">
        <f t="shared" si="7"/>
        <v>-14.885</v>
      </c>
      <c r="AF81" s="71">
        <f t="shared" si="8"/>
        <v>13.66686126</v>
      </c>
      <c r="AG81" s="72">
        <f t="shared" si="37"/>
        <v>108.9012478</v>
      </c>
      <c r="AH81" s="52">
        <f t="shared" si="9"/>
        <v>39.97129468</v>
      </c>
      <c r="AI81" s="52">
        <f t="shared" si="10"/>
        <v>42.11938322</v>
      </c>
      <c r="AJ81" s="73">
        <f t="shared" si="11"/>
        <v>25.7725487</v>
      </c>
      <c r="AK81" s="106">
        <f t="shared" si="22"/>
        <v>37.39169735</v>
      </c>
      <c r="AL81" s="11"/>
      <c r="AM81" s="51">
        <f t="shared" si="13"/>
        <v>3189.565437</v>
      </c>
      <c r="AN81" s="51" t="str">
        <f t="array" ref="AN81">XLOOKUP(D81,RUC!$B$3:$B$565,RUC!$M$3:$M$565)</f>
        <v>Richard Sapacayo</v>
      </c>
      <c r="AO81" s="131" t="s">
        <v>549</v>
      </c>
      <c r="AP81" s="57" t="s">
        <v>648</v>
      </c>
      <c r="AQ81" s="57" t="s">
        <v>649</v>
      </c>
      <c r="AS81" s="65">
        <f t="shared" si="14"/>
        <v>538.2670097</v>
      </c>
    </row>
    <row r="82" ht="15.0" customHeight="1">
      <c r="A82" s="116" t="s">
        <v>650</v>
      </c>
      <c r="B82" s="56">
        <v>45867.0</v>
      </c>
      <c r="C82" s="56">
        <v>45858.0</v>
      </c>
      <c r="D82" s="57" t="s">
        <v>225</v>
      </c>
      <c r="E82" s="57">
        <f t="array" ref="E82">XLOOKUP(D82,RUC!$B$3:$B$110,RUC!$D$3:$D$110)</f>
        <v>10761932735</v>
      </c>
      <c r="G82" s="3">
        <v>64.0</v>
      </c>
      <c r="H82" s="57" t="s">
        <v>47</v>
      </c>
      <c r="I82" s="58">
        <v>4.85</v>
      </c>
      <c r="J82" s="58">
        <v>15.15</v>
      </c>
      <c r="K82" s="59">
        <f t="shared" si="2"/>
        <v>4.115225</v>
      </c>
      <c r="L82" s="60">
        <v>0.18</v>
      </c>
      <c r="M82" s="3">
        <v>0.162</v>
      </c>
      <c r="N82" s="131">
        <v>0.214</v>
      </c>
      <c r="O82" s="60">
        <f t="shared" si="39"/>
        <v>0.188</v>
      </c>
      <c r="P82" s="63">
        <v>90.0</v>
      </c>
      <c r="Q82" s="58">
        <v>95.0</v>
      </c>
      <c r="R82" s="65">
        <v>3386.2</v>
      </c>
      <c r="S82" s="66">
        <f t="shared" si="38"/>
        <v>100</v>
      </c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69">
        <f t="array" ref="Z82">XLOOKUP(D82,RUC!$B$3:$B$110,RUC!$H$3:$H$110)</f>
        <v>30</v>
      </c>
      <c r="AA82" s="70">
        <f t="shared" si="4"/>
        <v>50</v>
      </c>
      <c r="AB82" s="71">
        <f t="shared" si="20"/>
        <v>443.8312184</v>
      </c>
      <c r="AC82" s="71">
        <f>+(S82-T82)*V82-'data 1'!$F$4</f>
        <v>30.23</v>
      </c>
      <c r="AD82" s="71">
        <f t="shared" si="6"/>
        <v>32.40299034</v>
      </c>
      <c r="AE82" s="71">
        <f t="shared" si="7"/>
        <v>-14.885</v>
      </c>
      <c r="AF82" s="71">
        <f t="shared" si="8"/>
        <v>-27.36252518</v>
      </c>
      <c r="AG82" s="72">
        <f t="shared" si="37"/>
        <v>37.38546516</v>
      </c>
      <c r="AH82" s="52">
        <f t="shared" si="9"/>
        <v>24.12674671</v>
      </c>
      <c r="AI82" s="52">
        <f t="shared" si="10"/>
        <v>25.39657549</v>
      </c>
      <c r="AJ82" s="73">
        <f t="shared" si="11"/>
        <v>15.79573854</v>
      </c>
      <c r="AK82" s="106">
        <f t="shared" si="22"/>
        <v>23.87278096</v>
      </c>
      <c r="AL82" s="11"/>
      <c r="AM82" s="51">
        <f t="shared" si="13"/>
        <v>1826.465326</v>
      </c>
      <c r="AN82" s="51" t="str">
        <f t="array" ref="AN82">XLOOKUP(D82,RUC!$B$3:$B$565,RUC!$M$3:$M$565)</f>
        <v>Richard Sapacayo</v>
      </c>
      <c r="AO82" s="131" t="s">
        <v>549</v>
      </c>
      <c r="AP82" s="57" t="s">
        <v>648</v>
      </c>
      <c r="AQ82" s="57" t="s">
        <v>649</v>
      </c>
      <c r="AS82" s="65">
        <f t="shared" si="14"/>
        <v>211.7862432</v>
      </c>
    </row>
    <row r="83" ht="15.0" customHeight="1">
      <c r="A83" s="116" t="s">
        <v>651</v>
      </c>
      <c r="B83" s="56">
        <v>45806.0</v>
      </c>
      <c r="C83" s="56">
        <v>45858.0</v>
      </c>
      <c r="D83" s="57" t="s">
        <v>225</v>
      </c>
      <c r="E83" s="57">
        <f t="array" ref="E83">XLOOKUP(D83,RUC!$B$3:$B$110,RUC!$D$3:$D$110)</f>
        <v>10761932735</v>
      </c>
      <c r="G83" s="3">
        <v>30.0</v>
      </c>
      <c r="H83" s="57" t="s">
        <v>47</v>
      </c>
      <c r="I83" s="58">
        <v>2.43</v>
      </c>
      <c r="J83" s="58">
        <v>9.45</v>
      </c>
      <c r="K83" s="59">
        <f t="shared" si="2"/>
        <v>2.200365</v>
      </c>
      <c r="L83" s="3">
        <v>0.295</v>
      </c>
      <c r="M83" s="60">
        <v>0.277</v>
      </c>
      <c r="N83" s="75">
        <v>0.301</v>
      </c>
      <c r="O83" s="60">
        <f t="shared" si="39"/>
        <v>0.289</v>
      </c>
      <c r="P83" s="63">
        <v>90.0</v>
      </c>
      <c r="Q83" s="58">
        <v>95.93</v>
      </c>
      <c r="R83" s="65">
        <v>3386.2</v>
      </c>
      <c r="S83" s="66">
        <f t="shared" si="38"/>
        <v>110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4"/>
        <v>50</v>
      </c>
      <c r="AB83" s="71">
        <f t="shared" si="20"/>
        <v>760.0784208</v>
      </c>
      <c r="AC83" s="71">
        <f>+(S83-T83)*V83-'data 1'!$F$4</f>
        <v>41.253</v>
      </c>
      <c r="AD83" s="71">
        <f t="shared" si="6"/>
        <v>62.98241239</v>
      </c>
      <c r="AE83" s="71">
        <f t="shared" si="7"/>
        <v>-14.885</v>
      </c>
      <c r="AF83" s="71">
        <f t="shared" si="8"/>
        <v>20.72279242</v>
      </c>
      <c r="AG83" s="72">
        <f t="shared" si="37"/>
        <v>127.0732048</v>
      </c>
      <c r="AH83" s="52">
        <f t="shared" si="9"/>
        <v>21.34913375</v>
      </c>
      <c r="AI83" s="52">
        <f t="shared" si="10"/>
        <v>22.25490852</v>
      </c>
      <c r="AJ83" s="73">
        <f t="shared" si="11"/>
        <v>26.140885</v>
      </c>
      <c r="AK83" s="106">
        <f t="shared" si="22"/>
        <v>19.62203968</v>
      </c>
      <c r="AL83" s="11"/>
      <c r="AM83" s="51">
        <f t="shared" si="13"/>
        <v>1672.449954</v>
      </c>
      <c r="AN83" s="51" t="str">
        <f t="array" ref="AN83">XLOOKUP(D83,RUC!$B$3:$B$565,RUC!$M$3:$M$565)</f>
        <v>Richard Sapacayo</v>
      </c>
      <c r="AO83" s="131" t="s">
        <v>549</v>
      </c>
      <c r="AP83" s="57" t="s">
        <v>648</v>
      </c>
      <c r="AQ83" s="57" t="s">
        <v>649</v>
      </c>
      <c r="AS83" s="65">
        <f t="shared" si="14"/>
        <v>322.8112233</v>
      </c>
    </row>
    <row r="84" ht="15.0" customHeight="1">
      <c r="A84" s="116" t="s">
        <v>652</v>
      </c>
      <c r="B84" s="56">
        <v>45865.0</v>
      </c>
      <c r="C84" s="56">
        <v>45858.0</v>
      </c>
      <c r="D84" s="57" t="s">
        <v>74</v>
      </c>
      <c r="E84" s="57">
        <f t="array" ref="E84">XLOOKUP(D84,RUC!$B$3:$B$110,RUC!$D$3:$D$110)</f>
        <v>10082235774</v>
      </c>
      <c r="G84" s="3">
        <v>45.0</v>
      </c>
      <c r="H84" s="57" t="s">
        <v>47</v>
      </c>
      <c r="I84" s="58">
        <v>4.25</v>
      </c>
      <c r="J84" s="58">
        <v>2.9</v>
      </c>
      <c r="K84" s="59">
        <f t="shared" si="2"/>
        <v>4.12675</v>
      </c>
      <c r="L84" s="3">
        <v>0.174</v>
      </c>
      <c r="M84" s="60">
        <v>0.166</v>
      </c>
      <c r="N84" s="75">
        <v>0.194</v>
      </c>
      <c r="O84" s="60">
        <f t="shared" si="39"/>
        <v>0.18</v>
      </c>
      <c r="P84" s="63">
        <v>85.0</v>
      </c>
      <c r="Q84" s="58">
        <v>93.1</v>
      </c>
      <c r="R84" s="65">
        <v>3386.2</v>
      </c>
      <c r="S84" s="133">
        <v>95.0</v>
      </c>
      <c r="U84" s="67">
        <f t="array" ref="U84">XLOOKUP(D84,RUC!$B$3:$B$110,RUC!$F$3:$F$110)</f>
        <v>80</v>
      </c>
      <c r="V84" s="67">
        <v>1.1023</v>
      </c>
      <c r="Y84" s="57" t="str">
        <f t="array" ref="Y84">XLOOKUP(D84,RUC!$B$3:$B$110,RUC!$G$3:$G$110)</f>
        <v/>
      </c>
      <c r="Z84" s="69">
        <f t="array" ref="Z84">XLOOKUP(D84,RUC!$B$3:$B$110,RUC!$H$3:$H$110)</f>
        <v>10</v>
      </c>
      <c r="AA84" s="70">
        <f t="shared" si="4"/>
        <v>10</v>
      </c>
      <c r="AB84" s="71">
        <f t="shared" si="20"/>
        <v>441.8554118</v>
      </c>
      <c r="AC84" s="71">
        <f>+(S84-T84)*V84-'data 1'!$F$4</f>
        <v>24.7185</v>
      </c>
      <c r="AD84" s="71">
        <f t="shared" si="6"/>
        <v>51.36451552</v>
      </c>
      <c r="AE84" s="71">
        <f t="shared" si="7"/>
        <v>-58.977</v>
      </c>
      <c r="AF84" s="71">
        <f t="shared" si="8"/>
        <v>-20.35775392</v>
      </c>
      <c r="AG84" s="72">
        <f t="shared" ref="AG84:AG93" si="40">AC84+AD84+AE84+AF84+70</f>
        <v>66.7482616</v>
      </c>
      <c r="AH84" s="52">
        <f t="shared" si="9"/>
        <v>22.92008155</v>
      </c>
      <c r="AI84" s="52">
        <f t="shared" si="10"/>
        <v>24.61877717</v>
      </c>
      <c r="AJ84" s="73">
        <f t="shared" si="11"/>
        <v>7.821190196</v>
      </c>
      <c r="AK84" s="106">
        <f t="shared" si="22"/>
        <v>21.64754545</v>
      </c>
      <c r="AL84" s="11"/>
      <c r="AM84" s="51">
        <f t="shared" si="13"/>
        <v>1823.426821</v>
      </c>
      <c r="AN84" s="51" t="str">
        <f t="array" ref="AN84">XLOOKUP(D84,RUC!$B$3:$B$565,RUC!$M$3:$M$565)</f>
        <v>Melchor Vera</v>
      </c>
      <c r="AO84" s="131" t="s">
        <v>547</v>
      </c>
      <c r="AP84" s="57" t="s">
        <v>653</v>
      </c>
      <c r="AQ84" s="57" t="s">
        <v>654</v>
      </c>
      <c r="AS84" s="65">
        <f t="shared" si="14"/>
        <v>83.97796651</v>
      </c>
    </row>
    <row r="85" ht="15.0" customHeight="1">
      <c r="A85" s="116" t="s">
        <v>655</v>
      </c>
      <c r="B85" s="56">
        <v>45865.0</v>
      </c>
      <c r="C85" s="56">
        <v>45858.0</v>
      </c>
      <c r="D85" s="57" t="s">
        <v>74</v>
      </c>
      <c r="E85" s="57">
        <f t="array" ref="E85">XLOOKUP(D85,RUC!$B$3:$B$110,RUC!$D$3:$D$110)</f>
        <v>10082235774</v>
      </c>
      <c r="G85" s="3">
        <v>39.0</v>
      </c>
      <c r="H85" s="57" t="s">
        <v>47</v>
      </c>
      <c r="I85" s="58">
        <v>3.71</v>
      </c>
      <c r="J85" s="58">
        <v>2.15</v>
      </c>
      <c r="K85" s="59">
        <f t="shared" si="2"/>
        <v>3.630235</v>
      </c>
      <c r="L85" s="3">
        <v>0.191</v>
      </c>
      <c r="M85" s="60">
        <v>0.182</v>
      </c>
      <c r="N85" s="75">
        <v>0.205</v>
      </c>
      <c r="O85" s="60">
        <f t="shared" si="39"/>
        <v>0.194</v>
      </c>
      <c r="P85" s="63">
        <v>85.0</v>
      </c>
      <c r="Q85" s="58">
        <v>92.15</v>
      </c>
      <c r="R85" s="65">
        <v>3386.2</v>
      </c>
      <c r="S85" s="133">
        <v>95.0</v>
      </c>
      <c r="U85" s="67">
        <f t="array" ref="U85">XLOOKUP(D85,RUC!$B$3:$B$110,RUC!$F$3:$F$110)</f>
        <v>80</v>
      </c>
      <c r="V85" s="67">
        <v>1.1023</v>
      </c>
      <c r="Y85" s="57" t="str">
        <f t="array" ref="Y85">XLOOKUP(D85,RUC!$B$3:$B$110,RUC!$G$3:$G$110)</f>
        <v/>
      </c>
      <c r="Z85" s="69">
        <f t="array" ref="Z85">XLOOKUP(D85,RUC!$B$3:$B$110,RUC!$H$3:$H$110)</f>
        <v>10</v>
      </c>
      <c r="AA85" s="70">
        <f t="shared" si="4"/>
        <v>10</v>
      </c>
      <c r="AB85" s="71">
        <f t="shared" si="20"/>
        <v>485.2240605</v>
      </c>
      <c r="AC85" s="71">
        <f>+(S85-T85)*V85-'data 1'!$F$4</f>
        <v>24.7185</v>
      </c>
      <c r="AD85" s="71">
        <f t="shared" si="6"/>
        <v>49.77007991</v>
      </c>
      <c r="AE85" s="71">
        <f t="shared" si="7"/>
        <v>-58.977</v>
      </c>
      <c r="AF85" s="71">
        <f t="shared" si="8"/>
        <v>-10.07501087</v>
      </c>
      <c r="AG85" s="72">
        <f t="shared" si="40"/>
        <v>75.43656904</v>
      </c>
      <c r="AH85" s="52">
        <f t="shared" si="9"/>
        <v>21.90647578</v>
      </c>
      <c r="AI85" s="52">
        <f t="shared" si="10"/>
        <v>23.772627</v>
      </c>
      <c r="AJ85" s="73">
        <f t="shared" si="11"/>
        <v>8.497724065</v>
      </c>
      <c r="AK85" s="106">
        <f t="shared" si="22"/>
        <v>20.52411619</v>
      </c>
      <c r="AL85" s="11"/>
      <c r="AM85" s="51">
        <f t="shared" si="13"/>
        <v>1761.477367</v>
      </c>
      <c r="AN85" s="51" t="str">
        <f t="array" ref="AN85">XLOOKUP(D85,RUC!$B$3:$B$565,RUC!$M$3:$M$565)</f>
        <v>Melchor Vera</v>
      </c>
      <c r="AO85" s="131" t="s">
        <v>547</v>
      </c>
      <c r="AP85" s="57" t="s">
        <v>653</v>
      </c>
      <c r="AQ85" s="57" t="s">
        <v>654</v>
      </c>
      <c r="AS85" s="65">
        <f t="shared" si="14"/>
        <v>103.3394373</v>
      </c>
    </row>
    <row r="86" ht="15.0" customHeight="1">
      <c r="A86" s="116" t="s">
        <v>656</v>
      </c>
      <c r="B86" s="56">
        <v>45865.0</v>
      </c>
      <c r="C86" s="56">
        <v>45858.0</v>
      </c>
      <c r="D86" s="57" t="s">
        <v>74</v>
      </c>
      <c r="E86" s="57">
        <f t="array" ref="E86">XLOOKUP(D86,RUC!$B$3:$B$110,RUC!$D$3:$D$110)</f>
        <v>10082235774</v>
      </c>
      <c r="G86" s="3">
        <v>42.0</v>
      </c>
      <c r="H86" s="57" t="s">
        <v>47</v>
      </c>
      <c r="I86" s="58">
        <v>4.27</v>
      </c>
      <c r="J86" s="58">
        <v>3.6</v>
      </c>
      <c r="K86" s="59">
        <f t="shared" si="2"/>
        <v>4.11628</v>
      </c>
      <c r="L86" s="3">
        <v>0.268</v>
      </c>
      <c r="M86" s="60">
        <v>0.26</v>
      </c>
      <c r="N86" s="62">
        <v>0.26</v>
      </c>
      <c r="O86" s="60">
        <f t="shared" si="39"/>
        <v>0.26</v>
      </c>
      <c r="P86" s="63">
        <v>88.0</v>
      </c>
      <c r="Q86" s="140">
        <v>88.43</v>
      </c>
      <c r="R86" s="65">
        <v>3386.2</v>
      </c>
      <c r="S86" s="133">
        <v>105.0</v>
      </c>
      <c r="U86" s="67">
        <f t="array" ref="U86">XLOOKUP(D86,RUC!$B$3:$B$110,RUC!$F$3:$F$110)</f>
        <v>80</v>
      </c>
      <c r="V86" s="67">
        <v>1.1023</v>
      </c>
      <c r="Y86" s="57" t="str">
        <f t="array" ref="Y86">XLOOKUP(D86,RUC!$B$3:$B$110,RUC!$G$3:$G$110)</f>
        <v/>
      </c>
      <c r="Z86" s="69">
        <f t="array" ref="Z86">XLOOKUP(D86,RUC!$B$3:$B$110,RUC!$H$3:$H$110)</f>
        <v>10</v>
      </c>
      <c r="AA86" s="70">
        <f t="shared" si="4"/>
        <v>10</v>
      </c>
      <c r="AB86" s="71">
        <f t="shared" si="20"/>
        <v>707.0797707</v>
      </c>
      <c r="AC86" s="71">
        <f>+(S86-T86)*V86-'data 1'!$F$4</f>
        <v>35.7415</v>
      </c>
      <c r="AD86" s="71">
        <f t="shared" si="6"/>
        <v>4.199834517</v>
      </c>
      <c r="AE86" s="71">
        <f t="shared" si="7"/>
        <v>-58.977</v>
      </c>
      <c r="AF86" s="71">
        <f t="shared" si="8"/>
        <v>25.78211498</v>
      </c>
      <c r="AG86" s="72">
        <f t="shared" si="40"/>
        <v>76.7464495</v>
      </c>
      <c r="AH86" s="52">
        <f t="shared" si="9"/>
        <v>33.44632436</v>
      </c>
      <c r="AI86" s="52">
        <f t="shared" si="10"/>
        <v>37.82237291</v>
      </c>
      <c r="AJ86" s="73">
        <f t="shared" si="11"/>
        <v>11.44216845</v>
      </c>
      <c r="AK86" s="106">
        <f t="shared" si="22"/>
        <v>32.29014523</v>
      </c>
      <c r="AL86" s="11"/>
      <c r="AM86" s="51">
        <f t="shared" si="13"/>
        <v>2910.538318</v>
      </c>
      <c r="AN86" s="51" t="str">
        <f t="array" ref="AN86">XLOOKUP(D86,RUC!$B$3:$B$565,RUC!$M$3:$M$565)</f>
        <v>Melchor Vera</v>
      </c>
      <c r="AO86" s="131" t="s">
        <v>547</v>
      </c>
      <c r="AP86" s="57" t="s">
        <v>653</v>
      </c>
      <c r="AQ86" s="57" t="s">
        <v>654</v>
      </c>
      <c r="AS86" s="65">
        <f t="shared" si="14"/>
        <v>126.3184851</v>
      </c>
    </row>
    <row r="87" ht="15.0" customHeight="1">
      <c r="A87" s="116" t="s">
        <v>657</v>
      </c>
      <c r="B87" s="56">
        <v>45865.0</v>
      </c>
      <c r="C87" s="56">
        <v>45858.0</v>
      </c>
      <c r="D87" s="57" t="s">
        <v>74</v>
      </c>
      <c r="E87" s="57">
        <f t="array" ref="E87">XLOOKUP(D87,RUC!$B$3:$B$110,RUC!$D$3:$D$110)</f>
        <v>10082235774</v>
      </c>
      <c r="G87" s="3">
        <v>50.0</v>
      </c>
      <c r="H87" s="57" t="s">
        <v>47</v>
      </c>
      <c r="I87" s="58">
        <v>4.74</v>
      </c>
      <c r="J87" s="58">
        <v>2.45</v>
      </c>
      <c r="K87" s="59">
        <f t="shared" si="2"/>
        <v>4.62387</v>
      </c>
      <c r="L87" s="3">
        <v>0.259</v>
      </c>
      <c r="M87" s="60">
        <v>0.243</v>
      </c>
      <c r="N87" s="62">
        <v>0.243</v>
      </c>
      <c r="O87" s="60">
        <f t="shared" si="39"/>
        <v>0.243</v>
      </c>
      <c r="P87" s="63">
        <v>90.0</v>
      </c>
      <c r="Q87" s="58">
        <v>95.37</v>
      </c>
      <c r="R87" s="65">
        <v>3386.2</v>
      </c>
      <c r="S87" s="133">
        <v>105.0</v>
      </c>
      <c r="U87" s="67">
        <f t="array" ref="U87">XLOOKUP(D87,RUC!$B$3:$B$110,RUC!$F$3:$F$110)</f>
        <v>80</v>
      </c>
      <c r="V87" s="67">
        <v>1.1023</v>
      </c>
      <c r="Y87" s="57" t="str">
        <f t="array" ref="Y87">XLOOKUP(D87,RUC!$B$3:$B$110,RUC!$G$3:$G$110)</f>
        <v/>
      </c>
      <c r="Z87" s="69">
        <f t="array" ref="Z87">XLOOKUP(D87,RUC!$B$3:$B$110,RUC!$H$3:$H$110)</f>
        <v>10</v>
      </c>
      <c r="AA87" s="70">
        <f t="shared" si="4"/>
        <v>10</v>
      </c>
      <c r="AB87" s="71">
        <f t="shared" si="20"/>
        <v>670.2710857</v>
      </c>
      <c r="AC87" s="71">
        <f>+(S87-T87)*V87-'data 1'!$F$4</f>
        <v>35.7415</v>
      </c>
      <c r="AD87" s="71">
        <f t="shared" si="6"/>
        <v>50.68774594</v>
      </c>
      <c r="AE87" s="71">
        <f t="shared" si="7"/>
        <v>-58.977</v>
      </c>
      <c r="AF87" s="71">
        <f t="shared" si="8"/>
        <v>55.61099867</v>
      </c>
      <c r="AG87" s="72">
        <f t="shared" si="40"/>
        <v>153.0632446</v>
      </c>
      <c r="AH87" s="52">
        <f t="shared" si="9"/>
        <v>39.15851659</v>
      </c>
      <c r="AI87" s="52">
        <f t="shared" si="10"/>
        <v>41.05957491</v>
      </c>
      <c r="AJ87" s="73">
        <f t="shared" si="11"/>
        <v>11.92574351</v>
      </c>
      <c r="AK87" s="106">
        <f t="shared" si="22"/>
        <v>34.67076846</v>
      </c>
      <c r="AL87" s="11"/>
      <c r="AM87" s="51">
        <f t="shared" si="13"/>
        <v>3099.246365</v>
      </c>
      <c r="AN87" s="51" t="str">
        <f t="array" ref="AN87">XLOOKUP(D87,RUC!$B$3:$B$565,RUC!$M$3:$M$565)</f>
        <v>Melchor Vera</v>
      </c>
      <c r="AO87" s="131" t="s">
        <v>547</v>
      </c>
      <c r="AP87" s="57" t="s">
        <v>653</v>
      </c>
      <c r="AQ87" s="57" t="s">
        <v>654</v>
      </c>
      <c r="AS87" s="65">
        <f t="shared" si="14"/>
        <v>482.2560231</v>
      </c>
    </row>
    <row r="88" ht="15.0" customHeight="1">
      <c r="A88" s="116" t="s">
        <v>658</v>
      </c>
      <c r="B88" s="56">
        <v>45865.0</v>
      </c>
      <c r="C88" s="56">
        <v>45858.0</v>
      </c>
      <c r="D88" s="57" t="s">
        <v>74</v>
      </c>
      <c r="E88" s="57">
        <f t="array" ref="E88">XLOOKUP(D88,RUC!$B$3:$B$110,RUC!$D$3:$D$110)</f>
        <v>10082235774</v>
      </c>
      <c r="G88" s="3">
        <v>62.0</v>
      </c>
      <c r="H88" s="57" t="s">
        <v>47</v>
      </c>
      <c r="I88" s="58">
        <v>5.79</v>
      </c>
      <c r="J88" s="58">
        <v>2.1</v>
      </c>
      <c r="K88" s="59">
        <f t="shared" si="2"/>
        <v>5.66841</v>
      </c>
      <c r="L88" s="3">
        <v>0.252</v>
      </c>
      <c r="M88" s="60">
        <v>0.244</v>
      </c>
      <c r="N88" s="62">
        <v>0.244</v>
      </c>
      <c r="O88" s="60">
        <f t="shared" si="39"/>
        <v>0.244</v>
      </c>
      <c r="P88" s="63">
        <v>90.0</v>
      </c>
      <c r="Q88" s="58">
        <v>97.22</v>
      </c>
      <c r="R88" s="65">
        <v>3386.2</v>
      </c>
      <c r="S88" s="133">
        <v>105.0</v>
      </c>
      <c r="U88" s="67">
        <f t="array" ref="U88">XLOOKUP(D88,RUC!$B$3:$B$110,RUC!$F$3:$F$110)</f>
        <v>80</v>
      </c>
      <c r="V88" s="67">
        <v>1.1023</v>
      </c>
      <c r="Y88" s="57" t="str">
        <f t="array" ref="Y88">XLOOKUP(D88,RUC!$B$3:$B$110,RUC!$G$3:$G$110)</f>
        <v/>
      </c>
      <c r="Z88" s="69">
        <f t="array" ref="Z88">XLOOKUP(D88,RUC!$B$3:$B$110,RUC!$H$3:$H$110)</f>
        <v>10</v>
      </c>
      <c r="AA88" s="70">
        <f t="shared" si="4"/>
        <v>10</v>
      </c>
      <c r="AB88" s="71">
        <f t="shared" si="20"/>
        <v>673.5510675</v>
      </c>
      <c r="AC88" s="71">
        <f>+(S88-T88)*V88-'data 1'!$F$4</f>
        <v>35.7415</v>
      </c>
      <c r="AD88" s="71">
        <f t="shared" si="6"/>
        <v>66.30811276</v>
      </c>
      <c r="AE88" s="71">
        <f t="shared" si="7"/>
        <v>-58.977</v>
      </c>
      <c r="AF88" s="71">
        <f t="shared" si="8"/>
        <v>28.34487412</v>
      </c>
      <c r="AG88" s="72">
        <f t="shared" si="40"/>
        <v>141.4174869</v>
      </c>
      <c r="AH88" s="52">
        <f t="shared" si="9"/>
        <v>47.61310261</v>
      </c>
      <c r="AI88" s="52">
        <f t="shared" si="10"/>
        <v>48.97459639</v>
      </c>
      <c r="AJ88" s="73">
        <f t="shared" si="11"/>
        <v>11.82851093</v>
      </c>
      <c r="AK88" s="106">
        <f t="shared" si="22"/>
        <v>42.67786257</v>
      </c>
      <c r="AL88" s="11"/>
      <c r="AM88" s="51">
        <f t="shared" si="13"/>
        <v>3817.963607</v>
      </c>
      <c r="AN88" s="51" t="str">
        <f t="array" ref="AN88">XLOOKUP(D88,RUC!$B$3:$B$565,RUC!$M$3:$M$565)</f>
        <v>Melchor Vera</v>
      </c>
      <c r="AO88" s="131" t="s">
        <v>547</v>
      </c>
      <c r="AP88" s="57" t="s">
        <v>653</v>
      </c>
      <c r="AQ88" s="57" t="s">
        <v>654</v>
      </c>
      <c r="AS88" s="65">
        <f t="shared" si="14"/>
        <v>530.6624759</v>
      </c>
    </row>
    <row r="89" ht="15.0" customHeight="1">
      <c r="A89" s="116" t="s">
        <v>659</v>
      </c>
      <c r="B89" s="56">
        <v>45865.0</v>
      </c>
      <c r="C89" s="56">
        <v>45858.0</v>
      </c>
      <c r="D89" s="57" t="s">
        <v>74</v>
      </c>
      <c r="E89" s="57">
        <f t="array" ref="E89">XLOOKUP(D89,RUC!$B$3:$B$110,RUC!$D$3:$D$110)</f>
        <v>10082235774</v>
      </c>
      <c r="G89" s="3">
        <v>40.0</v>
      </c>
      <c r="H89" s="57" t="s">
        <v>47</v>
      </c>
      <c r="I89" s="58">
        <v>3.8</v>
      </c>
      <c r="J89" s="58">
        <v>2.1</v>
      </c>
      <c r="K89" s="59">
        <f t="shared" si="2"/>
        <v>3.7202</v>
      </c>
      <c r="L89" s="3">
        <v>0.193</v>
      </c>
      <c r="M89" s="60">
        <v>0.185</v>
      </c>
      <c r="N89" s="62">
        <v>0.185</v>
      </c>
      <c r="O89" s="60">
        <f t="shared" si="39"/>
        <v>0.185</v>
      </c>
      <c r="P89" s="63">
        <v>85.0</v>
      </c>
      <c r="Q89" s="58">
        <v>95.85</v>
      </c>
      <c r="R89" s="65">
        <v>3386.2</v>
      </c>
      <c r="S89" s="133">
        <v>95.0</v>
      </c>
      <c r="U89" s="67">
        <f t="array" ref="U89">XLOOKUP(D89,RUC!$B$3:$B$110,RUC!$F$3:$F$110)</f>
        <v>80</v>
      </c>
      <c r="V89" s="67">
        <v>1.1023</v>
      </c>
      <c r="Y89" s="57" t="str">
        <f t="array" ref="Y89">XLOOKUP(D89,RUC!$B$3:$B$110,RUC!$G$3:$G$110)</f>
        <v/>
      </c>
      <c r="Z89" s="69">
        <f t="array" ref="Z89">XLOOKUP(D89,RUC!$B$3:$B$110,RUC!$H$3:$H$110)</f>
        <v>10</v>
      </c>
      <c r="AA89" s="70">
        <f t="shared" si="4"/>
        <v>10</v>
      </c>
      <c r="AB89" s="71">
        <f t="shared" si="20"/>
        <v>457.3442149</v>
      </c>
      <c r="AC89" s="71">
        <f>+(S89-T89)*V89-'data 1'!$F$4</f>
        <v>24.7185</v>
      </c>
      <c r="AD89" s="71">
        <f t="shared" si="6"/>
        <v>76.31606622</v>
      </c>
      <c r="AE89" s="71">
        <f t="shared" si="7"/>
        <v>-58.977</v>
      </c>
      <c r="AF89" s="71">
        <f t="shared" si="8"/>
        <v>27.94544523</v>
      </c>
      <c r="AG89" s="72">
        <f t="shared" si="40"/>
        <v>140.0030114</v>
      </c>
      <c r="AH89" s="52">
        <f t="shared" si="9"/>
        <v>23.5952609</v>
      </c>
      <c r="AI89" s="52">
        <f t="shared" si="10"/>
        <v>24.61686062</v>
      </c>
      <c r="AJ89" s="73">
        <f t="shared" si="11"/>
        <v>8.931478233</v>
      </c>
      <c r="AK89" s="106">
        <f t="shared" si="22"/>
        <v>20.05700172</v>
      </c>
      <c r="AL89" s="11"/>
      <c r="AM89" s="51">
        <f t="shared" si="13"/>
        <v>1701.411948</v>
      </c>
      <c r="AN89" s="51" t="str">
        <f t="array" ref="AN89">XLOOKUP(D89,RUC!$B$3:$B$565,RUC!$M$3:$M$565)</f>
        <v>Melchor Vera</v>
      </c>
      <c r="AO89" s="131" t="s">
        <v>547</v>
      </c>
      <c r="AP89" s="57" t="s">
        <v>653</v>
      </c>
      <c r="AQ89" s="57" t="s">
        <v>654</v>
      </c>
      <c r="AS89" s="65">
        <f t="shared" si="14"/>
        <v>332.4205271</v>
      </c>
    </row>
    <row r="90" ht="15.0" customHeight="1">
      <c r="A90" s="116" t="s">
        <v>660</v>
      </c>
      <c r="B90" s="56">
        <v>45865.0</v>
      </c>
      <c r="C90" s="56">
        <v>45858.0</v>
      </c>
      <c r="D90" s="57" t="s">
        <v>74</v>
      </c>
      <c r="E90" s="57">
        <f t="array" ref="E90">XLOOKUP(D90,RUC!$B$3:$B$110,RUC!$D$3:$D$110)</f>
        <v>10082235774</v>
      </c>
      <c r="G90" s="3">
        <v>36.0</v>
      </c>
      <c r="H90" s="57" t="s">
        <v>47</v>
      </c>
      <c r="I90" s="58">
        <v>3.45</v>
      </c>
      <c r="J90" s="58">
        <v>2.05</v>
      </c>
      <c r="K90" s="59">
        <f t="shared" si="2"/>
        <v>3.379275</v>
      </c>
      <c r="L90" s="3">
        <v>0.175</v>
      </c>
      <c r="M90" s="60">
        <v>0.168</v>
      </c>
      <c r="N90" s="62">
        <v>0.168</v>
      </c>
      <c r="O90" s="60">
        <f t="shared" si="39"/>
        <v>0.168</v>
      </c>
      <c r="P90" s="63">
        <v>85.0</v>
      </c>
      <c r="Q90" s="58">
        <v>95.43</v>
      </c>
      <c r="R90" s="65">
        <v>3386.2</v>
      </c>
      <c r="S90" s="133">
        <v>95.0</v>
      </c>
      <c r="U90" s="67">
        <f t="array" ref="U90">XLOOKUP(D90,RUC!$B$3:$B$110,RUC!$F$3:$F$110)</f>
        <v>80</v>
      </c>
      <c r="V90" s="67">
        <v>1.1023</v>
      </c>
      <c r="Y90" s="57" t="str">
        <f t="array" ref="Y90">XLOOKUP(D90,RUC!$B$3:$B$110,RUC!$G$3:$G$110)</f>
        <v/>
      </c>
      <c r="Z90" s="69">
        <f t="array" ref="Z90">XLOOKUP(D90,RUC!$B$3:$B$110,RUC!$H$3:$H$110)</f>
        <v>10</v>
      </c>
      <c r="AA90" s="70">
        <f t="shared" si="4"/>
        <v>10</v>
      </c>
      <c r="AB90" s="71">
        <f t="shared" si="20"/>
        <v>404.6822843</v>
      </c>
      <c r="AC90" s="71">
        <f>+(S90-T90)*V90-'data 1'!$F$4</f>
        <v>24.7185</v>
      </c>
      <c r="AD90" s="71">
        <f t="shared" si="6"/>
        <v>66.51985381</v>
      </c>
      <c r="AE90" s="71">
        <f t="shared" si="7"/>
        <v>-58.977</v>
      </c>
      <c r="AF90" s="71">
        <f t="shared" si="8"/>
        <v>24.3451185</v>
      </c>
      <c r="AG90" s="72">
        <f t="shared" si="40"/>
        <v>126.6064723</v>
      </c>
      <c r="AH90" s="52">
        <f t="shared" si="9"/>
        <v>19.34886868</v>
      </c>
      <c r="AI90" s="52">
        <f t="shared" si="10"/>
        <v>20.27545707</v>
      </c>
      <c r="AJ90" s="73">
        <f t="shared" si="11"/>
        <v>8.063004282</v>
      </c>
      <c r="AK90" s="106">
        <f t="shared" si="22"/>
        <v>16.54477297</v>
      </c>
      <c r="AL90" s="11"/>
      <c r="AM90" s="51">
        <f t="shared" si="13"/>
        <v>1367.532726</v>
      </c>
      <c r="AN90" s="51" t="str">
        <f t="array" ref="AN90">XLOOKUP(D90,RUC!$B$3:$B$565,RUC!$M$3:$M$565)</f>
        <v>Melchor Vera</v>
      </c>
      <c r="AO90" s="131" t="s">
        <v>549</v>
      </c>
      <c r="AP90" s="57" t="s">
        <v>653</v>
      </c>
      <c r="AQ90" s="57" t="s">
        <v>654</v>
      </c>
      <c r="AS90" s="65">
        <f t="shared" si="14"/>
        <v>256.5722235</v>
      </c>
    </row>
    <row r="91" ht="15.0" customHeight="1">
      <c r="A91" s="116" t="s">
        <v>661</v>
      </c>
      <c r="B91" s="56">
        <v>45865.0</v>
      </c>
      <c r="C91" s="56">
        <v>45858.0</v>
      </c>
      <c r="D91" s="57" t="s">
        <v>74</v>
      </c>
      <c r="E91" s="57">
        <f t="array" ref="E91">XLOOKUP(D91,RUC!$B$3:$B$110,RUC!$D$3:$D$110)</f>
        <v>10082235774</v>
      </c>
      <c r="G91" s="3">
        <v>65.0</v>
      </c>
      <c r="H91" s="57" t="s">
        <v>47</v>
      </c>
      <c r="I91" s="58">
        <v>6.42</v>
      </c>
      <c r="J91" s="58">
        <v>1.75</v>
      </c>
      <c r="K91" s="59">
        <f t="shared" si="2"/>
        <v>6.30765</v>
      </c>
      <c r="L91" s="3">
        <v>0.179</v>
      </c>
      <c r="M91" s="60">
        <v>0.172</v>
      </c>
      <c r="N91" s="62">
        <v>0.172</v>
      </c>
      <c r="O91" s="60">
        <f t="shared" si="39"/>
        <v>0.172</v>
      </c>
      <c r="P91" s="63">
        <v>85.0</v>
      </c>
      <c r="Q91" s="58">
        <v>89.94</v>
      </c>
      <c r="R91" s="65">
        <v>3386.2</v>
      </c>
      <c r="S91" s="133">
        <v>95.0</v>
      </c>
      <c r="U91" s="67">
        <f t="array" ref="U91">XLOOKUP(D91,RUC!$B$3:$B$110,RUC!$F$3:$F$110)</f>
        <v>80</v>
      </c>
      <c r="V91" s="67">
        <v>1.1023</v>
      </c>
      <c r="Y91" s="57" t="str">
        <f t="array" ref="Y91">XLOOKUP(D91,RUC!$B$3:$B$110,RUC!$G$3:$G$110)</f>
        <v/>
      </c>
      <c r="Z91" s="69">
        <f t="array" ref="Z91">XLOOKUP(D91,RUC!$B$3:$B$110,RUC!$H$3:$H$110)</f>
        <v>10</v>
      </c>
      <c r="AA91" s="70">
        <f t="shared" si="4"/>
        <v>10</v>
      </c>
      <c r="AB91" s="71">
        <f t="shared" si="20"/>
        <v>417.0733268</v>
      </c>
      <c r="AC91" s="71">
        <f>+(S91-T91)*V91-'data 1'!$F$4</f>
        <v>24.7185</v>
      </c>
      <c r="AD91" s="71">
        <f t="shared" si="6"/>
        <v>32.22618596</v>
      </c>
      <c r="AE91" s="71">
        <f t="shared" si="7"/>
        <v>-58.977</v>
      </c>
      <c r="AF91" s="71">
        <f t="shared" si="8"/>
        <v>22.94456626</v>
      </c>
      <c r="AG91" s="72">
        <f t="shared" si="40"/>
        <v>90.91225222</v>
      </c>
      <c r="AH91" s="52">
        <f t="shared" si="9"/>
        <v>34.81629637</v>
      </c>
      <c r="AI91" s="52">
        <f t="shared" si="10"/>
        <v>38.7105808</v>
      </c>
      <c r="AJ91" s="73">
        <f t="shared" si="11"/>
        <v>7.772841863</v>
      </c>
      <c r="AK91" s="106">
        <f t="shared" si="22"/>
        <v>31.61724532</v>
      </c>
      <c r="AL91" s="11"/>
      <c r="AM91" s="51">
        <f t="shared" si="13"/>
        <v>2630.75257</v>
      </c>
      <c r="AN91" s="51" t="str">
        <f t="array" ref="AN91">XLOOKUP(D91,RUC!$B$3:$B$565,RUC!$M$3:$M$565)</f>
        <v>Melchor Vera</v>
      </c>
      <c r="AO91" s="131" t="s">
        <v>547</v>
      </c>
      <c r="AP91" s="57" t="s">
        <v>653</v>
      </c>
      <c r="AQ91" s="57" t="s">
        <v>654</v>
      </c>
      <c r="AS91" s="65">
        <f t="shared" si="14"/>
        <v>261.4669866</v>
      </c>
    </row>
    <row r="92" ht="15.0" customHeight="1">
      <c r="A92" s="116" t="s">
        <v>662</v>
      </c>
      <c r="B92" s="56">
        <v>45865.0</v>
      </c>
      <c r="C92" s="56">
        <v>45858.0</v>
      </c>
      <c r="D92" s="57" t="s">
        <v>74</v>
      </c>
      <c r="E92" s="57">
        <f t="array" ref="E92">XLOOKUP(D92,RUC!$B$3:$B$110,RUC!$D$3:$D$110)</f>
        <v>10082235774</v>
      </c>
      <c r="G92" s="3">
        <v>42.0</v>
      </c>
      <c r="H92" s="57" t="s">
        <v>47</v>
      </c>
      <c r="I92" s="58">
        <v>3.99</v>
      </c>
      <c r="J92" s="58">
        <v>1.25</v>
      </c>
      <c r="K92" s="59">
        <f t="shared" si="2"/>
        <v>3.940125</v>
      </c>
      <c r="L92" s="3">
        <v>0.292</v>
      </c>
      <c r="M92" s="60">
        <v>0.283</v>
      </c>
      <c r="N92" s="62">
        <v>0.283</v>
      </c>
      <c r="O92" s="60">
        <f t="shared" si="39"/>
        <v>0.283</v>
      </c>
      <c r="P92" s="63">
        <v>90.0</v>
      </c>
      <c r="Q92" s="58">
        <v>96.58</v>
      </c>
      <c r="R92" s="65">
        <v>3386.2</v>
      </c>
      <c r="S92" s="133">
        <v>105.0</v>
      </c>
      <c r="U92" s="67">
        <f t="array" ref="U92">XLOOKUP(D92,RUC!$B$3:$B$110,RUC!$F$3:$F$110)</f>
        <v>80</v>
      </c>
      <c r="V92" s="67">
        <v>1.1023</v>
      </c>
      <c r="Y92" s="57" t="str">
        <f t="array" ref="Y92">XLOOKUP(D92,RUC!$B$3:$B$110,RUC!$G$3:$G$110)</f>
        <v/>
      </c>
      <c r="Z92" s="69">
        <f t="array" ref="Z92">XLOOKUP(D92,RUC!$B$3:$B$110,RUC!$H$3:$H$110)</f>
        <v>10</v>
      </c>
      <c r="AA92" s="70">
        <f t="shared" si="4"/>
        <v>10</v>
      </c>
      <c r="AB92" s="71">
        <f t="shared" si="20"/>
        <v>801.470359</v>
      </c>
      <c r="AC92" s="71">
        <f>+(S92-T92)*V92-'data 1'!$F$4</f>
        <v>35.7415</v>
      </c>
      <c r="AD92" s="71">
        <f t="shared" si="6"/>
        <v>70.02250996</v>
      </c>
      <c r="AE92" s="71">
        <f t="shared" si="7"/>
        <v>-58.977</v>
      </c>
      <c r="AF92" s="71">
        <f t="shared" si="8"/>
        <v>31.67806455</v>
      </c>
      <c r="AG92" s="72">
        <f t="shared" si="40"/>
        <v>148.4650745</v>
      </c>
      <c r="AH92" s="52">
        <f t="shared" si="9"/>
        <v>38.09685472</v>
      </c>
      <c r="AI92" s="52">
        <f t="shared" si="10"/>
        <v>39.44590466</v>
      </c>
      <c r="AJ92" s="73">
        <f t="shared" si="11"/>
        <v>13.6158253</v>
      </c>
      <c r="AK92" s="106">
        <f t="shared" si="22"/>
        <v>34.40709561</v>
      </c>
      <c r="AL92" s="11"/>
      <c r="AM92" s="51">
        <f t="shared" si="13"/>
        <v>3157.893398</v>
      </c>
      <c r="AN92" s="51" t="str">
        <f t="array" ref="AN92">XLOOKUP(D92,RUC!$B$3:$B$565,RUC!$M$3:$M$565)</f>
        <v>Melchor Vera</v>
      </c>
      <c r="AO92" s="131" t="s">
        <v>547</v>
      </c>
      <c r="AP92" s="57" t="s">
        <v>653</v>
      </c>
      <c r="AQ92" s="57" t="s">
        <v>654</v>
      </c>
      <c r="AS92" s="65">
        <f t="shared" si="14"/>
        <v>400.7725985</v>
      </c>
    </row>
    <row r="93" ht="15.0" customHeight="1">
      <c r="A93" s="116" t="s">
        <v>663</v>
      </c>
      <c r="B93" s="56">
        <v>45865.0</v>
      </c>
      <c r="C93" s="56">
        <v>45858.0</v>
      </c>
      <c r="D93" s="57" t="s">
        <v>74</v>
      </c>
      <c r="E93" s="57">
        <f t="array" ref="E93">XLOOKUP(D93,RUC!$B$3:$B$110,RUC!$D$3:$D$110)</f>
        <v>10082235774</v>
      </c>
      <c r="G93" s="3">
        <v>30.0</v>
      </c>
      <c r="H93" s="57" t="s">
        <v>47</v>
      </c>
      <c r="I93" s="58">
        <v>2.97</v>
      </c>
      <c r="J93" s="58">
        <v>1.01</v>
      </c>
      <c r="K93" s="59">
        <f t="shared" si="2"/>
        <v>2.940003</v>
      </c>
      <c r="L93" s="3">
        <v>0.146</v>
      </c>
      <c r="M93" s="60">
        <v>0.137</v>
      </c>
      <c r="N93" s="62">
        <v>0.137</v>
      </c>
      <c r="O93" s="60">
        <f t="shared" si="39"/>
        <v>0.137</v>
      </c>
      <c r="P93" s="63">
        <v>85.0</v>
      </c>
      <c r="Q93" s="58">
        <v>93.84</v>
      </c>
      <c r="R93" s="65">
        <v>3386.2</v>
      </c>
      <c r="S93" s="133">
        <v>95.0</v>
      </c>
      <c r="U93" s="67">
        <f t="array" ref="U93">XLOOKUP(D93,RUC!$B$3:$B$110,RUC!$F$3:$F$110)</f>
        <v>80</v>
      </c>
      <c r="V93" s="67">
        <v>1.1023</v>
      </c>
      <c r="Y93" s="57" t="str">
        <f t="array" ref="Y93">XLOOKUP(D93,RUC!$B$3:$B$110,RUC!$G$3:$G$110)</f>
        <v/>
      </c>
      <c r="Z93" s="69">
        <f t="array" ref="Z93">XLOOKUP(D93,RUC!$B$3:$B$110,RUC!$H$3:$H$110)</f>
        <v>10</v>
      </c>
      <c r="AA93" s="70">
        <f t="shared" si="4"/>
        <v>10</v>
      </c>
      <c r="AB93" s="71">
        <f t="shared" si="20"/>
        <v>308.6517051</v>
      </c>
      <c r="AC93" s="71">
        <f>+(S93-T93)*V93-'data 1'!$F$4</f>
        <v>24.7185</v>
      </c>
      <c r="AD93" s="71">
        <f t="shared" si="6"/>
        <v>47.03639727</v>
      </c>
      <c r="AE93" s="71">
        <f t="shared" si="7"/>
        <v>-58.977</v>
      </c>
      <c r="AF93" s="71">
        <f t="shared" si="8"/>
        <v>30.77934953</v>
      </c>
      <c r="AG93" s="72">
        <f t="shared" si="40"/>
        <v>113.5572468</v>
      </c>
      <c r="AH93" s="52">
        <f t="shared" si="9"/>
        <v>13.8101278</v>
      </c>
      <c r="AI93" s="52">
        <f t="shared" si="10"/>
        <v>14.71667498</v>
      </c>
      <c r="AJ93" s="73">
        <f t="shared" si="11"/>
        <v>6.614770377</v>
      </c>
      <c r="AK93" s="106">
        <f t="shared" si="22"/>
        <v>11.73806029</v>
      </c>
      <c r="AL93" s="11"/>
      <c r="AM93" s="51">
        <f t="shared" si="13"/>
        <v>907.4369389</v>
      </c>
      <c r="AN93" s="51" t="str">
        <f t="array" ref="AN93">XLOOKUP(D93,RUC!$B$3:$B$565,RUC!$M$3:$M$565)</f>
        <v>Melchor Vera</v>
      </c>
      <c r="AO93" s="131" t="s">
        <v>549</v>
      </c>
      <c r="AP93" s="57" t="s">
        <v>653</v>
      </c>
      <c r="AQ93" s="57" t="s">
        <v>654</v>
      </c>
      <c r="AS93" s="65">
        <f t="shared" si="14"/>
        <v>181.5242881</v>
      </c>
    </row>
    <row r="94" ht="15.0" customHeight="1">
      <c r="A94" s="116" t="s">
        <v>664</v>
      </c>
      <c r="B94" s="56">
        <v>45867.0</v>
      </c>
      <c r="C94" s="56">
        <v>45860.0</v>
      </c>
      <c r="D94" s="57" t="s">
        <v>665</v>
      </c>
      <c r="E94" s="57">
        <f t="array" ref="E94">XLOOKUP(D94,RUC!$B$3:$B$110,RUC!$D$3:$D$110)</f>
        <v>20608774000</v>
      </c>
      <c r="G94" s="141">
        <v>11.0</v>
      </c>
      <c r="H94" s="57" t="s">
        <v>47</v>
      </c>
      <c r="I94" s="58">
        <v>0.98</v>
      </c>
      <c r="J94" s="58">
        <v>4.0</v>
      </c>
      <c r="K94" s="59">
        <f t="shared" si="2"/>
        <v>0.9408</v>
      </c>
      <c r="L94" s="3">
        <v>0.566</v>
      </c>
      <c r="M94" s="3">
        <v>0.532</v>
      </c>
      <c r="N94" s="62">
        <v>0.532</v>
      </c>
      <c r="O94" s="60">
        <f t="shared" si="39"/>
        <v>0.532</v>
      </c>
      <c r="P94" s="63">
        <v>90.0</v>
      </c>
      <c r="Q94" s="140">
        <v>87.99</v>
      </c>
      <c r="R94" s="65">
        <v>3409.85</v>
      </c>
      <c r="S94" s="66">
        <f t="shared" ref="S94:S97" si="41">IF((90+ROUNDDOWN(O94,1)*100)&lt;95,95,(85+ROUNDDOWN(O94,1)*100))</f>
        <v>135</v>
      </c>
      <c r="U94" s="67">
        <f t="array" ref="U94">XLOOKUP(D94,RUC!$B$3:$B$110,RUC!$F$3:$F$110)</f>
        <v>120</v>
      </c>
      <c r="V94" s="67">
        <v>1.1023</v>
      </c>
      <c r="Y94" s="57">
        <f t="array" ref="Y94">XLOOKUP(D94,RUC!$B$3:$B$110,RUC!$G$3:$G$110)</f>
        <v>20</v>
      </c>
      <c r="Z94" s="69">
        <f t="array" ref="Z94">XLOOKUP(D94,RUC!$B$3:$B$110,RUC!$H$3:$H$110)</f>
        <v>30</v>
      </c>
      <c r="AA94" s="70">
        <f t="shared" si="4"/>
        <v>50</v>
      </c>
      <c r="AB94" s="71">
        <f t="shared" si="20"/>
        <v>1532.395612</v>
      </c>
      <c r="AC94" s="71">
        <f>+(S94-T94)*V94-'data 1'!$F$4</f>
        <v>68.8105</v>
      </c>
      <c r="AD94" s="71">
        <f t="shared" si="6"/>
        <v>-41.25612107</v>
      </c>
      <c r="AE94" s="71">
        <f t="shared" si="7"/>
        <v>-14.885</v>
      </c>
      <c r="AF94" s="71">
        <f t="shared" si="8"/>
        <v>108.4896078</v>
      </c>
      <c r="AG94" s="72">
        <f t="shared" ref="AG94:AG101" si="42">AC94+AD94+AE94+AF94+70-53</f>
        <v>138.1589867</v>
      </c>
      <c r="AH94" s="52">
        <f t="shared" si="9"/>
        <v>16.06408994</v>
      </c>
      <c r="AI94" s="52">
        <f t="shared" si="10"/>
        <v>18.25672228</v>
      </c>
      <c r="AJ94" s="73">
        <f t="shared" si="11"/>
        <v>33.02061731</v>
      </c>
      <c r="AK94" s="106">
        <f t="shared" si="22"/>
        <v>15.44402585</v>
      </c>
      <c r="AL94" s="11"/>
      <c r="AM94" s="51">
        <f t="shared" si="13"/>
        <v>1441.677792</v>
      </c>
      <c r="AN94" s="51" t="str">
        <f t="array" ref="AN94">XLOOKUP(D94,RUC!$B$3:$B$565,RUC!$M$3:$M$565)</f>
        <v>Ronald Miranda</v>
      </c>
      <c r="AO94" s="131" t="s">
        <v>561</v>
      </c>
      <c r="AP94" s="57" t="s">
        <v>666</v>
      </c>
      <c r="AQ94" s="57" t="s">
        <v>667</v>
      </c>
      <c r="AS94" s="65">
        <f t="shared" si="14"/>
        <v>154.7264323</v>
      </c>
    </row>
    <row r="95" ht="15.0" customHeight="1">
      <c r="A95" s="116" t="s">
        <v>668</v>
      </c>
      <c r="B95" s="56">
        <v>45867.0</v>
      </c>
      <c r="C95" s="56">
        <v>45860.0</v>
      </c>
      <c r="D95" s="57" t="s">
        <v>665</v>
      </c>
      <c r="E95" s="57">
        <f t="array" ref="E95">XLOOKUP(D95,RUC!$B$3:$B$110,RUC!$D$3:$D$110)</f>
        <v>20608774000</v>
      </c>
      <c r="G95" s="141">
        <v>37.0</v>
      </c>
      <c r="H95" s="57" t="s">
        <v>47</v>
      </c>
      <c r="I95" s="58">
        <v>2.77</v>
      </c>
      <c r="J95" s="58">
        <v>11.15</v>
      </c>
      <c r="K95" s="59">
        <f t="shared" si="2"/>
        <v>2.461145</v>
      </c>
      <c r="L95" s="60">
        <v>0.35</v>
      </c>
      <c r="M95" s="3">
        <v>0.329</v>
      </c>
      <c r="N95" s="62">
        <v>0.329</v>
      </c>
      <c r="O95" s="60">
        <f t="shared" si="39"/>
        <v>0.329</v>
      </c>
      <c r="P95" s="63">
        <v>90.0</v>
      </c>
      <c r="Q95" s="58">
        <v>95.71</v>
      </c>
      <c r="R95" s="65">
        <v>3409.85</v>
      </c>
      <c r="S95" s="66">
        <f t="shared" si="41"/>
        <v>115</v>
      </c>
      <c r="U95" s="67">
        <f t="array" ref="U95">XLOOKUP(D95,RUC!$B$3:$B$110,RUC!$F$3:$F$110)</f>
        <v>120</v>
      </c>
      <c r="V95" s="67">
        <v>1.1023</v>
      </c>
      <c r="Y95" s="57">
        <f t="array" ref="Y95">XLOOKUP(D95,RUC!$B$3:$B$110,RUC!$G$3:$G$110)</f>
        <v>20</v>
      </c>
      <c r="Z95" s="69">
        <f t="array" ref="Z95">XLOOKUP(D95,RUC!$B$3:$B$110,RUC!$H$3:$H$110)</f>
        <v>30</v>
      </c>
      <c r="AA95" s="70">
        <f t="shared" si="4"/>
        <v>50</v>
      </c>
      <c r="AB95" s="71">
        <f t="shared" si="20"/>
        <v>891.89803</v>
      </c>
      <c r="AC95" s="71">
        <f>+(S95-T95)*V95-'data 1'!$F$4</f>
        <v>46.7645</v>
      </c>
      <c r="AD95" s="71">
        <f t="shared" si="6"/>
        <v>72.47363708</v>
      </c>
      <c r="AE95" s="71">
        <f t="shared" si="7"/>
        <v>-14.885</v>
      </c>
      <c r="AF95" s="71">
        <f t="shared" si="8"/>
        <v>72.8874095</v>
      </c>
      <c r="AG95" s="72">
        <f t="shared" si="42"/>
        <v>194.2405466</v>
      </c>
      <c r="AH95" s="52">
        <f t="shared" si="9"/>
        <v>28.26647359</v>
      </c>
      <c r="AI95" s="52">
        <f t="shared" si="10"/>
        <v>29.53345898</v>
      </c>
      <c r="AJ95" s="73">
        <f t="shared" si="11"/>
        <v>22.21062602</v>
      </c>
      <c r="AK95" s="106">
        <f t="shared" si="22"/>
        <v>24.9853063</v>
      </c>
      <c r="AL95" s="11"/>
      <c r="AM95" s="51">
        <f t="shared" si="13"/>
        <v>2195.090377</v>
      </c>
      <c r="AN95" s="51" t="str">
        <f t="array" ref="AN95">XLOOKUP(D95,RUC!$B$3:$B$565,RUC!$M$3:$M$565)</f>
        <v>Ronald Miranda</v>
      </c>
      <c r="AO95" s="131" t="s">
        <v>549</v>
      </c>
      <c r="AP95" s="57" t="s">
        <v>666</v>
      </c>
      <c r="AQ95" s="57" t="s">
        <v>667</v>
      </c>
      <c r="AS95" s="65">
        <f t="shared" si="14"/>
        <v>506.7934419</v>
      </c>
    </row>
    <row r="96" ht="15.0" customHeight="1">
      <c r="A96" s="116" t="s">
        <v>669</v>
      </c>
      <c r="B96" s="56">
        <v>45869.0</v>
      </c>
      <c r="C96" s="56">
        <v>45861.0</v>
      </c>
      <c r="D96" s="57" t="s">
        <v>665</v>
      </c>
      <c r="E96" s="57">
        <f t="array" ref="E96">XLOOKUP(D96,RUC!$B$3:$B$110,RUC!$D$3:$D$110)</f>
        <v>20608774000</v>
      </c>
      <c r="G96" s="141">
        <v>15.0</v>
      </c>
      <c r="H96" s="57" t="s">
        <v>47</v>
      </c>
      <c r="I96" s="58">
        <v>1.24</v>
      </c>
      <c r="J96" s="58">
        <v>1.2</v>
      </c>
      <c r="K96" s="59">
        <f t="shared" si="2"/>
        <v>1.22512</v>
      </c>
      <c r="L96" s="60">
        <v>0.583</v>
      </c>
      <c r="M96" s="3">
        <v>0.548</v>
      </c>
      <c r="N96" s="62">
        <v>0.548</v>
      </c>
      <c r="O96" s="60">
        <f t="shared" si="39"/>
        <v>0.548</v>
      </c>
      <c r="P96" s="63">
        <v>85.0</v>
      </c>
      <c r="Q96" s="58">
        <v>90.05</v>
      </c>
      <c r="R96" s="65">
        <v>3413.55</v>
      </c>
      <c r="S96" s="66">
        <f t="shared" si="41"/>
        <v>135</v>
      </c>
      <c r="U96" s="67">
        <f t="array" ref="U96">XLOOKUP(D96,RUC!$B$3:$B$110,RUC!$F$3:$F$110)</f>
        <v>120</v>
      </c>
      <c r="V96" s="67">
        <v>1.1023</v>
      </c>
      <c r="Y96" s="57">
        <f t="array" ref="Y96">XLOOKUP(D96,RUC!$B$3:$B$110,RUC!$G$3:$G$110)</f>
        <v>20</v>
      </c>
      <c r="Z96" s="69">
        <f t="array" ref="Z96">XLOOKUP(D96,RUC!$B$3:$B$110,RUC!$H$3:$H$110)</f>
        <v>30</v>
      </c>
      <c r="AA96" s="70">
        <f t="shared" si="4"/>
        <v>50</v>
      </c>
      <c r="AB96" s="71">
        <f t="shared" si="20"/>
        <v>1487.152161</v>
      </c>
      <c r="AC96" s="71">
        <f>+(S96-T96)*V96-'data 1'!$F$4</f>
        <v>68.8105</v>
      </c>
      <c r="AD96" s="71">
        <f t="shared" si="6"/>
        <v>106.8867818</v>
      </c>
      <c r="AE96" s="71">
        <f t="shared" si="7"/>
        <v>-14.885</v>
      </c>
      <c r="AF96" s="71">
        <f t="shared" si="8"/>
        <v>114.4236586</v>
      </c>
      <c r="AG96" s="72">
        <f t="shared" si="42"/>
        <v>292.2359404</v>
      </c>
      <c r="AH96" s="52">
        <f t="shared" si="9"/>
        <v>22.05159314</v>
      </c>
      <c r="AI96" s="52">
        <f t="shared" si="10"/>
        <v>24.48816562</v>
      </c>
      <c r="AJ96" s="73">
        <f t="shared" si="11"/>
        <v>32.66750946</v>
      </c>
      <c r="AK96" s="106">
        <f t="shared" si="22"/>
        <v>19.56533026</v>
      </c>
      <c r="AL96" s="11"/>
      <c r="AM96" s="51">
        <f t="shared" si="13"/>
        <v>1821.939855</v>
      </c>
      <c r="AN96" s="51" t="str">
        <f t="array" ref="AN96">XLOOKUP(D96,RUC!$B$3:$B$565,RUC!$M$3:$M$565)</f>
        <v>Ronald Miranda</v>
      </c>
      <c r="AO96" s="131" t="s">
        <v>549</v>
      </c>
      <c r="AP96" s="57" t="s">
        <v>670</v>
      </c>
      <c r="AQ96" s="57" t="s">
        <v>671</v>
      </c>
      <c r="AS96" s="65">
        <f t="shared" si="14"/>
        <v>378.3089487</v>
      </c>
    </row>
    <row r="97" ht="15.0" customHeight="1">
      <c r="A97" s="116" t="s">
        <v>672</v>
      </c>
      <c r="B97" s="56">
        <v>45869.0</v>
      </c>
      <c r="C97" s="56">
        <v>45861.0</v>
      </c>
      <c r="D97" s="57" t="s">
        <v>665</v>
      </c>
      <c r="E97" s="57">
        <f t="array" ref="E97">XLOOKUP(D97,RUC!$B$3:$B$110,RUC!$D$3:$D$110)</f>
        <v>20608774000</v>
      </c>
      <c r="G97" s="141">
        <v>60.0</v>
      </c>
      <c r="H97" s="57" t="s">
        <v>47</v>
      </c>
      <c r="I97" s="58">
        <v>5.64</v>
      </c>
      <c r="J97" s="58">
        <v>1.1</v>
      </c>
      <c r="K97" s="59">
        <f t="shared" si="2"/>
        <v>5.57796</v>
      </c>
      <c r="L97" s="60">
        <v>0.154</v>
      </c>
      <c r="M97" s="3">
        <v>0.139</v>
      </c>
      <c r="N97" s="62">
        <v>0.139</v>
      </c>
      <c r="O97" s="60">
        <f t="shared" si="39"/>
        <v>0.139</v>
      </c>
      <c r="P97" s="63">
        <v>85.0</v>
      </c>
      <c r="Q97" s="58">
        <v>96.53</v>
      </c>
      <c r="R97" s="65">
        <v>3413.55</v>
      </c>
      <c r="S97" s="66">
        <f t="shared" si="41"/>
        <v>95</v>
      </c>
      <c r="U97" s="67">
        <f t="array" ref="U97">XLOOKUP(D97,RUC!$B$3:$B$110,RUC!$F$3:$F$110)</f>
        <v>120</v>
      </c>
      <c r="V97" s="67">
        <v>1.1023</v>
      </c>
      <c r="Y97" s="57">
        <f t="array" ref="Y97">XLOOKUP(D97,RUC!$B$3:$B$110,RUC!$G$3:$G$110)</f>
        <v>20</v>
      </c>
      <c r="Z97" s="69">
        <f t="array" ref="Z97">XLOOKUP(D97,RUC!$B$3:$B$110,RUC!$H$3:$H$110)</f>
        <v>30</v>
      </c>
      <c r="AA97" s="70">
        <f t="shared" si="4"/>
        <v>50</v>
      </c>
      <c r="AB97" s="71">
        <f t="shared" si="20"/>
        <v>269.1077315</v>
      </c>
      <c r="AC97" s="71">
        <f>+(S97-T97)*V97-'data 1'!$F$4</f>
        <v>24.7185</v>
      </c>
      <c r="AD97" s="71">
        <f t="shared" si="6"/>
        <v>64.46353191</v>
      </c>
      <c r="AE97" s="71">
        <f t="shared" si="7"/>
        <v>-14.885</v>
      </c>
      <c r="AF97" s="71">
        <f t="shared" si="8"/>
        <v>52.56753755</v>
      </c>
      <c r="AG97" s="72">
        <f t="shared" si="42"/>
        <v>143.8645695</v>
      </c>
      <c r="AH97" s="52">
        <f t="shared" si="9"/>
        <v>28.42938677</v>
      </c>
      <c r="AI97" s="52">
        <f t="shared" si="10"/>
        <v>29.45134856</v>
      </c>
      <c r="AJ97" s="73">
        <f t="shared" si="11"/>
        <v>9.250107517</v>
      </c>
      <c r="AK97" s="106">
        <f t="shared" si="22"/>
        <v>22.59530411</v>
      </c>
      <c r="AL97" s="11"/>
      <c r="AM97" s="51">
        <f t="shared" si="13"/>
        <v>1501.072162</v>
      </c>
      <c r="AN97" s="51" t="str">
        <f t="array" ref="AN97">XLOOKUP(D97,RUC!$B$3:$B$565,RUC!$M$3:$M$565)</f>
        <v>Ronald Miranda</v>
      </c>
      <c r="AO97" s="131" t="s">
        <v>561</v>
      </c>
      <c r="AP97" s="57" t="s">
        <v>670</v>
      </c>
      <c r="AQ97" s="57" t="s">
        <v>671</v>
      </c>
      <c r="AS97" s="65">
        <f t="shared" si="14"/>
        <v>803.7340801</v>
      </c>
    </row>
    <row r="98" ht="15.0" customHeight="1">
      <c r="A98" s="142" t="s">
        <v>673</v>
      </c>
      <c r="B98" s="56">
        <v>45868.0</v>
      </c>
      <c r="C98" s="56">
        <v>45863.0</v>
      </c>
      <c r="D98" s="57" t="s">
        <v>181</v>
      </c>
      <c r="E98" s="57">
        <f t="array" ref="E98">XLOOKUP(D98,RUC!$B$3:$B$110,RUC!$D$3:$D$110)</f>
        <v>20603329059</v>
      </c>
      <c r="G98" s="141" t="s">
        <v>46</v>
      </c>
      <c r="H98" s="57" t="s">
        <v>71</v>
      </c>
      <c r="I98" s="57">
        <v>5.18</v>
      </c>
      <c r="J98" s="58">
        <v>1.1</v>
      </c>
      <c r="K98" s="59">
        <f t="shared" si="2"/>
        <v>5.12302</v>
      </c>
      <c r="L98" s="60">
        <v>0.16</v>
      </c>
      <c r="M98" s="3">
        <v>0.144</v>
      </c>
      <c r="N98" s="62">
        <v>0.144</v>
      </c>
      <c r="O98" s="60">
        <f t="shared" si="39"/>
        <v>0.144</v>
      </c>
      <c r="P98" s="63">
        <v>85.0</v>
      </c>
      <c r="Q98" s="58">
        <v>96.25</v>
      </c>
      <c r="R98" s="65">
        <v>3343.5</v>
      </c>
      <c r="S98" s="66">
        <f t="shared" ref="S98:S101" si="43">IF((90+ROUNDDOWN(O98,1)*100)&lt;95,95,(90+ROUNDDOWN(O98,1)*100))</f>
        <v>100</v>
      </c>
      <c r="U98" s="67">
        <f t="array" ref="U98">XLOOKUP(D98,RUC!$B$3:$B$110,RUC!$F$3:$F$110)</f>
        <v>100</v>
      </c>
      <c r="V98" s="67">
        <v>1.1023</v>
      </c>
      <c r="Y98" s="57" t="str">
        <f t="array" ref="Y98">XLOOKUP(D98,RUC!$B$3:$B$110,RUC!$G$3:$G$110)</f>
        <v/>
      </c>
      <c r="Z98" s="69">
        <f t="array" ref="Z98">XLOOKUP(D98,RUC!$B$3:$B$110,RUC!$H$3:$H$110)</f>
        <v>30</v>
      </c>
      <c r="AA98" s="70">
        <f t="shared" si="4"/>
        <v>30</v>
      </c>
      <c r="AB98" s="71">
        <f t="shared" si="20"/>
        <v>294.3189501</v>
      </c>
      <c r="AC98" s="71">
        <f>+(S98-T98)*V98-'data 1'!$F$4</f>
        <v>30.23</v>
      </c>
      <c r="AD98" s="71">
        <f t="shared" si="6"/>
        <v>64.3555809</v>
      </c>
      <c r="AE98" s="71">
        <f t="shared" si="7"/>
        <v>-36.931</v>
      </c>
      <c r="AF98" s="71">
        <f t="shared" si="8"/>
        <v>55.05977477</v>
      </c>
      <c r="AG98" s="72">
        <f t="shared" si="42"/>
        <v>129.7143557</v>
      </c>
      <c r="AH98" s="52">
        <f t="shared" si="9"/>
        <v>27.04928822</v>
      </c>
      <c r="AI98" s="52">
        <f t="shared" si="10"/>
        <v>28.10315659</v>
      </c>
      <c r="AJ98" s="73">
        <f t="shared" si="11"/>
        <v>18.0788223</v>
      </c>
      <c r="AK98" s="106">
        <f t="shared" si="22"/>
        <v>21.49891479</v>
      </c>
      <c r="AL98" s="11"/>
      <c r="AM98" s="51">
        <f t="shared" si="13"/>
        <v>1507.801868</v>
      </c>
      <c r="AN98" s="51" t="str">
        <f t="array" ref="AN98">XLOOKUP(D98,RUC!$B$3:$B$565,RUC!$M$3:$M$565)</f>
        <v>Yuri Rospigliossi</v>
      </c>
      <c r="AO98" s="131" t="s">
        <v>549</v>
      </c>
      <c r="AP98" s="57" t="s">
        <v>674</v>
      </c>
      <c r="AQ98" s="57" t="s">
        <v>675</v>
      </c>
      <c r="AS98" s="65">
        <f t="shared" si="14"/>
        <v>709.6112066</v>
      </c>
    </row>
    <row r="99" ht="15.0" customHeight="1">
      <c r="A99" s="116" t="s">
        <v>676</v>
      </c>
      <c r="B99" s="56">
        <v>45869.0</v>
      </c>
      <c r="C99" s="56">
        <v>45863.0</v>
      </c>
      <c r="D99" s="57" t="s">
        <v>295</v>
      </c>
      <c r="E99" s="57">
        <f t="array" ref="E99">XLOOKUP(D99,RUC!$B$3:$B$110,RUC!$D$3:$D$110)</f>
        <v>20601769396</v>
      </c>
      <c r="G99" s="141">
        <v>50.0</v>
      </c>
      <c r="H99" s="57" t="s">
        <v>71</v>
      </c>
      <c r="I99" s="57">
        <v>3.39</v>
      </c>
      <c r="J99" s="57">
        <v>15.06</v>
      </c>
      <c r="K99" s="59">
        <f t="shared" si="2"/>
        <v>2.879466</v>
      </c>
      <c r="L99" s="3">
        <v>0.307</v>
      </c>
      <c r="M99" s="3">
        <v>0.289</v>
      </c>
      <c r="N99" s="62">
        <v>0.289</v>
      </c>
      <c r="O99" s="60">
        <f t="shared" si="39"/>
        <v>0.289</v>
      </c>
      <c r="P99" s="63">
        <v>90.0</v>
      </c>
      <c r="Q99" s="58">
        <v>93.16</v>
      </c>
      <c r="R99" s="65">
        <v>3343.5</v>
      </c>
      <c r="S99" s="66">
        <f t="shared" si="43"/>
        <v>110</v>
      </c>
      <c r="U99" s="67">
        <f t="array" ref="U99">XLOOKUP(D99,RUC!$B$3:$B$110,RUC!$F$3:$F$110)</f>
        <v>120</v>
      </c>
      <c r="V99" s="67">
        <v>1.1023</v>
      </c>
      <c r="Y99" s="57">
        <f t="array" ref="Y99">XLOOKUP(D99,RUC!$B$3:$B$110,RUC!$G$3:$G$110)</f>
        <v>20</v>
      </c>
      <c r="Z99" s="69">
        <f t="array" ref="Z99">XLOOKUP(D99,RUC!$B$3:$B$110,RUC!$H$3:$H$110)</f>
        <v>30</v>
      </c>
      <c r="AA99" s="70">
        <f t="shared" si="4"/>
        <v>50</v>
      </c>
      <c r="AB99" s="71">
        <f t="shared" si="20"/>
        <v>747.8359794</v>
      </c>
      <c r="AC99" s="71">
        <f>+(S99-T99)*V99-'data 1'!$F$4</f>
        <v>41.253</v>
      </c>
      <c r="AD99" s="71">
        <f t="shared" si="6"/>
        <v>34.4709252</v>
      </c>
      <c r="AE99" s="71">
        <f t="shared" si="7"/>
        <v>-14.885</v>
      </c>
      <c r="AF99" s="71">
        <f t="shared" si="8"/>
        <v>59.5839742</v>
      </c>
      <c r="AG99" s="72">
        <f t="shared" si="42"/>
        <v>137.4228994</v>
      </c>
      <c r="AH99" s="52">
        <f t="shared" si="9"/>
        <v>28.2350707</v>
      </c>
      <c r="AI99" s="52">
        <f t="shared" si="10"/>
        <v>30.30814802</v>
      </c>
      <c r="AJ99" s="73">
        <f t="shared" si="11"/>
        <v>39.88027903</v>
      </c>
      <c r="AK99" s="106">
        <f t="shared" si="22"/>
        <v>25.67801075</v>
      </c>
      <c r="AL99" s="11"/>
      <c r="AM99" s="51">
        <f t="shared" si="13"/>
        <v>2153.368276</v>
      </c>
      <c r="AN99" s="51" t="str">
        <f t="array" ref="AN99">XLOOKUP(D99,RUC!$B$3:$B$565,RUC!$M$3:$M$565)</f>
        <v>Evelyn</v>
      </c>
      <c r="AO99" s="131" t="s">
        <v>549</v>
      </c>
      <c r="AP99" s="57" t="s">
        <v>677</v>
      </c>
      <c r="AQ99" s="57" t="s">
        <v>678</v>
      </c>
      <c r="AS99" s="65">
        <f t="shared" si="14"/>
        <v>489.5135148</v>
      </c>
    </row>
    <row r="100" ht="15.0" customHeight="1">
      <c r="A100" s="116" t="s">
        <v>679</v>
      </c>
      <c r="B100" s="56">
        <v>45869.0</v>
      </c>
      <c r="C100" s="56">
        <v>45863.0</v>
      </c>
      <c r="D100" s="57" t="s">
        <v>295</v>
      </c>
      <c r="E100" s="57">
        <f t="array" ref="E100">XLOOKUP(D100,RUC!$B$3:$B$110,RUC!$D$3:$D$110)</f>
        <v>20601769396</v>
      </c>
      <c r="G100" s="141">
        <v>50.0</v>
      </c>
      <c r="H100" s="57" t="s">
        <v>71</v>
      </c>
      <c r="I100" s="57">
        <v>2.99</v>
      </c>
      <c r="J100" s="57">
        <v>20.35</v>
      </c>
      <c r="K100" s="59">
        <f t="shared" si="2"/>
        <v>2.381535</v>
      </c>
      <c r="L100" s="3">
        <v>0.428</v>
      </c>
      <c r="M100" s="3">
        <v>0.402</v>
      </c>
      <c r="N100" s="62">
        <v>0.402</v>
      </c>
      <c r="O100" s="60">
        <f t="shared" si="39"/>
        <v>0.402</v>
      </c>
      <c r="P100" s="63">
        <v>90.0</v>
      </c>
      <c r="Q100" s="58">
        <v>94.63</v>
      </c>
      <c r="R100" s="65">
        <v>3343.5</v>
      </c>
      <c r="S100" s="66">
        <f t="shared" si="43"/>
        <v>130</v>
      </c>
      <c r="U100" s="67">
        <f t="array" ref="U100">XLOOKUP(D100,RUC!$B$3:$B$110,RUC!$F$3:$F$110)</f>
        <v>120</v>
      </c>
      <c r="V100" s="67">
        <v>1.1023</v>
      </c>
      <c r="Y100" s="57">
        <f t="array" ref="Y100">XLOOKUP(D100,RUC!$B$3:$B$110,RUC!$G$3:$G$110)</f>
        <v>20</v>
      </c>
      <c r="Z100" s="69">
        <f t="array" ref="Z100">XLOOKUP(D100,RUC!$B$3:$B$110,RUC!$H$3:$H$110)</f>
        <v>30</v>
      </c>
      <c r="AA100" s="70">
        <f t="shared" si="4"/>
        <v>50</v>
      </c>
      <c r="AB100" s="71">
        <f t="shared" si="20"/>
        <v>1087.156933</v>
      </c>
      <c r="AC100" s="71">
        <f>+(S100-T100)*V100-'data 1'!$F$4</f>
        <v>63.299</v>
      </c>
      <c r="AD100" s="71">
        <f t="shared" si="6"/>
        <v>70.41290172</v>
      </c>
      <c r="AE100" s="71">
        <f t="shared" si="7"/>
        <v>-14.885</v>
      </c>
      <c r="AF100" s="71">
        <f t="shared" si="8"/>
        <v>87.42379803</v>
      </c>
      <c r="AG100" s="72">
        <f t="shared" si="42"/>
        <v>223.2506998</v>
      </c>
      <c r="AH100" s="52">
        <f t="shared" si="9"/>
        <v>33.070339</v>
      </c>
      <c r="AI100" s="52">
        <f t="shared" si="10"/>
        <v>34.9469925</v>
      </c>
      <c r="AJ100" s="73">
        <f t="shared" si="11"/>
        <v>56.47587158</v>
      </c>
      <c r="AK100" s="106">
        <f t="shared" si="22"/>
        <v>29.54163992</v>
      </c>
      <c r="AL100" s="11"/>
      <c r="AM100" s="51">
        <f t="shared" si="13"/>
        <v>2589.102287</v>
      </c>
      <c r="AN100" s="51" t="str">
        <f t="array" ref="AN100">XLOOKUP(D100,RUC!$B$3:$B$565,RUC!$M$3:$M$565)</f>
        <v>Evelyn</v>
      </c>
      <c r="AO100" s="131" t="s">
        <v>549</v>
      </c>
      <c r="AP100" s="57" t="s">
        <v>677</v>
      </c>
      <c r="AQ100" s="57" t="s">
        <v>678</v>
      </c>
      <c r="AS100" s="65">
        <f t="shared" si="14"/>
        <v>638.1826052</v>
      </c>
    </row>
    <row r="101" ht="15.0" customHeight="1">
      <c r="A101" s="142" t="s">
        <v>680</v>
      </c>
      <c r="B101" s="56">
        <v>45870.0</v>
      </c>
      <c r="C101" s="56">
        <v>45863.0</v>
      </c>
      <c r="D101" s="57" t="s">
        <v>181</v>
      </c>
      <c r="E101" s="57">
        <f t="array" ref="E101">XLOOKUP(D101,RUC!$B$3:$B$110,RUC!$D$3:$D$110)</f>
        <v>20603329059</v>
      </c>
      <c r="G101" s="141" t="s">
        <v>46</v>
      </c>
      <c r="H101" s="57" t="s">
        <v>40</v>
      </c>
      <c r="I101" s="57">
        <v>1.15</v>
      </c>
      <c r="J101" s="57">
        <v>11.35</v>
      </c>
      <c r="K101" s="59">
        <f t="shared" si="2"/>
        <v>1.019475</v>
      </c>
      <c r="L101" s="3">
        <v>0.237</v>
      </c>
      <c r="M101" s="60">
        <v>0.22</v>
      </c>
      <c r="N101" s="62">
        <v>0.22</v>
      </c>
      <c r="O101" s="60">
        <f t="shared" si="39"/>
        <v>0.22</v>
      </c>
      <c r="P101" s="63">
        <v>90.0</v>
      </c>
      <c r="Q101" s="58">
        <v>91.98</v>
      </c>
      <c r="R101" s="65">
        <v>3343.5</v>
      </c>
      <c r="S101" s="66">
        <f t="shared" si="43"/>
        <v>110</v>
      </c>
      <c r="U101" s="67">
        <f t="array" ref="U101">XLOOKUP(D101,RUC!$B$3:$B$110,RUC!$F$3:$F$110)</f>
        <v>100</v>
      </c>
      <c r="V101" s="67">
        <v>1.1023</v>
      </c>
      <c r="Y101" s="57" t="str">
        <f t="array" ref="Y101">XLOOKUP(D101,RUC!$B$3:$B$110,RUC!$G$3:$G$110)</f>
        <v/>
      </c>
      <c r="Z101" s="69">
        <f t="array" ref="Z101">XLOOKUP(D101,RUC!$B$3:$B$110,RUC!$H$3:$H$110)</f>
        <v>30</v>
      </c>
      <c r="AA101" s="70">
        <f t="shared" si="4"/>
        <v>30</v>
      </c>
      <c r="AB101" s="71">
        <f t="shared" si="20"/>
        <v>553.5893899</v>
      </c>
      <c r="AC101" s="71">
        <f>+(S101-T101)*V101-'data 1'!$F$4</f>
        <v>41.253</v>
      </c>
      <c r="AD101" s="71">
        <f t="shared" si="6"/>
        <v>16.77749994</v>
      </c>
      <c r="AE101" s="71">
        <f t="shared" si="7"/>
        <v>-36.931</v>
      </c>
      <c r="AF101" s="71">
        <f t="shared" si="8"/>
        <v>55.90569313</v>
      </c>
      <c r="AG101" s="72">
        <f t="shared" si="42"/>
        <v>94.00519307</v>
      </c>
      <c r="AH101" s="52">
        <f t="shared" si="9"/>
        <v>7.619516271</v>
      </c>
      <c r="AI101" s="52">
        <f t="shared" si="10"/>
        <v>8.283883748</v>
      </c>
      <c r="AJ101" s="73">
        <f t="shared" si="11"/>
        <v>25.59123038</v>
      </c>
      <c r="AK101" s="106">
        <f t="shared" si="22"/>
        <v>6.920713004</v>
      </c>
      <c r="AL101" s="11"/>
      <c r="AM101" s="51">
        <f t="shared" si="13"/>
        <v>564.3705433</v>
      </c>
      <c r="AN101" s="51" t="str">
        <f t="array" ref="AN101">XLOOKUP(D101,RUC!$B$3:$B$565,RUC!$M$3:$M$565)</f>
        <v>Yuri Rospigliossi</v>
      </c>
      <c r="AO101" s="131" t="s">
        <v>549</v>
      </c>
      <c r="AP101" s="57" t="s">
        <v>681</v>
      </c>
      <c r="AQ101" s="57" t="s">
        <v>682</v>
      </c>
      <c r="AS101" s="65">
        <f t="shared" si="14"/>
        <v>116.5953803</v>
      </c>
    </row>
    <row r="102" ht="15.0" customHeight="1">
      <c r="B102" s="56"/>
      <c r="G102" s="141"/>
      <c r="L102" s="3"/>
      <c r="M102" s="3"/>
      <c r="N102" s="62"/>
      <c r="R102" s="65"/>
      <c r="AG102" s="91"/>
    </row>
    <row r="103" ht="15.0" customHeight="1">
      <c r="B103" s="56"/>
      <c r="G103" s="141"/>
      <c r="L103" s="3"/>
      <c r="M103" s="3"/>
      <c r="N103" s="62"/>
      <c r="R103" s="65"/>
      <c r="AG103" s="91"/>
    </row>
    <row r="104" ht="15.0" hidden="1" customHeight="1">
      <c r="B104" s="56"/>
      <c r="G104" s="141"/>
      <c r="L104" s="3"/>
      <c r="M104" s="3"/>
      <c r="N104" s="62"/>
      <c r="R104" s="65"/>
      <c r="AG104" s="91"/>
    </row>
    <row r="105" ht="15.0" hidden="1" customHeight="1">
      <c r="B105" s="56"/>
      <c r="G105" s="141"/>
      <c r="L105" s="3"/>
      <c r="M105" s="3"/>
      <c r="N105" s="62"/>
      <c r="R105" s="65"/>
      <c r="AG105" s="91"/>
    </row>
    <row r="106" ht="15.0" hidden="1" customHeight="1">
      <c r="B106" s="56"/>
      <c r="G106" s="141"/>
      <c r="L106" s="3"/>
      <c r="M106" s="3"/>
      <c r="N106" s="62"/>
      <c r="R106" s="65"/>
      <c r="AG106" s="91"/>
    </row>
    <row r="107" ht="15.0" hidden="1" customHeight="1">
      <c r="B107" s="56"/>
      <c r="G107" s="141"/>
      <c r="L107" s="3"/>
      <c r="M107" s="3"/>
      <c r="N107" s="62"/>
      <c r="R107" s="65"/>
      <c r="AG107" s="91"/>
    </row>
    <row r="108" ht="15.0" hidden="1" customHeight="1">
      <c r="B108" s="56"/>
      <c r="G108" s="141"/>
      <c r="L108" s="3"/>
      <c r="M108" s="3"/>
      <c r="N108" s="62"/>
      <c r="R108" s="65"/>
      <c r="AG108" s="91"/>
    </row>
    <row r="109" ht="15.0" hidden="1" customHeight="1">
      <c r="B109" s="56"/>
      <c r="G109" s="141"/>
      <c r="L109" s="3"/>
      <c r="M109" s="3"/>
      <c r="N109" s="62"/>
      <c r="R109" s="65"/>
      <c r="AG109" s="91"/>
    </row>
    <row r="110" ht="15.0" hidden="1" customHeight="1">
      <c r="B110" s="56"/>
      <c r="G110" s="141"/>
      <c r="L110" s="3"/>
      <c r="M110" s="3"/>
      <c r="N110" s="62"/>
      <c r="R110" s="65"/>
      <c r="AG110" s="91"/>
    </row>
    <row r="111" ht="15.0" hidden="1" customHeight="1">
      <c r="B111" s="56"/>
      <c r="G111" s="141"/>
      <c r="L111" s="3"/>
      <c r="M111" s="3"/>
      <c r="N111" s="62"/>
      <c r="R111" s="65"/>
      <c r="AG111" s="91"/>
    </row>
    <row r="112" ht="15.0" hidden="1" customHeight="1">
      <c r="B112" s="56"/>
      <c r="G112" s="141"/>
      <c r="L112" s="3"/>
      <c r="M112" s="3"/>
      <c r="N112" s="62"/>
      <c r="R112" s="65"/>
      <c r="AG112" s="91"/>
    </row>
    <row r="113" ht="15.0" hidden="1" customHeight="1">
      <c r="B113" s="56"/>
      <c r="G113" s="141"/>
      <c r="L113" s="3"/>
      <c r="M113" s="3"/>
      <c r="N113" s="62"/>
      <c r="R113" s="65"/>
      <c r="AG113" s="91"/>
    </row>
    <row r="114" ht="15.0" hidden="1" customHeight="1">
      <c r="B114" s="56"/>
      <c r="G114" s="141"/>
      <c r="L114" s="3"/>
      <c r="M114" s="3"/>
      <c r="N114" s="62"/>
      <c r="R114" s="65"/>
      <c r="AG114" s="91"/>
    </row>
    <row r="115" ht="15.0" hidden="1" customHeight="1">
      <c r="B115" s="56"/>
      <c r="G115" s="141"/>
      <c r="L115" s="3"/>
      <c r="M115" s="3"/>
      <c r="N115" s="62"/>
      <c r="R115" s="65"/>
      <c r="AG115" s="91"/>
    </row>
    <row r="116" ht="15.0" hidden="1" customHeight="1">
      <c r="B116" s="56"/>
      <c r="G116" s="141"/>
      <c r="L116" s="3"/>
      <c r="M116" s="3"/>
      <c r="N116" s="62"/>
      <c r="R116" s="65"/>
      <c r="AG116" s="91"/>
    </row>
    <row r="117" ht="15.0" hidden="1" customHeight="1">
      <c r="B117" s="56"/>
      <c r="G117" s="141"/>
      <c r="L117" s="3"/>
      <c r="M117" s="3"/>
      <c r="N117" s="62"/>
      <c r="R117" s="65"/>
      <c r="AG117" s="91"/>
    </row>
    <row r="118" ht="15.0" hidden="1" customHeight="1">
      <c r="B118" s="56"/>
      <c r="G118" s="141"/>
      <c r="L118" s="3"/>
      <c r="M118" s="3"/>
      <c r="N118" s="62"/>
      <c r="R118" s="65"/>
      <c r="AG118" s="91"/>
    </row>
    <row r="119" ht="15.0" hidden="1" customHeight="1">
      <c r="B119" s="56"/>
      <c r="G119" s="141"/>
      <c r="L119" s="3"/>
      <c r="M119" s="3"/>
      <c r="N119" s="62"/>
      <c r="R119" s="65"/>
      <c r="AG119" s="91"/>
    </row>
    <row r="120" ht="15.0" hidden="1" customHeight="1">
      <c r="B120" s="56"/>
      <c r="G120" s="141"/>
      <c r="L120" s="3"/>
      <c r="M120" s="3"/>
      <c r="N120" s="62"/>
      <c r="R120" s="65"/>
      <c r="AG120" s="91"/>
    </row>
    <row r="121" ht="15.0" hidden="1" customHeight="1">
      <c r="B121" s="56"/>
      <c r="G121" s="141"/>
      <c r="L121" s="3"/>
      <c r="M121" s="3"/>
      <c r="N121" s="62"/>
      <c r="R121" s="65"/>
      <c r="AG121" s="91"/>
    </row>
    <row r="122" ht="15.0" hidden="1" customHeight="1">
      <c r="B122" s="56"/>
      <c r="G122" s="141"/>
      <c r="L122" s="3"/>
      <c r="M122" s="3"/>
      <c r="N122" s="62"/>
      <c r="R122" s="65"/>
      <c r="AG122" s="91"/>
    </row>
    <row r="123" ht="15.0" hidden="1" customHeight="1">
      <c r="B123" s="56"/>
      <c r="G123" s="141"/>
      <c r="L123" s="3"/>
      <c r="M123" s="3"/>
      <c r="N123" s="62"/>
      <c r="R123" s="65"/>
      <c r="AG123" s="91"/>
    </row>
    <row r="124" ht="15.0" hidden="1" customHeight="1">
      <c r="B124" s="56"/>
      <c r="G124" s="141"/>
      <c r="L124" s="3"/>
      <c r="M124" s="3"/>
      <c r="N124" s="62"/>
      <c r="R124" s="65"/>
      <c r="AG124" s="91"/>
    </row>
    <row r="125" ht="15.0" hidden="1" customHeight="1">
      <c r="B125" s="56"/>
      <c r="G125" s="141"/>
      <c r="L125" s="3"/>
      <c r="M125" s="3"/>
      <c r="N125" s="62"/>
      <c r="R125" s="65"/>
      <c r="AG125" s="91"/>
    </row>
    <row r="126" ht="15.0" hidden="1" customHeight="1">
      <c r="B126" s="56"/>
      <c r="G126" s="141"/>
      <c r="L126" s="3"/>
      <c r="M126" s="3"/>
      <c r="N126" s="62"/>
      <c r="R126" s="65"/>
      <c r="AG126" s="91"/>
    </row>
    <row r="127" ht="15.0" hidden="1" customHeight="1">
      <c r="B127" s="56"/>
      <c r="G127" s="141"/>
      <c r="L127" s="3"/>
      <c r="M127" s="3"/>
      <c r="N127" s="62"/>
      <c r="R127" s="65"/>
      <c r="AG127" s="91"/>
    </row>
    <row r="128" ht="15.0" hidden="1" customHeight="1">
      <c r="B128" s="56"/>
      <c r="G128" s="141"/>
      <c r="L128" s="3"/>
      <c r="M128" s="3"/>
      <c r="N128" s="62"/>
      <c r="R128" s="65"/>
      <c r="AG128" s="91"/>
    </row>
    <row r="129" ht="15.0" hidden="1" customHeight="1">
      <c r="B129" s="56"/>
      <c r="G129" s="141"/>
      <c r="L129" s="3"/>
      <c r="M129" s="3"/>
      <c r="N129" s="62"/>
      <c r="R129" s="65"/>
      <c r="AG129" s="91"/>
    </row>
    <row r="130" ht="15.0" hidden="1" customHeight="1">
      <c r="B130" s="56"/>
      <c r="G130" s="141"/>
      <c r="L130" s="3"/>
      <c r="M130" s="3"/>
      <c r="N130" s="62"/>
      <c r="R130" s="65"/>
      <c r="AG130" s="91"/>
    </row>
    <row r="131" ht="15.0" hidden="1" customHeight="1">
      <c r="B131" s="56"/>
      <c r="G131" s="141"/>
      <c r="L131" s="3"/>
      <c r="M131" s="3"/>
      <c r="N131" s="62"/>
      <c r="R131" s="65"/>
      <c r="AG131" s="91"/>
    </row>
    <row r="132" ht="15.0" hidden="1" customHeight="1">
      <c r="B132" s="56"/>
      <c r="G132" s="141"/>
      <c r="L132" s="3"/>
      <c r="M132" s="3"/>
      <c r="N132" s="62"/>
      <c r="R132" s="65"/>
      <c r="AG132" s="91"/>
    </row>
    <row r="133" ht="15.0" hidden="1" customHeight="1">
      <c r="B133" s="56"/>
      <c r="G133" s="141"/>
      <c r="L133" s="3"/>
      <c r="M133" s="3"/>
      <c r="N133" s="62"/>
      <c r="R133" s="65"/>
      <c r="AG133" s="91"/>
    </row>
    <row r="134" ht="15.0" hidden="1" customHeight="1">
      <c r="B134" s="56"/>
      <c r="G134" s="141"/>
      <c r="L134" s="3"/>
      <c r="M134" s="3"/>
      <c r="N134" s="62"/>
      <c r="R134" s="65"/>
      <c r="AG134" s="91"/>
    </row>
    <row r="135" ht="15.0" hidden="1" customHeight="1">
      <c r="B135" s="56"/>
      <c r="G135" s="141"/>
      <c r="L135" s="3"/>
      <c r="M135" s="3"/>
      <c r="N135" s="62"/>
      <c r="R135" s="65"/>
      <c r="AG135" s="91"/>
    </row>
    <row r="136" ht="15.0" hidden="1" customHeight="1">
      <c r="B136" s="56"/>
      <c r="G136" s="141"/>
      <c r="L136" s="3"/>
      <c r="M136" s="3"/>
      <c r="N136" s="62"/>
      <c r="R136" s="65"/>
      <c r="AG136" s="91"/>
    </row>
    <row r="137" ht="15.0" hidden="1" customHeight="1">
      <c r="B137" s="56"/>
      <c r="G137" s="141"/>
      <c r="L137" s="3"/>
      <c r="M137" s="3"/>
      <c r="N137" s="62"/>
      <c r="R137" s="65"/>
      <c r="AG137" s="91"/>
    </row>
    <row r="138" ht="15.0" hidden="1" customHeight="1">
      <c r="B138" s="56"/>
      <c r="G138" s="141"/>
      <c r="L138" s="3"/>
      <c r="M138" s="3"/>
      <c r="N138" s="62"/>
      <c r="R138" s="65"/>
      <c r="AG138" s="91"/>
    </row>
    <row r="139" ht="15.0" hidden="1" customHeight="1">
      <c r="B139" s="56"/>
      <c r="G139" s="141"/>
      <c r="L139" s="3"/>
      <c r="M139" s="3"/>
      <c r="N139" s="62"/>
      <c r="R139" s="65"/>
      <c r="AG139" s="91"/>
    </row>
    <row r="140" ht="15.0" hidden="1" customHeight="1">
      <c r="B140" s="56"/>
      <c r="G140" s="141"/>
      <c r="L140" s="3"/>
      <c r="M140" s="3"/>
      <c r="N140" s="62"/>
      <c r="R140" s="65"/>
      <c r="AG140" s="91"/>
    </row>
    <row r="141" ht="15.0" hidden="1" customHeight="1">
      <c r="B141" s="56"/>
      <c r="G141" s="141"/>
      <c r="L141" s="3"/>
      <c r="M141" s="3"/>
      <c r="N141" s="62"/>
      <c r="R141" s="65"/>
      <c r="AG141" s="91"/>
    </row>
    <row r="142" ht="15.0" hidden="1" customHeight="1">
      <c r="B142" s="56"/>
      <c r="G142" s="141"/>
      <c r="L142" s="3"/>
      <c r="M142" s="3"/>
      <c r="N142" s="62"/>
      <c r="R142" s="65"/>
      <c r="AG142" s="91"/>
    </row>
    <row r="143" ht="15.0" hidden="1" customHeight="1">
      <c r="B143" s="56"/>
      <c r="G143" s="141"/>
      <c r="L143" s="3"/>
      <c r="M143" s="3"/>
      <c r="N143" s="62"/>
      <c r="R143" s="65"/>
      <c r="AG143" s="91"/>
    </row>
    <row r="144" ht="15.0" hidden="1" customHeight="1">
      <c r="B144" s="56"/>
      <c r="G144" s="141"/>
      <c r="L144" s="3"/>
      <c r="M144" s="3"/>
      <c r="N144" s="62"/>
      <c r="R144" s="65"/>
      <c r="AG144" s="91"/>
    </row>
    <row r="145" ht="15.0" hidden="1" customHeight="1">
      <c r="B145" s="56"/>
      <c r="G145" s="141"/>
      <c r="L145" s="3"/>
      <c r="M145" s="3"/>
      <c r="N145" s="62"/>
      <c r="R145" s="65"/>
      <c r="AG145" s="91"/>
    </row>
    <row r="146" ht="15.0" hidden="1" customHeight="1">
      <c r="B146" s="56"/>
      <c r="G146" s="141"/>
      <c r="L146" s="3"/>
      <c r="M146" s="3"/>
      <c r="N146" s="62"/>
      <c r="R146" s="65"/>
      <c r="AG146" s="91"/>
    </row>
    <row r="147" ht="15.0" hidden="1" customHeight="1">
      <c r="B147" s="56"/>
      <c r="G147" s="141"/>
      <c r="L147" s="3"/>
      <c r="M147" s="3"/>
      <c r="N147" s="62"/>
      <c r="R147" s="65"/>
      <c r="AG147" s="91"/>
    </row>
    <row r="148" ht="15.0" hidden="1" customHeight="1">
      <c r="B148" s="56"/>
      <c r="G148" s="141"/>
      <c r="L148" s="3"/>
      <c r="M148" s="3"/>
      <c r="N148" s="62"/>
      <c r="R148" s="65"/>
      <c r="AG148" s="91"/>
    </row>
    <row r="149" ht="15.0" hidden="1" customHeight="1">
      <c r="B149" s="56"/>
      <c r="G149" s="141"/>
      <c r="L149" s="3"/>
      <c r="M149" s="3"/>
      <c r="N149" s="62"/>
      <c r="R149" s="65"/>
      <c r="AG149" s="91"/>
    </row>
    <row r="150" ht="15.0" hidden="1" customHeight="1">
      <c r="B150" s="56"/>
      <c r="G150" s="141"/>
      <c r="L150" s="3"/>
      <c r="M150" s="3"/>
      <c r="N150" s="62"/>
      <c r="R150" s="65"/>
      <c r="AG150" s="91"/>
    </row>
    <row r="151" ht="15.0" hidden="1" customHeight="1">
      <c r="B151" s="56"/>
      <c r="G151" s="141"/>
      <c r="L151" s="3"/>
      <c r="M151" s="3"/>
      <c r="N151" s="62"/>
      <c r="R151" s="65"/>
      <c r="AG151" s="91"/>
    </row>
    <row r="152" ht="15.0" hidden="1" customHeight="1">
      <c r="B152" s="56"/>
      <c r="G152" s="141"/>
      <c r="L152" s="3"/>
      <c r="M152" s="3"/>
      <c r="N152" s="62"/>
      <c r="R152" s="65"/>
      <c r="AG152" s="91"/>
    </row>
    <row r="153" ht="15.0" hidden="1" customHeight="1">
      <c r="B153" s="56"/>
      <c r="G153" s="141"/>
      <c r="L153" s="3"/>
      <c r="M153" s="3"/>
      <c r="N153" s="62"/>
      <c r="R153" s="65"/>
      <c r="AG153" s="91"/>
    </row>
    <row r="154" ht="15.0" hidden="1" customHeight="1">
      <c r="B154" s="56"/>
      <c r="G154" s="141"/>
      <c r="L154" s="3"/>
      <c r="M154" s="3"/>
      <c r="N154" s="62"/>
      <c r="R154" s="65"/>
      <c r="AG154" s="91"/>
    </row>
    <row r="155" ht="15.0" hidden="1" customHeight="1">
      <c r="B155" s="56"/>
      <c r="G155" s="141"/>
      <c r="L155" s="3"/>
      <c r="M155" s="3"/>
      <c r="N155" s="62"/>
      <c r="R155" s="65"/>
      <c r="AG155" s="91"/>
    </row>
    <row r="156" ht="15.0" hidden="1" customHeight="1">
      <c r="B156" s="56"/>
      <c r="G156" s="141"/>
      <c r="L156" s="3"/>
      <c r="M156" s="3"/>
      <c r="R156" s="65"/>
      <c r="AG156" s="91"/>
    </row>
    <row r="157" ht="15.0" hidden="1" customHeight="1">
      <c r="B157" s="56"/>
      <c r="G157" s="141"/>
      <c r="L157" s="3"/>
      <c r="M157" s="3"/>
      <c r="R157" s="65"/>
      <c r="AG157" s="91"/>
    </row>
    <row r="158" ht="15.0" hidden="1" customHeight="1">
      <c r="B158" s="56"/>
      <c r="G158" s="141"/>
      <c r="L158" s="3"/>
      <c r="M158" s="3"/>
      <c r="R158" s="65"/>
      <c r="AG158" s="91"/>
    </row>
    <row r="159" ht="15.0" hidden="1" customHeight="1">
      <c r="B159" s="56"/>
      <c r="G159" s="141"/>
      <c r="L159" s="3"/>
      <c r="M159" s="3"/>
      <c r="R159" s="65"/>
      <c r="AG159" s="91"/>
    </row>
    <row r="160" ht="15.0" hidden="1" customHeight="1">
      <c r="B160" s="56"/>
      <c r="G160" s="141"/>
      <c r="L160" s="3"/>
      <c r="M160" s="3"/>
      <c r="R160" s="65"/>
      <c r="AG160" s="91"/>
    </row>
    <row r="161" ht="15.0" hidden="1" customHeight="1">
      <c r="B161" s="56"/>
      <c r="G161" s="141"/>
      <c r="L161" s="3"/>
      <c r="M161" s="3"/>
      <c r="R161" s="65"/>
      <c r="AG161" s="91"/>
    </row>
    <row r="162" ht="15.0" hidden="1" customHeight="1">
      <c r="B162" s="56"/>
      <c r="G162" s="141"/>
      <c r="L162" s="3"/>
      <c r="M162" s="3"/>
      <c r="R162" s="65"/>
      <c r="AG162" s="91"/>
    </row>
    <row r="163" ht="15.0" hidden="1" customHeight="1">
      <c r="B163" s="56"/>
      <c r="G163" s="141"/>
      <c r="L163" s="3"/>
      <c r="M163" s="3"/>
      <c r="R163" s="65"/>
      <c r="AG163" s="91"/>
    </row>
    <row r="164" ht="15.0" hidden="1" customHeight="1">
      <c r="B164" s="56"/>
      <c r="G164" s="141"/>
      <c r="L164" s="3"/>
      <c r="M164" s="3"/>
      <c r="R164" s="65"/>
      <c r="AG164" s="91"/>
    </row>
    <row r="165" ht="15.0" hidden="1" customHeight="1">
      <c r="B165" s="56"/>
      <c r="G165" s="141"/>
      <c r="L165" s="3"/>
      <c r="M165" s="3"/>
      <c r="R165" s="65"/>
      <c r="AG165" s="91"/>
    </row>
    <row r="166" ht="15.0" hidden="1" customHeight="1">
      <c r="B166" s="56"/>
      <c r="G166" s="141"/>
      <c r="L166" s="3"/>
      <c r="M166" s="3"/>
      <c r="R166" s="65"/>
      <c r="AG166" s="91"/>
    </row>
    <row r="167" ht="15.0" hidden="1" customHeight="1">
      <c r="B167" s="56"/>
      <c r="G167" s="141"/>
      <c r="L167" s="3"/>
      <c r="M167" s="3"/>
      <c r="R167" s="65"/>
      <c r="AG167" s="91"/>
    </row>
    <row r="168" ht="15.0" hidden="1" customHeight="1">
      <c r="B168" s="56"/>
      <c r="G168" s="141"/>
      <c r="L168" s="3"/>
      <c r="M168" s="3"/>
      <c r="R168" s="65"/>
      <c r="AG168" s="91"/>
    </row>
    <row r="169" ht="15.0" hidden="1" customHeight="1">
      <c r="B169" s="56"/>
      <c r="G169" s="141"/>
      <c r="L169" s="3"/>
      <c r="M169" s="3"/>
      <c r="R169" s="65"/>
      <c r="AG169" s="91"/>
    </row>
    <row r="170" ht="15.0" hidden="1" customHeight="1">
      <c r="B170" s="56"/>
      <c r="G170" s="141"/>
      <c r="L170" s="3"/>
      <c r="M170" s="3"/>
      <c r="R170" s="65"/>
      <c r="AG170" s="91"/>
    </row>
    <row r="171" ht="15.0" hidden="1" customHeight="1">
      <c r="B171" s="56"/>
      <c r="G171" s="141"/>
      <c r="L171" s="3"/>
      <c r="M171" s="3"/>
      <c r="R171" s="65"/>
      <c r="AG171" s="91"/>
    </row>
    <row r="172" ht="15.0" hidden="1" customHeight="1">
      <c r="B172" s="56"/>
      <c r="G172" s="141"/>
      <c r="L172" s="3"/>
      <c r="M172" s="3"/>
      <c r="R172" s="65"/>
      <c r="AG172" s="91"/>
    </row>
    <row r="173" ht="15.0" hidden="1" customHeight="1">
      <c r="B173" s="56"/>
      <c r="G173" s="141"/>
      <c r="L173" s="3"/>
      <c r="M173" s="3"/>
      <c r="R173" s="65"/>
      <c r="AG173" s="91"/>
    </row>
    <row r="174" ht="15.0" hidden="1" customHeight="1">
      <c r="B174" s="56"/>
      <c r="G174" s="141"/>
      <c r="L174" s="3"/>
      <c r="M174" s="3"/>
      <c r="R174" s="65"/>
      <c r="AG174" s="91"/>
    </row>
    <row r="175" ht="15.0" hidden="1" customHeight="1">
      <c r="B175" s="56"/>
      <c r="G175" s="141"/>
      <c r="L175" s="3"/>
      <c r="M175" s="3"/>
      <c r="R175" s="65"/>
      <c r="AG175" s="91"/>
    </row>
    <row r="176" ht="15.0" hidden="1" customHeight="1">
      <c r="B176" s="56"/>
      <c r="G176" s="141"/>
      <c r="L176" s="3"/>
      <c r="M176" s="3"/>
      <c r="R176" s="65"/>
      <c r="AG176" s="91"/>
    </row>
    <row r="177" ht="15.0" hidden="1" customHeight="1">
      <c r="B177" s="56"/>
      <c r="G177" s="141"/>
      <c r="L177" s="3"/>
      <c r="M177" s="3"/>
      <c r="R177" s="65"/>
      <c r="AG177" s="91"/>
    </row>
    <row r="178" ht="15.0" hidden="1" customHeight="1">
      <c r="B178" s="56"/>
      <c r="G178" s="141"/>
      <c r="L178" s="3"/>
      <c r="M178" s="3"/>
      <c r="R178" s="65"/>
      <c r="AG178" s="91"/>
    </row>
    <row r="179" ht="15.0" hidden="1" customHeight="1">
      <c r="B179" s="56"/>
      <c r="G179" s="141"/>
      <c r="L179" s="3"/>
      <c r="M179" s="3"/>
      <c r="R179" s="65"/>
      <c r="AG179" s="91"/>
    </row>
    <row r="180" ht="15.0" hidden="1" customHeight="1">
      <c r="B180" s="56"/>
      <c r="G180" s="141"/>
      <c r="L180" s="3"/>
      <c r="M180" s="3"/>
      <c r="R180" s="65"/>
      <c r="AG180" s="91"/>
    </row>
    <row r="181" ht="15.0" hidden="1" customHeight="1">
      <c r="B181" s="56"/>
      <c r="G181" s="141"/>
      <c r="L181" s="3"/>
      <c r="M181" s="3"/>
      <c r="R181" s="65"/>
      <c r="AG181" s="91"/>
    </row>
    <row r="182" ht="15.0" hidden="1" customHeight="1">
      <c r="B182" s="56"/>
      <c r="G182" s="141"/>
      <c r="L182" s="3"/>
      <c r="M182" s="3"/>
      <c r="R182" s="65"/>
      <c r="AG182" s="91"/>
    </row>
    <row r="183" ht="15.0" hidden="1" customHeight="1">
      <c r="B183" s="56"/>
      <c r="G183" s="141"/>
      <c r="L183" s="3"/>
      <c r="M183" s="3"/>
      <c r="R183" s="65"/>
      <c r="AG183" s="91"/>
    </row>
    <row r="184" ht="15.0" hidden="1" customHeight="1">
      <c r="B184" s="56"/>
      <c r="G184" s="141"/>
      <c r="L184" s="3"/>
      <c r="M184" s="3"/>
      <c r="R184" s="65"/>
      <c r="AG184" s="91"/>
    </row>
    <row r="185" ht="15.0" hidden="1" customHeight="1">
      <c r="B185" s="56"/>
      <c r="G185" s="141"/>
      <c r="L185" s="3"/>
      <c r="M185" s="3"/>
      <c r="R185" s="65"/>
      <c r="AG185" s="91"/>
    </row>
    <row r="186" ht="15.0" hidden="1" customHeight="1">
      <c r="B186" s="56"/>
      <c r="G186" s="141"/>
      <c r="L186" s="3"/>
      <c r="M186" s="3"/>
      <c r="R186" s="65"/>
      <c r="AG186" s="91"/>
    </row>
    <row r="187" ht="15.0" hidden="1" customHeight="1">
      <c r="B187" s="56"/>
      <c r="G187" s="141"/>
      <c r="L187" s="3"/>
      <c r="M187" s="3"/>
      <c r="R187" s="65"/>
      <c r="AG187" s="91"/>
    </row>
    <row r="188" ht="15.0" hidden="1" customHeight="1">
      <c r="B188" s="56"/>
      <c r="G188" s="141"/>
      <c r="L188" s="3"/>
      <c r="M188" s="3"/>
      <c r="R188" s="65"/>
      <c r="AG188" s="91"/>
    </row>
    <row r="189" ht="15.0" hidden="1" customHeight="1">
      <c r="B189" s="56"/>
      <c r="G189" s="141"/>
      <c r="L189" s="3"/>
      <c r="M189" s="3"/>
      <c r="R189" s="65"/>
      <c r="AG189" s="91"/>
    </row>
    <row r="190" ht="15.0" hidden="1" customHeight="1">
      <c r="B190" s="56"/>
      <c r="G190" s="141"/>
      <c r="L190" s="3"/>
      <c r="M190" s="3"/>
      <c r="R190" s="65"/>
      <c r="AG190" s="91"/>
    </row>
    <row r="191" ht="15.0" hidden="1" customHeight="1">
      <c r="B191" s="56"/>
      <c r="G191" s="141"/>
      <c r="L191" s="3"/>
      <c r="M191" s="3"/>
      <c r="R191" s="65"/>
      <c r="AG191" s="91"/>
    </row>
    <row r="192" ht="15.0" hidden="1" customHeight="1">
      <c r="B192" s="56"/>
      <c r="G192" s="141"/>
      <c r="L192" s="3"/>
      <c r="M192" s="3"/>
      <c r="R192" s="65"/>
      <c r="AG192" s="91"/>
    </row>
    <row r="193" ht="15.0" hidden="1" customHeight="1">
      <c r="B193" s="56"/>
      <c r="G193" s="141"/>
      <c r="L193" s="3"/>
      <c r="M193" s="3"/>
      <c r="R193" s="65"/>
      <c r="AG193" s="91"/>
    </row>
    <row r="194" ht="15.0" hidden="1" customHeight="1">
      <c r="B194" s="56"/>
      <c r="G194" s="141"/>
      <c r="L194" s="3"/>
      <c r="M194" s="3"/>
      <c r="R194" s="65"/>
      <c r="AG194" s="91"/>
    </row>
    <row r="195" ht="15.0" hidden="1" customHeight="1">
      <c r="B195" s="56"/>
      <c r="G195" s="141"/>
      <c r="L195" s="3"/>
      <c r="M195" s="3"/>
      <c r="R195" s="65"/>
      <c r="AG195" s="91"/>
    </row>
    <row r="196" ht="15.0" hidden="1" customHeight="1">
      <c r="B196" s="56"/>
      <c r="G196" s="141"/>
      <c r="L196" s="3"/>
      <c r="M196" s="3"/>
      <c r="R196" s="65"/>
      <c r="AG196" s="91"/>
    </row>
    <row r="197" ht="15.0" hidden="1" customHeight="1">
      <c r="B197" s="56"/>
      <c r="G197" s="141"/>
      <c r="L197" s="3"/>
      <c r="M197" s="3"/>
      <c r="R197" s="65"/>
      <c r="AG197" s="91"/>
    </row>
    <row r="198" ht="15.0" hidden="1" customHeight="1">
      <c r="B198" s="56"/>
      <c r="G198" s="141"/>
      <c r="L198" s="3"/>
      <c r="M198" s="3"/>
      <c r="R198" s="65"/>
      <c r="AG198" s="91"/>
    </row>
    <row r="199" ht="15.0" hidden="1" customHeight="1">
      <c r="B199" s="56"/>
      <c r="G199" s="141"/>
      <c r="L199" s="3"/>
      <c r="M199" s="3"/>
      <c r="R199" s="65"/>
      <c r="AG199" s="91"/>
    </row>
    <row r="200" ht="15.0" hidden="1" customHeight="1">
      <c r="B200" s="56"/>
      <c r="G200" s="141"/>
      <c r="L200" s="3"/>
      <c r="M200" s="3"/>
      <c r="R200" s="65"/>
      <c r="AG200" s="91"/>
    </row>
    <row r="201" ht="15.0" hidden="1" customHeight="1">
      <c r="B201" s="56"/>
      <c r="G201" s="141"/>
      <c r="L201" s="3"/>
      <c r="M201" s="3"/>
      <c r="R201" s="65"/>
      <c r="AG201" s="91"/>
    </row>
    <row r="202" ht="15.0" hidden="1" customHeight="1">
      <c r="B202" s="56"/>
      <c r="G202" s="141"/>
      <c r="L202" s="3"/>
      <c r="M202" s="3"/>
      <c r="R202" s="65"/>
      <c r="AG202" s="91"/>
    </row>
    <row r="203" ht="15.0" customHeight="1">
      <c r="B203" s="56"/>
      <c r="G203" s="141"/>
      <c r="I203" s="3" t="s">
        <v>12</v>
      </c>
      <c r="K203" s="3" t="s">
        <v>14</v>
      </c>
      <c r="L203" s="3" t="s">
        <v>683</v>
      </c>
      <c r="M203" s="143" t="s">
        <v>684</v>
      </c>
      <c r="N203" s="3" t="s">
        <v>685</v>
      </c>
      <c r="O203" s="3" t="s">
        <v>686</v>
      </c>
      <c r="P203" s="3" t="s">
        <v>687</v>
      </c>
      <c r="Q203" s="3" t="s">
        <v>688</v>
      </c>
      <c r="R203" s="65"/>
      <c r="AG203" s="91"/>
    </row>
    <row r="204" ht="15.0" customHeight="1">
      <c r="A204" s="2" t="s">
        <v>558</v>
      </c>
      <c r="G204" s="141"/>
      <c r="H204" s="58"/>
      <c r="I204" s="57">
        <f t="shared" ref="I204:I209" si="44">SUMIF($AO$4:$AO$203,$A204,$I$4:$I$203)</f>
        <v>109.83</v>
      </c>
      <c r="J204" s="144"/>
      <c r="K204" s="6">
        <f t="shared" ref="K204:K209" si="45">SUMIF($AO$4:$AO$203,$A204,$K$4:$K$203)</f>
        <v>102.318678</v>
      </c>
      <c r="L204" s="6">
        <f t="array" ref="L204">+SUMPRODUCT(IF($AO$4:$AO$203=A204,$L$4:$L$203*$K$4:$K$203/K204))</f>
        <v>0.2635828972</v>
      </c>
      <c r="M204" s="145">
        <f t="shared" ref="M204:M214" si="46">31.1035*1.1023*L204*(100-N204)/100</f>
        <v>0.5556582959</v>
      </c>
      <c r="N204" s="58">
        <f t="array" ref="N204">+SUMPRODUCT(IF($AO$4:$AO$203=A204,($Q$4:$Q$203*$AH$4:$AH$203)/SUMIF($AO$4:$AO$203,A204,$AH$4:$AH$203)))</f>
        <v>93.85132545</v>
      </c>
      <c r="O204" s="65">
        <f t="shared" ref="O204:O214" si="47">+L204*31.1035*1.1023*K204</f>
        <v>924.6581815</v>
      </c>
      <c r="P204" s="65">
        <f t="shared" ref="P204:P214" si="48">+O204*N204/100</f>
        <v>867.8039592</v>
      </c>
      <c r="Q204" s="58">
        <f>+O204-P204</f>
        <v>56.85422225</v>
      </c>
      <c r="R204" s="65"/>
      <c r="AG204" s="91"/>
      <c r="AH204" s="6"/>
    </row>
    <row r="205" ht="15.0" customHeight="1">
      <c r="A205" s="2" t="s">
        <v>551</v>
      </c>
      <c r="G205" s="141"/>
      <c r="H205" s="58"/>
      <c r="I205" s="57">
        <f t="shared" si="44"/>
        <v>110.77</v>
      </c>
      <c r="J205" s="146"/>
      <c r="K205" s="6">
        <f t="shared" si="45"/>
        <v>101.220575</v>
      </c>
      <c r="L205" s="6">
        <f t="array" ref="L205">+SUMPRODUCT(IF($AO$4:$AO$203=A205,$L$4:$L$203*$K$4:$K$203/K205))</f>
        <v>0.2835147758</v>
      </c>
      <c r="M205" s="145">
        <f t="shared" si="46"/>
        <v>0.5791784271</v>
      </c>
      <c r="N205" s="58">
        <f t="array" ref="N205">+SUMPRODUCT(IF($AO$4:$AO$203=A205,($Q$4:$Q$203*$AH$4:$AH$203)/SUMIF($AO$4:$AO$203,A205,$AH$4:$AH$203)))</f>
        <v>94.04162805</v>
      </c>
      <c r="O205" s="65">
        <f t="shared" si="47"/>
        <v>983.905905</v>
      </c>
      <c r="P205" s="65">
        <f t="shared" si="48"/>
        <v>925.2811316</v>
      </c>
      <c r="Q205" s="58">
        <f t="shared" ref="Q205:Q214" si="49">+Q204+O205-P205</f>
        <v>115.4789957</v>
      </c>
      <c r="R205" s="65"/>
      <c r="AG205" s="91"/>
      <c r="AH205" s="6"/>
    </row>
    <row r="206" ht="15.0" customHeight="1">
      <c r="A206" s="2" t="s">
        <v>547</v>
      </c>
      <c r="G206" s="141"/>
      <c r="H206" s="58"/>
      <c r="I206" s="57">
        <f t="shared" si="44"/>
        <v>104.52</v>
      </c>
      <c r="J206" s="146"/>
      <c r="K206" s="6">
        <f t="shared" si="45"/>
        <v>100.798235</v>
      </c>
      <c r="L206" s="6">
        <f t="array" ref="L206">+SUMPRODUCT(IF($AO$4:$AO$203=A206,$L$4:$L$203*$K$4:$K$203/K206))</f>
        <v>0.2534667046</v>
      </c>
      <c r="M206" s="145">
        <f t="shared" si="46"/>
        <v>0.5063692418</v>
      </c>
      <c r="N206" s="58">
        <f t="array" ref="N206">+SUMPRODUCT(IF($AO$4:$AO$203=A206,($Q$4:$Q$203*$AH$4:$AH$203)/SUMIF($AO$4:$AO$203,A206,$AH$4:$AH$203)))</f>
        <v>94.17310315</v>
      </c>
      <c r="O206" s="65">
        <f t="shared" si="47"/>
        <v>875.9572577</v>
      </c>
      <c r="P206" s="65">
        <f t="shared" si="48"/>
        <v>824.9161319</v>
      </c>
      <c r="Q206" s="58">
        <f t="shared" si="49"/>
        <v>166.5201215</v>
      </c>
      <c r="R206" s="65"/>
      <c r="AG206" s="91"/>
      <c r="AH206" s="6"/>
    </row>
    <row r="207" ht="15.0" customHeight="1">
      <c r="A207" s="2" t="s">
        <v>549</v>
      </c>
      <c r="G207" s="141"/>
      <c r="H207" s="58"/>
      <c r="I207" s="57">
        <f t="shared" si="44"/>
        <v>113.23</v>
      </c>
      <c r="J207" s="58"/>
      <c r="K207" s="6">
        <f t="shared" si="45"/>
        <v>105.029429</v>
      </c>
      <c r="L207" s="6">
        <f t="array" ref="L207">+SUMPRODUCT(IF($AO$4:$AO$203=A207,$L$4:$L$203*$K$4:$K$203/K207))</f>
        <v>0.2806817537</v>
      </c>
      <c r="M207" s="145">
        <f t="shared" si="46"/>
        <v>0.6901257064</v>
      </c>
      <c r="N207" s="58">
        <f t="array" ref="N207">+SUMPRODUCT(IF($AO$4:$AO$203=A207,($Q$4:$Q$203*$AH$4:$AH$203)/SUMIF($AO$4:$AO$203,A207,$AH$4:$AH$203)))</f>
        <v>92.82858337</v>
      </c>
      <c r="O207" s="65">
        <f t="shared" si="47"/>
        <v>1010.727902</v>
      </c>
      <c r="P207" s="65">
        <f t="shared" si="48"/>
        <v>938.2443933</v>
      </c>
      <c r="Q207" s="58">
        <f t="shared" si="49"/>
        <v>239.0036304</v>
      </c>
      <c r="R207" s="65"/>
      <c r="AG207" s="91"/>
    </row>
    <row r="208" ht="15.0" customHeight="1">
      <c r="A208" s="2" t="s">
        <v>561</v>
      </c>
      <c r="G208" s="141"/>
      <c r="H208" s="58"/>
      <c r="I208" s="57">
        <f t="shared" si="44"/>
        <v>110.47</v>
      </c>
      <c r="J208" s="58"/>
      <c r="K208" s="6">
        <f t="shared" si="45"/>
        <v>100.663925</v>
      </c>
      <c r="L208" s="6">
        <f t="array" ref="L208">+SUMPRODUCT(IF($AO$4:$AO$203=A208,$L$4:$L$203*$K$4:$K$203/K208))</f>
        <v>0.2432731797</v>
      </c>
      <c r="M208" s="145">
        <f t="shared" si="46"/>
        <v>0.7353909659</v>
      </c>
      <c r="N208" s="58">
        <f t="array" ref="N208">+SUMPRODUCT(IF($AO$4:$AO$203=A208,($Q$4:$Q$203*$AH$4:$AH$203)/SUMIF($AO$4:$AO$203,A208,$AH$4:$AH$203)))</f>
        <v>91.18311879</v>
      </c>
      <c r="O208" s="65">
        <f t="shared" si="47"/>
        <v>839.6091462</v>
      </c>
      <c r="P208" s="65">
        <f t="shared" si="48"/>
        <v>765.5818052</v>
      </c>
      <c r="Q208" s="58">
        <f t="shared" si="49"/>
        <v>313.0309714</v>
      </c>
      <c r="R208" s="65"/>
      <c r="AG208" s="91"/>
    </row>
    <row r="209" ht="15.0" customHeight="1">
      <c r="A209" s="2" t="s">
        <v>689</v>
      </c>
      <c r="G209" s="141"/>
      <c r="H209" s="58"/>
      <c r="I209" s="57">
        <f t="shared" si="44"/>
        <v>0</v>
      </c>
      <c r="J209" s="58"/>
      <c r="K209" s="6">
        <f t="shared" si="45"/>
        <v>0</v>
      </c>
      <c r="L209" s="6">
        <f t="array" ref="L209">+SUMPRODUCT(IF($AO$4:$AO$203=A209,$L$4:$L$203*$K$4:$K$203/K209))</f>
        <v>0</v>
      </c>
      <c r="M209" s="145">
        <f t="shared" si="46"/>
        <v>0</v>
      </c>
      <c r="N209" s="58">
        <f t="array" ref="N209">+SUMPRODUCT(IF($AO$4:$AO$203=A209,($Q$4:$Q$203*$AH$4:$AH$203)/SUMIF($AO$4:$AO$203,A209,$AH$4:$AH$203)))</f>
        <v>0</v>
      </c>
      <c r="O209" s="65">
        <f t="shared" si="47"/>
        <v>0</v>
      </c>
      <c r="P209" s="65">
        <f t="shared" si="48"/>
        <v>0</v>
      </c>
      <c r="Q209" s="58">
        <f t="shared" si="49"/>
        <v>313.0309714</v>
      </c>
      <c r="R209" s="65"/>
      <c r="AG209" s="91"/>
    </row>
    <row r="210" ht="15.0" customHeight="1">
      <c r="A210" s="2" t="s">
        <v>690</v>
      </c>
      <c r="G210" s="141"/>
      <c r="H210" s="58"/>
      <c r="I210" s="57">
        <f t="shared" ref="I210:I211" si="50">SUMIF($AO7:$AO209,$A210,I7:I209)</f>
        <v>0</v>
      </c>
      <c r="J210" s="146"/>
      <c r="K210" s="6">
        <f t="shared" ref="K210:K211" si="51">SUMIF($AO7:$AO209,$A210,$K$4:$K$203)</f>
        <v>0</v>
      </c>
      <c r="L210" s="6">
        <f t="array" ref="L210">+SUMPRODUCT(IF($AO$4:$AO$203=A210,$L$4:$L$203*$K$4:$K$203/K210))</f>
        <v>0</v>
      </c>
      <c r="M210" s="145">
        <f t="shared" si="46"/>
        <v>0</v>
      </c>
      <c r="N210" s="58">
        <f t="array" ref="N210">+SUMPRODUCT(IF($AO$4:$AO$203=A210,($Q$4:$Q$203*$AH$4:$AH$203)/SUMIF($AO$4:$AO$203,A210,$AH$4:$AH$203)))</f>
        <v>0</v>
      </c>
      <c r="O210" s="65">
        <f t="shared" si="47"/>
        <v>0</v>
      </c>
      <c r="P210" s="65">
        <f t="shared" si="48"/>
        <v>0</v>
      </c>
      <c r="Q210" s="58">
        <f t="shared" si="49"/>
        <v>313.0309714</v>
      </c>
      <c r="R210" s="65"/>
      <c r="AG210" s="91"/>
    </row>
    <row r="211" ht="15.0" customHeight="1">
      <c r="A211" s="2" t="s">
        <v>691</v>
      </c>
      <c r="G211" s="141"/>
      <c r="I211" s="57">
        <f t="shared" si="50"/>
        <v>0</v>
      </c>
      <c r="J211" s="146"/>
      <c r="K211" s="6">
        <f t="shared" si="51"/>
        <v>0</v>
      </c>
      <c r="L211" s="6">
        <f t="array" ref="L211">+SUMPRODUCT(IF($AO$4:$AO$203=A211,$L$4:$L$203*$K$4:$K$203/K211))</f>
        <v>0</v>
      </c>
      <c r="M211" s="145">
        <f t="shared" si="46"/>
        <v>0</v>
      </c>
      <c r="N211" s="58">
        <f t="array" ref="N211">+SUMPRODUCT(IF($AO$4:$AO$203=A211,($Q$4:$Q$203*$AH$4:$AH$203)/SUMIF($AO$4:$AO$203,A211,$AH$4:$AH$203)))</f>
        <v>0</v>
      </c>
      <c r="O211" s="65">
        <f t="shared" si="47"/>
        <v>0</v>
      </c>
      <c r="P211" s="65">
        <f t="shared" si="48"/>
        <v>0</v>
      </c>
      <c r="Q211" s="58">
        <f t="shared" si="49"/>
        <v>313.0309714</v>
      </c>
      <c r="R211" s="65"/>
      <c r="AG211" s="91"/>
    </row>
    <row r="212" ht="15.0" customHeight="1">
      <c r="A212" s="2" t="s">
        <v>692</v>
      </c>
      <c r="G212" s="141"/>
      <c r="I212" s="57">
        <f>SUMIF($AO8:$AO211,$A212,I8:I211)</f>
        <v>0</v>
      </c>
      <c r="J212" s="146"/>
      <c r="K212" s="6">
        <f>SUMIF($AO8:$AO211,$A212,$K$4:$K$203)</f>
        <v>0</v>
      </c>
      <c r="L212" s="6">
        <f t="array" ref="L212">+SUMPRODUCT(IF($AO$4:$AO$203=A212,$L$4:$L$203*$K$4:$K$203/K212))</f>
        <v>0</v>
      </c>
      <c r="M212" s="145">
        <f t="shared" si="46"/>
        <v>0</v>
      </c>
      <c r="N212" s="58">
        <f t="array" ref="N212">+SUMPRODUCT(IF($AO$4:$AO$203=A212,($Q$4:$Q$203*$AH$4:$AH$203)/SUMIF($AO$4:$AO$203,A212,$AH$4:$AH$203)))</f>
        <v>0</v>
      </c>
      <c r="O212" s="65">
        <f t="shared" si="47"/>
        <v>0</v>
      </c>
      <c r="P212" s="65">
        <f t="shared" si="48"/>
        <v>0</v>
      </c>
      <c r="Q212" s="58">
        <f t="shared" si="49"/>
        <v>313.0309714</v>
      </c>
      <c r="R212" s="65"/>
      <c r="AG212" s="91"/>
    </row>
    <row r="213" ht="15.0" customHeight="1">
      <c r="A213" s="2" t="s">
        <v>693</v>
      </c>
      <c r="G213" s="141"/>
      <c r="I213" s="57">
        <f t="shared" ref="I213:I214" si="52">SUMIF($AO8:$AO212,$A213,I8:I212)</f>
        <v>0</v>
      </c>
      <c r="J213" s="146"/>
      <c r="K213" s="6">
        <f>SUMIF($AO8:$AO212,$A213,$K$4:$K$203)</f>
        <v>0</v>
      </c>
      <c r="L213" s="6">
        <f t="array" ref="L213">+SUMPRODUCT(IF($AO$4:$AO$203=A213,$L$4:$L$203*$K$4:$K$203/K213))</f>
        <v>0</v>
      </c>
      <c r="M213" s="145">
        <f t="shared" si="46"/>
        <v>0</v>
      </c>
      <c r="N213" s="58">
        <f t="array" ref="N213">+SUMPRODUCT(IF($AO$4:$AO$203=A213,($Q$4:$Q$203*$AH$4:$AH$203)/SUMIF($AO$4:$AO$203,A213,$AH$4:$AH$203)))</f>
        <v>0</v>
      </c>
      <c r="O213" s="65">
        <f t="shared" si="47"/>
        <v>0</v>
      </c>
      <c r="P213" s="65">
        <f t="shared" si="48"/>
        <v>0</v>
      </c>
      <c r="Q213" s="58">
        <f t="shared" si="49"/>
        <v>313.0309714</v>
      </c>
      <c r="R213" s="65"/>
      <c r="AG213" s="91"/>
    </row>
    <row r="214" ht="15.0" customHeight="1">
      <c r="A214" s="147" t="s">
        <v>694</v>
      </c>
      <c r="G214" s="141"/>
      <c r="I214" s="57">
        <f t="shared" si="52"/>
        <v>0</v>
      </c>
      <c r="J214" s="146"/>
      <c r="K214" s="6">
        <f>SUMIF($AO9:$AO213,$A214,K9:K213)</f>
        <v>0</v>
      </c>
      <c r="L214" s="6">
        <f t="array" ref="L214">+SUMPRODUCT(IF($AO$4:$AO$203=A214,$L$4:$L$203*$K$4:$K$203/K214))</f>
        <v>0</v>
      </c>
      <c r="M214" s="145">
        <f t="shared" si="46"/>
        <v>0</v>
      </c>
      <c r="N214" s="58">
        <f t="array" ref="N214">+SUMPRODUCT(IF($AO$4:$AO$203=A214,($Q$4:$Q$203*$AH$4:$AH$203)/SUMIF($AO$4:$AO$203,A214,$AH$4:$AH$203)))</f>
        <v>0</v>
      </c>
      <c r="O214" s="65">
        <f t="shared" si="47"/>
        <v>0</v>
      </c>
      <c r="P214" s="65">
        <f t="shared" si="48"/>
        <v>0</v>
      </c>
      <c r="Q214" s="58">
        <f t="shared" si="49"/>
        <v>313.0309714</v>
      </c>
      <c r="R214" s="65"/>
      <c r="AG214" s="91"/>
    </row>
    <row r="215" ht="15.0" customHeight="1">
      <c r="G215" s="141"/>
      <c r="L215" s="3"/>
      <c r="M215" s="3"/>
      <c r="O215" s="148">
        <f t="shared" ref="O215:P215" si="53">SUM(O204:O214)</f>
        <v>4634.858393</v>
      </c>
      <c r="P215" s="148">
        <f t="shared" si="53"/>
        <v>4321.827421</v>
      </c>
      <c r="R215" s="65"/>
      <c r="AG215" s="91"/>
    </row>
    <row r="216" ht="15.0" customHeight="1">
      <c r="G216" s="141"/>
      <c r="L216" s="3"/>
      <c r="M216" s="3"/>
      <c r="R216" s="65"/>
      <c r="AG216" s="91"/>
    </row>
    <row r="217" ht="15.0" customHeight="1">
      <c r="G217" s="141"/>
      <c r="L217" s="3"/>
      <c r="M217" s="3"/>
      <c r="R217" s="65"/>
      <c r="AG217" s="91"/>
    </row>
    <row r="218" ht="15.0" customHeight="1">
      <c r="G218" s="141"/>
      <c r="L218" s="3"/>
      <c r="M218" s="3"/>
      <c r="R218" s="65"/>
      <c r="AG218" s="91"/>
    </row>
    <row r="219" ht="15.0" customHeight="1">
      <c r="G219" s="141"/>
      <c r="L219" s="3"/>
      <c r="M219" s="3"/>
      <c r="R219" s="65"/>
      <c r="AG219" s="91"/>
    </row>
    <row r="220" ht="15.0" customHeight="1">
      <c r="G220" s="141"/>
      <c r="L220" s="3"/>
      <c r="M220" s="3"/>
      <c r="R220" s="65"/>
      <c r="AG220" s="91"/>
    </row>
    <row r="221" ht="15.0" customHeight="1">
      <c r="G221" s="141"/>
      <c r="L221" s="3"/>
      <c r="M221" s="3"/>
      <c r="R221" s="65"/>
      <c r="AG221" s="91"/>
    </row>
    <row r="222" ht="15.0" customHeight="1">
      <c r="G222" s="141"/>
      <c r="L222" s="3"/>
      <c r="M222" s="3"/>
      <c r="R222" s="65"/>
      <c r="AG222" s="91"/>
    </row>
    <row r="223" ht="15.0" customHeight="1">
      <c r="G223" s="141"/>
      <c r="L223" s="3"/>
      <c r="M223" s="3"/>
      <c r="R223" s="65"/>
      <c r="AG223" s="91"/>
    </row>
    <row r="224" ht="15.0" customHeight="1">
      <c r="G224" s="141"/>
      <c r="L224" s="3"/>
      <c r="M224" s="3"/>
      <c r="R224" s="65"/>
      <c r="AG224" s="91"/>
    </row>
    <row r="225" ht="15.0" customHeight="1">
      <c r="G225" s="141"/>
      <c r="L225" s="3"/>
      <c r="M225" s="3"/>
      <c r="R225" s="65"/>
      <c r="AG225" s="91"/>
    </row>
    <row r="226" ht="15.0" customHeight="1">
      <c r="G226" s="141"/>
      <c r="L226" s="3"/>
      <c r="M226" s="3"/>
      <c r="R226" s="65"/>
      <c r="AG226" s="91"/>
    </row>
    <row r="227" ht="15.0" customHeight="1">
      <c r="G227" s="141"/>
      <c r="L227" s="3"/>
      <c r="M227" s="3"/>
      <c r="R227" s="65"/>
      <c r="AG227" s="91"/>
    </row>
    <row r="228" ht="15.0" customHeight="1">
      <c r="G228" s="141"/>
      <c r="L228" s="3"/>
      <c r="M228" s="3"/>
      <c r="R228" s="65"/>
      <c r="AG228" s="91"/>
    </row>
    <row r="229" ht="15.0" customHeight="1">
      <c r="G229" s="141"/>
      <c r="L229" s="3"/>
      <c r="M229" s="3"/>
      <c r="R229" s="65"/>
      <c r="AG229" s="91"/>
    </row>
    <row r="230" ht="15.0" customHeight="1">
      <c r="G230" s="141"/>
      <c r="L230" s="3"/>
      <c r="M230" s="3"/>
      <c r="R230" s="65"/>
      <c r="AG230" s="91"/>
    </row>
    <row r="231" ht="15.0" customHeight="1">
      <c r="G231" s="141"/>
      <c r="L231" s="3"/>
      <c r="M231" s="3"/>
      <c r="R231" s="65"/>
      <c r="AG231" s="91"/>
    </row>
    <row r="232" ht="15.0" customHeight="1">
      <c r="G232" s="141"/>
      <c r="L232" s="3"/>
      <c r="M232" s="3"/>
      <c r="R232" s="65"/>
      <c r="AG232" s="91"/>
    </row>
    <row r="233" ht="15.0" customHeight="1">
      <c r="G233" s="141"/>
      <c r="L233" s="3"/>
      <c r="M233" s="3"/>
      <c r="R233" s="65"/>
      <c r="AG233" s="91"/>
    </row>
    <row r="234" ht="15.0" customHeight="1">
      <c r="G234" s="141"/>
      <c r="L234" s="3"/>
      <c r="M234" s="3"/>
      <c r="R234" s="65"/>
      <c r="AG234" s="91"/>
    </row>
    <row r="235" ht="15.0" customHeight="1">
      <c r="G235" s="141"/>
      <c r="L235" s="3"/>
      <c r="M235" s="3"/>
      <c r="R235" s="65"/>
      <c r="AG235" s="91"/>
    </row>
    <row r="236" ht="15.0" customHeight="1">
      <c r="G236" s="141"/>
      <c r="L236" s="3"/>
      <c r="M236" s="3"/>
      <c r="R236" s="65"/>
      <c r="AG236" s="91"/>
    </row>
    <row r="237" ht="15.0" customHeight="1">
      <c r="G237" s="141"/>
      <c r="L237" s="3"/>
      <c r="M237" s="3"/>
      <c r="R237" s="65"/>
      <c r="AG237" s="91"/>
    </row>
    <row r="238" ht="15.0" customHeight="1">
      <c r="G238" s="141"/>
      <c r="L238" s="3"/>
      <c r="M238" s="3"/>
      <c r="R238" s="65"/>
      <c r="AG238" s="91"/>
    </row>
    <row r="239" ht="15.0" customHeight="1">
      <c r="G239" s="141"/>
      <c r="L239" s="3"/>
      <c r="M239" s="3"/>
      <c r="R239" s="65"/>
      <c r="AG239" s="91"/>
    </row>
    <row r="240" ht="15.0" customHeight="1">
      <c r="G240" s="141"/>
      <c r="L240" s="3"/>
      <c r="M240" s="3"/>
      <c r="R240" s="65"/>
      <c r="AG240" s="91"/>
    </row>
    <row r="241" ht="15.0" customHeight="1">
      <c r="G241" s="141"/>
      <c r="L241" s="3"/>
      <c r="M241" s="3"/>
      <c r="R241" s="65"/>
      <c r="AG241" s="91"/>
    </row>
    <row r="242" ht="15.0" customHeight="1">
      <c r="G242" s="141"/>
      <c r="L242" s="3"/>
      <c r="M242" s="3"/>
      <c r="R242" s="65"/>
      <c r="AG242" s="91"/>
    </row>
    <row r="243" ht="15.0" customHeight="1">
      <c r="G243" s="141"/>
      <c r="L243" s="3"/>
      <c r="M243" s="3"/>
      <c r="R243" s="65"/>
      <c r="AG243" s="91"/>
    </row>
    <row r="244" ht="15.0" customHeight="1">
      <c r="G244" s="141"/>
      <c r="L244" s="3"/>
      <c r="M244" s="3"/>
      <c r="R244" s="65"/>
      <c r="AG244" s="91"/>
    </row>
    <row r="245" ht="15.0" customHeight="1">
      <c r="G245" s="141"/>
      <c r="L245" s="3"/>
      <c r="M245" s="3"/>
      <c r="R245" s="65"/>
      <c r="AG245" s="91"/>
    </row>
    <row r="246" ht="15.0" customHeight="1">
      <c r="G246" s="141"/>
      <c r="L246" s="3"/>
      <c r="M246" s="3"/>
      <c r="R246" s="65"/>
      <c r="AG246" s="91"/>
    </row>
    <row r="247" ht="15.0" customHeight="1">
      <c r="G247" s="141"/>
      <c r="L247" s="3"/>
      <c r="M247" s="3"/>
      <c r="R247" s="65"/>
      <c r="AG247" s="91"/>
    </row>
    <row r="248" ht="15.0" customHeight="1">
      <c r="G248" s="141"/>
      <c r="L248" s="3"/>
      <c r="M248" s="3"/>
      <c r="R248" s="65"/>
      <c r="AG248" s="91"/>
    </row>
    <row r="249" ht="15.0" customHeight="1">
      <c r="G249" s="141"/>
      <c r="L249" s="3"/>
      <c r="M249" s="3"/>
      <c r="R249" s="65"/>
      <c r="AG249" s="91"/>
    </row>
    <row r="250" ht="15.0" customHeight="1">
      <c r="G250" s="141"/>
      <c r="L250" s="3"/>
      <c r="M250" s="3"/>
      <c r="R250" s="65"/>
      <c r="AG250" s="91"/>
    </row>
    <row r="251" ht="15.0" customHeight="1">
      <c r="G251" s="141"/>
      <c r="L251" s="3"/>
      <c r="M251" s="3"/>
      <c r="R251" s="65"/>
      <c r="AG251" s="91"/>
    </row>
    <row r="252" ht="15.0" customHeight="1">
      <c r="G252" s="141"/>
      <c r="L252" s="3"/>
      <c r="M252" s="3"/>
      <c r="R252" s="65"/>
      <c r="AG252" s="91"/>
    </row>
    <row r="253" ht="15.0" customHeight="1">
      <c r="G253" s="141"/>
      <c r="L253" s="3"/>
      <c r="M253" s="3"/>
      <c r="R253" s="65"/>
      <c r="AG253" s="91"/>
    </row>
    <row r="254" ht="15.0" customHeight="1">
      <c r="G254" s="141"/>
      <c r="L254" s="3"/>
      <c r="M254" s="3"/>
      <c r="R254" s="65"/>
      <c r="AG254" s="91"/>
    </row>
    <row r="255" ht="15.0" customHeight="1">
      <c r="G255" s="141"/>
      <c r="L255" s="3"/>
      <c r="M255" s="3"/>
      <c r="R255" s="65"/>
      <c r="AG255" s="91"/>
    </row>
    <row r="256" ht="15.0" customHeight="1">
      <c r="G256" s="141"/>
      <c r="L256" s="3"/>
      <c r="M256" s="3"/>
      <c r="R256" s="65"/>
      <c r="AG256" s="91"/>
    </row>
    <row r="257" ht="15.0" customHeight="1">
      <c r="G257" s="141"/>
      <c r="L257" s="3"/>
      <c r="M257" s="3"/>
      <c r="R257" s="65"/>
      <c r="AG257" s="91"/>
    </row>
    <row r="258" ht="15.0" customHeight="1">
      <c r="G258" s="141"/>
      <c r="L258" s="3"/>
      <c r="M258" s="3"/>
      <c r="R258" s="65"/>
      <c r="AG258" s="91"/>
    </row>
    <row r="259" ht="15.0" customHeight="1">
      <c r="G259" s="141"/>
      <c r="L259" s="3"/>
      <c r="M259" s="3"/>
      <c r="R259" s="65"/>
      <c r="AG259" s="91"/>
    </row>
    <row r="260" ht="15.0" customHeight="1">
      <c r="G260" s="141"/>
      <c r="L260" s="3"/>
      <c r="M260" s="3"/>
      <c r="R260" s="65"/>
      <c r="AG260" s="91"/>
    </row>
    <row r="261" ht="15.0" customHeight="1">
      <c r="G261" s="141"/>
      <c r="L261" s="3"/>
      <c r="M261" s="3"/>
      <c r="R261" s="65"/>
      <c r="AG261" s="91"/>
    </row>
    <row r="262" ht="15.0" customHeight="1">
      <c r="G262" s="141"/>
      <c r="L262" s="3"/>
      <c r="M262" s="3"/>
      <c r="R262" s="65"/>
      <c r="AG262" s="91"/>
    </row>
    <row r="263" ht="15.0" customHeight="1">
      <c r="G263" s="141"/>
      <c r="L263" s="3"/>
      <c r="M263" s="3"/>
      <c r="R263" s="65"/>
      <c r="AG263" s="91"/>
    </row>
    <row r="264" ht="15.0" customHeight="1">
      <c r="G264" s="141"/>
      <c r="L264" s="3"/>
      <c r="M264" s="3"/>
      <c r="R264" s="65"/>
      <c r="AG264" s="91"/>
    </row>
    <row r="265" ht="15.0" customHeight="1">
      <c r="G265" s="141"/>
      <c r="L265" s="3"/>
      <c r="M265" s="3"/>
      <c r="R265" s="65"/>
      <c r="AG265" s="91"/>
    </row>
    <row r="266" ht="15.0" customHeight="1">
      <c r="G266" s="141"/>
      <c r="L266" s="3"/>
      <c r="M266" s="3"/>
      <c r="R266" s="65"/>
      <c r="AG266" s="91"/>
    </row>
    <row r="267" ht="15.0" customHeight="1">
      <c r="G267" s="141"/>
      <c r="L267" s="3"/>
      <c r="M267" s="3"/>
      <c r="R267" s="65"/>
      <c r="AG267" s="91"/>
    </row>
    <row r="268" ht="15.0" customHeight="1">
      <c r="G268" s="141"/>
      <c r="L268" s="3"/>
      <c r="M268" s="3"/>
      <c r="R268" s="65"/>
      <c r="AG268" s="91"/>
    </row>
    <row r="269" ht="15.0" customHeight="1">
      <c r="G269" s="141"/>
      <c r="L269" s="3"/>
      <c r="M269" s="3"/>
      <c r="R269" s="65"/>
      <c r="AG269" s="91"/>
    </row>
    <row r="270" ht="15.0" customHeight="1">
      <c r="G270" s="141"/>
      <c r="L270" s="3"/>
      <c r="M270" s="3"/>
      <c r="R270" s="65"/>
      <c r="AG270" s="91"/>
    </row>
    <row r="271" ht="15.0" customHeight="1">
      <c r="G271" s="141"/>
      <c r="L271" s="3"/>
      <c r="M271" s="3"/>
      <c r="R271" s="65"/>
      <c r="AG271" s="91"/>
    </row>
    <row r="272" ht="15.0" customHeight="1">
      <c r="G272" s="141"/>
      <c r="L272" s="3"/>
      <c r="M272" s="3"/>
      <c r="R272" s="65"/>
      <c r="AG272" s="91"/>
    </row>
    <row r="273" ht="15.0" customHeight="1">
      <c r="G273" s="141"/>
      <c r="L273" s="3"/>
      <c r="M273" s="3"/>
      <c r="R273" s="65"/>
      <c r="AG273" s="91"/>
    </row>
    <row r="274" ht="15.0" customHeight="1">
      <c r="G274" s="141"/>
      <c r="L274" s="3"/>
      <c r="M274" s="3"/>
      <c r="R274" s="65"/>
      <c r="AG274" s="91"/>
    </row>
    <row r="275" ht="15.0" customHeight="1">
      <c r="G275" s="141"/>
      <c r="L275" s="3"/>
      <c r="M275" s="3"/>
      <c r="R275" s="65"/>
      <c r="AG275" s="91"/>
    </row>
    <row r="276" ht="15.0" customHeight="1">
      <c r="G276" s="141"/>
      <c r="L276" s="3"/>
      <c r="M276" s="3"/>
      <c r="R276" s="65"/>
      <c r="AG276" s="91"/>
    </row>
    <row r="277" ht="15.0" customHeight="1">
      <c r="G277" s="141"/>
      <c r="L277" s="3"/>
      <c r="M277" s="3"/>
      <c r="R277" s="65"/>
      <c r="AG277" s="91"/>
    </row>
    <row r="278" ht="15.0" customHeight="1">
      <c r="G278" s="141"/>
      <c r="L278" s="3"/>
      <c r="M278" s="3"/>
      <c r="R278" s="65"/>
      <c r="AG278" s="91"/>
    </row>
    <row r="279" ht="15.0" customHeight="1">
      <c r="G279" s="141"/>
      <c r="L279" s="3"/>
      <c r="M279" s="3"/>
      <c r="R279" s="65"/>
      <c r="AG279" s="91"/>
    </row>
    <row r="280" ht="15.0" customHeight="1">
      <c r="G280" s="141"/>
      <c r="L280" s="3"/>
      <c r="M280" s="3"/>
      <c r="R280" s="65"/>
      <c r="AG280" s="91"/>
    </row>
    <row r="281" ht="15.0" customHeight="1">
      <c r="G281" s="141"/>
      <c r="L281" s="3"/>
      <c r="M281" s="3"/>
      <c r="R281" s="65"/>
      <c r="AG281" s="91"/>
    </row>
    <row r="282" ht="15.0" customHeight="1">
      <c r="G282" s="141"/>
      <c r="L282" s="3"/>
      <c r="M282" s="3"/>
      <c r="R282" s="65"/>
      <c r="AG282" s="91"/>
    </row>
    <row r="283" ht="15.0" customHeight="1">
      <c r="G283" s="141"/>
      <c r="L283" s="3"/>
      <c r="M283" s="3"/>
      <c r="R283" s="65"/>
      <c r="AG283" s="91"/>
    </row>
    <row r="284" ht="15.0" customHeight="1">
      <c r="G284" s="141"/>
      <c r="L284" s="3"/>
      <c r="M284" s="3"/>
      <c r="R284" s="65"/>
      <c r="AG284" s="91"/>
    </row>
    <row r="285" ht="15.0" customHeight="1">
      <c r="G285" s="141"/>
      <c r="L285" s="3"/>
      <c r="M285" s="3"/>
      <c r="R285" s="65"/>
      <c r="AG285" s="91"/>
    </row>
    <row r="286" ht="15.0" customHeight="1">
      <c r="G286" s="141"/>
      <c r="L286" s="3"/>
      <c r="M286" s="3"/>
      <c r="R286" s="65"/>
      <c r="AG286" s="91"/>
    </row>
    <row r="287" ht="15.0" customHeight="1">
      <c r="G287" s="141"/>
      <c r="L287" s="3"/>
      <c r="M287" s="3"/>
      <c r="R287" s="65"/>
      <c r="AG287" s="91"/>
    </row>
    <row r="288" ht="15.0" customHeight="1">
      <c r="G288" s="141"/>
      <c r="L288" s="3"/>
      <c r="M288" s="3"/>
      <c r="R288" s="65"/>
      <c r="AG288" s="91"/>
    </row>
    <row r="289" ht="15.0" customHeight="1">
      <c r="G289" s="141"/>
      <c r="L289" s="3"/>
      <c r="M289" s="3"/>
      <c r="R289" s="65"/>
      <c r="AG289" s="91"/>
    </row>
    <row r="290" ht="15.0" customHeight="1">
      <c r="G290" s="141"/>
      <c r="L290" s="3"/>
      <c r="M290" s="3"/>
      <c r="R290" s="65"/>
      <c r="AG290" s="91"/>
    </row>
    <row r="291" ht="15.0" customHeight="1">
      <c r="G291" s="141"/>
      <c r="L291" s="3"/>
      <c r="M291" s="3"/>
      <c r="R291" s="65"/>
      <c r="AG291" s="91"/>
    </row>
    <row r="292" ht="15.0" customHeight="1">
      <c r="G292" s="141"/>
      <c r="L292" s="3"/>
      <c r="M292" s="3"/>
      <c r="R292" s="65"/>
      <c r="AG292" s="91"/>
    </row>
    <row r="293" ht="15.0" customHeight="1">
      <c r="G293" s="141"/>
      <c r="L293" s="3"/>
      <c r="M293" s="3"/>
      <c r="R293" s="65"/>
      <c r="AG293" s="91"/>
    </row>
    <row r="294" ht="15.0" customHeight="1">
      <c r="G294" s="141"/>
      <c r="L294" s="3"/>
      <c r="M294" s="3"/>
      <c r="R294" s="65"/>
      <c r="AG294" s="91"/>
    </row>
    <row r="295" ht="15.0" customHeight="1">
      <c r="G295" s="141"/>
      <c r="L295" s="3"/>
      <c r="M295" s="3"/>
      <c r="R295" s="65"/>
      <c r="AG295" s="91"/>
    </row>
    <row r="296" ht="15.0" customHeight="1">
      <c r="G296" s="141"/>
      <c r="L296" s="3"/>
      <c r="M296" s="3"/>
      <c r="R296" s="65"/>
      <c r="AG296" s="91"/>
    </row>
    <row r="297" ht="15.0" customHeight="1">
      <c r="G297" s="141"/>
      <c r="L297" s="3"/>
      <c r="M297" s="3"/>
      <c r="R297" s="65"/>
      <c r="AG297" s="91"/>
    </row>
    <row r="298" ht="15.0" customHeight="1">
      <c r="G298" s="141"/>
      <c r="L298" s="3"/>
      <c r="M298" s="3"/>
      <c r="R298" s="65"/>
      <c r="AG298" s="91"/>
    </row>
    <row r="299" ht="15.0" customHeight="1">
      <c r="G299" s="141"/>
      <c r="L299" s="3"/>
      <c r="M299" s="3"/>
      <c r="R299" s="65"/>
      <c r="AG299" s="91"/>
    </row>
    <row r="300" ht="15.0" customHeight="1">
      <c r="G300" s="141"/>
      <c r="L300" s="3"/>
      <c r="M300" s="3"/>
      <c r="R300" s="65"/>
      <c r="AG300" s="91"/>
    </row>
    <row r="301" ht="15.0" customHeight="1">
      <c r="G301" s="141"/>
      <c r="L301" s="3"/>
      <c r="M301" s="3"/>
      <c r="R301" s="65"/>
      <c r="AG301" s="91"/>
    </row>
    <row r="302" ht="15.0" customHeight="1">
      <c r="G302" s="141"/>
      <c r="L302" s="3"/>
      <c r="M302" s="3"/>
      <c r="R302" s="65"/>
      <c r="AG302" s="91"/>
    </row>
    <row r="303" ht="15.0" customHeight="1">
      <c r="G303" s="141"/>
      <c r="L303" s="3"/>
      <c r="M303" s="3"/>
      <c r="R303" s="65"/>
      <c r="AG303" s="91"/>
    </row>
    <row r="304" ht="15.0" customHeight="1">
      <c r="G304" s="141"/>
      <c r="L304" s="3"/>
      <c r="M304" s="3"/>
      <c r="R304" s="65"/>
      <c r="AG304" s="91"/>
    </row>
    <row r="305" ht="15.0" customHeight="1">
      <c r="G305" s="141"/>
      <c r="L305" s="3"/>
      <c r="M305" s="3"/>
      <c r="R305" s="65"/>
      <c r="AG305" s="91"/>
    </row>
    <row r="306" ht="15.0" customHeight="1">
      <c r="G306" s="141"/>
      <c r="L306" s="3"/>
      <c r="M306" s="3"/>
      <c r="R306" s="65"/>
      <c r="AG306" s="91"/>
    </row>
    <row r="307" ht="15.0" customHeight="1">
      <c r="G307" s="141"/>
      <c r="L307" s="3"/>
      <c r="M307" s="3"/>
      <c r="R307" s="65"/>
      <c r="AG307" s="91"/>
    </row>
    <row r="308" ht="15.0" customHeight="1">
      <c r="G308" s="141"/>
      <c r="L308" s="3"/>
      <c r="M308" s="3"/>
      <c r="R308" s="65"/>
      <c r="AG308" s="91"/>
    </row>
    <row r="309" ht="15.0" customHeight="1">
      <c r="G309" s="141"/>
      <c r="L309" s="3"/>
      <c r="M309" s="3"/>
      <c r="R309" s="65"/>
      <c r="AG309" s="91"/>
    </row>
    <row r="310" ht="15.0" customHeight="1">
      <c r="G310" s="141"/>
      <c r="L310" s="3"/>
      <c r="M310" s="3"/>
      <c r="R310" s="65"/>
      <c r="AG310" s="91"/>
    </row>
    <row r="311" ht="15.0" customHeight="1">
      <c r="G311" s="141"/>
      <c r="L311" s="3"/>
      <c r="M311" s="3"/>
      <c r="R311" s="65"/>
      <c r="AG311" s="91"/>
    </row>
    <row r="312" ht="15.0" customHeight="1">
      <c r="G312" s="141"/>
      <c r="L312" s="3"/>
      <c r="M312" s="3"/>
      <c r="R312" s="65"/>
      <c r="AG312" s="91"/>
    </row>
    <row r="313" ht="15.0" customHeight="1">
      <c r="G313" s="141"/>
      <c r="L313" s="3"/>
      <c r="M313" s="3"/>
      <c r="R313" s="65"/>
      <c r="AG313" s="91"/>
    </row>
    <row r="314" ht="15.0" customHeight="1">
      <c r="G314" s="141"/>
      <c r="L314" s="3"/>
      <c r="M314" s="3"/>
      <c r="R314" s="65"/>
      <c r="AG314" s="91"/>
    </row>
    <row r="315" ht="15.0" customHeight="1">
      <c r="G315" s="141"/>
      <c r="L315" s="3"/>
      <c r="M315" s="3"/>
      <c r="R315" s="65"/>
      <c r="AG315" s="91"/>
    </row>
    <row r="316" ht="15.0" customHeight="1">
      <c r="G316" s="141"/>
      <c r="L316" s="3"/>
      <c r="M316" s="3"/>
      <c r="R316" s="65"/>
      <c r="AG316" s="91"/>
    </row>
    <row r="317" ht="15.0" customHeight="1">
      <c r="G317" s="141"/>
      <c r="L317" s="3"/>
      <c r="M317" s="3"/>
      <c r="R317" s="65"/>
      <c r="AG317" s="91"/>
    </row>
    <row r="318" ht="15.0" customHeight="1">
      <c r="G318" s="141"/>
      <c r="L318" s="3"/>
      <c r="M318" s="3"/>
      <c r="R318" s="65"/>
      <c r="AG318" s="91"/>
    </row>
    <row r="319" ht="15.0" customHeight="1">
      <c r="G319" s="141"/>
      <c r="L319" s="3"/>
      <c r="M319" s="3"/>
      <c r="R319" s="65"/>
      <c r="AG319" s="91"/>
    </row>
    <row r="320" ht="15.0" customHeight="1">
      <c r="G320" s="141"/>
      <c r="L320" s="3"/>
      <c r="M320" s="3"/>
      <c r="R320" s="65"/>
      <c r="AG320" s="91"/>
    </row>
    <row r="321" ht="15.0" customHeight="1">
      <c r="G321" s="141"/>
      <c r="L321" s="3"/>
      <c r="M321" s="3"/>
      <c r="R321" s="65"/>
      <c r="AG321" s="91"/>
    </row>
    <row r="322" ht="15.0" customHeight="1">
      <c r="G322" s="141"/>
      <c r="L322" s="3"/>
      <c r="M322" s="3"/>
      <c r="R322" s="65"/>
      <c r="AG322" s="91"/>
    </row>
    <row r="323" ht="15.0" customHeight="1">
      <c r="G323" s="141"/>
      <c r="L323" s="3"/>
      <c r="M323" s="3"/>
      <c r="R323" s="65"/>
      <c r="AG323" s="91"/>
    </row>
    <row r="324" ht="15.0" customHeight="1">
      <c r="G324" s="141"/>
      <c r="L324" s="3"/>
      <c r="M324" s="3"/>
      <c r="R324" s="65"/>
      <c r="AG324" s="91"/>
    </row>
    <row r="325" ht="15.0" customHeight="1">
      <c r="G325" s="141"/>
      <c r="L325" s="3"/>
      <c r="M325" s="3"/>
      <c r="R325" s="65"/>
      <c r="AG325" s="91"/>
    </row>
    <row r="326" ht="15.0" customHeight="1">
      <c r="G326" s="141"/>
      <c r="L326" s="3"/>
      <c r="M326" s="3"/>
      <c r="R326" s="65"/>
      <c r="AG326" s="91"/>
    </row>
    <row r="327" ht="15.0" customHeight="1">
      <c r="G327" s="141"/>
      <c r="L327" s="3"/>
      <c r="M327" s="3"/>
      <c r="R327" s="65"/>
      <c r="AG327" s="91"/>
    </row>
    <row r="328" ht="15.0" customHeight="1">
      <c r="G328" s="141"/>
      <c r="L328" s="3"/>
      <c r="M328" s="3"/>
      <c r="R328" s="65"/>
      <c r="AG328" s="91"/>
    </row>
    <row r="329" ht="15.0" customHeight="1">
      <c r="G329" s="141"/>
      <c r="L329" s="3"/>
      <c r="M329" s="3"/>
      <c r="R329" s="65"/>
      <c r="AG329" s="91"/>
    </row>
    <row r="330" ht="15.0" customHeight="1">
      <c r="G330" s="141"/>
      <c r="L330" s="3"/>
      <c r="M330" s="3"/>
      <c r="R330" s="65"/>
      <c r="AG330" s="91"/>
    </row>
    <row r="331" ht="15.0" customHeight="1">
      <c r="G331" s="141"/>
      <c r="L331" s="3"/>
      <c r="M331" s="3"/>
      <c r="R331" s="65"/>
      <c r="AG331" s="91"/>
    </row>
    <row r="332" ht="15.0" customHeight="1">
      <c r="G332" s="141"/>
      <c r="L332" s="3"/>
      <c r="M332" s="3"/>
      <c r="R332" s="65"/>
      <c r="AG332" s="91"/>
    </row>
    <row r="333" ht="15.0" customHeight="1">
      <c r="G333" s="141"/>
      <c r="L333" s="3"/>
      <c r="M333" s="3"/>
      <c r="R333" s="65"/>
      <c r="AG333" s="91"/>
    </row>
    <row r="334" ht="15.0" customHeight="1">
      <c r="G334" s="141"/>
      <c r="L334" s="3"/>
      <c r="M334" s="3"/>
      <c r="R334" s="65"/>
      <c r="AG334" s="91"/>
    </row>
    <row r="335" ht="15.0" customHeight="1">
      <c r="G335" s="141"/>
      <c r="L335" s="3"/>
      <c r="M335" s="3"/>
      <c r="R335" s="65"/>
      <c r="AG335" s="91"/>
    </row>
    <row r="336" ht="15.0" customHeight="1">
      <c r="G336" s="141"/>
      <c r="L336" s="3"/>
      <c r="M336" s="3"/>
      <c r="R336" s="65"/>
      <c r="AG336" s="91"/>
    </row>
    <row r="337" ht="15.0" customHeight="1">
      <c r="G337" s="141"/>
      <c r="L337" s="3"/>
      <c r="M337" s="3"/>
      <c r="R337" s="65"/>
      <c r="AG337" s="91"/>
    </row>
    <row r="338" ht="15.0" customHeight="1">
      <c r="G338" s="141"/>
      <c r="L338" s="3"/>
      <c r="M338" s="3"/>
      <c r="R338" s="65"/>
      <c r="AG338" s="91"/>
    </row>
    <row r="339" ht="15.0" customHeight="1">
      <c r="G339" s="141"/>
      <c r="L339" s="3"/>
      <c r="M339" s="3"/>
      <c r="R339" s="65"/>
      <c r="AG339" s="91"/>
    </row>
    <row r="340" ht="15.0" customHeight="1">
      <c r="G340" s="141"/>
      <c r="L340" s="3"/>
      <c r="M340" s="3"/>
      <c r="R340" s="65"/>
      <c r="AG340" s="91"/>
    </row>
    <row r="341" ht="15.0" customHeight="1">
      <c r="G341" s="141"/>
      <c r="L341" s="3"/>
      <c r="M341" s="3"/>
      <c r="R341" s="65"/>
      <c r="AG341" s="91"/>
    </row>
    <row r="342" ht="15.0" customHeight="1">
      <c r="G342" s="141"/>
      <c r="L342" s="3"/>
      <c r="M342" s="3"/>
      <c r="R342" s="65"/>
      <c r="AG342" s="91"/>
    </row>
    <row r="343" ht="15.0" customHeight="1">
      <c r="G343" s="141"/>
      <c r="L343" s="3"/>
      <c r="M343" s="3"/>
      <c r="R343" s="65"/>
      <c r="AG343" s="91"/>
    </row>
    <row r="344" ht="15.0" customHeight="1">
      <c r="G344" s="141"/>
      <c r="L344" s="3"/>
      <c r="M344" s="3"/>
      <c r="R344" s="65"/>
      <c r="AG344" s="91"/>
    </row>
    <row r="345" ht="15.0" customHeight="1">
      <c r="G345" s="141"/>
      <c r="L345" s="3"/>
      <c r="M345" s="3"/>
      <c r="R345" s="65"/>
      <c r="AG345" s="91"/>
    </row>
    <row r="346" ht="15.0" customHeight="1">
      <c r="G346" s="141"/>
      <c r="L346" s="3"/>
      <c r="M346" s="3"/>
      <c r="R346" s="65"/>
      <c r="AG346" s="91"/>
    </row>
    <row r="347" ht="15.0" customHeight="1">
      <c r="G347" s="141"/>
      <c r="L347" s="3"/>
      <c r="M347" s="3"/>
      <c r="R347" s="65"/>
      <c r="AG347" s="91"/>
    </row>
    <row r="348" ht="15.0" customHeight="1">
      <c r="G348" s="141"/>
      <c r="L348" s="3"/>
      <c r="M348" s="3"/>
      <c r="R348" s="65"/>
      <c r="AG348" s="91"/>
    </row>
    <row r="349" ht="15.0" customHeight="1">
      <c r="G349" s="141"/>
      <c r="L349" s="3"/>
      <c r="M349" s="3"/>
      <c r="R349" s="65"/>
      <c r="AG349" s="91"/>
    </row>
    <row r="350" ht="15.0" customHeight="1">
      <c r="G350" s="141"/>
      <c r="L350" s="3"/>
      <c r="M350" s="3"/>
      <c r="R350" s="65"/>
      <c r="AG350" s="91"/>
    </row>
    <row r="351" ht="15.0" customHeight="1">
      <c r="G351" s="141"/>
      <c r="L351" s="3"/>
      <c r="M351" s="3"/>
      <c r="R351" s="65"/>
      <c r="AG351" s="91"/>
    </row>
    <row r="352" ht="15.0" customHeight="1">
      <c r="G352" s="141"/>
      <c r="L352" s="3"/>
      <c r="M352" s="3"/>
      <c r="R352" s="65"/>
      <c r="AG352" s="91"/>
    </row>
    <row r="353" ht="15.0" customHeight="1">
      <c r="G353" s="141"/>
      <c r="L353" s="3"/>
      <c r="M353" s="3"/>
      <c r="R353" s="65"/>
      <c r="AG353" s="91"/>
    </row>
    <row r="354" ht="15.0" customHeight="1">
      <c r="G354" s="141"/>
      <c r="L354" s="3"/>
      <c r="M354" s="3"/>
      <c r="R354" s="65"/>
      <c r="AG354" s="91"/>
    </row>
    <row r="355" ht="15.0" customHeight="1">
      <c r="G355" s="141"/>
      <c r="L355" s="3"/>
      <c r="M355" s="3"/>
      <c r="R355" s="65"/>
      <c r="AG355" s="91"/>
    </row>
    <row r="356" ht="15.0" customHeight="1">
      <c r="G356" s="141"/>
      <c r="L356" s="3"/>
      <c r="M356" s="3"/>
      <c r="R356" s="65"/>
      <c r="AG356" s="91"/>
    </row>
    <row r="357" ht="15.0" customHeight="1">
      <c r="G357" s="141"/>
      <c r="L357" s="3"/>
      <c r="M357" s="3"/>
      <c r="R357" s="65"/>
      <c r="AG357" s="91"/>
    </row>
    <row r="358" ht="15.0" customHeight="1">
      <c r="G358" s="141"/>
      <c r="L358" s="3"/>
      <c r="M358" s="3"/>
      <c r="R358" s="65"/>
      <c r="AG358" s="91"/>
    </row>
    <row r="359" ht="15.0" customHeight="1">
      <c r="G359" s="141"/>
      <c r="L359" s="3"/>
      <c r="M359" s="3"/>
      <c r="R359" s="65"/>
      <c r="AG359" s="91"/>
    </row>
    <row r="360" ht="15.0" customHeight="1">
      <c r="G360" s="141"/>
      <c r="L360" s="3"/>
      <c r="M360" s="3"/>
      <c r="R360" s="65"/>
      <c r="AG360" s="91"/>
    </row>
    <row r="361" ht="15.0" customHeight="1">
      <c r="G361" s="141"/>
      <c r="L361" s="3"/>
      <c r="M361" s="3"/>
      <c r="R361" s="65"/>
      <c r="AG361" s="91"/>
    </row>
    <row r="362" ht="15.0" customHeight="1">
      <c r="G362" s="141"/>
      <c r="L362" s="3"/>
      <c r="M362" s="3"/>
      <c r="R362" s="65"/>
      <c r="AG362" s="91"/>
    </row>
    <row r="363" ht="15.0" customHeight="1">
      <c r="G363" s="141"/>
      <c r="L363" s="3"/>
      <c r="M363" s="3"/>
      <c r="R363" s="65"/>
      <c r="AG363" s="91"/>
    </row>
    <row r="364" ht="15.0" customHeight="1">
      <c r="G364" s="141"/>
      <c r="L364" s="3"/>
      <c r="M364" s="3"/>
      <c r="R364" s="65"/>
      <c r="AG364" s="91"/>
    </row>
    <row r="365" ht="15.0" customHeight="1">
      <c r="G365" s="141"/>
      <c r="L365" s="3"/>
      <c r="M365" s="3"/>
      <c r="R365" s="65"/>
      <c r="AG365" s="91"/>
    </row>
    <row r="366" ht="15.0" customHeight="1">
      <c r="G366" s="141"/>
      <c r="L366" s="3"/>
      <c r="M366" s="3"/>
      <c r="R366" s="65"/>
      <c r="AG366" s="91"/>
    </row>
    <row r="367" ht="15.0" customHeight="1">
      <c r="G367" s="141"/>
      <c r="L367" s="3"/>
      <c r="M367" s="3"/>
      <c r="R367" s="65"/>
      <c r="AG367" s="91"/>
    </row>
    <row r="368" ht="15.0" customHeight="1">
      <c r="G368" s="141"/>
      <c r="L368" s="3"/>
      <c r="M368" s="3"/>
      <c r="R368" s="65"/>
      <c r="AG368" s="91"/>
    </row>
    <row r="369" ht="15.0" customHeight="1">
      <c r="G369" s="141"/>
      <c r="L369" s="3"/>
      <c r="M369" s="3"/>
      <c r="R369" s="65"/>
      <c r="AG369" s="91"/>
    </row>
    <row r="370" ht="15.0" customHeight="1">
      <c r="G370" s="141"/>
      <c r="L370" s="3"/>
      <c r="M370" s="3"/>
      <c r="R370" s="65"/>
      <c r="AG370" s="91"/>
    </row>
    <row r="371" ht="15.0" customHeight="1">
      <c r="G371" s="141"/>
      <c r="L371" s="3"/>
      <c r="M371" s="3"/>
      <c r="R371" s="65"/>
      <c r="AG371" s="91"/>
    </row>
    <row r="372" ht="15.0" customHeight="1">
      <c r="G372" s="141"/>
      <c r="L372" s="3"/>
      <c r="M372" s="3"/>
      <c r="R372" s="65"/>
      <c r="AG372" s="91"/>
    </row>
    <row r="373" ht="15.0" customHeight="1">
      <c r="G373" s="141"/>
      <c r="L373" s="3"/>
      <c r="M373" s="3"/>
      <c r="R373" s="65"/>
      <c r="AG373" s="91"/>
    </row>
    <row r="374" ht="15.0" customHeight="1">
      <c r="G374" s="141"/>
      <c r="L374" s="3"/>
      <c r="M374" s="3"/>
      <c r="R374" s="65"/>
      <c r="AG374" s="91"/>
    </row>
    <row r="375" ht="15.0" customHeight="1">
      <c r="G375" s="141"/>
      <c r="L375" s="3"/>
      <c r="M375" s="3"/>
      <c r="R375" s="65"/>
      <c r="AG375" s="91"/>
    </row>
    <row r="376" ht="15.0" customHeight="1">
      <c r="G376" s="141"/>
      <c r="L376" s="3"/>
      <c r="M376" s="3"/>
      <c r="R376" s="65"/>
      <c r="AG376" s="91"/>
    </row>
    <row r="377" ht="15.0" customHeight="1">
      <c r="G377" s="141"/>
      <c r="L377" s="3"/>
      <c r="M377" s="3"/>
      <c r="R377" s="65"/>
      <c r="AG377" s="91"/>
    </row>
    <row r="378" ht="15.0" customHeight="1">
      <c r="G378" s="141"/>
      <c r="L378" s="3"/>
      <c r="M378" s="3"/>
      <c r="R378" s="65"/>
      <c r="AG378" s="91"/>
    </row>
    <row r="379" ht="15.0" customHeight="1">
      <c r="G379" s="141"/>
      <c r="L379" s="3"/>
      <c r="M379" s="3"/>
      <c r="R379" s="65"/>
      <c r="AG379" s="91"/>
    </row>
    <row r="380" ht="15.0" customHeight="1">
      <c r="G380" s="141"/>
      <c r="L380" s="3"/>
      <c r="M380" s="3"/>
      <c r="R380" s="65"/>
      <c r="AG380" s="91"/>
    </row>
    <row r="381" ht="15.0" customHeight="1">
      <c r="G381" s="141"/>
      <c r="L381" s="3"/>
      <c r="M381" s="3"/>
      <c r="R381" s="65"/>
      <c r="AG381" s="91"/>
    </row>
    <row r="382" ht="15.0" customHeight="1">
      <c r="G382" s="141"/>
      <c r="L382" s="3"/>
      <c r="M382" s="3"/>
      <c r="R382" s="65"/>
      <c r="AG382" s="91"/>
    </row>
    <row r="383" ht="15.0" customHeight="1">
      <c r="G383" s="141"/>
      <c r="L383" s="3"/>
      <c r="M383" s="3"/>
      <c r="R383" s="65"/>
      <c r="AG383" s="91"/>
    </row>
    <row r="384" ht="15.0" customHeight="1">
      <c r="G384" s="141"/>
      <c r="L384" s="3"/>
      <c r="M384" s="3"/>
      <c r="R384" s="65"/>
      <c r="AG384" s="91"/>
    </row>
    <row r="385" ht="15.0" customHeight="1">
      <c r="G385" s="141"/>
      <c r="L385" s="3"/>
      <c r="M385" s="3"/>
      <c r="R385" s="65"/>
      <c r="AG385" s="91"/>
    </row>
    <row r="386" ht="15.0" customHeight="1">
      <c r="G386" s="141"/>
      <c r="L386" s="3"/>
      <c r="M386" s="3"/>
      <c r="R386" s="65"/>
      <c r="AG386" s="91"/>
    </row>
    <row r="387" ht="15.0" customHeight="1">
      <c r="G387" s="141"/>
      <c r="L387" s="3"/>
      <c r="M387" s="3"/>
      <c r="R387" s="65"/>
      <c r="AG387" s="91"/>
    </row>
    <row r="388" ht="15.0" customHeight="1">
      <c r="G388" s="141"/>
      <c r="L388" s="3"/>
      <c r="M388" s="3"/>
      <c r="R388" s="65"/>
      <c r="AG388" s="91"/>
    </row>
    <row r="389" ht="15.0" customHeight="1">
      <c r="G389" s="141"/>
      <c r="L389" s="3"/>
      <c r="M389" s="3"/>
      <c r="R389" s="65"/>
      <c r="AG389" s="91"/>
    </row>
    <row r="390" ht="15.0" customHeight="1">
      <c r="G390" s="141"/>
      <c r="L390" s="3"/>
      <c r="M390" s="3"/>
      <c r="R390" s="65"/>
      <c r="AG390" s="91"/>
    </row>
    <row r="391" ht="15.0" customHeight="1">
      <c r="G391" s="141"/>
      <c r="L391" s="3"/>
      <c r="M391" s="3"/>
      <c r="R391" s="65"/>
      <c r="AG391" s="91"/>
    </row>
    <row r="392" ht="15.0" customHeight="1">
      <c r="G392" s="141"/>
      <c r="L392" s="3"/>
      <c r="M392" s="3"/>
      <c r="R392" s="65"/>
      <c r="AG392" s="91"/>
    </row>
    <row r="393" ht="15.0" customHeight="1">
      <c r="G393" s="141"/>
      <c r="L393" s="3"/>
      <c r="M393" s="3"/>
      <c r="R393" s="65"/>
      <c r="AG393" s="91"/>
    </row>
    <row r="394" ht="15.0" customHeight="1">
      <c r="G394" s="141"/>
      <c r="L394" s="3"/>
      <c r="M394" s="3"/>
      <c r="R394" s="65"/>
      <c r="AG394" s="91"/>
    </row>
    <row r="395" ht="15.0" customHeight="1">
      <c r="G395" s="141"/>
      <c r="L395" s="3"/>
      <c r="M395" s="3"/>
      <c r="R395" s="65"/>
      <c r="AG395" s="91"/>
    </row>
    <row r="396" ht="15.0" customHeight="1">
      <c r="G396" s="141"/>
      <c r="L396" s="3"/>
      <c r="M396" s="3"/>
      <c r="R396" s="65"/>
      <c r="AG396" s="91"/>
    </row>
    <row r="397" ht="15.0" customHeight="1">
      <c r="G397" s="141"/>
      <c r="L397" s="3"/>
      <c r="M397" s="3"/>
      <c r="R397" s="65"/>
      <c r="AG397" s="91"/>
    </row>
    <row r="398" ht="15.0" customHeight="1">
      <c r="G398" s="141"/>
      <c r="L398" s="3"/>
      <c r="M398" s="3"/>
      <c r="R398" s="65"/>
      <c r="AG398" s="91"/>
    </row>
    <row r="399" ht="15.0" customHeight="1">
      <c r="G399" s="141"/>
      <c r="L399" s="3"/>
      <c r="M399" s="3"/>
      <c r="R399" s="65"/>
      <c r="AG399" s="91"/>
    </row>
    <row r="400" ht="15.0" customHeight="1">
      <c r="G400" s="141"/>
      <c r="L400" s="3"/>
      <c r="M400" s="3"/>
      <c r="R400" s="65"/>
      <c r="AG400" s="91"/>
    </row>
    <row r="401" ht="15.0" customHeight="1">
      <c r="G401" s="141"/>
      <c r="L401" s="3"/>
      <c r="M401" s="3"/>
      <c r="R401" s="65"/>
      <c r="AG401" s="91"/>
    </row>
    <row r="402" ht="15.0" customHeight="1">
      <c r="G402" s="141"/>
      <c r="L402" s="3"/>
      <c r="M402" s="3"/>
      <c r="R402" s="65"/>
      <c r="AG402" s="91"/>
    </row>
    <row r="403" ht="15.0" customHeight="1">
      <c r="G403" s="141"/>
      <c r="L403" s="3"/>
      <c r="M403" s="3"/>
      <c r="R403" s="65"/>
      <c r="AG403" s="91"/>
    </row>
    <row r="404" ht="15.0" customHeight="1">
      <c r="G404" s="141"/>
      <c r="L404" s="3"/>
      <c r="M404" s="3"/>
      <c r="R404" s="65"/>
      <c r="AG404" s="91"/>
    </row>
    <row r="405" ht="15.0" customHeight="1">
      <c r="G405" s="141"/>
      <c r="L405" s="3"/>
      <c r="M405" s="3"/>
      <c r="R405" s="65"/>
      <c r="AG405" s="91"/>
    </row>
    <row r="406" ht="15.0" customHeight="1">
      <c r="G406" s="141"/>
      <c r="L406" s="3"/>
      <c r="M406" s="3"/>
      <c r="R406" s="65"/>
      <c r="AG406" s="91"/>
    </row>
    <row r="407" ht="15.0" customHeight="1">
      <c r="G407" s="141"/>
      <c r="L407" s="3"/>
      <c r="M407" s="3"/>
      <c r="R407" s="65"/>
      <c r="AG407" s="91"/>
    </row>
    <row r="408" ht="15.0" customHeight="1">
      <c r="G408" s="141"/>
      <c r="L408" s="3"/>
      <c r="M408" s="3"/>
      <c r="R408" s="65"/>
      <c r="AG408" s="91"/>
    </row>
    <row r="409" ht="15.0" customHeight="1">
      <c r="G409" s="141"/>
      <c r="L409" s="3"/>
      <c r="M409" s="3"/>
      <c r="R409" s="65"/>
      <c r="AG409" s="91"/>
    </row>
    <row r="410" ht="15.0" customHeight="1">
      <c r="G410" s="141"/>
      <c r="L410" s="3"/>
      <c r="M410" s="3"/>
      <c r="R410" s="65"/>
      <c r="AG410" s="91"/>
    </row>
    <row r="411" ht="15.0" customHeight="1">
      <c r="G411" s="141"/>
      <c r="L411" s="3"/>
      <c r="M411" s="3"/>
      <c r="R411" s="65"/>
      <c r="AG411" s="91"/>
    </row>
    <row r="412" ht="15.0" customHeight="1">
      <c r="G412" s="141"/>
      <c r="L412" s="3"/>
      <c r="M412" s="3"/>
      <c r="R412" s="65"/>
      <c r="AG412" s="91"/>
    </row>
    <row r="413" ht="15.0" customHeight="1">
      <c r="G413" s="141"/>
      <c r="L413" s="3"/>
      <c r="M413" s="3"/>
      <c r="R413" s="65"/>
      <c r="AG413" s="91"/>
    </row>
    <row r="414" ht="15.0" customHeight="1">
      <c r="G414" s="141"/>
      <c r="L414" s="3"/>
      <c r="M414" s="3"/>
      <c r="R414" s="65"/>
      <c r="AG414" s="91"/>
    </row>
    <row r="415" ht="15.0" customHeight="1">
      <c r="G415" s="141"/>
      <c r="L415" s="3"/>
      <c r="M415" s="3"/>
      <c r="R415" s="65"/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O$101"/>
  <printOptions/>
  <pageMargins bottom="0.75" footer="0.0" header="0.0" left="0.7" right="0.7" top="0.75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3.14"/>
    <col customWidth="1" min="3" max="10" width="10.71"/>
    <col customWidth="1" min="11" max="11" width="7.0"/>
    <col customWidth="1" min="12" max="12" width="10.71"/>
    <col customWidth="1" min="13" max="13" width="3.71"/>
    <col customWidth="1" min="14" max="15" width="10.71"/>
    <col customWidth="1" min="16" max="16" width="10.86"/>
    <col customWidth="1" min="17" max="26" width="10.71"/>
  </cols>
  <sheetData>
    <row r="1" ht="14.25" customHeight="1">
      <c r="A1" s="149" t="s">
        <v>695</v>
      </c>
      <c r="B1" s="150"/>
      <c r="C1" s="150"/>
      <c r="D1" s="150"/>
      <c r="E1" s="150"/>
      <c r="F1" s="150"/>
      <c r="G1" s="150"/>
      <c r="H1" s="150"/>
      <c r="I1" s="150"/>
      <c r="J1" s="151"/>
      <c r="L1" s="149" t="s">
        <v>696</v>
      </c>
      <c r="M1" s="150"/>
      <c r="N1" s="150"/>
      <c r="O1" s="150"/>
      <c r="P1" s="150"/>
      <c r="Q1" s="150"/>
      <c r="R1" s="151"/>
    </row>
    <row r="2" ht="14.25" customHeight="1">
      <c r="D2" s="5">
        <f>SUMPRODUCT('RUMAS C- 26'!C4:C13,'RUMAS C- 26'!D4:D13)/SUM('RUMAS C- 26'!C4:C13)</f>
        <v>0.2598598546</v>
      </c>
      <c r="F2" s="146">
        <f>SUMPRODUCT('RUMAS C- 26'!F4:F13,'RUMAS C- 26'!$C4:$C13)/SUM('RUMAS C- 26'!$C4:$C13)/100</f>
        <v>0.8988844149</v>
      </c>
      <c r="G2" s="65">
        <f t="shared" ref="G2:H2" si="1">SUM(G4:G13)</f>
        <v>5107.925979</v>
      </c>
      <c r="H2" s="65">
        <f t="shared" si="1"/>
        <v>4599.346112</v>
      </c>
    </row>
    <row r="3" ht="14.25" customHeight="1">
      <c r="A3" s="3"/>
      <c r="B3" s="2"/>
      <c r="C3" s="3" t="s">
        <v>14</v>
      </c>
      <c r="D3" s="3" t="s">
        <v>683</v>
      </c>
      <c r="E3" s="3"/>
      <c r="F3" s="3" t="s">
        <v>697</v>
      </c>
      <c r="G3" s="3" t="s">
        <v>686</v>
      </c>
      <c r="H3" s="3" t="s">
        <v>687</v>
      </c>
      <c r="I3" s="3" t="s">
        <v>698</v>
      </c>
      <c r="J3" s="65" t="s">
        <v>699</v>
      </c>
      <c r="L3" s="3"/>
      <c r="M3" s="2"/>
      <c r="N3" s="3" t="s">
        <v>14</v>
      </c>
      <c r="O3" s="3" t="s">
        <v>683</v>
      </c>
      <c r="P3" s="3" t="s">
        <v>686</v>
      </c>
      <c r="Q3" s="3" t="s">
        <v>700</v>
      </c>
      <c r="R3" s="3" t="s">
        <v>687</v>
      </c>
    </row>
    <row r="4" ht="14.25" customHeight="1">
      <c r="A4" s="152" t="s">
        <v>558</v>
      </c>
      <c r="B4" s="153"/>
      <c r="C4" s="154">
        <f>SUMIF('26'!$AO$4:$AO$200,$A4,'26'!$K$4:$K$200)</f>
        <v>102.751</v>
      </c>
      <c r="D4" s="154">
        <f t="array" ref="D4">+SUMPRODUCT(IF('26'!$AO$4:$AO$200=A4,'26'!$L$4:$L$200*'26'!$K$4:$K$200/C4))</f>
        <v>0.2777271462</v>
      </c>
      <c r="E4" s="155">
        <f t="shared" ref="E4:E15" si="2">31.1035*1.1023*D4*(100-F4)/100</f>
        <v>0.6331430167</v>
      </c>
      <c r="F4" s="156">
        <f t="array" ref="F4">+SUMPRODUCT(IF('26'!$AO$4:$AO$200=A4,('26'!$Q$4:$Q$200*'26'!$AH$4:$AH$200)/SUMIF('26'!$AO$4:$AO$200,$A4,'26'!$AH$4:$AH$200)))</f>
        <v>93.35072308</v>
      </c>
      <c r="G4" s="156">
        <f t="shared" ref="G4:G15" si="3">+D4*31.1035*1.1023*C4</f>
        <v>978.3932732</v>
      </c>
      <c r="H4" s="156">
        <f>SUMIF('26'!$AO$4:$AO$200,$A4,'26'!$AH$4:$AH$200)</f>
        <v>912.2256255</v>
      </c>
      <c r="I4" s="157">
        <f>+G4-H4</f>
        <v>66.16764766</v>
      </c>
      <c r="J4" s="158">
        <f>+C4</f>
        <v>102.751</v>
      </c>
      <c r="L4" s="152" t="s">
        <v>558</v>
      </c>
      <c r="M4" s="153"/>
      <c r="N4" s="154">
        <f>SUMIF('26'!$AO$4:$AO$200,$A4,'26'!$K$4:$K$200)</f>
        <v>102.751</v>
      </c>
      <c r="O4" s="154">
        <v>0.117</v>
      </c>
      <c r="P4" s="157">
        <f t="shared" ref="P4:P15" si="4">N4*O4*31.1035*1.1023</f>
        <v>412.1743752</v>
      </c>
      <c r="Q4" s="157">
        <v>90.0</v>
      </c>
      <c r="R4" s="159">
        <f t="shared" ref="R4:R14" si="5">P4*Q4/100</f>
        <v>370.9569377</v>
      </c>
    </row>
    <row r="5" ht="14.25" customHeight="1">
      <c r="A5" s="160" t="s">
        <v>551</v>
      </c>
      <c r="B5" s="146"/>
      <c r="C5" s="6">
        <f>SUMIF('26'!$AO$4:$AO$200,$A5,'26'!$K$4:$K$200)</f>
        <v>79.584</v>
      </c>
      <c r="D5" s="6">
        <f t="array" ref="D5">+SUMPRODUCT(IF('26'!$AO$4:$AO$200=A5,'26'!$L$4:$L$200*'26'!$K$4:$K$200/C5))</f>
        <v>0.2073510253</v>
      </c>
      <c r="E5" s="145">
        <f t="shared" si="2"/>
        <v>1.586336733</v>
      </c>
      <c r="F5" s="65">
        <f t="array" ref="F5">+SUMPRODUCT(IF('26'!$AO$4:$AO$200=A5,('26'!$Q$4:$Q$200*'26'!$AH$4:$AH$200)/SUMIF('26'!$AO$4:$AO$200,$A5,'26'!$AH$4:$AH$200)))</f>
        <v>77.6858615</v>
      </c>
      <c r="G5" s="65">
        <f t="shared" si="3"/>
        <v>565.7714394</v>
      </c>
      <c r="H5" s="65">
        <f>SUMIF('26'!$AO$4:$AO$200,$A5,'26'!$AH$4:$AH$200)</f>
        <v>436.8446441</v>
      </c>
      <c r="I5" s="58">
        <f t="shared" ref="I5:I13" si="6">+I4+G5-H5</f>
        <v>195.0944429</v>
      </c>
      <c r="J5" s="161">
        <f t="shared" ref="J5:J13" si="7">+J4+C5</f>
        <v>182.335</v>
      </c>
      <c r="L5" s="160" t="s">
        <v>551</v>
      </c>
      <c r="M5" s="146"/>
      <c r="N5" s="6">
        <f>SUMIF('26'!$AO$4:$AO$200,$A5,'26'!$K$4:$K$200)</f>
        <v>79.584</v>
      </c>
      <c r="O5" s="6">
        <v>0.234</v>
      </c>
      <c r="P5" s="58">
        <f t="shared" si="4"/>
        <v>638.4849875</v>
      </c>
      <c r="Q5" s="58">
        <v>90.0</v>
      </c>
      <c r="R5" s="162">
        <f t="shared" si="5"/>
        <v>574.6364887</v>
      </c>
    </row>
    <row r="6" ht="14.25" customHeight="1">
      <c r="A6" s="160" t="s">
        <v>547</v>
      </c>
      <c r="B6" s="146"/>
      <c r="C6" s="6">
        <f>SUMIF('26'!$AO$4:$AO$200,$A6,'26'!$K$4:$K$200)</f>
        <v>100.846</v>
      </c>
      <c r="D6" s="6">
        <f t="array" ref="D6">+SUMPRODUCT(IF('26'!$AO$4:$AO$200=A6,'26'!$L$4:$L$200*'26'!$K$4:$K$200/C6))</f>
        <v>0.3053799258</v>
      </c>
      <c r="E6" s="145">
        <f t="shared" si="2"/>
        <v>1.630865246</v>
      </c>
      <c r="F6" s="65">
        <f t="array" ref="F6">+SUMPRODUCT(IF('26'!$AO$4:$AO$200=A6,('26'!$Q$4:$Q$200*'26'!$AH$4:$AH$200)/SUMIF('26'!$AO$4:$AO$200,$A6,'26'!$AH$4:$AH$200)))</f>
        <v>84.42354864</v>
      </c>
      <c r="G6" s="65">
        <f t="shared" si="3"/>
        <v>1055.864605</v>
      </c>
      <c r="H6" s="65">
        <f>SUMIF('26'!$AO$4:$AO$200,$A6,'26'!$AH$4:$AH$200)</f>
        <v>891.0588974</v>
      </c>
      <c r="I6" s="58">
        <f t="shared" si="6"/>
        <v>359.9001501</v>
      </c>
      <c r="J6" s="161">
        <f t="shared" si="7"/>
        <v>283.181</v>
      </c>
      <c r="L6" s="160" t="s">
        <v>547</v>
      </c>
      <c r="M6" s="146"/>
      <c r="N6" s="6">
        <f>SUMIF('26'!$AO$4:$AO$200,$A6,'26'!$K$4:$K$200)</f>
        <v>100.846</v>
      </c>
      <c r="O6" s="6">
        <v>0.12</v>
      </c>
      <c r="P6" s="58">
        <f t="shared" si="4"/>
        <v>414.9053092</v>
      </c>
      <c r="Q6" s="58">
        <v>90.0</v>
      </c>
      <c r="R6" s="162">
        <f t="shared" si="5"/>
        <v>373.4147783</v>
      </c>
    </row>
    <row r="7" ht="14.25" customHeight="1">
      <c r="A7" s="160" t="s">
        <v>549</v>
      </c>
      <c r="B7" s="58"/>
      <c r="C7" s="6">
        <f>SUMIF('26'!$AO$4:$AO$200,$A7,'26'!$K$4:$K$200)</f>
        <v>104.409</v>
      </c>
      <c r="D7" s="6">
        <f t="array" ref="D7">+SUMPRODUCT(IF('26'!$AO$4:$AO$200=A7,'26'!$L$4:$L$200*'26'!$K$4:$K$200/C7))</f>
        <v>0.234456589</v>
      </c>
      <c r="E7" s="145">
        <f t="shared" si="2"/>
        <v>0.788824647</v>
      </c>
      <c r="F7" s="65">
        <f t="array" ref="F7">+SUMPRODUCT(IF('26'!$AO$4:$AO$200=A7,('26'!$Q$4:$Q$200*'26'!$AH$4:$AH$200)/SUMIF('26'!$AO$4:$AO$200,$A7,'26'!$AH$4:$AH$200)))</f>
        <v>90.18683819</v>
      </c>
      <c r="G7" s="65">
        <f t="shared" si="3"/>
        <v>839.284974</v>
      </c>
      <c r="H7" s="65">
        <f>SUMIF('26'!$AO$4:$AO$200,$A7,'26'!$AH$4:$AH$200)</f>
        <v>756.6343128</v>
      </c>
      <c r="I7" s="58">
        <f t="shared" si="6"/>
        <v>442.5508113</v>
      </c>
      <c r="J7" s="161">
        <f t="shared" si="7"/>
        <v>387.59</v>
      </c>
      <c r="L7" s="160" t="s">
        <v>549</v>
      </c>
      <c r="M7" s="58"/>
      <c r="N7" s="6">
        <f>SUMIF('26'!$AO$4:$AO$200,$A7,'26'!$K$4:$K$200)</f>
        <v>104.409</v>
      </c>
      <c r="O7" s="6">
        <v>1.123</v>
      </c>
      <c r="P7" s="58">
        <f t="shared" si="4"/>
        <v>4020.00656</v>
      </c>
      <c r="Q7" s="58">
        <v>90.0</v>
      </c>
      <c r="R7" s="162">
        <f t="shared" si="5"/>
        <v>3618.005904</v>
      </c>
    </row>
    <row r="8" ht="14.25" customHeight="1">
      <c r="A8" s="160" t="s">
        <v>561</v>
      </c>
      <c r="B8" s="58"/>
      <c r="C8" s="6">
        <f>SUMIF('26'!$AO$4:$AO$200,$A8,'26'!$K$4:$K$200)</f>
        <v>103.612</v>
      </c>
      <c r="D8" s="6">
        <f t="array" ref="D8">+SUMPRODUCT(IF('26'!$AO$4:$AO$200=A8,'26'!$L$4:$L$200*'26'!$K$4:$K$200/C8))</f>
        <v>0.2521791781</v>
      </c>
      <c r="E8" s="145">
        <f t="shared" si="2"/>
        <v>0.4327653788</v>
      </c>
      <c r="F8" s="65">
        <f t="array" ref="F8">+SUMPRODUCT(IF('26'!$AO$4:$AO$200=A8,('26'!$Q$4:$Q$200*'26'!$AH$4:$AH$200)/SUMIF('26'!$AO$4:$AO$200,$A8,'26'!$AH$4:$AH$200)))</f>
        <v>94.99465271</v>
      </c>
      <c r="G8" s="65">
        <f t="shared" si="3"/>
        <v>895.8356701</v>
      </c>
      <c r="H8" s="65">
        <f>SUMIF('26'!$AO$4:$AO$200,$A8,'26'!$AH$4:$AH$200)</f>
        <v>850.9006822</v>
      </c>
      <c r="I8" s="58">
        <f t="shared" si="6"/>
        <v>487.4857992</v>
      </c>
      <c r="J8" s="161">
        <f t="shared" si="7"/>
        <v>491.202</v>
      </c>
      <c r="L8" s="160" t="s">
        <v>561</v>
      </c>
      <c r="M8" s="58"/>
      <c r="N8" s="6">
        <f>SUMIF('26'!$AO$4:$AO$200,$A8,'26'!$K$4:$K$200)</f>
        <v>103.612</v>
      </c>
      <c r="O8" s="6">
        <v>0.577</v>
      </c>
      <c r="P8" s="58">
        <f t="shared" si="4"/>
        <v>2049.721891</v>
      </c>
      <c r="Q8" s="58">
        <v>90.0</v>
      </c>
      <c r="R8" s="162">
        <f t="shared" si="5"/>
        <v>1844.749702</v>
      </c>
    </row>
    <row r="9" ht="14.25" customHeight="1">
      <c r="A9" s="160" t="s">
        <v>689</v>
      </c>
      <c r="B9" s="58"/>
      <c r="C9" s="6">
        <f>SUMIF('26'!$AO$4:$AO$200,$A9,'26'!$K$4:$K$200)</f>
        <v>82.117</v>
      </c>
      <c r="D9" s="6">
        <f t="array" ref="D9">+SUMPRODUCT(IF('26'!$AO$4:$AO$200=A9,'26'!$L$4:$L$200*'26'!$K$4:$K$200/C9))</f>
        <v>0.2744804973</v>
      </c>
      <c r="E9" s="145">
        <f t="shared" si="2"/>
        <v>0.2567757084</v>
      </c>
      <c r="F9" s="65">
        <f t="array" ref="F9">+SUMPRODUCT(IF('26'!$AO$4:$AO$200=A9,('26'!$Q$4:$Q$200*'26'!$AH$4:$AH$200)/SUMIF('26'!$AO$4:$AO$200,$A9,'26'!$AH$4:$AH$200)))</f>
        <v>97.27144084</v>
      </c>
      <c r="G9" s="65">
        <f t="shared" si="3"/>
        <v>772.7760182</v>
      </c>
      <c r="H9" s="65">
        <f>SUMIF('26'!$AO$4:$AO$200,$A9,'26'!$AH$4:$AH$200)</f>
        <v>751.68195</v>
      </c>
      <c r="I9" s="58">
        <f t="shared" si="6"/>
        <v>508.5798675</v>
      </c>
      <c r="J9" s="161">
        <f t="shared" si="7"/>
        <v>573.319</v>
      </c>
      <c r="L9" s="160" t="s">
        <v>689</v>
      </c>
      <c r="M9" s="58"/>
      <c r="N9" s="6">
        <f>SUMIF('26'!$AO$4:$AO$200,$A9,'26'!$K$4:$K$200)</f>
        <v>82.117</v>
      </c>
      <c r="O9" s="2"/>
      <c r="P9" s="58">
        <f t="shared" si="4"/>
        <v>0</v>
      </c>
      <c r="Q9" s="2"/>
      <c r="R9" s="162">
        <f t="shared" si="5"/>
        <v>0</v>
      </c>
    </row>
    <row r="10" ht="14.25" customHeight="1">
      <c r="A10" s="160" t="s">
        <v>690</v>
      </c>
      <c r="B10" s="146"/>
      <c r="C10" s="6">
        <f>SUMIF('26'!$AO$4:$AO$200,$A10,'26'!$K$4:$K$200)</f>
        <v>0</v>
      </c>
      <c r="D10" s="6">
        <f t="array" ref="D10">+SUMPRODUCT(IF('26'!$AO$4:$AO$200=A10,'26'!$L$4:$L$200*'26'!$K$4:$K$200/C10))</f>
        <v>0</v>
      </c>
      <c r="E10" s="145">
        <f t="shared" si="2"/>
        <v>0</v>
      </c>
      <c r="F10" s="65">
        <f t="array" ref="F10">+SUMPRODUCT(IF('26'!$AO$4:$AO$200=A10,('26'!$Q$4:$Q$200*'26'!$AH$4:$AH$200)/SUMIF('26'!$AO$4:$AO$200,$A10,'26'!$AH$4:$AH$200)))</f>
        <v>0</v>
      </c>
      <c r="G10" s="65">
        <f t="shared" si="3"/>
        <v>0</v>
      </c>
      <c r="H10" s="65">
        <f>SUMIF('26'!$AO$4:$AO$200,$A10,'26'!$AH$4:$AH$200)</f>
        <v>0</v>
      </c>
      <c r="I10" s="58">
        <f t="shared" si="6"/>
        <v>508.5798675</v>
      </c>
      <c r="J10" s="161">
        <f t="shared" si="7"/>
        <v>573.319</v>
      </c>
      <c r="L10" s="160" t="s">
        <v>690</v>
      </c>
      <c r="M10" s="146"/>
      <c r="N10" s="6">
        <f>SUMIF('26'!$AO$4:$AO$200,$A10,'26'!$K$4:$K$200)</f>
        <v>0</v>
      </c>
      <c r="O10" s="2"/>
      <c r="P10" s="58">
        <f t="shared" si="4"/>
        <v>0</v>
      </c>
      <c r="Q10" s="2"/>
      <c r="R10" s="162">
        <f t="shared" si="5"/>
        <v>0</v>
      </c>
    </row>
    <row r="11" ht="14.25" customHeight="1">
      <c r="A11" s="160" t="s">
        <v>691</v>
      </c>
      <c r="B11" s="146"/>
      <c r="C11" s="6">
        <f>SUMIF('26'!$AO$4:$AO$200,$A11,'26'!$K$4:$K$200)</f>
        <v>0</v>
      </c>
      <c r="D11" s="6">
        <f t="array" ref="D11">+SUMPRODUCT(IF('26'!$AO$4:$AO$200=A11,'26'!$L$4:$L$200*'26'!$K$4:$K$200/C11))</f>
        <v>0</v>
      </c>
      <c r="E11" s="145">
        <f t="shared" si="2"/>
        <v>0</v>
      </c>
      <c r="F11" s="65">
        <f t="array" ref="F11">+SUMPRODUCT(IF('26'!$AO$4:$AO$200=A11,('26'!$Q$4:$Q$200*'26'!$AH$4:$AH$200)/SUMIF('26'!$AO$4:$AO$200,$A11,'26'!$AH$4:$AH$200)))</f>
        <v>0</v>
      </c>
      <c r="G11" s="65">
        <f t="shared" si="3"/>
        <v>0</v>
      </c>
      <c r="H11" s="65">
        <f>SUMIF('26'!$AO$4:$AO$200,$A11,'26'!$AH$4:$AH$200)</f>
        <v>0</v>
      </c>
      <c r="I11" s="58">
        <f t="shared" si="6"/>
        <v>508.5798675</v>
      </c>
      <c r="J11" s="161">
        <f t="shared" si="7"/>
        <v>573.319</v>
      </c>
      <c r="L11" s="160" t="s">
        <v>691</v>
      </c>
      <c r="M11" s="146"/>
      <c r="N11" s="6">
        <f>SUMIF('26'!$AO$4:$AO$200,$A11,'26'!$K$4:$K$200)</f>
        <v>0</v>
      </c>
      <c r="O11" s="2"/>
      <c r="P11" s="58">
        <f t="shared" si="4"/>
        <v>0</v>
      </c>
      <c r="Q11" s="2"/>
      <c r="R11" s="162">
        <f t="shared" si="5"/>
        <v>0</v>
      </c>
    </row>
    <row r="12" ht="14.25" customHeight="1">
      <c r="A12" s="160" t="s">
        <v>692</v>
      </c>
      <c r="B12" s="146"/>
      <c r="C12" s="6">
        <f>SUMIF('26'!$AO$4:$AO$200,$A12,'26'!$K$4:$K$200)</f>
        <v>0</v>
      </c>
      <c r="D12" s="6">
        <f t="array" ref="D12">+SUMPRODUCT(IF('26'!$AO$4:$AO$200=A12,'26'!$L$4:$L$200*'26'!$K$4:$K$200/C12))</f>
        <v>0</v>
      </c>
      <c r="E12" s="145">
        <f t="shared" si="2"/>
        <v>0</v>
      </c>
      <c r="F12" s="65">
        <f t="array" ref="F12">+SUMPRODUCT(IF('26'!$AO$4:$AO$200=A12,('26'!$Q$4:$Q$200*'26'!$AH$4:$AH$200)/SUMIF('26'!$AO$4:$AO$200,$A12,'26'!$AH$4:$AH$200)))</f>
        <v>0</v>
      </c>
      <c r="G12" s="65">
        <f t="shared" si="3"/>
        <v>0</v>
      </c>
      <c r="H12" s="65">
        <f>SUMIF('26'!$AO$4:$AO$200,$A12,'26'!$AH$4:$AH$200)</f>
        <v>0</v>
      </c>
      <c r="I12" s="58">
        <f t="shared" si="6"/>
        <v>508.5798675</v>
      </c>
      <c r="J12" s="161">
        <f t="shared" si="7"/>
        <v>573.319</v>
      </c>
      <c r="L12" s="160" t="s">
        <v>692</v>
      </c>
      <c r="M12" s="146"/>
      <c r="N12" s="6">
        <f>SUMIF('26'!$AO$4:$AO$200,$A12,'26'!$K$4:$K$200)</f>
        <v>0</v>
      </c>
      <c r="O12" s="2"/>
      <c r="P12" s="58">
        <f t="shared" si="4"/>
        <v>0</v>
      </c>
      <c r="Q12" s="2"/>
      <c r="R12" s="162">
        <f t="shared" si="5"/>
        <v>0</v>
      </c>
    </row>
    <row r="13" ht="14.25" customHeight="1">
      <c r="A13" s="163" t="s">
        <v>693</v>
      </c>
      <c r="B13" s="164"/>
      <c r="C13" s="165">
        <f>SUMIF('26'!$AO$4:$AO$200,$A13,'26'!$K$4:$K$200)</f>
        <v>0</v>
      </c>
      <c r="D13" s="165">
        <f t="array" ref="D13">+SUMPRODUCT(IF('26'!$AO$4:$AO$200=A13,'26'!$L$4:$L$200*'26'!$K$4:$K$200/C13))</f>
        <v>0</v>
      </c>
      <c r="E13" s="166">
        <f t="shared" si="2"/>
        <v>0</v>
      </c>
      <c r="F13" s="167">
        <f t="array" ref="F13">+SUMPRODUCT(IF('26'!$AO$4:$AO$200=A13,('26'!$Q$4:$Q$200*'26'!$AH$4:$AH$200)/SUMIF('26'!$AO$4:$AO$200,$A13,'26'!$AH$4:$AH$200)))</f>
        <v>0</v>
      </c>
      <c r="G13" s="167">
        <f t="shared" si="3"/>
        <v>0</v>
      </c>
      <c r="H13" s="167">
        <f>SUMIF('26'!$AO$4:$AO$200,$A13,'26'!$AH$4:$AH$200)</f>
        <v>0</v>
      </c>
      <c r="I13" s="168">
        <f t="shared" si="6"/>
        <v>508.5798675</v>
      </c>
      <c r="J13" s="169">
        <f t="shared" si="7"/>
        <v>573.319</v>
      </c>
      <c r="L13" s="163" t="s">
        <v>693</v>
      </c>
      <c r="M13" s="164"/>
      <c r="N13" s="165">
        <f>SUMIF('26'!$AO$4:$AO$200,$A13,'26'!$K$4:$K$200)</f>
        <v>0</v>
      </c>
      <c r="O13" s="170"/>
      <c r="P13" s="168">
        <f t="shared" si="4"/>
        <v>0</v>
      </c>
      <c r="Q13" s="170"/>
      <c r="R13" s="171">
        <f t="shared" si="5"/>
        <v>0</v>
      </c>
    </row>
    <row r="14" ht="14.25" customHeight="1">
      <c r="A14" s="172" t="s">
        <v>701</v>
      </c>
      <c r="B14" s="164"/>
      <c r="C14" s="165">
        <f>SUMIF('26'!$AO$4:$AO$200,$A14,'26'!$K$4:$K$200)</f>
        <v>0</v>
      </c>
      <c r="D14" s="6">
        <f t="array" ref="D14">+SUMPRODUCT(IF('26'!$AO$4:$AO$200=A14,'26'!$L$4:$L$200*'26'!$K$4:$K$200/C14))</f>
        <v>0</v>
      </c>
      <c r="E14" s="166">
        <f t="shared" si="2"/>
        <v>0</v>
      </c>
      <c r="F14" s="58">
        <f t="array" ref="F14">+SUMPRODUCT(IF('26'!$AO$4:$AO$200=A14,('26'!$Q$4:$Q$200*'26'!$AH$4:$AH$200)/SUMIF('26'!$AO$4:$AO$200,$A14,'26'!$AH$4:$AH$200)))</f>
        <v>0</v>
      </c>
      <c r="G14" s="167">
        <f t="shared" si="3"/>
        <v>0</v>
      </c>
      <c r="H14" s="167">
        <f t="shared" ref="H14:H15" si="8">+G14*F14/100</f>
        <v>0</v>
      </c>
      <c r="I14" s="168">
        <f>+I12+G14-H14</f>
        <v>508.5798675</v>
      </c>
      <c r="J14" s="169">
        <f t="shared" ref="J14:J15" si="9">+C14</f>
        <v>0</v>
      </c>
      <c r="L14" s="173" t="s">
        <v>701</v>
      </c>
      <c r="M14" s="174"/>
      <c r="N14" s="175">
        <f>SUMIF('26'!$AO$4:$AO$200,$A14,'26'!$K$4:$K$200)</f>
        <v>0</v>
      </c>
      <c r="O14" s="176"/>
      <c r="P14" s="177">
        <f t="shared" si="4"/>
        <v>0</v>
      </c>
      <c r="Q14" s="176"/>
      <c r="R14" s="178">
        <f t="shared" si="5"/>
        <v>0</v>
      </c>
    </row>
    <row r="15" ht="14.25" customHeight="1">
      <c r="A15" s="173" t="s">
        <v>702</v>
      </c>
      <c r="B15" s="174"/>
      <c r="C15" s="175">
        <f>SUMIF('Analisis comercial'!$AO$4:$AO$283,"",'Analisis comercial'!$K$4:$K$283)</f>
        <v>5666.07457</v>
      </c>
      <c r="D15" s="175">
        <f t="array" ref="D15">+SUMPRODUCT(IF('Analisis comercial'!$AO$4=A15,'Analisis comercial'!$L$4*'Analisis comercial'!$K$4/C15))</f>
        <v>0</v>
      </c>
      <c r="E15" s="179">
        <f t="shared" si="2"/>
        <v>0</v>
      </c>
      <c r="F15" s="177"/>
      <c r="G15" s="180">
        <f t="shared" si="3"/>
        <v>0</v>
      </c>
      <c r="H15" s="180">
        <f t="shared" si="8"/>
        <v>0</v>
      </c>
      <c r="I15" s="177"/>
      <c r="J15" s="181">
        <f t="shared" si="9"/>
        <v>5666.07457</v>
      </c>
      <c r="L15" s="172" t="s">
        <v>703</v>
      </c>
      <c r="M15" s="164"/>
      <c r="N15" s="165">
        <f>SUM(N4:N14)</f>
        <v>573.319</v>
      </c>
      <c r="O15" s="170"/>
      <c r="P15" s="168">
        <f t="shared" si="4"/>
        <v>0</v>
      </c>
      <c r="Q15" s="170"/>
      <c r="R15" s="171">
        <f>SUM(R4:R14)</f>
        <v>6781.76381</v>
      </c>
    </row>
    <row r="16" ht="14.25" customHeight="1">
      <c r="A16" s="160"/>
      <c r="F16" s="58"/>
    </row>
    <row r="17" ht="14.25" customHeight="1">
      <c r="H17" s="65"/>
      <c r="R17" s="65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J1"/>
    <mergeCell ref="L1:R1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29"/>
    <col customWidth="1" min="3" max="3" width="11.71"/>
    <col customWidth="1" min="4" max="4" width="42.57"/>
    <col customWidth="1" min="5" max="5" width="15.86"/>
    <col customWidth="1" min="6" max="6" width="15.29"/>
    <col customWidth="1" min="7" max="7" width="12.14"/>
    <col customWidth="1" min="8" max="8" width="11.43"/>
    <col customWidth="1" min="9" max="10" width="10.29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7.71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182"/>
      <c r="C1" s="3"/>
      <c r="D1" s="97" t="s">
        <v>540</v>
      </c>
      <c r="E1" s="98">
        <f>+AI3</f>
        <v>5828.822</v>
      </c>
      <c r="F1" s="97" t="s">
        <v>241</v>
      </c>
      <c r="G1" s="98">
        <f>+$AM3</f>
        <v>440251.0478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  <c r="AP1" s="141"/>
      <c r="AQ1" s="141"/>
    </row>
    <row r="2" ht="15.0" customHeight="1">
      <c r="B2" s="182"/>
      <c r="C2" s="3"/>
      <c r="D2" s="97" t="s">
        <v>242</v>
      </c>
      <c r="E2" s="98">
        <f>+AH3</f>
        <v>5440.414</v>
      </c>
      <c r="F2" s="99" t="s">
        <v>243</v>
      </c>
      <c r="G2" s="100">
        <f>+Q2</f>
        <v>93.51317912</v>
      </c>
      <c r="H2" s="13"/>
      <c r="I2" s="184">
        <f>SUBTOTAL(9,I4:I283)</f>
        <v>8383.74488</v>
      </c>
      <c r="J2" s="4"/>
      <c r="K2" s="14">
        <f>SUBTOTAL(9,K4:K283)</f>
        <v>6367.29557</v>
      </c>
      <c r="L2" s="126">
        <f>+SUMPRODUCT(L5:L283,K5:K283)/K2</f>
        <v>0.5441278134</v>
      </c>
      <c r="M2" s="2"/>
      <c r="O2" s="6"/>
      <c r="P2" s="16">
        <f>+SUMPRODUCT(P4:P283,AH4:AH283)/SUM(AH4:AH283)</f>
        <v>88.38977144</v>
      </c>
      <c r="Q2" s="16">
        <f>+SUMPRODUCT(Q4:Q283,AH4:AH283)/SUM(AH4:AH283)</f>
        <v>93.51317912</v>
      </c>
      <c r="R2" s="12">
        <f>+SUMPRODUCT(R4:R283,AH4:AH283)/SUM(AH4:AH283)</f>
        <v>3587.289904</v>
      </c>
      <c r="S2" s="2"/>
      <c r="AB2" s="7"/>
      <c r="AC2" s="7"/>
      <c r="AD2" s="7"/>
      <c r="AE2" s="7"/>
      <c r="AF2" s="7"/>
      <c r="AG2" s="17">
        <f>SUMPRODUCT($AG4:$AG283,$K4:$K283)/SUM($K4:$K283)</f>
        <v>18.12839777</v>
      </c>
      <c r="AH2" s="18"/>
      <c r="AI2" s="2"/>
      <c r="AJ2" s="19">
        <v>4900.0</v>
      </c>
      <c r="AK2" s="20"/>
      <c r="AL2" s="11"/>
      <c r="AM2" s="21"/>
      <c r="AN2" s="21"/>
      <c r="AO2" s="21"/>
      <c r="AP2" s="141"/>
      <c r="AQ2" s="141"/>
    </row>
    <row r="3" ht="15.0" customHeight="1">
      <c r="A3" s="22" t="s">
        <v>5</v>
      </c>
      <c r="B3" s="185" t="s">
        <v>6</v>
      </c>
      <c r="C3" s="23" t="s">
        <v>7</v>
      </c>
      <c r="D3" s="101" t="s">
        <v>8</v>
      </c>
      <c r="E3" s="102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SUBTOTAL(9,AH4:AH283)</f>
        <v>5440.414</v>
      </c>
      <c r="AI3" s="186">
        <f t="shared" si="1"/>
        <v>5828.822</v>
      </c>
      <c r="AJ3" s="187">
        <f>SUMPRODUCT(K4:K283,AJ4:AJ283)/K2</f>
        <v>39.20979353</v>
      </c>
      <c r="AK3" s="39">
        <f>SUBTOTAL(9,AK4:AK283)</f>
        <v>4792.657507</v>
      </c>
      <c r="AL3" s="11"/>
      <c r="AM3" s="39">
        <f>SUBTOTAL(9,AM4:AM283)</f>
        <v>440251.0478</v>
      </c>
      <c r="AN3" s="127" t="s">
        <v>542</v>
      </c>
      <c r="AO3" s="188" t="s">
        <v>543</v>
      </c>
      <c r="AP3" s="189" t="s">
        <v>544</v>
      </c>
      <c r="AQ3" s="189" t="s">
        <v>545</v>
      </c>
      <c r="AS3" s="129"/>
    </row>
    <row r="4" ht="15.75" customHeight="1">
      <c r="A4" s="41"/>
      <c r="B4" s="190"/>
      <c r="C4" s="190"/>
      <c r="D4" s="42"/>
      <c r="E4" s="43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191"/>
      <c r="AQ4" s="191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92" t="s">
        <v>704</v>
      </c>
      <c r="B5" s="182"/>
      <c r="C5" s="182">
        <v>46032.0</v>
      </c>
      <c r="D5" s="2" t="s">
        <v>705</v>
      </c>
      <c r="E5" s="3">
        <f t="array" ref="E5">XLOOKUP(D5,RUC!$B$3:$B$110,RUC!$D$3:$D$110)</f>
        <v>20614031698</v>
      </c>
      <c r="G5" s="141">
        <v>18.0</v>
      </c>
      <c r="H5" s="3" t="s">
        <v>47</v>
      </c>
      <c r="I5" s="6">
        <v>1.65</v>
      </c>
      <c r="J5" s="58">
        <v>2.8</v>
      </c>
      <c r="K5" s="6">
        <f t="shared" ref="K5:K12" si="2">ROUND(+I5-(I5*(J5/100)),3)</f>
        <v>1.604</v>
      </c>
      <c r="L5" s="139">
        <v>0.102</v>
      </c>
      <c r="M5" s="60">
        <f t="shared" ref="M5:M12" si="3">ROUND(+IF(AN5="Melchor Vera",IF(L5&gt;0.467,L5*0.985,(L5-0.007)),IF(L5&gt;0.3,L5*0.94,(L5-0.019))),3)</f>
        <v>0.083</v>
      </c>
      <c r="N5" s="62">
        <f t="shared" ref="N5:N11" si="4">+M5</f>
        <v>0.083</v>
      </c>
      <c r="O5" s="60">
        <f t="shared" ref="O5:O12" si="5">+ROUND((M5+N5)/2,3)</f>
        <v>0.083</v>
      </c>
      <c r="P5" s="63">
        <v>90.0</v>
      </c>
      <c r="Q5" s="58">
        <v>90.2</v>
      </c>
      <c r="R5" s="65">
        <v>4493.85</v>
      </c>
      <c r="S5" s="66">
        <f t="array" ref="S5">IF((XLOOKUP(D5,RUC!$B$3:$B$106,RUC!$E$3:$E$106)+ROUNDDOWN(O5,1)*100)&lt;95,95,((XLOOKUP(D5,RUC!$B$3:$B$106,RUC!$E$3:$E$106)+ROUNDDOWN(O5,1)*100)))</f>
        <v>95</v>
      </c>
      <c r="U5" s="67">
        <f t="array" ref="U5">XLOOKUP(D5,RUC!$B$3:$B$110,RUC!$F$3:$F$110)</f>
        <v>110</v>
      </c>
      <c r="V5" s="67">
        <v>1.1023</v>
      </c>
      <c r="Y5" s="57">
        <f t="array" ref="Y5">XLOOKUP(D5,RUC!$B$3:$B$110,RUC!$G$3:$G$110)</f>
        <v>0</v>
      </c>
      <c r="Z5" s="69">
        <f t="array" ref="Z5">XLOOKUP(D5,RUC!$B$3:$B$110,RUC!$H$3:$H$110)</f>
        <v>35</v>
      </c>
      <c r="AA5" s="70">
        <f t="shared" ref="AA5:AA12" si="6">+Y5+Z5</f>
        <v>35</v>
      </c>
      <c r="AB5" s="71">
        <f>+((O5*P5*(R5-U5)/100)-S5-AA5+T5)*V5</f>
        <v>217.6751438</v>
      </c>
      <c r="AC5" s="71">
        <f>+(S5-T5)*V5-'data 1'!$F$4</f>
        <v>24.7185</v>
      </c>
      <c r="AD5" s="71">
        <f t="shared" ref="AD5:AD12" si="7">+(Q5-P5)*(R5-U5)*L5*V5/100</f>
        <v>0.9857928424</v>
      </c>
      <c r="AE5" s="71">
        <f t="shared" ref="AE5:AE12" si="8">+(Y5*V5-70)+V5*(Z5-IF(D5="UNTUCA",IF(+((W5-3)*2.5+(X5-3)*3.1)&gt;0,+((W5-3)*1.5+(X5-3)*3.1),0),IF(+((W5-3)*1.5+(X5-3)*3.1)&gt;0,+((W5-3)*1.5+(X5-3)*3.1),0)))</f>
        <v>-31.4195</v>
      </c>
      <c r="AF5" s="71">
        <f t="shared" ref="AF5:AF12" si="9">(L5-O5)*(R5-U5)*Q5*V5/100</f>
        <v>82.8162634</v>
      </c>
      <c r="AG5" s="72">
        <f>AC5+AD5+AE5+AF5+70</f>
        <v>147.1010562</v>
      </c>
      <c r="AH5" s="193">
        <f t="shared" ref="AH5:AH12" si="10">ROUND((31.1035*L5*Q5*1.1023*K5/100),3)</f>
        <v>5.06</v>
      </c>
      <c r="AI5" s="193">
        <f t="shared" ref="AI5:AI12" si="11">ROUND((31.1035*L5*1.1023*K5),3)</f>
        <v>5.609</v>
      </c>
      <c r="AJ5" s="73">
        <f t="shared" ref="AJ5:AJ12" si="12">+((+$AJ$2-R5+U5)*L5*Q5*V5)/100</f>
        <v>52.34587315</v>
      </c>
      <c r="AK5" s="73">
        <f t="shared" ref="AK5:AK12" si="13">31.1035*1.1023*K5*P5*O5/100</f>
        <v>4.108034054</v>
      </c>
      <c r="AM5" s="51">
        <f t="shared" ref="AM5:AM12" si="14">+IF(AB5*K5&gt;0,AB5*K5,0)</f>
        <v>349.1509306</v>
      </c>
      <c r="AN5" s="51" t="str">
        <f t="array" ref="AN5">XLOOKUP(D5,RUC!$B$3:$B$565,RUC!$M$3:$M$565)</f>
        <v>Robinson Tuya</v>
      </c>
      <c r="AO5" s="131" t="s">
        <v>558</v>
      </c>
      <c r="AP5" s="141" t="s">
        <v>706</v>
      </c>
      <c r="AQ5" s="141" t="s">
        <v>707</v>
      </c>
      <c r="AV5" s="149" t="s">
        <v>708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92" t="s">
        <v>709</v>
      </c>
      <c r="B6" s="194">
        <v>46051.0</v>
      </c>
      <c r="C6" s="182">
        <v>46034.0</v>
      </c>
      <c r="D6" s="57" t="s">
        <v>295</v>
      </c>
      <c r="E6" s="3">
        <f t="array" ref="E6">XLOOKUP(D6,RUC!$B$3:$B$110,RUC!$D$3:$D$110)</f>
        <v>20601769396</v>
      </c>
      <c r="G6" s="141">
        <v>38.0</v>
      </c>
      <c r="H6" s="3" t="s">
        <v>339</v>
      </c>
      <c r="I6" s="6">
        <v>2.75</v>
      </c>
      <c r="J6" s="58">
        <v>8.1</v>
      </c>
      <c r="K6" s="6">
        <f t="shared" si="2"/>
        <v>2.527</v>
      </c>
      <c r="L6" s="139">
        <v>0.102</v>
      </c>
      <c r="M6" s="60">
        <f t="shared" si="3"/>
        <v>0.083</v>
      </c>
      <c r="N6" s="62">
        <f t="shared" si="4"/>
        <v>0.083</v>
      </c>
      <c r="O6" s="60">
        <f t="shared" si="5"/>
        <v>0.083</v>
      </c>
      <c r="P6" s="63">
        <v>80.0</v>
      </c>
      <c r="Q6" s="64">
        <v>99.02</v>
      </c>
      <c r="R6" s="65">
        <v>4612.95</v>
      </c>
      <c r="S6" s="66">
        <f t="array" ref="S6">IF((XLOOKUP(D6,RUC!$B$3:$B$106,RUC!$E$3:$E$106)+ROUNDDOWN(O6,1)*100)&lt;95,95,((XLOOKUP(D6,RUC!$B$3:$B$106,RUC!$E$3:$E$106)+ROUNDDOWN(O6,1)*100)))</f>
        <v>95</v>
      </c>
      <c r="U6" s="67">
        <f t="array" ref="U6">XLOOKUP(D6,RUC!$B$3:$B$110,RUC!$F$3:$F$110)</f>
        <v>120</v>
      </c>
      <c r="V6" s="67">
        <v>1.1023</v>
      </c>
      <c r="Y6" s="57">
        <f t="array" ref="Y6">XLOOKUP(D6,RUC!$B$3:$B$110,RUC!$G$3:$G$110)</f>
        <v>20</v>
      </c>
      <c r="Z6" s="69">
        <f t="array" ref="Z6">XLOOKUP(D6,RUC!$B$3:$B$110,RUC!$H$3:$H$110)</f>
        <v>30</v>
      </c>
      <c r="AA6" s="70">
        <f t="shared" si="6"/>
        <v>50</v>
      </c>
      <c r="AB6" s="71">
        <v>0.001</v>
      </c>
      <c r="AC6" s="71">
        <f>+(S6-T6)*V6-'data 1'!$F$4</f>
        <v>24.7185</v>
      </c>
      <c r="AD6" s="71">
        <f t="shared" si="7"/>
        <v>96.08200946</v>
      </c>
      <c r="AE6" s="71">
        <f t="shared" si="8"/>
        <v>-14.885</v>
      </c>
      <c r="AF6" s="71">
        <f t="shared" si="9"/>
        <v>93.17682675</v>
      </c>
      <c r="AG6" s="72">
        <f>AC6+AD6+AE6+AF6+70-53+169.02</f>
        <v>385.1123362</v>
      </c>
      <c r="AH6" s="193">
        <f t="shared" si="10"/>
        <v>8.751</v>
      </c>
      <c r="AI6" s="193">
        <f t="shared" si="11"/>
        <v>8.837</v>
      </c>
      <c r="AJ6" s="73">
        <f t="shared" si="12"/>
        <v>45.31799219</v>
      </c>
      <c r="AK6" s="73">
        <f t="shared" si="13"/>
        <v>5.75284126</v>
      </c>
      <c r="AM6" s="51">
        <f t="shared" si="14"/>
        <v>0.002527</v>
      </c>
      <c r="AN6" s="51" t="str">
        <f t="array" ref="AN6">XLOOKUP(D6,RUC!$B$3:$B$565,RUC!$M$3:$M$565)</f>
        <v>Evelyn</v>
      </c>
      <c r="AO6" s="131" t="s">
        <v>558</v>
      </c>
      <c r="AP6" s="141" t="s">
        <v>710</v>
      </c>
      <c r="AQ6" s="141" t="s">
        <v>711</v>
      </c>
      <c r="AV6" s="131"/>
      <c r="AW6" s="131"/>
      <c r="AX6" s="131"/>
      <c r="AY6" s="131"/>
      <c r="AZ6" s="131"/>
      <c r="BA6" s="131"/>
      <c r="BB6" s="131"/>
      <c r="BC6" s="131"/>
      <c r="BD6" s="131"/>
    </row>
    <row r="7" ht="15.0" customHeight="1">
      <c r="A7" s="192" t="s">
        <v>712</v>
      </c>
      <c r="B7" s="194">
        <v>46052.0</v>
      </c>
      <c r="C7" s="182">
        <v>46048.0</v>
      </c>
      <c r="D7" s="57" t="s">
        <v>306</v>
      </c>
      <c r="E7" s="3">
        <f t="array" ref="E7">XLOOKUP(D7,RUC!$B$3:$B$110,RUC!$D$3:$D$110)</f>
        <v>20612921866</v>
      </c>
      <c r="G7" s="3">
        <v>10.0</v>
      </c>
      <c r="H7" s="3" t="s">
        <v>47</v>
      </c>
      <c r="I7" s="6">
        <v>1.08</v>
      </c>
      <c r="J7" s="58">
        <v>1.25</v>
      </c>
      <c r="K7" s="6">
        <f t="shared" si="2"/>
        <v>1.067</v>
      </c>
      <c r="L7" s="139">
        <v>0.042</v>
      </c>
      <c r="M7" s="60">
        <f t="shared" si="3"/>
        <v>0.023</v>
      </c>
      <c r="N7" s="62">
        <f t="shared" si="4"/>
        <v>0.023</v>
      </c>
      <c r="O7" s="60">
        <f t="shared" si="5"/>
        <v>0.023</v>
      </c>
      <c r="P7" s="63">
        <v>80.0</v>
      </c>
      <c r="Q7" s="58">
        <v>92.86</v>
      </c>
      <c r="R7" s="65">
        <v>5090.8</v>
      </c>
      <c r="S7" s="66">
        <f t="array" ref="S7">IF((XLOOKUP(D7,RUC!$B$3:$B$106,RUC!$E$3:$E$106)+ROUNDDOWN(O7,1)*100)&lt;95,95,((XLOOKUP(D7,RUC!$B$3:$B$106,RUC!$E$3:$E$106)+ROUNDDOWN(O7,1)*100)))</f>
        <v>95</v>
      </c>
      <c r="U7" s="67">
        <f t="array" ref="U7">XLOOKUP(D7,RUC!$B$3:$B$110,RUC!$F$3:$F$110)</f>
        <v>100</v>
      </c>
      <c r="V7" s="67">
        <v>1.1023</v>
      </c>
      <c r="Y7" s="57" t="str">
        <f t="array" ref="Y7">XLOOKUP(D7,RUC!$B$3:$B$110,RUC!$G$3:$G$110)</f>
        <v/>
      </c>
      <c r="Z7" s="69">
        <f t="array" ref="Z7">XLOOKUP(D7,RUC!$B$3:$B$110,RUC!$H$3:$H$110)</f>
        <v>30</v>
      </c>
      <c r="AA7" s="70">
        <f t="shared" si="6"/>
        <v>30</v>
      </c>
      <c r="AB7" s="71">
        <v>0.001</v>
      </c>
      <c r="AC7" s="71">
        <f>+(S7-T7)*V7-'data 1'!$F$4</f>
        <v>24.7185</v>
      </c>
      <c r="AD7" s="71">
        <f t="shared" si="7"/>
        <v>29.71393937</v>
      </c>
      <c r="AE7" s="71">
        <f t="shared" si="8"/>
        <v>-36.931</v>
      </c>
      <c r="AF7" s="71">
        <f t="shared" si="9"/>
        <v>97.06267456</v>
      </c>
      <c r="AG7" s="72">
        <f>AC7+AD7+AE7+AF7+70-10-23.91</f>
        <v>150.6541139</v>
      </c>
      <c r="AH7" s="193">
        <f t="shared" si="10"/>
        <v>1.427</v>
      </c>
      <c r="AI7" s="193">
        <f t="shared" si="11"/>
        <v>1.536</v>
      </c>
      <c r="AJ7" s="73">
        <f t="shared" si="12"/>
        <v>-3.903584867</v>
      </c>
      <c r="AK7" s="73">
        <f t="shared" si="13"/>
        <v>0.6731181665</v>
      </c>
      <c r="AM7" s="51">
        <f t="shared" si="14"/>
        <v>0.001067</v>
      </c>
      <c r="AN7" s="51" t="str">
        <f t="array" ref="AN7">XLOOKUP(D7,RUC!$B$3:$B$565,RUC!$M$3:$M$565)</f>
        <v>Ronald Garibay</v>
      </c>
      <c r="AO7" s="131" t="s">
        <v>701</v>
      </c>
      <c r="AP7" s="141" t="s">
        <v>713</v>
      </c>
      <c r="AQ7" s="141" t="s">
        <v>714</v>
      </c>
      <c r="AW7" s="195">
        <f>SUM(AW9:AW18)</f>
        <v>482.861</v>
      </c>
      <c r="AX7" s="196">
        <f>SUMPRODUCT(AW9:AW18,AX9:AX18)/SUM(AW9:AW18)</f>
        <v>0.2591717782</v>
      </c>
      <c r="AY7" s="197"/>
      <c r="AZ7" s="198">
        <f>SUMPRODUCT(AZ9:AZ18,$BB9:$BB18)/SUM($BB9:$BB18)/100</f>
        <v>0.9443487765</v>
      </c>
      <c r="BA7" s="82">
        <f t="shared" ref="BA7:BB7" si="15">SUM(BA9:BA18)</f>
        <v>4290.608682</v>
      </c>
      <c r="BB7" s="82">
        <f t="shared" si="15"/>
        <v>4044.325</v>
      </c>
    </row>
    <row r="8" ht="15.0" customHeight="1">
      <c r="A8" s="192" t="s">
        <v>715</v>
      </c>
      <c r="B8" s="182"/>
      <c r="C8" s="182">
        <v>46049.0</v>
      </c>
      <c r="D8" s="57" t="s">
        <v>295</v>
      </c>
      <c r="E8" s="3">
        <f t="array" ref="E8">XLOOKUP(D8,RUC!$B$3:$B$110,RUC!$D$3:$D$110)</f>
        <v>20601769396</v>
      </c>
      <c r="G8" s="3">
        <v>24.0</v>
      </c>
      <c r="H8" s="3" t="s">
        <v>40</v>
      </c>
      <c r="I8" s="6">
        <v>1.84</v>
      </c>
      <c r="J8" s="58">
        <v>8.3</v>
      </c>
      <c r="K8" s="6">
        <f t="shared" si="2"/>
        <v>1.687</v>
      </c>
      <c r="L8" s="139">
        <v>0.07</v>
      </c>
      <c r="M8" s="60">
        <f t="shared" si="3"/>
        <v>0.051</v>
      </c>
      <c r="N8" s="62">
        <f t="shared" si="4"/>
        <v>0.051</v>
      </c>
      <c r="O8" s="60">
        <f t="shared" si="5"/>
        <v>0.051</v>
      </c>
      <c r="P8" s="63">
        <v>63.0</v>
      </c>
      <c r="Q8" s="58">
        <v>63.77</v>
      </c>
      <c r="R8" s="65">
        <v>5064.25</v>
      </c>
      <c r="S8" s="66">
        <f t="array" ref="S8">IF((XLOOKUP(D8,RUC!$B$3:$B$106,RUC!$E$3:$E$106)+ROUNDDOWN(O8,1)*100)&lt;95,95,((XLOOKUP(D8,RUC!$B$3:$B$106,RUC!$E$3:$E$106)+ROUNDDOWN(O8,1)*100)))</f>
        <v>95</v>
      </c>
      <c r="U8" s="67">
        <f t="array" ref="U8">XLOOKUP(D8,RUC!$B$3:$B$110,RUC!$F$3:$F$110)</f>
        <v>120</v>
      </c>
      <c r="V8" s="67">
        <v>1.1023</v>
      </c>
      <c r="Y8" s="199">
        <v>30.0</v>
      </c>
      <c r="Z8" s="140">
        <v>40.0</v>
      </c>
      <c r="AA8" s="70">
        <f t="shared" si="6"/>
        <v>70</v>
      </c>
      <c r="AB8" s="71">
        <v>0.0</v>
      </c>
      <c r="AC8" s="71">
        <f>+(S8-T8)*V8-'data 1'!$F$4</f>
        <v>24.7185</v>
      </c>
      <c r="AD8" s="71">
        <f t="shared" si="7"/>
        <v>2.937575212</v>
      </c>
      <c r="AE8" s="71">
        <f t="shared" si="8"/>
        <v>7.161</v>
      </c>
      <c r="AF8" s="71">
        <f t="shared" si="9"/>
        <v>66.03440174</v>
      </c>
      <c r="AG8" s="72">
        <f>AC8+AD8+AE8+AF8+70-53+63.37</f>
        <v>181.221477</v>
      </c>
      <c r="AH8" s="193">
        <f t="shared" si="10"/>
        <v>2.582</v>
      </c>
      <c r="AI8" s="193">
        <f t="shared" si="11"/>
        <v>4.049</v>
      </c>
      <c r="AJ8" s="73">
        <f t="shared" si="12"/>
        <v>-2.177346459</v>
      </c>
      <c r="AK8" s="73">
        <f t="shared" si="13"/>
        <v>1.858381517</v>
      </c>
      <c r="AM8" s="51">
        <f t="shared" si="14"/>
        <v>0</v>
      </c>
      <c r="AN8" s="51" t="str">
        <f t="array" ref="AN8">XLOOKUP(D8,RUC!$B$3:$B$565,RUC!$M$3:$M$565)</f>
        <v>Evelyn</v>
      </c>
      <c r="AO8" s="131" t="s">
        <v>547</v>
      </c>
      <c r="AP8" s="141" t="s">
        <v>716</v>
      </c>
      <c r="AQ8" s="141" t="s">
        <v>717</v>
      </c>
      <c r="AV8" s="3"/>
      <c r="AW8" s="3" t="s">
        <v>14</v>
      </c>
      <c r="AX8" s="3" t="s">
        <v>683</v>
      </c>
      <c r="AY8" s="143" t="s">
        <v>683</v>
      </c>
      <c r="AZ8" s="3" t="s">
        <v>685</v>
      </c>
      <c r="BA8" s="3" t="s">
        <v>686</v>
      </c>
      <c r="BB8" s="3" t="s">
        <v>687</v>
      </c>
      <c r="BC8" s="3" t="s">
        <v>698</v>
      </c>
      <c r="BD8" s="65" t="s">
        <v>699</v>
      </c>
    </row>
    <row r="9" ht="15.0" customHeight="1">
      <c r="A9" s="192" t="s">
        <v>718</v>
      </c>
      <c r="B9" s="182"/>
      <c r="C9" s="182">
        <v>46049.0</v>
      </c>
      <c r="D9" s="57" t="s">
        <v>295</v>
      </c>
      <c r="E9" s="3">
        <f t="array" ref="E9">XLOOKUP(D9,RUC!$B$3:$B$110,RUC!$D$3:$D$110)</f>
        <v>20601769396</v>
      </c>
      <c r="G9" s="3">
        <v>32.0</v>
      </c>
      <c r="H9" s="3" t="s">
        <v>339</v>
      </c>
      <c r="I9" s="6">
        <v>3.2</v>
      </c>
      <c r="J9" s="58">
        <v>8.9</v>
      </c>
      <c r="K9" s="6">
        <f t="shared" si="2"/>
        <v>2.915</v>
      </c>
      <c r="L9" s="139">
        <v>0.064</v>
      </c>
      <c r="M9" s="60">
        <f t="shared" si="3"/>
        <v>0.045</v>
      </c>
      <c r="N9" s="62">
        <f t="shared" si="4"/>
        <v>0.045</v>
      </c>
      <c r="O9" s="60">
        <f t="shared" si="5"/>
        <v>0.045</v>
      </c>
      <c r="P9" s="63">
        <v>80.0</v>
      </c>
      <c r="Q9" s="58">
        <v>80.0</v>
      </c>
      <c r="R9" s="65">
        <v>5064.25</v>
      </c>
      <c r="S9" s="66">
        <f t="array" ref="S9">IF((XLOOKUP(D9,RUC!$B$3:$B$106,RUC!$E$3:$E$106)+ROUNDDOWN(O9,1)*100)&lt;95,95,((XLOOKUP(D9,RUC!$B$3:$B$106,RUC!$E$3:$E$106)+ROUNDDOWN(O9,1)*100)))</f>
        <v>95</v>
      </c>
      <c r="U9" s="67">
        <f t="array" ref="U9">XLOOKUP(D9,RUC!$B$3:$B$110,RUC!$F$3:$F$110)</f>
        <v>120</v>
      </c>
      <c r="V9" s="67">
        <v>1.1023</v>
      </c>
      <c r="Y9" s="57">
        <f t="array" ref="Y9">XLOOKUP(D9,RUC!$B$3:$B$110,RUC!$G$3:$G$110)</f>
        <v>20</v>
      </c>
      <c r="Z9" s="69">
        <f t="array" ref="Z9">XLOOKUP(D9,RUC!$B$3:$B$110,RUC!$H$3:$H$110)</f>
        <v>30</v>
      </c>
      <c r="AA9" s="70">
        <f t="shared" si="6"/>
        <v>50</v>
      </c>
      <c r="AB9" s="71">
        <v>0.0</v>
      </c>
      <c r="AC9" s="71">
        <f>+(S9-T9)*V9-'data 1'!$F$4</f>
        <v>24.7185</v>
      </c>
      <c r="AD9" s="71">
        <f t="shared" si="7"/>
        <v>0</v>
      </c>
      <c r="AE9" s="71">
        <f t="shared" si="8"/>
        <v>-14.885</v>
      </c>
      <c r="AF9" s="71">
        <f t="shared" si="9"/>
        <v>82.84071098</v>
      </c>
      <c r="AG9" s="72">
        <f>AC9+AD9+AE9+AF9+70-53+36.37</f>
        <v>146.044211</v>
      </c>
      <c r="AH9" s="193">
        <f t="shared" si="10"/>
        <v>5.117</v>
      </c>
      <c r="AI9" s="193">
        <f t="shared" si="11"/>
        <v>6.396</v>
      </c>
      <c r="AJ9" s="73">
        <f t="shared" si="12"/>
        <v>-2.49737088</v>
      </c>
      <c r="AK9" s="73">
        <f t="shared" si="13"/>
        <v>3.597908622</v>
      </c>
      <c r="AM9" s="51">
        <f t="shared" si="14"/>
        <v>0</v>
      </c>
      <c r="AN9" s="51" t="str">
        <f t="array" ref="AN9">XLOOKUP(D9,RUC!$B$3:$B$565,RUC!$M$3:$M$565)</f>
        <v>Evelyn</v>
      </c>
      <c r="AO9" s="131" t="s">
        <v>558</v>
      </c>
      <c r="AP9" s="141" t="s">
        <v>719</v>
      </c>
      <c r="AQ9" s="141" t="s">
        <v>720</v>
      </c>
      <c r="AV9" s="152" t="s">
        <v>558</v>
      </c>
      <c r="AW9" s="154">
        <f t="shared" ref="AW9:AW18" si="16">SUMIF($AO$4:$AO$391,AV9,$K$4:$K$391)</f>
        <v>155.754</v>
      </c>
      <c r="AX9" s="154">
        <f t="array" ref="AX9">+SUMPRODUCT(IF($AO$4:$AO$391=AV9,$L$4:$L$391*$K$4:$K$391/AW9))</f>
        <v>0.2366118174</v>
      </c>
      <c r="AY9" s="155">
        <f t="shared" ref="AY9:AY18" si="17">31.1035*1.1023*AX9*(100-AZ9)/100</f>
        <v>0.3433791965</v>
      </c>
      <c r="AZ9" s="157">
        <f t="array" ref="AZ9">+SUMPRODUCT(IF($AO$4:$AO$391=AV9,($Q$4:$Q$391*$AH$4:$AH$391)/SUMIF($AO$4:$AO$391,$AV9,$AH$4:$AH$391)))</f>
        <v>95.76719287</v>
      </c>
      <c r="BA9" s="200">
        <f t="shared" ref="BA9:BA18" si="18">+AX9*31.1035*1.1023*AW9</f>
        <v>1263.527531</v>
      </c>
      <c r="BB9" s="156">
        <f t="shared" ref="BB9:BB17" si="19">SUMIF($AO$4:$AO$381,$AV9,$AH$4:$AH$6)</f>
        <v>1207.855</v>
      </c>
      <c r="BC9" s="157">
        <f>+BA9-BB9</f>
        <v>55.67253144</v>
      </c>
      <c r="BD9" s="158">
        <f>+AW9</f>
        <v>155.754</v>
      </c>
    </row>
    <row r="10" ht="15.0" customHeight="1">
      <c r="A10" s="192" t="s">
        <v>721</v>
      </c>
      <c r="B10" s="182"/>
      <c r="C10" s="182">
        <v>46049.0</v>
      </c>
      <c r="D10" s="57" t="s">
        <v>295</v>
      </c>
      <c r="E10" s="3">
        <f t="array" ref="E10">XLOOKUP(D10,RUC!$B$3:$B$110,RUC!$D$3:$D$110)</f>
        <v>20601769396</v>
      </c>
      <c r="G10" s="3">
        <v>32.0</v>
      </c>
      <c r="H10" s="3" t="s">
        <v>339</v>
      </c>
      <c r="I10" s="6">
        <v>3.0</v>
      </c>
      <c r="J10" s="58">
        <v>18.15</v>
      </c>
      <c r="K10" s="6">
        <f t="shared" si="2"/>
        <v>2.456</v>
      </c>
      <c r="L10" s="139">
        <v>0.053</v>
      </c>
      <c r="M10" s="60">
        <f t="shared" si="3"/>
        <v>0.034</v>
      </c>
      <c r="N10" s="62">
        <f t="shared" si="4"/>
        <v>0.034</v>
      </c>
      <c r="O10" s="60">
        <f t="shared" si="5"/>
        <v>0.034</v>
      </c>
      <c r="P10" s="63">
        <v>80.0</v>
      </c>
      <c r="Q10" s="58">
        <v>81.82</v>
      </c>
      <c r="R10" s="65">
        <v>5064.25</v>
      </c>
      <c r="S10" s="66">
        <f t="array" ref="S10">IF((XLOOKUP(D10,RUC!$B$3:$B$106,RUC!$E$3:$E$106)+ROUNDDOWN(O10,1)*100)&lt;95,95,((XLOOKUP(D10,RUC!$B$3:$B$106,RUC!$E$3:$E$106)+ROUNDDOWN(O10,1)*100)))</f>
        <v>95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69">
        <f t="array" ref="Z10">XLOOKUP(D10,RUC!$B$3:$B$110,RUC!$H$3:$H$110)</f>
        <v>30</v>
      </c>
      <c r="AA10" s="70">
        <f t="shared" si="6"/>
        <v>50</v>
      </c>
      <c r="AB10" s="71">
        <v>0.0</v>
      </c>
      <c r="AC10" s="71">
        <f>+(S10-T10)*V10-'data 1'!$F$4</f>
        <v>24.7185</v>
      </c>
      <c r="AD10" s="71">
        <f t="shared" si="7"/>
        <v>5.257115119</v>
      </c>
      <c r="AE10" s="71">
        <f t="shared" si="8"/>
        <v>-14.885</v>
      </c>
      <c r="AF10" s="71">
        <f t="shared" si="9"/>
        <v>84.72533715</v>
      </c>
      <c r="AG10" s="72">
        <f>AC10+AD10+AE10+AF10+70-53-11.59</f>
        <v>105.2259523</v>
      </c>
      <c r="AH10" s="193">
        <f t="shared" si="10"/>
        <v>3.652</v>
      </c>
      <c r="AI10" s="193">
        <f t="shared" si="11"/>
        <v>4.463</v>
      </c>
      <c r="AJ10" s="73">
        <f t="shared" si="12"/>
        <v>-2.115185337</v>
      </c>
      <c r="AK10" s="73">
        <f t="shared" si="13"/>
        <v>2.290373635</v>
      </c>
      <c r="AM10" s="51">
        <f t="shared" si="14"/>
        <v>0</v>
      </c>
      <c r="AN10" s="51" t="str">
        <f t="array" ref="AN10">XLOOKUP(D10,RUC!$B$3:$B$565,RUC!$M$3:$M$565)</f>
        <v>Evelyn</v>
      </c>
      <c r="AO10" s="131" t="s">
        <v>701</v>
      </c>
      <c r="AP10" s="141" t="s">
        <v>719</v>
      </c>
      <c r="AQ10" s="141" t="s">
        <v>720</v>
      </c>
      <c r="AV10" s="160" t="s">
        <v>551</v>
      </c>
      <c r="AW10" s="6">
        <f t="shared" si="16"/>
        <v>160.097</v>
      </c>
      <c r="AX10" s="6">
        <f t="array" ref="AX10">+SUMPRODUCT(IF($AO$4:$AO$391=AV10,$L$4:$L$391*$K$4:$K$391/AW10))</f>
        <v>0.2488548942</v>
      </c>
      <c r="AY10" s="145">
        <f t="shared" si="17"/>
        <v>0.5259917821</v>
      </c>
      <c r="AZ10" s="58">
        <f t="array" ref="AZ10">+SUMPRODUCT(IF($AO$4:$AO$391=AV10,($Q$4:$Q$391*$AH$4:$AH$391)/SUMIF($AO$4:$AO$391,$AV10,$AH$4:$AH$391)))</f>
        <v>93.83513312</v>
      </c>
      <c r="BA10" s="5">
        <f t="shared" si="18"/>
        <v>1365.961471</v>
      </c>
      <c r="BB10" s="65">
        <f t="shared" si="19"/>
        <v>1279.162</v>
      </c>
      <c r="BC10" s="58">
        <f t="shared" ref="BC10:BC18" si="20">+BC9+BA10-BB10</f>
        <v>142.4720025</v>
      </c>
      <c r="BD10" s="161">
        <f t="shared" ref="BD10:BD18" si="21">+BD9+AW10</f>
        <v>315.851</v>
      </c>
    </row>
    <row r="11" ht="15.0" customHeight="1">
      <c r="A11" s="192" t="s">
        <v>722</v>
      </c>
      <c r="B11" s="182"/>
      <c r="C11" s="182">
        <v>46058.0</v>
      </c>
      <c r="D11" s="57" t="s">
        <v>723</v>
      </c>
      <c r="E11" s="3">
        <f t="array" ref="E11">XLOOKUP(D11,RUC!$B$3:$B$110,RUC!$D$3:$D$110)</f>
        <v>20606480840</v>
      </c>
      <c r="G11" s="3">
        <v>158.0</v>
      </c>
      <c r="H11" s="3" t="s">
        <v>47</v>
      </c>
      <c r="I11" s="6">
        <v>14.21</v>
      </c>
      <c r="J11" s="58">
        <v>2.05</v>
      </c>
      <c r="K11" s="6">
        <f t="shared" si="2"/>
        <v>13.919</v>
      </c>
      <c r="L11" s="139">
        <v>0.072</v>
      </c>
      <c r="M11" s="60">
        <f t="shared" si="3"/>
        <v>0.053</v>
      </c>
      <c r="N11" s="62">
        <f t="shared" si="4"/>
        <v>0.053</v>
      </c>
      <c r="O11" s="60">
        <f t="shared" si="5"/>
        <v>0.053</v>
      </c>
      <c r="P11" s="63">
        <v>90.0</v>
      </c>
      <c r="Q11" s="58">
        <v>94.44</v>
      </c>
      <c r="R11" s="65">
        <v>4847.25</v>
      </c>
      <c r="S11" s="66">
        <f t="array" ref="S11">IF((XLOOKUP(D11,RUC!$B$3:$B$106,RUC!$E$3:$E$106)+ROUNDDOWN(O11,1)*100)&lt;95,95,((XLOOKUP(D11,RUC!$B$3:$B$106,RUC!$E$3:$E$106)+ROUNDDOWN(O11,1)*100)))</f>
        <v>95</v>
      </c>
      <c r="U11" s="67">
        <f t="array" ref="U11">XLOOKUP(D11,RUC!$B$3:$B$110,RUC!$F$3:$F$110)</f>
        <v>110</v>
      </c>
      <c r="V11" s="67">
        <v>1.1023</v>
      </c>
      <c r="Y11" s="57">
        <f t="array" ref="Y11">XLOOKUP(D11,RUC!$B$3:$B$110,RUC!$G$3:$G$110)</f>
        <v>0</v>
      </c>
      <c r="Z11" s="69">
        <f t="array" ref="Z11">XLOOKUP(D11,RUC!$B$3:$B$110,RUC!$H$3:$H$110)</f>
        <v>35</v>
      </c>
      <c r="AA11" s="70">
        <f t="shared" si="6"/>
        <v>35</v>
      </c>
      <c r="AB11" s="71">
        <f t="shared" ref="AB11:AB12" si="22">+((O11*P11*(R11-U11)/100)-S11-AA11+T11)*V11</f>
        <v>105.7842312</v>
      </c>
      <c r="AC11" s="71">
        <f>+(S11-T11)*V11-'data 1'!$F$4</f>
        <v>24.7185</v>
      </c>
      <c r="AD11" s="71">
        <f t="shared" si="7"/>
        <v>16.69327617</v>
      </c>
      <c r="AE11" s="71">
        <f t="shared" si="8"/>
        <v>-31.4195</v>
      </c>
      <c r="AF11" s="71">
        <f t="shared" si="9"/>
        <v>93.69915864</v>
      </c>
      <c r="AG11" s="72">
        <f>AC11+AD11+AE11+AF11+70-10</f>
        <v>163.6914348</v>
      </c>
      <c r="AH11" s="193">
        <f t="shared" si="10"/>
        <v>32.449</v>
      </c>
      <c r="AI11" s="193">
        <f t="shared" si="11"/>
        <v>34.36</v>
      </c>
      <c r="AJ11" s="73">
        <f t="shared" si="12"/>
        <v>12.19858002</v>
      </c>
      <c r="AK11" s="73">
        <f t="shared" si="13"/>
        <v>22.76331369</v>
      </c>
      <c r="AM11" s="51">
        <f t="shared" si="14"/>
        <v>1472.410714</v>
      </c>
      <c r="AN11" s="51" t="str">
        <f t="array" ref="AN11">XLOOKUP(D11,RUC!$B$3:$B$565,RUC!$M$3:$M$565)</f>
        <v>Robinson Tuya</v>
      </c>
      <c r="AO11" s="131" t="s">
        <v>551</v>
      </c>
      <c r="AP11" s="141" t="s">
        <v>724</v>
      </c>
      <c r="AQ11" s="141" t="s">
        <v>725</v>
      </c>
      <c r="AV11" s="160" t="s">
        <v>547</v>
      </c>
      <c r="AW11" s="6">
        <f t="shared" si="16"/>
        <v>167.01</v>
      </c>
      <c r="AX11" s="6">
        <f t="array" ref="AX11">+SUMPRODUCT(IF($AO$4:$AO$391=AV11,$L$4:$L$391*$K$4:$K$391/AW11))</f>
        <v>0.2901011017</v>
      </c>
      <c r="AY11" s="145">
        <f t="shared" si="17"/>
        <v>0.6073014109</v>
      </c>
      <c r="AZ11" s="58">
        <f t="array" ref="AZ11">+SUMPRODUCT(IF($AO$4:$AO$391=AV11,($Q$4:$Q$391*$AH$4:$AH$391)/SUMIF($AO$4:$AO$391,$AV11,$AH$4:$AH$391)))</f>
        <v>93.89415405</v>
      </c>
      <c r="BA11" s="65">
        <f t="shared" si="18"/>
        <v>1661.11968</v>
      </c>
      <c r="BB11" s="65">
        <f t="shared" si="19"/>
        <v>1557.308</v>
      </c>
      <c r="BC11" s="58">
        <f t="shared" si="20"/>
        <v>246.2836821</v>
      </c>
      <c r="BD11" s="161">
        <f t="shared" si="21"/>
        <v>482.861</v>
      </c>
    </row>
    <row r="12" ht="15.0" customHeight="1">
      <c r="A12" s="116" t="s">
        <v>726</v>
      </c>
      <c r="B12" s="182">
        <v>46066.0</v>
      </c>
      <c r="C12" s="182">
        <v>46058.0</v>
      </c>
      <c r="D12" s="57" t="s">
        <v>225</v>
      </c>
      <c r="E12" s="3">
        <f t="array" ref="E12">XLOOKUP(D12,RUC!$B$3:$B$110,RUC!$D$3:$D$110)</f>
        <v>10761932735</v>
      </c>
      <c r="G12" s="3">
        <v>210.0</v>
      </c>
      <c r="H12" s="3" t="s">
        <v>47</v>
      </c>
      <c r="I12" s="6">
        <v>19.49</v>
      </c>
      <c r="J12" s="58">
        <v>5.9</v>
      </c>
      <c r="K12" s="6">
        <f t="shared" si="2"/>
        <v>18.34</v>
      </c>
      <c r="L12" s="139">
        <v>0.102</v>
      </c>
      <c r="M12" s="60">
        <f t="shared" si="3"/>
        <v>0.083</v>
      </c>
      <c r="N12" s="75">
        <v>0.157</v>
      </c>
      <c r="O12" s="60">
        <f t="shared" si="5"/>
        <v>0.12</v>
      </c>
      <c r="P12" s="63">
        <v>80.0</v>
      </c>
      <c r="Q12" s="58">
        <v>97.06</v>
      </c>
      <c r="R12" s="65">
        <v>4847.25</v>
      </c>
      <c r="S12" s="66">
        <f t="array" ref="S12">IF((XLOOKUP(D12,RUC!$B$3:$B$106,RUC!$E$3:$E$106)+ROUNDDOWN(O12,1)*100)&lt;95,95,((XLOOKUP(D12,RUC!$B$3:$B$106,RUC!$E$3:$E$106)+ROUNDDOWN(O12,1)*100)))</f>
        <v>100</v>
      </c>
      <c r="U12" s="67">
        <f t="array" ref="U12">XLOOKUP(D12,RUC!$B$3:$B$110,RUC!$F$3:$F$110)</f>
        <v>120</v>
      </c>
      <c r="V12" s="67">
        <v>1.1023</v>
      </c>
      <c r="Y12" s="199">
        <v>40.0</v>
      </c>
      <c r="Z12" s="69">
        <f t="array" ref="Z12">XLOOKUP(D12,RUC!$B$3:$B$110,RUC!$H$3:$H$110)</f>
        <v>30</v>
      </c>
      <c r="AA12" s="70">
        <f t="shared" si="6"/>
        <v>70</v>
      </c>
      <c r="AB12" s="71">
        <f t="shared" si="22"/>
        <v>312.8503768</v>
      </c>
      <c r="AC12" s="71">
        <f>+(S12-T12)*V12-'data 1'!$F$4</f>
        <v>30.23</v>
      </c>
      <c r="AD12" s="71">
        <f t="shared" si="7"/>
        <v>90.67500256</v>
      </c>
      <c r="AE12" s="71">
        <f t="shared" si="8"/>
        <v>7.161</v>
      </c>
      <c r="AF12" s="71">
        <f t="shared" si="9"/>
        <v>-91.03767756</v>
      </c>
      <c r="AG12" s="72">
        <f>AC12+AD12+AE12+AF12+70-53</f>
        <v>54.028325</v>
      </c>
      <c r="AH12" s="193">
        <f t="shared" si="10"/>
        <v>62.251</v>
      </c>
      <c r="AI12" s="193">
        <f t="shared" si="11"/>
        <v>64.137</v>
      </c>
      <c r="AJ12" s="73">
        <f t="shared" si="12"/>
        <v>18.85203868</v>
      </c>
      <c r="AK12" s="73">
        <f t="shared" si="13"/>
        <v>60.36422562</v>
      </c>
      <c r="AM12" s="51">
        <f t="shared" si="14"/>
        <v>5737.675911</v>
      </c>
      <c r="AN12" s="51" t="str">
        <f t="array" ref="AN12">XLOOKUP(D12,RUC!$B$3:$B$565,RUC!$M$3:$M$565)</f>
        <v>Richard Sapacayo</v>
      </c>
      <c r="AO12" s="131" t="s">
        <v>558</v>
      </c>
      <c r="AP12" s="141" t="s">
        <v>727</v>
      </c>
      <c r="AQ12" s="141" t="s">
        <v>728</v>
      </c>
      <c r="AV12" s="160" t="s">
        <v>549</v>
      </c>
      <c r="AW12" s="6">
        <f t="shared" si="16"/>
        <v>0</v>
      </c>
      <c r="AX12" s="6">
        <f t="array" ref="AX12">+SUMPRODUCT(IF($AO$4:$AO$391=AV12,$L$4:$L$391*$K$4:$K$391/AW12))</f>
        <v>0</v>
      </c>
      <c r="AY12" s="145">
        <f t="shared" si="17"/>
        <v>0</v>
      </c>
      <c r="AZ12" s="58">
        <f t="array" ref="AZ12">+SUMPRODUCT(IF($AO$4:$AO$391=AV12,($Q$4:$Q$391*$AH$4:$AH$391)/SUMIF($AO$4:$AO$391,$AV12,$AH$4:$AH$391)))</f>
        <v>0</v>
      </c>
      <c r="BA12" s="65">
        <f t="shared" si="18"/>
        <v>0</v>
      </c>
      <c r="BB12" s="65">
        <f t="shared" si="19"/>
        <v>0</v>
      </c>
      <c r="BC12" s="58">
        <f t="shared" si="20"/>
        <v>246.2836821</v>
      </c>
      <c r="BD12" s="161">
        <f t="shared" si="21"/>
        <v>482.861</v>
      </c>
    </row>
    <row r="13" ht="15.0" customHeight="1">
      <c r="A13" s="117" t="s">
        <v>729</v>
      </c>
      <c r="B13" s="182">
        <v>46068.0</v>
      </c>
      <c r="C13" s="182">
        <v>46060.0</v>
      </c>
      <c r="D13" s="57" t="s">
        <v>730</v>
      </c>
      <c r="E13" s="3">
        <f t="array" ref="E13">XLOOKUP(D13,RUC!$B$3:$B$110,RUC!$D$3:$D$110)</f>
        <v>20613935151</v>
      </c>
      <c r="G13" s="3">
        <v>108.0</v>
      </c>
      <c r="H13" s="3" t="s">
        <v>47</v>
      </c>
      <c r="I13" s="6"/>
      <c r="J13" s="58"/>
      <c r="K13" s="6"/>
      <c r="L13" s="139"/>
      <c r="M13" s="60"/>
      <c r="N13" s="62"/>
      <c r="O13" s="60"/>
      <c r="P13" s="63"/>
      <c r="Q13" s="58"/>
      <c r="R13" s="65"/>
      <c r="S13" s="66"/>
      <c r="U13" s="67"/>
      <c r="V13" s="67"/>
      <c r="Z13" s="69"/>
      <c r="AA13" s="70"/>
      <c r="AB13" s="71"/>
      <c r="AC13" s="71"/>
      <c r="AD13" s="71"/>
      <c r="AE13" s="71"/>
      <c r="AF13" s="71"/>
      <c r="AG13" s="72"/>
      <c r="AH13" s="193"/>
      <c r="AI13" s="193"/>
      <c r="AJ13" s="73"/>
      <c r="AK13" s="73"/>
      <c r="AM13" s="51"/>
      <c r="AN13" s="51"/>
      <c r="AO13" s="131" t="s">
        <v>731</v>
      </c>
      <c r="AP13" s="141" t="s">
        <v>732</v>
      </c>
      <c r="AQ13" s="141" t="s">
        <v>733</v>
      </c>
      <c r="AV13" s="160" t="s">
        <v>561</v>
      </c>
      <c r="AW13" s="6">
        <f t="shared" si="16"/>
        <v>0</v>
      </c>
      <c r="AX13" s="6">
        <f t="array" ref="AX13">+SUMPRODUCT(IF($AO$4:$AO$391=AV13,$L$4:$L$391*$K$4:$K$391/AW13))</f>
        <v>0</v>
      </c>
      <c r="AY13" s="145">
        <f t="shared" si="17"/>
        <v>0</v>
      </c>
      <c r="AZ13" s="58">
        <f t="array" ref="AZ13">+SUMPRODUCT(IF($AO$4:$AO$391=AV13,($Q$4:$Q$391*$AH$4:$AH$391)/SUMIF($AO$4:$AO$391,$AV13,$AH$4:$AH$391)))</f>
        <v>0</v>
      </c>
      <c r="BA13" s="65">
        <f t="shared" si="18"/>
        <v>0</v>
      </c>
      <c r="BB13" s="65">
        <f t="shared" si="19"/>
        <v>0</v>
      </c>
      <c r="BC13" s="58">
        <f t="shared" si="20"/>
        <v>246.2836821</v>
      </c>
      <c r="BD13" s="161">
        <f t="shared" si="21"/>
        <v>482.861</v>
      </c>
    </row>
    <row r="14" ht="15.0" customHeight="1">
      <c r="A14" s="116" t="s">
        <v>734</v>
      </c>
      <c r="B14" s="182">
        <v>46074.0</v>
      </c>
      <c r="C14" s="182">
        <v>46061.0</v>
      </c>
      <c r="D14" s="57" t="s">
        <v>225</v>
      </c>
      <c r="E14" s="3">
        <f t="array" ref="E14">XLOOKUP(D14,RUC!$B$3:$B$110,RUC!$D$3:$D$110)</f>
        <v>10761932735</v>
      </c>
      <c r="G14" s="3" t="s">
        <v>735</v>
      </c>
      <c r="H14" s="3" t="s">
        <v>47</v>
      </c>
      <c r="I14" s="6">
        <v>32.03</v>
      </c>
      <c r="J14" s="58">
        <v>11.13</v>
      </c>
      <c r="K14" s="6">
        <f t="shared" ref="K14:K66" si="23">ROUND(+I14-(I14*(J14/100)),3)</f>
        <v>28.465</v>
      </c>
      <c r="L14" s="139">
        <v>0.102</v>
      </c>
      <c r="M14" s="60">
        <f t="shared" ref="M14:M15" si="24">ROUND(+IF(AN14="Melchor Vera",IF(L14&gt;0.467,L14*0.985,(L14-0.007)),IF(L14&gt;0.3,L14*0.94,(L14-0.019))),3)</f>
        <v>0.083</v>
      </c>
      <c r="N14" s="75">
        <v>0.155</v>
      </c>
      <c r="O14" s="60">
        <f t="shared" ref="O14:O66" si="25">+ROUND((M14+N14)/2,3)</f>
        <v>0.119</v>
      </c>
      <c r="P14" s="63">
        <v>80.0</v>
      </c>
      <c r="Q14" s="58">
        <v>98.53</v>
      </c>
      <c r="R14" s="65">
        <v>5039.55</v>
      </c>
      <c r="S14" s="66">
        <f t="array" ref="S14">IF((XLOOKUP(D14,RUC!$B$3:$B$106,RUC!$E$3:$E$106)+ROUNDDOWN(O14,1)*100)&lt;95,95,((XLOOKUP(D14,RUC!$B$3:$B$106,RUC!$E$3:$E$106)+ROUNDDOWN(O14,1)*100)))</f>
        <v>100</v>
      </c>
      <c r="U14" s="67">
        <f t="array" ref="U14">XLOOKUP(D14,RUC!$B$3:$B$110,RUC!$F$3:$F$110)</f>
        <v>120</v>
      </c>
      <c r="V14" s="67">
        <v>1.1023</v>
      </c>
      <c r="Y14" s="57">
        <f t="array" ref="Y14">XLOOKUP(D14,RUC!$B$3:$B$110,RUC!$G$3:$G$110)</f>
        <v>20</v>
      </c>
      <c r="Z14" s="69">
        <f t="array" ref="Z14">XLOOKUP(D14,RUC!$B$3:$B$110,RUC!$H$3:$H$110)</f>
        <v>30</v>
      </c>
      <c r="AA14" s="70">
        <f t="shared" ref="AA14:AA66" si="26">+Y14+Z14</f>
        <v>50</v>
      </c>
      <c r="AB14" s="71">
        <f t="shared" ref="AB14:AB31" si="27">+((O14*P14*(R14-U14)/100)-S14-AA14+T14)*V14</f>
        <v>350.9074607</v>
      </c>
      <c r="AC14" s="71">
        <f>+(S14-T14)*V14-'data 1'!$F$4</f>
        <v>30.23</v>
      </c>
      <c r="AD14" s="71">
        <f t="shared" ref="AD14:AD66" si="28">+(Q14-P14)*(R14-U14)*L14*V14/100</f>
        <v>102.494551</v>
      </c>
      <c r="AE14" s="71">
        <f t="shared" ref="AE14:AE66" si="29">+(Y14*V14-70)+V14*(Z14-IF(D14="UNTUCA",IF(+((W14-3)*2.5+(X14-3)*3.1)&gt;0,+((W14-3)*1.5+(X14-3)*3.1),0),IF(+((W14-3)*1.5+(X14-3)*3.1)&gt;0,+((W14-3)*1.5+(X14-3)*3.1),0)))</f>
        <v>-14.885</v>
      </c>
      <c r="AF14" s="71">
        <f t="shared" ref="AF14:AF66" si="30">(L14-O14)*(R14-U14)*Q14*V14/100</f>
        <v>-90.8327767</v>
      </c>
      <c r="AG14" s="72">
        <f t="shared" ref="AG14:AG15" si="31">AC14+AD14+AE14+AF14+70-53</f>
        <v>44.00677433</v>
      </c>
      <c r="AH14" s="193">
        <f t="shared" ref="AH14:AH66" si="32">ROUND((31.1035*L14*Q14*1.1023*K14/100),3)</f>
        <v>98.082</v>
      </c>
      <c r="AI14" s="193">
        <f t="shared" ref="AI14:AI66" si="33">ROUND((31.1035*L14*1.1023*K14),3)</f>
        <v>99.545</v>
      </c>
      <c r="AJ14" s="73">
        <f t="shared" ref="AJ14:AJ66" si="34">+((+$AJ$2-R14+U14)*L14*Q14*V14)/100</f>
        <v>-2.165784412</v>
      </c>
      <c r="AK14" s="73">
        <f t="shared" ref="AK14:AK66" si="35">31.1035*1.1023*K14*P14*O14/100</f>
        <v>92.90887594</v>
      </c>
      <c r="AM14" s="51">
        <f t="shared" ref="AM14:AM66" si="36">+IF(AB14*K14&gt;0,AB14*K14,0)</f>
        <v>9988.580868</v>
      </c>
      <c r="AN14" s="51" t="str">
        <f t="array" ref="AN14">XLOOKUP(D14,RUC!$B$3:$B$565,RUC!$M$3:$M$565)</f>
        <v>Richard Sapacayo</v>
      </c>
      <c r="AO14" s="131" t="s">
        <v>558</v>
      </c>
      <c r="AP14" s="141" t="s">
        <v>736</v>
      </c>
      <c r="AQ14" s="141" t="s">
        <v>737</v>
      </c>
      <c r="AV14" s="160" t="s">
        <v>689</v>
      </c>
      <c r="AW14" s="6">
        <f t="shared" si="16"/>
        <v>0</v>
      </c>
      <c r="AX14" s="6">
        <f t="array" ref="AX14">+SUMPRODUCT(IF($AO$4:$AO$391=AV14,$L$4:$L$391*$K$4:$K$391/AW14))</f>
        <v>0</v>
      </c>
      <c r="AY14" s="145">
        <f t="shared" si="17"/>
        <v>0</v>
      </c>
      <c r="AZ14" s="58">
        <f t="array" ref="AZ14">+SUMPRODUCT(IF('Analisis comercial'!$AO$4:$AO$283=AV14,('Analisis comercial'!$Q$4:$Q$283*'Analisis comercial'!$AH$4:$AH$283)/SUMIF('Analisis comercial'!$AO$4:$AO$283,#REF!,'Analisis comercial'!$AH$4:$AH$283)))</f>
        <v>0</v>
      </c>
      <c r="BA14" s="65">
        <f t="shared" si="18"/>
        <v>0</v>
      </c>
      <c r="BB14" s="65">
        <f t="shared" si="19"/>
        <v>0</v>
      </c>
      <c r="BC14" s="58">
        <f t="shared" si="20"/>
        <v>246.2836821</v>
      </c>
      <c r="BD14" s="161">
        <f t="shared" si="21"/>
        <v>482.861</v>
      </c>
    </row>
    <row r="15" ht="15.0" customHeight="1">
      <c r="A15" s="116" t="s">
        <v>738</v>
      </c>
      <c r="B15" s="182">
        <v>46080.0</v>
      </c>
      <c r="C15" s="182">
        <v>46064.0</v>
      </c>
      <c r="D15" s="57" t="s">
        <v>225</v>
      </c>
      <c r="E15" s="3">
        <f t="array" ref="E15">XLOOKUP(D15,RUC!$B$3:$B$110,RUC!$D$3:$D$110)</f>
        <v>10761932735</v>
      </c>
      <c r="G15" s="3" t="s">
        <v>735</v>
      </c>
      <c r="H15" s="3" t="s">
        <v>47</v>
      </c>
      <c r="I15" s="6">
        <v>38.67</v>
      </c>
      <c r="J15" s="58">
        <v>5.5</v>
      </c>
      <c r="K15" s="6">
        <f t="shared" si="23"/>
        <v>36.543</v>
      </c>
      <c r="L15" s="139">
        <v>0.096</v>
      </c>
      <c r="M15" s="60">
        <f t="shared" si="24"/>
        <v>0.077</v>
      </c>
      <c r="N15" s="75">
        <v>0.149</v>
      </c>
      <c r="O15" s="60">
        <f t="shared" si="25"/>
        <v>0.113</v>
      </c>
      <c r="P15" s="63">
        <v>80.0</v>
      </c>
      <c r="Q15" s="58">
        <v>96.91</v>
      </c>
      <c r="R15" s="65">
        <v>5077.85</v>
      </c>
      <c r="S15" s="66">
        <f t="array" ref="S15">IF((XLOOKUP(D15,RUC!$B$3:$B$106,RUC!$E$3:$E$106)+ROUNDDOWN(O15,1)*100)&lt;95,95,((XLOOKUP(D15,RUC!$B$3:$B$106,RUC!$E$3:$E$106)+ROUNDDOWN(O15,1)*100)))</f>
        <v>100</v>
      </c>
      <c r="U15" s="67">
        <f t="array" ref="U15">XLOOKUP(D15,RUC!$B$3:$B$110,RUC!$F$3:$F$110)</f>
        <v>120</v>
      </c>
      <c r="V15" s="67">
        <v>1.1023</v>
      </c>
      <c r="Y15" s="199">
        <v>40.0</v>
      </c>
      <c r="Z15" s="69">
        <f t="array" ref="Z15">XLOOKUP(D15,RUC!$B$3:$B$110,RUC!$H$3:$H$110)</f>
        <v>30</v>
      </c>
      <c r="AA15" s="70">
        <f t="shared" si="26"/>
        <v>70</v>
      </c>
      <c r="AB15" s="71">
        <f t="shared" si="27"/>
        <v>306.6484402</v>
      </c>
      <c r="AC15" s="71">
        <f>+(S15-T15)*V15-'data 1'!$F$4</f>
        <v>30.23</v>
      </c>
      <c r="AD15" s="71">
        <f t="shared" si="28"/>
        <v>88.71724177</v>
      </c>
      <c r="AE15" s="71">
        <f t="shared" si="29"/>
        <v>7.161</v>
      </c>
      <c r="AF15" s="71">
        <f t="shared" si="30"/>
        <v>-90.03486244</v>
      </c>
      <c r="AG15" s="72">
        <f t="shared" si="31"/>
        <v>53.07337932</v>
      </c>
      <c r="AH15" s="193">
        <f t="shared" si="32"/>
        <v>116.561</v>
      </c>
      <c r="AI15" s="193">
        <f t="shared" si="33"/>
        <v>120.278</v>
      </c>
      <c r="AJ15" s="73">
        <f t="shared" si="34"/>
        <v>-5.932571722</v>
      </c>
      <c r="AK15" s="73">
        <f t="shared" si="35"/>
        <v>113.2613406</v>
      </c>
      <c r="AM15" s="51">
        <f t="shared" si="36"/>
        <v>11205.85395</v>
      </c>
      <c r="AN15" s="51" t="str">
        <f t="array" ref="AN15">XLOOKUP(D15,RUC!$B$3:$B$565,RUC!$M$3:$M$565)</f>
        <v>Richard Sapacayo</v>
      </c>
      <c r="AO15" s="131" t="s">
        <v>558</v>
      </c>
      <c r="AP15" s="141" t="s">
        <v>739</v>
      </c>
      <c r="AQ15" s="141" t="s">
        <v>740</v>
      </c>
      <c r="AV15" s="160" t="s">
        <v>690</v>
      </c>
      <c r="AW15" s="6">
        <f t="shared" si="16"/>
        <v>0</v>
      </c>
      <c r="AX15" s="6">
        <f t="array" ref="AX15">+SUMPRODUCT(IF($AO$4:$AO$391=AV15,$L$4:$L$391*$K$4:$K$391/AW15))</f>
        <v>0</v>
      </c>
      <c r="AY15" s="145">
        <f t="shared" si="17"/>
        <v>0</v>
      </c>
      <c r="AZ15" s="58">
        <f t="array" ref="AZ15">+SUMPRODUCT(IF('Analisis comercial'!$AO$4:$AO$283=AV15,('Analisis comercial'!$Q$4:$Q$283*'Analisis comercial'!$AH$4:$AH$283)/SUMIF('Analisis comercial'!$AO$4:$AO$283,#REF!,'Analisis comercial'!$AH$4:$AH$283)))</f>
        <v>0</v>
      </c>
      <c r="BA15" s="65">
        <f t="shared" si="18"/>
        <v>0</v>
      </c>
      <c r="BB15" s="65">
        <f t="shared" si="19"/>
        <v>0</v>
      </c>
      <c r="BC15" s="58">
        <f t="shared" si="20"/>
        <v>246.2836821</v>
      </c>
      <c r="BD15" s="161">
        <f t="shared" si="21"/>
        <v>482.861</v>
      </c>
    </row>
    <row r="16" ht="15.0" customHeight="1">
      <c r="A16" s="116" t="s">
        <v>741</v>
      </c>
      <c r="B16" s="182">
        <v>46126.0</v>
      </c>
      <c r="C16" s="182">
        <v>46103.0</v>
      </c>
      <c r="D16" s="57" t="s">
        <v>74</v>
      </c>
      <c r="E16" s="3">
        <f t="array" ref="E16">XLOOKUP(D16,RUC!$B$3:$B$110,RUC!$D$3:$D$110)</f>
        <v>10082235774</v>
      </c>
      <c r="G16" s="141">
        <v>41.0</v>
      </c>
      <c r="H16" s="3" t="s">
        <v>47</v>
      </c>
      <c r="I16" s="6">
        <v>3.83</v>
      </c>
      <c r="J16" s="58">
        <v>2.85</v>
      </c>
      <c r="K16" s="6">
        <f t="shared" si="23"/>
        <v>3.721</v>
      </c>
      <c r="L16" s="60">
        <v>0.222</v>
      </c>
      <c r="M16" s="61">
        <v>0.197</v>
      </c>
      <c r="N16" s="62">
        <f t="shared" ref="N16:N65" si="37">+M16</f>
        <v>0.197</v>
      </c>
      <c r="O16" s="60">
        <f t="shared" si="25"/>
        <v>0.197</v>
      </c>
      <c r="P16" s="63">
        <v>85.0</v>
      </c>
      <c r="Q16" s="140">
        <v>93.81</v>
      </c>
      <c r="R16" s="65">
        <v>4466.25</v>
      </c>
      <c r="S16" s="133">
        <f t="array" ref="S16">IF((XLOOKUP(D16,RUC!$B$3:$B$106,RUC!$E$3:$E$106)+ROUNDDOWN(O16,1)*100)&lt;95,95,((XLOOKUP(D16,RUC!$B$3:$B$106,RUC!$E$3:$E$106)+ROUNDDOWN(O16,1)*100)))</f>
        <v>95</v>
      </c>
      <c r="U16" s="67">
        <f t="array" ref="U16">XLOOKUP(D16,RUC!$B$3:$B$110,RUC!$F$3:$F$110)</f>
        <v>80</v>
      </c>
      <c r="V16" s="67">
        <v>1.1023</v>
      </c>
      <c r="Y16" s="57" t="str">
        <f t="array" ref="Y16">XLOOKUP(D16,RUC!$B$3:$B$110,RUC!$G$3:$G$110)</f>
        <v/>
      </c>
      <c r="Z16" s="69">
        <f t="array" ref="Z16">XLOOKUP(D16,RUC!$B$3:$B$110,RUC!$H$3:$H$110)</f>
        <v>10</v>
      </c>
      <c r="AA16" s="70">
        <f t="shared" si="26"/>
        <v>10</v>
      </c>
      <c r="AB16" s="71">
        <f t="shared" si="27"/>
        <v>693.8731171</v>
      </c>
      <c r="AC16" s="71">
        <f>+(S16-T16)*V16-'data 1'!$F$4</f>
        <v>24.7185</v>
      </c>
      <c r="AD16" s="71">
        <f t="shared" si="28"/>
        <v>94.56318068</v>
      </c>
      <c r="AE16" s="71">
        <f t="shared" si="29"/>
        <v>-58.977</v>
      </c>
      <c r="AF16" s="71">
        <f t="shared" si="30"/>
        <v>113.3919786</v>
      </c>
      <c r="AG16" s="72">
        <f>AC16+AD16+AE16+AF16+70</f>
        <v>243.6966592</v>
      </c>
      <c r="AH16" s="193">
        <f t="shared" si="32"/>
        <v>26.569</v>
      </c>
      <c r="AI16" s="193">
        <f t="shared" si="33"/>
        <v>28.322</v>
      </c>
      <c r="AJ16" s="73">
        <f t="shared" si="34"/>
        <v>117.9379984</v>
      </c>
      <c r="AK16" s="73">
        <f t="shared" si="35"/>
        <v>21.3625893</v>
      </c>
      <c r="AM16" s="51">
        <f t="shared" si="36"/>
        <v>2581.901869</v>
      </c>
      <c r="AN16" s="51" t="str">
        <f t="array" ref="AN16">XLOOKUP(D16,RUC!$B$3:$B$565,RUC!$M$3:$M$565)</f>
        <v>Melchor Vera</v>
      </c>
      <c r="AO16" s="131" t="s">
        <v>558</v>
      </c>
      <c r="AP16" s="141" t="s">
        <v>742</v>
      </c>
      <c r="AQ16" s="141" t="s">
        <v>743</v>
      </c>
      <c r="AR16" s="2" t="s">
        <v>744</v>
      </c>
      <c r="AV16" s="160" t="s">
        <v>691</v>
      </c>
      <c r="AW16" s="6">
        <f t="shared" si="16"/>
        <v>0</v>
      </c>
      <c r="AX16" s="6">
        <f t="array" ref="AX16">+SUMPRODUCT(IF($AO$4:$AO$391=AV16,$L$4:$L$391*$K$4:$K$391/AW16))</f>
        <v>0</v>
      </c>
      <c r="AY16" s="145">
        <f t="shared" si="17"/>
        <v>0</v>
      </c>
      <c r="AZ16" s="58">
        <f t="array" ref="AZ16">+SUMPRODUCT(IF('Analisis comercial'!$AO$4:$AO$283=AV16,('Analisis comercial'!$Q$4:$Q$283*'Analisis comercial'!$AH$4:$AH$283)/SUMIF('Analisis comercial'!$AO$4:$AO$283,#REF!,'Analisis comercial'!$AH$4:$AH$283)))</f>
        <v>0</v>
      </c>
      <c r="BA16" s="65">
        <f t="shared" si="18"/>
        <v>0</v>
      </c>
      <c r="BB16" s="65">
        <f t="shared" si="19"/>
        <v>0</v>
      </c>
      <c r="BC16" s="58">
        <f t="shared" si="20"/>
        <v>246.2836821</v>
      </c>
      <c r="BD16" s="161">
        <f t="shared" si="21"/>
        <v>482.861</v>
      </c>
    </row>
    <row r="17" ht="15.0" customHeight="1">
      <c r="A17" s="192" t="s">
        <v>745</v>
      </c>
      <c r="B17" s="182"/>
      <c r="C17" s="182">
        <v>46105.0</v>
      </c>
      <c r="D17" s="57" t="s">
        <v>602</v>
      </c>
      <c r="E17" s="3">
        <f t="array" ref="E17">XLOOKUP(D17,RUC!$B$3:$B$110,RUC!$D$3:$D$110)</f>
        <v>20169040231</v>
      </c>
      <c r="G17" s="141">
        <v>75.0</v>
      </c>
      <c r="H17" s="3" t="s">
        <v>47</v>
      </c>
      <c r="I17" s="6">
        <v>6.97</v>
      </c>
      <c r="J17" s="58">
        <v>2.0</v>
      </c>
      <c r="K17" s="6">
        <f t="shared" si="23"/>
        <v>6.831</v>
      </c>
      <c r="L17" s="60">
        <v>0.048</v>
      </c>
      <c r="M17" s="60">
        <f t="shared" ref="M17:M20" si="38">ROUND(+IF(AN17="Melchor Vera",IF(L17&gt;0.467,L17*0.985,(L17-0.007)),IF(L17&gt;0.3,L17*0.94,(L17-0.019))),3)</f>
        <v>0.029</v>
      </c>
      <c r="N17" s="62">
        <f t="shared" si="37"/>
        <v>0.029</v>
      </c>
      <c r="O17" s="60">
        <f t="shared" si="25"/>
        <v>0.029</v>
      </c>
      <c r="P17" s="63">
        <v>90.0</v>
      </c>
      <c r="Q17" s="58">
        <v>90.7</v>
      </c>
      <c r="R17" s="65">
        <v>4413.55</v>
      </c>
      <c r="S17" s="66">
        <f t="array" ref="S17">IF((XLOOKUP(D17,RUC!$B$3:$B$106,RUC!$E$3:$E$106)+ROUNDDOWN(O17,1)*100)&lt;95,95,((XLOOKUP(D17,RUC!$B$3:$B$106,RUC!$E$3:$E$106)+ROUNDDOWN(O17,1)*100)))</f>
        <v>95</v>
      </c>
      <c r="U17" s="67">
        <f t="array" ref="U17">XLOOKUP(D17,RUC!$B$3:$B$110,RUC!$F$3:$F$110)</f>
        <v>120</v>
      </c>
      <c r="V17" s="67">
        <v>1.1023</v>
      </c>
      <c r="Y17" s="57">
        <f t="array" ref="Y17">XLOOKUP(D17,RUC!$B$3:$B$110,RUC!$G$3:$G$110)</f>
        <v>20</v>
      </c>
      <c r="Z17" s="140">
        <v>35.0</v>
      </c>
      <c r="AA17" s="70">
        <f t="shared" si="26"/>
        <v>55</v>
      </c>
      <c r="AB17" s="71">
        <f t="shared" si="27"/>
        <v>-41.81943769</v>
      </c>
      <c r="AC17" s="71">
        <f>+(S17-T17)*V17-'data 1'!$F$4</f>
        <v>24.7185</v>
      </c>
      <c r="AD17" s="71">
        <f t="shared" si="28"/>
        <v>1.590214135</v>
      </c>
      <c r="AE17" s="71">
        <f t="shared" si="29"/>
        <v>-9.3735</v>
      </c>
      <c r="AF17" s="71">
        <f t="shared" si="30"/>
        <v>81.56000058</v>
      </c>
      <c r="AG17" s="72">
        <f t="shared" ref="AG17:AG20" si="39">AC17+AD17+AE17+AF17+70-53</f>
        <v>115.4952147</v>
      </c>
      <c r="AH17" s="193">
        <f t="shared" si="32"/>
        <v>10.196</v>
      </c>
      <c r="AI17" s="193">
        <f t="shared" si="33"/>
        <v>11.242</v>
      </c>
      <c r="AJ17" s="73">
        <f t="shared" si="34"/>
        <v>29.10337346</v>
      </c>
      <c r="AK17" s="73">
        <f t="shared" si="35"/>
        <v>6.112710979</v>
      </c>
      <c r="AM17" s="51">
        <f t="shared" si="36"/>
        <v>0</v>
      </c>
      <c r="AN17" s="51" t="str">
        <f t="array" ref="AN17">XLOOKUP(D17,RUC!$B$3:$B$565,RUC!$M$3:$M$565)</f>
        <v>Ronald Miranda</v>
      </c>
      <c r="AO17" s="131" t="s">
        <v>701</v>
      </c>
      <c r="AP17" s="141" t="s">
        <v>746</v>
      </c>
      <c r="AQ17" s="141" t="s">
        <v>747</v>
      </c>
      <c r="AV17" s="160" t="s">
        <v>692</v>
      </c>
      <c r="AW17" s="6">
        <f t="shared" si="16"/>
        <v>0</v>
      </c>
      <c r="AX17" s="6">
        <f t="array" ref="AX17">+SUMPRODUCT(IF($AO$4:$AO$391=AV17,$L$4:$L$391*$K$4:$K$391/AW17))</f>
        <v>0</v>
      </c>
      <c r="AY17" s="145">
        <f t="shared" si="17"/>
        <v>0</v>
      </c>
      <c r="AZ17" s="58">
        <f t="array" ref="AZ17">+SUMPRODUCT(IF('Analisis comercial'!$AO$4:$AO$283=AV17,('Analisis comercial'!$Q$4:$Q$283*'Analisis comercial'!$AH$4:$AH$283)/SUMIF('Analisis comercial'!$AO$4:$AO$283,#REF!,'Analisis comercial'!$AH$4:$AH$283)))</f>
        <v>0</v>
      </c>
      <c r="BA17" s="65">
        <f t="shared" si="18"/>
        <v>0</v>
      </c>
      <c r="BB17" s="65">
        <f t="shared" si="19"/>
        <v>0</v>
      </c>
      <c r="BC17" s="58">
        <f t="shared" si="20"/>
        <v>246.2836821</v>
      </c>
      <c r="BD17" s="161">
        <f t="shared" si="21"/>
        <v>482.861</v>
      </c>
    </row>
    <row r="18" ht="15.0" customHeight="1">
      <c r="A18" s="116" t="s">
        <v>748</v>
      </c>
      <c r="B18" s="182">
        <v>46125.0</v>
      </c>
      <c r="C18" s="182">
        <v>46113.0</v>
      </c>
      <c r="D18" s="57" t="s">
        <v>602</v>
      </c>
      <c r="E18" s="3">
        <f t="array" ref="E18">XLOOKUP(D18,RUC!$B$3:$B$110,RUC!$D$3:$D$110)</f>
        <v>20169040231</v>
      </c>
      <c r="G18" s="141">
        <v>16.0</v>
      </c>
      <c r="H18" s="3" t="s">
        <v>47</v>
      </c>
      <c r="I18" s="6">
        <v>1.4</v>
      </c>
      <c r="J18" s="58">
        <v>2.1</v>
      </c>
      <c r="K18" s="6">
        <f t="shared" si="23"/>
        <v>1.371</v>
      </c>
      <c r="L18" s="60">
        <v>0.93</v>
      </c>
      <c r="M18" s="60">
        <f t="shared" si="38"/>
        <v>0.874</v>
      </c>
      <c r="N18" s="62">
        <f t="shared" si="37"/>
        <v>0.874</v>
      </c>
      <c r="O18" s="60">
        <f t="shared" si="25"/>
        <v>0.874</v>
      </c>
      <c r="P18" s="63">
        <v>80.0</v>
      </c>
      <c r="Q18" s="201">
        <v>80.11</v>
      </c>
      <c r="R18" s="65">
        <v>4739.0</v>
      </c>
      <c r="S18" s="66">
        <f t="array" ref="S18">IF((XLOOKUP(D18,RUC!$B$3:$B$106,RUC!$E$3:$E$106)+ROUNDDOWN(O18,1)*100)&lt;95,95,((XLOOKUP(D18,RUC!$B$3:$B$106,RUC!$E$3:$E$106)+ROUNDDOWN(O18,1)*100)))</f>
        <v>165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140">
        <v>35.0</v>
      </c>
      <c r="AA18" s="70">
        <f t="shared" si="26"/>
        <v>55</v>
      </c>
      <c r="AB18" s="71">
        <f t="shared" si="27"/>
        <v>3317.487371</v>
      </c>
      <c r="AC18" s="71">
        <f>+(S18-T18)*V18-'data 1'!$F$4</f>
        <v>101.8795</v>
      </c>
      <c r="AD18" s="71">
        <f t="shared" si="28"/>
        <v>5.208628745</v>
      </c>
      <c r="AE18" s="71">
        <f t="shared" si="29"/>
        <v>-9.3735</v>
      </c>
      <c r="AF18" s="71">
        <f t="shared" si="30"/>
        <v>228.4138996</v>
      </c>
      <c r="AG18" s="72">
        <f t="shared" si="39"/>
        <v>343.1285284</v>
      </c>
      <c r="AH18" s="193">
        <f t="shared" si="32"/>
        <v>35.02</v>
      </c>
      <c r="AI18" s="193">
        <f t="shared" si="33"/>
        <v>43.715</v>
      </c>
      <c r="AJ18" s="73">
        <f t="shared" si="34"/>
        <v>230.7681177</v>
      </c>
      <c r="AK18" s="73">
        <f t="shared" si="35"/>
        <v>32.8660827</v>
      </c>
      <c r="AM18" s="51">
        <f t="shared" si="36"/>
        <v>4548.275186</v>
      </c>
      <c r="AN18" s="51" t="str">
        <f t="array" ref="AN18">XLOOKUP(D18,RUC!$B$3:$B$565,RUC!$M$3:$M$565)</f>
        <v>Ronald Miranda</v>
      </c>
      <c r="AO18" s="131" t="s">
        <v>558</v>
      </c>
      <c r="AP18" s="141" t="s">
        <v>749</v>
      </c>
      <c r="AQ18" s="141" t="s">
        <v>750</v>
      </c>
      <c r="AR18" s="57" t="s">
        <v>751</v>
      </c>
      <c r="AV18" s="163" t="s">
        <v>693</v>
      </c>
      <c r="AW18" s="165">
        <f t="shared" si="16"/>
        <v>0</v>
      </c>
      <c r="AX18" s="165">
        <f t="array" ref="AX18">+SUMPRODUCT(IF('Analisis comercial'!$AO$4:$AO$283=AV18,'Analisis comercial'!$L$4:$L$283*'Analisis comercial'!$K$4:$K$283/AW18))</f>
        <v>0</v>
      </c>
      <c r="AY18" s="166">
        <f t="shared" si="17"/>
        <v>0</v>
      </c>
      <c r="AZ18" s="168">
        <f t="array" ref="AZ18">+SUMPRODUCT(IF('Analisis comercial'!$AO$4:$AO$283=AV18,('Analisis comercial'!$Q$4:$Q$283*'Analisis comercial'!$AH$4:$AH$283)/SUMIF('Analisis comercial'!$AO$4:$AO$283,#REF!,'Analisis comercial'!$AH$4:$AH$283)))</f>
        <v>0</v>
      </c>
      <c r="BA18" s="167">
        <f t="shared" si="18"/>
        <v>0</v>
      </c>
      <c r="BB18" s="167">
        <f>SUMIF($AO$4:$AO$6,$AV18,$AH$4:$AH$6)</f>
        <v>0</v>
      </c>
      <c r="BC18" s="168">
        <f t="shared" si="20"/>
        <v>246.2836821</v>
      </c>
      <c r="BD18" s="169">
        <f t="shared" si="21"/>
        <v>482.861</v>
      </c>
    </row>
    <row r="19" ht="15.0" customHeight="1">
      <c r="A19" s="116" t="s">
        <v>752</v>
      </c>
      <c r="B19" s="182">
        <v>46123.0</v>
      </c>
      <c r="C19" s="182">
        <v>46113.0</v>
      </c>
      <c r="D19" s="57" t="s">
        <v>602</v>
      </c>
      <c r="E19" s="3">
        <f t="array" ref="E19">XLOOKUP(D19,RUC!$B$3:$B$110,RUC!$D$3:$D$110)</f>
        <v>20169040231</v>
      </c>
      <c r="G19" s="141">
        <v>60.0</v>
      </c>
      <c r="H19" s="3" t="s">
        <v>47</v>
      </c>
      <c r="I19" s="6">
        <v>5.61</v>
      </c>
      <c r="J19" s="58">
        <v>2.15</v>
      </c>
      <c r="K19" s="6">
        <f t="shared" si="23"/>
        <v>5.489</v>
      </c>
      <c r="L19" s="60">
        <v>0.959</v>
      </c>
      <c r="M19" s="60">
        <f t="shared" si="38"/>
        <v>0.901</v>
      </c>
      <c r="N19" s="62">
        <f t="shared" si="37"/>
        <v>0.901</v>
      </c>
      <c r="O19" s="60">
        <f t="shared" si="25"/>
        <v>0.901</v>
      </c>
      <c r="P19" s="63">
        <v>90.0</v>
      </c>
      <c r="Q19" s="58">
        <v>95.2</v>
      </c>
      <c r="R19" s="65">
        <v>4739.0</v>
      </c>
      <c r="S19" s="66">
        <f t="array" ref="S19">IF((XLOOKUP(D19,RUC!$B$3:$B$106,RUC!$E$3:$E$106)+ROUNDDOWN(O19,1)*100)&lt;95,95,((XLOOKUP(D19,RUC!$B$3:$B$106,RUC!$E$3:$E$106)+ROUNDDOWN(O19,1)*100)))</f>
        <v>175</v>
      </c>
      <c r="U19" s="67">
        <f t="array" ref="U19">XLOOKUP(D19,RUC!$B$3:$B$110,RUC!$F$3:$F$110)</f>
        <v>120</v>
      </c>
      <c r="V19" s="67">
        <v>1.1023</v>
      </c>
      <c r="Y19" s="57">
        <f t="array" ref="Y19">XLOOKUP(D19,RUC!$B$3:$B$110,RUC!$G$3:$G$110)</f>
        <v>20</v>
      </c>
      <c r="Z19" s="140">
        <v>35.0</v>
      </c>
      <c r="AA19" s="70">
        <f t="shared" si="26"/>
        <v>55</v>
      </c>
      <c r="AB19" s="71">
        <f t="shared" si="27"/>
        <v>3875.187568</v>
      </c>
      <c r="AC19" s="71">
        <f>+(S19-T19)*V19-'data 1'!$F$4</f>
        <v>112.9025</v>
      </c>
      <c r="AD19" s="71">
        <f t="shared" si="28"/>
        <v>253.9041039</v>
      </c>
      <c r="AE19" s="71">
        <f t="shared" si="29"/>
        <v>-9.3735</v>
      </c>
      <c r="AF19" s="71">
        <f t="shared" si="30"/>
        <v>281.1335726</v>
      </c>
      <c r="AG19" s="72">
        <f t="shared" si="39"/>
        <v>655.5666765</v>
      </c>
      <c r="AH19" s="193">
        <f t="shared" si="32"/>
        <v>171.814</v>
      </c>
      <c r="AI19" s="193">
        <f t="shared" si="33"/>
        <v>180.477</v>
      </c>
      <c r="AJ19" s="73">
        <f t="shared" si="34"/>
        <v>282.78846</v>
      </c>
      <c r="AK19" s="73">
        <f t="shared" si="35"/>
        <v>152.6052942</v>
      </c>
      <c r="AM19" s="51">
        <f t="shared" si="36"/>
        <v>21270.90456</v>
      </c>
      <c r="AN19" s="51" t="str">
        <f t="array" ref="AN19">XLOOKUP(D19,RUC!$B$3:$B$565,RUC!$M$3:$M$565)</f>
        <v>Ronald Miranda</v>
      </c>
      <c r="AO19" s="131" t="s">
        <v>558</v>
      </c>
      <c r="AP19" s="141" t="s">
        <v>753</v>
      </c>
      <c r="AQ19" s="141" t="s">
        <v>754</v>
      </c>
      <c r="AV19" s="2"/>
      <c r="AW19" s="6"/>
      <c r="AX19" s="6"/>
      <c r="AY19" s="145"/>
      <c r="AZ19" s="58"/>
      <c r="BA19" s="65"/>
      <c r="BB19" s="65"/>
      <c r="BC19" s="58"/>
      <c r="BD19" s="65"/>
    </row>
    <row r="20" ht="15.0" customHeight="1">
      <c r="A20" s="116" t="s">
        <v>755</v>
      </c>
      <c r="B20" s="182">
        <v>46123.0</v>
      </c>
      <c r="C20" s="182">
        <v>46114.0</v>
      </c>
      <c r="D20" s="2" t="s">
        <v>756</v>
      </c>
      <c r="E20" s="3" t="str">
        <f t="array" ref="E20">XLOOKUP(D20,RUC!$B$3:$B$110,RUC!$D$3:$D$110)</f>
        <v>20610807004*</v>
      </c>
      <c r="G20" s="141">
        <v>90.0</v>
      </c>
      <c r="H20" s="3" t="s">
        <v>47</v>
      </c>
      <c r="I20" s="6">
        <v>8.44</v>
      </c>
      <c r="J20" s="58">
        <v>2.95</v>
      </c>
      <c r="K20" s="6">
        <f t="shared" si="23"/>
        <v>8.191</v>
      </c>
      <c r="L20" s="60">
        <v>1.079</v>
      </c>
      <c r="M20" s="60">
        <f t="shared" si="38"/>
        <v>1.014</v>
      </c>
      <c r="N20" s="62">
        <f t="shared" si="37"/>
        <v>1.014</v>
      </c>
      <c r="O20" s="60">
        <f t="shared" si="25"/>
        <v>1.014</v>
      </c>
      <c r="P20" s="63">
        <v>90.0</v>
      </c>
      <c r="Q20" s="58">
        <v>98.98</v>
      </c>
      <c r="R20" s="65">
        <v>4639.35</v>
      </c>
      <c r="S20" s="66">
        <f t="array" ref="S20">IF((XLOOKUP(D20,RUC!$B$3:$B$106,RUC!$E$3:$E$106)+ROUNDDOWN(O20,1)*100)&lt;95,95,((XLOOKUP(D20,RUC!$B$3:$B$106,RUC!$E$3:$E$106)+ROUNDDOWN(O20,1)*100)))</f>
        <v>185</v>
      </c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140">
        <v>35.0</v>
      </c>
      <c r="AA20" s="70">
        <f t="shared" si="26"/>
        <v>55</v>
      </c>
      <c r="AB20" s="71">
        <f t="shared" si="27"/>
        <v>4281.728716</v>
      </c>
      <c r="AC20" s="71">
        <f>+(S20-T20)*V20-'data 1'!$F$4</f>
        <v>123.9255</v>
      </c>
      <c r="AD20" s="71">
        <f t="shared" si="28"/>
        <v>482.6958503</v>
      </c>
      <c r="AE20" s="71">
        <f t="shared" si="29"/>
        <v>-9.3735</v>
      </c>
      <c r="AF20" s="71">
        <f t="shared" si="30"/>
        <v>320.5063143</v>
      </c>
      <c r="AG20" s="72">
        <f t="shared" si="39"/>
        <v>934.7541646</v>
      </c>
      <c r="AH20" s="193">
        <f t="shared" si="32"/>
        <v>299.927</v>
      </c>
      <c r="AI20" s="193">
        <f t="shared" si="33"/>
        <v>303.017</v>
      </c>
      <c r="AJ20" s="73">
        <f t="shared" si="34"/>
        <v>448.120215</v>
      </c>
      <c r="AK20" s="73">
        <f t="shared" si="35"/>
        <v>256.2869305</v>
      </c>
      <c r="AM20" s="51">
        <f t="shared" si="36"/>
        <v>35071.63991</v>
      </c>
      <c r="AN20" s="51" t="str">
        <f t="array" ref="AN20">XLOOKUP(D20,RUC!$B$3:$B$565,RUC!$M$3:$M$565)</f>
        <v>Ronald Miranda</v>
      </c>
      <c r="AO20" s="131" t="s">
        <v>558</v>
      </c>
      <c r="AP20" s="141" t="s">
        <v>757</v>
      </c>
      <c r="AQ20" s="141" t="s">
        <v>758</v>
      </c>
    </row>
    <row r="21" ht="15.0" customHeight="1">
      <c r="A21" s="116" t="s">
        <v>759</v>
      </c>
      <c r="B21" s="182">
        <v>46126.0</v>
      </c>
      <c r="C21" s="182">
        <v>46116.0</v>
      </c>
      <c r="D21" s="2" t="s">
        <v>74</v>
      </c>
      <c r="E21" s="3">
        <f t="array" ref="E21">XLOOKUP(D21,RUC!$B$3:$B$110,RUC!$D$3:$D$110)</f>
        <v>10082235774</v>
      </c>
      <c r="G21" s="141">
        <v>41.0</v>
      </c>
      <c r="H21" s="3" t="s">
        <v>47</v>
      </c>
      <c r="I21" s="6">
        <v>4.03</v>
      </c>
      <c r="J21" s="58">
        <v>4.85</v>
      </c>
      <c r="K21" s="6">
        <f t="shared" si="23"/>
        <v>3.835</v>
      </c>
      <c r="L21" s="60">
        <v>0.222</v>
      </c>
      <c r="M21" s="61">
        <v>0.197</v>
      </c>
      <c r="N21" s="62">
        <f t="shared" si="37"/>
        <v>0.197</v>
      </c>
      <c r="O21" s="60">
        <f t="shared" si="25"/>
        <v>0.197</v>
      </c>
      <c r="P21" s="63">
        <v>85.0</v>
      </c>
      <c r="Q21" s="140">
        <v>89.14</v>
      </c>
      <c r="R21" s="65">
        <v>4639.35</v>
      </c>
      <c r="S21" s="133">
        <v>95.0</v>
      </c>
      <c r="U21" s="67">
        <f t="array" ref="U21">XLOOKUP(D21,RUC!$B$3:$B$110,RUC!$F$3:$F$110)</f>
        <v>80</v>
      </c>
      <c r="V21" s="67">
        <v>1.1023</v>
      </c>
      <c r="Y21" s="57" t="str">
        <f t="array" ref="Y21">XLOOKUP(D21,RUC!$B$3:$B$110,RUC!$G$3:$G$110)</f>
        <v/>
      </c>
      <c r="Z21" s="69">
        <f t="array" ref="Z21">XLOOKUP(D21,RUC!$B$3:$B$110,RUC!$H$3:$H$110)</f>
        <v>10</v>
      </c>
      <c r="AA21" s="70">
        <f t="shared" si="26"/>
        <v>10</v>
      </c>
      <c r="AB21" s="71">
        <f t="shared" si="27"/>
        <v>725.8239385</v>
      </c>
      <c r="AC21" s="71">
        <f>+(S21-T21)*V21-'data 1'!$F$4</f>
        <v>24.7185</v>
      </c>
      <c r="AD21" s="71">
        <f t="shared" si="28"/>
        <v>46.19086075</v>
      </c>
      <c r="AE21" s="71">
        <f t="shared" si="29"/>
        <v>-58.977</v>
      </c>
      <c r="AF21" s="71">
        <f t="shared" si="30"/>
        <v>111.999318</v>
      </c>
      <c r="AG21" s="72">
        <f>AC21+AD21+AE21+AF21+70</f>
        <v>193.9316787</v>
      </c>
      <c r="AH21" s="193">
        <f t="shared" si="32"/>
        <v>26.02</v>
      </c>
      <c r="AI21" s="193">
        <f t="shared" si="33"/>
        <v>29.19</v>
      </c>
      <c r="AJ21" s="73">
        <f t="shared" si="34"/>
        <v>74.30769757</v>
      </c>
      <c r="AK21" s="73">
        <f t="shared" si="35"/>
        <v>22.01707336</v>
      </c>
      <c r="AM21" s="51">
        <f t="shared" si="36"/>
        <v>2783.534804</v>
      </c>
      <c r="AN21" s="51" t="str">
        <f t="array" ref="AN21">XLOOKUP(D21,RUC!$B$3:$B$565,RUC!$M$3:$M$565)</f>
        <v>Melchor Vera</v>
      </c>
      <c r="AO21" s="131" t="s">
        <v>558</v>
      </c>
      <c r="AP21" s="141" t="s">
        <v>760</v>
      </c>
      <c r="AQ21" s="141" t="s">
        <v>761</v>
      </c>
      <c r="AR21" s="2" t="s">
        <v>762</v>
      </c>
    </row>
    <row r="22" ht="15.0" customHeight="1">
      <c r="A22" s="116" t="s">
        <v>763</v>
      </c>
      <c r="B22" s="182">
        <v>46126.0</v>
      </c>
      <c r="C22" s="182">
        <v>46116.0</v>
      </c>
      <c r="D22" s="57" t="s">
        <v>665</v>
      </c>
      <c r="E22" s="3">
        <f t="array" ref="E22">XLOOKUP(D22,RUC!$B$3:$B$110,RUC!$D$3:$D$110)</f>
        <v>20608774000</v>
      </c>
      <c r="G22" s="141">
        <v>12.0</v>
      </c>
      <c r="H22" s="3" t="s">
        <v>47</v>
      </c>
      <c r="I22" s="6">
        <v>1.15</v>
      </c>
      <c r="J22" s="58">
        <v>2.0</v>
      </c>
      <c r="K22" s="6">
        <f t="shared" si="23"/>
        <v>1.127</v>
      </c>
      <c r="L22" s="60">
        <v>0.926</v>
      </c>
      <c r="M22" s="60">
        <f t="shared" ref="M22:M36" si="40">ROUND(+IF(AN22="Melchor Vera",IF(L22&gt;0.467,L22*0.985,(L22-0.007)),IF(L22&gt;0.3,L22*0.94,(L22-0.019))),3)</f>
        <v>0.87</v>
      </c>
      <c r="N22" s="62">
        <f t="shared" si="37"/>
        <v>0.87</v>
      </c>
      <c r="O22" s="60">
        <f t="shared" si="25"/>
        <v>0.87</v>
      </c>
      <c r="P22" s="63">
        <v>90.0</v>
      </c>
      <c r="Q22" s="58">
        <v>90.55000000000001</v>
      </c>
      <c r="R22" s="65">
        <v>4639.35</v>
      </c>
      <c r="S22" s="66">
        <f t="array" ref="S22">IF((XLOOKUP(D22,RUC!$B$3:$B$106,RUC!$E$3:$E$106)+ROUNDDOWN(O22,1)*100)&lt;95,95,((XLOOKUP(D22,RUC!$B$3:$B$106,RUC!$E$3:$E$106)+ROUNDDOWN(O22,1)*100)))</f>
        <v>165</v>
      </c>
      <c r="U22" s="67">
        <f t="array" ref="U22">XLOOKUP(D22,RUC!$B$3:$B$110,RUC!$F$3:$F$110)</f>
        <v>120</v>
      </c>
      <c r="V22" s="67">
        <v>1.1023</v>
      </c>
      <c r="Y22" s="57">
        <f t="array" ref="Y22">XLOOKUP(D22,RUC!$B$3:$B$110,RUC!$G$3:$G$110)</f>
        <v>20</v>
      </c>
      <c r="Z22" s="140">
        <v>35.0</v>
      </c>
      <c r="AA22" s="70">
        <f t="shared" si="26"/>
        <v>55</v>
      </c>
      <c r="AB22" s="71">
        <f t="shared" si="27"/>
        <v>3658.149052</v>
      </c>
      <c r="AC22" s="71">
        <f>+(S22-T22)*V22-'data 1'!$F$4</f>
        <v>101.8795</v>
      </c>
      <c r="AD22" s="71">
        <f t="shared" si="28"/>
        <v>25.37169372</v>
      </c>
      <c r="AE22" s="71">
        <f t="shared" si="29"/>
        <v>-9.3735</v>
      </c>
      <c r="AF22" s="71">
        <f t="shared" si="30"/>
        <v>252.6110043</v>
      </c>
      <c r="AG22" s="72">
        <f t="shared" ref="AG22:AG31" si="41">AC22+AD22+AE22+AF22+70-53</f>
        <v>387.4886981</v>
      </c>
      <c r="AH22" s="193">
        <f t="shared" si="32"/>
        <v>32.399</v>
      </c>
      <c r="AI22" s="193">
        <f t="shared" si="33"/>
        <v>35.78</v>
      </c>
      <c r="AJ22" s="73">
        <f t="shared" si="34"/>
        <v>351.8236929</v>
      </c>
      <c r="AK22" s="73">
        <f t="shared" si="35"/>
        <v>30.25483212</v>
      </c>
      <c r="AM22" s="51">
        <f t="shared" si="36"/>
        <v>4122.733982</v>
      </c>
      <c r="AN22" s="51" t="str">
        <f t="array" ref="AN22">XLOOKUP(D22,RUC!$B$3:$B$565,RUC!$M$3:$M$565)</f>
        <v>Ronald Miranda</v>
      </c>
      <c r="AO22" s="131" t="s">
        <v>558</v>
      </c>
      <c r="AP22" s="141" t="s">
        <v>764</v>
      </c>
      <c r="AQ22" s="141" t="s">
        <v>765</v>
      </c>
    </row>
    <row r="23" ht="15.0" customHeight="1">
      <c r="A23" s="202" t="s">
        <v>766</v>
      </c>
      <c r="B23" s="182">
        <v>46125.0</v>
      </c>
      <c r="C23" s="182">
        <v>46116.0</v>
      </c>
      <c r="D23" s="57" t="s">
        <v>602</v>
      </c>
      <c r="E23" s="3">
        <f t="array" ref="E23">XLOOKUP(D23,RUC!$B$3:$B$110,RUC!$D$3:$D$110)</f>
        <v>20169040231</v>
      </c>
      <c r="G23" s="141">
        <v>45.0</v>
      </c>
      <c r="H23" s="3" t="s">
        <v>47</v>
      </c>
      <c r="I23" s="6">
        <v>2.59</v>
      </c>
      <c r="J23" s="58">
        <v>2.6</v>
      </c>
      <c r="K23" s="6">
        <f t="shared" si="23"/>
        <v>2.523</v>
      </c>
      <c r="L23" s="60">
        <v>0.217</v>
      </c>
      <c r="M23" s="60">
        <f t="shared" si="40"/>
        <v>0.198</v>
      </c>
      <c r="N23" s="62">
        <f t="shared" si="37"/>
        <v>0.198</v>
      </c>
      <c r="O23" s="60">
        <f t="shared" si="25"/>
        <v>0.198</v>
      </c>
      <c r="P23" s="63">
        <v>85.0</v>
      </c>
      <c r="Q23" s="58">
        <v>90.78</v>
      </c>
      <c r="R23" s="65">
        <v>4639.35</v>
      </c>
      <c r="S23" s="66">
        <f t="array" ref="S23">IF((XLOOKUP(D23,RUC!$B$3:$B$106,RUC!$E$3:$E$106)+ROUNDDOWN(O23,1)*100)&lt;95,95,((XLOOKUP(D23,RUC!$B$3:$B$106,RUC!$E$3:$E$106)+ROUNDDOWN(O23,1)*100)))</f>
        <v>95</v>
      </c>
      <c r="U23" s="67">
        <f t="array" ref="U23">XLOOKUP(D23,RUC!$B$3:$B$110,RUC!$F$3:$F$110)</f>
        <v>120</v>
      </c>
      <c r="V23" s="67">
        <v>1.1023</v>
      </c>
      <c r="Y23" s="57">
        <f t="array" ref="Y23">XLOOKUP(D23,RUC!$B$3:$B$110,RUC!$G$3:$G$110)</f>
        <v>20</v>
      </c>
      <c r="Z23" s="140">
        <v>35.0</v>
      </c>
      <c r="AA23" s="70">
        <f t="shared" si="26"/>
        <v>55</v>
      </c>
      <c r="AB23" s="71">
        <f t="shared" si="27"/>
        <v>673.0716607</v>
      </c>
      <c r="AC23" s="71">
        <f>+(S23-T23)*V23-'data 1'!$F$4</f>
        <v>24.7185</v>
      </c>
      <c r="AD23" s="71">
        <f t="shared" si="28"/>
        <v>62.48321336</v>
      </c>
      <c r="AE23" s="71">
        <f t="shared" si="29"/>
        <v>-9.3735</v>
      </c>
      <c r="AF23" s="71">
        <f t="shared" si="30"/>
        <v>85.92500444</v>
      </c>
      <c r="AG23" s="72">
        <f t="shared" si="41"/>
        <v>180.7532178</v>
      </c>
      <c r="AH23" s="193">
        <f t="shared" si="32"/>
        <v>17.04</v>
      </c>
      <c r="AI23" s="193">
        <f t="shared" si="33"/>
        <v>18.771</v>
      </c>
      <c r="AJ23" s="73">
        <f t="shared" si="34"/>
        <v>82.65622255</v>
      </c>
      <c r="AK23" s="73">
        <f t="shared" si="35"/>
        <v>14.55829233</v>
      </c>
      <c r="AM23" s="51">
        <f t="shared" si="36"/>
        <v>1698.1598</v>
      </c>
      <c r="AN23" s="51" t="str">
        <f t="array" ref="AN23">XLOOKUP(D23,RUC!$B$3:$B$565,RUC!$M$3:$M$565)</f>
        <v>Ronald Miranda</v>
      </c>
      <c r="AO23" s="131" t="s">
        <v>547</v>
      </c>
      <c r="AP23" s="141" t="s">
        <v>767</v>
      </c>
      <c r="AQ23" s="141" t="s">
        <v>768</v>
      </c>
    </row>
    <row r="24" ht="15.0" customHeight="1">
      <c r="A24" s="116" t="s">
        <v>769</v>
      </c>
      <c r="B24" s="182">
        <v>46125.0</v>
      </c>
      <c r="C24" s="182">
        <v>46116.0</v>
      </c>
      <c r="D24" s="57" t="s">
        <v>602</v>
      </c>
      <c r="E24" s="3">
        <f t="array" ref="E24">XLOOKUP(D24,RUC!$B$3:$B$110,RUC!$D$3:$D$110)</f>
        <v>20169040231</v>
      </c>
      <c r="G24" s="141">
        <v>30.0</v>
      </c>
      <c r="H24" s="3" t="s">
        <v>47</v>
      </c>
      <c r="I24" s="6">
        <v>2.52</v>
      </c>
      <c r="J24" s="58">
        <v>3.95</v>
      </c>
      <c r="K24" s="6">
        <f t="shared" si="23"/>
        <v>2.42</v>
      </c>
      <c r="L24" s="60">
        <v>0.135</v>
      </c>
      <c r="M24" s="60">
        <f t="shared" si="40"/>
        <v>0.116</v>
      </c>
      <c r="N24" s="62">
        <f t="shared" si="37"/>
        <v>0.116</v>
      </c>
      <c r="O24" s="60">
        <f t="shared" si="25"/>
        <v>0.116</v>
      </c>
      <c r="P24" s="63">
        <v>80.0</v>
      </c>
      <c r="Q24" s="58">
        <v>96.3</v>
      </c>
      <c r="R24" s="65">
        <v>4639.35</v>
      </c>
      <c r="S24" s="66">
        <f t="array" ref="S24">IF((XLOOKUP(D24,RUC!$B$3:$B$106,RUC!$E$3:$E$106)+ROUNDDOWN(O24,1)*100)&lt;95,95,((XLOOKUP(D24,RUC!$B$3:$B$106,RUC!$E$3:$E$106)+ROUNDDOWN(O24,1)*100)))</f>
        <v>95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140">
        <v>35.0</v>
      </c>
      <c r="AA24" s="70">
        <f t="shared" si="26"/>
        <v>55</v>
      </c>
      <c r="AB24" s="71">
        <f t="shared" si="27"/>
        <v>296.9548581</v>
      </c>
      <c r="AC24" s="71">
        <f>+(S24-T24)*V24-'data 1'!$F$4</f>
        <v>24.7185</v>
      </c>
      <c r="AD24" s="71">
        <f t="shared" si="28"/>
        <v>109.6218575</v>
      </c>
      <c r="AE24" s="71">
        <f t="shared" si="29"/>
        <v>-9.3735</v>
      </c>
      <c r="AF24" s="71">
        <f t="shared" si="30"/>
        <v>91.1497899</v>
      </c>
      <c r="AG24" s="72">
        <f t="shared" si="41"/>
        <v>233.1166474</v>
      </c>
      <c r="AH24" s="193">
        <f t="shared" si="32"/>
        <v>10.787</v>
      </c>
      <c r="AI24" s="193">
        <f t="shared" si="33"/>
        <v>11.201</v>
      </c>
      <c r="AJ24" s="73">
        <f t="shared" si="34"/>
        <v>54.5488623</v>
      </c>
      <c r="AK24" s="73">
        <f t="shared" si="35"/>
        <v>7.699675307</v>
      </c>
      <c r="AM24" s="51">
        <f t="shared" si="36"/>
        <v>718.6307565</v>
      </c>
      <c r="AN24" s="51" t="str">
        <f t="array" ref="AN24">XLOOKUP(D24,RUC!$B$3:$B$565,RUC!$M$3:$M$565)</f>
        <v>Ronald Miranda</v>
      </c>
      <c r="AO24" s="131" t="s">
        <v>558</v>
      </c>
      <c r="AP24" s="141" t="s">
        <v>767</v>
      </c>
      <c r="AQ24" s="141" t="s">
        <v>768</v>
      </c>
      <c r="BA24" s="203"/>
    </row>
    <row r="25" ht="17.25" customHeight="1">
      <c r="A25" s="116" t="s">
        <v>770</v>
      </c>
      <c r="B25" s="182">
        <v>46126.0</v>
      </c>
      <c r="C25" s="182">
        <v>46116.0</v>
      </c>
      <c r="D25" s="57" t="s">
        <v>665</v>
      </c>
      <c r="E25" s="3">
        <f t="array" ref="E25">XLOOKUP(D25,RUC!$B$3:$B$110,RUC!$D$3:$D$110)</f>
        <v>20608774000</v>
      </c>
      <c r="G25" s="141">
        <v>30.0</v>
      </c>
      <c r="H25" s="3" t="s">
        <v>47</v>
      </c>
      <c r="I25" s="6">
        <v>2.9</v>
      </c>
      <c r="J25" s="58">
        <v>3.3</v>
      </c>
      <c r="K25" s="6">
        <f t="shared" si="23"/>
        <v>2.804</v>
      </c>
      <c r="L25" s="61">
        <v>0.26</v>
      </c>
      <c r="M25" s="60">
        <f t="shared" si="40"/>
        <v>0.241</v>
      </c>
      <c r="N25" s="62">
        <f t="shared" si="37"/>
        <v>0.241</v>
      </c>
      <c r="O25" s="60">
        <f t="shared" si="25"/>
        <v>0.241</v>
      </c>
      <c r="P25" s="63">
        <v>90.0</v>
      </c>
      <c r="Q25" s="58">
        <v>94.49</v>
      </c>
      <c r="R25" s="65">
        <v>4639.35</v>
      </c>
      <c r="S25" s="66">
        <f t="array" ref="S25">IF((XLOOKUP(D25,RUC!$B$3:$B$106,RUC!$E$3:$E$106)+ROUNDDOWN(O25,1)*100)&lt;95,95,((XLOOKUP(D25,RUC!$B$3:$B$106,RUC!$E$3:$E$106)+ROUNDDOWN(O25,1)*100)))</f>
        <v>105</v>
      </c>
      <c r="U25" s="67">
        <f t="array" ref="U25">XLOOKUP(D25,RUC!$B$3:$B$110,RUC!$F$3:$F$110)</f>
        <v>120</v>
      </c>
      <c r="V25" s="67">
        <v>1.1023</v>
      </c>
      <c r="Y25" s="57">
        <f t="array" ref="Y25">XLOOKUP(D25,RUC!$B$3:$B$110,RUC!$G$3:$G$110)</f>
        <v>20</v>
      </c>
      <c r="Z25" s="140">
        <v>35.0</v>
      </c>
      <c r="AA25" s="70">
        <f t="shared" si="26"/>
        <v>55</v>
      </c>
      <c r="AB25" s="71">
        <f t="shared" si="27"/>
        <v>904.1582846</v>
      </c>
      <c r="AC25" s="71">
        <f>+(S25-T25)*V25-'data 1'!$F$4</f>
        <v>35.7415</v>
      </c>
      <c r="AD25" s="71">
        <f t="shared" si="28"/>
        <v>58.15612654</v>
      </c>
      <c r="AE25" s="71">
        <f t="shared" si="29"/>
        <v>-9.3735</v>
      </c>
      <c r="AF25" s="71">
        <f t="shared" si="30"/>
        <v>89.43659032</v>
      </c>
      <c r="AG25" s="72">
        <f t="shared" si="41"/>
        <v>190.9607169</v>
      </c>
      <c r="AH25" s="193">
        <f t="shared" si="32"/>
        <v>23.618</v>
      </c>
      <c r="AI25" s="193">
        <f t="shared" si="33"/>
        <v>24.995</v>
      </c>
      <c r="AJ25" s="73">
        <f t="shared" si="34"/>
        <v>103.0824753</v>
      </c>
      <c r="AK25" s="73">
        <f t="shared" si="35"/>
        <v>20.85194787</v>
      </c>
      <c r="AM25" s="51">
        <f t="shared" si="36"/>
        <v>2535.25983</v>
      </c>
      <c r="AN25" s="51" t="str">
        <f t="array" ref="AN25">XLOOKUP(D25,RUC!$B$3:$B$565,RUC!$M$3:$M$565)</f>
        <v>Ronald Miranda</v>
      </c>
      <c r="AO25" s="131" t="s">
        <v>551</v>
      </c>
      <c r="AP25" s="141" t="s">
        <v>764</v>
      </c>
      <c r="AQ25" s="141" t="s">
        <v>765</v>
      </c>
      <c r="BA25" s="203"/>
    </row>
    <row r="26" ht="15.0" customHeight="1">
      <c r="A26" s="116" t="s">
        <v>771</v>
      </c>
      <c r="B26" s="182">
        <v>46125.0</v>
      </c>
      <c r="C26" s="182">
        <v>46117.0</v>
      </c>
      <c r="D26" s="57" t="s">
        <v>602</v>
      </c>
      <c r="E26" s="3">
        <f t="array" ref="E26">XLOOKUP(D26,RUC!$B$3:$B$110,RUC!$D$3:$D$110)</f>
        <v>20169040231</v>
      </c>
      <c r="G26" s="141">
        <v>31.0</v>
      </c>
      <c r="H26" s="3" t="s">
        <v>47</v>
      </c>
      <c r="I26" s="6">
        <v>3.94</v>
      </c>
      <c r="J26" s="58">
        <v>3.4</v>
      </c>
      <c r="K26" s="6">
        <f t="shared" si="23"/>
        <v>3.806</v>
      </c>
      <c r="L26" s="60">
        <v>0.367</v>
      </c>
      <c r="M26" s="60">
        <f t="shared" si="40"/>
        <v>0.345</v>
      </c>
      <c r="N26" s="62">
        <f t="shared" si="37"/>
        <v>0.345</v>
      </c>
      <c r="O26" s="60">
        <f t="shared" si="25"/>
        <v>0.345</v>
      </c>
      <c r="P26" s="63">
        <v>90.0</v>
      </c>
      <c r="Q26" s="58">
        <v>95.64</v>
      </c>
      <c r="R26" s="65">
        <v>4639.35</v>
      </c>
      <c r="S26" s="66">
        <f t="array" ref="S26">IF((XLOOKUP(D26,RUC!$B$3:$B$106,RUC!$E$3:$E$106)+ROUNDDOWN(O26,1)*100)&lt;95,95,((XLOOKUP(D26,RUC!$B$3:$B$106,RUC!$E$3:$E$106)+ROUNDDOWN(O26,1)*100)))</f>
        <v>115</v>
      </c>
      <c r="U26" s="67">
        <f t="array" ref="U26">XLOOKUP(D26,RUC!$B$3:$B$110,RUC!$F$3:$F$110)</f>
        <v>120</v>
      </c>
      <c r="V26" s="67">
        <v>1.1023</v>
      </c>
      <c r="Y26" s="57">
        <f t="array" ref="Y26">XLOOKUP(D26,RUC!$B$3:$B$110,RUC!$G$3:$G$110)</f>
        <v>20</v>
      </c>
      <c r="Z26" s="140">
        <v>35.0</v>
      </c>
      <c r="AA26" s="70">
        <f t="shared" si="26"/>
        <v>55</v>
      </c>
      <c r="AB26" s="71">
        <f t="shared" si="27"/>
        <v>1359.420486</v>
      </c>
      <c r="AC26" s="71">
        <f>+(S26-T26)*V26-'data 1'!$F$4</f>
        <v>46.7645</v>
      </c>
      <c r="AD26" s="71">
        <f t="shared" si="28"/>
        <v>103.1147877</v>
      </c>
      <c r="AE26" s="71">
        <f t="shared" si="29"/>
        <v>-9.3735</v>
      </c>
      <c r="AF26" s="71">
        <f t="shared" si="30"/>
        <v>104.8185221</v>
      </c>
      <c r="AG26" s="72">
        <f t="shared" si="41"/>
        <v>262.3243099</v>
      </c>
      <c r="AH26" s="193">
        <f t="shared" si="32"/>
        <v>45.802</v>
      </c>
      <c r="AI26" s="193">
        <f t="shared" si="33"/>
        <v>47.89</v>
      </c>
      <c r="AJ26" s="73">
        <f t="shared" si="34"/>
        <v>147.2757602</v>
      </c>
      <c r="AK26" s="73">
        <f t="shared" si="35"/>
        <v>40.51720304</v>
      </c>
      <c r="AM26" s="51">
        <f t="shared" si="36"/>
        <v>5173.954371</v>
      </c>
      <c r="AN26" s="51" t="str">
        <f t="array" ref="AN26">XLOOKUP(D26,RUC!$B$3:$B$565,RUC!$M$3:$M$565)</f>
        <v>Ronald Miranda</v>
      </c>
      <c r="AO26" s="131" t="s">
        <v>558</v>
      </c>
      <c r="AP26" s="141" t="s">
        <v>767</v>
      </c>
      <c r="AQ26" s="141" t="s">
        <v>768</v>
      </c>
      <c r="AV26" s="149" t="s">
        <v>772</v>
      </c>
      <c r="AW26" s="150"/>
      <c r="AX26" s="150"/>
      <c r="AY26" s="150"/>
      <c r="AZ26" s="150"/>
      <c r="BA26" s="151"/>
    </row>
    <row r="27" ht="15.0" customHeight="1">
      <c r="A27" s="116" t="s">
        <v>773</v>
      </c>
      <c r="B27" s="182">
        <v>46125.0</v>
      </c>
      <c r="C27" s="182">
        <v>46117.0</v>
      </c>
      <c r="D27" s="57" t="s">
        <v>665</v>
      </c>
      <c r="E27" s="3">
        <f t="array" ref="E27">XLOOKUP(D27,RUC!$B$3:$B$110,RUC!$D$3:$D$110)</f>
        <v>20608774000</v>
      </c>
      <c r="G27" s="141">
        <v>10.0</v>
      </c>
      <c r="H27" s="3" t="s">
        <v>47</v>
      </c>
      <c r="I27" s="6">
        <v>0.98</v>
      </c>
      <c r="J27" s="58">
        <v>2.0</v>
      </c>
      <c r="K27" s="6">
        <f t="shared" si="23"/>
        <v>0.96</v>
      </c>
      <c r="L27" s="60">
        <v>0.183</v>
      </c>
      <c r="M27" s="60">
        <f t="shared" si="40"/>
        <v>0.164</v>
      </c>
      <c r="N27" s="62">
        <f t="shared" si="37"/>
        <v>0.164</v>
      </c>
      <c r="O27" s="60">
        <f t="shared" si="25"/>
        <v>0.164</v>
      </c>
      <c r="P27" s="63">
        <v>85.0</v>
      </c>
      <c r="Q27" s="58">
        <v>93.99</v>
      </c>
      <c r="R27" s="65">
        <v>4639.35</v>
      </c>
      <c r="S27" s="66">
        <f t="array" ref="S27">IF((XLOOKUP(D27,RUC!$B$3:$B$106,RUC!$E$3:$E$106)+ROUNDDOWN(O27,1)*100)&lt;95,95,((XLOOKUP(D27,RUC!$B$3:$B$106,RUC!$E$3:$E$106)+ROUNDDOWN(O27,1)*100)))</f>
        <v>95</v>
      </c>
      <c r="U27" s="67">
        <f t="array" ref="U27">XLOOKUP(D27,RUC!$B$3:$B$110,RUC!$F$3:$F$110)</f>
        <v>120</v>
      </c>
      <c r="V27" s="67">
        <v>1.1023</v>
      </c>
      <c r="Y27" s="57">
        <f t="array" ref="Y27">XLOOKUP(D27,RUC!$B$3:$B$110,RUC!$G$3:$G$110)</f>
        <v>20</v>
      </c>
      <c r="Z27" s="140">
        <v>35.0</v>
      </c>
      <c r="AA27" s="70">
        <f t="shared" si="26"/>
        <v>55</v>
      </c>
      <c r="AB27" s="71">
        <f t="shared" si="27"/>
        <v>529.101123</v>
      </c>
      <c r="AC27" s="71">
        <f>+(S27-T27)*V27-'data 1'!$F$4</f>
        <v>24.7185</v>
      </c>
      <c r="AD27" s="71">
        <f t="shared" si="28"/>
        <v>81.95709671</v>
      </c>
      <c r="AE27" s="71">
        <f t="shared" si="29"/>
        <v>-9.3735</v>
      </c>
      <c r="AF27" s="71">
        <f t="shared" si="30"/>
        <v>88.96333077</v>
      </c>
      <c r="AG27" s="72">
        <f t="shared" si="41"/>
        <v>203.2654275</v>
      </c>
      <c r="AH27" s="193">
        <f t="shared" si="32"/>
        <v>5.661</v>
      </c>
      <c r="AI27" s="193">
        <f t="shared" si="33"/>
        <v>6.023</v>
      </c>
      <c r="AJ27" s="73">
        <f t="shared" si="34"/>
        <v>72.17027844</v>
      </c>
      <c r="AK27" s="73">
        <f t="shared" si="35"/>
        <v>4.58820777</v>
      </c>
      <c r="AM27" s="51">
        <f t="shared" si="36"/>
        <v>507.9370781</v>
      </c>
      <c r="AN27" s="51" t="str">
        <f t="array" ref="AN27">XLOOKUP(D27,RUC!$B$3:$B$565,RUC!$M$3:$M$565)</f>
        <v>Ronald Miranda</v>
      </c>
      <c r="AO27" s="131" t="s">
        <v>558</v>
      </c>
      <c r="AP27" s="141" t="s">
        <v>764</v>
      </c>
      <c r="AQ27" s="141" t="s">
        <v>765</v>
      </c>
      <c r="BA27" s="203">
        <f>SUM(BA29:BA38)</f>
        <v>0</v>
      </c>
    </row>
    <row r="28" ht="15.0" customHeight="1">
      <c r="A28" s="116" t="s">
        <v>774</v>
      </c>
      <c r="B28" s="182">
        <v>46125.0</v>
      </c>
      <c r="C28" s="182">
        <v>46116.0</v>
      </c>
      <c r="D28" s="57" t="s">
        <v>730</v>
      </c>
      <c r="E28" s="3">
        <f t="array" ref="E28">XLOOKUP(D28,RUC!$B$3:$B$110,RUC!$D$3:$D$110)</f>
        <v>20613935151</v>
      </c>
      <c r="G28" s="141">
        <v>90.0</v>
      </c>
      <c r="H28" s="3" t="s">
        <v>47</v>
      </c>
      <c r="I28" s="6">
        <v>7.01</v>
      </c>
      <c r="J28" s="58">
        <v>2.15</v>
      </c>
      <c r="K28" s="6">
        <f t="shared" si="23"/>
        <v>6.859</v>
      </c>
      <c r="L28" s="60">
        <v>0.184</v>
      </c>
      <c r="M28" s="60">
        <f t="shared" si="40"/>
        <v>0.165</v>
      </c>
      <c r="N28" s="62">
        <f t="shared" si="37"/>
        <v>0.165</v>
      </c>
      <c r="O28" s="60">
        <f t="shared" si="25"/>
        <v>0.165</v>
      </c>
      <c r="P28" s="63">
        <v>85.0</v>
      </c>
      <c r="Q28" s="58">
        <v>94.02</v>
      </c>
      <c r="R28" s="65">
        <v>4639.35</v>
      </c>
      <c r="S28" s="66">
        <f t="array" ref="S28">IF((XLOOKUP(D28,RUC!$B$3:$B$106,RUC!$E$3:$E$106)+ROUNDDOWN(O28,1)*100)&lt;95,95,((XLOOKUP(D28,RUC!$B$3:$B$106,RUC!$E$3:$E$106)+ROUNDDOWN(O28,1)*100)))</f>
        <v>100</v>
      </c>
      <c r="U28" s="67">
        <f t="array" ref="U28">XLOOKUP(D28,RUC!$B$3:$B$110,RUC!$F$3:$F$110)</f>
        <v>120</v>
      </c>
      <c r="V28" s="67">
        <v>1.1023</v>
      </c>
      <c r="Y28" s="57">
        <f t="array" ref="Y28">XLOOKUP(D28,RUC!$B$3:$B$110,RUC!$G$3:$G$110)</f>
        <v>20</v>
      </c>
      <c r="Z28" s="69">
        <f t="array" ref="Z28">XLOOKUP(D28,RUC!$B$3:$B$110,RUC!$H$3:$H$110)</f>
        <v>30</v>
      </c>
      <c r="AA28" s="70">
        <f t="shared" si="26"/>
        <v>50</v>
      </c>
      <c r="AB28" s="71">
        <f t="shared" si="27"/>
        <v>533.3355506</v>
      </c>
      <c r="AC28" s="71">
        <f>+(S28-T28)*V28-'data 1'!$F$4</f>
        <v>30.23</v>
      </c>
      <c r="AD28" s="71">
        <f t="shared" si="28"/>
        <v>82.67993841</v>
      </c>
      <c r="AE28" s="71">
        <f t="shared" si="29"/>
        <v>-14.885</v>
      </c>
      <c r="AF28" s="71">
        <f t="shared" si="30"/>
        <v>88.99172634</v>
      </c>
      <c r="AG28" s="72">
        <f t="shared" si="41"/>
        <v>204.0166648</v>
      </c>
      <c r="AH28" s="193">
        <f t="shared" si="32"/>
        <v>40.683</v>
      </c>
      <c r="AI28" s="193">
        <f t="shared" si="33"/>
        <v>43.27</v>
      </c>
      <c r="AJ28" s="73">
        <f t="shared" si="34"/>
        <v>72.58781295</v>
      </c>
      <c r="AK28" s="73">
        <f t="shared" si="35"/>
        <v>32.9816776</v>
      </c>
      <c r="AM28" s="51">
        <f t="shared" si="36"/>
        <v>3658.148541</v>
      </c>
      <c r="AN28" s="51" t="str">
        <f t="array" ref="AN28">XLOOKUP(D28,RUC!$B$3:$B$565,RUC!$M$3:$M$565)</f>
        <v>Dante </v>
      </c>
      <c r="AO28" s="131" t="s">
        <v>558</v>
      </c>
      <c r="AP28" s="141" t="s">
        <v>775</v>
      </c>
      <c r="AQ28" s="141" t="s">
        <v>776</v>
      </c>
      <c r="AV28" s="3"/>
      <c r="AW28" s="3" t="s">
        <v>14</v>
      </c>
      <c r="AX28" s="3" t="s">
        <v>683</v>
      </c>
      <c r="AY28" s="3" t="s">
        <v>686</v>
      </c>
      <c r="AZ28" s="204" t="s">
        <v>700</v>
      </c>
      <c r="BA28" s="3" t="s">
        <v>687</v>
      </c>
    </row>
    <row r="29" ht="15.0" customHeight="1">
      <c r="A29" s="116" t="s">
        <v>777</v>
      </c>
      <c r="B29" s="182">
        <v>45760.0</v>
      </c>
      <c r="C29" s="182">
        <v>46118.0</v>
      </c>
      <c r="D29" s="57" t="s">
        <v>730</v>
      </c>
      <c r="E29" s="3">
        <f t="array" ref="E29">XLOOKUP(D29,RUC!$B$3:$B$110,RUC!$D$3:$D$110)</f>
        <v>20613935151</v>
      </c>
      <c r="G29" s="141">
        <v>76.0</v>
      </c>
      <c r="H29" s="3" t="s">
        <v>47</v>
      </c>
      <c r="I29" s="6">
        <v>5.99</v>
      </c>
      <c r="J29" s="58">
        <v>2.0</v>
      </c>
      <c r="K29" s="6">
        <f t="shared" si="23"/>
        <v>5.87</v>
      </c>
      <c r="L29" s="60">
        <v>0.24</v>
      </c>
      <c r="M29" s="60">
        <f t="shared" si="40"/>
        <v>0.221</v>
      </c>
      <c r="N29" s="62">
        <f t="shared" si="37"/>
        <v>0.221</v>
      </c>
      <c r="O29" s="60">
        <f t="shared" si="25"/>
        <v>0.221</v>
      </c>
      <c r="P29" s="63">
        <v>90.0</v>
      </c>
      <c r="Q29" s="58">
        <v>92.92</v>
      </c>
      <c r="R29" s="65">
        <v>4611.7</v>
      </c>
      <c r="S29" s="66">
        <f t="array" ref="S29">IF((XLOOKUP(D29,RUC!$B$3:$B$106,RUC!$E$3:$E$106)+ROUNDDOWN(O29,1)*100)&lt;95,95,((XLOOKUP(D29,RUC!$B$3:$B$106,RUC!$E$3:$E$106)+ROUNDDOWN(O29,1)*100)))</f>
        <v>110</v>
      </c>
      <c r="U29" s="67">
        <f t="array" ref="U29">XLOOKUP(D29,RUC!$B$3:$B$110,RUC!$F$3:$F$110)</f>
        <v>120</v>
      </c>
      <c r="V29" s="67">
        <v>1.1023</v>
      </c>
      <c r="Y29" s="57">
        <f t="array" ref="Y29">XLOOKUP(D29,RUC!$B$3:$B$110,RUC!$G$3:$G$110)</f>
        <v>20</v>
      </c>
      <c r="Z29" s="69">
        <f t="array" ref="Z29">XLOOKUP(D29,RUC!$B$3:$B$110,RUC!$H$3:$H$110)</f>
        <v>30</v>
      </c>
      <c r="AA29" s="70">
        <f t="shared" si="26"/>
        <v>50</v>
      </c>
      <c r="AB29" s="71">
        <f t="shared" si="27"/>
        <v>808.425861</v>
      </c>
      <c r="AC29" s="71">
        <f>+(S29-T29)*V29-'data 1'!$F$4</f>
        <v>41.253</v>
      </c>
      <c r="AD29" s="71">
        <f t="shared" si="28"/>
        <v>34.69801598</v>
      </c>
      <c r="AE29" s="71">
        <f t="shared" si="29"/>
        <v>-14.885</v>
      </c>
      <c r="AF29" s="71">
        <f t="shared" si="30"/>
        <v>87.41246183</v>
      </c>
      <c r="AG29" s="72">
        <f t="shared" si="41"/>
        <v>165.4784778</v>
      </c>
      <c r="AH29" s="193">
        <f t="shared" si="32"/>
        <v>44.882</v>
      </c>
      <c r="AI29" s="193">
        <f t="shared" si="33"/>
        <v>48.301</v>
      </c>
      <c r="AJ29" s="73">
        <f t="shared" si="34"/>
        <v>100.3690076</v>
      </c>
      <c r="AK29" s="73">
        <f t="shared" si="35"/>
        <v>40.02966482</v>
      </c>
      <c r="AM29" s="51">
        <f t="shared" si="36"/>
        <v>4745.459804</v>
      </c>
      <c r="AN29" s="51" t="str">
        <f t="array" ref="AN29">XLOOKUP(D29,RUC!$B$3:$B$565,RUC!$M$3:$M$565)</f>
        <v>Dante </v>
      </c>
      <c r="AO29" s="131" t="s">
        <v>558</v>
      </c>
      <c r="AP29" s="141" t="s">
        <v>778</v>
      </c>
      <c r="AQ29" s="141" t="s">
        <v>779</v>
      </c>
      <c r="AV29" s="152" t="s">
        <v>558</v>
      </c>
      <c r="AW29" s="154">
        <f t="shared" ref="AW29:AW38" si="42">SUMIF($AO$4:$AO$391,AV29,$K$4:$K$391)</f>
        <v>155.754</v>
      </c>
      <c r="AX29" s="154"/>
      <c r="AY29" s="157">
        <f t="shared" ref="AY29:AY38" si="43">AW29*AX29*31.1035*1.1023</f>
        <v>0</v>
      </c>
      <c r="AZ29" s="58"/>
      <c r="BA29" s="159">
        <f t="shared" ref="BA29:BA38" si="44">AY29*AZ29/100</f>
        <v>0</v>
      </c>
    </row>
    <row r="30" ht="15.0" customHeight="1">
      <c r="A30" s="142" t="s">
        <v>780</v>
      </c>
      <c r="B30" s="182">
        <v>46127.0</v>
      </c>
      <c r="C30" s="182">
        <v>46119.0</v>
      </c>
      <c r="D30" s="57" t="s">
        <v>295</v>
      </c>
      <c r="E30" s="3">
        <f t="array" ref="E30">XLOOKUP(D30,RUC!$B$3:$B$110,RUC!$D$3:$D$110)</f>
        <v>20601769396</v>
      </c>
      <c r="G30" s="141">
        <v>28.0</v>
      </c>
      <c r="H30" s="3" t="s">
        <v>339</v>
      </c>
      <c r="I30" s="6">
        <v>1.92</v>
      </c>
      <c r="J30" s="58">
        <v>9.8</v>
      </c>
      <c r="K30" s="6">
        <f t="shared" si="23"/>
        <v>1.732</v>
      </c>
      <c r="L30" s="60">
        <v>0.181</v>
      </c>
      <c r="M30" s="60">
        <f t="shared" si="40"/>
        <v>0.162</v>
      </c>
      <c r="N30" s="62">
        <f t="shared" si="37"/>
        <v>0.162</v>
      </c>
      <c r="O30" s="60">
        <f t="shared" si="25"/>
        <v>0.162</v>
      </c>
      <c r="P30" s="63">
        <v>85.0</v>
      </c>
      <c r="Q30" s="58">
        <v>94.67</v>
      </c>
      <c r="R30" s="65">
        <v>4611.7</v>
      </c>
      <c r="S30" s="66">
        <f t="array" ref="S30">IF((XLOOKUP(D30,RUC!$B$3:$B$106,RUC!$E$3:$E$106)+ROUNDDOWN(O30,1)*100)&lt;95,95,((XLOOKUP(D30,RUC!$B$3:$B$106,RUC!$E$3:$E$106)+ROUNDDOWN(O30,1)*100)))</f>
        <v>100</v>
      </c>
      <c r="U30" s="67">
        <f t="array" ref="U30">XLOOKUP(D30,RUC!$B$3:$B$110,RUC!$F$3:$F$110)</f>
        <v>120</v>
      </c>
      <c r="V30" s="67">
        <v>1.1023</v>
      </c>
      <c r="Y30" s="57">
        <f t="array" ref="Y30">XLOOKUP(D30,RUC!$B$3:$B$110,RUC!$G$3:$G$110)</f>
        <v>20</v>
      </c>
      <c r="Z30" s="69">
        <f t="array" ref="Z30">XLOOKUP(D30,RUC!$B$3:$B$110,RUC!$H$3:$H$110)</f>
        <v>30</v>
      </c>
      <c r="AA30" s="70">
        <f t="shared" si="26"/>
        <v>50</v>
      </c>
      <c r="AB30" s="71">
        <f t="shared" si="27"/>
        <v>516.4353653</v>
      </c>
      <c r="AC30" s="71">
        <f>+(S30-T30)*V30-'data 1'!$F$4</f>
        <v>30.23</v>
      </c>
      <c r="AD30" s="71">
        <f t="shared" si="28"/>
        <v>86.65938417</v>
      </c>
      <c r="AE30" s="71">
        <f t="shared" si="29"/>
        <v>-14.885</v>
      </c>
      <c r="AF30" s="71">
        <f t="shared" si="30"/>
        <v>89.05873613</v>
      </c>
      <c r="AG30" s="72">
        <f t="shared" si="41"/>
        <v>208.0631203</v>
      </c>
      <c r="AH30" s="193">
        <f t="shared" si="32"/>
        <v>10.175</v>
      </c>
      <c r="AI30" s="193">
        <f t="shared" si="33"/>
        <v>10.748</v>
      </c>
      <c r="AJ30" s="73">
        <f t="shared" si="34"/>
        <v>77.12055376</v>
      </c>
      <c r="AK30" s="73">
        <f t="shared" si="35"/>
        <v>8.176941623</v>
      </c>
      <c r="AM30" s="51">
        <f t="shared" si="36"/>
        <v>894.4660527</v>
      </c>
      <c r="AN30" s="51" t="str">
        <f t="array" ref="AN30">XLOOKUP(D30,RUC!$B$3:$B$565,RUC!$M$3:$M$565)</f>
        <v>Evelyn</v>
      </c>
      <c r="AO30" s="131" t="s">
        <v>551</v>
      </c>
      <c r="AP30" s="141" t="s">
        <v>781</v>
      </c>
      <c r="AQ30" s="141" t="s">
        <v>782</v>
      </c>
      <c r="AV30" s="160" t="s">
        <v>551</v>
      </c>
      <c r="AW30" s="6">
        <f t="shared" si="42"/>
        <v>160.097</v>
      </c>
      <c r="AX30" s="6"/>
      <c r="AY30" s="58">
        <f t="shared" si="43"/>
        <v>0</v>
      </c>
      <c r="AZ30" s="58"/>
      <c r="BA30" s="162">
        <f t="shared" si="44"/>
        <v>0</v>
      </c>
    </row>
    <row r="31" ht="15.0" customHeight="1">
      <c r="A31" s="142" t="s">
        <v>783</v>
      </c>
      <c r="B31" s="182">
        <v>46127.0</v>
      </c>
      <c r="C31" s="182">
        <v>46119.0</v>
      </c>
      <c r="D31" s="57" t="s">
        <v>295</v>
      </c>
      <c r="E31" s="3">
        <f t="array" ref="E31">XLOOKUP(D31,RUC!$B$3:$B$110,RUC!$D$3:$D$110)</f>
        <v>20601769396</v>
      </c>
      <c r="G31" s="141">
        <v>15.0</v>
      </c>
      <c r="H31" s="3" t="s">
        <v>339</v>
      </c>
      <c r="I31" s="6">
        <v>1.01</v>
      </c>
      <c r="J31" s="58">
        <v>10.8</v>
      </c>
      <c r="K31" s="6">
        <f t="shared" si="23"/>
        <v>0.901</v>
      </c>
      <c r="L31" s="60">
        <v>0.366</v>
      </c>
      <c r="M31" s="60">
        <f t="shared" si="40"/>
        <v>0.344</v>
      </c>
      <c r="N31" s="62">
        <f t="shared" si="37"/>
        <v>0.344</v>
      </c>
      <c r="O31" s="60">
        <f t="shared" si="25"/>
        <v>0.344</v>
      </c>
      <c r="P31" s="63">
        <v>90.0</v>
      </c>
      <c r="Q31" s="58">
        <v>95.9</v>
      </c>
      <c r="R31" s="65">
        <v>4611.7</v>
      </c>
      <c r="S31" s="66">
        <f t="array" ref="S31">IF((XLOOKUP(D31,RUC!$B$3:$B$106,RUC!$E$3:$E$106)+ROUNDDOWN(O31,1)*100)&lt;95,95,((XLOOKUP(D31,RUC!$B$3:$B$106,RUC!$E$3:$E$106)+ROUNDDOWN(O31,1)*100)))</f>
        <v>120</v>
      </c>
      <c r="U31" s="67">
        <f t="array" ref="U31">XLOOKUP(D31,RUC!$B$3:$B$110,RUC!$F$3:$F$110)</f>
        <v>120</v>
      </c>
      <c r="V31" s="67">
        <v>1.1023</v>
      </c>
      <c r="Y31" s="57">
        <f t="array" ref="Y31">XLOOKUP(D31,RUC!$B$3:$B$110,RUC!$G$3:$G$110)</f>
        <v>20</v>
      </c>
      <c r="Z31" s="69">
        <f t="array" ref="Z31">XLOOKUP(D31,RUC!$B$3:$B$110,RUC!$H$3:$H$110)</f>
        <v>30</v>
      </c>
      <c r="AA31" s="70">
        <f t="shared" si="26"/>
        <v>50</v>
      </c>
      <c r="AB31" s="71">
        <f t="shared" si="27"/>
        <v>1345.500802</v>
      </c>
      <c r="AC31" s="71">
        <f>+(S31-T31)*V31-'data 1'!$F$4</f>
        <v>52.276</v>
      </c>
      <c r="AD31" s="71">
        <f t="shared" si="28"/>
        <v>106.9162325</v>
      </c>
      <c r="AE31" s="71">
        <f t="shared" si="29"/>
        <v>-14.885</v>
      </c>
      <c r="AF31" s="71">
        <f t="shared" si="30"/>
        <v>104.4604368</v>
      </c>
      <c r="AG31" s="72">
        <f t="shared" si="41"/>
        <v>265.7676692</v>
      </c>
      <c r="AH31" s="193">
        <f t="shared" si="32"/>
        <v>10.843</v>
      </c>
      <c r="AI31" s="193">
        <f t="shared" si="33"/>
        <v>11.306</v>
      </c>
      <c r="AJ31" s="73">
        <f t="shared" si="34"/>
        <v>157.9715502</v>
      </c>
      <c r="AK31" s="73">
        <f t="shared" si="35"/>
        <v>9.563895282</v>
      </c>
      <c r="AM31" s="51">
        <f t="shared" si="36"/>
        <v>1212.296222</v>
      </c>
      <c r="AN31" s="51" t="str">
        <f t="array" ref="AN31">XLOOKUP(D31,RUC!$B$3:$B$565,RUC!$M$3:$M$565)</f>
        <v>Evelyn</v>
      </c>
      <c r="AO31" s="131" t="s">
        <v>547</v>
      </c>
      <c r="AP31" s="141" t="s">
        <v>781</v>
      </c>
      <c r="AQ31" s="141" t="s">
        <v>782</v>
      </c>
      <c r="AV31" s="160" t="s">
        <v>547</v>
      </c>
      <c r="AW31" s="6">
        <f t="shared" si="42"/>
        <v>167.01</v>
      </c>
      <c r="AX31" s="6"/>
      <c r="AY31" s="58">
        <f t="shared" si="43"/>
        <v>0</v>
      </c>
      <c r="AZ31" s="58"/>
      <c r="BA31" s="162">
        <f t="shared" si="44"/>
        <v>0</v>
      </c>
    </row>
    <row r="32" ht="15.0" customHeight="1">
      <c r="A32" s="192" t="s">
        <v>784</v>
      </c>
      <c r="B32" s="182">
        <v>46127.0</v>
      </c>
      <c r="C32" s="182">
        <v>46119.0</v>
      </c>
      <c r="D32" s="57" t="s">
        <v>295</v>
      </c>
      <c r="E32" s="3">
        <f t="array" ref="E32">XLOOKUP(D32,RUC!$B$3:$B$110,RUC!$D$3:$D$110)</f>
        <v>20601769396</v>
      </c>
      <c r="G32" s="141">
        <v>29.0</v>
      </c>
      <c r="H32" s="3" t="s">
        <v>339</v>
      </c>
      <c r="I32" s="6">
        <v>2.03</v>
      </c>
      <c r="J32" s="58">
        <v>7.35</v>
      </c>
      <c r="K32" s="6">
        <f t="shared" si="23"/>
        <v>1.881</v>
      </c>
      <c r="L32" s="60">
        <v>0.116</v>
      </c>
      <c r="M32" s="60">
        <f t="shared" si="40"/>
        <v>0.097</v>
      </c>
      <c r="N32" s="62">
        <f t="shared" si="37"/>
        <v>0.097</v>
      </c>
      <c r="O32" s="60">
        <f t="shared" si="25"/>
        <v>0.097</v>
      </c>
      <c r="P32" s="63">
        <v>80.0</v>
      </c>
      <c r="Q32" s="58">
        <v>94.44</v>
      </c>
      <c r="R32" s="65">
        <v>4611.7</v>
      </c>
      <c r="S32" s="66">
        <f t="array" ref="S32">IF((XLOOKUP(D32,RUC!$B$3:$B$106,RUC!$E$3:$E$106)+ROUNDDOWN(O32,1)*100)&lt;95,95,((XLOOKUP(D32,RUC!$B$3:$B$106,RUC!$E$3:$E$106)+ROUNDDOWN(O32,1)*100)))</f>
        <v>95</v>
      </c>
      <c r="U32" s="67">
        <f t="array" ref="U32">XLOOKUP(D32,RUC!$B$3:$B$110,RUC!$F$3:$F$110)</f>
        <v>120</v>
      </c>
      <c r="V32" s="67">
        <v>1.1023</v>
      </c>
      <c r="Y32" s="57">
        <f t="array" ref="Y32">XLOOKUP(D32,RUC!$B$3:$B$110,RUC!$G$3:$G$110)</f>
        <v>20</v>
      </c>
      <c r="Z32" s="69">
        <f t="array" ref="Z32">XLOOKUP(D32,RUC!$B$3:$B$110,RUC!$H$3:$H$110)</f>
        <v>30</v>
      </c>
      <c r="AA32" s="70">
        <f t="shared" si="26"/>
        <v>50</v>
      </c>
      <c r="AB32" s="71">
        <v>0.001</v>
      </c>
      <c r="AC32" s="71">
        <f>+(S32-T32)*V32-'data 1'!$F$4</f>
        <v>24.7185</v>
      </c>
      <c r="AD32" s="71">
        <f t="shared" si="28"/>
        <v>82.93459572</v>
      </c>
      <c r="AE32" s="71">
        <f t="shared" si="29"/>
        <v>-14.885</v>
      </c>
      <c r="AF32" s="71">
        <f t="shared" si="30"/>
        <v>88.84236865</v>
      </c>
      <c r="AG32" s="72">
        <f>AC32+AD32+AE32+AF32+70-53+224.38</f>
        <v>422.9904644</v>
      </c>
      <c r="AH32" s="193">
        <f t="shared" si="32"/>
        <v>7.065</v>
      </c>
      <c r="AI32" s="193">
        <f t="shared" si="33"/>
        <v>7.481</v>
      </c>
      <c r="AJ32" s="73">
        <f t="shared" si="34"/>
        <v>49.30524884</v>
      </c>
      <c r="AK32" s="73">
        <f t="shared" si="35"/>
        <v>5.004487238</v>
      </c>
      <c r="AM32" s="51">
        <f t="shared" si="36"/>
        <v>0.001881</v>
      </c>
      <c r="AN32" s="51" t="str">
        <f t="array" ref="AN32">XLOOKUP(D32,RUC!$B$3:$B$565,RUC!$M$3:$M$565)</f>
        <v>Evelyn</v>
      </c>
      <c r="AO32" s="131" t="s">
        <v>547</v>
      </c>
      <c r="AP32" s="141" t="s">
        <v>781</v>
      </c>
      <c r="AQ32" s="141" t="s">
        <v>782</v>
      </c>
      <c r="AV32" s="160" t="s">
        <v>549</v>
      </c>
      <c r="AW32" s="6">
        <f t="shared" si="42"/>
        <v>0</v>
      </c>
      <c r="AX32" s="6"/>
      <c r="AY32" s="58">
        <f t="shared" si="43"/>
        <v>0</v>
      </c>
      <c r="AZ32" s="58"/>
      <c r="BA32" s="162">
        <f t="shared" si="44"/>
        <v>0</v>
      </c>
    </row>
    <row r="33" ht="15.0" customHeight="1">
      <c r="A33" s="142" t="s">
        <v>785</v>
      </c>
      <c r="B33" s="182">
        <v>46127.0</v>
      </c>
      <c r="C33" s="182">
        <v>46119.0</v>
      </c>
      <c r="D33" s="57" t="s">
        <v>295</v>
      </c>
      <c r="E33" s="3">
        <f t="array" ref="E33">XLOOKUP(D33,RUC!$B$3:$B$110,RUC!$D$3:$D$110)</f>
        <v>20601769396</v>
      </c>
      <c r="G33" s="141">
        <v>49.0</v>
      </c>
      <c r="H33" s="3" t="s">
        <v>47</v>
      </c>
      <c r="I33" s="6">
        <v>3.32</v>
      </c>
      <c r="J33" s="58">
        <v>4.4</v>
      </c>
      <c r="K33" s="6">
        <f t="shared" si="23"/>
        <v>3.174</v>
      </c>
      <c r="L33" s="60">
        <v>0.122</v>
      </c>
      <c r="M33" s="60">
        <f t="shared" si="40"/>
        <v>0.103</v>
      </c>
      <c r="N33" s="62">
        <f t="shared" si="37"/>
        <v>0.103</v>
      </c>
      <c r="O33" s="60">
        <f t="shared" si="25"/>
        <v>0.103</v>
      </c>
      <c r="P33" s="63">
        <v>80.0</v>
      </c>
      <c r="Q33" s="58">
        <v>94.03</v>
      </c>
      <c r="R33" s="65">
        <v>4611.7</v>
      </c>
      <c r="S33" s="66">
        <f t="array" ref="S33">IF((XLOOKUP(D33,RUC!$B$3:$B$106,RUC!$E$3:$E$106)+ROUNDDOWN(O33,1)*100)&lt;95,95,((XLOOKUP(D33,RUC!$B$3:$B$106,RUC!$E$3:$E$106)+ROUNDDOWN(O33,1)*100)))</f>
        <v>100</v>
      </c>
      <c r="U33" s="67">
        <f t="array" ref="U33">XLOOKUP(D33,RUC!$B$3:$B$110,RUC!$F$3:$F$110)</f>
        <v>120</v>
      </c>
      <c r="V33" s="67">
        <v>1.1023</v>
      </c>
      <c r="Y33" s="57">
        <f t="array" ref="Y33">XLOOKUP(D33,RUC!$B$3:$B$110,RUC!$G$3:$G$110)</f>
        <v>20</v>
      </c>
      <c r="Z33" s="69">
        <f t="array" ref="Z33">XLOOKUP(D33,RUC!$B$3:$B$110,RUC!$H$3:$H$110)</f>
        <v>30</v>
      </c>
      <c r="AA33" s="70">
        <f t="shared" si="26"/>
        <v>50</v>
      </c>
      <c r="AB33" s="71">
        <f t="shared" ref="AB33:AB66" si="45">+((O33*P33*(R33-U33)/100)-S33-AA33+T33)*V33</f>
        <v>242.633955</v>
      </c>
      <c r="AC33" s="71">
        <f>+(S33-T33)*V33-'data 1'!$F$4</f>
        <v>30.23</v>
      </c>
      <c r="AD33" s="71">
        <f t="shared" si="28"/>
        <v>84.7477255</v>
      </c>
      <c r="AE33" s="71">
        <f t="shared" si="29"/>
        <v>-14.885</v>
      </c>
      <c r="AF33" s="71">
        <f t="shared" si="30"/>
        <v>88.4566701</v>
      </c>
      <c r="AG33" s="72">
        <f t="shared" ref="AG33:AG66" si="46">AC33+AD33+AE33+AF33+70-53</f>
        <v>205.5493956</v>
      </c>
      <c r="AH33" s="193">
        <f t="shared" si="32"/>
        <v>12.484</v>
      </c>
      <c r="AI33" s="193">
        <f t="shared" si="33"/>
        <v>13.276</v>
      </c>
      <c r="AJ33" s="73">
        <f t="shared" si="34"/>
        <v>51.63039577</v>
      </c>
      <c r="AK33" s="73">
        <f t="shared" si="35"/>
        <v>8.966918106</v>
      </c>
      <c r="AM33" s="51">
        <f t="shared" si="36"/>
        <v>770.1201731</v>
      </c>
      <c r="AN33" s="51" t="str">
        <f t="array" ref="AN33">XLOOKUP(D33,RUC!$B$3:$B$565,RUC!$M$3:$M$565)</f>
        <v>Evelyn</v>
      </c>
      <c r="AO33" s="131" t="s">
        <v>551</v>
      </c>
      <c r="AP33" s="141" t="s">
        <v>781</v>
      </c>
      <c r="AQ33" s="141" t="s">
        <v>782</v>
      </c>
      <c r="AV33" s="160" t="s">
        <v>561</v>
      </c>
      <c r="AW33" s="6">
        <f t="shared" si="42"/>
        <v>0</v>
      </c>
      <c r="AX33" s="6"/>
      <c r="AY33" s="58">
        <f t="shared" si="43"/>
        <v>0</v>
      </c>
      <c r="AZ33" s="58"/>
      <c r="BA33" s="162">
        <f t="shared" si="44"/>
        <v>0</v>
      </c>
    </row>
    <row r="34" ht="15.0" customHeight="1">
      <c r="A34" s="116" t="s">
        <v>786</v>
      </c>
      <c r="B34" s="182">
        <v>46125.0</v>
      </c>
      <c r="C34" s="182">
        <v>46121.0</v>
      </c>
      <c r="D34" s="57" t="s">
        <v>787</v>
      </c>
      <c r="E34" s="3">
        <f t="array" ref="E34">XLOOKUP(D34,RUC!$B$3:$B$110,RUC!$D$3:$D$110)</f>
        <v>20609653036</v>
      </c>
      <c r="G34" s="141" t="s">
        <v>735</v>
      </c>
      <c r="H34" s="3" t="s">
        <v>47</v>
      </c>
      <c r="I34" s="6">
        <v>13.97</v>
      </c>
      <c r="J34" s="58">
        <v>2.2</v>
      </c>
      <c r="K34" s="6">
        <f t="shared" si="23"/>
        <v>13.663</v>
      </c>
      <c r="L34" s="60">
        <v>0.175</v>
      </c>
      <c r="M34" s="60">
        <f t="shared" si="40"/>
        <v>0.156</v>
      </c>
      <c r="N34" s="62">
        <f t="shared" si="37"/>
        <v>0.156</v>
      </c>
      <c r="O34" s="60">
        <f t="shared" si="25"/>
        <v>0.156</v>
      </c>
      <c r="P34" s="63">
        <v>85.0</v>
      </c>
      <c r="Q34" s="58">
        <v>93.71</v>
      </c>
      <c r="R34" s="65">
        <v>4762.6</v>
      </c>
      <c r="S34" s="66">
        <f t="array" ref="S34">IF((XLOOKUP(D34,RUC!$B$3:$B$106,RUC!$E$3:$E$106)+ROUNDDOWN(O34,1)*100)&lt;95,95,((XLOOKUP(D34,RUC!$B$3:$B$106,RUC!$E$3:$E$106)+ROUNDDOWN(O34,1)*100)))</f>
        <v>95</v>
      </c>
      <c r="U34" s="67">
        <f t="array" ref="U34">XLOOKUP(D34,RUC!$B$3:$B$110,RUC!$F$3:$F$110)</f>
        <v>110</v>
      </c>
      <c r="V34" s="67">
        <v>1.1023</v>
      </c>
      <c r="Y34" s="199">
        <f t="array" ref="Y34">XLOOKUP(D34,RUC!$B$3:$B$110,RUC!$G$3:$G$110)</f>
        <v>0</v>
      </c>
      <c r="Z34" s="69">
        <f t="array" ref="Z34">XLOOKUP(D34,RUC!$B$3:$B$110,RUC!$H$3:$H$110)</f>
        <v>35</v>
      </c>
      <c r="AA34" s="70">
        <f t="shared" si="26"/>
        <v>35</v>
      </c>
      <c r="AB34" s="71">
        <f t="shared" si="45"/>
        <v>536.7481859</v>
      </c>
      <c r="AC34" s="71">
        <f>+(S34-T34)*V34-'data 1'!$F$4</f>
        <v>24.7185</v>
      </c>
      <c r="AD34" s="71">
        <f t="shared" si="28"/>
        <v>78.17209074</v>
      </c>
      <c r="AE34" s="71">
        <f t="shared" si="29"/>
        <v>-31.4195</v>
      </c>
      <c r="AF34" s="71">
        <f t="shared" si="30"/>
        <v>91.31351539</v>
      </c>
      <c r="AG34" s="72">
        <f t="shared" si="46"/>
        <v>179.7846061</v>
      </c>
      <c r="AH34" s="193">
        <f t="shared" si="32"/>
        <v>76.821</v>
      </c>
      <c r="AI34" s="193">
        <f t="shared" si="33"/>
        <v>81.977</v>
      </c>
      <c r="AJ34" s="73">
        <f t="shared" si="34"/>
        <v>44.72223396</v>
      </c>
      <c r="AK34" s="73">
        <f t="shared" si="35"/>
        <v>62.11531067</v>
      </c>
      <c r="AM34" s="51">
        <f t="shared" si="36"/>
        <v>7333.590465</v>
      </c>
      <c r="AN34" s="51" t="str">
        <f t="array" ref="AN34">XLOOKUP(D34,RUC!$B$3:$B$565,RUC!$M$3:$M$565)</f>
        <v>Robinson Tuya</v>
      </c>
      <c r="AO34" s="131" t="s">
        <v>558</v>
      </c>
      <c r="AP34" s="141" t="s">
        <v>788</v>
      </c>
      <c r="AQ34" s="141" t="s">
        <v>789</v>
      </c>
      <c r="AV34" s="160" t="s">
        <v>689</v>
      </c>
      <c r="AW34" s="6">
        <f t="shared" si="42"/>
        <v>0</v>
      </c>
      <c r="AY34" s="58">
        <f t="shared" si="43"/>
        <v>0</v>
      </c>
      <c r="BA34" s="162">
        <f t="shared" si="44"/>
        <v>0</v>
      </c>
    </row>
    <row r="35" ht="15.0" customHeight="1">
      <c r="A35" s="142" t="s">
        <v>790</v>
      </c>
      <c r="B35" s="182">
        <v>46132.0</v>
      </c>
      <c r="C35" s="182">
        <v>46121.0</v>
      </c>
      <c r="D35" s="57" t="s">
        <v>295</v>
      </c>
      <c r="E35" s="3">
        <f t="array" ref="E35">XLOOKUP(D35,RUC!$B$3:$B$110,RUC!$D$3:$D$110)</f>
        <v>20601769396</v>
      </c>
      <c r="F35" s="63" t="s">
        <v>791</v>
      </c>
      <c r="G35" s="141">
        <v>24.0</v>
      </c>
      <c r="H35" s="3" t="s">
        <v>47</v>
      </c>
      <c r="I35" s="6">
        <v>2.33</v>
      </c>
      <c r="J35" s="58">
        <v>10.0</v>
      </c>
      <c r="K35" s="6">
        <f t="shared" si="23"/>
        <v>2.097</v>
      </c>
      <c r="L35" s="60">
        <v>0.196</v>
      </c>
      <c r="M35" s="60">
        <f t="shared" si="40"/>
        <v>0.177</v>
      </c>
      <c r="N35" s="62">
        <f t="shared" si="37"/>
        <v>0.177</v>
      </c>
      <c r="O35" s="60">
        <f t="shared" si="25"/>
        <v>0.177</v>
      </c>
      <c r="P35" s="63">
        <v>85.0</v>
      </c>
      <c r="Q35" s="58">
        <v>93.37</v>
      </c>
      <c r="R35" s="65">
        <v>4762.6</v>
      </c>
      <c r="S35" s="66">
        <f t="array" ref="S35">IF((XLOOKUP(D35,RUC!$B$3:$B$106,RUC!$E$3:$E$106)+ROUNDDOWN(O35,1)*100)&lt;95,95,((XLOOKUP(D35,RUC!$B$3:$B$106,RUC!$E$3:$E$106)+ROUNDDOWN(O35,1)*100)))</f>
        <v>100</v>
      </c>
      <c r="U35" s="67">
        <f t="array" ref="U35">XLOOKUP(D35,RUC!$B$3:$B$110,RUC!$F$3:$F$110)</f>
        <v>120</v>
      </c>
      <c r="V35" s="67">
        <v>1.1023</v>
      </c>
      <c r="Y35" s="199">
        <v>0.0</v>
      </c>
      <c r="Z35" s="69">
        <f t="array" ref="Z35">XLOOKUP(D35,RUC!$B$3:$B$110,RUC!$H$3:$H$110)</f>
        <v>30</v>
      </c>
      <c r="AA35" s="70">
        <f t="shared" si="26"/>
        <v>30</v>
      </c>
      <c r="AB35" s="71">
        <f t="shared" si="45"/>
        <v>626.6345891</v>
      </c>
      <c r="AC35" s="71">
        <f>+(S35-T35)*V35-'data 1'!$F$4</f>
        <v>30.23</v>
      </c>
      <c r="AD35" s="71">
        <f t="shared" si="28"/>
        <v>83.95423407</v>
      </c>
      <c r="AE35" s="71">
        <f t="shared" si="29"/>
        <v>-36.931</v>
      </c>
      <c r="AF35" s="71">
        <f t="shared" si="30"/>
        <v>90.78665903</v>
      </c>
      <c r="AG35" s="72">
        <f t="shared" si="46"/>
        <v>185.0398931</v>
      </c>
      <c r="AH35" s="193">
        <f t="shared" si="32"/>
        <v>13.157</v>
      </c>
      <c r="AI35" s="193">
        <f t="shared" si="33"/>
        <v>14.092</v>
      </c>
      <c r="AJ35" s="73">
        <f t="shared" si="34"/>
        <v>51.92443507</v>
      </c>
      <c r="AK35" s="73">
        <f t="shared" si="35"/>
        <v>10.81682222</v>
      </c>
      <c r="AM35" s="51">
        <f t="shared" si="36"/>
        <v>1314.052733</v>
      </c>
      <c r="AN35" s="51" t="str">
        <f t="array" ref="AN35">XLOOKUP(D35,RUC!$B$3:$B$565,RUC!$M$3:$M$565)</f>
        <v>Evelyn</v>
      </c>
      <c r="AO35" s="131" t="s">
        <v>551</v>
      </c>
      <c r="AP35" s="141" t="s">
        <v>713</v>
      </c>
      <c r="AQ35" s="141" t="s">
        <v>792</v>
      </c>
      <c r="AV35" s="160" t="s">
        <v>690</v>
      </c>
      <c r="AW35" s="6">
        <f t="shared" si="42"/>
        <v>0</v>
      </c>
      <c r="AY35" s="58">
        <f t="shared" si="43"/>
        <v>0</v>
      </c>
      <c r="BA35" s="162">
        <f t="shared" si="44"/>
        <v>0</v>
      </c>
    </row>
    <row r="36" ht="15.0" customHeight="1">
      <c r="A36" s="142" t="s">
        <v>793</v>
      </c>
      <c r="B36" s="182">
        <v>46132.0</v>
      </c>
      <c r="C36" s="182">
        <v>46121.0</v>
      </c>
      <c r="D36" s="57" t="s">
        <v>295</v>
      </c>
      <c r="E36" s="3">
        <f t="array" ref="E36">XLOOKUP(D36,RUC!$B$3:$B$110,RUC!$D$3:$D$110)</f>
        <v>20601769396</v>
      </c>
      <c r="F36" s="63" t="s">
        <v>791</v>
      </c>
      <c r="G36" s="141">
        <v>52.0</v>
      </c>
      <c r="H36" s="3" t="s">
        <v>339</v>
      </c>
      <c r="I36" s="6">
        <v>4.92</v>
      </c>
      <c r="J36" s="58">
        <v>10.17</v>
      </c>
      <c r="K36" s="6">
        <f t="shared" si="23"/>
        <v>4.42</v>
      </c>
      <c r="L36" s="60">
        <v>0.292</v>
      </c>
      <c r="M36" s="60">
        <f t="shared" si="40"/>
        <v>0.273</v>
      </c>
      <c r="N36" s="62">
        <f t="shared" si="37"/>
        <v>0.273</v>
      </c>
      <c r="O36" s="60">
        <f t="shared" si="25"/>
        <v>0.273</v>
      </c>
      <c r="P36" s="63">
        <v>90.0</v>
      </c>
      <c r="Q36" s="58">
        <v>90.75</v>
      </c>
      <c r="R36" s="65">
        <v>4762.6</v>
      </c>
      <c r="S36" s="66">
        <f t="array" ref="S36">IF((XLOOKUP(D36,RUC!$B$3:$B$106,RUC!$E$3:$E$106)+ROUNDDOWN(O36,1)*100)&lt;95,95,((XLOOKUP(D36,RUC!$B$3:$B$106,RUC!$E$3:$E$106)+ROUNDDOWN(O36,1)*100)))</f>
        <v>110</v>
      </c>
      <c r="U36" s="67">
        <f t="array" ref="U36">XLOOKUP(D36,RUC!$B$3:$B$110,RUC!$F$3:$F$110)</f>
        <v>120</v>
      </c>
      <c r="V36" s="67">
        <v>1.1023</v>
      </c>
      <c r="Y36" s="199">
        <v>0.0</v>
      </c>
      <c r="Z36" s="69">
        <f t="array" ref="Z36">XLOOKUP(D36,RUC!$B$3:$B$110,RUC!$H$3:$H$110)</f>
        <v>30</v>
      </c>
      <c r="AA36" s="70">
        <f t="shared" si="26"/>
        <v>30</v>
      </c>
      <c r="AB36" s="71">
        <f t="shared" si="45"/>
        <v>1103.057082</v>
      </c>
      <c r="AC36" s="71">
        <f>+(S36-T36)*V36-'data 1'!$F$4</f>
        <v>41.253</v>
      </c>
      <c r="AD36" s="71">
        <f t="shared" si="28"/>
        <v>11.20740818</v>
      </c>
      <c r="AE36" s="71">
        <f t="shared" si="29"/>
        <v>-36.931</v>
      </c>
      <c r="AF36" s="71">
        <f t="shared" si="30"/>
        <v>88.23914862</v>
      </c>
      <c r="AG36" s="72">
        <f t="shared" si="46"/>
        <v>120.7685568</v>
      </c>
      <c r="AH36" s="193">
        <f t="shared" si="32"/>
        <v>40.157</v>
      </c>
      <c r="AI36" s="193">
        <f t="shared" si="33"/>
        <v>44.25</v>
      </c>
      <c r="AJ36" s="73">
        <f t="shared" si="34"/>
        <v>75.18614798</v>
      </c>
      <c r="AK36" s="73">
        <f t="shared" si="35"/>
        <v>37.23372571</v>
      </c>
      <c r="AM36" s="51">
        <f t="shared" si="36"/>
        <v>4875.512301</v>
      </c>
      <c r="AN36" s="51" t="str">
        <f t="array" ref="AN36">XLOOKUP(D36,RUC!$B$3:$B$565,RUC!$M$3:$M$565)</f>
        <v>Evelyn</v>
      </c>
      <c r="AO36" s="131" t="s">
        <v>551</v>
      </c>
      <c r="AP36" s="141" t="s">
        <v>713</v>
      </c>
      <c r="AQ36" s="141" t="s">
        <v>792</v>
      </c>
      <c r="AV36" s="160" t="s">
        <v>691</v>
      </c>
      <c r="AW36" s="6">
        <f t="shared" si="42"/>
        <v>0</v>
      </c>
      <c r="AY36" s="58">
        <f t="shared" si="43"/>
        <v>0</v>
      </c>
      <c r="BA36" s="162">
        <f t="shared" si="44"/>
        <v>0</v>
      </c>
    </row>
    <row r="37" ht="15.0" customHeight="1">
      <c r="A37" s="142" t="s">
        <v>794</v>
      </c>
      <c r="B37" s="182">
        <v>46132.0</v>
      </c>
      <c r="C37" s="182">
        <v>46121.0</v>
      </c>
      <c r="D37" s="57" t="s">
        <v>295</v>
      </c>
      <c r="E37" s="3">
        <f t="array" ref="E37">XLOOKUP(D37,RUC!$B$3:$B$110,RUC!$D$3:$D$110)</f>
        <v>20601769396</v>
      </c>
      <c r="F37" s="63" t="s">
        <v>791</v>
      </c>
      <c r="G37" s="141">
        <v>60.0</v>
      </c>
      <c r="H37" s="3" t="s">
        <v>339</v>
      </c>
      <c r="I37" s="6">
        <v>5.46</v>
      </c>
      <c r="J37" s="58">
        <v>12.1</v>
      </c>
      <c r="K37" s="6">
        <f t="shared" si="23"/>
        <v>4.799</v>
      </c>
      <c r="L37" s="60">
        <v>0.377</v>
      </c>
      <c r="M37" s="60">
        <v>0.301</v>
      </c>
      <c r="N37" s="62">
        <f t="shared" si="37"/>
        <v>0.301</v>
      </c>
      <c r="O37" s="60">
        <f t="shared" si="25"/>
        <v>0.301</v>
      </c>
      <c r="P37" s="63">
        <v>88.0</v>
      </c>
      <c r="Q37" s="130">
        <v>90.98</v>
      </c>
      <c r="R37" s="65">
        <v>4762.6</v>
      </c>
      <c r="S37" s="66">
        <f t="array" ref="S37">IF((XLOOKUP(D37,RUC!$B$3:$B$106,RUC!$E$3:$E$106)+ROUNDDOWN(O37,1)*100)&lt;95,95,((XLOOKUP(D37,RUC!$B$3:$B$106,RUC!$E$3:$E$106)+ROUNDDOWN(O37,1)*100)))</f>
        <v>120</v>
      </c>
      <c r="U37" s="67">
        <f t="array" ref="U37">XLOOKUP(D37,RUC!$B$3:$B$110,RUC!$F$3:$F$110)</f>
        <v>120</v>
      </c>
      <c r="V37" s="67">
        <v>1.1023</v>
      </c>
      <c r="Y37" s="57">
        <f t="array" ref="Y37">XLOOKUP(D37,RUC!$B$3:$B$110,RUC!$G$3:$G$110)</f>
        <v>20</v>
      </c>
      <c r="Z37" s="69">
        <f t="array" ref="Z37">XLOOKUP(D37,RUC!$B$3:$B$110,RUC!$H$3:$H$110)</f>
        <v>30</v>
      </c>
      <c r="AA37" s="70">
        <f t="shared" si="26"/>
        <v>50</v>
      </c>
      <c r="AB37" s="71">
        <f t="shared" si="45"/>
        <v>1168.14246</v>
      </c>
      <c r="AC37" s="71">
        <f>+(S37-T37)*V37-'data 1'!$F$4</f>
        <v>52.276</v>
      </c>
      <c r="AD37" s="71">
        <f t="shared" si="28"/>
        <v>57.49349219</v>
      </c>
      <c r="AE37" s="71">
        <f t="shared" si="29"/>
        <v>-14.885</v>
      </c>
      <c r="AF37" s="71">
        <f t="shared" si="30"/>
        <v>353.8511401</v>
      </c>
      <c r="AG37" s="72">
        <f t="shared" si="46"/>
        <v>465.7356323</v>
      </c>
      <c r="AH37" s="193">
        <f t="shared" si="32"/>
        <v>56.435</v>
      </c>
      <c r="AI37" s="193">
        <f t="shared" si="33"/>
        <v>62.03</v>
      </c>
      <c r="AJ37" s="73">
        <f t="shared" si="34"/>
        <v>97.31855071</v>
      </c>
      <c r="AK37" s="73">
        <f t="shared" si="35"/>
        <v>43.5821837</v>
      </c>
      <c r="AM37" s="51">
        <f t="shared" si="36"/>
        <v>5605.915666</v>
      </c>
      <c r="AN37" s="51" t="str">
        <f t="array" ref="AN37">XLOOKUP(D37,RUC!$B$3:$B$565,RUC!$M$3:$M$565)</f>
        <v>Evelyn</v>
      </c>
      <c r="AO37" s="131" t="s">
        <v>551</v>
      </c>
      <c r="AP37" s="141" t="s">
        <v>713</v>
      </c>
      <c r="AQ37" s="141" t="s">
        <v>792</v>
      </c>
      <c r="AV37" s="160" t="s">
        <v>692</v>
      </c>
      <c r="AW37" s="6">
        <f t="shared" si="42"/>
        <v>0</v>
      </c>
      <c r="AY37" s="58">
        <f t="shared" si="43"/>
        <v>0</v>
      </c>
      <c r="BA37" s="162">
        <f t="shared" si="44"/>
        <v>0</v>
      </c>
    </row>
    <row r="38" ht="15.0" customHeight="1">
      <c r="A38" s="142" t="s">
        <v>795</v>
      </c>
      <c r="B38" s="182">
        <v>46132.0</v>
      </c>
      <c r="C38" s="182">
        <v>46121.0</v>
      </c>
      <c r="D38" s="57" t="s">
        <v>295</v>
      </c>
      <c r="E38" s="3">
        <f t="array" ref="E38">XLOOKUP(D38,RUC!$B$3:$B$110,RUC!$D$3:$D$110)</f>
        <v>20601769396</v>
      </c>
      <c r="G38" s="141">
        <v>20.0</v>
      </c>
      <c r="H38" s="3" t="s">
        <v>47</v>
      </c>
      <c r="I38" s="6">
        <v>1.58</v>
      </c>
      <c r="J38" s="58">
        <v>2.7</v>
      </c>
      <c r="K38" s="6">
        <f t="shared" si="23"/>
        <v>1.537</v>
      </c>
      <c r="L38" s="60">
        <v>0.203</v>
      </c>
      <c r="M38" s="60">
        <v>0.16</v>
      </c>
      <c r="N38" s="62">
        <f t="shared" si="37"/>
        <v>0.16</v>
      </c>
      <c r="O38" s="60">
        <f t="shared" si="25"/>
        <v>0.16</v>
      </c>
      <c r="P38" s="63">
        <v>83.0</v>
      </c>
      <c r="Q38" s="130">
        <v>88.06</v>
      </c>
      <c r="R38" s="65">
        <v>4762.6</v>
      </c>
      <c r="S38" s="66">
        <f t="array" ref="S38">IF((XLOOKUP(D38,RUC!$B$3:$B$106,RUC!$E$3:$E$106)+ROUNDDOWN(O38,1)*100)&lt;95,95,((XLOOKUP(D38,RUC!$B$3:$B$106,RUC!$E$3:$E$106)+ROUNDDOWN(O38,1)*100)))</f>
        <v>100</v>
      </c>
      <c r="U38" s="67">
        <f t="array" ref="U38">XLOOKUP(D38,RUC!$B$3:$B$110,RUC!$F$3:$F$110)</f>
        <v>120</v>
      </c>
      <c r="V38" s="67">
        <v>1.1023</v>
      </c>
      <c r="Y38" s="57">
        <f t="array" ref="Y38">XLOOKUP(D38,RUC!$B$3:$B$110,RUC!$G$3:$G$110)</f>
        <v>20</v>
      </c>
      <c r="Z38" s="69">
        <f t="array" ref="Z38">XLOOKUP(D38,RUC!$B$3:$B$110,RUC!$H$3:$H$110)</f>
        <v>30</v>
      </c>
      <c r="AA38" s="70">
        <f t="shared" si="26"/>
        <v>50</v>
      </c>
      <c r="AB38" s="71">
        <f t="shared" si="45"/>
        <v>514.2640437</v>
      </c>
      <c r="AC38" s="71">
        <f>+(S38-T38)*V38-'data 1'!$F$4</f>
        <v>30.23</v>
      </c>
      <c r="AD38" s="71">
        <f t="shared" si="28"/>
        <v>52.56632662</v>
      </c>
      <c r="AE38" s="71">
        <f t="shared" si="29"/>
        <v>-14.885</v>
      </c>
      <c r="AF38" s="71">
        <f t="shared" si="30"/>
        <v>193.7796696</v>
      </c>
      <c r="AG38" s="72">
        <f t="shared" si="46"/>
        <v>278.6909963</v>
      </c>
      <c r="AH38" s="193">
        <f t="shared" si="32"/>
        <v>9.42</v>
      </c>
      <c r="AI38" s="193">
        <f t="shared" si="33"/>
        <v>10.697</v>
      </c>
      <c r="AJ38" s="73">
        <f t="shared" si="34"/>
        <v>50.72044661</v>
      </c>
      <c r="AK38" s="73">
        <f t="shared" si="35"/>
        <v>6.998113982</v>
      </c>
      <c r="AM38" s="51">
        <f t="shared" si="36"/>
        <v>790.4238352</v>
      </c>
      <c r="AN38" s="51" t="str">
        <f t="array" ref="AN38">XLOOKUP(D38,RUC!$B$3:$B$565,RUC!$M$3:$M$565)</f>
        <v>Evelyn</v>
      </c>
      <c r="AO38" s="131" t="s">
        <v>551</v>
      </c>
      <c r="AP38" s="141" t="s">
        <v>713</v>
      </c>
      <c r="AQ38" s="141" t="s">
        <v>792</v>
      </c>
      <c r="AV38" s="163" t="s">
        <v>693</v>
      </c>
      <c r="AW38" s="165">
        <f t="shared" si="42"/>
        <v>0</v>
      </c>
      <c r="AX38" s="170"/>
      <c r="AY38" s="168">
        <f t="shared" si="43"/>
        <v>0</v>
      </c>
      <c r="AZ38" s="170"/>
      <c r="BA38" s="171">
        <f t="shared" si="44"/>
        <v>0</v>
      </c>
    </row>
    <row r="39" ht="15.0" customHeight="1">
      <c r="A39" s="142" t="s">
        <v>796</v>
      </c>
      <c r="B39" s="182">
        <v>46132.0</v>
      </c>
      <c r="C39" s="182">
        <v>46121.0</v>
      </c>
      <c r="D39" s="57" t="s">
        <v>295</v>
      </c>
      <c r="E39" s="3">
        <f t="array" ref="E39">XLOOKUP(D39,RUC!$B$3:$B$110,RUC!$D$3:$D$110)</f>
        <v>20601769396</v>
      </c>
      <c r="G39" s="141">
        <v>20.0</v>
      </c>
      <c r="H39" s="3" t="s">
        <v>339</v>
      </c>
      <c r="I39" s="6">
        <v>1.66</v>
      </c>
      <c r="J39" s="58">
        <v>9.2</v>
      </c>
      <c r="K39" s="6">
        <f t="shared" si="23"/>
        <v>1.507</v>
      </c>
      <c r="L39" s="60">
        <v>0.369</v>
      </c>
      <c r="M39" s="60">
        <f>ROUND(+IF(AN39="Melchor Vera",IF(L39&gt;0.467,L39*0.985,(L39-0.007)),IF(L39&gt;0.3,L39*0.94,(L39-0.019))),3)</f>
        <v>0.347</v>
      </c>
      <c r="N39" s="62">
        <f t="shared" si="37"/>
        <v>0.347</v>
      </c>
      <c r="O39" s="60">
        <f t="shared" si="25"/>
        <v>0.347</v>
      </c>
      <c r="P39" s="63">
        <v>90.0</v>
      </c>
      <c r="Q39" s="58">
        <v>95.39</v>
      </c>
      <c r="R39" s="65">
        <v>4762.6</v>
      </c>
      <c r="S39" s="66">
        <f t="array" ref="S39">IF((XLOOKUP(D39,RUC!$B$3:$B$106,RUC!$E$3:$E$106)+ROUNDDOWN(O39,1)*100)&lt;95,95,((XLOOKUP(D39,RUC!$B$3:$B$106,RUC!$E$3:$E$106)+ROUNDDOWN(O39,1)*100)))</f>
        <v>120</v>
      </c>
      <c r="U39" s="67">
        <f t="array" ref="U39">XLOOKUP(D39,RUC!$B$3:$B$110,RUC!$F$3:$F$110)</f>
        <v>120</v>
      </c>
      <c r="V39" s="67">
        <v>1.1023</v>
      </c>
      <c r="Y39" s="57">
        <f t="array" ref="Y39">XLOOKUP(D39,RUC!$B$3:$B$110,RUC!$G$3:$G$110)</f>
        <v>20</v>
      </c>
      <c r="Z39" s="69">
        <f t="array" ref="Z39">XLOOKUP(D39,RUC!$B$3:$B$110,RUC!$H$3:$H$110)</f>
        <v>30</v>
      </c>
      <c r="AA39" s="70">
        <f t="shared" si="26"/>
        <v>50</v>
      </c>
      <c r="AB39" s="71">
        <f t="shared" si="45"/>
        <v>1410.816111</v>
      </c>
      <c r="AC39" s="71">
        <f>+(S39-T39)*V39-'data 1'!$F$4</f>
        <v>52.276</v>
      </c>
      <c r="AD39" s="71">
        <f t="shared" si="28"/>
        <v>101.7832246</v>
      </c>
      <c r="AE39" s="71">
        <f t="shared" si="29"/>
        <v>-14.885</v>
      </c>
      <c r="AF39" s="71">
        <f t="shared" si="30"/>
        <v>107.3956285</v>
      </c>
      <c r="AG39" s="72">
        <f t="shared" si="46"/>
        <v>263.5698532</v>
      </c>
      <c r="AH39" s="193">
        <f t="shared" si="32"/>
        <v>18.187</v>
      </c>
      <c r="AI39" s="193">
        <f t="shared" si="33"/>
        <v>19.066</v>
      </c>
      <c r="AJ39" s="73">
        <f t="shared" si="34"/>
        <v>99.87057836</v>
      </c>
      <c r="AK39" s="73">
        <f t="shared" si="35"/>
        <v>16.13594132</v>
      </c>
      <c r="AM39" s="51">
        <f t="shared" si="36"/>
        <v>2126.09988</v>
      </c>
      <c r="AN39" s="51" t="str">
        <f t="array" ref="AN39">XLOOKUP(D39,RUC!$B$3:$B$565,RUC!$M$3:$M$565)</f>
        <v>Evelyn</v>
      </c>
      <c r="AO39" s="131" t="s">
        <v>547</v>
      </c>
      <c r="AP39" s="141" t="s">
        <v>713</v>
      </c>
      <c r="AQ39" s="141" t="s">
        <v>792</v>
      </c>
    </row>
    <row r="40" ht="15.0" customHeight="1">
      <c r="A40" s="142" t="s">
        <v>797</v>
      </c>
      <c r="B40" s="182">
        <v>46132.0</v>
      </c>
      <c r="C40" s="182">
        <v>46121.0</v>
      </c>
      <c r="D40" s="57" t="s">
        <v>295</v>
      </c>
      <c r="E40" s="3">
        <f t="array" ref="E40">XLOOKUP(D40,RUC!$B$3:$B$110,RUC!$D$3:$D$110)</f>
        <v>20601769396</v>
      </c>
      <c r="G40" s="141">
        <v>20.0</v>
      </c>
      <c r="H40" s="3" t="s">
        <v>339</v>
      </c>
      <c r="I40" s="6">
        <v>1.64</v>
      </c>
      <c r="J40" s="58">
        <v>10.0</v>
      </c>
      <c r="K40" s="6">
        <f t="shared" si="23"/>
        <v>1.476</v>
      </c>
      <c r="L40" s="60">
        <v>0.277</v>
      </c>
      <c r="M40" s="60">
        <v>0.22</v>
      </c>
      <c r="N40" s="62">
        <f t="shared" si="37"/>
        <v>0.22</v>
      </c>
      <c r="O40" s="60">
        <f t="shared" si="25"/>
        <v>0.22</v>
      </c>
      <c r="P40" s="63">
        <v>90.0</v>
      </c>
      <c r="Q40" s="58">
        <v>97.11</v>
      </c>
      <c r="R40" s="65">
        <v>4762.6</v>
      </c>
      <c r="S40" s="66">
        <f t="array" ref="S40">IF((XLOOKUP(D40,RUC!$B$3:$B$106,RUC!$E$3:$E$106)+ROUNDDOWN(O40,1)*100)&lt;95,95,((XLOOKUP(D40,RUC!$B$3:$B$106,RUC!$E$3:$E$106)+ROUNDDOWN(O40,1)*100)))</f>
        <v>110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69">
        <f t="array" ref="Z40">XLOOKUP(D40,RUC!$B$3:$B$110,RUC!$H$3:$H$110)</f>
        <v>30</v>
      </c>
      <c r="AA40" s="70">
        <f t="shared" si="26"/>
        <v>50</v>
      </c>
      <c r="AB40" s="71">
        <f t="shared" si="45"/>
        <v>836.90452</v>
      </c>
      <c r="AC40" s="71">
        <f>+(S40-T40)*V40-'data 1'!$F$4</f>
        <v>41.253</v>
      </c>
      <c r="AD40" s="71">
        <f t="shared" si="28"/>
        <v>100.7883753</v>
      </c>
      <c r="AE40" s="71">
        <f t="shared" si="29"/>
        <v>-14.885</v>
      </c>
      <c r="AF40" s="71">
        <f t="shared" si="30"/>
        <v>283.2695445</v>
      </c>
      <c r="AG40" s="72">
        <f t="shared" si="46"/>
        <v>427.4259198</v>
      </c>
      <c r="AH40" s="193">
        <f t="shared" si="32"/>
        <v>13.613</v>
      </c>
      <c r="AI40" s="193">
        <f t="shared" si="33"/>
        <v>14.018</v>
      </c>
      <c r="AJ40" s="73">
        <f t="shared" si="34"/>
        <v>76.3224096</v>
      </c>
      <c r="AK40" s="73">
        <f t="shared" si="35"/>
        <v>10.01983609</v>
      </c>
      <c r="AM40" s="51">
        <f t="shared" si="36"/>
        <v>1235.271072</v>
      </c>
      <c r="AN40" s="51" t="str">
        <f t="array" ref="AN40">XLOOKUP(D40,RUC!$B$3:$B$565,RUC!$M$3:$M$565)</f>
        <v>Evelyn</v>
      </c>
      <c r="AO40" s="131" t="s">
        <v>551</v>
      </c>
      <c r="AP40" s="141" t="s">
        <v>713</v>
      </c>
      <c r="AQ40" s="141" t="s">
        <v>792</v>
      </c>
    </row>
    <row r="41" ht="15.0" customHeight="1">
      <c r="A41" s="142" t="s">
        <v>798</v>
      </c>
      <c r="B41" s="182">
        <v>46132.0</v>
      </c>
      <c r="C41" s="182">
        <v>46122.0</v>
      </c>
      <c r="D41" s="57" t="s">
        <v>295</v>
      </c>
      <c r="E41" s="3">
        <f t="array" ref="E41">XLOOKUP(D41,RUC!$B$3:$B$110,RUC!$D$3:$D$110)</f>
        <v>20601769396</v>
      </c>
      <c r="G41" s="141">
        <v>41.0</v>
      </c>
      <c r="H41" s="3" t="s">
        <v>40</v>
      </c>
      <c r="I41" s="6">
        <v>1.31</v>
      </c>
      <c r="J41" s="58">
        <v>15.75</v>
      </c>
      <c r="K41" s="6">
        <f t="shared" si="23"/>
        <v>1.104</v>
      </c>
      <c r="L41" s="60">
        <v>0.12</v>
      </c>
      <c r="M41" s="60">
        <f t="shared" ref="M41:M42" si="47">ROUND(+IF(AN41="Melchor Vera",IF(L41&gt;0.467,L41*0.985,(L41-0.007)),IF(L41&gt;0.3,L41*0.94,(L41-0.019))),3)</f>
        <v>0.101</v>
      </c>
      <c r="N41" s="62">
        <f t="shared" si="37"/>
        <v>0.101</v>
      </c>
      <c r="O41" s="60">
        <f t="shared" si="25"/>
        <v>0.101</v>
      </c>
      <c r="P41" s="63">
        <v>80.0</v>
      </c>
      <c r="Q41" s="58">
        <v>90.83</v>
      </c>
      <c r="R41" s="65">
        <v>4762.6</v>
      </c>
      <c r="S41" s="66">
        <f t="array" ref="S41">IF((XLOOKUP(D41,RUC!$B$3:$B$106,RUC!$E$3:$E$106)+ROUNDDOWN(O41,1)*100)&lt;95,95,((XLOOKUP(D41,RUC!$B$3:$B$106,RUC!$E$3:$E$106)+ROUNDDOWN(O41,1)*100)))</f>
        <v>100</v>
      </c>
      <c r="U41" s="67">
        <f t="array" ref="U41">XLOOKUP(D41,RUC!$B$3:$B$110,RUC!$F$3:$F$110)</f>
        <v>120</v>
      </c>
      <c r="V41" s="67">
        <v>1.1023</v>
      </c>
      <c r="Y41" s="57">
        <f t="array" ref="Y41">XLOOKUP(D41,RUC!$B$3:$B$110,RUC!$G$3:$G$110)</f>
        <v>20</v>
      </c>
      <c r="Z41" s="69">
        <f t="array" ref="Z41">XLOOKUP(D41,RUC!$B$3:$B$110,RUC!$H$3:$H$110)</f>
        <v>30</v>
      </c>
      <c r="AA41" s="70">
        <f t="shared" si="26"/>
        <v>50</v>
      </c>
      <c r="AB41" s="71">
        <f t="shared" si="45"/>
        <v>248.1520688</v>
      </c>
      <c r="AC41" s="71">
        <f>+(S41-T41)*V41-'data 1'!$F$4</f>
        <v>30.23</v>
      </c>
      <c r="AD41" s="71">
        <f t="shared" si="28"/>
        <v>66.50752359</v>
      </c>
      <c r="AE41" s="71">
        <f t="shared" si="29"/>
        <v>-14.885</v>
      </c>
      <c r="AF41" s="71">
        <f t="shared" si="30"/>
        <v>88.3169352</v>
      </c>
      <c r="AG41" s="72">
        <f t="shared" si="46"/>
        <v>187.1694588</v>
      </c>
      <c r="AH41" s="193">
        <f t="shared" si="32"/>
        <v>4.126</v>
      </c>
      <c r="AI41" s="193">
        <f t="shared" si="33"/>
        <v>4.542</v>
      </c>
      <c r="AJ41" s="73">
        <f t="shared" si="34"/>
        <v>30.92565525</v>
      </c>
      <c r="AK41" s="73">
        <f t="shared" si="35"/>
        <v>3.058366327</v>
      </c>
      <c r="AM41" s="51">
        <f t="shared" si="36"/>
        <v>273.9598839</v>
      </c>
      <c r="AN41" s="51" t="str">
        <f t="array" ref="AN41">XLOOKUP(D41,RUC!$B$3:$B$565,RUC!$M$3:$M$565)</f>
        <v>Evelyn</v>
      </c>
      <c r="AO41" s="131" t="s">
        <v>551</v>
      </c>
      <c r="AP41" s="141" t="s">
        <v>713</v>
      </c>
      <c r="AQ41" s="141" t="s">
        <v>792</v>
      </c>
    </row>
    <row r="42" ht="15.0" customHeight="1">
      <c r="A42" s="142" t="s">
        <v>799</v>
      </c>
      <c r="B42" s="182">
        <v>46132.0</v>
      </c>
      <c r="C42" s="182">
        <v>46122.0</v>
      </c>
      <c r="D42" s="57" t="s">
        <v>295</v>
      </c>
      <c r="E42" s="3">
        <f t="array" ref="E42">XLOOKUP(D42,RUC!$B$3:$B$110,RUC!$D$3:$D$110)</f>
        <v>20601769396</v>
      </c>
      <c r="G42" s="141">
        <v>34.0</v>
      </c>
      <c r="H42" s="3" t="s">
        <v>339</v>
      </c>
      <c r="I42" s="6">
        <v>2.87</v>
      </c>
      <c r="J42" s="58">
        <v>8.57</v>
      </c>
      <c r="K42" s="6">
        <f t="shared" si="23"/>
        <v>2.624</v>
      </c>
      <c r="L42" s="60">
        <v>0.22</v>
      </c>
      <c r="M42" s="60">
        <f t="shared" si="47"/>
        <v>0.201</v>
      </c>
      <c r="N42" s="62">
        <f t="shared" si="37"/>
        <v>0.201</v>
      </c>
      <c r="O42" s="60">
        <f t="shared" si="25"/>
        <v>0.201</v>
      </c>
      <c r="P42" s="63">
        <v>85.0</v>
      </c>
      <c r="Q42" s="130">
        <v>85.0</v>
      </c>
      <c r="R42" s="65">
        <v>4762.6</v>
      </c>
      <c r="S42" s="66">
        <f t="array" ref="S42">IF((XLOOKUP(D42,RUC!$B$3:$B$106,RUC!$E$3:$E$106)+ROUNDDOWN(O42,1)*100)&lt;95,95,((XLOOKUP(D42,RUC!$B$3:$B$106,RUC!$E$3:$E$106)+ROUNDDOWN(O42,1)*100)))</f>
        <v>110</v>
      </c>
      <c r="U42" s="67">
        <f t="array" ref="U42">XLOOKUP(D42,RUC!$B$3:$B$110,RUC!$F$3:$F$110)</f>
        <v>120</v>
      </c>
      <c r="V42" s="67">
        <v>1.1023</v>
      </c>
      <c r="Y42" s="57">
        <f t="array" ref="Y42">XLOOKUP(D42,RUC!$B$3:$B$110,RUC!$G$3:$G$110)</f>
        <v>20</v>
      </c>
      <c r="Z42" s="69">
        <f t="array" ref="Z42">XLOOKUP(D42,RUC!$B$3:$B$110,RUC!$H$3:$H$110)</f>
        <v>30</v>
      </c>
      <c r="AA42" s="70">
        <f t="shared" si="26"/>
        <v>50</v>
      </c>
      <c r="AB42" s="71">
        <f t="shared" si="45"/>
        <v>697.9633639</v>
      </c>
      <c r="AC42" s="71">
        <f>+(S42-T42)*V42-'data 1'!$F$4</f>
        <v>41.253</v>
      </c>
      <c r="AD42" s="71">
        <f t="shared" si="28"/>
        <v>0</v>
      </c>
      <c r="AE42" s="71">
        <f t="shared" si="29"/>
        <v>-14.885</v>
      </c>
      <c r="AF42" s="71">
        <f t="shared" si="30"/>
        <v>82.64823838</v>
      </c>
      <c r="AG42" s="72">
        <f t="shared" si="46"/>
        <v>126.0162384</v>
      </c>
      <c r="AH42" s="193">
        <f t="shared" si="32"/>
        <v>16.823</v>
      </c>
      <c r="AI42" s="193">
        <f t="shared" si="33"/>
        <v>19.792</v>
      </c>
      <c r="AJ42" s="73">
        <f t="shared" si="34"/>
        <v>53.05788774</v>
      </c>
      <c r="AK42" s="73">
        <f t="shared" si="35"/>
        <v>15.37049603</v>
      </c>
      <c r="AM42" s="51">
        <f t="shared" si="36"/>
        <v>1831.455867</v>
      </c>
      <c r="AN42" s="51" t="str">
        <f t="array" ref="AN42">XLOOKUP(D42,RUC!$B$3:$B$565,RUC!$M$3:$M$565)</f>
        <v>Evelyn</v>
      </c>
      <c r="AO42" s="131" t="s">
        <v>551</v>
      </c>
      <c r="AP42" s="141" t="s">
        <v>713</v>
      </c>
      <c r="AQ42" s="141" t="s">
        <v>792</v>
      </c>
    </row>
    <row r="43" ht="15.0" customHeight="1">
      <c r="A43" s="142" t="s">
        <v>800</v>
      </c>
      <c r="B43" s="182">
        <v>46132.0</v>
      </c>
      <c r="C43" s="182">
        <v>46122.0</v>
      </c>
      <c r="D43" s="57" t="s">
        <v>295</v>
      </c>
      <c r="E43" s="3">
        <f t="array" ref="E43">XLOOKUP(D43,RUC!$B$3:$B$110,RUC!$D$3:$D$110)</f>
        <v>20601769396</v>
      </c>
      <c r="G43" s="141">
        <v>36.0</v>
      </c>
      <c r="H43" s="3" t="s">
        <v>339</v>
      </c>
      <c r="I43" s="6">
        <v>3.02</v>
      </c>
      <c r="J43" s="58">
        <v>9.7</v>
      </c>
      <c r="K43" s="6">
        <f t="shared" si="23"/>
        <v>2.727</v>
      </c>
      <c r="L43" s="60">
        <v>0.203</v>
      </c>
      <c r="M43" s="60">
        <v>0.187</v>
      </c>
      <c r="N43" s="62">
        <f t="shared" si="37"/>
        <v>0.187</v>
      </c>
      <c r="O43" s="60">
        <f t="shared" si="25"/>
        <v>0.187</v>
      </c>
      <c r="P43" s="63">
        <v>85.0</v>
      </c>
      <c r="Q43" s="130">
        <v>85.44</v>
      </c>
      <c r="R43" s="65">
        <v>4762.6</v>
      </c>
      <c r="S43" s="66">
        <f t="array" ref="S43">IF((XLOOKUP(D43,RUC!$B$3:$B$106,RUC!$E$3:$E$106)+ROUNDDOWN(O43,1)*100)&lt;95,95,((XLOOKUP(D43,RUC!$B$3:$B$106,RUC!$E$3:$E$106)+ROUNDDOWN(O43,1)*100)))</f>
        <v>100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26"/>
        <v>50</v>
      </c>
      <c r="AB43" s="71">
        <f t="shared" si="45"/>
        <v>648.0876619</v>
      </c>
      <c r="AC43" s="71">
        <f>+(S43-T43)*V43-'data 1'!$F$4</f>
        <v>30.23</v>
      </c>
      <c r="AD43" s="71">
        <f t="shared" si="28"/>
        <v>4.570984924</v>
      </c>
      <c r="AE43" s="71">
        <f t="shared" si="29"/>
        <v>-14.885</v>
      </c>
      <c r="AF43" s="71">
        <f t="shared" si="30"/>
        <v>69.9587912</v>
      </c>
      <c r="AG43" s="72">
        <f t="shared" si="46"/>
        <v>106.8747761</v>
      </c>
      <c r="AH43" s="193">
        <f t="shared" si="32"/>
        <v>16.216</v>
      </c>
      <c r="AI43" s="193">
        <f t="shared" si="33"/>
        <v>18.98</v>
      </c>
      <c r="AJ43" s="73">
        <f t="shared" si="34"/>
        <v>49.21138949</v>
      </c>
      <c r="AK43" s="73">
        <f t="shared" si="35"/>
        <v>14.86122945</v>
      </c>
      <c r="AM43" s="51">
        <f t="shared" si="36"/>
        <v>1767.335054</v>
      </c>
      <c r="AN43" s="51" t="str">
        <f t="array" ref="AN43">XLOOKUP(D43,RUC!$B$3:$B$565,RUC!$M$3:$M$565)</f>
        <v>Evelyn</v>
      </c>
      <c r="AO43" s="131" t="s">
        <v>551</v>
      </c>
      <c r="AP43" s="141" t="s">
        <v>713</v>
      </c>
      <c r="AQ43" s="141" t="s">
        <v>792</v>
      </c>
    </row>
    <row r="44" ht="15.0" customHeight="1">
      <c r="A44" s="142" t="s">
        <v>801</v>
      </c>
      <c r="B44" s="182">
        <v>46132.0</v>
      </c>
      <c r="C44" s="182">
        <v>46122.0</v>
      </c>
      <c r="D44" s="57" t="s">
        <v>295</v>
      </c>
      <c r="E44" s="3">
        <f t="array" ref="E44">XLOOKUP(D44,RUC!$B$3:$B$110,RUC!$D$3:$D$110)</f>
        <v>20601769396</v>
      </c>
      <c r="G44" s="141">
        <v>39.0</v>
      </c>
      <c r="H44" s="3" t="s">
        <v>339</v>
      </c>
      <c r="I44" s="6">
        <v>3.34</v>
      </c>
      <c r="J44" s="58">
        <v>10.45</v>
      </c>
      <c r="K44" s="6">
        <f t="shared" si="23"/>
        <v>2.991</v>
      </c>
      <c r="L44" s="60">
        <v>0.22</v>
      </c>
      <c r="M44" s="60">
        <f t="shared" ref="M44:M60" si="48">ROUND(+IF(AN44="Melchor Vera",IF(L44&gt;0.467,L44*0.985,(L44-0.007)),IF(L44&gt;0.3,L44*0.94,(L44-0.019))),3)</f>
        <v>0.201</v>
      </c>
      <c r="N44" s="62">
        <f t="shared" si="37"/>
        <v>0.201</v>
      </c>
      <c r="O44" s="60">
        <f t="shared" si="25"/>
        <v>0.201</v>
      </c>
      <c r="P44" s="63">
        <v>88.0</v>
      </c>
      <c r="Q44" s="130">
        <v>89.55</v>
      </c>
      <c r="R44" s="65">
        <v>4762.6</v>
      </c>
      <c r="S44" s="66">
        <f t="array" ref="S44">IF((XLOOKUP(D44,RUC!$B$3:$B$106,RUC!$E$3:$E$106)+ROUNDDOWN(O44,1)*100)&lt;95,95,((XLOOKUP(D44,RUC!$B$3:$B$106,RUC!$E$3:$E$106)+ROUNDDOWN(O44,1)*100)))</f>
        <v>110</v>
      </c>
      <c r="U44" s="67">
        <f t="array" ref="U44">XLOOKUP(D44,RUC!$B$3:$B$110,RUC!$F$3:$F$110)</f>
        <v>120</v>
      </c>
      <c r="V44" s="67">
        <v>1.1023</v>
      </c>
      <c r="Y44" s="57">
        <f t="array" ref="Y44">XLOOKUP(D44,RUC!$B$3:$B$110,RUC!$G$3:$G$110)</f>
        <v>20</v>
      </c>
      <c r="Z44" s="69">
        <f t="array" ref="Z44">XLOOKUP(D44,RUC!$B$3:$B$110,RUC!$H$3:$H$110)</f>
        <v>30</v>
      </c>
      <c r="AA44" s="70">
        <f t="shared" si="26"/>
        <v>50</v>
      </c>
      <c r="AB44" s="71">
        <f t="shared" si="45"/>
        <v>728.8221179</v>
      </c>
      <c r="AC44" s="71">
        <f>+(S44-T44)*V44-'data 1'!$F$4</f>
        <v>41.253</v>
      </c>
      <c r="AD44" s="71">
        <f t="shared" si="28"/>
        <v>17.45080451</v>
      </c>
      <c r="AE44" s="71">
        <f t="shared" si="29"/>
        <v>-14.885</v>
      </c>
      <c r="AF44" s="71">
        <f t="shared" si="30"/>
        <v>87.07234996</v>
      </c>
      <c r="AG44" s="72">
        <f t="shared" si="46"/>
        <v>147.8911545</v>
      </c>
      <c r="AH44" s="193">
        <f t="shared" si="32"/>
        <v>20.203</v>
      </c>
      <c r="AI44" s="193">
        <f t="shared" si="33"/>
        <v>22.56</v>
      </c>
      <c r="AJ44" s="73">
        <f t="shared" si="34"/>
        <v>55.89804526</v>
      </c>
      <c r="AK44" s="73">
        <f t="shared" si="35"/>
        <v>18.13861872</v>
      </c>
      <c r="AM44" s="51">
        <f t="shared" si="36"/>
        <v>2179.906955</v>
      </c>
      <c r="AN44" s="51" t="str">
        <f t="array" ref="AN44">XLOOKUP(D44,RUC!$B$3:$B$565,RUC!$M$3:$M$565)</f>
        <v>Evelyn</v>
      </c>
      <c r="AO44" s="131" t="s">
        <v>551</v>
      </c>
      <c r="AP44" s="141" t="s">
        <v>713</v>
      </c>
      <c r="AQ44" s="141" t="s">
        <v>792</v>
      </c>
    </row>
    <row r="45" ht="15.0" customHeight="1">
      <c r="A45" s="142" t="s">
        <v>802</v>
      </c>
      <c r="B45" s="182">
        <v>46132.0</v>
      </c>
      <c r="C45" s="182">
        <v>46122.0</v>
      </c>
      <c r="D45" s="57" t="s">
        <v>295</v>
      </c>
      <c r="E45" s="3">
        <f t="array" ref="E45">XLOOKUP(D45,RUC!$B$3:$B$110,RUC!$D$3:$D$110)</f>
        <v>20601769396</v>
      </c>
      <c r="G45" s="141">
        <v>41.0</v>
      </c>
      <c r="H45" s="3" t="s">
        <v>339</v>
      </c>
      <c r="I45" s="6">
        <v>3.5</v>
      </c>
      <c r="J45" s="58">
        <v>7.0</v>
      </c>
      <c r="K45" s="6">
        <f t="shared" si="23"/>
        <v>3.255</v>
      </c>
      <c r="L45" s="60">
        <v>0.546</v>
      </c>
      <c r="M45" s="60">
        <f t="shared" si="48"/>
        <v>0.513</v>
      </c>
      <c r="N45" s="62">
        <f t="shared" si="37"/>
        <v>0.513</v>
      </c>
      <c r="O45" s="60">
        <f t="shared" si="25"/>
        <v>0.513</v>
      </c>
      <c r="P45" s="63">
        <v>90.0</v>
      </c>
      <c r="Q45" s="58">
        <v>93.41</v>
      </c>
      <c r="R45" s="65">
        <v>4762.6</v>
      </c>
      <c r="S45" s="66">
        <f t="array" ref="S45">IF((XLOOKUP(D45,RUC!$B$3:$B$106,RUC!$E$3:$E$106)+ROUNDDOWN(O45,1)*100)&lt;95,95,((XLOOKUP(D45,RUC!$B$3:$B$106,RUC!$E$3:$E$106)+ROUNDDOWN(O45,1)*100)))</f>
        <v>140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si="26"/>
        <v>50</v>
      </c>
      <c r="AB45" s="71">
        <f t="shared" si="45"/>
        <v>2153.330285</v>
      </c>
      <c r="AC45" s="71">
        <f>+(S45-T45)*V45-'data 1'!$F$4</f>
        <v>74.322</v>
      </c>
      <c r="AD45" s="71">
        <f t="shared" si="28"/>
        <v>95.28139263</v>
      </c>
      <c r="AE45" s="71">
        <f t="shared" si="29"/>
        <v>-14.885</v>
      </c>
      <c r="AF45" s="71">
        <f t="shared" si="30"/>
        <v>157.7496435</v>
      </c>
      <c r="AG45" s="72">
        <f t="shared" si="46"/>
        <v>329.4680361</v>
      </c>
      <c r="AH45" s="193">
        <f t="shared" si="32"/>
        <v>56.918</v>
      </c>
      <c r="AI45" s="193">
        <f t="shared" si="33"/>
        <v>60.933</v>
      </c>
      <c r="AJ45" s="73">
        <f t="shared" si="34"/>
        <v>144.7086076</v>
      </c>
      <c r="AK45" s="73">
        <f t="shared" si="35"/>
        <v>51.52522972</v>
      </c>
      <c r="AM45" s="51">
        <f t="shared" si="36"/>
        <v>7009.090079</v>
      </c>
      <c r="AN45" s="51" t="str">
        <f t="array" ref="AN45">XLOOKUP(D45,RUC!$B$3:$B$565,RUC!$M$3:$M$565)</f>
        <v>Evelyn</v>
      </c>
      <c r="AO45" s="131" t="s">
        <v>551</v>
      </c>
      <c r="AP45" s="141" t="s">
        <v>713</v>
      </c>
      <c r="AQ45" s="141" t="s">
        <v>792</v>
      </c>
    </row>
    <row r="46" ht="15.0" customHeight="1">
      <c r="A46" s="142" t="s">
        <v>803</v>
      </c>
      <c r="B46" s="182">
        <v>46132.0</v>
      </c>
      <c r="C46" s="182">
        <v>46122.0</v>
      </c>
      <c r="D46" s="57" t="s">
        <v>295</v>
      </c>
      <c r="E46" s="3">
        <f t="array" ref="E46">XLOOKUP(D46,RUC!$B$3:$B$110,RUC!$D$3:$D$110)</f>
        <v>20601769396</v>
      </c>
      <c r="G46" s="141">
        <v>25.0</v>
      </c>
      <c r="H46" s="3" t="s">
        <v>339</v>
      </c>
      <c r="I46" s="6">
        <v>2.17</v>
      </c>
      <c r="J46" s="58">
        <v>15.5</v>
      </c>
      <c r="K46" s="6">
        <f t="shared" si="23"/>
        <v>1.834</v>
      </c>
      <c r="L46" s="60">
        <v>0.385</v>
      </c>
      <c r="M46" s="60">
        <f t="shared" si="48"/>
        <v>0.362</v>
      </c>
      <c r="N46" s="62">
        <f t="shared" si="37"/>
        <v>0.362</v>
      </c>
      <c r="O46" s="60">
        <f t="shared" si="25"/>
        <v>0.362</v>
      </c>
      <c r="P46" s="63">
        <v>83.0</v>
      </c>
      <c r="Q46" s="130">
        <v>84.42</v>
      </c>
      <c r="R46" s="65">
        <v>4762.6</v>
      </c>
      <c r="S46" s="66">
        <f t="array" ref="S46">IF((XLOOKUP(D46,RUC!$B$3:$B$106,RUC!$E$3:$E$106)+ROUNDDOWN(O46,1)*100)&lt;95,95,((XLOOKUP(D46,RUC!$B$3:$B$106,RUC!$E$3:$E$106)+ROUNDDOWN(O46,1)*100)))</f>
        <v>120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26"/>
        <v>50</v>
      </c>
      <c r="AB46" s="71">
        <f t="shared" si="45"/>
        <v>1350.224461</v>
      </c>
      <c r="AC46" s="71">
        <f>+(S46-T46)*V46-'data 1'!$F$4</f>
        <v>52.276</v>
      </c>
      <c r="AD46" s="71">
        <f t="shared" si="28"/>
        <v>27.97758014</v>
      </c>
      <c r="AE46" s="71">
        <f t="shared" si="29"/>
        <v>-14.885</v>
      </c>
      <c r="AF46" s="71">
        <f t="shared" si="30"/>
        <v>99.36518794</v>
      </c>
      <c r="AG46" s="72">
        <f t="shared" si="46"/>
        <v>181.7337681</v>
      </c>
      <c r="AH46" s="193">
        <f t="shared" si="32"/>
        <v>20.437</v>
      </c>
      <c r="AI46" s="193">
        <f t="shared" si="33"/>
        <v>24.209</v>
      </c>
      <c r="AJ46" s="73">
        <f t="shared" si="34"/>
        <v>92.21772994</v>
      </c>
      <c r="AK46" s="73">
        <f t="shared" si="35"/>
        <v>18.89274503</v>
      </c>
      <c r="AM46" s="51">
        <f t="shared" si="36"/>
        <v>2476.311662</v>
      </c>
      <c r="AN46" s="51" t="str">
        <f t="array" ref="AN46">XLOOKUP(D46,RUC!$B$3:$B$565,RUC!$M$3:$M$565)</f>
        <v>Evelyn</v>
      </c>
      <c r="AO46" s="131" t="s">
        <v>551</v>
      </c>
      <c r="AP46" s="141" t="s">
        <v>713</v>
      </c>
      <c r="AQ46" s="141" t="s">
        <v>792</v>
      </c>
    </row>
    <row r="47" ht="15.0" customHeight="1">
      <c r="A47" s="142" t="s">
        <v>804</v>
      </c>
      <c r="B47" s="182">
        <v>46132.0</v>
      </c>
      <c r="C47" s="182">
        <v>46122.0</v>
      </c>
      <c r="D47" s="57" t="s">
        <v>295</v>
      </c>
      <c r="E47" s="3">
        <f t="array" ref="E47">XLOOKUP(D47,RUC!$B$3:$B$110,RUC!$D$3:$D$110)</f>
        <v>20601769396</v>
      </c>
      <c r="G47" s="141">
        <v>23.0</v>
      </c>
      <c r="H47" s="3" t="s">
        <v>339</v>
      </c>
      <c r="I47" s="6">
        <v>2.0</v>
      </c>
      <c r="J47" s="58">
        <v>11.0</v>
      </c>
      <c r="K47" s="6">
        <f t="shared" si="23"/>
        <v>1.78</v>
      </c>
      <c r="L47" s="60">
        <v>0.262</v>
      </c>
      <c r="M47" s="60">
        <f t="shared" si="48"/>
        <v>0.243</v>
      </c>
      <c r="N47" s="62">
        <f t="shared" si="37"/>
        <v>0.243</v>
      </c>
      <c r="O47" s="60">
        <f t="shared" si="25"/>
        <v>0.243</v>
      </c>
      <c r="P47" s="63">
        <v>76.0</v>
      </c>
      <c r="Q47" s="130">
        <v>77.48</v>
      </c>
      <c r="R47" s="65">
        <v>4762.6</v>
      </c>
      <c r="S47" s="66">
        <f t="array" ref="S47">IF((XLOOKUP(D47,RUC!$B$3:$B$106,RUC!$E$3:$E$106)+ROUNDDOWN(O47,1)*100)&lt;95,95,((XLOOKUP(D47,RUC!$B$3:$B$106,RUC!$E$3:$E$106)+ROUNDDOWN(O47,1)*100)))</f>
        <v>110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26"/>
        <v>50</v>
      </c>
      <c r="AB47" s="71">
        <f t="shared" si="45"/>
        <v>768.7389141</v>
      </c>
      <c r="AC47" s="71">
        <f>+(S47-T47)*V47-'data 1'!$F$4</f>
        <v>41.253</v>
      </c>
      <c r="AD47" s="71">
        <f t="shared" si="28"/>
        <v>19.84376527</v>
      </c>
      <c r="AE47" s="71">
        <f t="shared" si="29"/>
        <v>-14.885</v>
      </c>
      <c r="AF47" s="71">
        <f t="shared" si="30"/>
        <v>75.33630011</v>
      </c>
      <c r="AG47" s="72">
        <f t="shared" si="46"/>
        <v>138.5480654</v>
      </c>
      <c r="AH47" s="193">
        <f t="shared" si="32"/>
        <v>12.389</v>
      </c>
      <c r="AI47" s="193">
        <f t="shared" si="33"/>
        <v>15.989</v>
      </c>
      <c r="AJ47" s="73">
        <f t="shared" si="34"/>
        <v>57.5969191</v>
      </c>
      <c r="AK47" s="73">
        <f t="shared" si="35"/>
        <v>11.27064933</v>
      </c>
      <c r="AM47" s="51">
        <f t="shared" si="36"/>
        <v>1368.355267</v>
      </c>
      <c r="AN47" s="51" t="str">
        <f t="array" ref="AN47">XLOOKUP(D47,RUC!$B$3:$B$565,RUC!$M$3:$M$565)</f>
        <v>Evelyn</v>
      </c>
      <c r="AO47" s="131" t="s">
        <v>551</v>
      </c>
      <c r="AP47" s="141" t="s">
        <v>713</v>
      </c>
      <c r="AQ47" s="141" t="s">
        <v>792</v>
      </c>
    </row>
    <row r="48" ht="15.0" customHeight="1">
      <c r="A48" s="116" t="s">
        <v>805</v>
      </c>
      <c r="B48" s="182">
        <v>46128.0</v>
      </c>
      <c r="C48" s="182">
        <v>46122.0</v>
      </c>
      <c r="D48" s="57" t="s">
        <v>806</v>
      </c>
      <c r="E48" s="3">
        <f t="array" ref="E48">XLOOKUP(D48,RUC!$B$3:$B$110,RUC!$D$3:$D$110)</f>
        <v>20614284740</v>
      </c>
      <c r="G48" s="141">
        <v>110.0</v>
      </c>
      <c r="H48" s="3" t="s">
        <v>47</v>
      </c>
      <c r="I48" s="6">
        <v>8.81</v>
      </c>
      <c r="J48" s="58">
        <v>2.0</v>
      </c>
      <c r="K48" s="6">
        <f t="shared" si="23"/>
        <v>8.634</v>
      </c>
      <c r="L48" s="60">
        <v>0.279</v>
      </c>
      <c r="M48" s="60">
        <f t="shared" si="48"/>
        <v>0.26</v>
      </c>
      <c r="N48" s="62">
        <f t="shared" si="37"/>
        <v>0.26</v>
      </c>
      <c r="O48" s="60">
        <f t="shared" si="25"/>
        <v>0.26</v>
      </c>
      <c r="P48" s="63">
        <v>90.0</v>
      </c>
      <c r="Q48" s="58">
        <v>98.57</v>
      </c>
      <c r="R48" s="65">
        <v>4773.75</v>
      </c>
      <c r="S48" s="66">
        <f t="array" ref="S48">IF((XLOOKUP(D48,RUC!$B$3:$B$106,RUC!$E$3:$E$106)+ROUNDDOWN(O48,1)*100)&lt;95,95,((XLOOKUP(D48,RUC!$B$3:$B$106,RUC!$E$3:$E$106)+ROUNDDOWN(O48,1)*100)))</f>
        <v>110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26"/>
        <v>50</v>
      </c>
      <c r="AB48" s="71">
        <f t="shared" si="45"/>
        <v>1024.011898</v>
      </c>
      <c r="AC48" s="71">
        <f>+(S48-T48)*V48-'data 1'!$F$4</f>
        <v>41.253</v>
      </c>
      <c r="AD48" s="71">
        <f t="shared" si="28"/>
        <v>122.6557414</v>
      </c>
      <c r="AE48" s="71">
        <f t="shared" si="29"/>
        <v>-14.885</v>
      </c>
      <c r="AF48" s="71">
        <f t="shared" si="30"/>
        <v>96.07296944</v>
      </c>
      <c r="AG48" s="72">
        <f t="shared" si="46"/>
        <v>262.0967108</v>
      </c>
      <c r="AH48" s="193">
        <f t="shared" si="32"/>
        <v>81.409</v>
      </c>
      <c r="AI48" s="193">
        <f t="shared" si="33"/>
        <v>82.59</v>
      </c>
      <c r="AJ48" s="73">
        <f t="shared" si="34"/>
        <v>74.64917397</v>
      </c>
      <c r="AK48" s="73">
        <f t="shared" si="35"/>
        <v>69.26868946</v>
      </c>
      <c r="AM48" s="51">
        <f t="shared" si="36"/>
        <v>8841.318729</v>
      </c>
      <c r="AN48" s="51" t="str">
        <f t="array" ref="AN48">XLOOKUP(D48,RUC!$B$3:$B$565,RUC!$M$3:$M$565)</f>
        <v>Dante </v>
      </c>
      <c r="AO48" s="131" t="s">
        <v>551</v>
      </c>
      <c r="AP48" s="141" t="s">
        <v>807</v>
      </c>
      <c r="AQ48" s="141" t="s">
        <v>808</v>
      </c>
    </row>
    <row r="49" ht="15.0" customHeight="1">
      <c r="A49" s="116" t="s">
        <v>809</v>
      </c>
      <c r="B49" s="182">
        <v>46126.0</v>
      </c>
      <c r="C49" s="182">
        <v>46122.0</v>
      </c>
      <c r="D49" s="2" t="s">
        <v>806</v>
      </c>
      <c r="E49" s="3">
        <f t="array" ref="E49">XLOOKUP(D49,RUC!$B$3:$B$110,RUC!$D$3:$D$110)</f>
        <v>20614284740</v>
      </c>
      <c r="G49" s="141">
        <v>50.0</v>
      </c>
      <c r="H49" s="3" t="s">
        <v>47</v>
      </c>
      <c r="I49" s="6">
        <v>5.27</v>
      </c>
      <c r="J49" s="58">
        <v>2.15</v>
      </c>
      <c r="K49" s="6">
        <f t="shared" si="23"/>
        <v>5.157</v>
      </c>
      <c r="L49" s="60">
        <v>0.154</v>
      </c>
      <c r="M49" s="60">
        <f t="shared" si="48"/>
        <v>0.135</v>
      </c>
      <c r="N49" s="62">
        <f t="shared" si="37"/>
        <v>0.135</v>
      </c>
      <c r="O49" s="60">
        <f t="shared" si="25"/>
        <v>0.135</v>
      </c>
      <c r="P49" s="63">
        <v>80.0</v>
      </c>
      <c r="Q49" s="58">
        <v>96.75</v>
      </c>
      <c r="R49" s="65">
        <v>4773.75</v>
      </c>
      <c r="S49" s="66">
        <f t="array" ref="S49">IF((XLOOKUP(D49,RUC!$B$3:$B$106,RUC!$E$3:$E$106)+ROUNDDOWN(O49,1)*100)&lt;95,95,((XLOOKUP(D49,RUC!$B$3:$B$106,RUC!$E$3:$E$106)+ROUNDDOWN(O49,1)*100)))</f>
        <v>100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26"/>
        <v>50</v>
      </c>
      <c r="AB49" s="71">
        <f t="shared" si="45"/>
        <v>388.6764915</v>
      </c>
      <c r="AC49" s="71">
        <f>+(S49-T49)*V49-'data 1'!$F$4</f>
        <v>30.23</v>
      </c>
      <c r="AD49" s="71">
        <f t="shared" si="28"/>
        <v>132.3239294</v>
      </c>
      <c r="AE49" s="71">
        <f t="shared" si="29"/>
        <v>-14.885</v>
      </c>
      <c r="AF49" s="71">
        <f t="shared" si="30"/>
        <v>94.2990747</v>
      </c>
      <c r="AG49" s="72">
        <f t="shared" si="46"/>
        <v>258.9680041</v>
      </c>
      <c r="AH49" s="193">
        <f t="shared" si="32"/>
        <v>26.344</v>
      </c>
      <c r="AI49" s="193">
        <f t="shared" si="33"/>
        <v>27.229</v>
      </c>
      <c r="AJ49" s="73">
        <f t="shared" si="34"/>
        <v>40.44340767</v>
      </c>
      <c r="AK49" s="73">
        <f t="shared" si="35"/>
        <v>19.09545259</v>
      </c>
      <c r="AM49" s="51">
        <f t="shared" si="36"/>
        <v>2004.404667</v>
      </c>
      <c r="AN49" s="51" t="str">
        <f t="array" ref="AN49">XLOOKUP(D49,RUC!$B$3:$B$565,RUC!$M$3:$M$565)</f>
        <v>Dante </v>
      </c>
      <c r="AO49" s="131" t="s">
        <v>558</v>
      </c>
      <c r="AP49" s="141" t="s">
        <v>810</v>
      </c>
      <c r="AQ49" s="141" t="s">
        <v>811</v>
      </c>
    </row>
    <row r="50" ht="15.0" customHeight="1">
      <c r="A50" s="192" t="s">
        <v>812</v>
      </c>
      <c r="B50" s="182"/>
      <c r="C50" s="182">
        <v>46122.0</v>
      </c>
      <c r="D50" s="2" t="s">
        <v>806</v>
      </c>
      <c r="E50" s="3">
        <f t="array" ref="E50">XLOOKUP(D50,RUC!$B$3:$B$110,RUC!$D$3:$D$110)</f>
        <v>20614284740</v>
      </c>
      <c r="G50" s="141">
        <v>28.0</v>
      </c>
      <c r="H50" s="3" t="s">
        <v>47</v>
      </c>
      <c r="I50" s="6">
        <v>2.97</v>
      </c>
      <c r="J50" s="58">
        <v>2.0</v>
      </c>
      <c r="K50" s="6">
        <f t="shared" si="23"/>
        <v>2.911</v>
      </c>
      <c r="L50" s="60">
        <v>0.06</v>
      </c>
      <c r="M50" s="60">
        <f t="shared" si="48"/>
        <v>0.041</v>
      </c>
      <c r="N50" s="62">
        <f t="shared" si="37"/>
        <v>0.041</v>
      </c>
      <c r="O50" s="60">
        <f t="shared" si="25"/>
        <v>0.041</v>
      </c>
      <c r="P50" s="63">
        <v>90.0</v>
      </c>
      <c r="Q50" s="58">
        <v>96.67</v>
      </c>
      <c r="R50" s="65">
        <v>4773.75</v>
      </c>
      <c r="S50" s="66">
        <f t="array" ref="S50">IF((XLOOKUP(D50,RUC!$B$3:$B$106,RUC!$E$3:$E$106)+ROUNDDOWN(O50,1)*100)&lt;95,95,((XLOOKUP(D50,RUC!$B$3:$B$106,RUC!$E$3:$E$106)+ROUNDDOWN(O50,1)*100)))</f>
        <v>95</v>
      </c>
      <c r="U50" s="67">
        <f t="array" ref="U50">XLOOKUP(D50,RUC!$B$3:$B$110,RUC!$F$3:$F$110)</f>
        <v>120</v>
      </c>
      <c r="V50" s="67">
        <v>1.1023</v>
      </c>
      <c r="Y50" s="57">
        <f t="array" ref="Y50">XLOOKUP(D50,RUC!$B$3:$B$110,RUC!$G$3:$G$110)</f>
        <v>20</v>
      </c>
      <c r="Z50" s="69">
        <f t="array" ref="Z50">XLOOKUP(D50,RUC!$B$3:$B$110,RUC!$H$3:$H$110)</f>
        <v>30</v>
      </c>
      <c r="AA50" s="70">
        <f t="shared" si="26"/>
        <v>50</v>
      </c>
      <c r="AB50" s="71">
        <f t="shared" si="45"/>
        <v>29.45717626</v>
      </c>
      <c r="AC50" s="71">
        <f>+(S50-T50)*V50-'data 1'!$F$4</f>
        <v>24.7185</v>
      </c>
      <c r="AD50" s="71">
        <f t="shared" si="28"/>
        <v>20.52957416</v>
      </c>
      <c r="AE50" s="71">
        <f t="shared" si="29"/>
        <v>-14.885</v>
      </c>
      <c r="AF50" s="71">
        <f t="shared" si="30"/>
        <v>94.2211013</v>
      </c>
      <c r="AG50" s="72">
        <f t="shared" si="46"/>
        <v>141.5841755</v>
      </c>
      <c r="AH50" s="193">
        <f t="shared" si="32"/>
        <v>5.789</v>
      </c>
      <c r="AI50" s="193">
        <f t="shared" si="33"/>
        <v>5.988</v>
      </c>
      <c r="AJ50" s="73">
        <f t="shared" si="34"/>
        <v>15.74414263</v>
      </c>
      <c r="AK50" s="73">
        <f t="shared" si="35"/>
        <v>3.682795814</v>
      </c>
      <c r="AM50" s="51">
        <f t="shared" si="36"/>
        <v>85.7498401</v>
      </c>
      <c r="AN50" s="51" t="str">
        <f t="array" ref="AN50">XLOOKUP(D50,RUC!$B$3:$B$565,RUC!$M$3:$M$565)</f>
        <v>Dante </v>
      </c>
      <c r="AO50" s="131" t="s">
        <v>701</v>
      </c>
      <c r="AP50" s="141" t="s">
        <v>810</v>
      </c>
      <c r="AQ50" s="141" t="s">
        <v>811</v>
      </c>
    </row>
    <row r="51" ht="15.0" customHeight="1">
      <c r="A51" s="192" t="s">
        <v>813</v>
      </c>
      <c r="B51" s="182"/>
      <c r="C51" s="182">
        <v>46122.0</v>
      </c>
      <c r="D51" s="57" t="s">
        <v>306</v>
      </c>
      <c r="E51" s="3">
        <f t="array" ref="E51">XLOOKUP(D51,RUC!$B$3:$B$110,RUC!$D$3:$D$110)</f>
        <v>20612921866</v>
      </c>
      <c r="G51" s="141" t="s">
        <v>735</v>
      </c>
      <c r="H51" s="3" t="s">
        <v>47</v>
      </c>
      <c r="I51" s="6">
        <v>7.03</v>
      </c>
      <c r="J51" s="58">
        <v>2.0</v>
      </c>
      <c r="K51" s="6">
        <f t="shared" si="23"/>
        <v>6.889</v>
      </c>
      <c r="L51" s="60">
        <v>0.089</v>
      </c>
      <c r="M51" s="60">
        <f t="shared" si="48"/>
        <v>0.07</v>
      </c>
      <c r="N51" s="62">
        <f t="shared" si="37"/>
        <v>0.07</v>
      </c>
      <c r="O51" s="60">
        <f t="shared" si="25"/>
        <v>0.07</v>
      </c>
      <c r="P51" s="63">
        <v>90.0</v>
      </c>
      <c r="Q51" s="58">
        <v>97.75</v>
      </c>
      <c r="R51" s="65">
        <v>4773.75</v>
      </c>
      <c r="S51" s="66">
        <f t="array" ref="S51">IF((XLOOKUP(D51,RUC!$B$3:$B$106,RUC!$E$3:$E$106)+ROUNDDOWN(O51,1)*100)&lt;95,95,((XLOOKUP(D51,RUC!$B$3:$B$106,RUC!$E$3:$E$106)+ROUNDDOWN(O51,1)*100)))</f>
        <v>95</v>
      </c>
      <c r="U51" s="67">
        <f t="array" ref="U51">XLOOKUP(D51,RUC!$B$3:$B$110,RUC!$F$3:$F$110)</f>
        <v>100</v>
      </c>
      <c r="V51" s="67">
        <v>1.1023</v>
      </c>
      <c r="Y51" s="57" t="str">
        <f t="array" ref="Y51">XLOOKUP(D51,RUC!$B$3:$B$110,RUC!$G$3:$G$110)</f>
        <v/>
      </c>
      <c r="Z51" s="69">
        <f t="array" ref="Z51">XLOOKUP(D51,RUC!$B$3:$B$110,RUC!$H$3:$H$110)</f>
        <v>30</v>
      </c>
      <c r="AA51" s="70">
        <f t="shared" si="26"/>
        <v>30</v>
      </c>
      <c r="AB51" s="71">
        <f t="shared" si="45"/>
        <v>186.7806014</v>
      </c>
      <c r="AC51" s="71">
        <f>+(S51-T51)*V51-'data 1'!$F$4</f>
        <v>24.7185</v>
      </c>
      <c r="AD51" s="71">
        <f t="shared" si="28"/>
        <v>35.53505523</v>
      </c>
      <c r="AE51" s="71">
        <f t="shared" si="29"/>
        <v>-36.931</v>
      </c>
      <c r="AF51" s="71">
        <f t="shared" si="30"/>
        <v>95.68319147</v>
      </c>
      <c r="AG51" s="72">
        <f t="shared" si="46"/>
        <v>136.0057467</v>
      </c>
      <c r="AH51" s="193">
        <f t="shared" si="32"/>
        <v>20.548</v>
      </c>
      <c r="AI51" s="193">
        <f t="shared" si="33"/>
        <v>21.021</v>
      </c>
      <c r="AJ51" s="73">
        <f t="shared" si="34"/>
        <v>21.69677414</v>
      </c>
      <c r="AK51" s="73">
        <f t="shared" si="35"/>
        <v>14.88009841</v>
      </c>
      <c r="AM51" s="51">
        <f t="shared" si="36"/>
        <v>1286.731563</v>
      </c>
      <c r="AN51" s="51" t="str">
        <f t="array" ref="AN51">XLOOKUP(D51,RUC!$B$3:$B$565,RUC!$M$3:$M$565)</f>
        <v>Ronald Garibay</v>
      </c>
      <c r="AO51" s="131" t="s">
        <v>701</v>
      </c>
      <c r="AP51" s="141" t="s">
        <v>814</v>
      </c>
      <c r="AQ51" s="141" t="s">
        <v>815</v>
      </c>
    </row>
    <row r="52" ht="15.0" customHeight="1">
      <c r="A52" s="142" t="s">
        <v>816</v>
      </c>
      <c r="B52" s="182">
        <v>46132.0</v>
      </c>
      <c r="C52" s="182">
        <v>46123.0</v>
      </c>
      <c r="D52" s="2" t="s">
        <v>756</v>
      </c>
      <c r="E52" s="3" t="str">
        <f t="array" ref="E52">XLOOKUP(D52,RUC!$B$3:$B$110,RUC!$D$3:$D$110)</f>
        <v>20610807004*</v>
      </c>
      <c r="G52" s="141">
        <v>30.0</v>
      </c>
      <c r="H52" s="3" t="s">
        <v>339</v>
      </c>
      <c r="I52" s="6">
        <v>2.26</v>
      </c>
      <c r="J52" s="58">
        <v>6.8</v>
      </c>
      <c r="K52" s="6">
        <f t="shared" si="23"/>
        <v>2.106</v>
      </c>
      <c r="L52" s="60">
        <v>0.199</v>
      </c>
      <c r="M52" s="60">
        <f t="shared" si="48"/>
        <v>0.18</v>
      </c>
      <c r="N52" s="62">
        <f t="shared" si="37"/>
        <v>0.18</v>
      </c>
      <c r="O52" s="60">
        <f t="shared" si="25"/>
        <v>0.18</v>
      </c>
      <c r="P52" s="63">
        <v>84.0</v>
      </c>
      <c r="Q52" s="130">
        <v>84.92</v>
      </c>
      <c r="R52" s="65">
        <v>4773.75</v>
      </c>
      <c r="S52" s="66">
        <f t="array" ref="S52">IF((XLOOKUP(D52,RUC!$B$3:$B$106,RUC!$E$3:$E$106)+ROUNDDOWN(O52,1)*100)&lt;95,95,((XLOOKUP(D52,RUC!$B$3:$B$106,RUC!$E$3:$E$106)+ROUNDDOWN(O52,1)*100)))</f>
        <v>95</v>
      </c>
      <c r="U52" s="67">
        <f t="array" ref="U52">XLOOKUP(D52,RUC!$B$3:$B$110,RUC!$F$3:$F$110)</f>
        <v>120</v>
      </c>
      <c r="V52" s="67">
        <v>1.1023</v>
      </c>
      <c r="Y52" s="57">
        <f t="array" ref="Y52">XLOOKUP(D52,RUC!$B$3:$B$110,RUC!$G$3:$G$110)</f>
        <v>20</v>
      </c>
      <c r="Z52" s="140">
        <v>35.0</v>
      </c>
      <c r="AA52" s="70">
        <f t="shared" si="26"/>
        <v>55</v>
      </c>
      <c r="AB52" s="71">
        <f t="shared" si="45"/>
        <v>610.2850881</v>
      </c>
      <c r="AC52" s="71">
        <f>+(S52-T52)*V52-'data 1'!$F$4</f>
        <v>24.7185</v>
      </c>
      <c r="AD52" s="71">
        <f t="shared" si="28"/>
        <v>9.391690247</v>
      </c>
      <c r="AE52" s="71">
        <f t="shared" si="29"/>
        <v>-9.3735</v>
      </c>
      <c r="AF52" s="71">
        <f t="shared" si="30"/>
        <v>82.7687589</v>
      </c>
      <c r="AG52" s="72">
        <f t="shared" si="46"/>
        <v>124.5054491</v>
      </c>
      <c r="AH52" s="193">
        <f t="shared" si="32"/>
        <v>12.202</v>
      </c>
      <c r="AI52" s="193">
        <f t="shared" si="33"/>
        <v>14.369</v>
      </c>
      <c r="AJ52" s="73">
        <f t="shared" si="34"/>
        <v>45.87109511</v>
      </c>
      <c r="AK52" s="73">
        <f t="shared" si="35"/>
        <v>10.91740012</v>
      </c>
      <c r="AM52" s="51">
        <f t="shared" si="36"/>
        <v>1285.260396</v>
      </c>
      <c r="AN52" s="51" t="str">
        <f t="array" ref="AN52">XLOOKUP(D52,RUC!$B$3:$B$565,RUC!$M$3:$M$565)</f>
        <v>Ronald Miranda</v>
      </c>
      <c r="AO52" s="131" t="s">
        <v>551</v>
      </c>
      <c r="AP52" s="141" t="s">
        <v>817</v>
      </c>
      <c r="AQ52" s="141" t="s">
        <v>818</v>
      </c>
    </row>
    <row r="53" ht="15.0" customHeight="1">
      <c r="A53" s="142" t="s">
        <v>819</v>
      </c>
      <c r="B53" s="182">
        <v>46132.0</v>
      </c>
      <c r="C53" s="182">
        <v>46123.0</v>
      </c>
      <c r="D53" s="2" t="s">
        <v>756</v>
      </c>
      <c r="E53" s="3" t="str">
        <f t="array" ref="E53">XLOOKUP(D53,RUC!$B$3:$B$110,RUC!$D$3:$D$110)</f>
        <v>20610807004*</v>
      </c>
      <c r="G53" s="141">
        <v>30.0</v>
      </c>
      <c r="H53" s="3" t="s">
        <v>339</v>
      </c>
      <c r="I53" s="6">
        <v>2.31</v>
      </c>
      <c r="J53" s="58">
        <v>7.25</v>
      </c>
      <c r="K53" s="6">
        <f t="shared" si="23"/>
        <v>2.143</v>
      </c>
      <c r="L53" s="60">
        <v>0.212</v>
      </c>
      <c r="M53" s="60">
        <f t="shared" si="48"/>
        <v>0.193</v>
      </c>
      <c r="N53" s="62">
        <f t="shared" si="37"/>
        <v>0.193</v>
      </c>
      <c r="O53" s="60">
        <f t="shared" si="25"/>
        <v>0.193</v>
      </c>
      <c r="P53" s="63">
        <v>85.0</v>
      </c>
      <c r="Q53" s="130">
        <v>89.15</v>
      </c>
      <c r="R53" s="65">
        <v>4773.75</v>
      </c>
      <c r="S53" s="66">
        <f t="array" ref="S53">IF((XLOOKUP(D53,RUC!$B$3:$B$106,RUC!$E$3:$E$106)+ROUNDDOWN(O53,1)*100)&lt;95,95,((XLOOKUP(D53,RUC!$B$3:$B$106,RUC!$E$3:$E$106)+ROUNDDOWN(O53,1)*100)))</f>
        <v>95</v>
      </c>
      <c r="U53" s="67">
        <f t="array" ref="U53">XLOOKUP(D53,RUC!$B$3:$B$110,RUC!$F$3:$F$110)</f>
        <v>120</v>
      </c>
      <c r="V53" s="67">
        <v>1.1023</v>
      </c>
      <c r="Y53" s="57">
        <f t="array" ref="Y53">XLOOKUP(D53,RUC!$B$3:$B$110,RUC!$G$3:$G$110)</f>
        <v>20</v>
      </c>
      <c r="Z53" s="140">
        <v>35.0</v>
      </c>
      <c r="AA53" s="70">
        <f t="shared" si="26"/>
        <v>55</v>
      </c>
      <c r="AB53" s="71">
        <f t="shared" si="45"/>
        <v>676.2033859</v>
      </c>
      <c r="AC53" s="71">
        <f>+(S53-T53)*V53-'data 1'!$F$4</f>
        <v>24.7185</v>
      </c>
      <c r="AD53" s="71">
        <f t="shared" si="28"/>
        <v>45.13223224</v>
      </c>
      <c r="AE53" s="71">
        <f t="shared" si="29"/>
        <v>-9.3735</v>
      </c>
      <c r="AF53" s="71">
        <f t="shared" si="30"/>
        <v>86.89160216</v>
      </c>
      <c r="AG53" s="72">
        <f t="shared" si="46"/>
        <v>164.3688344</v>
      </c>
      <c r="AH53" s="193">
        <f t="shared" si="32"/>
        <v>13.886</v>
      </c>
      <c r="AI53" s="193">
        <f t="shared" si="33"/>
        <v>15.576</v>
      </c>
      <c r="AJ53" s="73">
        <f t="shared" si="34"/>
        <v>51.30187699</v>
      </c>
      <c r="AK53" s="73">
        <f t="shared" si="35"/>
        <v>12.05334188</v>
      </c>
      <c r="AM53" s="51">
        <f t="shared" si="36"/>
        <v>1449.103856</v>
      </c>
      <c r="AN53" s="51" t="str">
        <f t="array" ref="AN53">XLOOKUP(D53,RUC!$B$3:$B$565,RUC!$M$3:$M$565)</f>
        <v>Ronald Miranda</v>
      </c>
      <c r="AO53" s="131" t="s">
        <v>551</v>
      </c>
      <c r="AP53" s="141" t="s">
        <v>817</v>
      </c>
      <c r="AQ53" s="141" t="s">
        <v>818</v>
      </c>
    </row>
    <row r="54" ht="15.0" customHeight="1">
      <c r="A54" s="142" t="s">
        <v>820</v>
      </c>
      <c r="B54" s="182">
        <v>46132.0</v>
      </c>
      <c r="C54" s="182">
        <v>46123.0</v>
      </c>
      <c r="D54" s="2" t="s">
        <v>756</v>
      </c>
      <c r="E54" s="3" t="str">
        <f t="array" ref="E54">XLOOKUP(D54,RUC!$B$3:$B$110,RUC!$D$3:$D$110)</f>
        <v>20610807004*</v>
      </c>
      <c r="G54" s="141">
        <v>30.0</v>
      </c>
      <c r="H54" s="3" t="s">
        <v>339</v>
      </c>
      <c r="I54" s="6">
        <v>2.37</v>
      </c>
      <c r="J54" s="58">
        <v>6.65</v>
      </c>
      <c r="K54" s="6">
        <f t="shared" si="23"/>
        <v>2.212</v>
      </c>
      <c r="L54" s="60">
        <v>0.206</v>
      </c>
      <c r="M54" s="60">
        <f t="shared" si="48"/>
        <v>0.187</v>
      </c>
      <c r="N54" s="62">
        <f t="shared" si="37"/>
        <v>0.187</v>
      </c>
      <c r="O54" s="60">
        <f t="shared" si="25"/>
        <v>0.187</v>
      </c>
      <c r="P54" s="63">
        <v>84.0</v>
      </c>
      <c r="Q54" s="130">
        <v>85.44</v>
      </c>
      <c r="R54" s="65">
        <v>4773.75</v>
      </c>
      <c r="S54" s="66">
        <f t="array" ref="S54">IF((XLOOKUP(D54,RUC!$B$3:$B$106,RUC!$E$3:$E$106)+ROUNDDOWN(O54,1)*100)&lt;95,95,((XLOOKUP(D54,RUC!$B$3:$B$106,RUC!$E$3:$E$106)+ROUNDDOWN(O54,1)*100)))</f>
        <v>95</v>
      </c>
      <c r="U54" s="67">
        <f t="array" ref="U54">XLOOKUP(D54,RUC!$B$3:$B$110,RUC!$F$3:$F$110)</f>
        <v>120</v>
      </c>
      <c r="V54" s="67">
        <v>1.1023</v>
      </c>
      <c r="Y54" s="57">
        <f t="array" ref="Y54">XLOOKUP(D54,RUC!$B$3:$B$110,RUC!$G$3:$G$110)</f>
        <v>20</v>
      </c>
      <c r="Z54" s="140">
        <v>35.0</v>
      </c>
      <c r="AA54" s="70">
        <f t="shared" si="26"/>
        <v>55</v>
      </c>
      <c r="AB54" s="71">
        <f t="shared" si="45"/>
        <v>640.4484804</v>
      </c>
      <c r="AC54" s="71">
        <f>+(S54-T54)*V54-'data 1'!$F$4</f>
        <v>24.7185</v>
      </c>
      <c r="AD54" s="71">
        <f t="shared" si="28"/>
        <v>15.21712363</v>
      </c>
      <c r="AE54" s="71">
        <f t="shared" si="29"/>
        <v>-9.3735</v>
      </c>
      <c r="AF54" s="71">
        <f t="shared" si="30"/>
        <v>83.27558597</v>
      </c>
      <c r="AG54" s="72">
        <f t="shared" si="46"/>
        <v>130.8377096</v>
      </c>
      <c r="AH54" s="193">
        <f t="shared" si="32"/>
        <v>13.348</v>
      </c>
      <c r="AI54" s="193">
        <f t="shared" si="33"/>
        <v>15.623</v>
      </c>
      <c r="AJ54" s="73">
        <f t="shared" si="34"/>
        <v>47.77541922</v>
      </c>
      <c r="AK54" s="73">
        <f t="shared" si="35"/>
        <v>11.91283385</v>
      </c>
      <c r="AM54" s="51">
        <f t="shared" si="36"/>
        <v>1416.672039</v>
      </c>
      <c r="AN54" s="51" t="str">
        <f t="array" ref="AN54">XLOOKUP(D54,RUC!$B$3:$B$565,RUC!$M$3:$M$565)</f>
        <v>Ronald Miranda</v>
      </c>
      <c r="AO54" s="131" t="s">
        <v>551</v>
      </c>
      <c r="AP54" s="141" t="s">
        <v>817</v>
      </c>
      <c r="AQ54" s="141" t="s">
        <v>818</v>
      </c>
    </row>
    <row r="55" ht="15.0" customHeight="1">
      <c r="A55" s="142" t="s">
        <v>821</v>
      </c>
      <c r="B55" s="182">
        <v>46130.0</v>
      </c>
      <c r="C55" s="182">
        <v>46123.0</v>
      </c>
      <c r="D55" s="2" t="s">
        <v>756</v>
      </c>
      <c r="E55" s="3" t="str">
        <f t="array" ref="E55">XLOOKUP(D55,RUC!$B$3:$B$110,RUC!$D$3:$D$110)</f>
        <v>20610807004*</v>
      </c>
      <c r="G55" s="141">
        <v>27.0</v>
      </c>
      <c r="H55" s="3" t="s">
        <v>339</v>
      </c>
      <c r="I55" s="6">
        <v>2.38</v>
      </c>
      <c r="J55" s="58">
        <v>13.2</v>
      </c>
      <c r="K55" s="6">
        <f t="shared" si="23"/>
        <v>2.066</v>
      </c>
      <c r="L55" s="60">
        <v>0.327</v>
      </c>
      <c r="M55" s="60">
        <f t="shared" si="48"/>
        <v>0.307</v>
      </c>
      <c r="N55" s="62">
        <f t="shared" si="37"/>
        <v>0.307</v>
      </c>
      <c r="O55" s="60">
        <f t="shared" si="25"/>
        <v>0.307</v>
      </c>
      <c r="P55" s="63">
        <v>90.0</v>
      </c>
      <c r="Q55" s="58">
        <v>92.66</v>
      </c>
      <c r="R55" s="65">
        <v>4773.75</v>
      </c>
      <c r="S55" s="66">
        <f t="array" ref="S55">IF((XLOOKUP(D55,RUC!$B$3:$B$106,RUC!$E$3:$E$106)+ROUNDDOWN(O55,1)*100)&lt;95,95,((XLOOKUP(D55,RUC!$B$3:$B$106,RUC!$E$3:$E$106)+ROUNDDOWN(O55,1)*100)))</f>
        <v>115</v>
      </c>
      <c r="U55" s="67">
        <f t="array" ref="U55">XLOOKUP(D55,RUC!$B$3:$B$110,RUC!$F$3:$F$110)</f>
        <v>120</v>
      </c>
      <c r="V55" s="67">
        <v>1.1023</v>
      </c>
      <c r="Y55" s="57">
        <f t="array" ref="Y55">XLOOKUP(D55,RUC!$B$3:$B$110,RUC!$G$3:$G$110)</f>
        <v>20</v>
      </c>
      <c r="Z55" s="140">
        <v>35.0</v>
      </c>
      <c r="AA55" s="70">
        <f t="shared" si="26"/>
        <v>55</v>
      </c>
      <c r="AB55" s="71">
        <f t="shared" si="45"/>
        <v>1229.980649</v>
      </c>
      <c r="AC55" s="71">
        <f>+(S55-T55)*V55-'data 1'!$F$4</f>
        <v>46.7645</v>
      </c>
      <c r="AD55" s="71">
        <f t="shared" si="28"/>
        <v>44.62027535</v>
      </c>
      <c r="AE55" s="71">
        <f t="shared" si="29"/>
        <v>-9.3735</v>
      </c>
      <c r="AF55" s="71">
        <f t="shared" si="30"/>
        <v>95.06598408</v>
      </c>
      <c r="AG55" s="72">
        <f t="shared" si="46"/>
        <v>194.0772594</v>
      </c>
      <c r="AH55" s="193">
        <f t="shared" si="32"/>
        <v>21.462</v>
      </c>
      <c r="AI55" s="193">
        <f t="shared" si="33"/>
        <v>23.163</v>
      </c>
      <c r="AJ55" s="73">
        <f t="shared" si="34"/>
        <v>82.24624803</v>
      </c>
      <c r="AK55" s="73">
        <f t="shared" si="35"/>
        <v>19.57132692</v>
      </c>
      <c r="AM55" s="51">
        <f t="shared" si="36"/>
        <v>2541.140021</v>
      </c>
      <c r="AN55" s="51" t="str">
        <f t="array" ref="AN55">XLOOKUP(D55,RUC!$B$3:$B$565,RUC!$M$3:$M$565)</f>
        <v>Ronald Miranda</v>
      </c>
      <c r="AO55" s="131" t="s">
        <v>547</v>
      </c>
      <c r="AP55" s="141" t="s">
        <v>817</v>
      </c>
      <c r="AQ55" s="141" t="s">
        <v>818</v>
      </c>
    </row>
    <row r="56" ht="15.0" customHeight="1">
      <c r="A56" s="142" t="s">
        <v>822</v>
      </c>
      <c r="B56" s="182">
        <v>46130.0</v>
      </c>
      <c r="C56" s="182">
        <v>46123.0</v>
      </c>
      <c r="D56" s="2" t="s">
        <v>756</v>
      </c>
      <c r="E56" s="3" t="str">
        <f t="array" ref="E56">XLOOKUP(D56,RUC!$B$3:$B$110,RUC!$D$3:$D$110)</f>
        <v>20610807004*</v>
      </c>
      <c r="G56" s="141">
        <v>25.0</v>
      </c>
      <c r="H56" s="3" t="s">
        <v>339</v>
      </c>
      <c r="I56" s="6">
        <v>2.45</v>
      </c>
      <c r="J56" s="58">
        <v>9.5</v>
      </c>
      <c r="K56" s="6">
        <f t="shared" si="23"/>
        <v>2.217</v>
      </c>
      <c r="L56" s="60">
        <v>0.353</v>
      </c>
      <c r="M56" s="60">
        <f t="shared" si="48"/>
        <v>0.332</v>
      </c>
      <c r="N56" s="62">
        <f t="shared" si="37"/>
        <v>0.332</v>
      </c>
      <c r="O56" s="60">
        <f t="shared" si="25"/>
        <v>0.332</v>
      </c>
      <c r="P56" s="63">
        <v>90.0</v>
      </c>
      <c r="Q56" s="58">
        <v>93.2</v>
      </c>
      <c r="R56" s="65">
        <v>4773.75</v>
      </c>
      <c r="S56" s="66">
        <f t="array" ref="S56">IF((XLOOKUP(D56,RUC!$B$3:$B$106,RUC!$E$3:$E$106)+ROUNDDOWN(O56,1)*100)&lt;95,95,((XLOOKUP(D56,RUC!$B$3:$B$106,RUC!$E$3:$E$106)+ROUNDDOWN(O56,1)*100)))</f>
        <v>115</v>
      </c>
      <c r="U56" s="67">
        <f t="array" ref="U56">XLOOKUP(D56,RUC!$B$3:$B$110,RUC!$F$3:$F$110)</f>
        <v>120</v>
      </c>
      <c r="V56" s="67">
        <v>1.1023</v>
      </c>
      <c r="Y56" s="57">
        <f t="array" ref="Y56">XLOOKUP(D56,RUC!$B$3:$B$110,RUC!$G$3:$G$110)</f>
        <v>20</v>
      </c>
      <c r="Z56" s="140">
        <v>35.0</v>
      </c>
      <c r="AA56" s="70">
        <f t="shared" si="26"/>
        <v>55</v>
      </c>
      <c r="AB56" s="71">
        <f t="shared" si="45"/>
        <v>1345.401793</v>
      </c>
      <c r="AC56" s="71">
        <f>+(S56-T56)*V56-'data 1'!$F$4</f>
        <v>46.7645</v>
      </c>
      <c r="AD56" s="71">
        <f t="shared" si="28"/>
        <v>57.94654415</v>
      </c>
      <c r="AE56" s="71">
        <f t="shared" si="29"/>
        <v>-9.3735</v>
      </c>
      <c r="AF56" s="71">
        <f t="shared" si="30"/>
        <v>100.4010058</v>
      </c>
      <c r="AG56" s="72">
        <f t="shared" si="46"/>
        <v>212.73855</v>
      </c>
      <c r="AH56" s="193">
        <f t="shared" si="32"/>
        <v>25.007</v>
      </c>
      <c r="AI56" s="193">
        <f t="shared" si="33"/>
        <v>26.832</v>
      </c>
      <c r="AJ56" s="73">
        <f t="shared" si="34"/>
        <v>89.30312661</v>
      </c>
      <c r="AK56" s="73">
        <f t="shared" si="35"/>
        <v>22.71199875</v>
      </c>
      <c r="AM56" s="51">
        <f t="shared" si="36"/>
        <v>2982.755775</v>
      </c>
      <c r="AN56" s="51" t="str">
        <f t="array" ref="AN56">XLOOKUP(D56,RUC!$B$3:$B$565,RUC!$M$3:$M$565)</f>
        <v>Ronald Miranda</v>
      </c>
      <c r="AO56" s="131" t="s">
        <v>551</v>
      </c>
      <c r="AP56" s="141" t="s">
        <v>817</v>
      </c>
      <c r="AQ56" s="141" t="s">
        <v>818</v>
      </c>
    </row>
    <row r="57" ht="15.0" customHeight="1">
      <c r="A57" s="142" t="s">
        <v>823</v>
      </c>
      <c r="B57" s="182">
        <v>46132.0</v>
      </c>
      <c r="C57" s="182">
        <v>46123.0</v>
      </c>
      <c r="D57" s="2" t="s">
        <v>756</v>
      </c>
      <c r="E57" s="3" t="str">
        <f t="array" ref="E57">XLOOKUP(D57,RUC!$B$3:$B$110,RUC!$D$3:$D$110)</f>
        <v>20610807004*</v>
      </c>
      <c r="G57" s="141">
        <v>25.0</v>
      </c>
      <c r="H57" s="3" t="s">
        <v>339</v>
      </c>
      <c r="I57" s="6">
        <v>1.89</v>
      </c>
      <c r="J57" s="58">
        <v>5.95</v>
      </c>
      <c r="K57" s="6">
        <f t="shared" si="23"/>
        <v>1.778</v>
      </c>
      <c r="L57" s="60">
        <v>0.227</v>
      </c>
      <c r="M57" s="60">
        <f t="shared" si="48"/>
        <v>0.208</v>
      </c>
      <c r="N57" s="62">
        <f t="shared" si="37"/>
        <v>0.208</v>
      </c>
      <c r="O57" s="60">
        <f t="shared" si="25"/>
        <v>0.208</v>
      </c>
      <c r="P57" s="63">
        <v>80.0</v>
      </c>
      <c r="Q57" s="130">
        <v>81.94</v>
      </c>
      <c r="R57" s="65">
        <v>4773.75</v>
      </c>
      <c r="S57" s="66">
        <f t="array" ref="S57">IF((XLOOKUP(D57,RUC!$B$3:$B$106,RUC!$E$3:$E$106)+ROUNDDOWN(O57,1)*100)&lt;95,95,((XLOOKUP(D57,RUC!$B$3:$B$106,RUC!$E$3:$E$106)+ROUNDDOWN(O57,1)*100)))</f>
        <v>105</v>
      </c>
      <c r="U57" s="67">
        <f t="array" ref="U57">XLOOKUP(D57,RUC!$B$3:$B$110,RUC!$F$3:$F$110)</f>
        <v>120</v>
      </c>
      <c r="V57" s="67">
        <v>1.1023</v>
      </c>
      <c r="Y57" s="57">
        <f t="array" ref="Y57">XLOOKUP(D57,RUC!$B$3:$B$110,RUC!$G$3:$G$110)</f>
        <v>20</v>
      </c>
      <c r="Z57" s="140">
        <v>35.0</v>
      </c>
      <c r="AA57" s="70">
        <f t="shared" si="26"/>
        <v>55</v>
      </c>
      <c r="AB57" s="71">
        <f t="shared" si="45"/>
        <v>677.2354832</v>
      </c>
      <c r="AC57" s="71">
        <f>+(S57-T57)*V57-'data 1'!$F$4</f>
        <v>35.7415</v>
      </c>
      <c r="AD57" s="71">
        <f t="shared" si="28"/>
        <v>22.5907393</v>
      </c>
      <c r="AE57" s="71">
        <f t="shared" si="29"/>
        <v>-9.3735</v>
      </c>
      <c r="AF57" s="71">
        <f t="shared" si="30"/>
        <v>79.86424993</v>
      </c>
      <c r="AG57" s="72">
        <f t="shared" si="46"/>
        <v>145.8229892</v>
      </c>
      <c r="AH57" s="193">
        <f t="shared" si="32"/>
        <v>11.339</v>
      </c>
      <c r="AI57" s="193">
        <f t="shared" si="33"/>
        <v>13.838</v>
      </c>
      <c r="AJ57" s="73">
        <f t="shared" si="34"/>
        <v>50.48912723</v>
      </c>
      <c r="AK57" s="73">
        <f t="shared" si="35"/>
        <v>10.14364748</v>
      </c>
      <c r="AM57" s="51">
        <f t="shared" si="36"/>
        <v>1204.124689</v>
      </c>
      <c r="AN57" s="51" t="str">
        <f t="array" ref="AN57">XLOOKUP(D57,RUC!$B$3:$B$565,RUC!$M$3:$M$565)</f>
        <v>Ronald Miranda</v>
      </c>
      <c r="AO57" s="131" t="s">
        <v>551</v>
      </c>
      <c r="AP57" s="141" t="s">
        <v>817</v>
      </c>
      <c r="AQ57" s="141" t="s">
        <v>818</v>
      </c>
      <c r="AR57" s="57" t="s">
        <v>824</v>
      </c>
    </row>
    <row r="58" ht="15.0" customHeight="1">
      <c r="A58" s="142" t="s">
        <v>825</v>
      </c>
      <c r="B58" s="182">
        <v>46132.0</v>
      </c>
      <c r="C58" s="182">
        <v>46123.0</v>
      </c>
      <c r="D58" s="2" t="s">
        <v>756</v>
      </c>
      <c r="E58" s="3" t="str">
        <f t="array" ref="E58">XLOOKUP(D58,RUC!$B$3:$B$110,RUC!$D$3:$D$110)</f>
        <v>20610807004*</v>
      </c>
      <c r="G58" s="141">
        <v>25.0</v>
      </c>
      <c r="H58" s="3" t="s">
        <v>339</v>
      </c>
      <c r="I58" s="6">
        <v>1.9</v>
      </c>
      <c r="J58" s="58">
        <v>2.7</v>
      </c>
      <c r="K58" s="6">
        <f t="shared" si="23"/>
        <v>1.849</v>
      </c>
      <c r="L58" s="60">
        <v>0.274</v>
      </c>
      <c r="M58" s="60">
        <f t="shared" si="48"/>
        <v>0.255</v>
      </c>
      <c r="N58" s="62">
        <f t="shared" si="37"/>
        <v>0.255</v>
      </c>
      <c r="O58" s="60">
        <f t="shared" si="25"/>
        <v>0.255</v>
      </c>
      <c r="P58" s="63">
        <v>85.0</v>
      </c>
      <c r="Q58" s="130">
        <v>86.5</v>
      </c>
      <c r="R58" s="65">
        <v>4773.75</v>
      </c>
      <c r="S58" s="66">
        <f t="array" ref="S58">IF((XLOOKUP(D58,RUC!$B$3:$B$106,RUC!$E$3:$E$106)+ROUNDDOWN(O58,1)*100)&lt;95,95,((XLOOKUP(D58,RUC!$B$3:$B$106,RUC!$E$3:$E$106)+ROUNDDOWN(O58,1)*100)))</f>
        <v>105</v>
      </c>
      <c r="U58" s="67">
        <f t="array" ref="U58">XLOOKUP(D58,RUC!$B$3:$B$110,RUC!$F$3:$F$110)</f>
        <v>120</v>
      </c>
      <c r="V58" s="67">
        <v>1.1023</v>
      </c>
      <c r="Y58" s="57">
        <f t="array" ref="Y58">XLOOKUP(D58,RUC!$B$3:$B$110,RUC!$G$3:$G$110)</f>
        <v>20</v>
      </c>
      <c r="Z58" s="140">
        <v>35.0</v>
      </c>
      <c r="AA58" s="70">
        <f t="shared" si="26"/>
        <v>55</v>
      </c>
      <c r="AB58" s="71">
        <f t="shared" si="45"/>
        <v>935.5223545</v>
      </c>
      <c r="AC58" s="71">
        <f>+(S58-T58)*V58-'data 1'!$F$4</f>
        <v>35.7415</v>
      </c>
      <c r="AD58" s="71">
        <f t="shared" si="28"/>
        <v>21.08359565</v>
      </c>
      <c r="AE58" s="71">
        <f t="shared" si="29"/>
        <v>-9.3735</v>
      </c>
      <c r="AF58" s="71">
        <f t="shared" si="30"/>
        <v>84.30873345</v>
      </c>
      <c r="AG58" s="72">
        <f t="shared" si="46"/>
        <v>148.7603291</v>
      </c>
      <c r="AH58" s="193">
        <f t="shared" si="32"/>
        <v>15.025</v>
      </c>
      <c r="AI58" s="193">
        <f t="shared" si="33"/>
        <v>17.37</v>
      </c>
      <c r="AJ58" s="73">
        <f t="shared" si="34"/>
        <v>64.33432029</v>
      </c>
      <c r="AK58" s="73">
        <f t="shared" si="35"/>
        <v>13.74058068</v>
      </c>
      <c r="AM58" s="51">
        <f t="shared" si="36"/>
        <v>1729.780833</v>
      </c>
      <c r="AN58" s="51" t="str">
        <f t="array" ref="AN58">XLOOKUP(D58,RUC!$B$3:$B$565,RUC!$M$3:$M$565)</f>
        <v>Ronald Miranda</v>
      </c>
      <c r="AO58" s="131" t="s">
        <v>551</v>
      </c>
      <c r="AP58" s="141" t="s">
        <v>817</v>
      </c>
      <c r="AQ58" s="141" t="s">
        <v>818</v>
      </c>
      <c r="AR58" s="2" t="s">
        <v>826</v>
      </c>
    </row>
    <row r="59" ht="15.0" customHeight="1">
      <c r="A59" s="142" t="s">
        <v>827</v>
      </c>
      <c r="B59" s="182">
        <v>46132.0</v>
      </c>
      <c r="C59" s="182">
        <v>46123.0</v>
      </c>
      <c r="D59" s="2" t="s">
        <v>756</v>
      </c>
      <c r="E59" s="3" t="str">
        <f t="array" ref="E59">XLOOKUP(D59,RUC!$B$3:$B$110,RUC!$D$3:$D$110)</f>
        <v>20610807004*</v>
      </c>
      <c r="G59" s="141">
        <v>25.0</v>
      </c>
      <c r="H59" s="3" t="s">
        <v>339</v>
      </c>
      <c r="I59" s="6">
        <v>1.88</v>
      </c>
      <c r="J59" s="58">
        <v>4.9</v>
      </c>
      <c r="K59" s="6">
        <f t="shared" si="23"/>
        <v>1.788</v>
      </c>
      <c r="L59" s="60">
        <v>0.192</v>
      </c>
      <c r="M59" s="60">
        <f t="shared" si="48"/>
        <v>0.173</v>
      </c>
      <c r="N59" s="62">
        <f t="shared" si="37"/>
        <v>0.173</v>
      </c>
      <c r="O59" s="60">
        <f t="shared" si="25"/>
        <v>0.173</v>
      </c>
      <c r="P59" s="63">
        <v>83.0</v>
      </c>
      <c r="Q59" s="130">
        <v>84.9</v>
      </c>
      <c r="R59" s="65">
        <v>4773.75</v>
      </c>
      <c r="S59" s="66">
        <f t="array" ref="S59">IF((XLOOKUP(D59,RUC!$B$3:$B$106,RUC!$E$3:$E$106)+ROUNDDOWN(O59,1)*100)&lt;95,95,((XLOOKUP(D59,RUC!$B$3:$B$106,RUC!$E$3:$E$106)+ROUNDDOWN(O59,1)*100)))</f>
        <v>95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140">
        <v>35.0</v>
      </c>
      <c r="AA59" s="70">
        <f t="shared" si="26"/>
        <v>55</v>
      </c>
      <c r="AB59" s="71">
        <f t="shared" si="45"/>
        <v>571.2470923</v>
      </c>
      <c r="AC59" s="71">
        <f>+(S59-T59)*V59-'data 1'!$F$4</f>
        <v>24.7185</v>
      </c>
      <c r="AD59" s="71">
        <f t="shared" si="28"/>
        <v>18.71361482</v>
      </c>
      <c r="AE59" s="71">
        <f t="shared" si="29"/>
        <v>-9.3735</v>
      </c>
      <c r="AF59" s="71">
        <f t="shared" si="30"/>
        <v>82.74926555</v>
      </c>
      <c r="AG59" s="72">
        <f t="shared" si="46"/>
        <v>133.8078804</v>
      </c>
      <c r="AH59" s="193">
        <f t="shared" si="32"/>
        <v>9.993</v>
      </c>
      <c r="AI59" s="193">
        <f t="shared" si="33"/>
        <v>11.77</v>
      </c>
      <c r="AJ59" s="73">
        <f t="shared" si="34"/>
        <v>44.24711566</v>
      </c>
      <c r="AK59" s="73">
        <f t="shared" si="35"/>
        <v>8.8023935</v>
      </c>
      <c r="AM59" s="51">
        <f t="shared" si="36"/>
        <v>1021.389801</v>
      </c>
      <c r="AN59" s="51" t="str">
        <f t="array" ref="AN59">XLOOKUP(D59,RUC!$B$3:$B$565,RUC!$M$3:$M$565)</f>
        <v>Ronald Miranda</v>
      </c>
      <c r="AO59" s="131" t="s">
        <v>551</v>
      </c>
      <c r="AP59" s="141" t="s">
        <v>817</v>
      </c>
      <c r="AQ59" s="141" t="s">
        <v>818</v>
      </c>
      <c r="AR59" s="2" t="s">
        <v>824</v>
      </c>
    </row>
    <row r="60" ht="15.0" customHeight="1">
      <c r="A60" s="142" t="s">
        <v>828</v>
      </c>
      <c r="B60" s="182">
        <v>46132.0</v>
      </c>
      <c r="C60" s="182">
        <v>46123.0</v>
      </c>
      <c r="D60" s="2" t="s">
        <v>756</v>
      </c>
      <c r="E60" s="3" t="str">
        <f t="array" ref="E60">XLOOKUP(D60,RUC!$B$3:$B$110,RUC!$D$3:$D$110)</f>
        <v>20610807004*</v>
      </c>
      <c r="G60" s="141">
        <v>25.0</v>
      </c>
      <c r="H60" s="3" t="s">
        <v>339</v>
      </c>
      <c r="I60" s="6">
        <v>1.89</v>
      </c>
      <c r="J60" s="58">
        <v>4.1</v>
      </c>
      <c r="K60" s="6">
        <f t="shared" si="23"/>
        <v>1.813</v>
      </c>
      <c r="L60" s="60">
        <v>0.297</v>
      </c>
      <c r="M60" s="60">
        <f t="shared" si="48"/>
        <v>0.278</v>
      </c>
      <c r="N60" s="62">
        <f t="shared" si="37"/>
        <v>0.278</v>
      </c>
      <c r="O60" s="60">
        <f t="shared" si="25"/>
        <v>0.278</v>
      </c>
      <c r="P60" s="63">
        <v>85.0</v>
      </c>
      <c r="Q60" s="130">
        <v>86.2</v>
      </c>
      <c r="R60" s="65">
        <v>4773.75</v>
      </c>
      <c r="S60" s="66">
        <f t="array" ref="S60">IF((XLOOKUP(D60,RUC!$B$3:$B$106,RUC!$E$3:$E$106)+ROUNDDOWN(O60,1)*100)&lt;95,95,((XLOOKUP(D60,RUC!$B$3:$B$106,RUC!$E$3:$E$106)+ROUNDDOWN(O60,1)*100)))</f>
        <v>105</v>
      </c>
      <c r="U60" s="67">
        <f t="array" ref="U60">XLOOKUP(D60,RUC!$B$3:$B$110,RUC!$F$3:$F$110)</f>
        <v>120</v>
      </c>
      <c r="V60" s="67">
        <v>1.1023</v>
      </c>
      <c r="Y60" s="57">
        <f t="array" ref="Y60">XLOOKUP(D60,RUC!$B$3:$B$110,RUC!$G$3:$G$110)</f>
        <v>20</v>
      </c>
      <c r="Z60" s="140">
        <v>35.0</v>
      </c>
      <c r="AA60" s="70">
        <f t="shared" si="26"/>
        <v>55</v>
      </c>
      <c r="AB60" s="71">
        <f t="shared" si="45"/>
        <v>1035.810504</v>
      </c>
      <c r="AC60" s="71">
        <f>+(S60-T60)*V60-'data 1'!$F$4</f>
        <v>35.7415</v>
      </c>
      <c r="AD60" s="71">
        <f t="shared" si="28"/>
        <v>18.28270922</v>
      </c>
      <c r="AE60" s="71">
        <f t="shared" si="29"/>
        <v>-9.3735</v>
      </c>
      <c r="AF60" s="71">
        <f t="shared" si="30"/>
        <v>84.01633322</v>
      </c>
      <c r="AG60" s="72">
        <f t="shared" si="46"/>
        <v>145.6670424</v>
      </c>
      <c r="AH60" s="193">
        <f t="shared" si="32"/>
        <v>15.914</v>
      </c>
      <c r="AI60" s="193">
        <f t="shared" si="33"/>
        <v>18.461</v>
      </c>
      <c r="AJ60" s="73">
        <f t="shared" si="34"/>
        <v>69.49279218</v>
      </c>
      <c r="AK60" s="73">
        <f t="shared" si="35"/>
        <v>14.68826824</v>
      </c>
      <c r="AM60" s="51">
        <f t="shared" si="36"/>
        <v>1877.924444</v>
      </c>
      <c r="AN60" s="51" t="str">
        <f t="array" ref="AN60">XLOOKUP(D60,RUC!$B$3:$B$565,RUC!$M$3:$M$565)</f>
        <v>Ronald Miranda</v>
      </c>
      <c r="AO60" s="131" t="s">
        <v>551</v>
      </c>
      <c r="AP60" s="141" t="s">
        <v>817</v>
      </c>
      <c r="AQ60" s="141" t="s">
        <v>818</v>
      </c>
      <c r="AR60" s="2" t="s">
        <v>826</v>
      </c>
    </row>
    <row r="61" ht="15.0" customHeight="1">
      <c r="A61" s="142" t="s">
        <v>829</v>
      </c>
      <c r="B61" s="182">
        <v>46132.0</v>
      </c>
      <c r="C61" s="182">
        <v>46123.0</v>
      </c>
      <c r="D61" s="2" t="s">
        <v>756</v>
      </c>
      <c r="E61" s="3" t="str">
        <f t="array" ref="E61">XLOOKUP(D61,RUC!$B$3:$B$110,RUC!$D$3:$D$110)</f>
        <v>20610807004*</v>
      </c>
      <c r="G61" s="141">
        <v>25.0</v>
      </c>
      <c r="H61" s="3" t="s">
        <v>339</v>
      </c>
      <c r="I61" s="6">
        <v>2.23</v>
      </c>
      <c r="J61" s="58">
        <v>13.8</v>
      </c>
      <c r="K61" s="6">
        <f t="shared" si="23"/>
        <v>1.922</v>
      </c>
      <c r="L61" s="60">
        <v>0.255</v>
      </c>
      <c r="M61" s="60">
        <v>0.253</v>
      </c>
      <c r="N61" s="62">
        <f t="shared" si="37"/>
        <v>0.253</v>
      </c>
      <c r="O61" s="60">
        <f t="shared" si="25"/>
        <v>0.253</v>
      </c>
      <c r="P61" s="63">
        <v>90.0</v>
      </c>
      <c r="Q61" s="58">
        <v>95.22</v>
      </c>
      <c r="R61" s="65">
        <v>4773.75</v>
      </c>
      <c r="S61" s="66">
        <f t="array" ref="S61">IF((XLOOKUP(D61,RUC!$B$3:$B$106,RUC!$E$3:$E$106)+ROUNDDOWN(O61,1)*100)&lt;95,95,((XLOOKUP(D61,RUC!$B$3:$B$106,RUC!$E$3:$E$106)+ROUNDDOWN(O61,1)*100)))</f>
        <v>105</v>
      </c>
      <c r="U61" s="67">
        <f t="array" ref="U61">XLOOKUP(D61,RUC!$B$3:$B$110,RUC!$F$3:$F$110)</f>
        <v>120</v>
      </c>
      <c r="V61" s="67">
        <v>1.1023</v>
      </c>
      <c r="Y61" s="57">
        <f t="array" ref="Y61">XLOOKUP(D61,RUC!$B$3:$B$110,RUC!$G$3:$G$110)</f>
        <v>20</v>
      </c>
      <c r="Z61" s="140">
        <v>35.0</v>
      </c>
      <c r="AA61" s="70">
        <f t="shared" si="26"/>
        <v>55</v>
      </c>
      <c r="AB61" s="71">
        <f t="shared" si="45"/>
        <v>991.6939779</v>
      </c>
      <c r="AC61" s="71">
        <f>+(S61-T61)*V61-'data 1'!$F$4</f>
        <v>35.7415</v>
      </c>
      <c r="AD61" s="71">
        <f t="shared" si="28"/>
        <v>68.28314883</v>
      </c>
      <c r="AE61" s="71">
        <f t="shared" si="29"/>
        <v>-9.3735</v>
      </c>
      <c r="AF61" s="71">
        <f t="shared" si="30"/>
        <v>9.769245633</v>
      </c>
      <c r="AG61" s="72">
        <f t="shared" si="46"/>
        <v>121.4203945</v>
      </c>
      <c r="AH61" s="193">
        <f t="shared" si="32"/>
        <v>16</v>
      </c>
      <c r="AI61" s="193">
        <f t="shared" si="33"/>
        <v>16.804</v>
      </c>
      <c r="AJ61" s="73">
        <f t="shared" si="34"/>
        <v>65.90895171</v>
      </c>
      <c r="AK61" s="73">
        <f t="shared" si="35"/>
        <v>15.00463665</v>
      </c>
      <c r="AM61" s="51">
        <f t="shared" si="36"/>
        <v>1906.035826</v>
      </c>
      <c r="AN61" s="51" t="str">
        <f t="array" ref="AN61">XLOOKUP(D61,RUC!$B$3:$B$565,RUC!$M$3:$M$565)</f>
        <v>Ronald Miranda</v>
      </c>
      <c r="AO61" s="131" t="s">
        <v>551</v>
      </c>
      <c r="AP61" s="141" t="s">
        <v>817</v>
      </c>
      <c r="AQ61" s="141" t="s">
        <v>818</v>
      </c>
    </row>
    <row r="62" ht="15.0" customHeight="1">
      <c r="A62" s="142" t="s">
        <v>830</v>
      </c>
      <c r="B62" s="182">
        <v>46132.0</v>
      </c>
      <c r="C62" s="182">
        <v>46123.0</v>
      </c>
      <c r="D62" s="2" t="s">
        <v>756</v>
      </c>
      <c r="E62" s="3" t="str">
        <f t="array" ref="E62">XLOOKUP(D62,RUC!$B$3:$B$110,RUC!$D$3:$D$110)</f>
        <v>20610807004*</v>
      </c>
      <c r="G62" s="141">
        <v>25.0</v>
      </c>
      <c r="H62" s="3" t="s">
        <v>47</v>
      </c>
      <c r="I62" s="6">
        <v>2.15</v>
      </c>
      <c r="J62" s="58">
        <v>15.2</v>
      </c>
      <c r="K62" s="6">
        <f t="shared" si="23"/>
        <v>1.823</v>
      </c>
      <c r="L62" s="60">
        <v>0.354</v>
      </c>
      <c r="M62" s="60">
        <f>ROUND(+IF(AN62="Melchor Vera",IF(L62&gt;0.467,L62*0.985,(L62-0.007)),IF(L62&gt;0.3,L62*0.94,(L62-0.019))),3)</f>
        <v>0.333</v>
      </c>
      <c r="N62" s="62">
        <f t="shared" si="37"/>
        <v>0.333</v>
      </c>
      <c r="O62" s="60">
        <f t="shared" si="25"/>
        <v>0.333</v>
      </c>
      <c r="P62" s="63">
        <v>90.0</v>
      </c>
      <c r="Q62" s="58">
        <v>95.2</v>
      </c>
      <c r="R62" s="65">
        <v>4773.75</v>
      </c>
      <c r="S62" s="66">
        <f t="array" ref="S62">IF((XLOOKUP(D62,RUC!$B$3:$B$106,RUC!$E$3:$E$106)+ROUNDDOWN(O62,1)*100)&lt;95,95,((XLOOKUP(D62,RUC!$B$3:$B$106,RUC!$E$3:$E$106)+ROUNDDOWN(O62,1)*100)))</f>
        <v>115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140">
        <v>35.0</v>
      </c>
      <c r="AA62" s="70">
        <f t="shared" si="26"/>
        <v>55</v>
      </c>
      <c r="AB62" s="71">
        <f t="shared" si="45"/>
        <v>1350.018639</v>
      </c>
      <c r="AC62" s="71">
        <f>+(S62-T62)*V62-'data 1'!$F$4</f>
        <v>46.7645</v>
      </c>
      <c r="AD62" s="71">
        <f t="shared" si="28"/>
        <v>94.42988533</v>
      </c>
      <c r="AE62" s="71">
        <f t="shared" si="29"/>
        <v>-9.3735</v>
      </c>
      <c r="AF62" s="71">
        <f t="shared" si="30"/>
        <v>102.5555339</v>
      </c>
      <c r="AG62" s="72">
        <f t="shared" si="46"/>
        <v>251.3764192</v>
      </c>
      <c r="AH62" s="193">
        <f t="shared" si="32"/>
        <v>21.064</v>
      </c>
      <c r="AI62" s="193">
        <f t="shared" si="33"/>
        <v>22.126</v>
      </c>
      <c r="AJ62" s="73">
        <f t="shared" si="34"/>
        <v>91.47791491</v>
      </c>
      <c r="AK62" s="73">
        <f t="shared" si="35"/>
        <v>18.73192805</v>
      </c>
      <c r="AM62" s="51">
        <f t="shared" si="36"/>
        <v>2461.083979</v>
      </c>
      <c r="AN62" s="51" t="str">
        <f t="array" ref="AN62">XLOOKUP(D62,RUC!$B$3:$B$565,RUC!$M$3:$M$565)</f>
        <v>Ronald Miranda</v>
      </c>
      <c r="AO62" s="131" t="s">
        <v>551</v>
      </c>
      <c r="AP62" s="141" t="s">
        <v>817</v>
      </c>
      <c r="AQ62" s="141" t="s">
        <v>818</v>
      </c>
    </row>
    <row r="63" ht="15.0" customHeight="1">
      <c r="A63" s="142" t="s">
        <v>831</v>
      </c>
      <c r="B63" s="182">
        <v>46132.0</v>
      </c>
      <c r="C63" s="182">
        <v>46123.0</v>
      </c>
      <c r="D63" s="2" t="s">
        <v>756</v>
      </c>
      <c r="E63" s="3" t="str">
        <f t="array" ref="E63">XLOOKUP(D63,RUC!$B$3:$B$110,RUC!$D$3:$D$110)</f>
        <v>20610807004*</v>
      </c>
      <c r="G63" s="141">
        <v>27.0</v>
      </c>
      <c r="H63" s="3" t="s">
        <v>47</v>
      </c>
      <c r="I63" s="6">
        <v>2.31</v>
      </c>
      <c r="J63" s="58">
        <v>11.87</v>
      </c>
      <c r="K63" s="6">
        <f t="shared" si="23"/>
        <v>2.036</v>
      </c>
      <c r="L63" s="60">
        <v>0.312</v>
      </c>
      <c r="M63" s="60">
        <f>ROUND(+IF(AN63="Melchor Vera",IF(L63&gt;0.467,L63*0.985,(L63-0.007)),IF(L63&gt;0.3,L63*0.94,(L63-0.019))),3)-0.02</f>
        <v>0.273</v>
      </c>
      <c r="N63" s="62">
        <f t="shared" si="37"/>
        <v>0.273</v>
      </c>
      <c r="O63" s="60">
        <f t="shared" si="25"/>
        <v>0.273</v>
      </c>
      <c r="P63" s="63">
        <v>90.0</v>
      </c>
      <c r="Q63" s="58">
        <v>95.0</v>
      </c>
      <c r="R63" s="65">
        <v>4773.75</v>
      </c>
      <c r="S63" s="66">
        <f t="array" ref="S63">IF((XLOOKUP(D63,RUC!$B$3:$B$106,RUC!$E$3:$E$106)+ROUNDDOWN(O63,1)*100)&lt;95,95,((XLOOKUP(D63,RUC!$B$3:$B$106,RUC!$E$3:$E$106)+ROUNDDOWN(O63,1)*100)))</f>
        <v>105</v>
      </c>
      <c r="U63" s="67">
        <f t="array" ref="U63">XLOOKUP(D63,RUC!$B$3:$B$110,RUC!$F$3:$F$110)</f>
        <v>120</v>
      </c>
      <c r="V63" s="67">
        <v>1.1023</v>
      </c>
      <c r="Y63" s="57">
        <f t="array" ref="Y63">XLOOKUP(D63,RUC!$B$3:$B$110,RUC!$G$3:$G$110)</f>
        <v>20</v>
      </c>
      <c r="Z63" s="140">
        <v>35.0</v>
      </c>
      <c r="AA63" s="70">
        <f t="shared" si="26"/>
        <v>55</v>
      </c>
      <c r="AB63" s="71">
        <f t="shared" si="45"/>
        <v>1084.030893</v>
      </c>
      <c r="AC63" s="71">
        <f>+(S63-T63)*V63-'data 1'!$F$4</f>
        <v>35.7415</v>
      </c>
      <c r="AD63" s="71">
        <f t="shared" si="28"/>
        <v>80.02532655</v>
      </c>
      <c r="AE63" s="71">
        <f t="shared" si="29"/>
        <v>-9.3735</v>
      </c>
      <c r="AF63" s="71">
        <f t="shared" si="30"/>
        <v>190.0601506</v>
      </c>
      <c r="AG63" s="72">
        <f t="shared" si="46"/>
        <v>313.4534771</v>
      </c>
      <c r="AH63" s="193">
        <f t="shared" si="32"/>
        <v>20.69</v>
      </c>
      <c r="AI63" s="193">
        <f t="shared" si="33"/>
        <v>21.779</v>
      </c>
      <c r="AJ63" s="73">
        <f t="shared" si="34"/>
        <v>80.45522355</v>
      </c>
      <c r="AK63" s="73">
        <f t="shared" si="35"/>
        <v>17.1511008</v>
      </c>
      <c r="AM63" s="51">
        <f t="shared" si="36"/>
        <v>2207.086898</v>
      </c>
      <c r="AN63" s="51" t="str">
        <f t="array" ref="AN63">XLOOKUP(D63,RUC!$B$3:$B$565,RUC!$M$3:$M$565)</f>
        <v>Ronald Miranda</v>
      </c>
      <c r="AO63" s="131" t="s">
        <v>551</v>
      </c>
      <c r="AP63" s="141" t="s">
        <v>817</v>
      </c>
      <c r="AQ63" s="141" t="s">
        <v>818</v>
      </c>
    </row>
    <row r="64" ht="15.0" customHeight="1">
      <c r="A64" s="142" t="s">
        <v>832</v>
      </c>
      <c r="B64" s="182">
        <v>46132.0</v>
      </c>
      <c r="C64" s="182">
        <v>46123.0</v>
      </c>
      <c r="D64" s="2" t="s">
        <v>756</v>
      </c>
      <c r="E64" s="3" t="str">
        <f t="array" ref="E64">XLOOKUP(D64,RUC!$B$3:$B$110,RUC!$D$3:$D$110)</f>
        <v>20610807004*</v>
      </c>
      <c r="G64" s="141">
        <v>25.0</v>
      </c>
      <c r="H64" s="3" t="s">
        <v>47</v>
      </c>
      <c r="I64" s="6">
        <v>2.2</v>
      </c>
      <c r="J64" s="58">
        <v>14.35</v>
      </c>
      <c r="K64" s="6">
        <f t="shared" si="23"/>
        <v>1.884</v>
      </c>
      <c r="L64" s="60">
        <v>0.341</v>
      </c>
      <c r="M64" s="60">
        <f t="shared" ref="M64:M66" si="49">ROUND(+IF(AN64="Melchor Vera",IF(L64&gt;0.467,L64*0.985,(L64-0.007)),IF(L64&gt;0.3,L64*0.94,(L64-0.019))),3)</f>
        <v>0.321</v>
      </c>
      <c r="N64" s="62">
        <f t="shared" si="37"/>
        <v>0.321</v>
      </c>
      <c r="O64" s="60">
        <f t="shared" si="25"/>
        <v>0.321</v>
      </c>
      <c r="P64" s="63">
        <v>90.0</v>
      </c>
      <c r="Q64" s="58">
        <v>96.48</v>
      </c>
      <c r="R64" s="65">
        <v>4773.75</v>
      </c>
      <c r="S64" s="66">
        <f t="array" ref="S64">IF((XLOOKUP(D64,RUC!$B$3:$B$106,RUC!$E$3:$E$106)+ROUNDDOWN(O64,1)*100)&lt;95,95,((XLOOKUP(D64,RUC!$B$3:$B$106,RUC!$E$3:$E$106)+ROUNDDOWN(O64,1)*100)))</f>
        <v>115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140">
        <v>35.0</v>
      </c>
      <c r="AA64" s="70">
        <f t="shared" si="26"/>
        <v>55</v>
      </c>
      <c r="AB64" s="71">
        <f t="shared" si="45"/>
        <v>1294.61649</v>
      </c>
      <c r="AC64" s="71">
        <f>+(S64-T64)*V64-'data 1'!$F$4</f>
        <v>46.7645</v>
      </c>
      <c r="AD64" s="71">
        <f t="shared" si="28"/>
        <v>113.3527972</v>
      </c>
      <c r="AE64" s="71">
        <f t="shared" si="29"/>
        <v>-9.3735</v>
      </c>
      <c r="AF64" s="71">
        <f t="shared" si="30"/>
        <v>98.98517315</v>
      </c>
      <c r="AG64" s="72">
        <f t="shared" si="46"/>
        <v>266.7289703</v>
      </c>
      <c r="AH64" s="193">
        <f t="shared" si="32"/>
        <v>21.251</v>
      </c>
      <c r="AI64" s="193">
        <f t="shared" si="33"/>
        <v>22.026</v>
      </c>
      <c r="AJ64" s="73">
        <f t="shared" si="34"/>
        <v>89.30334376</v>
      </c>
      <c r="AK64" s="73">
        <f t="shared" si="35"/>
        <v>18.66111158</v>
      </c>
      <c r="AM64" s="51">
        <f t="shared" si="36"/>
        <v>2439.057467</v>
      </c>
      <c r="AN64" s="51" t="str">
        <f t="array" ref="AN64">XLOOKUP(D64,RUC!$B$3:$B$565,RUC!$M$3:$M$565)</f>
        <v>Ronald Miranda</v>
      </c>
      <c r="AO64" s="131" t="s">
        <v>547</v>
      </c>
      <c r="AP64" s="141" t="s">
        <v>817</v>
      </c>
      <c r="AQ64" s="141" t="s">
        <v>818</v>
      </c>
    </row>
    <row r="65" ht="15.0" customHeight="1">
      <c r="A65" s="142" t="s">
        <v>833</v>
      </c>
      <c r="B65" s="182">
        <v>46132.0</v>
      </c>
      <c r="C65" s="182">
        <v>46123.0</v>
      </c>
      <c r="D65" s="2" t="s">
        <v>756</v>
      </c>
      <c r="E65" s="3" t="str">
        <f t="array" ref="E65">XLOOKUP(D65,RUC!$B$3:$B$110,RUC!$D$3:$D$110)</f>
        <v>20610807004*</v>
      </c>
      <c r="G65" s="141">
        <v>25.0</v>
      </c>
      <c r="H65" s="3" t="s">
        <v>47</v>
      </c>
      <c r="I65" s="6">
        <v>2.12</v>
      </c>
      <c r="J65" s="58">
        <v>11.0</v>
      </c>
      <c r="K65" s="6">
        <f t="shared" si="23"/>
        <v>1.887</v>
      </c>
      <c r="L65" s="60">
        <v>0.325</v>
      </c>
      <c r="M65" s="60">
        <f t="shared" si="49"/>
        <v>0.306</v>
      </c>
      <c r="N65" s="62">
        <f t="shared" si="37"/>
        <v>0.306</v>
      </c>
      <c r="O65" s="60">
        <f t="shared" si="25"/>
        <v>0.306</v>
      </c>
      <c r="P65" s="63">
        <v>90.0</v>
      </c>
      <c r="Q65" s="58">
        <v>95.08</v>
      </c>
      <c r="R65" s="65">
        <v>4773.75</v>
      </c>
      <c r="S65" s="66">
        <f t="array" ref="S65">IF((XLOOKUP(D65,RUC!$B$3:$B$106,RUC!$E$3:$E$106)+ROUNDDOWN(O65,1)*100)&lt;95,95,((XLOOKUP(D65,RUC!$B$3:$B$106,RUC!$E$3:$E$106)+ROUNDDOWN(O65,1)*100)))</f>
        <v>115</v>
      </c>
      <c r="U65" s="67">
        <f t="array" ref="U65">XLOOKUP(D65,RUC!$B$3:$B$110,RUC!$F$3:$F$110)</f>
        <v>120</v>
      </c>
      <c r="V65" s="67">
        <v>1.1023</v>
      </c>
      <c r="Y65" s="57">
        <f t="array" ref="Y65">XLOOKUP(D65,RUC!$B$3:$B$110,RUC!$G$3:$G$110)</f>
        <v>20</v>
      </c>
      <c r="Z65" s="140">
        <v>35.0</v>
      </c>
      <c r="AA65" s="70">
        <f t="shared" si="26"/>
        <v>55</v>
      </c>
      <c r="AB65" s="71">
        <f t="shared" si="45"/>
        <v>1225.363803</v>
      </c>
      <c r="AC65" s="71">
        <f>+(S65-T65)*V65-'data 1'!$F$4</f>
        <v>46.7645</v>
      </c>
      <c r="AD65" s="71">
        <f t="shared" si="28"/>
        <v>84.6934706</v>
      </c>
      <c r="AE65" s="71">
        <f t="shared" si="29"/>
        <v>-9.3735</v>
      </c>
      <c r="AF65" s="71">
        <f t="shared" si="30"/>
        <v>92.67138008</v>
      </c>
      <c r="AG65" s="72">
        <f t="shared" si="46"/>
        <v>231.7558507</v>
      </c>
      <c r="AH65" s="193">
        <f t="shared" si="32"/>
        <v>19.992</v>
      </c>
      <c r="AI65" s="193">
        <f t="shared" si="33"/>
        <v>21.026</v>
      </c>
      <c r="AJ65" s="73">
        <f t="shared" si="34"/>
        <v>83.87809929</v>
      </c>
      <c r="AK65" s="73">
        <f t="shared" si="35"/>
        <v>17.8174236</v>
      </c>
      <c r="AM65" s="51">
        <f t="shared" si="36"/>
        <v>2312.261497</v>
      </c>
      <c r="AN65" s="51" t="str">
        <f t="array" ref="AN65">XLOOKUP(D65,RUC!$B$3:$B$565,RUC!$M$3:$M$565)</f>
        <v>Ronald Miranda</v>
      </c>
      <c r="AO65" s="131" t="s">
        <v>547</v>
      </c>
      <c r="AP65" s="141" t="s">
        <v>817</v>
      </c>
      <c r="AQ65" s="141" t="s">
        <v>818</v>
      </c>
    </row>
    <row r="66" ht="15.0" customHeight="1">
      <c r="A66" s="202" t="s">
        <v>834</v>
      </c>
      <c r="B66" s="182">
        <v>46130.0</v>
      </c>
      <c r="C66" s="182">
        <v>46123.0</v>
      </c>
      <c r="D66" s="2" t="s">
        <v>835</v>
      </c>
      <c r="E66" s="3" t="str">
        <f t="array" ref="E66">XLOOKUP(D66,RUC!$B$3:$B$110,RUC!$D$3:$D$110)</f>
        <v>10486077447,</v>
      </c>
      <c r="G66" s="141">
        <v>19.0</v>
      </c>
      <c r="H66" s="3" t="s">
        <v>47</v>
      </c>
      <c r="I66" s="6">
        <v>1.85</v>
      </c>
      <c r="J66" s="58">
        <v>2.0</v>
      </c>
      <c r="K66" s="6">
        <f t="shared" si="23"/>
        <v>1.813</v>
      </c>
      <c r="L66" s="60">
        <v>0.195</v>
      </c>
      <c r="M66" s="60">
        <f t="shared" si="49"/>
        <v>0.176</v>
      </c>
      <c r="N66" s="75">
        <v>0.214</v>
      </c>
      <c r="O66" s="60">
        <f t="shared" si="25"/>
        <v>0.195</v>
      </c>
      <c r="P66" s="63">
        <v>85.0</v>
      </c>
      <c r="Q66" s="58">
        <v>98.97</v>
      </c>
      <c r="R66" s="65">
        <v>4773.75</v>
      </c>
      <c r="S66" s="66">
        <f t="array" ref="S66">IF((XLOOKUP(D66,RUC!$B$3:$B$106,RUC!$E$3:$E$106)+ROUNDDOWN(O66,1)*100)&lt;95,95,((XLOOKUP(D66,RUC!$B$3:$B$106,RUC!$E$3:$E$106)+ROUNDDOWN(O66,1)*100)))</f>
        <v>100</v>
      </c>
      <c r="U66" s="67">
        <f t="array" ref="U66">XLOOKUP(D66,RUC!$B$3:$B$110,RUC!$F$3:$F$110)</f>
        <v>120</v>
      </c>
      <c r="V66" s="67">
        <v>1.1023</v>
      </c>
      <c r="Y66" s="57">
        <f t="array" ref="Y66">XLOOKUP(D66,RUC!$B$3:$B$110,RUC!$G$3:$G$110)</f>
        <v>20</v>
      </c>
      <c r="Z66" s="69">
        <f t="array" ref="Z66">XLOOKUP(D66,RUC!$B$3:$B$110,RUC!$H$3:$H$110)</f>
        <v>30</v>
      </c>
      <c r="AA66" s="70">
        <f t="shared" si="26"/>
        <v>50</v>
      </c>
      <c r="AB66" s="71">
        <f t="shared" si="45"/>
        <v>684.9240946</v>
      </c>
      <c r="AC66" s="71">
        <f>+(S66-T66)*V66-'data 1'!$F$4</f>
        <v>30.23</v>
      </c>
      <c r="AD66" s="71">
        <f t="shared" si="28"/>
        <v>139.7442265</v>
      </c>
      <c r="AE66" s="71">
        <f t="shared" si="29"/>
        <v>-14.885</v>
      </c>
      <c r="AF66" s="71">
        <f t="shared" si="30"/>
        <v>0</v>
      </c>
      <c r="AG66" s="72">
        <f t="shared" si="46"/>
        <v>172.0892265</v>
      </c>
      <c r="AH66" s="193">
        <f t="shared" si="32"/>
        <v>11.996</v>
      </c>
      <c r="AI66" s="193">
        <f t="shared" si="33"/>
        <v>12.121</v>
      </c>
      <c r="AJ66" s="73">
        <f t="shared" si="34"/>
        <v>52.38587812</v>
      </c>
      <c r="AK66" s="73">
        <f t="shared" si="35"/>
        <v>10.30292196</v>
      </c>
      <c r="AM66" s="51">
        <f t="shared" si="36"/>
        <v>1241.767383</v>
      </c>
      <c r="AN66" s="51" t="str">
        <f t="array" ref="AN66">XLOOKUP(D66,RUC!$B$3:$B$565,RUC!$M$3:$M$565)</f>
        <v>SIN ACOPIO</v>
      </c>
      <c r="AO66" s="131" t="s">
        <v>701</v>
      </c>
      <c r="AP66" s="141" t="s">
        <v>716</v>
      </c>
      <c r="AQ66" s="141" t="s">
        <v>836</v>
      </c>
    </row>
    <row r="67" ht="15.0" customHeight="1">
      <c r="A67" s="117" t="s">
        <v>837</v>
      </c>
      <c r="B67" s="182"/>
      <c r="C67" s="182">
        <v>46124.0</v>
      </c>
      <c r="D67" s="2" t="s">
        <v>225</v>
      </c>
      <c r="E67" s="3">
        <f t="array" ref="E67">XLOOKUP(D67,RUC!$B$3:$B$110,RUC!$D$3:$D$110)</f>
        <v>10761932735</v>
      </c>
      <c r="G67" s="141">
        <v>150.0</v>
      </c>
      <c r="H67" s="3" t="s">
        <v>47</v>
      </c>
      <c r="I67" s="6"/>
      <c r="J67" s="58"/>
      <c r="K67" s="6"/>
      <c r="L67" s="60"/>
      <c r="M67" s="60"/>
      <c r="N67" s="62"/>
      <c r="O67" s="60"/>
      <c r="P67" s="63"/>
      <c r="Q67" s="58"/>
      <c r="R67" s="65"/>
      <c r="S67" s="66"/>
      <c r="U67" s="67"/>
      <c r="V67" s="67"/>
      <c r="Z67" s="69"/>
      <c r="AA67" s="70"/>
      <c r="AB67" s="71"/>
      <c r="AC67" s="71"/>
      <c r="AD67" s="71"/>
      <c r="AE67" s="71"/>
      <c r="AF67" s="71"/>
      <c r="AG67" s="72"/>
      <c r="AH67" s="193"/>
      <c r="AI67" s="193"/>
      <c r="AJ67" s="73"/>
      <c r="AK67" s="73"/>
      <c r="AM67" s="51"/>
      <c r="AN67" s="51" t="str">
        <f t="array" ref="AN67">XLOOKUP(D67,RUC!$B$3:$B$565,RUC!$M$3:$M$565)</f>
        <v>Richard Sapacayo</v>
      </c>
      <c r="AO67" s="131" t="s">
        <v>731</v>
      </c>
      <c r="AP67" s="141" t="s">
        <v>788</v>
      </c>
      <c r="AQ67" s="141" t="s">
        <v>838</v>
      </c>
    </row>
    <row r="68" ht="15.0" customHeight="1">
      <c r="A68" s="192" t="s">
        <v>839</v>
      </c>
      <c r="B68" s="182"/>
      <c r="C68" s="182">
        <v>46124.0</v>
      </c>
      <c r="D68" s="2" t="s">
        <v>225</v>
      </c>
      <c r="E68" s="3">
        <f t="array" ref="E68">XLOOKUP(D68,RUC!$B$3:$B$110,RUC!$D$3:$D$110)</f>
        <v>10761932735</v>
      </c>
      <c r="G68" s="141">
        <v>113.0</v>
      </c>
      <c r="H68" s="3" t="s">
        <v>47</v>
      </c>
      <c r="I68" s="6">
        <v>9.99</v>
      </c>
      <c r="J68" s="58">
        <v>6.2</v>
      </c>
      <c r="K68" s="6">
        <f t="shared" ref="K68:K141" si="51">ROUND(+I68-(I68*(J68/100)),3)</f>
        <v>9.371</v>
      </c>
      <c r="L68" s="61">
        <v>0.018</v>
      </c>
      <c r="M68" s="61">
        <f t="shared" ref="M68:N68" si="50">+L68</f>
        <v>0.018</v>
      </c>
      <c r="N68" s="114">
        <f t="shared" si="50"/>
        <v>0.018</v>
      </c>
      <c r="O68" s="61">
        <f t="shared" ref="O68:O97" si="52">+ROUND((M68+N68)/2,3)</f>
        <v>0.018</v>
      </c>
      <c r="P68" s="63">
        <v>90.0</v>
      </c>
      <c r="Q68" s="58">
        <v>94.44</v>
      </c>
      <c r="R68" s="65">
        <v>4722.65</v>
      </c>
      <c r="S68" s="66">
        <f t="array" ref="S68">IF((XLOOKUP(D68,RUC!$B$3:$B$106,RUC!$E$3:$E$106)+ROUNDDOWN(O68,1)*100)&lt;95,95,((XLOOKUP(D68,RUC!$B$3:$B$106,RUC!$E$3:$E$106)+ROUNDDOWN(O68,1)*100)))</f>
        <v>95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ref="AA68:AA141" si="53">+Y68+Z68</f>
        <v>50</v>
      </c>
      <c r="AB68" s="71">
        <f t="shared" ref="AB68:AB74" si="54">+((O68*P68*(R68-U68)/100)-S68-AA68+T68)*V68</f>
        <v>-77.64278226</v>
      </c>
      <c r="AC68" s="71">
        <f>+(S68-T68)*V68-'data 1'!$F$4</f>
        <v>24.7185</v>
      </c>
      <c r="AD68" s="71">
        <f t="shared" ref="AD68:AD141" si="55">+(Q68-P68)*(R68-U68)*L68*V68/100</f>
        <v>4.054742075</v>
      </c>
      <c r="AE68" s="71">
        <f t="shared" ref="AE68:AE141" si="56">+(Y68*V68-70)+V68*(Z68-IF(D68="UNTUCA",IF(+((W68-3)*2.5+(X68-3)*3.1)&gt;0,+((W68-3)*1.5+(X68-3)*3.1),0),IF(+((W68-3)*1.5+(X68-3)*3.1)&gt;0,+((W68-3)*1.5+(X68-3)*3.1),0)))</f>
        <v>-14.885</v>
      </c>
      <c r="AF68" s="71">
        <f t="shared" ref="AF68:AF141" si="57">(L68-O68)*(R68-U68)*Q68*V68/100</f>
        <v>0</v>
      </c>
      <c r="AG68" s="72">
        <f t="shared" ref="AG68:AG69" si="58">AC68+AD68+AE68+AF68+70-53</f>
        <v>30.88824208</v>
      </c>
      <c r="AH68" s="193">
        <f t="shared" ref="AH68:AH141" si="59">ROUND((31.1035*L68*Q68*1.1023*K68/100),3)</f>
        <v>5.462</v>
      </c>
      <c r="AI68" s="193">
        <f t="shared" ref="AI68:AI141" si="60">ROUND((31.1035*L68*1.1023*K68),3)</f>
        <v>5.783</v>
      </c>
      <c r="AJ68" s="73">
        <f t="shared" ref="AJ68:AJ141" si="61">+((+$AJ$2-R68+U68)*L68*Q68*V68)/100</f>
        <v>5.57180917</v>
      </c>
      <c r="AK68" s="73">
        <f t="shared" ref="AK68:AK141" si="62">31.1035*1.1023*K68*P68*O68/100</f>
        <v>5.204871617</v>
      </c>
      <c r="AM68" s="51">
        <f t="shared" ref="AM68:AM141" si="63">+IF(AB68*K68&gt;0,AB68*K68,0)</f>
        <v>0</v>
      </c>
      <c r="AN68" s="51" t="str">
        <f t="array" ref="AN68">XLOOKUP(D68,RUC!$B$3:$B$565,RUC!$M$3:$M$565)</f>
        <v>Richard Sapacayo</v>
      </c>
      <c r="AO68" s="131" t="s">
        <v>701</v>
      </c>
      <c r="AP68" s="141" t="s">
        <v>788</v>
      </c>
      <c r="AQ68" s="141" t="s">
        <v>838</v>
      </c>
    </row>
    <row r="69" ht="15.0" customHeight="1">
      <c r="A69" s="142" t="s">
        <v>840</v>
      </c>
      <c r="B69" s="182">
        <v>46131.0</v>
      </c>
      <c r="C69" s="182">
        <v>46124.0</v>
      </c>
      <c r="D69" s="2" t="s">
        <v>225</v>
      </c>
      <c r="E69" s="3">
        <f t="array" ref="E69">XLOOKUP(D69,RUC!$B$3:$B$110,RUC!$D$3:$D$110)</f>
        <v>10761932735</v>
      </c>
      <c r="G69" s="141">
        <v>123.0</v>
      </c>
      <c r="H69" s="3" t="s">
        <v>47</v>
      </c>
      <c r="I69" s="6">
        <v>9.73</v>
      </c>
      <c r="J69" s="58">
        <v>16.35</v>
      </c>
      <c r="K69" s="6">
        <f t="shared" si="51"/>
        <v>8.139</v>
      </c>
      <c r="L69" s="60">
        <v>0.384</v>
      </c>
      <c r="M69" s="60">
        <f t="shared" ref="M69:M74" si="64">ROUND(+IF(AN69="Melchor Vera",IF(L69&gt;0.467,L69*0.985,(L69-0.007)),IF(L69&gt;0.3,L69*0.94,(L69-0.019))),3)</f>
        <v>0.361</v>
      </c>
      <c r="N69" s="75">
        <v>0.444</v>
      </c>
      <c r="O69" s="60">
        <f t="shared" si="52"/>
        <v>0.403</v>
      </c>
      <c r="P69" s="63">
        <v>90.0</v>
      </c>
      <c r="Q69" s="58">
        <v>95.83</v>
      </c>
      <c r="R69" s="65">
        <v>4722.65</v>
      </c>
      <c r="S69" s="66">
        <f t="array" ref="S69">IF((XLOOKUP(D69,RUC!$B$3:$B$106,RUC!$E$3:$E$106)+ROUNDDOWN(O69,1)*100)&lt;95,95,((XLOOKUP(D69,RUC!$B$3:$B$106,RUC!$E$3:$E$106)+ROUNDDOWN(O69,1)*100)))</f>
        <v>130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53"/>
        <v>50</v>
      </c>
      <c r="AB69" s="71">
        <f t="shared" si="54"/>
        <v>1641.744847</v>
      </c>
      <c r="AC69" s="71">
        <f>+(S69-T69)*V69-'data 1'!$F$4</f>
        <v>63.299</v>
      </c>
      <c r="AD69" s="71">
        <f t="shared" si="55"/>
        <v>113.5814837</v>
      </c>
      <c r="AE69" s="71">
        <f t="shared" si="56"/>
        <v>-14.885</v>
      </c>
      <c r="AF69" s="71">
        <f t="shared" si="57"/>
        <v>-92.37678589</v>
      </c>
      <c r="AG69" s="72">
        <f t="shared" si="58"/>
        <v>86.61869783</v>
      </c>
      <c r="AH69" s="193">
        <f t="shared" si="59"/>
        <v>102.686</v>
      </c>
      <c r="AI69" s="193">
        <f t="shared" si="60"/>
        <v>107.155</v>
      </c>
      <c r="AJ69" s="73">
        <f t="shared" si="61"/>
        <v>120.6147616</v>
      </c>
      <c r="AK69" s="73">
        <f t="shared" si="62"/>
        <v>101.2109901</v>
      </c>
      <c r="AM69" s="51">
        <f t="shared" si="63"/>
        <v>13362.16131</v>
      </c>
      <c r="AN69" s="51" t="str">
        <f t="array" ref="AN69">XLOOKUP(D69,RUC!$B$3:$B$565,RUC!$M$3:$M$565)</f>
        <v>Richard Sapacayo</v>
      </c>
      <c r="AO69" s="131" t="s">
        <v>551</v>
      </c>
      <c r="AP69" s="141" t="s">
        <v>788</v>
      </c>
      <c r="AQ69" s="141" t="s">
        <v>838</v>
      </c>
    </row>
    <row r="70" ht="15.0" customHeight="1">
      <c r="A70" s="116" t="s">
        <v>841</v>
      </c>
      <c r="B70" s="182">
        <v>46130.0</v>
      </c>
      <c r="C70" s="182">
        <v>46125.0</v>
      </c>
      <c r="D70" s="2" t="s">
        <v>306</v>
      </c>
      <c r="E70" s="3">
        <f t="array" ref="E70">XLOOKUP(D70,RUC!$B$3:$B$110,RUC!$D$3:$D$110)</f>
        <v>20612921866</v>
      </c>
      <c r="G70" s="141" t="s">
        <v>735</v>
      </c>
      <c r="H70" s="3" t="s">
        <v>47</v>
      </c>
      <c r="I70" s="6">
        <v>10.15</v>
      </c>
      <c r="J70" s="58">
        <v>2.0</v>
      </c>
      <c r="K70" s="6">
        <f t="shared" si="51"/>
        <v>9.947</v>
      </c>
      <c r="L70" s="60">
        <v>0.291</v>
      </c>
      <c r="M70" s="60">
        <f t="shared" si="64"/>
        <v>0.272</v>
      </c>
      <c r="N70" s="62">
        <f t="shared" ref="N70:N83" si="65">+M70</f>
        <v>0.272</v>
      </c>
      <c r="O70" s="60">
        <f t="shared" si="52"/>
        <v>0.272</v>
      </c>
      <c r="P70" s="63">
        <v>90.0</v>
      </c>
      <c r="Q70" s="58">
        <v>97.25</v>
      </c>
      <c r="R70" s="65">
        <v>4722.65</v>
      </c>
      <c r="S70" s="66">
        <f t="array" ref="S70">IF((XLOOKUP(D70,RUC!$B$3:$B$106,RUC!$E$3:$E$106)+ROUNDDOWN(O70,1)*100)&lt;95,95,((XLOOKUP(D70,RUC!$B$3:$B$106,RUC!$E$3:$E$106)+ROUNDDOWN(O70,1)*100)))</f>
        <v>100</v>
      </c>
      <c r="U70" s="67">
        <f t="array" ref="U70">XLOOKUP(D70,RUC!$B$3:$B$110,RUC!$F$3:$F$110)</f>
        <v>100</v>
      </c>
      <c r="V70" s="67">
        <v>1.1023</v>
      </c>
      <c r="Y70" s="57" t="str">
        <f t="array" ref="Y70">XLOOKUP(D70,RUC!$B$3:$B$110,RUC!$G$3:$G$110)</f>
        <v/>
      </c>
      <c r="Z70" s="69">
        <f t="array" ref="Z70">XLOOKUP(D70,RUC!$B$3:$B$110,RUC!$H$3:$H$110)</f>
        <v>30</v>
      </c>
      <c r="AA70" s="70">
        <f t="shared" si="53"/>
        <v>30</v>
      </c>
      <c r="AB70" s="71">
        <f t="shared" si="54"/>
        <v>1104.090929</v>
      </c>
      <c r="AC70" s="71">
        <f>+(S70-T70)*V70-'data 1'!$F$4</f>
        <v>30.23</v>
      </c>
      <c r="AD70" s="71">
        <f t="shared" si="55"/>
        <v>107.5033048</v>
      </c>
      <c r="AE70" s="71">
        <f t="shared" si="56"/>
        <v>-36.931</v>
      </c>
      <c r="AF70" s="71">
        <f t="shared" si="57"/>
        <v>94.15297145</v>
      </c>
      <c r="AG70" s="72">
        <f t="shared" ref="AG70:AG73" si="66">AC70+AD70+AE70+AF70+70-10</f>
        <v>254.9552763</v>
      </c>
      <c r="AH70" s="193">
        <f t="shared" si="59"/>
        <v>96.513</v>
      </c>
      <c r="AI70" s="193">
        <f t="shared" si="60"/>
        <v>99.242</v>
      </c>
      <c r="AJ70" s="73">
        <f t="shared" si="61"/>
        <v>86.51881781</v>
      </c>
      <c r="AK70" s="73">
        <f t="shared" si="62"/>
        <v>83.48579761</v>
      </c>
      <c r="AM70" s="51">
        <f t="shared" si="63"/>
        <v>10982.39247</v>
      </c>
      <c r="AN70" s="51" t="str">
        <f t="array" ref="AN70">XLOOKUP(D70,RUC!$B$3:$B$565,RUC!$M$3:$M$565)</f>
        <v>Ronald Garibay</v>
      </c>
      <c r="AO70" s="131" t="s">
        <v>551</v>
      </c>
      <c r="AP70" s="141" t="s">
        <v>842</v>
      </c>
      <c r="AQ70" s="141" t="s">
        <v>838</v>
      </c>
    </row>
    <row r="71" ht="15.0" customHeight="1">
      <c r="A71" s="116" t="s">
        <v>843</v>
      </c>
      <c r="B71" s="182">
        <v>46130.0</v>
      </c>
      <c r="C71" s="182">
        <v>46125.0</v>
      </c>
      <c r="D71" s="2" t="s">
        <v>306</v>
      </c>
      <c r="E71" s="3">
        <f t="array" ref="E71">XLOOKUP(D71,RUC!$B$3:$B$110,RUC!$D$3:$D$110)</f>
        <v>20612921866</v>
      </c>
      <c r="G71" s="141" t="s">
        <v>735</v>
      </c>
      <c r="H71" s="3" t="s">
        <v>47</v>
      </c>
      <c r="I71" s="6">
        <v>10.88</v>
      </c>
      <c r="J71" s="58">
        <v>2.0</v>
      </c>
      <c r="K71" s="6">
        <f t="shared" si="51"/>
        <v>10.662</v>
      </c>
      <c r="L71" s="60">
        <v>0.291</v>
      </c>
      <c r="M71" s="60">
        <f t="shared" si="64"/>
        <v>0.272</v>
      </c>
      <c r="N71" s="62">
        <f t="shared" si="65"/>
        <v>0.272</v>
      </c>
      <c r="O71" s="60">
        <f t="shared" si="52"/>
        <v>0.272</v>
      </c>
      <c r="P71" s="63">
        <v>90.0</v>
      </c>
      <c r="Q71" s="58">
        <v>97.25</v>
      </c>
      <c r="R71" s="65">
        <v>4722.65</v>
      </c>
      <c r="S71" s="66">
        <f t="array" ref="S71">IF((XLOOKUP(D71,RUC!$B$3:$B$106,RUC!$E$3:$E$106)+ROUNDDOWN(O71,1)*100)&lt;95,95,((XLOOKUP(D71,RUC!$B$3:$B$106,RUC!$E$3:$E$106)+ROUNDDOWN(O71,1)*100)))</f>
        <v>100</v>
      </c>
      <c r="U71" s="67">
        <f t="array" ref="U71">XLOOKUP(D71,RUC!$B$3:$B$110,RUC!$F$3:$F$110)</f>
        <v>100</v>
      </c>
      <c r="V71" s="67">
        <v>1.1023</v>
      </c>
      <c r="Y71" s="57" t="str">
        <f t="array" ref="Y71">XLOOKUP(D71,RUC!$B$3:$B$110,RUC!$G$3:$G$110)</f>
        <v/>
      </c>
      <c r="Z71" s="69">
        <f t="array" ref="Z71">XLOOKUP(D71,RUC!$B$3:$B$110,RUC!$H$3:$H$110)</f>
        <v>30</v>
      </c>
      <c r="AA71" s="70">
        <f t="shared" si="53"/>
        <v>30</v>
      </c>
      <c r="AB71" s="71">
        <f t="shared" si="54"/>
        <v>1104.090929</v>
      </c>
      <c r="AC71" s="71">
        <f>+(S71-T71)*V71-'data 1'!$F$4</f>
        <v>30.23</v>
      </c>
      <c r="AD71" s="71">
        <f t="shared" si="55"/>
        <v>107.5033048</v>
      </c>
      <c r="AE71" s="71">
        <f t="shared" si="56"/>
        <v>-36.931</v>
      </c>
      <c r="AF71" s="71">
        <f t="shared" si="57"/>
        <v>94.15297145</v>
      </c>
      <c r="AG71" s="72">
        <f t="shared" si="66"/>
        <v>254.9552763</v>
      </c>
      <c r="AH71" s="193">
        <f t="shared" si="59"/>
        <v>103.45</v>
      </c>
      <c r="AI71" s="193">
        <f t="shared" si="60"/>
        <v>106.375</v>
      </c>
      <c r="AJ71" s="73">
        <f t="shared" si="61"/>
        <v>86.51881781</v>
      </c>
      <c r="AK71" s="73">
        <f t="shared" si="62"/>
        <v>89.48683765</v>
      </c>
      <c r="AM71" s="51">
        <f t="shared" si="63"/>
        <v>11771.81748</v>
      </c>
      <c r="AN71" s="51" t="str">
        <f t="array" ref="AN71">XLOOKUP(D71,RUC!$B$3:$B$565,RUC!$M$3:$M$565)</f>
        <v>Ronald Garibay</v>
      </c>
      <c r="AO71" s="131" t="s">
        <v>551</v>
      </c>
      <c r="AP71" s="141" t="s">
        <v>724</v>
      </c>
      <c r="AQ71" s="141" t="s">
        <v>844</v>
      </c>
    </row>
    <row r="72" ht="15.0" customHeight="1">
      <c r="A72" s="116" t="s">
        <v>845</v>
      </c>
      <c r="B72" s="182">
        <v>46130.0</v>
      </c>
      <c r="C72" s="182">
        <v>46126.0</v>
      </c>
      <c r="D72" s="2" t="s">
        <v>306</v>
      </c>
      <c r="E72" s="3">
        <f t="array" ref="E72">XLOOKUP(D72,RUC!$B$3:$B$110,RUC!$D$3:$D$110)</f>
        <v>20612921866</v>
      </c>
      <c r="G72" s="141" t="s">
        <v>735</v>
      </c>
      <c r="H72" s="3" t="s">
        <v>47</v>
      </c>
      <c r="I72" s="6">
        <v>10.04</v>
      </c>
      <c r="J72" s="58">
        <v>2.0</v>
      </c>
      <c r="K72" s="6">
        <f t="shared" si="51"/>
        <v>9.839</v>
      </c>
      <c r="L72" s="60">
        <v>0.253</v>
      </c>
      <c r="M72" s="60">
        <f t="shared" si="64"/>
        <v>0.234</v>
      </c>
      <c r="N72" s="62">
        <f t="shared" si="65"/>
        <v>0.234</v>
      </c>
      <c r="O72" s="60">
        <f t="shared" si="52"/>
        <v>0.234</v>
      </c>
      <c r="P72" s="63">
        <v>90.0</v>
      </c>
      <c r="Q72" s="58">
        <v>94.47</v>
      </c>
      <c r="R72" s="65">
        <v>4794.75</v>
      </c>
      <c r="S72" s="66">
        <f t="array" ref="S72">IF((XLOOKUP(D72,RUC!$B$3:$B$106,RUC!$E$3:$E$106)+ROUNDDOWN(O72,1)*100)&lt;95,95,((XLOOKUP(D72,RUC!$B$3:$B$106,RUC!$E$3:$E$106)+ROUNDDOWN(O72,1)*100)))</f>
        <v>100</v>
      </c>
      <c r="U72" s="67">
        <f t="array" ref="U72">XLOOKUP(D72,RUC!$B$3:$B$110,RUC!$F$3:$F$110)</f>
        <v>100</v>
      </c>
      <c r="V72" s="67">
        <v>1.1023</v>
      </c>
      <c r="Y72" s="57" t="str">
        <f t="array" ref="Y72">XLOOKUP(D72,RUC!$B$3:$B$110,RUC!$G$3:$G$110)</f>
        <v/>
      </c>
      <c r="Z72" s="69">
        <f t="array" ref="Z72">XLOOKUP(D72,RUC!$B$3:$B$110,RUC!$H$3:$H$110)</f>
        <v>30</v>
      </c>
      <c r="AA72" s="70">
        <f t="shared" si="53"/>
        <v>30</v>
      </c>
      <c r="AB72" s="71">
        <f t="shared" si="54"/>
        <v>946.560828</v>
      </c>
      <c r="AC72" s="71">
        <f>+(S72-T72)*V72-'data 1'!$F$4</f>
        <v>30.23</v>
      </c>
      <c r="AD72" s="71">
        <f t="shared" si="55"/>
        <v>58.52485176</v>
      </c>
      <c r="AE72" s="71">
        <f t="shared" si="56"/>
        <v>-36.931</v>
      </c>
      <c r="AF72" s="71">
        <f t="shared" si="57"/>
        <v>92.88803899</v>
      </c>
      <c r="AG72" s="72">
        <f t="shared" si="66"/>
        <v>204.7118907</v>
      </c>
      <c r="AH72" s="193">
        <f t="shared" si="59"/>
        <v>80.626</v>
      </c>
      <c r="AI72" s="193">
        <f t="shared" si="60"/>
        <v>85.345</v>
      </c>
      <c r="AJ72" s="73">
        <f t="shared" si="61"/>
        <v>54.07510977</v>
      </c>
      <c r="AK72" s="73">
        <f t="shared" si="62"/>
        <v>71.04252629</v>
      </c>
      <c r="AM72" s="51">
        <f t="shared" si="63"/>
        <v>9313.211987</v>
      </c>
      <c r="AN72" s="51" t="str">
        <f t="array" ref="AN72">XLOOKUP(D72,RUC!$B$3:$B$565,RUC!$M$3:$M$565)</f>
        <v>Ronald Garibay</v>
      </c>
      <c r="AO72" s="131" t="s">
        <v>551</v>
      </c>
      <c r="AP72" s="141" t="s">
        <v>846</v>
      </c>
      <c r="AQ72" s="141" t="s">
        <v>847</v>
      </c>
    </row>
    <row r="73" ht="15.0" customHeight="1">
      <c r="A73" s="116" t="s">
        <v>848</v>
      </c>
      <c r="B73" s="182">
        <v>46130.0</v>
      </c>
      <c r="C73" s="182">
        <v>46126.0</v>
      </c>
      <c r="D73" s="2" t="s">
        <v>306</v>
      </c>
      <c r="E73" s="3">
        <f t="array" ref="E73">XLOOKUP(D73,RUC!$B$3:$B$110,RUC!$D$3:$D$110)</f>
        <v>20612921866</v>
      </c>
      <c r="G73" s="141" t="s">
        <v>735</v>
      </c>
      <c r="H73" s="3" t="s">
        <v>47</v>
      </c>
      <c r="I73" s="6">
        <v>10.77</v>
      </c>
      <c r="J73" s="58">
        <v>2.0</v>
      </c>
      <c r="K73" s="6">
        <f t="shared" si="51"/>
        <v>10.555</v>
      </c>
      <c r="L73" s="60">
        <v>0.253</v>
      </c>
      <c r="M73" s="60">
        <f t="shared" si="64"/>
        <v>0.234</v>
      </c>
      <c r="N73" s="62">
        <f t="shared" si="65"/>
        <v>0.234</v>
      </c>
      <c r="O73" s="60">
        <f t="shared" si="52"/>
        <v>0.234</v>
      </c>
      <c r="P73" s="63">
        <v>90.0</v>
      </c>
      <c r="Q73" s="58">
        <v>94.47</v>
      </c>
      <c r="R73" s="65">
        <v>4794.75</v>
      </c>
      <c r="S73" s="66">
        <f t="array" ref="S73">IF((XLOOKUP(D73,RUC!$B$3:$B$106,RUC!$E$3:$E$106)+ROUNDDOWN(O73,1)*100)&lt;95,95,((XLOOKUP(D73,RUC!$B$3:$B$106,RUC!$E$3:$E$106)+ROUNDDOWN(O73,1)*100)))</f>
        <v>100</v>
      </c>
      <c r="U73" s="67">
        <f t="array" ref="U73">XLOOKUP(D73,RUC!$B$3:$B$110,RUC!$F$3:$F$110)</f>
        <v>100</v>
      </c>
      <c r="V73" s="67">
        <v>1.1023</v>
      </c>
      <c r="Y73" s="57" t="str">
        <f t="array" ref="Y73">XLOOKUP(D73,RUC!$B$3:$B$110,RUC!$G$3:$G$110)</f>
        <v/>
      </c>
      <c r="Z73" s="69">
        <f t="array" ref="Z73">XLOOKUP(D73,RUC!$B$3:$B$110,RUC!$H$3:$H$110)</f>
        <v>30</v>
      </c>
      <c r="AA73" s="70">
        <f t="shared" si="53"/>
        <v>30</v>
      </c>
      <c r="AB73" s="71">
        <f t="shared" si="54"/>
        <v>946.560828</v>
      </c>
      <c r="AC73" s="71">
        <f>+(S73-T73)*V73-'data 1'!$F$4</f>
        <v>30.23</v>
      </c>
      <c r="AD73" s="71">
        <f t="shared" si="55"/>
        <v>58.52485176</v>
      </c>
      <c r="AE73" s="71">
        <f t="shared" si="56"/>
        <v>-36.931</v>
      </c>
      <c r="AF73" s="71">
        <f t="shared" si="57"/>
        <v>92.88803899</v>
      </c>
      <c r="AG73" s="72">
        <f t="shared" si="66"/>
        <v>204.7118907</v>
      </c>
      <c r="AH73" s="193">
        <f t="shared" si="59"/>
        <v>86.493</v>
      </c>
      <c r="AI73" s="193">
        <f t="shared" si="60"/>
        <v>91.556</v>
      </c>
      <c r="AJ73" s="73">
        <f t="shared" si="61"/>
        <v>54.07510977</v>
      </c>
      <c r="AK73" s="73">
        <f t="shared" si="62"/>
        <v>76.21240624</v>
      </c>
      <c r="AM73" s="51">
        <f t="shared" si="63"/>
        <v>9990.94954</v>
      </c>
      <c r="AN73" s="51" t="str">
        <f t="array" ref="AN73">XLOOKUP(D73,RUC!$B$3:$B$565,RUC!$M$3:$M$565)</f>
        <v>Ronald Garibay</v>
      </c>
      <c r="AO73" s="131" t="s">
        <v>551</v>
      </c>
      <c r="AP73" s="141" t="s">
        <v>849</v>
      </c>
      <c r="AQ73" s="141" t="s">
        <v>850</v>
      </c>
    </row>
    <row r="74" ht="15.0" customHeight="1">
      <c r="A74" s="202" t="s">
        <v>851</v>
      </c>
      <c r="B74" s="182">
        <v>46135.0</v>
      </c>
      <c r="C74" s="182">
        <v>46126.0</v>
      </c>
      <c r="D74" s="2" t="s">
        <v>852</v>
      </c>
      <c r="E74" s="3">
        <f t="array" ref="E74">XLOOKUP(D74,RUC!$B$3:$B$110,RUC!$D$3:$D$110)</f>
        <v>20610807004</v>
      </c>
      <c r="G74" s="141">
        <v>29.0</v>
      </c>
      <c r="H74" s="3" t="s">
        <v>339</v>
      </c>
      <c r="I74" s="6">
        <v>2.27</v>
      </c>
      <c r="J74" s="58">
        <v>9.6</v>
      </c>
      <c r="K74" s="6">
        <f t="shared" si="51"/>
        <v>2.052</v>
      </c>
      <c r="L74" s="60">
        <v>0.127</v>
      </c>
      <c r="M74" s="60">
        <f t="shared" si="64"/>
        <v>0.108</v>
      </c>
      <c r="N74" s="62">
        <f t="shared" si="65"/>
        <v>0.108</v>
      </c>
      <c r="O74" s="60">
        <f t="shared" si="52"/>
        <v>0.108</v>
      </c>
      <c r="P74" s="63">
        <v>80.0</v>
      </c>
      <c r="Q74" s="130">
        <v>85.19</v>
      </c>
      <c r="R74" s="65">
        <v>4794.75</v>
      </c>
      <c r="S74" s="66">
        <f t="array" ref="S74">IF((XLOOKUP(D74,RUC!$B$3:$B$106,RUC!$E$3:$E$106)+ROUNDDOWN(O74,1)*100)&lt;95,95,((XLOOKUP(D74,RUC!$B$3:$B$106,RUC!$E$3:$E$106)+ROUNDDOWN(O74,1)*100)))</f>
        <v>95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69">
        <f t="array" ref="Z74">XLOOKUP(D74,RUC!$B$3:$B$110,RUC!$H$3:$H$110)</f>
        <v>30</v>
      </c>
      <c r="AA74" s="70">
        <f t="shared" si="53"/>
        <v>50</v>
      </c>
      <c r="AB74" s="71">
        <f t="shared" si="54"/>
        <v>285.3837063</v>
      </c>
      <c r="AC74" s="71">
        <f>+(S74-T74)*V74-'data 1'!$F$4</f>
        <v>24.7185</v>
      </c>
      <c r="AD74" s="71">
        <f t="shared" si="55"/>
        <v>33.96481681</v>
      </c>
      <c r="AE74" s="71">
        <f t="shared" si="56"/>
        <v>-14.885</v>
      </c>
      <c r="AF74" s="71">
        <f t="shared" si="57"/>
        <v>83.40659981</v>
      </c>
      <c r="AG74" s="72">
        <f>AC74+AD74+AE74+AF74+70-53</f>
        <v>144.2049166</v>
      </c>
      <c r="AH74" s="193">
        <f t="shared" si="59"/>
        <v>7.612</v>
      </c>
      <c r="AI74" s="193">
        <f t="shared" si="60"/>
        <v>8.935</v>
      </c>
      <c r="AJ74" s="73">
        <f t="shared" si="61"/>
        <v>26.86315057</v>
      </c>
      <c r="AK74" s="73">
        <f t="shared" si="62"/>
        <v>6.078552446</v>
      </c>
      <c r="AM74" s="51">
        <f t="shared" si="63"/>
        <v>585.6073654</v>
      </c>
      <c r="AN74" s="51" t="str">
        <f t="array" ref="AN74">XLOOKUP(D74,RUC!$B$3:$B$565,RUC!$M$3:$M$565)</f>
        <v>Renzo</v>
      </c>
      <c r="AO74" s="131" t="s">
        <v>547</v>
      </c>
      <c r="AP74" s="141" t="s">
        <v>853</v>
      </c>
      <c r="AQ74" s="141" t="s">
        <v>854</v>
      </c>
    </row>
    <row r="75" ht="15.0" customHeight="1">
      <c r="A75" s="192" t="s">
        <v>855</v>
      </c>
      <c r="B75" s="182">
        <v>46135.0</v>
      </c>
      <c r="C75" s="182">
        <v>46126.0</v>
      </c>
      <c r="D75" s="2" t="s">
        <v>852</v>
      </c>
      <c r="E75" s="3">
        <f t="array" ref="E75">XLOOKUP(D75,RUC!$B$3:$B$110,RUC!$D$3:$D$110)</f>
        <v>20610807004</v>
      </c>
      <c r="G75" s="141">
        <v>27.0</v>
      </c>
      <c r="H75" s="3" t="s">
        <v>339</v>
      </c>
      <c r="I75" s="6">
        <v>2.0</v>
      </c>
      <c r="J75" s="58">
        <v>13.38</v>
      </c>
      <c r="K75" s="6">
        <f t="shared" si="51"/>
        <v>1.732</v>
      </c>
      <c r="L75" s="60">
        <v>0.119</v>
      </c>
      <c r="M75" s="60">
        <f>ROUND(+IF(AN75="Melchor Vera",IF(L75&gt;0.467,L75*0.985,(L75-0.007)),IF(L75&gt;0.3,L75*0.94,(L75-0.019))),3)-0.001</f>
        <v>0.099</v>
      </c>
      <c r="N75" s="62">
        <f t="shared" si="65"/>
        <v>0.099</v>
      </c>
      <c r="O75" s="60">
        <f t="shared" si="52"/>
        <v>0.099</v>
      </c>
      <c r="P75" s="63">
        <v>80.0</v>
      </c>
      <c r="Q75" s="58">
        <v>90.6</v>
      </c>
      <c r="R75" s="65">
        <v>4794.75</v>
      </c>
      <c r="S75" s="66">
        <f t="array" ref="S75">IF((XLOOKUP(D75,RUC!$B$3:$B$106,RUC!$E$3:$E$106)+ROUNDDOWN(O75,1)*100)&lt;95,95,((XLOOKUP(D75,RUC!$B$3:$B$106,RUC!$E$3:$E$106)+ROUNDDOWN(O75,1)*100)))</f>
        <v>95</v>
      </c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69">
        <f t="array" ref="Z75">XLOOKUP(D75,RUC!$B$3:$B$110,RUC!$H$3:$H$110)</f>
        <v>30</v>
      </c>
      <c r="AA75" s="70">
        <f t="shared" si="53"/>
        <v>50</v>
      </c>
      <c r="AB75" s="71">
        <v>0.001</v>
      </c>
      <c r="AC75" s="71">
        <f>+(S75-T75)*V75-'data 1'!$F$4</f>
        <v>24.7185</v>
      </c>
      <c r="AD75" s="71">
        <f t="shared" si="55"/>
        <v>64.99965093</v>
      </c>
      <c r="AE75" s="71">
        <f t="shared" si="56"/>
        <v>-14.885</v>
      </c>
      <c r="AF75" s="71">
        <f t="shared" si="57"/>
        <v>93.37194188</v>
      </c>
      <c r="AG75" s="72">
        <f>AC75+AD75+AE75+AF75+70-53+248.28</f>
        <v>433.4850928</v>
      </c>
      <c r="AH75" s="193">
        <f t="shared" si="59"/>
        <v>6.402</v>
      </c>
      <c r="AI75" s="193">
        <f t="shared" si="60"/>
        <v>7.066</v>
      </c>
      <c r="AJ75" s="73">
        <f t="shared" si="61"/>
        <v>26.76946959</v>
      </c>
      <c r="AK75" s="73">
        <f t="shared" si="62"/>
        <v>4.703077535</v>
      </c>
      <c r="AM75" s="51">
        <f t="shared" si="63"/>
        <v>0.001732</v>
      </c>
      <c r="AN75" s="51" t="str">
        <f t="array" ref="AN75">XLOOKUP(D75,RUC!$B$3:$B$565,RUC!$M$3:$M$565)</f>
        <v>Renzo</v>
      </c>
      <c r="AO75" s="131" t="s">
        <v>701</v>
      </c>
      <c r="AP75" s="141" t="s">
        <v>853</v>
      </c>
      <c r="AQ75" s="141" t="s">
        <v>854</v>
      </c>
    </row>
    <row r="76" ht="15.0" customHeight="1">
      <c r="A76" s="192" t="s">
        <v>856</v>
      </c>
      <c r="B76" s="182">
        <v>46135.0</v>
      </c>
      <c r="C76" s="182">
        <v>46126.0</v>
      </c>
      <c r="D76" s="2" t="s">
        <v>852</v>
      </c>
      <c r="E76" s="3">
        <f t="array" ref="E76">XLOOKUP(D76,RUC!$B$3:$B$110,RUC!$D$3:$D$110)</f>
        <v>20610807004</v>
      </c>
      <c r="G76" s="141">
        <v>29.0</v>
      </c>
      <c r="H76" s="3" t="s">
        <v>339</v>
      </c>
      <c r="I76" s="6">
        <v>2.41</v>
      </c>
      <c r="J76" s="58">
        <v>6.6</v>
      </c>
      <c r="K76" s="6">
        <f t="shared" si="51"/>
        <v>2.251</v>
      </c>
      <c r="L76" s="60">
        <v>0.066</v>
      </c>
      <c r="M76" s="60">
        <f>ROUND(+IF(AN76="Melchor Vera",IF(L76&gt;0.467,L76*0.985,(L76-0.007)),IF(L76&gt;0.3,L76*0.94,(L76-0.019))),3)</f>
        <v>0.047</v>
      </c>
      <c r="N76" s="62">
        <f t="shared" si="65"/>
        <v>0.047</v>
      </c>
      <c r="O76" s="60">
        <f t="shared" si="52"/>
        <v>0.047</v>
      </c>
      <c r="P76" s="63">
        <v>60.0</v>
      </c>
      <c r="Q76" s="130">
        <v>65.15</v>
      </c>
      <c r="R76" s="65">
        <v>4794.75</v>
      </c>
      <c r="S76" s="66">
        <f t="array" ref="S76">IF((XLOOKUP(D76,RUC!$B$3:$B$106,RUC!$E$3:$E$106)+ROUNDDOWN(O76,1)*100)&lt;95,95,((XLOOKUP(D76,RUC!$B$3:$B$106,RUC!$E$3:$E$106)+ROUNDDOWN(O76,1)*100)))</f>
        <v>95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69">
        <f t="array" ref="Z76">XLOOKUP(D76,RUC!$B$3:$B$110,RUC!$H$3:$H$110)</f>
        <v>30</v>
      </c>
      <c r="AA76" s="70">
        <f t="shared" si="53"/>
        <v>50</v>
      </c>
      <c r="AB76" s="71">
        <v>0.001</v>
      </c>
      <c r="AC76" s="71">
        <f>+(S76-T76)*V76-'data 1'!$F$4</f>
        <v>24.7185</v>
      </c>
      <c r="AD76" s="71">
        <f t="shared" si="55"/>
        <v>17.51496857</v>
      </c>
      <c r="AE76" s="71">
        <f t="shared" si="56"/>
        <v>-14.885</v>
      </c>
      <c r="AF76" s="71">
        <f t="shared" si="57"/>
        <v>63.78612487</v>
      </c>
      <c r="AG76" s="72">
        <f>AC76+AD76+AE76+AF76+70-53-14.52</f>
        <v>93.61459343</v>
      </c>
      <c r="AH76" s="193">
        <f t="shared" si="59"/>
        <v>3.319</v>
      </c>
      <c r="AI76" s="193">
        <f t="shared" si="60"/>
        <v>5.094</v>
      </c>
      <c r="AJ76" s="73">
        <f t="shared" si="61"/>
        <v>10.67635393</v>
      </c>
      <c r="AK76" s="73">
        <f t="shared" si="62"/>
        <v>2.17637472</v>
      </c>
      <c r="AM76" s="51">
        <f t="shared" si="63"/>
        <v>0.002251</v>
      </c>
      <c r="AN76" s="51" t="str">
        <f t="array" ref="AN76">XLOOKUP(D76,RUC!$B$3:$B$565,RUC!$M$3:$M$565)</f>
        <v>Renzo</v>
      </c>
      <c r="AO76" s="131" t="s">
        <v>701</v>
      </c>
      <c r="AP76" s="141" t="s">
        <v>853</v>
      </c>
      <c r="AQ76" s="141" t="s">
        <v>854</v>
      </c>
    </row>
    <row r="77" ht="15.0" customHeight="1">
      <c r="A77" s="202" t="s">
        <v>857</v>
      </c>
      <c r="B77" s="182">
        <v>46135.0</v>
      </c>
      <c r="C77" s="182">
        <v>46126.0</v>
      </c>
      <c r="D77" s="2" t="s">
        <v>852</v>
      </c>
      <c r="E77" s="3">
        <f t="array" ref="E77">XLOOKUP(D77,RUC!$B$3:$B$110,RUC!$D$3:$D$110)</f>
        <v>20610807004</v>
      </c>
      <c r="G77" s="141">
        <v>28.0</v>
      </c>
      <c r="H77" s="3" t="s">
        <v>47</v>
      </c>
      <c r="I77" s="6">
        <v>2.17</v>
      </c>
      <c r="J77" s="58">
        <v>15.4</v>
      </c>
      <c r="K77" s="6">
        <f t="shared" si="51"/>
        <v>1.836</v>
      </c>
      <c r="L77" s="60">
        <v>0.311</v>
      </c>
      <c r="M77" s="60">
        <f t="array" ref="M77">ROUND(+IF(L77*XLOOKUP(AN77,RUC!$M$3:$M$81,RUC!$I$3:$I$81)&gt;XLOOKUP(AN77,RUC!$M$3:$M$81,RUC!$J$3:$J$81),L77-XLOOKUP(AN77,RUC!$M$3:$M$81,RUC!$J$3:$J$81),L77*XLOOKUP(AN77,RUC!$M$3:$M$81,RUC!$I$3:$I$81)),3)-0.005</f>
        <v>0.287</v>
      </c>
      <c r="N77" s="62">
        <f t="shared" si="65"/>
        <v>0.287</v>
      </c>
      <c r="O77" s="60">
        <f t="shared" si="52"/>
        <v>0.287</v>
      </c>
      <c r="P77" s="63">
        <v>82.0</v>
      </c>
      <c r="Q77" s="130">
        <v>82.32</v>
      </c>
      <c r="R77" s="65">
        <v>4794.75</v>
      </c>
      <c r="S77" s="66">
        <f t="array" ref="S77">IF((XLOOKUP(D77,RUC!$B$3:$B$106,RUC!$E$3:$E$106)+ROUNDDOWN(O77,1)*100)&lt;95,95,((XLOOKUP(D77,RUC!$B$3:$B$106,RUC!$E$3:$E$106)+ROUNDDOWN(O77,1)*100)))</f>
        <v>105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69">
        <f t="array" ref="Z77">XLOOKUP(D77,RUC!$B$3:$B$110,RUC!$H$3:$H$110)</f>
        <v>30</v>
      </c>
      <c r="AA77" s="70">
        <f t="shared" si="53"/>
        <v>50</v>
      </c>
      <c r="AB77" s="71">
        <f t="shared" ref="AB77:AB141" si="67">+((O77*P77*(R77-U77)/100)-S77-AA77+T77)*V77</f>
        <v>1041.84509</v>
      </c>
      <c r="AC77" s="71">
        <f>+(S77-T77)*V77-'data 1'!$F$4</f>
        <v>35.7415</v>
      </c>
      <c r="AD77" s="71">
        <f t="shared" si="55"/>
        <v>5.128242636</v>
      </c>
      <c r="AE77" s="71">
        <f t="shared" si="56"/>
        <v>-14.885</v>
      </c>
      <c r="AF77" s="71">
        <f t="shared" si="57"/>
        <v>101.8063345</v>
      </c>
      <c r="AG77" s="72">
        <f t="shared" ref="AG77:AG83" si="68">AC77+AD77+AE77+AF77+70-53</f>
        <v>144.7910771</v>
      </c>
      <c r="AH77" s="193">
        <f t="shared" si="59"/>
        <v>16.116</v>
      </c>
      <c r="AI77" s="193">
        <f t="shared" si="60"/>
        <v>19.577</v>
      </c>
      <c r="AJ77" s="73">
        <f t="shared" si="61"/>
        <v>63.56680125</v>
      </c>
      <c r="AK77" s="73">
        <f t="shared" si="62"/>
        <v>14.81417584</v>
      </c>
      <c r="AM77" s="51">
        <f t="shared" si="63"/>
        <v>1912.827584</v>
      </c>
      <c r="AN77" s="51" t="str">
        <f t="array" ref="AN77">XLOOKUP(D77,RUC!$B$3:$B$565,RUC!$M$3:$M$565)</f>
        <v>Renzo</v>
      </c>
      <c r="AO77" s="131" t="s">
        <v>547</v>
      </c>
      <c r="AP77" s="141" t="s">
        <v>853</v>
      </c>
      <c r="AQ77" s="141" t="s">
        <v>854</v>
      </c>
      <c r="AR77" s="57" t="s">
        <v>858</v>
      </c>
    </row>
    <row r="78" ht="15.0" customHeight="1">
      <c r="A78" s="116" t="s">
        <v>859</v>
      </c>
      <c r="B78" s="182">
        <v>46132.0</v>
      </c>
      <c r="C78" s="182">
        <v>46126.0</v>
      </c>
      <c r="D78" s="2" t="s">
        <v>295</v>
      </c>
      <c r="E78" s="3">
        <f t="array" ref="E78">XLOOKUP(D78,RUC!$B$3:$B$110,RUC!$D$3:$D$110)</f>
        <v>20601769396</v>
      </c>
      <c r="G78" s="141">
        <v>27.0</v>
      </c>
      <c r="H78" s="3" t="s">
        <v>339</v>
      </c>
      <c r="I78" s="6">
        <v>2.3</v>
      </c>
      <c r="J78" s="58">
        <v>5.88</v>
      </c>
      <c r="K78" s="6">
        <f t="shared" si="51"/>
        <v>2.165</v>
      </c>
      <c r="L78" s="60">
        <v>0.634</v>
      </c>
      <c r="M78" s="60">
        <f t="shared" ref="M78:M82" si="69">ROUND(+IF(AN78="Melchor Vera",IF(L78&gt;0.467,L78*0.985,(L78-0.007)),IF(L78&gt;0.3,L78*0.94,(L78-0.019))),3)</f>
        <v>0.596</v>
      </c>
      <c r="N78" s="62">
        <f t="shared" si="65"/>
        <v>0.596</v>
      </c>
      <c r="O78" s="60">
        <f t="shared" si="52"/>
        <v>0.596</v>
      </c>
      <c r="P78" s="63">
        <v>90.0</v>
      </c>
      <c r="Q78" s="58">
        <v>93.06</v>
      </c>
      <c r="R78" s="65">
        <v>4794.75</v>
      </c>
      <c r="S78" s="66">
        <f t="array" ref="S78">IF((XLOOKUP(D78,RUC!$B$3:$B$106,RUC!$E$3:$E$106)+ROUNDDOWN(O78,1)*100)&lt;95,95,((XLOOKUP(D78,RUC!$B$3:$B$106,RUC!$E$3:$E$106)+ROUNDDOWN(O78,1)*100)))</f>
        <v>140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69">
        <f t="array" ref="Z78">XLOOKUP(D78,RUC!$B$3:$B$110,RUC!$H$3:$H$110)</f>
        <v>30</v>
      </c>
      <c r="AA78" s="70">
        <f t="shared" si="53"/>
        <v>50</v>
      </c>
      <c r="AB78" s="71">
        <f t="shared" si="67"/>
        <v>2554.619823</v>
      </c>
      <c r="AC78" s="71">
        <f>+(S78-T78)*V78-'data 1'!$F$4</f>
        <v>74.322</v>
      </c>
      <c r="AD78" s="71">
        <f t="shared" si="55"/>
        <v>99.96981354</v>
      </c>
      <c r="AE78" s="71">
        <f t="shared" si="56"/>
        <v>-14.885</v>
      </c>
      <c r="AF78" s="71">
        <f t="shared" si="57"/>
        <v>182.2236924</v>
      </c>
      <c r="AG78" s="72">
        <f t="shared" si="68"/>
        <v>358.6305059</v>
      </c>
      <c r="AH78" s="193">
        <f t="shared" si="59"/>
        <v>43.794</v>
      </c>
      <c r="AI78" s="193">
        <f t="shared" si="60"/>
        <v>47.06</v>
      </c>
      <c r="AJ78" s="73">
        <f t="shared" si="61"/>
        <v>146.4930136</v>
      </c>
      <c r="AK78" s="73">
        <f t="shared" si="62"/>
        <v>39.81582685</v>
      </c>
      <c r="AM78" s="51">
        <f t="shared" si="63"/>
        <v>5530.751916</v>
      </c>
      <c r="AN78" s="51" t="str">
        <f t="array" ref="AN78">XLOOKUP(D78,RUC!$B$3:$B$565,RUC!$M$3:$M$565)</f>
        <v>Evelyn</v>
      </c>
      <c r="AO78" s="131" t="s">
        <v>547</v>
      </c>
      <c r="AP78" s="141" t="s">
        <v>860</v>
      </c>
      <c r="AQ78" s="141" t="s">
        <v>861</v>
      </c>
    </row>
    <row r="79" ht="15.0" customHeight="1">
      <c r="A79" s="116" t="s">
        <v>862</v>
      </c>
      <c r="B79" s="182">
        <v>46132.0</v>
      </c>
      <c r="C79" s="182">
        <v>46126.0</v>
      </c>
      <c r="D79" s="2" t="s">
        <v>295</v>
      </c>
      <c r="E79" s="3">
        <f t="array" ref="E79">XLOOKUP(D79,RUC!$B$3:$B$110,RUC!$D$3:$D$110)</f>
        <v>20601769396</v>
      </c>
      <c r="G79" s="141">
        <v>33.0</v>
      </c>
      <c r="H79" s="3" t="s">
        <v>339</v>
      </c>
      <c r="I79" s="6">
        <v>3.01</v>
      </c>
      <c r="J79" s="58">
        <v>12.18</v>
      </c>
      <c r="K79" s="6">
        <f t="shared" si="51"/>
        <v>2.643</v>
      </c>
      <c r="L79" s="60">
        <v>0.474</v>
      </c>
      <c r="M79" s="60">
        <f t="shared" si="69"/>
        <v>0.446</v>
      </c>
      <c r="N79" s="62">
        <f t="shared" si="65"/>
        <v>0.446</v>
      </c>
      <c r="O79" s="60">
        <f t="shared" si="52"/>
        <v>0.446</v>
      </c>
      <c r="P79" s="63">
        <v>90.0</v>
      </c>
      <c r="Q79" s="58">
        <v>97.05</v>
      </c>
      <c r="R79" s="65">
        <v>4794.75</v>
      </c>
      <c r="S79" s="66">
        <f t="array" ref="S79">IF((XLOOKUP(D79,RUC!$B$3:$B$106,RUC!$E$3:$E$106)+ROUNDDOWN(O79,1)*100)&lt;95,95,((XLOOKUP(D79,RUC!$B$3:$B$106,RUC!$E$3:$E$106)+ROUNDDOWN(O79,1)*100)))</f>
        <v>130</v>
      </c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69">
        <f t="array" ref="Z79">XLOOKUP(D79,RUC!$B$3:$B$110,RUC!$H$3:$H$110)</f>
        <v>30</v>
      </c>
      <c r="AA79" s="70">
        <f t="shared" si="53"/>
        <v>50</v>
      </c>
      <c r="AB79" s="71">
        <f t="shared" si="67"/>
        <v>1869.990938</v>
      </c>
      <c r="AC79" s="71">
        <f>+(S79-T79)*V79-'data 1'!$F$4</f>
        <v>63.299</v>
      </c>
      <c r="AD79" s="71">
        <f t="shared" si="55"/>
        <v>172.1970299</v>
      </c>
      <c r="AE79" s="71">
        <f t="shared" si="56"/>
        <v>-14.885</v>
      </c>
      <c r="AF79" s="71">
        <f t="shared" si="57"/>
        <v>140.026995</v>
      </c>
      <c r="AG79" s="72">
        <f t="shared" si="68"/>
        <v>377.6380249</v>
      </c>
      <c r="AH79" s="193">
        <f t="shared" si="59"/>
        <v>41.685</v>
      </c>
      <c r="AI79" s="193">
        <f t="shared" si="60"/>
        <v>42.952</v>
      </c>
      <c r="AJ79" s="73">
        <f t="shared" si="61"/>
        <v>114.2190355</v>
      </c>
      <c r="AK79" s="73">
        <f t="shared" si="62"/>
        <v>36.37337504</v>
      </c>
      <c r="AM79" s="51">
        <f t="shared" si="63"/>
        <v>4942.386048</v>
      </c>
      <c r="AN79" s="51" t="str">
        <f t="array" ref="AN79">XLOOKUP(D79,RUC!$B$3:$B$565,RUC!$M$3:$M$565)</f>
        <v>Evelyn</v>
      </c>
      <c r="AO79" s="131" t="s">
        <v>547</v>
      </c>
      <c r="AP79" s="141" t="s">
        <v>860</v>
      </c>
      <c r="AQ79" s="141" t="s">
        <v>861</v>
      </c>
    </row>
    <row r="80" ht="15.0" customHeight="1">
      <c r="A80" s="116" t="s">
        <v>863</v>
      </c>
      <c r="B80" s="182">
        <v>46132.0</v>
      </c>
      <c r="C80" s="182">
        <v>46126.0</v>
      </c>
      <c r="D80" s="2" t="s">
        <v>295</v>
      </c>
      <c r="E80" s="3">
        <f t="array" ref="E80">XLOOKUP(D80,RUC!$B$3:$B$110,RUC!$D$3:$D$110)</f>
        <v>20601769396</v>
      </c>
      <c r="G80" s="141">
        <v>44.0</v>
      </c>
      <c r="H80" s="3" t="s">
        <v>339</v>
      </c>
      <c r="I80" s="6">
        <v>3.95</v>
      </c>
      <c r="J80" s="58">
        <v>15.75</v>
      </c>
      <c r="K80" s="6">
        <f t="shared" si="51"/>
        <v>3.328</v>
      </c>
      <c r="L80" s="60">
        <v>0.464</v>
      </c>
      <c r="M80" s="60">
        <f t="shared" si="69"/>
        <v>0.436</v>
      </c>
      <c r="N80" s="62">
        <f t="shared" si="65"/>
        <v>0.436</v>
      </c>
      <c r="O80" s="60">
        <f t="shared" si="52"/>
        <v>0.436</v>
      </c>
      <c r="P80" s="63">
        <v>90.0</v>
      </c>
      <c r="Q80" s="58">
        <v>96.12</v>
      </c>
      <c r="R80" s="65">
        <v>4794.75</v>
      </c>
      <c r="S80" s="66">
        <f t="array" ref="S80">IF((XLOOKUP(D80,RUC!$B$3:$B$106,RUC!$E$3:$E$106)+ROUNDDOWN(O80,1)*100)&lt;95,95,((XLOOKUP(D80,RUC!$B$3:$B$106,RUC!$E$3:$E$106)+ROUNDDOWN(O80,1)*100)))</f>
        <v>130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69">
        <f t="array" ref="Z80">XLOOKUP(D80,RUC!$B$3:$B$110,RUC!$H$3:$H$110)</f>
        <v>30</v>
      </c>
      <c r="AA80" s="70">
        <f t="shared" si="53"/>
        <v>50</v>
      </c>
      <c r="AB80" s="71">
        <f t="shared" si="67"/>
        <v>1823.614145</v>
      </c>
      <c r="AC80" s="71">
        <f>+(S80-T80)*V80-'data 1'!$F$4</f>
        <v>63.299</v>
      </c>
      <c r="AD80" s="71">
        <f t="shared" si="55"/>
        <v>146.3280551</v>
      </c>
      <c r="AE80" s="71">
        <f t="shared" si="56"/>
        <v>-14.885</v>
      </c>
      <c r="AF80" s="71">
        <f t="shared" si="57"/>
        <v>138.6851598</v>
      </c>
      <c r="AG80" s="72">
        <f t="shared" si="68"/>
        <v>350.4272149</v>
      </c>
      <c r="AH80" s="193">
        <f t="shared" si="59"/>
        <v>50.889</v>
      </c>
      <c r="AI80" s="193">
        <f t="shared" si="60"/>
        <v>52.943</v>
      </c>
      <c r="AJ80" s="73">
        <f t="shared" si="61"/>
        <v>110.7379169</v>
      </c>
      <c r="AK80" s="73">
        <f t="shared" si="62"/>
        <v>44.77353511</v>
      </c>
      <c r="AM80" s="51">
        <f t="shared" si="63"/>
        <v>6068.987876</v>
      </c>
      <c r="AN80" s="51" t="str">
        <f t="array" ref="AN80">XLOOKUP(D80,RUC!$B$3:$B$565,RUC!$M$3:$M$565)</f>
        <v>Evelyn</v>
      </c>
      <c r="AO80" s="131" t="s">
        <v>547</v>
      </c>
      <c r="AP80" s="141" t="s">
        <v>860</v>
      </c>
      <c r="AQ80" s="141" t="s">
        <v>861</v>
      </c>
    </row>
    <row r="81" ht="15.0" customHeight="1">
      <c r="A81" s="116" t="s">
        <v>864</v>
      </c>
      <c r="B81" s="182">
        <v>46132.0</v>
      </c>
      <c r="C81" s="182">
        <v>46126.0</v>
      </c>
      <c r="D81" s="2" t="s">
        <v>295</v>
      </c>
      <c r="E81" s="3">
        <f t="array" ref="E81">XLOOKUP(D81,RUC!$B$3:$B$110,RUC!$D$3:$D$110)</f>
        <v>20601769396</v>
      </c>
      <c r="G81" s="141">
        <v>24.0</v>
      </c>
      <c r="H81" s="3" t="s">
        <v>339</v>
      </c>
      <c r="I81" s="6">
        <v>2.07</v>
      </c>
      <c r="J81" s="58">
        <v>12.58</v>
      </c>
      <c r="K81" s="6">
        <f t="shared" si="51"/>
        <v>1.81</v>
      </c>
      <c r="L81" s="60">
        <v>0.374</v>
      </c>
      <c r="M81" s="60">
        <f t="shared" si="69"/>
        <v>0.352</v>
      </c>
      <c r="N81" s="62">
        <f t="shared" si="65"/>
        <v>0.352</v>
      </c>
      <c r="O81" s="60">
        <f t="shared" si="52"/>
        <v>0.352</v>
      </c>
      <c r="P81" s="63">
        <v>90.0</v>
      </c>
      <c r="Q81" s="58">
        <v>95.72</v>
      </c>
      <c r="R81" s="65">
        <v>4794.75</v>
      </c>
      <c r="S81" s="66">
        <f t="array" ref="S81">IF((XLOOKUP(D81,RUC!$B$3:$B$106,RUC!$E$3:$E$106)+ROUNDDOWN(O81,1)*100)&lt;95,95,((XLOOKUP(D81,RUC!$B$3:$B$106,RUC!$E$3:$E$106)+ROUNDDOWN(O81,1)*100)))</f>
        <v>120</v>
      </c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69">
        <f t="array" ref="Z81">XLOOKUP(D81,RUC!$B$3:$B$110,RUC!$H$3:$H$110)</f>
        <v>30</v>
      </c>
      <c r="AA81" s="70">
        <f t="shared" si="53"/>
        <v>50</v>
      </c>
      <c r="AB81" s="71">
        <f t="shared" si="67"/>
        <v>1445.07209</v>
      </c>
      <c r="AC81" s="71">
        <f>+(S81-T81)*V81-'data 1'!$F$4</f>
        <v>52.276</v>
      </c>
      <c r="AD81" s="71">
        <f t="shared" si="55"/>
        <v>110.2366048</v>
      </c>
      <c r="AE81" s="71">
        <f t="shared" si="56"/>
        <v>-14.885</v>
      </c>
      <c r="AF81" s="71">
        <f t="shared" si="57"/>
        <v>108.5134493</v>
      </c>
      <c r="AG81" s="72">
        <f t="shared" si="68"/>
        <v>273.141054</v>
      </c>
      <c r="AH81" s="193">
        <f t="shared" si="59"/>
        <v>22.216</v>
      </c>
      <c r="AI81" s="193">
        <f t="shared" si="60"/>
        <v>23.209</v>
      </c>
      <c r="AJ81" s="73">
        <f t="shared" si="61"/>
        <v>88.88713314</v>
      </c>
      <c r="AK81" s="73">
        <f t="shared" si="62"/>
        <v>19.65951579</v>
      </c>
      <c r="AM81" s="51">
        <f t="shared" si="63"/>
        <v>2615.580483</v>
      </c>
      <c r="AN81" s="51" t="str">
        <f t="array" ref="AN81">XLOOKUP(D81,RUC!$B$3:$B$565,RUC!$M$3:$M$565)</f>
        <v>Evelyn</v>
      </c>
      <c r="AO81" s="131" t="s">
        <v>547</v>
      </c>
      <c r="AP81" s="141" t="s">
        <v>860</v>
      </c>
      <c r="AQ81" s="141" t="s">
        <v>861</v>
      </c>
    </row>
    <row r="82" ht="15.0" customHeight="1">
      <c r="A82" s="116" t="s">
        <v>865</v>
      </c>
      <c r="B82" s="182">
        <v>46132.0</v>
      </c>
      <c r="C82" s="182">
        <v>46126.0</v>
      </c>
      <c r="D82" s="2" t="s">
        <v>295</v>
      </c>
      <c r="E82" s="3">
        <f t="array" ref="E82">XLOOKUP(D82,RUC!$B$3:$B$110,RUC!$D$3:$D$110)</f>
        <v>20601769396</v>
      </c>
      <c r="G82" s="141">
        <v>42.0</v>
      </c>
      <c r="H82" s="3" t="s">
        <v>339</v>
      </c>
      <c r="I82" s="6">
        <v>3.87</v>
      </c>
      <c r="J82" s="58">
        <v>16.83</v>
      </c>
      <c r="K82" s="6">
        <f t="shared" si="51"/>
        <v>3.219</v>
      </c>
      <c r="L82" s="60">
        <v>0.838</v>
      </c>
      <c r="M82" s="60">
        <f t="shared" si="69"/>
        <v>0.788</v>
      </c>
      <c r="N82" s="62">
        <f t="shared" si="65"/>
        <v>0.788</v>
      </c>
      <c r="O82" s="60">
        <f t="shared" si="52"/>
        <v>0.788</v>
      </c>
      <c r="P82" s="63">
        <v>90.0</v>
      </c>
      <c r="Q82" s="58">
        <v>97.85</v>
      </c>
      <c r="R82" s="65">
        <v>4794.75</v>
      </c>
      <c r="S82" s="66">
        <f t="array" ref="S82">IF((XLOOKUP(D82,RUC!$B$3:$B$106,RUC!$E$3:$E$106)+ROUNDDOWN(O82,1)*100)&lt;95,95,((XLOOKUP(D82,RUC!$B$3:$B$106,RUC!$E$3:$E$106)+ROUNDDOWN(O82,1)*100)))</f>
        <v>160</v>
      </c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69">
        <f t="array" ref="Z82">XLOOKUP(D82,RUC!$B$3:$B$110,RUC!$H$3:$H$110)</f>
        <v>30</v>
      </c>
      <c r="AA82" s="70">
        <f t="shared" si="53"/>
        <v>50</v>
      </c>
      <c r="AB82" s="71">
        <f t="shared" si="67"/>
        <v>3423.008235</v>
      </c>
      <c r="AC82" s="71">
        <f>+(S82-T82)*V82-'data 1'!$F$4</f>
        <v>96.368</v>
      </c>
      <c r="AD82" s="71">
        <f t="shared" si="55"/>
        <v>338.9782811</v>
      </c>
      <c r="AE82" s="71">
        <f t="shared" si="56"/>
        <v>-14.885</v>
      </c>
      <c r="AF82" s="71">
        <f t="shared" si="57"/>
        <v>252.1093961</v>
      </c>
      <c r="AG82" s="72">
        <f t="shared" si="68"/>
        <v>689.5706771</v>
      </c>
      <c r="AH82" s="193">
        <f t="shared" si="59"/>
        <v>90.497</v>
      </c>
      <c r="AI82" s="193">
        <f t="shared" si="60"/>
        <v>92.486</v>
      </c>
      <c r="AJ82" s="73">
        <f t="shared" si="61"/>
        <v>203.5961005</v>
      </c>
      <c r="AK82" s="73">
        <f t="shared" si="62"/>
        <v>78.2706198</v>
      </c>
      <c r="AM82" s="51">
        <f t="shared" si="63"/>
        <v>11018.66351</v>
      </c>
      <c r="AN82" s="51" t="str">
        <f t="array" ref="AN82">XLOOKUP(D82,RUC!$B$3:$B$565,RUC!$M$3:$M$565)</f>
        <v>Evelyn</v>
      </c>
      <c r="AO82" s="131" t="s">
        <v>547</v>
      </c>
      <c r="AP82" s="141" t="s">
        <v>860</v>
      </c>
      <c r="AQ82" s="141" t="s">
        <v>861</v>
      </c>
    </row>
    <row r="83" ht="15.0" customHeight="1">
      <c r="A83" s="192" t="s">
        <v>866</v>
      </c>
      <c r="B83" s="182"/>
      <c r="C83" s="182">
        <v>46126.0</v>
      </c>
      <c r="D83" s="2" t="s">
        <v>835</v>
      </c>
      <c r="E83" s="3" t="str">
        <f t="array" ref="E83">XLOOKUP(D83,RUC!$B$3:$B$110,RUC!$D$3:$D$110)</f>
        <v>10486077447,</v>
      </c>
      <c r="G83" s="141" t="s">
        <v>735</v>
      </c>
      <c r="H83" s="3" t="s">
        <v>47</v>
      </c>
      <c r="I83" s="6">
        <v>31.71</v>
      </c>
      <c r="J83" s="58">
        <v>2.1</v>
      </c>
      <c r="K83" s="6">
        <f t="shared" si="51"/>
        <v>31.044</v>
      </c>
      <c r="L83" s="60">
        <v>0.081</v>
      </c>
      <c r="M83" s="60">
        <f t="shared" ref="M83:M85" si="70">ROUND(+IF(AN83="Melchor Vera",IF(L83&gt;0.467,L83*0.985,(L83-0.007)),IF(L83&gt;0.3,L83*0.94,(L83-0.024))),3)</f>
        <v>0.057</v>
      </c>
      <c r="N83" s="62">
        <f t="shared" si="65"/>
        <v>0.057</v>
      </c>
      <c r="O83" s="60">
        <f t="shared" si="52"/>
        <v>0.057</v>
      </c>
      <c r="P83" s="63">
        <v>90.0</v>
      </c>
      <c r="Q83" s="58">
        <v>96.1</v>
      </c>
      <c r="R83" s="65">
        <v>4794.75</v>
      </c>
      <c r="S83" s="66">
        <f t="array" ref="S83">IF((XLOOKUP(D83,RUC!$B$3:$B$106,RUC!$E$3:$E$106)+ROUNDDOWN(O83,1)*100)&lt;95,95,((XLOOKUP(D83,RUC!$B$3:$B$106,RUC!$E$3:$E$106)+ROUNDDOWN(O83,1)*100)))</f>
        <v>95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53"/>
        <v>50</v>
      </c>
      <c r="AB83" s="71">
        <f t="shared" si="67"/>
        <v>104.5142163</v>
      </c>
      <c r="AC83" s="71">
        <f>+(S83-T83)*V83-'data 1'!$F$4</f>
        <v>24.7185</v>
      </c>
      <c r="AD83" s="71">
        <f t="shared" si="55"/>
        <v>25.46085899</v>
      </c>
      <c r="AE83" s="71">
        <f t="shared" si="56"/>
        <v>-14.885</v>
      </c>
      <c r="AF83" s="71">
        <f t="shared" si="57"/>
        <v>118.8482598</v>
      </c>
      <c r="AG83" s="72">
        <f t="shared" si="68"/>
        <v>171.1426188</v>
      </c>
      <c r="AH83" s="193">
        <f t="shared" si="59"/>
        <v>82.851</v>
      </c>
      <c r="AI83" s="193">
        <f t="shared" si="60"/>
        <v>86.213</v>
      </c>
      <c r="AJ83" s="73">
        <f t="shared" si="61"/>
        <v>19.32738125</v>
      </c>
      <c r="AK83" s="73">
        <f t="shared" si="62"/>
        <v>54.60144159</v>
      </c>
      <c r="AM83" s="51">
        <f t="shared" si="63"/>
        <v>3244.539329</v>
      </c>
      <c r="AN83" s="51" t="str">
        <f t="array" ref="AN83">XLOOKUP(D83,RUC!$B$3:$B$565,RUC!$M$3:$M$565)</f>
        <v>SIN ACOPIO</v>
      </c>
      <c r="AO83" s="131" t="s">
        <v>701</v>
      </c>
      <c r="AP83" s="141" t="s">
        <v>867</v>
      </c>
      <c r="AQ83" s="141" t="s">
        <v>868</v>
      </c>
    </row>
    <row r="84" ht="15.0" customHeight="1">
      <c r="A84" s="116" t="s">
        <v>869</v>
      </c>
      <c r="B84" s="182">
        <v>46131.0</v>
      </c>
      <c r="C84" s="182">
        <v>46127.0</v>
      </c>
      <c r="D84" s="2" t="s">
        <v>306</v>
      </c>
      <c r="E84" s="3">
        <f t="array" ref="E84">XLOOKUP(D84,RUC!$B$3:$B$110,RUC!$D$3:$D$110)</f>
        <v>20612921866</v>
      </c>
      <c r="G84" s="141" t="s">
        <v>735</v>
      </c>
      <c r="H84" s="3" t="s">
        <v>47</v>
      </c>
      <c r="I84" s="6">
        <v>9.46</v>
      </c>
      <c r="J84" s="58">
        <v>2.1</v>
      </c>
      <c r="K84" s="6">
        <f t="shared" si="51"/>
        <v>9.261</v>
      </c>
      <c r="L84" s="60">
        <v>0.222</v>
      </c>
      <c r="M84" s="60">
        <f t="shared" si="70"/>
        <v>0.198</v>
      </c>
      <c r="N84" s="75">
        <v>0.27</v>
      </c>
      <c r="O84" s="60">
        <f t="shared" si="52"/>
        <v>0.234</v>
      </c>
      <c r="P84" s="63">
        <v>90.0</v>
      </c>
      <c r="Q84" s="58">
        <v>95.5</v>
      </c>
      <c r="R84" s="65">
        <v>4823.25</v>
      </c>
      <c r="S84" s="66">
        <f t="array" ref="S84">IF((XLOOKUP(D84,RUC!$B$3:$B$106,RUC!$E$3:$E$106)+ROUNDDOWN(O84,1)*100)&lt;95,95,((XLOOKUP(D84,RUC!$B$3:$B$106,RUC!$E$3:$E$106)+ROUNDDOWN(O84,1)*100)))</f>
        <v>100</v>
      </c>
      <c r="U84" s="67">
        <f t="array" ref="U84">XLOOKUP(D84,RUC!$B$3:$B$110,RUC!$F$3:$F$110)</f>
        <v>100</v>
      </c>
      <c r="V84" s="67">
        <v>1.1023</v>
      </c>
      <c r="Y84" s="57" t="str">
        <f t="array" ref="Y84">XLOOKUP(D84,RUC!$B$3:$B$110,RUC!$G$3:$G$110)</f>
        <v/>
      </c>
      <c r="Z84" s="69">
        <f t="array" ref="Z84">XLOOKUP(D84,RUC!$B$3:$B$110,RUC!$H$3:$H$110)</f>
        <v>30</v>
      </c>
      <c r="AA84" s="70">
        <f t="shared" si="53"/>
        <v>30</v>
      </c>
      <c r="AB84" s="71">
        <f t="shared" si="67"/>
        <v>953.1769428</v>
      </c>
      <c r="AC84" s="71">
        <f>+(S84-T84)*V84-'data 1'!$F$4</f>
        <v>30.23</v>
      </c>
      <c r="AD84" s="71">
        <f t="shared" si="55"/>
        <v>63.57061378</v>
      </c>
      <c r="AE84" s="71">
        <f t="shared" si="56"/>
        <v>-36.931</v>
      </c>
      <c r="AF84" s="71">
        <f t="shared" si="57"/>
        <v>-59.66578492</v>
      </c>
      <c r="AG84" s="72">
        <f t="shared" ref="AG84:AG87" si="71">AC84+AD84+AE84+AF84+70-10</f>
        <v>57.20382886</v>
      </c>
      <c r="AH84" s="193">
        <f t="shared" si="59"/>
        <v>67.317</v>
      </c>
      <c r="AI84" s="193">
        <f t="shared" si="60"/>
        <v>70.489</v>
      </c>
      <c r="AJ84" s="73">
        <f t="shared" si="61"/>
        <v>41.30623162</v>
      </c>
      <c r="AK84" s="73">
        <f t="shared" si="62"/>
        <v>66.86907572</v>
      </c>
      <c r="AM84" s="51">
        <f t="shared" si="63"/>
        <v>8827.371668</v>
      </c>
      <c r="AN84" s="51" t="str">
        <f t="array" ref="AN84">XLOOKUP(D84,RUC!$B$3:$B$565,RUC!$M$3:$M$565)</f>
        <v>Ronald Garibay</v>
      </c>
      <c r="AO84" s="131" t="s">
        <v>551</v>
      </c>
      <c r="AP84" s="141" t="s">
        <v>870</v>
      </c>
      <c r="AQ84" s="141" t="s">
        <v>737</v>
      </c>
    </row>
    <row r="85" ht="15.0" customHeight="1">
      <c r="A85" s="116" t="s">
        <v>871</v>
      </c>
      <c r="B85" s="182">
        <v>46131.0</v>
      </c>
      <c r="C85" s="182">
        <v>46127.0</v>
      </c>
      <c r="D85" s="2" t="s">
        <v>306</v>
      </c>
      <c r="E85" s="3">
        <f t="array" ref="E85">XLOOKUP(D85,RUC!$B$3:$B$110,RUC!$D$3:$D$110)</f>
        <v>20612921866</v>
      </c>
      <c r="G85" s="141" t="s">
        <v>735</v>
      </c>
      <c r="H85" s="3" t="s">
        <v>47</v>
      </c>
      <c r="I85" s="6">
        <v>10.2</v>
      </c>
      <c r="J85" s="58">
        <v>2.1</v>
      </c>
      <c r="K85" s="6">
        <f t="shared" si="51"/>
        <v>9.986</v>
      </c>
      <c r="L85" s="60">
        <v>0.222</v>
      </c>
      <c r="M85" s="60">
        <f t="shared" si="70"/>
        <v>0.198</v>
      </c>
      <c r="N85" s="75">
        <v>0.27</v>
      </c>
      <c r="O85" s="60">
        <f t="shared" si="52"/>
        <v>0.234</v>
      </c>
      <c r="P85" s="63">
        <v>90.0</v>
      </c>
      <c r="Q85" s="58">
        <v>95.5</v>
      </c>
      <c r="R85" s="65">
        <v>4823.25</v>
      </c>
      <c r="S85" s="66">
        <f t="array" ref="S85">IF((XLOOKUP(D85,RUC!$B$3:$B$106,RUC!$E$3:$E$106)+ROUNDDOWN(O85,1)*100)&lt;95,95,((XLOOKUP(D85,RUC!$B$3:$B$106,RUC!$E$3:$E$106)+ROUNDDOWN(O85,1)*100)))</f>
        <v>100</v>
      </c>
      <c r="U85" s="67">
        <f t="array" ref="U85">XLOOKUP(D85,RUC!$B$3:$B$110,RUC!$F$3:$F$110)</f>
        <v>100</v>
      </c>
      <c r="V85" s="67">
        <v>1.1023</v>
      </c>
      <c r="Y85" s="57" t="str">
        <f t="array" ref="Y85">XLOOKUP(D85,RUC!$B$3:$B$110,RUC!$G$3:$G$110)</f>
        <v/>
      </c>
      <c r="Z85" s="69">
        <f t="array" ref="Z85">XLOOKUP(D85,RUC!$B$3:$B$110,RUC!$H$3:$H$110)</f>
        <v>30</v>
      </c>
      <c r="AA85" s="70">
        <f t="shared" si="53"/>
        <v>30</v>
      </c>
      <c r="AB85" s="71">
        <f t="shared" si="67"/>
        <v>953.1769428</v>
      </c>
      <c r="AC85" s="71">
        <f>+(S85-T85)*V85-'data 1'!$F$4</f>
        <v>30.23</v>
      </c>
      <c r="AD85" s="71">
        <f t="shared" si="55"/>
        <v>63.57061378</v>
      </c>
      <c r="AE85" s="71">
        <f t="shared" si="56"/>
        <v>-36.931</v>
      </c>
      <c r="AF85" s="71">
        <f t="shared" si="57"/>
        <v>-59.66578492</v>
      </c>
      <c r="AG85" s="72">
        <f t="shared" si="71"/>
        <v>57.20382886</v>
      </c>
      <c r="AH85" s="193">
        <f t="shared" si="59"/>
        <v>72.587</v>
      </c>
      <c r="AI85" s="193">
        <f t="shared" si="60"/>
        <v>76.007</v>
      </c>
      <c r="AJ85" s="73">
        <f t="shared" si="61"/>
        <v>41.30623162</v>
      </c>
      <c r="AK85" s="73">
        <f t="shared" si="62"/>
        <v>72.1039402</v>
      </c>
      <c r="AM85" s="51">
        <f t="shared" si="63"/>
        <v>9518.424951</v>
      </c>
      <c r="AN85" s="51" t="str">
        <f t="array" ref="AN85">XLOOKUP(D85,RUC!$B$3:$B$565,RUC!$M$3:$M$565)</f>
        <v>Ronald Garibay</v>
      </c>
      <c r="AO85" s="131" t="s">
        <v>551</v>
      </c>
      <c r="AP85" s="141" t="s">
        <v>872</v>
      </c>
      <c r="AQ85" s="141" t="s">
        <v>782</v>
      </c>
    </row>
    <row r="86" ht="15.0" customHeight="1">
      <c r="A86" s="116" t="s">
        <v>873</v>
      </c>
      <c r="B86" s="182">
        <v>46131.0</v>
      </c>
      <c r="C86" s="182">
        <v>46127.0</v>
      </c>
      <c r="D86" s="2" t="s">
        <v>306</v>
      </c>
      <c r="E86" s="3">
        <f t="array" ref="E86">XLOOKUP(D86,RUC!$B$3:$B$110,RUC!$D$3:$D$110)</f>
        <v>20612921866</v>
      </c>
      <c r="G86" s="141">
        <v>106.0</v>
      </c>
      <c r="H86" s="3" t="s">
        <v>47</v>
      </c>
      <c r="I86" s="6">
        <v>9.3</v>
      </c>
      <c r="J86" s="58">
        <v>2.0</v>
      </c>
      <c r="K86" s="6">
        <f t="shared" si="51"/>
        <v>9.114</v>
      </c>
      <c r="L86" s="60">
        <v>0.183</v>
      </c>
      <c r="M86" s="60">
        <f t="array" ref="M86">ROUND(+IF(L86&gt;XLOOKUP(AN86,RUC!M:M,RUC!K:K),L86*XLOOKUP(AN86,RUC!M:M,RUC!I:I),L86-XLOOKUP(AN86,RUC!M:M,RUC!J:J)),3)</f>
        <v>0.164</v>
      </c>
      <c r="N86" s="62">
        <f t="shared" ref="N86:N88" si="72">+M86</f>
        <v>0.164</v>
      </c>
      <c r="O86" s="60">
        <f t="shared" si="52"/>
        <v>0.164</v>
      </c>
      <c r="P86" s="63">
        <v>90.0</v>
      </c>
      <c r="Q86" s="58">
        <v>96.17</v>
      </c>
      <c r="R86" s="65">
        <v>4823.25</v>
      </c>
      <c r="S86" s="66">
        <f t="array" ref="S86">IF((XLOOKUP(D86,RUC!$B$3:$B$106,RUC!$E$3:$E$106)+ROUNDDOWN(O86,1)*100)&lt;95,95,((XLOOKUP(D86,RUC!$B$3:$B$106,RUC!$E$3:$E$106)+ROUNDDOWN(O86,1)*100)))</f>
        <v>95</v>
      </c>
      <c r="U86" s="67">
        <f t="array" ref="U86">XLOOKUP(D86,RUC!$B$3:$B$110,RUC!$F$3:$F$110)</f>
        <v>100</v>
      </c>
      <c r="V86" s="67">
        <v>1.1023</v>
      </c>
      <c r="Y86" s="57" t="str">
        <f t="array" ref="Y86">XLOOKUP(D86,RUC!$B$3:$B$110,RUC!$G$3:$G$110)</f>
        <v/>
      </c>
      <c r="Z86" s="69">
        <f t="array" ref="Z86">XLOOKUP(D86,RUC!$B$3:$B$110,RUC!$H$3:$H$110)</f>
        <v>30</v>
      </c>
      <c r="AA86" s="70">
        <f t="shared" si="53"/>
        <v>30</v>
      </c>
      <c r="AB86" s="71">
        <f t="shared" si="67"/>
        <v>630.6828189</v>
      </c>
      <c r="AC86" s="71">
        <f>+(S86-T86)*V86-'data 1'!$F$4</f>
        <v>24.7185</v>
      </c>
      <c r="AD86" s="71">
        <f t="shared" si="55"/>
        <v>58.78641747</v>
      </c>
      <c r="AE86" s="71">
        <f t="shared" si="56"/>
        <v>-36.931</v>
      </c>
      <c r="AF86" s="71">
        <f t="shared" si="57"/>
        <v>95.13360575</v>
      </c>
      <c r="AG86" s="72">
        <f t="shared" si="71"/>
        <v>201.7075232</v>
      </c>
      <c r="AH86" s="193">
        <f t="shared" si="59"/>
        <v>54.993</v>
      </c>
      <c r="AI86" s="193">
        <f t="shared" si="60"/>
        <v>57.183</v>
      </c>
      <c r="AJ86" s="73">
        <f t="shared" si="61"/>
        <v>34.2886144</v>
      </c>
      <c r="AK86" s="73">
        <f t="shared" si="62"/>
        <v>46.12160914</v>
      </c>
      <c r="AM86" s="51">
        <f t="shared" si="63"/>
        <v>5748.043212</v>
      </c>
      <c r="AN86" s="51" t="str">
        <f t="array" ref="AN86">XLOOKUP(D86,RUC!$B$3:$B$565,RUC!$M$3:$M$565)</f>
        <v>Ronald Garibay</v>
      </c>
      <c r="AO86" s="131" t="s">
        <v>551</v>
      </c>
      <c r="AP86" s="141" t="s">
        <v>874</v>
      </c>
      <c r="AQ86" s="141" t="s">
        <v>875</v>
      </c>
    </row>
    <row r="87" ht="15.0" customHeight="1">
      <c r="A87" s="202" t="s">
        <v>876</v>
      </c>
      <c r="B87" s="182">
        <v>46132.0</v>
      </c>
      <c r="C87" s="182">
        <v>46128.0</v>
      </c>
      <c r="D87" s="2" t="s">
        <v>306</v>
      </c>
      <c r="E87" s="3">
        <f t="array" ref="E87">XLOOKUP(D87,RUC!$B$3:$B$110,RUC!$D$3:$D$110)</f>
        <v>20612921866</v>
      </c>
      <c r="G87" s="141" t="s">
        <v>735</v>
      </c>
      <c r="H87" s="3" t="s">
        <v>47</v>
      </c>
      <c r="I87" s="6">
        <v>2.22</v>
      </c>
      <c r="J87" s="58">
        <v>2.0</v>
      </c>
      <c r="K87" s="6">
        <f t="shared" si="51"/>
        <v>2.176</v>
      </c>
      <c r="L87" s="60">
        <v>0.374</v>
      </c>
      <c r="M87" s="60">
        <v>0.355</v>
      </c>
      <c r="N87" s="62">
        <f t="shared" si="72"/>
        <v>0.355</v>
      </c>
      <c r="O87" s="60">
        <f t="shared" si="52"/>
        <v>0.355</v>
      </c>
      <c r="P87" s="63">
        <v>90.0</v>
      </c>
      <c r="Q87" s="58">
        <v>98.93</v>
      </c>
      <c r="R87" s="65">
        <v>4793.6</v>
      </c>
      <c r="S87" s="66">
        <f t="array" ref="S87">IF((XLOOKUP(D87,RUC!$B$3:$B$106,RUC!$E$3:$E$106)+ROUNDDOWN(O87,1)*100)&lt;95,95,((XLOOKUP(D87,RUC!$B$3:$B$106,RUC!$E$3:$E$106)+ROUNDDOWN(O87,1)*100)))</f>
        <v>110</v>
      </c>
      <c r="U87" s="67">
        <f t="array" ref="U87">XLOOKUP(D87,RUC!$B$3:$B$110,RUC!$F$3:$F$110)</f>
        <v>100</v>
      </c>
      <c r="V87" s="67">
        <v>1.1023</v>
      </c>
      <c r="Y87" s="57" t="str">
        <f t="array" ref="Y87">XLOOKUP(D87,RUC!$B$3:$B$110,RUC!$G$3:$G$110)</f>
        <v/>
      </c>
      <c r="Z87" s="69">
        <f t="array" ref="Z87">XLOOKUP(D87,RUC!$B$3:$B$110,RUC!$H$3:$H$110)</f>
        <v>30</v>
      </c>
      <c r="AA87" s="70">
        <f t="shared" si="53"/>
        <v>30</v>
      </c>
      <c r="AB87" s="71">
        <f t="shared" si="67"/>
        <v>1498.692812</v>
      </c>
      <c r="AC87" s="71">
        <f>+(S87-T87)*V87-'data 1'!$F$4</f>
        <v>41.253</v>
      </c>
      <c r="AD87" s="71">
        <f t="shared" si="55"/>
        <v>172.7941136</v>
      </c>
      <c r="AE87" s="71">
        <f t="shared" si="56"/>
        <v>-36.931</v>
      </c>
      <c r="AF87" s="71">
        <f t="shared" si="57"/>
        <v>97.24952587</v>
      </c>
      <c r="AG87" s="72">
        <f t="shared" si="71"/>
        <v>334.3656395</v>
      </c>
      <c r="AH87" s="193">
        <f t="shared" si="59"/>
        <v>27.604</v>
      </c>
      <c r="AI87" s="193">
        <f t="shared" si="60"/>
        <v>27.902</v>
      </c>
      <c r="AJ87" s="73">
        <f t="shared" si="61"/>
        <v>84.18003687</v>
      </c>
      <c r="AK87" s="73">
        <f t="shared" si="62"/>
        <v>23.8362989</v>
      </c>
      <c r="AM87" s="51">
        <f t="shared" si="63"/>
        <v>3261.155559</v>
      </c>
      <c r="AN87" s="51" t="str">
        <f t="array" ref="AN87">XLOOKUP(D87,RUC!$B$3:$B$565,RUC!$M$3:$M$565)</f>
        <v>Ronald Garibay</v>
      </c>
      <c r="AO87" s="131" t="s">
        <v>547</v>
      </c>
      <c r="AP87" s="141" t="s">
        <v>877</v>
      </c>
      <c r="AQ87" s="141" t="s">
        <v>878</v>
      </c>
    </row>
    <row r="88" ht="15.0" customHeight="1">
      <c r="A88" s="202" t="s">
        <v>879</v>
      </c>
      <c r="B88" s="182">
        <v>46135.0</v>
      </c>
      <c r="C88" s="182">
        <v>46128.0</v>
      </c>
      <c r="D88" s="57" t="s">
        <v>225</v>
      </c>
      <c r="E88" s="3">
        <f t="array" ref="E88">XLOOKUP(D88,RUC!$B$3:$B$110,RUC!$D$3:$D$110)</f>
        <v>10761932735</v>
      </c>
      <c r="G88" s="141">
        <v>131.0</v>
      </c>
      <c r="H88" s="3" t="s">
        <v>47</v>
      </c>
      <c r="I88" s="6">
        <v>12.43</v>
      </c>
      <c r="J88" s="58">
        <v>12.45</v>
      </c>
      <c r="K88" s="6">
        <f t="shared" si="51"/>
        <v>10.882</v>
      </c>
      <c r="L88" s="60">
        <v>0.217</v>
      </c>
      <c r="M88" s="60">
        <f t="array" ref="M88">ROUND(+IF(L88&gt;XLOOKUP(AN88,RUC!M:M,RUC!K:K),L88*XLOOKUP(AN88,RUC!M:M,RUC!I:I),L88-XLOOKUP(AN88,RUC!M:M,RUC!J:J)),3)</f>
        <v>0.182</v>
      </c>
      <c r="N88" s="62">
        <f t="shared" si="72"/>
        <v>0.182</v>
      </c>
      <c r="O88" s="60">
        <f t="shared" si="52"/>
        <v>0.182</v>
      </c>
      <c r="P88" s="63">
        <v>90.0</v>
      </c>
      <c r="Q88" s="58">
        <v>94.93</v>
      </c>
      <c r="R88" s="65">
        <v>4793.6</v>
      </c>
      <c r="S88" s="66">
        <f t="array" ref="S88">IF((XLOOKUP(D88,RUC!$B$3:$B$106,RUC!$E$3:$E$106)+ROUNDDOWN(O88,1)*100)&lt;95,95,((XLOOKUP(D88,RUC!$B$3:$B$106,RUC!$E$3:$E$106)+ROUNDDOWN(O88,1)*100)))</f>
        <v>100</v>
      </c>
      <c r="U88" s="67">
        <f t="array" ref="U88">XLOOKUP(D88,RUC!$B$3:$B$110,RUC!$F$3:$F$110)</f>
        <v>120</v>
      </c>
      <c r="V88" s="67">
        <v>1.1023</v>
      </c>
      <c r="Y88" s="2">
        <f t="array" ref="Y88">XLOOKUP(D88,RUC!$B$3:$B$110,RUC!$G$3:$G$110)</f>
        <v>20</v>
      </c>
      <c r="Z88" s="69">
        <f t="array" ref="Z88">XLOOKUP(D88,RUC!$B$3:$B$110,RUC!$H$3:$H$110)</f>
        <v>30</v>
      </c>
      <c r="AA88" s="70">
        <f t="shared" si="53"/>
        <v>50</v>
      </c>
      <c r="AB88" s="71">
        <f t="shared" si="67"/>
        <v>678.5049801</v>
      </c>
      <c r="AC88" s="71">
        <f>+(S88-T88)*V88-'data 1'!$F$4</f>
        <v>30.23</v>
      </c>
      <c r="AD88" s="71">
        <f t="shared" si="55"/>
        <v>55.11350105</v>
      </c>
      <c r="AE88" s="71">
        <f t="shared" si="56"/>
        <v>-14.885</v>
      </c>
      <c r="AF88" s="71">
        <f t="shared" si="57"/>
        <v>171.1681167</v>
      </c>
      <c r="AG88" s="72">
        <f t="shared" ref="AG88:AG119" si="73">AC88+AD88+AE88+AF88+70-53</f>
        <v>258.6266177</v>
      </c>
      <c r="AH88" s="193">
        <f t="shared" si="59"/>
        <v>76.857</v>
      </c>
      <c r="AI88" s="193">
        <f t="shared" si="60"/>
        <v>80.961</v>
      </c>
      <c r="AJ88" s="73">
        <f t="shared" si="61"/>
        <v>51.40903415</v>
      </c>
      <c r="AK88" s="73">
        <f t="shared" si="62"/>
        <v>61.11273049</v>
      </c>
      <c r="AL88" s="2"/>
      <c r="AM88" s="51">
        <f t="shared" si="63"/>
        <v>7383.491193</v>
      </c>
      <c r="AN88" s="51" t="str">
        <f t="array" ref="AN88">XLOOKUP(D88,RUC!$B$3:$B$565,RUC!$M$3:$M$565)</f>
        <v>Richard Sapacayo</v>
      </c>
      <c r="AO88" s="131" t="s">
        <v>547</v>
      </c>
      <c r="AP88" s="205">
        <v>162.0</v>
      </c>
      <c r="AQ88" s="141" t="s">
        <v>880</v>
      </c>
    </row>
    <row r="89" ht="15.0" customHeight="1">
      <c r="A89" s="202" t="s">
        <v>881</v>
      </c>
      <c r="B89" s="182">
        <v>46135.0</v>
      </c>
      <c r="C89" s="182">
        <v>46129.0</v>
      </c>
      <c r="D89" s="57" t="s">
        <v>225</v>
      </c>
      <c r="E89" s="3">
        <f t="array" ref="E89">XLOOKUP(D89,RUC!$B$3:$B$110,RUC!$D$3:$D$110)</f>
        <v>10761932735</v>
      </c>
      <c r="G89" s="141" t="s">
        <v>735</v>
      </c>
      <c r="H89" s="3" t="s">
        <v>47</v>
      </c>
      <c r="I89" s="6">
        <v>34.2</v>
      </c>
      <c r="J89" s="58">
        <v>10.13</v>
      </c>
      <c r="K89" s="6">
        <f t="shared" si="51"/>
        <v>30.736</v>
      </c>
      <c r="L89" s="60">
        <v>0.105</v>
      </c>
      <c r="M89" s="60">
        <f t="array" ref="M89">ROUND(+IF(L89&gt;XLOOKUP(AN89,RUC!M:M,RUC!K:K),L89*XLOOKUP(AN89,RUC!M:M,RUC!I:I),L89-XLOOKUP(AN89,RUC!M:M,RUC!J:J)),3)</f>
        <v>0.07</v>
      </c>
      <c r="N89" s="75">
        <v>0.154</v>
      </c>
      <c r="O89" s="60">
        <f t="shared" si="52"/>
        <v>0.112</v>
      </c>
      <c r="P89" s="63">
        <v>80.0</v>
      </c>
      <c r="Q89" s="58">
        <v>97.14</v>
      </c>
      <c r="R89" s="65">
        <v>4870.5</v>
      </c>
      <c r="S89" s="66">
        <f t="array" ref="S89">IF((XLOOKUP(D89,RUC!$B$3:$B$106,RUC!$E$3:$E$106)+ROUNDDOWN(O89,1)*100)&lt;95,95,((XLOOKUP(D89,RUC!$B$3:$B$106,RUC!$E$3:$E$106)+ROUNDDOWN(O89,1)*100)))</f>
        <v>100</v>
      </c>
      <c r="U89" s="67">
        <f t="array" ref="U89">XLOOKUP(D89,RUC!$B$3:$B$110,RUC!$F$3:$F$110)</f>
        <v>120</v>
      </c>
      <c r="V89" s="67">
        <v>1.1023</v>
      </c>
      <c r="Y89" s="2">
        <f t="array" ref="Y89">XLOOKUP(D89,RUC!$B$3:$B$110,RUC!$G$3:$G$110)</f>
        <v>20</v>
      </c>
      <c r="Z89" s="69">
        <f t="array" ref="Z89">XLOOKUP(D89,RUC!$B$3:$B$110,RUC!$H$3:$H$110)</f>
        <v>30</v>
      </c>
      <c r="AA89" s="70">
        <f t="shared" si="53"/>
        <v>50</v>
      </c>
      <c r="AB89" s="71">
        <f t="shared" si="67"/>
        <v>303.843263</v>
      </c>
      <c r="AC89" s="71">
        <f>+(S89-T89)*V89-'data 1'!$F$4</f>
        <v>30.23</v>
      </c>
      <c r="AD89" s="71">
        <f t="shared" si="55"/>
        <v>94.24086127</v>
      </c>
      <c r="AE89" s="71">
        <f t="shared" si="56"/>
        <v>-14.885</v>
      </c>
      <c r="AF89" s="71">
        <f t="shared" si="57"/>
        <v>-35.60699052</v>
      </c>
      <c r="AG89" s="72">
        <f t="shared" si="73"/>
        <v>90.97887075</v>
      </c>
      <c r="AH89" s="193">
        <f t="shared" si="59"/>
        <v>107.484</v>
      </c>
      <c r="AI89" s="193">
        <f t="shared" si="60"/>
        <v>110.649</v>
      </c>
      <c r="AJ89" s="73">
        <f t="shared" si="61"/>
        <v>16.80847832</v>
      </c>
      <c r="AK89" s="73">
        <f t="shared" si="62"/>
        <v>94.42009356</v>
      </c>
      <c r="AL89" s="2"/>
      <c r="AM89" s="51">
        <f t="shared" si="63"/>
        <v>9338.926533</v>
      </c>
      <c r="AN89" s="51" t="str">
        <f t="array" ref="AN89">XLOOKUP(D89,RUC!$B$3:$B$565,RUC!$M$3:$M$565)</f>
        <v>Richard Sapacayo</v>
      </c>
      <c r="AO89" s="131" t="s">
        <v>547</v>
      </c>
      <c r="AP89" s="205">
        <v>162.0</v>
      </c>
      <c r="AQ89" s="141" t="s">
        <v>880</v>
      </c>
    </row>
    <row r="90" ht="15.0" customHeight="1">
      <c r="A90" s="202" t="s">
        <v>882</v>
      </c>
      <c r="B90" s="182">
        <v>46133.0</v>
      </c>
      <c r="C90" s="182">
        <v>46129.0</v>
      </c>
      <c r="D90" s="57" t="s">
        <v>806</v>
      </c>
      <c r="E90" s="3">
        <f t="array" ref="E90">XLOOKUP(D90,RUC!$B$3:$B$110,RUC!$D$3:$D$110)</f>
        <v>20614284740</v>
      </c>
      <c r="G90" s="141">
        <v>101.0</v>
      </c>
      <c r="H90" s="3" t="s">
        <v>47</v>
      </c>
      <c r="I90" s="6">
        <v>8.23</v>
      </c>
      <c r="J90" s="58">
        <v>2.0</v>
      </c>
      <c r="K90" s="6">
        <f t="shared" si="51"/>
        <v>8.065</v>
      </c>
      <c r="L90" s="60">
        <v>0.311</v>
      </c>
      <c r="M90" s="60">
        <f t="array" ref="M90">ROUND(+IF(L90&gt;XLOOKUP(AN90,RUC!M:M,RUC!K:K),L90*XLOOKUP(AN90,RUC!M:M,RUC!I:I),L90-XLOOKUP(AN90,RUC!M:M,RUC!J:J)),3)</f>
        <v>0.292</v>
      </c>
      <c r="N90" s="75">
        <v>0.327</v>
      </c>
      <c r="O90" s="60">
        <f t="shared" si="52"/>
        <v>0.31</v>
      </c>
      <c r="P90" s="63">
        <v>90.0</v>
      </c>
      <c r="Q90" s="58">
        <v>98.07</v>
      </c>
      <c r="R90" s="65">
        <v>4870.5</v>
      </c>
      <c r="S90" s="66">
        <f t="array" ref="S90">IF((XLOOKUP(D90,RUC!$B$3:$B$106,RUC!$E$3:$E$106)+ROUNDDOWN(O90,1)*100)&lt;95,95,((XLOOKUP(D90,RUC!$B$3:$B$106,RUC!$E$3:$E$106)+ROUNDDOWN(O90,1)*100)))</f>
        <v>120</v>
      </c>
      <c r="U90" s="67">
        <f t="array" ref="U90">XLOOKUP(D90,RUC!$B$3:$B$110,RUC!$F$3:$F$110)</f>
        <v>120</v>
      </c>
      <c r="V90" s="67">
        <v>1.1023</v>
      </c>
      <c r="Y90" s="2">
        <f t="array" ref="Y90">XLOOKUP(D90,RUC!$B$3:$B$110,RUC!$G$3:$G$110)</f>
        <v>20</v>
      </c>
      <c r="Z90" s="69">
        <f t="array" ref="Z90">XLOOKUP(D90,RUC!$B$3:$B$110,RUC!$H$3:$H$110)</f>
        <v>30</v>
      </c>
      <c r="AA90" s="70">
        <f t="shared" si="53"/>
        <v>50</v>
      </c>
      <c r="AB90" s="71">
        <f t="shared" si="67"/>
        <v>1273.585846</v>
      </c>
      <c r="AC90" s="71">
        <f>+(S90-T90)*V90-'data 1'!$F$4</f>
        <v>52.276</v>
      </c>
      <c r="AD90" s="71">
        <f t="shared" si="55"/>
        <v>131.4235075</v>
      </c>
      <c r="AE90" s="71">
        <f t="shared" si="56"/>
        <v>-14.885</v>
      </c>
      <c r="AF90" s="71">
        <f t="shared" si="57"/>
        <v>5.13541216</v>
      </c>
      <c r="AG90" s="72">
        <f t="shared" si="73"/>
        <v>190.9499196</v>
      </c>
      <c r="AH90" s="193">
        <f t="shared" si="59"/>
        <v>84.335</v>
      </c>
      <c r="AI90" s="193">
        <f t="shared" si="60"/>
        <v>85.995</v>
      </c>
      <c r="AJ90" s="73">
        <f t="shared" si="61"/>
        <v>50.26174522</v>
      </c>
      <c r="AK90" s="73">
        <f t="shared" si="62"/>
        <v>77.14675164</v>
      </c>
      <c r="AL90" s="2"/>
      <c r="AM90" s="51">
        <f t="shared" si="63"/>
        <v>10271.46985</v>
      </c>
      <c r="AN90" s="51" t="str">
        <f t="array" ref="AN90">XLOOKUP(D90,RUC!$B$3:$B$565,RUC!$M$3:$M$565)</f>
        <v>Dante </v>
      </c>
      <c r="AO90" s="131" t="s">
        <v>547</v>
      </c>
      <c r="AP90" s="205">
        <v>295.0</v>
      </c>
      <c r="AQ90" s="141" t="s">
        <v>883</v>
      </c>
    </row>
    <row r="91" ht="15.0" customHeight="1">
      <c r="A91" s="202" t="s">
        <v>884</v>
      </c>
      <c r="B91" s="182">
        <v>46135.0</v>
      </c>
      <c r="C91" s="182">
        <v>46130.0</v>
      </c>
      <c r="D91" s="57" t="s">
        <v>602</v>
      </c>
      <c r="E91" s="3">
        <f t="array" ref="E91">XLOOKUP(D91,RUC!$B$3:$B$110,RUC!$D$3:$D$110)</f>
        <v>20169040231</v>
      </c>
      <c r="G91" s="141">
        <v>81.0</v>
      </c>
      <c r="H91" s="3" t="s">
        <v>47</v>
      </c>
      <c r="I91" s="6">
        <v>7.68</v>
      </c>
      <c r="J91" s="58">
        <v>2.1</v>
      </c>
      <c r="K91" s="6">
        <f t="shared" si="51"/>
        <v>7.519</v>
      </c>
      <c r="L91" s="60">
        <v>0.166</v>
      </c>
      <c r="M91" s="60">
        <f t="array" ref="M91">ROUND(+IF(L91&gt;XLOOKUP(AN91,RUC!M:M,RUC!K:K),L91*XLOOKUP(AN91,RUC!M:M,RUC!I:I),L91-XLOOKUP(AN91,RUC!M:M,RUC!J:J)),3)</f>
        <v>0.147</v>
      </c>
      <c r="N91" s="62">
        <f t="shared" ref="N91:N96" si="74">+M91</f>
        <v>0.147</v>
      </c>
      <c r="O91" s="60">
        <f t="shared" si="52"/>
        <v>0.147</v>
      </c>
      <c r="P91" s="63">
        <v>80.0</v>
      </c>
      <c r="Q91" s="58">
        <v>93.37</v>
      </c>
      <c r="R91" s="65">
        <v>4870.5</v>
      </c>
      <c r="S91" s="66">
        <f t="array" ref="S91">IF((XLOOKUP(D91,RUC!$B$3:$B$106,RUC!$E$3:$E$106)+ROUNDDOWN(O91,1)*100)&lt;95,95,((XLOOKUP(D91,RUC!$B$3:$B$106,RUC!$E$3:$E$106)+ROUNDDOWN(O91,1)*100)))</f>
        <v>95</v>
      </c>
      <c r="U91" s="67">
        <f t="array" ref="U91">XLOOKUP(D91,RUC!$B$3:$B$110,RUC!$F$3:$F$110)</f>
        <v>120</v>
      </c>
      <c r="V91" s="67">
        <v>1.1023</v>
      </c>
      <c r="Y91" s="2">
        <f t="array" ref="Y91">XLOOKUP(D91,RUC!$B$3:$B$110,RUC!$G$3:$G$110)</f>
        <v>20</v>
      </c>
      <c r="Z91" s="140">
        <v>35.0</v>
      </c>
      <c r="AA91" s="70">
        <f t="shared" si="53"/>
        <v>55</v>
      </c>
      <c r="AB91" s="71">
        <f t="shared" si="67"/>
        <v>450.4645952</v>
      </c>
      <c r="AC91" s="71">
        <f>+(S91-T91)*V91-'data 1'!$F$4</f>
        <v>24.7185</v>
      </c>
      <c r="AD91" s="71">
        <f t="shared" si="55"/>
        <v>116.219399</v>
      </c>
      <c r="AE91" s="71">
        <f t="shared" si="56"/>
        <v>-9.3735</v>
      </c>
      <c r="AF91" s="71">
        <f t="shared" si="57"/>
        <v>92.89665784</v>
      </c>
      <c r="AG91" s="72">
        <f t="shared" si="73"/>
        <v>241.4610568</v>
      </c>
      <c r="AH91" s="193">
        <f t="shared" si="59"/>
        <v>39.956</v>
      </c>
      <c r="AI91" s="193">
        <f t="shared" si="60"/>
        <v>42.793</v>
      </c>
      <c r="AJ91" s="73">
        <f t="shared" si="61"/>
        <v>25.54209095</v>
      </c>
      <c r="AK91" s="73">
        <f t="shared" si="62"/>
        <v>30.31631953</v>
      </c>
      <c r="AL91" s="2"/>
      <c r="AM91" s="51">
        <f t="shared" si="63"/>
        <v>3387.043292</v>
      </c>
      <c r="AN91" s="51" t="str">
        <f t="array" ref="AN91">XLOOKUP(D91,RUC!$B$3:$B$565,RUC!$M$3:$M$565)</f>
        <v>Ronald Miranda</v>
      </c>
      <c r="AO91" s="131" t="s">
        <v>547</v>
      </c>
      <c r="AP91" s="205">
        <v>6403.0</v>
      </c>
      <c r="AQ91" s="141" t="s">
        <v>885</v>
      </c>
    </row>
    <row r="92" ht="15.0" customHeight="1">
      <c r="A92" s="202" t="s">
        <v>886</v>
      </c>
      <c r="B92" s="182">
        <v>46135.0</v>
      </c>
      <c r="C92" s="182">
        <v>46130.0</v>
      </c>
      <c r="D92" s="57" t="s">
        <v>602</v>
      </c>
      <c r="E92" s="3">
        <f t="array" ref="E92">XLOOKUP(D92,RUC!$B$3:$B$110,RUC!$D$3:$D$110)</f>
        <v>20169040231</v>
      </c>
      <c r="G92" s="141">
        <v>81.0</v>
      </c>
      <c r="H92" s="3" t="s">
        <v>47</v>
      </c>
      <c r="I92" s="6">
        <v>7.73</v>
      </c>
      <c r="J92" s="58">
        <v>2.2</v>
      </c>
      <c r="K92" s="6">
        <f t="shared" si="51"/>
        <v>7.56</v>
      </c>
      <c r="L92" s="60">
        <v>0.153</v>
      </c>
      <c r="M92" s="60">
        <f t="array" ref="M92">ROUND(+IF(L92&gt;XLOOKUP(AN92,RUC!M:M,RUC!K:K),L92*XLOOKUP(AN92,RUC!M:M,RUC!I:I),L92-XLOOKUP(AN92,RUC!M:M,RUC!J:J)),3)</f>
        <v>0.134</v>
      </c>
      <c r="N92" s="62">
        <f t="shared" si="74"/>
        <v>0.134</v>
      </c>
      <c r="O92" s="60">
        <f t="shared" si="52"/>
        <v>0.134</v>
      </c>
      <c r="P92" s="63">
        <v>80.0</v>
      </c>
      <c r="Q92" s="58">
        <v>94.77</v>
      </c>
      <c r="R92" s="65">
        <v>4870.5</v>
      </c>
      <c r="S92" s="66">
        <f t="array" ref="S92">IF((XLOOKUP(D92,RUC!$B$3:$B$106,RUC!$E$3:$E$106)+ROUNDDOWN(O92,1)*100)&lt;95,95,((XLOOKUP(D92,RUC!$B$3:$B$106,RUC!$E$3:$E$106)+ROUNDDOWN(O92,1)*100)))</f>
        <v>95</v>
      </c>
      <c r="U92" s="67">
        <f t="array" ref="U92">XLOOKUP(D92,RUC!$B$3:$B$110,RUC!$F$3:$F$110)</f>
        <v>120</v>
      </c>
      <c r="V92" s="67">
        <v>1.1023</v>
      </c>
      <c r="Y92" s="2">
        <f t="array" ref="Y92">XLOOKUP(D92,RUC!$B$3:$B$110,RUC!$G$3:$G$110)</f>
        <v>20</v>
      </c>
      <c r="Z92" s="140">
        <v>35.0</v>
      </c>
      <c r="AA92" s="70">
        <f t="shared" si="53"/>
        <v>55</v>
      </c>
      <c r="AB92" s="71">
        <f t="shared" si="67"/>
        <v>396.0052433</v>
      </c>
      <c r="AC92" s="71">
        <f>+(S92-T92)*V92-'data 1'!$F$4</f>
        <v>24.7185</v>
      </c>
      <c r="AD92" s="71">
        <f t="shared" si="55"/>
        <v>118.3344117</v>
      </c>
      <c r="AE92" s="71">
        <f t="shared" si="56"/>
        <v>-9.3735</v>
      </c>
      <c r="AF92" s="71">
        <f t="shared" si="57"/>
        <v>94.2895605</v>
      </c>
      <c r="AG92" s="72">
        <f t="shared" si="73"/>
        <v>244.9689722</v>
      </c>
      <c r="AH92" s="193">
        <f t="shared" si="59"/>
        <v>37.583</v>
      </c>
      <c r="AI92" s="193">
        <f t="shared" si="60"/>
        <v>39.657</v>
      </c>
      <c r="AJ92" s="73">
        <f t="shared" si="61"/>
        <v>23.89479514</v>
      </c>
      <c r="AK92" s="73">
        <f t="shared" si="62"/>
        <v>27.78597561</v>
      </c>
      <c r="AL92" s="2"/>
      <c r="AM92" s="51">
        <f t="shared" si="63"/>
        <v>2993.799639</v>
      </c>
      <c r="AN92" s="51" t="str">
        <f t="array" ref="AN92">XLOOKUP(D92,RUC!$B$3:$B$565,RUC!$M$3:$M$565)</f>
        <v>Ronald Miranda</v>
      </c>
      <c r="AO92" s="131" t="s">
        <v>547</v>
      </c>
      <c r="AP92" s="205">
        <v>6403.0</v>
      </c>
      <c r="AQ92" s="141" t="s">
        <v>885</v>
      </c>
    </row>
    <row r="93" ht="15.0" customHeight="1">
      <c r="A93" s="202" t="s">
        <v>887</v>
      </c>
      <c r="B93" s="182">
        <v>46135.0</v>
      </c>
      <c r="C93" s="182">
        <v>46130.0</v>
      </c>
      <c r="D93" s="57" t="s">
        <v>602</v>
      </c>
      <c r="E93" s="3">
        <f t="array" ref="E93">XLOOKUP(D93,RUC!$B$3:$B$110,RUC!$D$3:$D$110)</f>
        <v>20169040231</v>
      </c>
      <c r="G93" s="141">
        <v>38.0</v>
      </c>
      <c r="H93" s="3" t="s">
        <v>47</v>
      </c>
      <c r="I93" s="6">
        <v>3.69</v>
      </c>
      <c r="J93" s="58">
        <v>4.25</v>
      </c>
      <c r="K93" s="6">
        <f t="shared" si="51"/>
        <v>3.533</v>
      </c>
      <c r="L93" s="60">
        <v>0.248</v>
      </c>
      <c r="M93" s="60">
        <f t="array" ref="M93">ROUND(+IF(L93&gt;XLOOKUP(AN93,RUC!M:M,RUC!K:K),L93*XLOOKUP(AN93,RUC!M:M,RUC!I:I),L93-XLOOKUP(AN93,RUC!M:M,RUC!J:J)),3)</f>
        <v>0.229</v>
      </c>
      <c r="N93" s="62">
        <f t="shared" si="74"/>
        <v>0.229</v>
      </c>
      <c r="O93" s="60">
        <f t="shared" si="52"/>
        <v>0.229</v>
      </c>
      <c r="P93" s="63">
        <v>90.0</v>
      </c>
      <c r="Q93" s="58">
        <v>98.79</v>
      </c>
      <c r="R93" s="65">
        <v>4870.5</v>
      </c>
      <c r="S93" s="66">
        <f t="array" ref="S93">IF((XLOOKUP(D93,RUC!$B$3:$B$106,RUC!$E$3:$E$106)+ROUNDDOWN(O93,1)*100)&lt;95,95,((XLOOKUP(D93,RUC!$B$3:$B$106,RUC!$E$3:$E$106)+ROUNDDOWN(O93,1)*100)))</f>
        <v>105</v>
      </c>
      <c r="U93" s="67">
        <f t="array" ref="U93">XLOOKUP(D93,RUC!$B$3:$B$110,RUC!$F$3:$F$110)</f>
        <v>120</v>
      </c>
      <c r="V93" s="67">
        <v>1.1023</v>
      </c>
      <c r="Y93" s="2">
        <f t="array" ref="Y93">XLOOKUP(D93,RUC!$B$3:$B$110,RUC!$G$3:$G$110)</f>
        <v>20</v>
      </c>
      <c r="Z93" s="140">
        <v>35.0</v>
      </c>
      <c r="AA93" s="70">
        <f t="shared" si="53"/>
        <v>55</v>
      </c>
      <c r="AB93" s="71">
        <f t="shared" si="67"/>
        <v>902.8697345</v>
      </c>
      <c r="AC93" s="71">
        <f>+(S93-T93)*V93-'data 1'!$F$4</f>
        <v>35.7415</v>
      </c>
      <c r="AD93" s="71">
        <f t="shared" si="55"/>
        <v>114.1509909</v>
      </c>
      <c r="AE93" s="71">
        <f t="shared" si="56"/>
        <v>-9.3735</v>
      </c>
      <c r="AF93" s="71">
        <f t="shared" si="57"/>
        <v>98.28918098</v>
      </c>
      <c r="AG93" s="72">
        <f t="shared" si="73"/>
        <v>255.8081719</v>
      </c>
      <c r="AH93" s="193">
        <f t="shared" si="59"/>
        <v>29.677</v>
      </c>
      <c r="AI93" s="193">
        <f t="shared" si="60"/>
        <v>30.04</v>
      </c>
      <c r="AJ93" s="73">
        <f t="shared" si="61"/>
        <v>40.37436141</v>
      </c>
      <c r="AK93" s="73">
        <f t="shared" si="62"/>
        <v>24.96494988</v>
      </c>
      <c r="AL93" s="2"/>
      <c r="AM93" s="51">
        <f t="shared" si="63"/>
        <v>3189.838772</v>
      </c>
      <c r="AN93" s="51" t="str">
        <f t="array" ref="AN93">XLOOKUP(D93,RUC!$B$3:$B$565,RUC!$M$3:$M$565)</f>
        <v>Ronald Miranda</v>
      </c>
      <c r="AO93" s="131" t="s">
        <v>547</v>
      </c>
      <c r="AP93" s="205">
        <v>6403.0</v>
      </c>
      <c r="AQ93" s="141" t="s">
        <v>885</v>
      </c>
    </row>
    <row r="94" ht="15.0" customHeight="1">
      <c r="A94" s="202" t="s">
        <v>888</v>
      </c>
      <c r="B94" s="182">
        <v>46135.0</v>
      </c>
      <c r="C94" s="182">
        <v>46130.0</v>
      </c>
      <c r="D94" s="57" t="s">
        <v>602</v>
      </c>
      <c r="E94" s="3">
        <f t="array" ref="E94">XLOOKUP(D94,RUC!$B$3:$B$110,RUC!$D$3:$D$110)</f>
        <v>20169040231</v>
      </c>
      <c r="G94" s="141">
        <v>23.0</v>
      </c>
      <c r="H94" s="3" t="s">
        <v>40</v>
      </c>
      <c r="I94" s="6">
        <v>2.06</v>
      </c>
      <c r="J94" s="58">
        <v>25.7</v>
      </c>
      <c r="K94" s="6">
        <f t="shared" si="51"/>
        <v>1.531</v>
      </c>
      <c r="L94" s="60">
        <v>1.052</v>
      </c>
      <c r="M94" s="60">
        <f t="array" ref="M94">ROUND(+IF(L94&gt;XLOOKUP(AN94,RUC!M:M,RUC!K:K),L94*XLOOKUP(AN94,RUC!M:M,RUC!I:I),L94-XLOOKUP(AN94,RUC!M:M,RUC!J:J)),3)</f>
        <v>0.989</v>
      </c>
      <c r="N94" s="62">
        <f t="shared" si="74"/>
        <v>0.989</v>
      </c>
      <c r="O94" s="60">
        <f t="shared" si="52"/>
        <v>0.989</v>
      </c>
      <c r="P94" s="63">
        <v>90.0</v>
      </c>
      <c r="Q94" s="58">
        <v>97.81</v>
      </c>
      <c r="R94" s="65">
        <v>4870.5</v>
      </c>
      <c r="S94" s="66">
        <f t="array" ref="S94">IF((XLOOKUP(D94,RUC!$B$3:$B$106,RUC!$E$3:$E$106)+ROUNDDOWN(O94,1)*100)&lt;95,95,((XLOOKUP(D94,RUC!$B$3:$B$106,RUC!$E$3:$E$106)+ROUNDDOWN(O94,1)*100)))</f>
        <v>175</v>
      </c>
      <c r="U94" s="67">
        <f t="array" ref="U94">XLOOKUP(D94,RUC!$B$3:$B$110,RUC!$F$3:$F$110)</f>
        <v>120</v>
      </c>
      <c r="V94" s="67">
        <v>1.1023</v>
      </c>
      <c r="Y94" s="2">
        <f t="array" ref="Y94">XLOOKUP(D94,RUC!$B$3:$B$110,RUC!$G$3:$G$110)</f>
        <v>20</v>
      </c>
      <c r="Z94" s="140">
        <v>40.0</v>
      </c>
      <c r="AA94" s="70">
        <f t="shared" si="53"/>
        <v>60</v>
      </c>
      <c r="AB94" s="71">
        <f t="shared" si="67"/>
        <v>4401.946921</v>
      </c>
      <c r="AC94" s="71">
        <f>+(S94-T94)*V94-'data 1'!$F$4</f>
        <v>112.9025</v>
      </c>
      <c r="AD94" s="71">
        <f t="shared" si="55"/>
        <v>430.2351643</v>
      </c>
      <c r="AE94" s="71">
        <f t="shared" si="56"/>
        <v>-3.862</v>
      </c>
      <c r="AF94" s="71">
        <f t="shared" si="57"/>
        <v>322.6732313</v>
      </c>
      <c r="AG94" s="72">
        <f t="shared" si="73"/>
        <v>878.9488956</v>
      </c>
      <c r="AH94" s="193">
        <f t="shared" si="59"/>
        <v>54.011</v>
      </c>
      <c r="AI94" s="193">
        <f t="shared" si="60"/>
        <v>55.22</v>
      </c>
      <c r="AJ94" s="73">
        <f t="shared" si="61"/>
        <v>169.5664776</v>
      </c>
      <c r="AK94" s="73">
        <f t="shared" si="62"/>
        <v>46.722176</v>
      </c>
      <c r="AL94" s="2"/>
      <c r="AM94" s="51">
        <f t="shared" si="63"/>
        <v>6739.380736</v>
      </c>
      <c r="AN94" s="51" t="str">
        <f t="array" ref="AN94">XLOOKUP(D94,RUC!$B$3:$B$565,RUC!$M$3:$M$565)</f>
        <v>Ronald Miranda</v>
      </c>
      <c r="AO94" s="131" t="s">
        <v>558</v>
      </c>
      <c r="AP94" s="205">
        <v>6403.0</v>
      </c>
      <c r="AQ94" s="141" t="s">
        <v>885</v>
      </c>
    </row>
    <row r="95" ht="15.0" customHeight="1">
      <c r="A95" s="202" t="s">
        <v>889</v>
      </c>
      <c r="B95" s="182">
        <v>46135.0</v>
      </c>
      <c r="C95" s="182">
        <v>46130.0</v>
      </c>
      <c r="D95" s="57" t="s">
        <v>602</v>
      </c>
      <c r="E95" s="3">
        <f t="array" ref="E95">XLOOKUP(D95,RUC!$B$3:$B$110,RUC!$D$3:$D$110)</f>
        <v>20169040231</v>
      </c>
      <c r="G95" s="141">
        <v>18.0</v>
      </c>
      <c r="H95" s="3" t="s">
        <v>40</v>
      </c>
      <c r="I95" s="6">
        <v>1.75</v>
      </c>
      <c r="J95" s="58">
        <v>22.3</v>
      </c>
      <c r="K95" s="6">
        <f t="shared" si="51"/>
        <v>1.36</v>
      </c>
      <c r="L95" s="60">
        <v>0.367</v>
      </c>
      <c r="M95" s="60">
        <f t="array" ref="M95">ROUND(+IF(L95&gt;XLOOKUP(AN95,RUC!M:M,RUC!K:K),L95*XLOOKUP(AN95,RUC!M:M,RUC!I:I),L95-XLOOKUP(AN95,RUC!M:M,RUC!J:J)),3)</f>
        <v>0.345</v>
      </c>
      <c r="N95" s="62">
        <f t="shared" si="74"/>
        <v>0.345</v>
      </c>
      <c r="O95" s="60">
        <f t="shared" si="52"/>
        <v>0.345</v>
      </c>
      <c r="P95" s="63">
        <v>88.0</v>
      </c>
      <c r="Q95" s="58">
        <v>89.37</v>
      </c>
      <c r="R95" s="65">
        <v>4870.5</v>
      </c>
      <c r="S95" s="66">
        <f t="array" ref="S95">IF((XLOOKUP(D95,RUC!$B$3:$B$106,RUC!$E$3:$E$106)+ROUNDDOWN(O95,1)*100)&lt;95,95,((XLOOKUP(D95,RUC!$B$3:$B$106,RUC!$E$3:$E$106)+ROUNDDOWN(O95,1)*100)))</f>
        <v>115</v>
      </c>
      <c r="U95" s="67">
        <f t="array" ref="U95">XLOOKUP(D95,RUC!$B$3:$B$110,RUC!$F$3:$F$110)</f>
        <v>120</v>
      </c>
      <c r="V95" s="67">
        <v>1.1023</v>
      </c>
      <c r="Y95" s="2">
        <f t="array" ref="Y95">XLOOKUP(D95,RUC!$B$3:$B$110,RUC!$G$3:$G$110)</f>
        <v>20</v>
      </c>
      <c r="Z95" s="140">
        <v>40.0</v>
      </c>
      <c r="AA95" s="70">
        <f t="shared" si="53"/>
        <v>60</v>
      </c>
      <c r="AB95" s="71">
        <f t="shared" si="67"/>
        <v>1396.891659</v>
      </c>
      <c r="AC95" s="71">
        <f>+(S95-T95)*V95-'data 1'!$F$4</f>
        <v>46.7645</v>
      </c>
      <c r="AD95" s="71">
        <f t="shared" si="55"/>
        <v>26.32847843</v>
      </c>
      <c r="AE95" s="71">
        <f t="shared" si="56"/>
        <v>-3.862</v>
      </c>
      <c r="AF95" s="71">
        <f t="shared" si="57"/>
        <v>102.9564522</v>
      </c>
      <c r="AG95" s="72">
        <f t="shared" si="73"/>
        <v>189.1874306</v>
      </c>
      <c r="AH95" s="193">
        <f t="shared" si="59"/>
        <v>15.293</v>
      </c>
      <c r="AI95" s="193">
        <f t="shared" si="60"/>
        <v>17.113</v>
      </c>
      <c r="AJ95" s="73">
        <f t="shared" si="61"/>
        <v>54.05038879</v>
      </c>
      <c r="AK95" s="73">
        <f t="shared" si="62"/>
        <v>14.15629958</v>
      </c>
      <c r="AL95" s="2"/>
      <c r="AM95" s="51">
        <f t="shared" si="63"/>
        <v>1899.772656</v>
      </c>
      <c r="AN95" s="51" t="str">
        <f t="array" ref="AN95">XLOOKUP(D95,RUC!$B$3:$B$565,RUC!$M$3:$M$565)</f>
        <v>Ronald Miranda</v>
      </c>
      <c r="AO95" s="131" t="s">
        <v>558</v>
      </c>
      <c r="AP95" s="205">
        <v>6403.0</v>
      </c>
      <c r="AQ95" s="141" t="s">
        <v>885</v>
      </c>
    </row>
    <row r="96" ht="15.0" customHeight="1">
      <c r="A96" s="202" t="s">
        <v>890</v>
      </c>
      <c r="B96" s="182">
        <v>46135.0</v>
      </c>
      <c r="C96" s="182">
        <v>46130.0</v>
      </c>
      <c r="D96" s="57" t="s">
        <v>602</v>
      </c>
      <c r="E96" s="3">
        <f t="array" ref="E96">XLOOKUP(D96,RUC!$B$3:$B$110,RUC!$D$3:$D$110)</f>
        <v>20169040231</v>
      </c>
      <c r="G96" s="141">
        <v>23.0</v>
      </c>
      <c r="H96" s="3" t="s">
        <v>47</v>
      </c>
      <c r="I96" s="6">
        <v>2.16</v>
      </c>
      <c r="J96" s="58">
        <v>2.5</v>
      </c>
      <c r="K96" s="6">
        <f t="shared" si="51"/>
        <v>2.106</v>
      </c>
      <c r="L96" s="60">
        <v>0.285</v>
      </c>
      <c r="M96" s="60">
        <f t="array" ref="M96">ROUND(+IF(L96&gt;XLOOKUP(AN96,RUC!M:M,RUC!K:K),L96*XLOOKUP(AN96,RUC!M:M,RUC!I:I),L96-XLOOKUP(AN96,RUC!M:M,RUC!J:J)),3)</f>
        <v>0.266</v>
      </c>
      <c r="N96" s="62">
        <f t="shared" si="74"/>
        <v>0.266</v>
      </c>
      <c r="O96" s="60">
        <f t="shared" si="52"/>
        <v>0.266</v>
      </c>
      <c r="P96" s="63">
        <v>90.0</v>
      </c>
      <c r="Q96" s="58">
        <v>97.19</v>
      </c>
      <c r="R96" s="65">
        <v>4870.5</v>
      </c>
      <c r="S96" s="66">
        <f t="array" ref="S96">IF((XLOOKUP(D96,RUC!$B$3:$B$106,RUC!$E$3:$E$106)+ROUNDDOWN(O96,1)*100)&lt;95,95,((XLOOKUP(D96,RUC!$B$3:$B$106,RUC!$E$3:$E$106)+ROUNDDOWN(O96,1)*100)))</f>
        <v>105</v>
      </c>
      <c r="U96" s="67">
        <f t="array" ref="U96">XLOOKUP(D96,RUC!$B$3:$B$110,RUC!$F$3:$F$110)</f>
        <v>120</v>
      </c>
      <c r="V96" s="67">
        <v>1.1023</v>
      </c>
      <c r="Y96" s="2">
        <f t="array" ref="Y96">XLOOKUP(D96,RUC!$B$3:$B$110,RUC!$G$3:$G$110)</f>
        <v>20</v>
      </c>
      <c r="Z96" s="140">
        <v>35.0</v>
      </c>
      <c r="AA96" s="70">
        <f t="shared" si="53"/>
        <v>55</v>
      </c>
      <c r="AB96" s="71">
        <f t="shared" si="67"/>
        <v>1077.24439</v>
      </c>
      <c r="AC96" s="71">
        <f>+(S96-T96)*V96-'data 1'!$F$4</f>
        <v>35.7415</v>
      </c>
      <c r="AD96" s="71">
        <f t="shared" si="55"/>
        <v>107.303251</v>
      </c>
      <c r="AE96" s="71">
        <f t="shared" si="56"/>
        <v>-9.3735</v>
      </c>
      <c r="AF96" s="71">
        <f t="shared" si="57"/>
        <v>96.69729223</v>
      </c>
      <c r="AG96" s="72">
        <f t="shared" si="73"/>
        <v>247.3685433</v>
      </c>
      <c r="AH96" s="193">
        <f t="shared" si="59"/>
        <v>20</v>
      </c>
      <c r="AI96" s="193">
        <f t="shared" si="60"/>
        <v>20.578</v>
      </c>
      <c r="AJ96" s="73">
        <f t="shared" si="61"/>
        <v>45.6464957</v>
      </c>
      <c r="AK96" s="73">
        <f t="shared" si="62"/>
        <v>17.28588352</v>
      </c>
      <c r="AL96" s="2"/>
      <c r="AM96" s="51">
        <f t="shared" si="63"/>
        <v>2268.676686</v>
      </c>
      <c r="AN96" s="51" t="str">
        <f t="array" ref="AN96">XLOOKUP(D96,RUC!$B$3:$B$565,RUC!$M$3:$M$565)</f>
        <v>Ronald Miranda</v>
      </c>
      <c r="AO96" s="131" t="s">
        <v>547</v>
      </c>
      <c r="AP96" s="205">
        <v>6403.0</v>
      </c>
      <c r="AQ96" s="141" t="s">
        <v>885</v>
      </c>
    </row>
    <row r="97" ht="15.0" customHeight="1">
      <c r="A97" s="202" t="s">
        <v>891</v>
      </c>
      <c r="B97" s="182">
        <v>46135.0</v>
      </c>
      <c r="C97" s="182">
        <v>46130.0</v>
      </c>
      <c r="D97" s="57" t="s">
        <v>602</v>
      </c>
      <c r="E97" s="3">
        <f t="array" ref="E97">XLOOKUP(D97,RUC!$B$3:$B$110,RUC!$D$3:$D$110)</f>
        <v>20169040231</v>
      </c>
      <c r="G97" s="141">
        <v>32.0</v>
      </c>
      <c r="H97" s="3" t="s">
        <v>47</v>
      </c>
      <c r="I97" s="6">
        <v>2.84</v>
      </c>
      <c r="J97" s="58">
        <v>3.65</v>
      </c>
      <c r="K97" s="6">
        <f t="shared" si="51"/>
        <v>2.736</v>
      </c>
      <c r="L97" s="60">
        <v>0.287</v>
      </c>
      <c r="M97" s="60">
        <f t="array" ref="M97">ROUND(+IF(L97&gt;XLOOKUP(AN97,RUC!M:M,RUC!K:K),L97*XLOOKUP(AN97,RUC!M:M,RUC!I:I),L97-XLOOKUP(AN97,RUC!M:M,RUC!J:J)),3)</f>
        <v>0.268</v>
      </c>
      <c r="N97" s="75">
        <v>0.31</v>
      </c>
      <c r="O97" s="60">
        <f t="shared" si="52"/>
        <v>0.289</v>
      </c>
      <c r="P97" s="63">
        <v>90.0</v>
      </c>
      <c r="Q97" s="58">
        <v>96.17</v>
      </c>
      <c r="R97" s="65">
        <v>4870.5</v>
      </c>
      <c r="S97" s="66">
        <f t="array" ref="S97">IF((XLOOKUP(D97,RUC!$B$3:$B$106,RUC!$E$3:$E$106)+ROUNDDOWN(O97,1)*100)&lt;95,95,((XLOOKUP(D97,RUC!$B$3:$B$106,RUC!$E$3:$E$106)+ROUNDDOWN(O97,1)*100)))</f>
        <v>105</v>
      </c>
      <c r="U97" s="67">
        <f t="array" ref="U97">XLOOKUP(D97,RUC!$B$3:$B$110,RUC!$F$3:$F$110)</f>
        <v>120</v>
      </c>
      <c r="V97" s="67">
        <v>1.1023</v>
      </c>
      <c r="Y97" s="2">
        <f t="array" ref="Y97">XLOOKUP(D97,RUC!$B$3:$B$110,RUC!$G$3:$G$110)</f>
        <v>20</v>
      </c>
      <c r="Z97" s="140">
        <v>35.0</v>
      </c>
      <c r="AA97" s="70">
        <f t="shared" si="53"/>
        <v>55</v>
      </c>
      <c r="AB97" s="71">
        <f t="shared" si="67"/>
        <v>1185.639447</v>
      </c>
      <c r="AC97" s="71">
        <f>+(S97-T97)*V97-'data 1'!$F$4</f>
        <v>35.7415</v>
      </c>
      <c r="AD97" s="71">
        <f t="shared" si="55"/>
        <v>92.72699602</v>
      </c>
      <c r="AE97" s="71">
        <f t="shared" si="56"/>
        <v>-9.3735</v>
      </c>
      <c r="AF97" s="71">
        <f t="shared" si="57"/>
        <v>-10.07183823</v>
      </c>
      <c r="AG97" s="72">
        <f t="shared" si="73"/>
        <v>126.0231578</v>
      </c>
      <c r="AH97" s="193">
        <f t="shared" si="59"/>
        <v>25.891</v>
      </c>
      <c r="AI97" s="193">
        <f t="shared" si="60"/>
        <v>26.922</v>
      </c>
      <c r="AJ97" s="73">
        <f t="shared" si="61"/>
        <v>45.48440447</v>
      </c>
      <c r="AK97" s="73">
        <f t="shared" si="62"/>
        <v>24.39863413</v>
      </c>
      <c r="AL97" s="2"/>
      <c r="AM97" s="51">
        <f t="shared" si="63"/>
        <v>3243.909526</v>
      </c>
      <c r="AN97" s="51" t="str">
        <f t="array" ref="AN97">XLOOKUP(D97,RUC!$B$3:$B$565,RUC!$M$3:$M$565)</f>
        <v>Ronald Miranda</v>
      </c>
      <c r="AO97" s="131" t="s">
        <v>547</v>
      </c>
      <c r="AP97" s="205">
        <v>6403.0</v>
      </c>
      <c r="AQ97" s="141" t="s">
        <v>885</v>
      </c>
    </row>
    <row r="98" ht="15.0" customHeight="1">
      <c r="A98" s="202" t="s">
        <v>892</v>
      </c>
      <c r="B98" s="182">
        <v>46135.0</v>
      </c>
      <c r="C98" s="182">
        <v>46130.0</v>
      </c>
      <c r="D98" s="57" t="s">
        <v>602</v>
      </c>
      <c r="E98" s="3">
        <f t="array" ref="E98">XLOOKUP(D98,RUC!$B$3:$B$110,RUC!$D$3:$D$110)</f>
        <v>20169040231</v>
      </c>
      <c r="G98" s="141">
        <v>25.0</v>
      </c>
      <c r="H98" s="3" t="s">
        <v>47</v>
      </c>
      <c r="I98" s="6">
        <v>2.35</v>
      </c>
      <c r="J98" s="58">
        <v>2.65</v>
      </c>
      <c r="K98" s="6">
        <f t="shared" si="51"/>
        <v>2.288</v>
      </c>
      <c r="L98" s="60">
        <v>0.576</v>
      </c>
      <c r="M98" s="60">
        <f t="array" ref="M98">ROUND(+IF(L98&gt;XLOOKUP(AN98,RUC!M:M,RUC!K:K),L98*XLOOKUP(AN98,RUC!M:M,RUC!I:I),L98-XLOOKUP(AN98,RUC!M:M,RUC!J:J)),3)</f>
        <v>0.541</v>
      </c>
      <c r="N98" s="62">
        <f t="shared" ref="N98:N141" si="75">+M98</f>
        <v>0.541</v>
      </c>
      <c r="O98" s="123">
        <v>0.587</v>
      </c>
      <c r="P98" s="63">
        <v>90.0</v>
      </c>
      <c r="Q98" s="58">
        <v>97.92</v>
      </c>
      <c r="R98" s="65">
        <v>4870.5</v>
      </c>
      <c r="S98" s="66">
        <f t="array" ref="S98">IF((XLOOKUP(D98,RUC!$B$3:$B$106,RUC!$E$3:$E$106)+ROUNDDOWN(O98,1)*100)&lt;95,95,((XLOOKUP(D98,RUC!$B$3:$B$106,RUC!$E$3:$E$106)+ROUNDDOWN(O98,1)*100)))</f>
        <v>135</v>
      </c>
      <c r="U98" s="67">
        <f t="array" ref="U98">XLOOKUP(D98,RUC!$B$3:$B$110,RUC!$F$3:$F$110)</f>
        <v>120</v>
      </c>
      <c r="V98" s="67">
        <v>1.1023</v>
      </c>
      <c r="Y98" s="2">
        <f t="array" ref="Y98">XLOOKUP(D98,RUC!$B$3:$B$110,RUC!$G$3:$G$110)</f>
        <v>20</v>
      </c>
      <c r="Z98" s="140">
        <v>35.0</v>
      </c>
      <c r="AA98" s="70">
        <f t="shared" si="53"/>
        <v>55</v>
      </c>
      <c r="AB98" s="71">
        <f t="shared" si="67"/>
        <v>2556.99335</v>
      </c>
      <c r="AC98" s="71">
        <f>+(S98-T98)*V98-'data 1'!$F$4</f>
        <v>68.8105</v>
      </c>
      <c r="AD98" s="71">
        <f t="shared" si="55"/>
        <v>238.8838528</v>
      </c>
      <c r="AE98" s="71">
        <f t="shared" si="56"/>
        <v>-9.3735</v>
      </c>
      <c r="AF98" s="71">
        <f t="shared" si="57"/>
        <v>-56.40313191</v>
      </c>
      <c r="AG98" s="72">
        <f t="shared" si="73"/>
        <v>258.9177209</v>
      </c>
      <c r="AH98" s="193">
        <f t="shared" si="59"/>
        <v>44.244</v>
      </c>
      <c r="AI98" s="193">
        <f t="shared" si="60"/>
        <v>45.184</v>
      </c>
      <c r="AJ98" s="73">
        <f t="shared" si="61"/>
        <v>92.94689544</v>
      </c>
      <c r="AK98" s="73">
        <f t="shared" si="62"/>
        <v>41.44247652</v>
      </c>
      <c r="AL98" s="2"/>
      <c r="AM98" s="51">
        <f t="shared" si="63"/>
        <v>5850.400785</v>
      </c>
      <c r="AN98" s="51" t="str">
        <f t="array" ref="AN98">XLOOKUP(D98,RUC!$B$3:$B$565,RUC!$M$3:$M$565)</f>
        <v>Ronald Miranda</v>
      </c>
      <c r="AO98" s="131" t="s">
        <v>547</v>
      </c>
      <c r="AP98" s="205">
        <v>6403.0</v>
      </c>
      <c r="AQ98" s="141" t="s">
        <v>885</v>
      </c>
      <c r="AR98" s="2" t="s">
        <v>893</v>
      </c>
    </row>
    <row r="99" ht="15.0" customHeight="1">
      <c r="A99" s="202" t="s">
        <v>894</v>
      </c>
      <c r="B99" s="182">
        <v>46136.0</v>
      </c>
      <c r="C99" s="182">
        <v>46130.0</v>
      </c>
      <c r="D99" s="57" t="s">
        <v>602</v>
      </c>
      <c r="E99" s="3">
        <f t="array" ref="E99">XLOOKUP(D99,RUC!$B$3:$B$110,RUC!$D$3:$D$110)</f>
        <v>20169040231</v>
      </c>
      <c r="G99" s="141">
        <v>36.0</v>
      </c>
      <c r="H99" s="3" t="s">
        <v>47</v>
      </c>
      <c r="I99" s="6">
        <v>3.17</v>
      </c>
      <c r="J99" s="58">
        <v>2.2</v>
      </c>
      <c r="K99" s="6">
        <f t="shared" si="51"/>
        <v>3.1</v>
      </c>
      <c r="L99" s="60">
        <v>0.117</v>
      </c>
      <c r="M99" s="60">
        <v>0.1</v>
      </c>
      <c r="N99" s="62">
        <f t="shared" si="75"/>
        <v>0.1</v>
      </c>
      <c r="O99" s="61">
        <f t="shared" ref="O99:O141" si="76">+ROUND((M99+N99)/2,3)</f>
        <v>0.1</v>
      </c>
      <c r="P99" s="63">
        <v>80.0</v>
      </c>
      <c r="Q99" s="58">
        <v>98.25</v>
      </c>
      <c r="R99" s="65">
        <v>4870.5</v>
      </c>
      <c r="S99" s="66">
        <f t="array" ref="S99">IF((XLOOKUP(D99,RUC!$B$3:$B$106,RUC!$E$3:$E$106)+ROUNDDOWN(O99,1)*100)&lt;95,95,((XLOOKUP(D99,RUC!$B$3:$B$106,RUC!$E$3:$E$106)+ROUNDDOWN(O99,1)*100)))</f>
        <v>95</v>
      </c>
      <c r="U99" s="67">
        <f t="array" ref="U99">XLOOKUP(D99,RUC!$B$3:$B$110,RUC!$F$3:$F$110)</f>
        <v>120</v>
      </c>
      <c r="V99" s="67">
        <v>1.1023</v>
      </c>
      <c r="Y99" s="2">
        <f t="array" ref="Y99">XLOOKUP(D99,RUC!$B$3:$B$110,RUC!$G$3:$G$110)</f>
        <v>20</v>
      </c>
      <c r="Z99" s="140">
        <v>35.0</v>
      </c>
      <c r="AA99" s="70">
        <f t="shared" si="53"/>
        <v>55</v>
      </c>
      <c r="AB99" s="71">
        <f t="shared" si="67"/>
        <v>253.573092</v>
      </c>
      <c r="AC99" s="71">
        <f>+(S99-T99)*V99-'data 1'!$F$4</f>
        <v>24.7185</v>
      </c>
      <c r="AD99" s="71">
        <f t="shared" si="55"/>
        <v>111.811857</v>
      </c>
      <c r="AE99" s="71">
        <f t="shared" si="56"/>
        <v>-9.3735</v>
      </c>
      <c r="AF99" s="71">
        <f t="shared" si="57"/>
        <v>87.4622429</v>
      </c>
      <c r="AG99" s="72">
        <f t="shared" si="73"/>
        <v>231.6190999</v>
      </c>
      <c r="AH99" s="193">
        <f t="shared" si="59"/>
        <v>12.218</v>
      </c>
      <c r="AI99" s="193">
        <f t="shared" si="60"/>
        <v>12.435</v>
      </c>
      <c r="AJ99" s="73">
        <f t="shared" si="61"/>
        <v>18.94346504</v>
      </c>
      <c r="AK99" s="73">
        <f t="shared" si="62"/>
        <v>8.502776236</v>
      </c>
      <c r="AL99" s="2"/>
      <c r="AM99" s="51">
        <f t="shared" si="63"/>
        <v>786.0765852</v>
      </c>
      <c r="AN99" s="51" t="str">
        <f t="array" ref="AN99">XLOOKUP(D99,RUC!$B$3:$B$565,RUC!$M$3:$M$565)</f>
        <v>Ronald Miranda</v>
      </c>
      <c r="AO99" s="131" t="s">
        <v>547</v>
      </c>
      <c r="AP99" s="205">
        <v>6403.0</v>
      </c>
      <c r="AQ99" s="141" t="s">
        <v>885</v>
      </c>
      <c r="AR99" s="57" t="s">
        <v>895</v>
      </c>
    </row>
    <row r="100" ht="15.0" customHeight="1">
      <c r="A100" s="202" t="s">
        <v>896</v>
      </c>
      <c r="B100" s="182">
        <v>46137.0</v>
      </c>
      <c r="C100" s="182">
        <v>46132.0</v>
      </c>
      <c r="D100" s="57" t="s">
        <v>730</v>
      </c>
      <c r="E100" s="3">
        <f t="array" ref="E100">XLOOKUP(D100,RUC!$B$3:$B$110,RUC!$D$3:$D$110)</f>
        <v>20613935151</v>
      </c>
      <c r="G100" s="141">
        <v>20.0</v>
      </c>
      <c r="H100" s="3" t="s">
        <v>47</v>
      </c>
      <c r="I100" s="6">
        <v>1.54</v>
      </c>
      <c r="J100" s="58">
        <v>2.4</v>
      </c>
      <c r="K100" s="6">
        <f t="shared" si="51"/>
        <v>1.503</v>
      </c>
      <c r="L100" s="60">
        <v>0.265</v>
      </c>
      <c r="M100" s="60">
        <f t="array" ref="M100">ROUND(+IF(L100&gt;XLOOKUP(AN100,RUC!M:M,RUC!K:K),L100*XLOOKUP(AN100,RUC!M:M,RUC!I:I),L100-XLOOKUP(AN100,RUC!M:M,RUC!J:J)),3)</f>
        <v>0.246</v>
      </c>
      <c r="N100" s="62">
        <f t="shared" si="75"/>
        <v>0.246</v>
      </c>
      <c r="O100" s="60">
        <f t="shared" si="76"/>
        <v>0.246</v>
      </c>
      <c r="P100" s="63">
        <v>90.0</v>
      </c>
      <c r="Q100" s="58">
        <v>97.36</v>
      </c>
      <c r="R100" s="65">
        <v>4813.55</v>
      </c>
      <c r="S100" s="66">
        <f t="array" ref="S100">IF((XLOOKUP(D100,RUC!$B$3:$B$106,RUC!$E$3:$E$106)+ROUNDDOWN(O100,1)*100)&lt;95,95,((XLOOKUP(D100,RUC!$B$3:$B$106,RUC!$E$3:$E$106)+ROUNDDOWN(O100,1)*100)))</f>
        <v>110</v>
      </c>
      <c r="U100" s="67">
        <f t="array" ref="U100">XLOOKUP(D100,RUC!$B$3:$B$110,RUC!$F$3:$F$110)</f>
        <v>120</v>
      </c>
      <c r="V100" s="67">
        <v>1.1023</v>
      </c>
      <c r="Y100" s="2">
        <f t="array" ref="Y100">XLOOKUP(D100,RUC!$B$3:$B$110,RUC!$G$3:$G$110)</f>
        <v>20</v>
      </c>
      <c r="Z100" s="69">
        <f t="array" ref="Z100">XLOOKUP(D100,RUC!$B$3:$B$110,RUC!$H$3:$H$110)</f>
        <v>30</v>
      </c>
      <c r="AA100" s="70">
        <f t="shared" si="53"/>
        <v>50</v>
      </c>
      <c r="AB100" s="71">
        <f t="shared" si="67"/>
        <v>969.0892165</v>
      </c>
      <c r="AC100" s="71">
        <f>+(S100-T100)*V100-'data 1'!$F$4</f>
        <v>41.253</v>
      </c>
      <c r="AD100" s="71">
        <f t="shared" si="55"/>
        <v>100.907848</v>
      </c>
      <c r="AE100" s="71">
        <f t="shared" si="56"/>
        <v>-14.885</v>
      </c>
      <c r="AF100" s="71">
        <f t="shared" si="57"/>
        <v>95.70517513</v>
      </c>
      <c r="AG100" s="72">
        <f t="shared" si="73"/>
        <v>239.9810232</v>
      </c>
      <c r="AH100" s="193">
        <f t="shared" si="59"/>
        <v>13.295</v>
      </c>
      <c r="AI100" s="193">
        <f t="shared" si="60"/>
        <v>13.656</v>
      </c>
      <c r="AJ100" s="73">
        <f t="shared" si="61"/>
        <v>58.71392771</v>
      </c>
      <c r="AK100" s="73">
        <f t="shared" si="62"/>
        <v>11.40894973</v>
      </c>
      <c r="AL100" s="2"/>
      <c r="AM100" s="51">
        <f t="shared" si="63"/>
        <v>1456.541092</v>
      </c>
      <c r="AN100" s="51" t="str">
        <f t="array" ref="AN100">XLOOKUP(D100,RUC!$B$3:$B$565,RUC!$M$3:$M$565)</f>
        <v>Dante </v>
      </c>
      <c r="AO100" s="131" t="s">
        <v>701</v>
      </c>
      <c r="AP100" s="205">
        <v>233.0</v>
      </c>
      <c r="AQ100" s="141" t="s">
        <v>667</v>
      </c>
    </row>
    <row r="101" ht="15.0" customHeight="1">
      <c r="A101" s="202" t="s">
        <v>897</v>
      </c>
      <c r="B101" s="182">
        <v>46137.0</v>
      </c>
      <c r="C101" s="182">
        <v>46132.0</v>
      </c>
      <c r="D101" s="57" t="s">
        <v>730</v>
      </c>
      <c r="E101" s="3">
        <f t="array" ref="E101">XLOOKUP(D101,RUC!$B$3:$B$110,RUC!$D$3:$D$110)</f>
        <v>20613935151</v>
      </c>
      <c r="G101" s="141">
        <v>66.0</v>
      </c>
      <c r="H101" s="3" t="s">
        <v>47</v>
      </c>
      <c r="I101" s="6">
        <v>5.07</v>
      </c>
      <c r="J101" s="58">
        <v>2.65</v>
      </c>
      <c r="K101" s="6">
        <f t="shared" si="51"/>
        <v>4.936</v>
      </c>
      <c r="L101" s="60">
        <v>0.28</v>
      </c>
      <c r="M101" s="60">
        <f t="array" ref="M101">ROUND(+IF(L101&gt;XLOOKUP(AN101,RUC!M:M,RUC!K:K),L101*XLOOKUP(AN101,RUC!M:M,RUC!I:I),L101-XLOOKUP(AN101,RUC!M:M,RUC!J:J)),3)</f>
        <v>0.261</v>
      </c>
      <c r="N101" s="62">
        <f t="shared" si="75"/>
        <v>0.261</v>
      </c>
      <c r="O101" s="60">
        <f t="shared" si="76"/>
        <v>0.261</v>
      </c>
      <c r="P101" s="63">
        <v>90.0</v>
      </c>
      <c r="Q101" s="58">
        <v>97.14</v>
      </c>
      <c r="R101" s="65">
        <v>4813.55</v>
      </c>
      <c r="S101" s="66">
        <f t="array" ref="S101">IF((XLOOKUP(D101,RUC!$B$3:$B$106,RUC!$E$3:$E$106)+ROUNDDOWN(O101,1)*100)&lt;95,95,((XLOOKUP(D101,RUC!$B$3:$B$106,RUC!$E$3:$E$106)+ROUNDDOWN(O101,1)*100)))</f>
        <v>110</v>
      </c>
      <c r="U101" s="67">
        <f t="array" ref="U101">XLOOKUP(D101,RUC!$B$3:$B$110,RUC!$F$3:$F$110)</f>
        <v>120</v>
      </c>
      <c r="V101" s="67">
        <v>1.1023</v>
      </c>
      <c r="Y101" s="2">
        <f t="array" ref="Y101">XLOOKUP(D101,RUC!$B$3:$B$110,RUC!$G$3:$G$110)</f>
        <v>20</v>
      </c>
      <c r="Z101" s="69">
        <f t="array" ref="Z101">XLOOKUP(D101,RUC!$B$3:$B$110,RUC!$H$3:$H$110)</f>
        <v>30</v>
      </c>
      <c r="AA101" s="70">
        <f t="shared" si="53"/>
        <v>50</v>
      </c>
      <c r="AB101" s="71">
        <f t="shared" si="67"/>
        <v>1038.934169</v>
      </c>
      <c r="AC101" s="71">
        <f>+(S101-T101)*V101-'data 1'!$F$4</f>
        <v>41.253</v>
      </c>
      <c r="AD101" s="71">
        <f t="shared" si="55"/>
        <v>103.4326137</v>
      </c>
      <c r="AE101" s="71">
        <f t="shared" si="56"/>
        <v>-14.885</v>
      </c>
      <c r="AF101" s="71">
        <f t="shared" si="57"/>
        <v>95.48891447</v>
      </c>
      <c r="AG101" s="72">
        <f t="shared" si="73"/>
        <v>242.2895282</v>
      </c>
      <c r="AH101" s="193">
        <f t="shared" si="59"/>
        <v>46.03</v>
      </c>
      <c r="AI101" s="193">
        <f t="shared" si="60"/>
        <v>47.385</v>
      </c>
      <c r="AJ101" s="73">
        <f t="shared" si="61"/>
        <v>61.89717456</v>
      </c>
      <c r="AK101" s="73">
        <f t="shared" si="62"/>
        <v>39.75275545</v>
      </c>
      <c r="AL101" s="2"/>
      <c r="AM101" s="51">
        <f t="shared" si="63"/>
        <v>5128.179057</v>
      </c>
      <c r="AN101" s="51" t="str">
        <f t="array" ref="AN101">XLOOKUP(D101,RUC!$B$3:$B$565,RUC!$M$3:$M$565)</f>
        <v>Dante </v>
      </c>
      <c r="AO101" s="131" t="s">
        <v>701</v>
      </c>
      <c r="AP101" s="205">
        <v>234.0</v>
      </c>
      <c r="AQ101" s="141" t="s">
        <v>898</v>
      </c>
    </row>
    <row r="102" ht="15.0" customHeight="1">
      <c r="A102" s="202" t="s">
        <v>899</v>
      </c>
      <c r="B102" s="182">
        <v>46137.0</v>
      </c>
      <c r="C102" s="182">
        <v>46133.0</v>
      </c>
      <c r="D102" s="57" t="s">
        <v>295</v>
      </c>
      <c r="E102" s="3">
        <f t="array" ref="E102">XLOOKUP(D102,RUC!$B$3:$B$110,RUC!$D$3:$D$110)</f>
        <v>20601769396</v>
      </c>
      <c r="G102" s="141">
        <v>27.0</v>
      </c>
      <c r="H102" s="3" t="s">
        <v>339</v>
      </c>
      <c r="I102" s="6">
        <v>2.25</v>
      </c>
      <c r="J102" s="58">
        <v>10.75</v>
      </c>
      <c r="K102" s="6">
        <f t="shared" si="51"/>
        <v>2.008</v>
      </c>
      <c r="L102" s="60">
        <v>0.338</v>
      </c>
      <c r="M102" s="60">
        <f t="array" ref="M102">ROUND(+IF(L102&gt;XLOOKUP(AN102,RUC!M:M,RUC!K:K),L102*XLOOKUP(AN102,RUC!M:M,RUC!I:I),L102-XLOOKUP(AN102,RUC!M:M,RUC!J:J)),3)</f>
        <v>0.318</v>
      </c>
      <c r="N102" s="62">
        <f t="shared" si="75"/>
        <v>0.318</v>
      </c>
      <c r="O102" s="60">
        <f t="shared" si="76"/>
        <v>0.318</v>
      </c>
      <c r="P102" s="63">
        <v>90.0</v>
      </c>
      <c r="Q102" s="58">
        <v>93.79</v>
      </c>
      <c r="R102" s="65">
        <v>4776.75</v>
      </c>
      <c r="S102" s="66">
        <f t="array" ref="S102">IF((XLOOKUP(D102,RUC!$B$3:$B$106,RUC!$E$3:$E$106)+ROUNDDOWN(O102,1)*100)&lt;95,95,((XLOOKUP(D102,RUC!$B$3:$B$106,RUC!$E$3:$E$106)+ROUNDDOWN(O102,1)*100)))</f>
        <v>120</v>
      </c>
      <c r="U102" s="67">
        <f t="array" ref="U102">XLOOKUP(D102,RUC!$B$3:$B$110,RUC!$F$3:$F$110)</f>
        <v>120</v>
      </c>
      <c r="V102" s="67">
        <v>1.1023</v>
      </c>
      <c r="Y102" s="2">
        <f t="array" ref="Y102">XLOOKUP(D102,RUC!$B$3:$B$110,RUC!$G$3:$G$110)</f>
        <v>20</v>
      </c>
      <c r="Z102" s="69">
        <f t="array" ref="Z102">XLOOKUP(D102,RUC!$B$3:$B$110,RUC!$H$3:$H$110)</f>
        <v>30</v>
      </c>
      <c r="AA102" s="70">
        <f t="shared" si="53"/>
        <v>50</v>
      </c>
      <c r="AB102" s="71">
        <f t="shared" si="67"/>
        <v>1281.712387</v>
      </c>
      <c r="AC102" s="71">
        <f>+(S102-T102)*V102-'data 1'!$F$4</f>
        <v>52.276</v>
      </c>
      <c r="AD102" s="71">
        <f t="shared" si="55"/>
        <v>65.7564927</v>
      </c>
      <c r="AE102" s="71">
        <f t="shared" si="56"/>
        <v>-14.885</v>
      </c>
      <c r="AF102" s="71">
        <f t="shared" si="57"/>
        <v>96.28735618</v>
      </c>
      <c r="AG102" s="72">
        <f t="shared" si="73"/>
        <v>216.4348489</v>
      </c>
      <c r="AH102" s="193">
        <f t="shared" si="59"/>
        <v>21.825</v>
      </c>
      <c r="AI102" s="193">
        <f t="shared" si="60"/>
        <v>23.27</v>
      </c>
      <c r="AJ102" s="73">
        <f t="shared" si="61"/>
        <v>85.00136355</v>
      </c>
      <c r="AK102" s="73">
        <f t="shared" si="62"/>
        <v>19.70345594</v>
      </c>
      <c r="AL102" s="2"/>
      <c r="AM102" s="51">
        <f t="shared" si="63"/>
        <v>2573.678474</v>
      </c>
      <c r="AN102" s="51" t="str">
        <f t="array" ref="AN102">XLOOKUP(D102,RUC!$B$3:$B$565,RUC!$M$3:$M$565)</f>
        <v>Evelyn</v>
      </c>
      <c r="AO102" s="131" t="s">
        <v>547</v>
      </c>
      <c r="AP102" s="205">
        <v>276.0</v>
      </c>
      <c r="AQ102" s="141" t="s">
        <v>900</v>
      </c>
    </row>
    <row r="103" ht="15.0" customHeight="1">
      <c r="A103" s="202" t="s">
        <v>901</v>
      </c>
      <c r="B103" s="182">
        <v>46137.0</v>
      </c>
      <c r="C103" s="182">
        <v>46133.0</v>
      </c>
      <c r="D103" s="57" t="s">
        <v>295</v>
      </c>
      <c r="E103" s="3">
        <f t="array" ref="E103">XLOOKUP(D103,RUC!$B$3:$B$110,RUC!$D$3:$D$110)</f>
        <v>20601769396</v>
      </c>
      <c r="G103" s="141">
        <v>28.0</v>
      </c>
      <c r="H103" s="3" t="s">
        <v>339</v>
      </c>
      <c r="I103" s="6">
        <v>2.28</v>
      </c>
      <c r="J103" s="58">
        <v>3.8</v>
      </c>
      <c r="K103" s="6">
        <f t="shared" si="51"/>
        <v>2.193</v>
      </c>
      <c r="L103" s="60">
        <v>0.329</v>
      </c>
      <c r="M103" s="60">
        <f t="array" ref="M103">ROUND(+IF(L103&gt;XLOOKUP(AN103,RUC!M:M,RUC!K:K),L103*XLOOKUP(AN103,RUC!M:M,RUC!I:I),L103-XLOOKUP(AN103,RUC!M:M,RUC!J:J)),3)</f>
        <v>0.309</v>
      </c>
      <c r="N103" s="62">
        <f t="shared" si="75"/>
        <v>0.309</v>
      </c>
      <c r="O103" s="60">
        <f t="shared" si="76"/>
        <v>0.309</v>
      </c>
      <c r="P103" s="63">
        <v>90.0</v>
      </c>
      <c r="Q103" s="58">
        <v>93.31</v>
      </c>
      <c r="R103" s="65">
        <v>4776.75</v>
      </c>
      <c r="S103" s="66">
        <f t="array" ref="S103">IF((XLOOKUP(D103,RUC!$B$3:$B$106,RUC!$E$3:$E$106)+ROUNDDOWN(O103,1)*100)&lt;95,95,((XLOOKUP(D103,RUC!$B$3:$B$106,RUC!$E$3:$E$106)+ROUNDDOWN(O103,1)*100)))</f>
        <v>120</v>
      </c>
      <c r="U103" s="67">
        <f t="array" ref="U103">XLOOKUP(D103,RUC!$B$3:$B$110,RUC!$F$3:$F$110)</f>
        <v>120</v>
      </c>
      <c r="V103" s="67">
        <v>1.1023</v>
      </c>
      <c r="Y103" s="2">
        <f t="array" ref="Y103">XLOOKUP(D103,RUC!$B$3:$B$110,RUC!$G$3:$G$110)</f>
        <v>20</v>
      </c>
      <c r="Z103" s="69">
        <f t="array" ref="Z103">XLOOKUP(D103,RUC!$B$3:$B$110,RUC!$H$3:$H$110)</f>
        <v>30</v>
      </c>
      <c r="AA103" s="70">
        <f t="shared" si="53"/>
        <v>50</v>
      </c>
      <c r="AB103" s="71">
        <f t="shared" si="67"/>
        <v>1240.13399</v>
      </c>
      <c r="AC103" s="71">
        <f>+(S103-T103)*V103-'data 1'!$F$4</f>
        <v>52.276</v>
      </c>
      <c r="AD103" s="71">
        <f t="shared" si="55"/>
        <v>55.89933255</v>
      </c>
      <c r="AE103" s="71">
        <f t="shared" si="56"/>
        <v>-14.885</v>
      </c>
      <c r="AF103" s="71">
        <f t="shared" si="57"/>
        <v>95.79457517</v>
      </c>
      <c r="AG103" s="72">
        <f t="shared" si="73"/>
        <v>206.0849077</v>
      </c>
      <c r="AH103" s="193">
        <f t="shared" si="59"/>
        <v>23.082</v>
      </c>
      <c r="AI103" s="193">
        <f t="shared" si="60"/>
        <v>24.737</v>
      </c>
      <c r="AJ103" s="73">
        <f t="shared" si="61"/>
        <v>82.31457567</v>
      </c>
      <c r="AK103" s="73">
        <f t="shared" si="62"/>
        <v>20.90974275</v>
      </c>
      <c r="AL103" s="2"/>
      <c r="AM103" s="51">
        <f t="shared" si="63"/>
        <v>2719.613839</v>
      </c>
      <c r="AN103" s="51" t="str">
        <f t="array" ref="AN103">XLOOKUP(D103,RUC!$B$3:$B$565,RUC!$M$3:$M$565)</f>
        <v>Evelyn</v>
      </c>
      <c r="AO103" s="131" t="s">
        <v>547</v>
      </c>
      <c r="AP103" s="205">
        <v>276.0</v>
      </c>
      <c r="AQ103" s="141" t="s">
        <v>900</v>
      </c>
    </row>
    <row r="104" ht="15.0" customHeight="1">
      <c r="A104" s="202" t="s">
        <v>902</v>
      </c>
      <c r="B104" s="182">
        <v>46137.0</v>
      </c>
      <c r="C104" s="182">
        <v>46133.0</v>
      </c>
      <c r="D104" s="57" t="s">
        <v>295</v>
      </c>
      <c r="E104" s="3">
        <f t="array" ref="E104">XLOOKUP(D104,RUC!$B$3:$B$110,RUC!$D$3:$D$110)</f>
        <v>20601769396</v>
      </c>
      <c r="G104" s="141">
        <v>28.0</v>
      </c>
      <c r="H104" s="3" t="s">
        <v>339</v>
      </c>
      <c r="I104" s="6">
        <v>2.27</v>
      </c>
      <c r="J104" s="58">
        <v>8.2</v>
      </c>
      <c r="K104" s="6">
        <f t="shared" si="51"/>
        <v>2.084</v>
      </c>
      <c r="L104" s="60">
        <v>0.421</v>
      </c>
      <c r="M104" s="60">
        <f t="array" ref="M104">ROUND(+IF(L104&gt;XLOOKUP(AN104,RUC!M:M,RUC!K:K),L104*XLOOKUP(AN104,RUC!M:M,RUC!I:I),L104-XLOOKUP(AN104,RUC!M:M,RUC!J:J)),3)</f>
        <v>0.396</v>
      </c>
      <c r="N104" s="62">
        <f t="shared" si="75"/>
        <v>0.396</v>
      </c>
      <c r="O104" s="60">
        <f t="shared" si="76"/>
        <v>0.396</v>
      </c>
      <c r="P104" s="63">
        <v>90.0</v>
      </c>
      <c r="Q104" s="58">
        <v>94.06</v>
      </c>
      <c r="R104" s="65">
        <v>4776.75</v>
      </c>
      <c r="S104" s="66">
        <f t="array" ref="S104">IF((XLOOKUP(D104,RUC!$B$3:$B$106,RUC!$E$3:$E$106)+ROUNDDOWN(O104,1)*100)&lt;95,95,((XLOOKUP(D104,RUC!$B$3:$B$106,RUC!$E$3:$E$106)+ROUNDDOWN(O104,1)*100)))</f>
        <v>120</v>
      </c>
      <c r="U104" s="67">
        <f t="array" ref="U104">XLOOKUP(D104,RUC!$B$3:$B$110,RUC!$F$3:$F$110)</f>
        <v>120</v>
      </c>
      <c r="V104" s="67">
        <v>1.1023</v>
      </c>
      <c r="Y104" s="2">
        <f t="array" ref="Y104">XLOOKUP(D104,RUC!$B$3:$B$110,RUC!$G$3:$G$110)</f>
        <v>20</v>
      </c>
      <c r="Z104" s="69">
        <f t="array" ref="Z104">XLOOKUP(D104,RUC!$B$3:$B$110,RUC!$H$3:$H$110)</f>
        <v>30</v>
      </c>
      <c r="AA104" s="70">
        <f t="shared" si="53"/>
        <v>50</v>
      </c>
      <c r="AB104" s="71">
        <f t="shared" si="67"/>
        <v>1642.058501</v>
      </c>
      <c r="AC104" s="71">
        <f>+(S104-T104)*V104-'data 1'!$F$4</f>
        <v>52.276</v>
      </c>
      <c r="AD104" s="71">
        <f t="shared" si="55"/>
        <v>87.73863227</v>
      </c>
      <c r="AE104" s="71">
        <f t="shared" si="56"/>
        <v>-14.885</v>
      </c>
      <c r="AF104" s="71">
        <f t="shared" si="57"/>
        <v>120.7056819</v>
      </c>
      <c r="AG104" s="72">
        <f t="shared" si="73"/>
        <v>262.8353141</v>
      </c>
      <c r="AH104" s="193">
        <f t="shared" si="59"/>
        <v>28.294</v>
      </c>
      <c r="AI104" s="193">
        <f t="shared" si="60"/>
        <v>30.081</v>
      </c>
      <c r="AJ104" s="73">
        <f t="shared" si="61"/>
        <v>106.1792679</v>
      </c>
      <c r="AK104" s="73">
        <f t="shared" si="62"/>
        <v>25.46504684</v>
      </c>
      <c r="AL104" s="2"/>
      <c r="AM104" s="51">
        <f t="shared" si="63"/>
        <v>3422.049916</v>
      </c>
      <c r="AN104" s="51" t="str">
        <f t="array" ref="AN104">XLOOKUP(D104,RUC!$B$3:$B$565,RUC!$M$3:$M$565)</f>
        <v>Evelyn</v>
      </c>
      <c r="AO104" s="131" t="s">
        <v>547</v>
      </c>
      <c r="AP104" s="205">
        <v>276.0</v>
      </c>
      <c r="AQ104" s="141" t="s">
        <v>900</v>
      </c>
    </row>
    <row r="105" ht="15.0" customHeight="1">
      <c r="A105" s="202" t="s">
        <v>903</v>
      </c>
      <c r="B105" s="182">
        <v>46137.0</v>
      </c>
      <c r="C105" s="182">
        <v>46133.0</v>
      </c>
      <c r="D105" s="57" t="s">
        <v>295</v>
      </c>
      <c r="E105" s="3">
        <f t="array" ref="E105">XLOOKUP(D105,RUC!$B$3:$B$110,RUC!$D$3:$D$110)</f>
        <v>20601769396</v>
      </c>
      <c r="G105" s="141">
        <v>41.0</v>
      </c>
      <c r="H105" s="3" t="s">
        <v>40</v>
      </c>
      <c r="I105" s="6">
        <v>3.32</v>
      </c>
      <c r="J105" s="58">
        <v>17.48</v>
      </c>
      <c r="K105" s="6">
        <f t="shared" si="51"/>
        <v>2.74</v>
      </c>
      <c r="L105" s="60">
        <v>0.419</v>
      </c>
      <c r="M105" s="60">
        <f t="array" ref="M105">ROUND(+IF(L105&gt;XLOOKUP(AN105,RUC!M:M,RUC!K:K),L105*XLOOKUP(AN105,RUC!M:M,RUC!I:I),L105-XLOOKUP(AN105,RUC!M:M,RUC!J:J)),3)</f>
        <v>0.394</v>
      </c>
      <c r="N105" s="62">
        <f t="shared" si="75"/>
        <v>0.394</v>
      </c>
      <c r="O105" s="60">
        <f t="shared" si="76"/>
        <v>0.394</v>
      </c>
      <c r="P105" s="63">
        <v>90.0</v>
      </c>
      <c r="Q105" s="58">
        <v>92.12</v>
      </c>
      <c r="R105" s="65">
        <v>4776.75</v>
      </c>
      <c r="S105" s="66">
        <f t="array" ref="S105">IF((XLOOKUP(D105,RUC!$B$3:$B$106,RUC!$E$3:$E$106)+ROUNDDOWN(O105,1)*100)&lt;95,95,((XLOOKUP(D105,RUC!$B$3:$B$106,RUC!$E$3:$E$106)+ROUNDDOWN(O105,1)*100)))</f>
        <v>120</v>
      </c>
      <c r="U105" s="67">
        <f t="array" ref="U105">XLOOKUP(D105,RUC!$B$3:$B$110,RUC!$F$3:$F$110)</f>
        <v>120</v>
      </c>
      <c r="V105" s="67">
        <v>1.1023</v>
      </c>
      <c r="Y105" s="199">
        <v>30.0</v>
      </c>
      <c r="Z105" s="140">
        <v>70.0</v>
      </c>
      <c r="AA105" s="70">
        <f t="shared" si="53"/>
        <v>100</v>
      </c>
      <c r="AB105" s="71">
        <f t="shared" si="67"/>
        <v>1577.703857</v>
      </c>
      <c r="AC105" s="71">
        <f>+(S105-T105)*V105-'data 1'!$F$4</f>
        <v>52.276</v>
      </c>
      <c r="AD105" s="71">
        <f t="shared" si="55"/>
        <v>45.59661624</v>
      </c>
      <c r="AE105" s="71">
        <f t="shared" si="56"/>
        <v>40.23</v>
      </c>
      <c r="AF105" s="71">
        <f t="shared" si="57"/>
        <v>118.2161111</v>
      </c>
      <c r="AG105" s="72">
        <f t="shared" si="73"/>
        <v>273.3187274</v>
      </c>
      <c r="AH105" s="193">
        <f t="shared" si="59"/>
        <v>36.26</v>
      </c>
      <c r="AI105" s="193">
        <f t="shared" si="60"/>
        <v>39.362</v>
      </c>
      <c r="AJ105" s="73">
        <f t="shared" si="61"/>
        <v>103.4952954</v>
      </c>
      <c r="AK105" s="73">
        <f t="shared" si="62"/>
        <v>33.31182017</v>
      </c>
      <c r="AL105" s="2"/>
      <c r="AM105" s="51">
        <f t="shared" si="63"/>
        <v>4322.908569</v>
      </c>
      <c r="AN105" s="51" t="str">
        <f t="array" ref="AN105">XLOOKUP(D105,RUC!$B$3:$B$565,RUC!$M$3:$M$565)</f>
        <v>Evelyn</v>
      </c>
      <c r="AO105" s="131" t="s">
        <v>547</v>
      </c>
      <c r="AP105" s="205">
        <v>276.0</v>
      </c>
      <c r="AQ105" s="141" t="s">
        <v>900</v>
      </c>
    </row>
    <row r="106" ht="15.0" customHeight="1">
      <c r="A106" s="202" t="s">
        <v>904</v>
      </c>
      <c r="B106" s="182">
        <v>46137.0</v>
      </c>
      <c r="C106" s="182">
        <v>46133.0</v>
      </c>
      <c r="D106" s="57" t="s">
        <v>295</v>
      </c>
      <c r="E106" s="3">
        <f t="array" ref="E106">XLOOKUP(D106,RUC!$B$3:$B$110,RUC!$D$3:$D$110)</f>
        <v>20601769396</v>
      </c>
      <c r="G106" s="141">
        <v>42.0</v>
      </c>
      <c r="H106" s="3" t="s">
        <v>40</v>
      </c>
      <c r="I106" s="6">
        <v>3.36</v>
      </c>
      <c r="J106" s="58">
        <v>17.9</v>
      </c>
      <c r="K106" s="6">
        <f t="shared" si="51"/>
        <v>2.759</v>
      </c>
      <c r="L106" s="60">
        <v>0.417</v>
      </c>
      <c r="M106" s="60">
        <f t="array" ref="M106">ROUND(+IF(L106&gt;XLOOKUP(AN106,RUC!M:M,RUC!K:K),L106*XLOOKUP(AN106,RUC!M:M,RUC!I:I),L106-XLOOKUP(AN106,RUC!M:M,RUC!J:J)),3)</f>
        <v>0.392</v>
      </c>
      <c r="N106" s="62">
        <f t="shared" si="75"/>
        <v>0.392</v>
      </c>
      <c r="O106" s="60">
        <f t="shared" si="76"/>
        <v>0.392</v>
      </c>
      <c r="P106" s="63">
        <v>90.0</v>
      </c>
      <c r="Q106" s="58">
        <v>91.13</v>
      </c>
      <c r="R106" s="65">
        <v>4776.75</v>
      </c>
      <c r="S106" s="66">
        <f t="array" ref="S106">IF((XLOOKUP(D106,RUC!$B$3:$B$106,RUC!$E$3:$E$106)+ROUNDDOWN(O106,1)*100)&lt;95,95,((XLOOKUP(D106,RUC!$B$3:$B$106,RUC!$E$3:$E$106)+ROUNDDOWN(O106,1)*100)))</f>
        <v>120</v>
      </c>
      <c r="U106" s="67">
        <f t="array" ref="U106">XLOOKUP(D106,RUC!$B$3:$B$110,RUC!$F$3:$F$110)</f>
        <v>120</v>
      </c>
      <c r="V106" s="67">
        <v>1.1023</v>
      </c>
      <c r="Y106" s="199">
        <v>30.0</v>
      </c>
      <c r="Z106" s="140">
        <v>70.0</v>
      </c>
      <c r="AA106" s="70">
        <f t="shared" si="53"/>
        <v>100</v>
      </c>
      <c r="AB106" s="71">
        <f t="shared" si="67"/>
        <v>1568.464213</v>
      </c>
      <c r="AC106" s="71">
        <f>+(S106-T106)*V106-'data 1'!$F$4</f>
        <v>52.276</v>
      </c>
      <c r="AD106" s="71">
        <f t="shared" si="55"/>
        <v>24.18784791</v>
      </c>
      <c r="AE106" s="71">
        <f t="shared" si="56"/>
        <v>40.23</v>
      </c>
      <c r="AF106" s="71">
        <f t="shared" si="57"/>
        <v>116.9456601</v>
      </c>
      <c r="AG106" s="72">
        <f t="shared" si="73"/>
        <v>250.639508</v>
      </c>
      <c r="AH106" s="193">
        <f t="shared" si="59"/>
        <v>35.947</v>
      </c>
      <c r="AI106" s="193">
        <f t="shared" si="60"/>
        <v>39.445</v>
      </c>
      <c r="AJ106" s="73">
        <f t="shared" si="61"/>
        <v>101.8943449</v>
      </c>
      <c r="AK106" s="73">
        <f t="shared" si="62"/>
        <v>33.37254645</v>
      </c>
      <c r="AL106" s="2"/>
      <c r="AM106" s="51">
        <f t="shared" si="63"/>
        <v>4327.392764</v>
      </c>
      <c r="AN106" s="51" t="str">
        <f t="array" ref="AN106">XLOOKUP(D106,RUC!$B$3:$B$565,RUC!$M$3:$M$565)</f>
        <v>Evelyn</v>
      </c>
      <c r="AO106" s="131" t="s">
        <v>547</v>
      </c>
      <c r="AP106" s="205">
        <v>276.0</v>
      </c>
      <c r="AQ106" s="141" t="s">
        <v>900</v>
      </c>
    </row>
    <row r="107" ht="15.0" customHeight="1">
      <c r="A107" s="202" t="s">
        <v>905</v>
      </c>
      <c r="B107" s="182">
        <v>46137.0</v>
      </c>
      <c r="C107" s="182">
        <v>46133.0</v>
      </c>
      <c r="D107" s="57" t="s">
        <v>295</v>
      </c>
      <c r="E107" s="3">
        <f t="array" ref="E107">XLOOKUP(D107,RUC!$B$3:$B$110,RUC!$D$3:$D$110)</f>
        <v>20601769396</v>
      </c>
      <c r="G107" s="141">
        <v>42.0</v>
      </c>
      <c r="H107" s="3" t="s">
        <v>40</v>
      </c>
      <c r="I107" s="6">
        <v>3.07</v>
      </c>
      <c r="J107" s="58">
        <v>19.03</v>
      </c>
      <c r="K107" s="6">
        <f t="shared" si="51"/>
        <v>2.486</v>
      </c>
      <c r="L107" s="60">
        <v>0.373</v>
      </c>
      <c r="M107" s="60">
        <f t="array" ref="M107">ROUND(+IF(L107&gt;XLOOKUP(AN107,RUC!M:M,RUC!K:K),L107*XLOOKUP(AN107,RUC!M:M,RUC!I:I),L107-XLOOKUP(AN107,RUC!M:M,RUC!J:J)),3)</f>
        <v>0.351</v>
      </c>
      <c r="N107" s="62">
        <f t="shared" si="75"/>
        <v>0.351</v>
      </c>
      <c r="O107" s="60">
        <f t="shared" si="76"/>
        <v>0.351</v>
      </c>
      <c r="P107" s="63">
        <v>90.0</v>
      </c>
      <c r="Q107" s="58">
        <v>93.03</v>
      </c>
      <c r="R107" s="65">
        <v>4776.75</v>
      </c>
      <c r="S107" s="66">
        <f t="array" ref="S107">IF((XLOOKUP(D107,RUC!$B$3:$B$106,RUC!$E$3:$E$106)+ROUNDDOWN(O107,1)*100)&lt;95,95,((XLOOKUP(D107,RUC!$B$3:$B$106,RUC!$E$3:$E$106)+ROUNDDOWN(O107,1)*100)))</f>
        <v>120</v>
      </c>
      <c r="U107" s="67">
        <f t="array" ref="U107">XLOOKUP(D107,RUC!$B$3:$B$110,RUC!$F$3:$F$110)</f>
        <v>120</v>
      </c>
      <c r="V107" s="67">
        <v>1.1023</v>
      </c>
      <c r="Y107" s="199">
        <v>30.0</v>
      </c>
      <c r="Z107" s="140">
        <v>70.0</v>
      </c>
      <c r="AA107" s="70">
        <f t="shared" si="53"/>
        <v>100</v>
      </c>
      <c r="AB107" s="71">
        <f t="shared" si="67"/>
        <v>1379.051512</v>
      </c>
      <c r="AC107" s="71">
        <f>+(S107-T107)*V107-'data 1'!$F$4</f>
        <v>52.276</v>
      </c>
      <c r="AD107" s="71">
        <f t="shared" si="55"/>
        <v>58.01418439</v>
      </c>
      <c r="AE107" s="71">
        <f t="shared" si="56"/>
        <v>40.23</v>
      </c>
      <c r="AF107" s="71">
        <f t="shared" si="57"/>
        <v>105.0578315</v>
      </c>
      <c r="AG107" s="72">
        <f t="shared" si="73"/>
        <v>272.5780159</v>
      </c>
      <c r="AH107" s="193">
        <f t="shared" si="59"/>
        <v>29.576</v>
      </c>
      <c r="AI107" s="193">
        <f t="shared" si="60"/>
        <v>31.792</v>
      </c>
      <c r="AJ107" s="73">
        <f t="shared" si="61"/>
        <v>93.04317228</v>
      </c>
      <c r="AK107" s="73">
        <f t="shared" si="62"/>
        <v>26.92525466</v>
      </c>
      <c r="AL107" s="2"/>
      <c r="AM107" s="51">
        <f t="shared" si="63"/>
        <v>3428.32206</v>
      </c>
      <c r="AN107" s="51" t="str">
        <f t="array" ref="AN107">XLOOKUP(D107,RUC!$B$3:$B$565,RUC!$M$3:$M$565)</f>
        <v>Evelyn</v>
      </c>
      <c r="AO107" s="131" t="s">
        <v>547</v>
      </c>
      <c r="AP107" s="205">
        <v>276.0</v>
      </c>
      <c r="AQ107" s="141" t="s">
        <v>900</v>
      </c>
    </row>
    <row r="108" ht="15.0" customHeight="1">
      <c r="A108" s="202" t="s">
        <v>906</v>
      </c>
      <c r="B108" s="182">
        <v>46137.0</v>
      </c>
      <c r="C108" s="182">
        <v>46133.0</v>
      </c>
      <c r="D108" s="57" t="s">
        <v>295</v>
      </c>
      <c r="E108" s="3">
        <f t="array" ref="E108">XLOOKUP(D108,RUC!$B$3:$B$110,RUC!$D$3:$D$110)</f>
        <v>20601769396</v>
      </c>
      <c r="G108" s="141">
        <v>33.0</v>
      </c>
      <c r="H108" s="3" t="s">
        <v>40</v>
      </c>
      <c r="I108" s="6">
        <v>2.37</v>
      </c>
      <c r="J108" s="58">
        <v>13.73</v>
      </c>
      <c r="K108" s="6">
        <f t="shared" si="51"/>
        <v>2.045</v>
      </c>
      <c r="L108" s="60">
        <v>0.574</v>
      </c>
      <c r="M108" s="60">
        <f t="array" ref="M108">ROUND(+IF(L108&gt;XLOOKUP(AN108,RUC!M:M,RUC!K:K),L108*XLOOKUP(AN108,RUC!M:M,RUC!I:I),L108-XLOOKUP(AN108,RUC!M:M,RUC!J:J)),3)</f>
        <v>0.54</v>
      </c>
      <c r="N108" s="62">
        <f t="shared" si="75"/>
        <v>0.54</v>
      </c>
      <c r="O108" s="60">
        <f t="shared" si="76"/>
        <v>0.54</v>
      </c>
      <c r="P108" s="63">
        <v>90.0</v>
      </c>
      <c r="Q108" s="58">
        <v>94.77</v>
      </c>
      <c r="R108" s="65">
        <v>4776.75</v>
      </c>
      <c r="S108" s="66">
        <f t="array" ref="S108">IF((XLOOKUP(D108,RUC!$B$3:$B$106,RUC!$E$3:$E$106)+ROUNDDOWN(O108,1)*100)&lt;95,95,((XLOOKUP(D108,RUC!$B$3:$B$106,RUC!$E$3:$E$106)+ROUNDDOWN(O108,1)*100)))</f>
        <v>140</v>
      </c>
      <c r="U108" s="67">
        <f t="array" ref="U108">XLOOKUP(D108,RUC!$B$3:$B$110,RUC!$F$3:$F$110)</f>
        <v>120</v>
      </c>
      <c r="V108" s="67">
        <v>1.1023</v>
      </c>
      <c r="Y108" s="199">
        <v>30.0</v>
      </c>
      <c r="Z108" s="140">
        <v>70.0</v>
      </c>
      <c r="AA108" s="70">
        <f t="shared" si="53"/>
        <v>100</v>
      </c>
      <c r="AB108" s="71">
        <f t="shared" si="67"/>
        <v>2230.151865</v>
      </c>
      <c r="AC108" s="71">
        <f>+(S108-T108)*V108-'data 1'!$F$4</f>
        <v>74.322</v>
      </c>
      <c r="AD108" s="71">
        <f t="shared" si="55"/>
        <v>140.544224</v>
      </c>
      <c r="AE108" s="71">
        <f t="shared" si="56"/>
        <v>40.23</v>
      </c>
      <c r="AF108" s="71">
        <f t="shared" si="57"/>
        <v>165.3988663</v>
      </c>
      <c r="AG108" s="72">
        <f t="shared" si="73"/>
        <v>437.4950903</v>
      </c>
      <c r="AH108" s="193">
        <f t="shared" si="59"/>
        <v>38.14</v>
      </c>
      <c r="AI108" s="193">
        <f t="shared" si="60"/>
        <v>40.245</v>
      </c>
      <c r="AJ108" s="73">
        <f t="shared" si="61"/>
        <v>145.8597381</v>
      </c>
      <c r="AK108" s="73">
        <f t="shared" si="62"/>
        <v>34.07521862</v>
      </c>
      <c r="AL108" s="2"/>
      <c r="AM108" s="51">
        <f t="shared" si="63"/>
        <v>4560.660564</v>
      </c>
      <c r="AN108" s="51" t="str">
        <f t="array" ref="AN108">XLOOKUP(D108,RUC!$B$3:$B$565,RUC!$M$3:$M$565)</f>
        <v>Evelyn</v>
      </c>
      <c r="AO108" s="131" t="s">
        <v>547</v>
      </c>
      <c r="AP108" s="205">
        <v>276.0</v>
      </c>
      <c r="AQ108" s="141" t="s">
        <v>900</v>
      </c>
    </row>
    <row r="109" ht="15.0" customHeight="1">
      <c r="A109" s="202" t="s">
        <v>907</v>
      </c>
      <c r="B109" s="182">
        <v>46138.0</v>
      </c>
      <c r="C109" s="182">
        <v>46134.0</v>
      </c>
      <c r="D109" s="2" t="s">
        <v>806</v>
      </c>
      <c r="E109" s="3">
        <f t="array" ref="E109">XLOOKUP(D109,RUC!$B$3:$B$110,RUC!$D$3:$D$110)</f>
        <v>20614284740</v>
      </c>
      <c r="G109" s="3">
        <v>29.0</v>
      </c>
      <c r="H109" s="3" t="s">
        <v>47</v>
      </c>
      <c r="I109" s="6">
        <v>2.22</v>
      </c>
      <c r="J109" s="58">
        <v>2.0</v>
      </c>
      <c r="K109" s="6">
        <f t="shared" si="51"/>
        <v>2.176</v>
      </c>
      <c r="L109" s="60">
        <v>0.309</v>
      </c>
      <c r="M109" s="60">
        <f t="array" ref="M109">ROUND(+IF(L109&gt;XLOOKUP(AN109,RUC!M:M,RUC!K:K),L109*XLOOKUP(AN109,RUC!M:M,RUC!I:I),L109-XLOOKUP(AN109,RUC!M:M,RUC!J:J)),3)</f>
        <v>0.29</v>
      </c>
      <c r="N109" s="62">
        <f t="shared" si="75"/>
        <v>0.29</v>
      </c>
      <c r="O109" s="60">
        <f t="shared" si="76"/>
        <v>0.29</v>
      </c>
      <c r="P109" s="63">
        <v>90.0</v>
      </c>
      <c r="Q109" s="57">
        <v>90.61</v>
      </c>
      <c r="R109" s="65">
        <v>4742.1</v>
      </c>
      <c r="S109" s="66">
        <f t="array" ref="S109">IF((XLOOKUP(D109,RUC!$B$3:$B$106,RUC!$E$3:$E$106)+ROUNDDOWN(O109,1)*100)&lt;95,95,((XLOOKUP(D109,RUC!$B$3:$B$106,RUC!$E$3:$E$106)+ROUNDDOWN(O109,1)*100)))</f>
        <v>110</v>
      </c>
      <c r="U109" s="67">
        <f t="array" ref="U109">XLOOKUP(D109,RUC!$B$3:$B$110,RUC!$F$3:$F$110)</f>
        <v>120</v>
      </c>
      <c r="V109" s="67">
        <v>1.1023</v>
      </c>
      <c r="Y109" s="2">
        <f t="array" ref="Y109">XLOOKUP(D109,RUC!$B$3:$B$110,RUC!$G$3:$G$110)</f>
        <v>20</v>
      </c>
      <c r="Z109" s="69">
        <f t="array" ref="Z109">XLOOKUP(D109,RUC!$B$3:$B$110,RUC!$H$3:$H$110)</f>
        <v>30</v>
      </c>
      <c r="AA109" s="70">
        <f t="shared" si="53"/>
        <v>50</v>
      </c>
      <c r="AB109" s="71">
        <f t="shared" si="67"/>
        <v>1153.411557</v>
      </c>
      <c r="AC109" s="71">
        <f>+(S109-T109)*V109-'data 1'!$F$4</f>
        <v>41.253</v>
      </c>
      <c r="AD109" s="71">
        <f t="shared" si="55"/>
        <v>9.60345397</v>
      </c>
      <c r="AE109" s="71">
        <f t="shared" si="56"/>
        <v>-14.885</v>
      </c>
      <c r="AF109" s="71">
        <f t="shared" si="57"/>
        <v>87.71399184</v>
      </c>
      <c r="AG109" s="72">
        <f t="shared" si="73"/>
        <v>140.6854458</v>
      </c>
      <c r="AH109" s="193">
        <f t="shared" si="59"/>
        <v>20.888</v>
      </c>
      <c r="AI109" s="193">
        <f t="shared" si="60"/>
        <v>23.053</v>
      </c>
      <c r="AJ109" s="73">
        <f t="shared" si="61"/>
        <v>85.76754203</v>
      </c>
      <c r="AK109" s="73">
        <f t="shared" si="62"/>
        <v>19.47190615</v>
      </c>
      <c r="AL109" s="2"/>
      <c r="AM109" s="51">
        <f t="shared" si="63"/>
        <v>2509.823547</v>
      </c>
      <c r="AN109" s="51" t="str">
        <f t="array" ref="AN109">XLOOKUP(D109,RUC!$B$3:$B$565,RUC!$M$3:$M$565)</f>
        <v>Dante </v>
      </c>
      <c r="AO109" s="131" t="s">
        <v>701</v>
      </c>
      <c r="AP109" s="205">
        <v>307.0</v>
      </c>
      <c r="AQ109" s="141" t="s">
        <v>747</v>
      </c>
    </row>
    <row r="110" ht="15.0" customHeight="1">
      <c r="A110" s="124" t="s">
        <v>908</v>
      </c>
      <c r="B110" s="182"/>
      <c r="C110" s="182">
        <v>46135.0</v>
      </c>
      <c r="D110" s="57" t="s">
        <v>835</v>
      </c>
      <c r="E110" s="3" t="str">
        <f t="array" ref="E110">XLOOKUP(D110,RUC!$B$3:$B$110,RUC!$D$3:$D$110)</f>
        <v>10486077447,</v>
      </c>
      <c r="G110" s="3" t="s">
        <v>735</v>
      </c>
      <c r="H110" s="3" t="s">
        <v>339</v>
      </c>
      <c r="I110" s="6">
        <v>29.12</v>
      </c>
      <c r="J110" s="58">
        <v>2.3</v>
      </c>
      <c r="K110" s="6">
        <f t="shared" si="51"/>
        <v>28.45</v>
      </c>
      <c r="L110" s="60">
        <v>0.121</v>
      </c>
      <c r="M110" s="61">
        <f t="array" ref="M110">ROUND(+IF(L110&gt;XLOOKUP(AN110,RUC!M:M,RUC!K:K),L110*XLOOKUP(AN110,RUC!M:M,RUC!I:I),L110-XLOOKUP(AN110,RUC!M:M,RUC!J:J)),3)-0.003</f>
        <v>0.094</v>
      </c>
      <c r="N110" s="62">
        <f t="shared" si="75"/>
        <v>0.094</v>
      </c>
      <c r="O110" s="60">
        <f t="shared" si="76"/>
        <v>0.094</v>
      </c>
      <c r="P110" s="63">
        <v>90.0</v>
      </c>
      <c r="Q110" s="64">
        <v>90.0</v>
      </c>
      <c r="S110" s="66">
        <f t="array" ref="S110">IF((XLOOKUP(D110,RUC!$B$3:$B$106,RUC!$E$3:$E$106)+ROUNDDOWN(O110,1)*100)&lt;95,95,((XLOOKUP(D110,RUC!$B$3:$B$106,RUC!$E$3:$E$106)+ROUNDDOWN(O110,1)*100)))</f>
        <v>95</v>
      </c>
      <c r="U110" s="67">
        <f t="array" ref="U110">XLOOKUP(D110,RUC!$B$3:$B$110,RUC!$F$3:$F$110)</f>
        <v>120</v>
      </c>
      <c r="V110" s="67">
        <v>1.1023</v>
      </c>
      <c r="Y110" s="2">
        <f t="array" ref="Y110">XLOOKUP(D110,RUC!$B$3:$B$110,RUC!$G$3:$G$110)</f>
        <v>20</v>
      </c>
      <c r="Z110" s="69">
        <f t="array" ref="Z110">XLOOKUP(D110,RUC!$B$3:$B$110,RUC!$H$3:$H$110)</f>
        <v>30</v>
      </c>
      <c r="AA110" s="70">
        <f t="shared" si="53"/>
        <v>50</v>
      </c>
      <c r="AB110" s="71">
        <f t="shared" si="67"/>
        <v>-171.0240496</v>
      </c>
      <c r="AC110" s="71">
        <f>+(S110-T110)*V110-'data 1'!$F$4</f>
        <v>24.7185</v>
      </c>
      <c r="AD110" s="71">
        <f t="shared" si="55"/>
        <v>0</v>
      </c>
      <c r="AE110" s="71">
        <f t="shared" si="56"/>
        <v>-14.885</v>
      </c>
      <c r="AF110" s="71">
        <f t="shared" si="57"/>
        <v>-3.2143068</v>
      </c>
      <c r="AG110" s="72">
        <f t="shared" si="73"/>
        <v>23.6191932</v>
      </c>
      <c r="AH110" s="193">
        <f t="shared" si="59"/>
        <v>106.223</v>
      </c>
      <c r="AI110" s="193">
        <f t="shared" si="60"/>
        <v>118.026</v>
      </c>
      <c r="AJ110" s="73">
        <f t="shared" si="61"/>
        <v>602.6031594</v>
      </c>
      <c r="AK110" s="73">
        <f t="shared" si="62"/>
        <v>82.52047194</v>
      </c>
      <c r="AL110" s="2"/>
      <c r="AM110" s="51">
        <f t="shared" si="63"/>
        <v>0</v>
      </c>
      <c r="AN110" s="51" t="str">
        <f t="array" ref="AN110">XLOOKUP(D110,RUC!$B$3:$B$565,RUC!$M$3:$M$565)</f>
        <v>SIN ACOPIO</v>
      </c>
      <c r="AO110" s="131" t="s">
        <v>701</v>
      </c>
      <c r="AP110" s="205">
        <v>207.0</v>
      </c>
      <c r="AQ110" s="141" t="s">
        <v>909</v>
      </c>
    </row>
    <row r="111" ht="15.0" customHeight="1">
      <c r="A111" s="124" t="s">
        <v>910</v>
      </c>
      <c r="B111" s="182"/>
      <c r="C111" s="182">
        <v>46135.0</v>
      </c>
      <c r="D111" s="57" t="s">
        <v>835</v>
      </c>
      <c r="E111" s="3" t="str">
        <f t="array" ref="E111">XLOOKUP(D111,RUC!$B$3:$B$110,RUC!$D$3:$D$110)</f>
        <v>10486077447,</v>
      </c>
      <c r="G111" s="3" t="s">
        <v>735</v>
      </c>
      <c r="H111" s="3" t="s">
        <v>339</v>
      </c>
      <c r="I111" s="6">
        <v>32.85</v>
      </c>
      <c r="J111" s="58">
        <v>2.0</v>
      </c>
      <c r="K111" s="6">
        <f t="shared" si="51"/>
        <v>32.193</v>
      </c>
      <c r="L111" s="60">
        <v>0.12</v>
      </c>
      <c r="M111" s="61">
        <f t="array" ref="M111">ROUND(+IF(L111&gt;XLOOKUP(AN111,RUC!M:M,RUC!K:K),L111*XLOOKUP(AN111,RUC!M:M,RUC!I:I),L111-XLOOKUP(AN111,RUC!M:M,RUC!J:J)),3)-0.003</f>
        <v>0.093</v>
      </c>
      <c r="N111" s="62">
        <f t="shared" si="75"/>
        <v>0.093</v>
      </c>
      <c r="O111" s="60">
        <f t="shared" si="76"/>
        <v>0.093</v>
      </c>
      <c r="P111" s="63">
        <v>90.0</v>
      </c>
      <c r="Q111" s="64">
        <v>90.0</v>
      </c>
      <c r="S111" s="66">
        <f t="array" ref="S111">IF((XLOOKUP(D111,RUC!$B$3:$B$106,RUC!$E$3:$E$106)+ROUNDDOWN(O111,1)*100)&lt;95,95,((XLOOKUP(D111,RUC!$B$3:$B$106,RUC!$E$3:$E$106)+ROUNDDOWN(O111,1)*100)))</f>
        <v>95</v>
      </c>
      <c r="U111" s="67">
        <f t="array" ref="U111">XLOOKUP(D111,RUC!$B$3:$B$110,RUC!$F$3:$F$110)</f>
        <v>120</v>
      </c>
      <c r="V111" s="67">
        <v>1.1023</v>
      </c>
      <c r="Y111" s="2">
        <f t="array" ref="Y111">XLOOKUP(D111,RUC!$B$3:$B$110,RUC!$G$3:$G$110)</f>
        <v>20</v>
      </c>
      <c r="Z111" s="69">
        <f t="array" ref="Z111">XLOOKUP(D111,RUC!$B$3:$B$110,RUC!$H$3:$H$110)</f>
        <v>30</v>
      </c>
      <c r="AA111" s="70">
        <f t="shared" si="53"/>
        <v>50</v>
      </c>
      <c r="AB111" s="71">
        <f t="shared" si="67"/>
        <v>-170.9050012</v>
      </c>
      <c r="AC111" s="71">
        <f>+(S111-T111)*V111-'data 1'!$F$4</f>
        <v>24.7185</v>
      </c>
      <c r="AD111" s="71">
        <f t="shared" si="55"/>
        <v>0</v>
      </c>
      <c r="AE111" s="71">
        <f t="shared" si="56"/>
        <v>-14.885</v>
      </c>
      <c r="AF111" s="71">
        <f t="shared" si="57"/>
        <v>-3.2143068</v>
      </c>
      <c r="AG111" s="72">
        <f t="shared" si="73"/>
        <v>23.6191932</v>
      </c>
      <c r="AH111" s="193">
        <f t="shared" si="59"/>
        <v>119.205</v>
      </c>
      <c r="AI111" s="193">
        <f t="shared" si="60"/>
        <v>132.45</v>
      </c>
      <c r="AJ111" s="73">
        <f t="shared" si="61"/>
        <v>597.622968</v>
      </c>
      <c r="AK111" s="73">
        <f t="shared" si="62"/>
        <v>92.38383294</v>
      </c>
      <c r="AL111" s="2"/>
      <c r="AM111" s="51">
        <f t="shared" si="63"/>
        <v>0</v>
      </c>
      <c r="AN111" s="51" t="str">
        <f t="array" ref="AN111">XLOOKUP(D111,RUC!$B$3:$B$565,RUC!$M$3:$M$565)</f>
        <v>SIN ACOPIO</v>
      </c>
      <c r="AO111" s="131" t="s">
        <v>701</v>
      </c>
      <c r="AP111" s="205">
        <v>208.0</v>
      </c>
      <c r="AQ111" s="141" t="s">
        <v>911</v>
      </c>
    </row>
    <row r="112" ht="15.0" customHeight="1">
      <c r="A112" s="124" t="s">
        <v>912</v>
      </c>
      <c r="B112" s="182"/>
      <c r="C112" s="182">
        <v>46136.0</v>
      </c>
      <c r="D112" s="57" t="s">
        <v>295</v>
      </c>
      <c r="E112" s="3">
        <f t="array" ref="E112">XLOOKUP(D112,RUC!$B$3:$B$110,RUC!$D$3:$D$110)</f>
        <v>20601769396</v>
      </c>
      <c r="G112" s="3">
        <v>28.0</v>
      </c>
      <c r="H112" s="3" t="s">
        <v>40</v>
      </c>
      <c r="I112" s="6">
        <v>2.33</v>
      </c>
      <c r="J112" s="58">
        <v>16.95</v>
      </c>
      <c r="K112" s="6">
        <f t="shared" si="51"/>
        <v>1.935</v>
      </c>
      <c r="L112" s="60">
        <v>0.522</v>
      </c>
      <c r="M112" s="60">
        <f t="array" ref="M112">ROUND(+IF(L112&gt;XLOOKUP(AN112,RUC!M:M,RUC!K:K),L112*XLOOKUP(AN112,RUC!M:M,RUC!I:I),L112-XLOOKUP(AN112,RUC!M:M,RUC!J:J)),3)</f>
        <v>0.491</v>
      </c>
      <c r="N112" s="62">
        <f t="shared" si="75"/>
        <v>0.491</v>
      </c>
      <c r="O112" s="60">
        <f t="shared" si="76"/>
        <v>0.491</v>
      </c>
      <c r="P112" s="63">
        <v>90.0</v>
      </c>
      <c r="Q112" s="58">
        <v>92.15</v>
      </c>
      <c r="S112" s="66">
        <f t="array" ref="S112">IF((XLOOKUP(D112,RUC!$B$3:$B$106,RUC!$E$3:$E$106)+ROUNDDOWN(O112,1)*100)&lt;95,95,((XLOOKUP(D112,RUC!$B$3:$B$106,RUC!$E$3:$E$106)+ROUNDDOWN(O112,1)*100)))</f>
        <v>130</v>
      </c>
      <c r="U112" s="67">
        <f t="array" ref="U112">XLOOKUP(D112,RUC!$B$3:$B$110,RUC!$F$3:$F$110)</f>
        <v>120</v>
      </c>
      <c r="V112" s="67">
        <v>1.1023</v>
      </c>
      <c r="Y112" s="199">
        <v>30.0</v>
      </c>
      <c r="Z112" s="140">
        <v>70.0</v>
      </c>
      <c r="AA112" s="70">
        <f t="shared" si="53"/>
        <v>100</v>
      </c>
      <c r="AB112" s="71">
        <f t="shared" si="67"/>
        <v>-311.9817644</v>
      </c>
      <c r="AC112" s="71">
        <f>+(S112-T112)*V112-'data 1'!$F$4</f>
        <v>63.299</v>
      </c>
      <c r="AD112" s="71">
        <f t="shared" si="55"/>
        <v>-1.484533548</v>
      </c>
      <c r="AE112" s="71">
        <f t="shared" si="56"/>
        <v>40.23</v>
      </c>
      <c r="AF112" s="71">
        <f t="shared" si="57"/>
        <v>-3.778662354</v>
      </c>
      <c r="AG112" s="72">
        <f t="shared" si="73"/>
        <v>115.2658041</v>
      </c>
      <c r="AH112" s="193">
        <f t="shared" si="59"/>
        <v>31.912</v>
      </c>
      <c r="AI112" s="193">
        <f t="shared" si="60"/>
        <v>34.631</v>
      </c>
      <c r="AJ112" s="73">
        <f t="shared" si="61"/>
        <v>2661.762898</v>
      </c>
      <c r="AK112" s="73">
        <f t="shared" si="62"/>
        <v>29.31662961</v>
      </c>
      <c r="AL112" s="2"/>
      <c r="AM112" s="51">
        <f t="shared" si="63"/>
        <v>0</v>
      </c>
      <c r="AN112" s="51" t="str">
        <f t="array" ref="AN112">XLOOKUP(D112,RUC!$B$3:$B$565,RUC!$M$3:$M$565)</f>
        <v>Evelyn</v>
      </c>
      <c r="AO112" s="131" t="s">
        <v>547</v>
      </c>
      <c r="AP112" s="205">
        <v>279.0</v>
      </c>
      <c r="AQ112" s="141" t="s">
        <v>913</v>
      </c>
    </row>
    <row r="113" ht="15.0" customHeight="1">
      <c r="A113" s="124" t="s">
        <v>914</v>
      </c>
      <c r="B113" s="182"/>
      <c r="C113" s="182">
        <v>46136.0</v>
      </c>
      <c r="D113" s="57" t="s">
        <v>295</v>
      </c>
      <c r="E113" s="3">
        <f t="array" ref="E113">XLOOKUP(D113,RUC!$B$3:$B$110,RUC!$D$3:$D$110)</f>
        <v>20601769396</v>
      </c>
      <c r="G113" s="3">
        <v>28.0</v>
      </c>
      <c r="H113" s="3" t="s">
        <v>40</v>
      </c>
      <c r="I113" s="6">
        <v>2.31</v>
      </c>
      <c r="J113" s="58">
        <v>15.4</v>
      </c>
      <c r="K113" s="6">
        <f t="shared" si="51"/>
        <v>1.954</v>
      </c>
      <c r="L113" s="60">
        <v>0.486</v>
      </c>
      <c r="M113" s="60">
        <f t="array" ref="M113">ROUND(+IF(L113&gt;XLOOKUP(AN113,RUC!M:M,RUC!K:K),L113*XLOOKUP(AN113,RUC!M:M,RUC!I:I),L113-XLOOKUP(AN113,RUC!M:M,RUC!J:J)),3)</f>
        <v>0.457</v>
      </c>
      <c r="N113" s="62">
        <f t="shared" si="75"/>
        <v>0.457</v>
      </c>
      <c r="O113" s="60">
        <f t="shared" si="76"/>
        <v>0.457</v>
      </c>
      <c r="P113" s="63">
        <v>90.0</v>
      </c>
      <c r="Q113" s="58">
        <v>92.59</v>
      </c>
      <c r="S113" s="66">
        <f t="array" ref="S113">IF((XLOOKUP(D113,RUC!$B$3:$B$106,RUC!$E$3:$E$106)+ROUNDDOWN(O113,1)*100)&lt;95,95,((XLOOKUP(D113,RUC!$B$3:$B$106,RUC!$E$3:$E$106)+ROUNDDOWN(O113,1)*100)))</f>
        <v>130</v>
      </c>
      <c r="U113" s="67">
        <f t="array" ref="U113">XLOOKUP(D113,RUC!$B$3:$B$110,RUC!$F$3:$F$110)</f>
        <v>120</v>
      </c>
      <c r="V113" s="67">
        <v>1.1023</v>
      </c>
      <c r="Y113" s="199">
        <v>30.0</v>
      </c>
      <c r="Z113" s="140">
        <v>70.0</v>
      </c>
      <c r="AA113" s="70">
        <f t="shared" si="53"/>
        <v>100</v>
      </c>
      <c r="AB113" s="71">
        <f t="shared" si="67"/>
        <v>-307.9341188</v>
      </c>
      <c r="AC113" s="71">
        <f>+(S113-T113)*V113-'data 1'!$F$4</f>
        <v>63.299</v>
      </c>
      <c r="AD113" s="71">
        <f t="shared" si="55"/>
        <v>-1.665010922</v>
      </c>
      <c r="AE113" s="71">
        <f t="shared" si="56"/>
        <v>40.23</v>
      </c>
      <c r="AF113" s="71">
        <f t="shared" si="57"/>
        <v>-3.551756104</v>
      </c>
      <c r="AG113" s="72">
        <f t="shared" si="73"/>
        <v>115.312233</v>
      </c>
      <c r="AH113" s="193">
        <f t="shared" si="59"/>
        <v>30.146</v>
      </c>
      <c r="AI113" s="193">
        <f t="shared" si="60"/>
        <v>32.559</v>
      </c>
      <c r="AJ113" s="73">
        <f t="shared" si="61"/>
        <v>2490.025977</v>
      </c>
      <c r="AK113" s="73">
        <f t="shared" si="62"/>
        <v>27.55448753</v>
      </c>
      <c r="AL113" s="2"/>
      <c r="AM113" s="51">
        <f t="shared" si="63"/>
        <v>0</v>
      </c>
      <c r="AN113" s="51" t="str">
        <f t="array" ref="AN113">XLOOKUP(D113,RUC!$B$3:$B$565,RUC!$M$3:$M$565)</f>
        <v>Evelyn</v>
      </c>
      <c r="AO113" s="131" t="s">
        <v>547</v>
      </c>
      <c r="AP113" s="205">
        <v>279.0</v>
      </c>
      <c r="AQ113" s="141" t="s">
        <v>913</v>
      </c>
    </row>
    <row r="114" ht="15.0" customHeight="1">
      <c r="A114" s="124" t="s">
        <v>915</v>
      </c>
      <c r="B114" s="182"/>
      <c r="C114" s="182">
        <v>46136.0</v>
      </c>
      <c r="D114" s="57" t="s">
        <v>295</v>
      </c>
      <c r="E114" s="3">
        <f t="array" ref="E114">XLOOKUP(D114,RUC!$B$3:$B$110,RUC!$D$3:$D$110)</f>
        <v>20601769396</v>
      </c>
      <c r="G114" s="3">
        <v>75.0</v>
      </c>
      <c r="H114" s="3" t="s">
        <v>40</v>
      </c>
      <c r="I114" s="6">
        <v>5.9</v>
      </c>
      <c r="J114" s="58">
        <v>17.53</v>
      </c>
      <c r="K114" s="6">
        <f t="shared" si="51"/>
        <v>4.866</v>
      </c>
      <c r="L114" s="60">
        <v>0.189</v>
      </c>
      <c r="M114" s="60">
        <f t="array" ref="M114">ROUND(+IF(L114&gt;XLOOKUP(AN114,RUC!M:M,RUC!K:K),L114*XLOOKUP(AN114,RUC!M:M,RUC!I:I),L114-XLOOKUP(AN114,RUC!M:M,RUC!J:J)),3)</f>
        <v>0.17</v>
      </c>
      <c r="N114" s="62">
        <f t="shared" si="75"/>
        <v>0.17</v>
      </c>
      <c r="O114" s="60">
        <f t="shared" si="76"/>
        <v>0.17</v>
      </c>
      <c r="P114" s="63">
        <v>90.0</v>
      </c>
      <c r="Q114" s="64">
        <v>90.0</v>
      </c>
      <c r="S114" s="66">
        <f t="array" ref="S114">IF((XLOOKUP(D114,RUC!$B$3:$B$106,RUC!$E$3:$E$106)+ROUNDDOWN(O114,1)*100)&lt;95,95,((XLOOKUP(D114,RUC!$B$3:$B$106,RUC!$E$3:$E$106)+ROUNDDOWN(O114,1)*100)))</f>
        <v>100</v>
      </c>
      <c r="U114" s="67">
        <f t="array" ref="U114">XLOOKUP(D114,RUC!$B$3:$B$110,RUC!$F$3:$F$110)</f>
        <v>120</v>
      </c>
      <c r="V114" s="67">
        <v>1.1023</v>
      </c>
      <c r="Y114" s="199">
        <v>30.0</v>
      </c>
      <c r="Z114" s="140">
        <v>70.0</v>
      </c>
      <c r="AA114" s="70">
        <f t="shared" si="53"/>
        <v>100</v>
      </c>
      <c r="AB114" s="71">
        <f t="shared" si="67"/>
        <v>-240.698228</v>
      </c>
      <c r="AC114" s="71">
        <f>+(S114-T114)*V114-'data 1'!$F$4</f>
        <v>30.23</v>
      </c>
      <c r="AD114" s="71">
        <f t="shared" si="55"/>
        <v>0</v>
      </c>
      <c r="AE114" s="71">
        <f t="shared" si="56"/>
        <v>40.23</v>
      </c>
      <c r="AF114" s="71">
        <f t="shared" si="57"/>
        <v>-2.2619196</v>
      </c>
      <c r="AG114" s="72">
        <f t="shared" si="73"/>
        <v>85.1980804</v>
      </c>
      <c r="AH114" s="193">
        <f t="shared" si="59"/>
        <v>28.378</v>
      </c>
      <c r="AI114" s="193">
        <f t="shared" si="60"/>
        <v>31.531</v>
      </c>
      <c r="AJ114" s="73">
        <f t="shared" si="61"/>
        <v>941.2561746</v>
      </c>
      <c r="AK114" s="73">
        <f t="shared" si="62"/>
        <v>25.52540283</v>
      </c>
      <c r="AL114" s="2"/>
      <c r="AM114" s="51">
        <f t="shared" si="63"/>
        <v>0</v>
      </c>
      <c r="AN114" s="51" t="str">
        <f t="array" ref="AN114">XLOOKUP(D114,RUC!$B$3:$B$565,RUC!$M$3:$M$565)</f>
        <v>Evelyn</v>
      </c>
      <c r="AO114" s="131" t="s">
        <v>547</v>
      </c>
      <c r="AP114" s="205">
        <v>279.0</v>
      </c>
      <c r="AQ114" s="141" t="s">
        <v>913</v>
      </c>
    </row>
    <row r="115" ht="15.0" customHeight="1">
      <c r="A115" s="124" t="s">
        <v>916</v>
      </c>
      <c r="B115" s="182"/>
      <c r="C115" s="182">
        <v>46136.0</v>
      </c>
      <c r="D115" s="57" t="s">
        <v>295</v>
      </c>
      <c r="E115" s="3">
        <f t="array" ref="E115">XLOOKUP(D115,RUC!$B$3:$B$110,RUC!$D$3:$D$110)</f>
        <v>20601769396</v>
      </c>
      <c r="G115" s="3">
        <v>50.0</v>
      </c>
      <c r="H115" s="3" t="s">
        <v>40</v>
      </c>
      <c r="I115" s="6">
        <v>2.74</v>
      </c>
      <c r="J115" s="58">
        <v>3.2</v>
      </c>
      <c r="K115" s="6">
        <f t="shared" si="51"/>
        <v>2.652</v>
      </c>
      <c r="L115" s="60">
        <v>0.704</v>
      </c>
      <c r="M115" s="60">
        <f t="array" ref="M115">ROUND(+IF(L115&gt;XLOOKUP(AN115,RUC!M:M,RUC!K:K),L115*XLOOKUP(AN115,RUC!M:M,RUC!I:I),L115-XLOOKUP(AN115,RUC!M:M,RUC!J:J)),3)</f>
        <v>0.662</v>
      </c>
      <c r="N115" s="62">
        <f t="shared" si="75"/>
        <v>0.662</v>
      </c>
      <c r="O115" s="60">
        <f t="shared" si="76"/>
        <v>0.662</v>
      </c>
      <c r="P115" s="63">
        <v>90.0</v>
      </c>
      <c r="Q115" s="64">
        <v>90.0</v>
      </c>
      <c r="S115" s="66">
        <f t="array" ref="S115">IF((XLOOKUP(D115,RUC!$B$3:$B$106,RUC!$E$3:$E$106)+ROUNDDOWN(O115,1)*100)&lt;95,95,((XLOOKUP(D115,RUC!$B$3:$B$106,RUC!$E$3:$E$106)+ROUNDDOWN(O115,1)*100)))</f>
        <v>150</v>
      </c>
      <c r="U115" s="67">
        <f t="array" ref="U115">XLOOKUP(D115,RUC!$B$3:$B$110,RUC!$F$3:$F$110)</f>
        <v>120</v>
      </c>
      <c r="V115" s="67">
        <v>1.1023</v>
      </c>
      <c r="Y115" s="199">
        <v>30.0</v>
      </c>
      <c r="Z115" s="140">
        <v>70.0</v>
      </c>
      <c r="AA115" s="70">
        <f t="shared" si="53"/>
        <v>100</v>
      </c>
      <c r="AB115" s="71">
        <f t="shared" si="67"/>
        <v>-354.3850408</v>
      </c>
      <c r="AC115" s="71">
        <f>+(S115-T115)*V115-'data 1'!$F$4</f>
        <v>85.345</v>
      </c>
      <c r="AD115" s="71">
        <f t="shared" si="55"/>
        <v>0</v>
      </c>
      <c r="AE115" s="71">
        <f t="shared" si="56"/>
        <v>40.23</v>
      </c>
      <c r="AF115" s="71">
        <f t="shared" si="57"/>
        <v>-5.0000328</v>
      </c>
      <c r="AG115" s="72">
        <f t="shared" si="73"/>
        <v>137.5749672</v>
      </c>
      <c r="AH115" s="193">
        <f t="shared" si="59"/>
        <v>57.61</v>
      </c>
      <c r="AI115" s="193">
        <f t="shared" si="60"/>
        <v>64.011</v>
      </c>
      <c r="AJ115" s="73">
        <f t="shared" si="61"/>
        <v>3506.054746</v>
      </c>
      <c r="AK115" s="73">
        <f t="shared" si="62"/>
        <v>54.1730251</v>
      </c>
      <c r="AL115" s="2"/>
      <c r="AM115" s="51">
        <f t="shared" si="63"/>
        <v>0</v>
      </c>
      <c r="AN115" s="51" t="str">
        <f t="array" ref="AN115">XLOOKUP(D115,RUC!$B$3:$B$565,RUC!$M$3:$M$565)</f>
        <v>Evelyn</v>
      </c>
      <c r="AO115" s="131" t="s">
        <v>547</v>
      </c>
      <c r="AP115" s="205">
        <v>279.0</v>
      </c>
      <c r="AQ115" s="141" t="s">
        <v>913</v>
      </c>
    </row>
    <row r="116" ht="15.0" customHeight="1">
      <c r="A116" s="124" t="s">
        <v>917</v>
      </c>
      <c r="B116" s="182"/>
      <c r="C116" s="182">
        <v>46136.0</v>
      </c>
      <c r="D116" s="57" t="s">
        <v>295</v>
      </c>
      <c r="E116" s="3">
        <f t="array" ref="E116">XLOOKUP(D116,RUC!$B$3:$B$110,RUC!$D$3:$D$110)</f>
        <v>20601769396</v>
      </c>
      <c r="G116" s="3">
        <v>37.0</v>
      </c>
      <c r="H116" s="3" t="s">
        <v>40</v>
      </c>
      <c r="I116" s="6">
        <v>3.03</v>
      </c>
      <c r="J116" s="58">
        <v>17.3</v>
      </c>
      <c r="K116" s="6">
        <f t="shared" si="51"/>
        <v>2.506</v>
      </c>
      <c r="L116" s="60">
        <v>0.233</v>
      </c>
      <c r="M116" s="60">
        <f t="array" ref="M116">ROUND(+IF(L116&gt;XLOOKUP(AN116,RUC!M:M,RUC!K:K),L116*XLOOKUP(AN116,RUC!M:M,RUC!I:I),L116-XLOOKUP(AN116,RUC!M:M,RUC!J:J)),3)</f>
        <v>0.214</v>
      </c>
      <c r="N116" s="62">
        <f t="shared" si="75"/>
        <v>0.214</v>
      </c>
      <c r="O116" s="60">
        <f t="shared" si="76"/>
        <v>0.214</v>
      </c>
      <c r="P116" s="63">
        <v>90.0</v>
      </c>
      <c r="Q116" s="64">
        <v>90.0</v>
      </c>
      <c r="S116" s="66">
        <f t="array" ref="S116">IF((XLOOKUP(D116,RUC!$B$3:$B$106,RUC!$E$3:$E$106)+ROUNDDOWN(O116,1)*100)&lt;95,95,((XLOOKUP(D116,RUC!$B$3:$B$106,RUC!$E$3:$E$106)+ROUNDDOWN(O116,1)*100)))</f>
        <v>110</v>
      </c>
      <c r="U116" s="67">
        <f t="array" ref="U116">XLOOKUP(D116,RUC!$B$3:$B$110,RUC!$F$3:$F$110)</f>
        <v>120</v>
      </c>
      <c r="V116" s="67">
        <v>1.1023</v>
      </c>
      <c r="Y116" s="199">
        <v>30.0</v>
      </c>
      <c r="Z116" s="140">
        <v>70.0</v>
      </c>
      <c r="AA116" s="70">
        <f t="shared" si="53"/>
        <v>100</v>
      </c>
      <c r="AB116" s="71">
        <f t="shared" si="67"/>
        <v>-256.9593576</v>
      </c>
      <c r="AC116" s="71">
        <f>+(S116-T116)*V116-'data 1'!$F$4</f>
        <v>41.253</v>
      </c>
      <c r="AD116" s="71">
        <f t="shared" si="55"/>
        <v>0</v>
      </c>
      <c r="AE116" s="71">
        <f t="shared" si="56"/>
        <v>40.23</v>
      </c>
      <c r="AF116" s="71">
        <f t="shared" si="57"/>
        <v>-2.2619196</v>
      </c>
      <c r="AG116" s="72">
        <f t="shared" si="73"/>
        <v>96.2210804</v>
      </c>
      <c r="AH116" s="193">
        <f t="shared" si="59"/>
        <v>18.017</v>
      </c>
      <c r="AI116" s="193">
        <f t="shared" si="60"/>
        <v>20.019</v>
      </c>
      <c r="AJ116" s="73">
        <f t="shared" si="61"/>
        <v>1160.384596</v>
      </c>
      <c r="AK116" s="73">
        <f t="shared" si="62"/>
        <v>16.54803454</v>
      </c>
      <c r="AL116" s="2"/>
      <c r="AM116" s="51">
        <f t="shared" si="63"/>
        <v>0</v>
      </c>
      <c r="AN116" s="51" t="str">
        <f t="array" ref="AN116">XLOOKUP(D116,RUC!$B$3:$B$565,RUC!$M$3:$M$565)</f>
        <v>Evelyn</v>
      </c>
      <c r="AO116" s="131" t="s">
        <v>547</v>
      </c>
      <c r="AP116" s="205">
        <v>279.0</v>
      </c>
      <c r="AQ116" s="141" t="s">
        <v>913</v>
      </c>
    </row>
    <row r="117" ht="15.0" customHeight="1">
      <c r="A117" s="124" t="s">
        <v>918</v>
      </c>
      <c r="B117" s="182"/>
      <c r="C117" s="182">
        <v>46136.0</v>
      </c>
      <c r="D117" s="57" t="s">
        <v>295</v>
      </c>
      <c r="E117" s="3">
        <f t="array" ref="E117">XLOOKUP(D117,RUC!$B$3:$B$110,RUC!$D$3:$D$110)</f>
        <v>20601769396</v>
      </c>
      <c r="G117" s="3">
        <v>81.0</v>
      </c>
      <c r="H117" s="3" t="s">
        <v>40</v>
      </c>
      <c r="I117" s="6">
        <v>6.89</v>
      </c>
      <c r="J117" s="58">
        <v>15.98</v>
      </c>
      <c r="K117" s="6">
        <f t="shared" si="51"/>
        <v>5.789</v>
      </c>
      <c r="L117" s="60">
        <v>0.295</v>
      </c>
      <c r="M117" s="60">
        <f t="array" ref="M117">ROUND(+IF(L117&gt;XLOOKUP(AN117,RUC!M:M,RUC!K:K),L117*XLOOKUP(AN117,RUC!M:M,RUC!I:I),L117-XLOOKUP(AN117,RUC!M:M,RUC!J:J)),3)</f>
        <v>0.276</v>
      </c>
      <c r="N117" s="62">
        <f t="shared" si="75"/>
        <v>0.276</v>
      </c>
      <c r="O117" s="60">
        <f t="shared" si="76"/>
        <v>0.276</v>
      </c>
      <c r="P117" s="63">
        <v>90.0</v>
      </c>
      <c r="Q117" s="64">
        <v>90.0</v>
      </c>
      <c r="S117" s="66">
        <f t="array" ref="S117">IF((XLOOKUP(D117,RUC!$B$3:$B$106,RUC!$E$3:$E$106)+ROUNDDOWN(O117,1)*100)&lt;95,95,((XLOOKUP(D117,RUC!$B$3:$B$106,RUC!$E$3:$E$106)+ROUNDDOWN(O117,1)*100)))</f>
        <v>110</v>
      </c>
      <c r="U117" s="67">
        <f t="array" ref="U117">XLOOKUP(D117,RUC!$B$3:$B$110,RUC!$F$3:$F$110)</f>
        <v>120</v>
      </c>
      <c r="V117" s="67">
        <v>1.1023</v>
      </c>
      <c r="Y117" s="199">
        <v>30.0</v>
      </c>
      <c r="Z117" s="140">
        <v>70.0</v>
      </c>
      <c r="AA117" s="70">
        <f t="shared" si="53"/>
        <v>100</v>
      </c>
      <c r="AB117" s="71">
        <f t="shared" si="67"/>
        <v>-264.3403584</v>
      </c>
      <c r="AC117" s="71">
        <f>+(S117-T117)*V117-'data 1'!$F$4</f>
        <v>41.253</v>
      </c>
      <c r="AD117" s="71">
        <f t="shared" si="55"/>
        <v>0</v>
      </c>
      <c r="AE117" s="71">
        <f t="shared" si="56"/>
        <v>40.23</v>
      </c>
      <c r="AF117" s="71">
        <f t="shared" si="57"/>
        <v>-2.2619196</v>
      </c>
      <c r="AG117" s="72">
        <f t="shared" si="73"/>
        <v>96.2210804</v>
      </c>
      <c r="AH117" s="193">
        <f t="shared" si="59"/>
        <v>52.696</v>
      </c>
      <c r="AI117" s="193">
        <f t="shared" si="60"/>
        <v>58.551</v>
      </c>
      <c r="AJ117" s="73">
        <f t="shared" si="61"/>
        <v>1469.156463</v>
      </c>
      <c r="AK117" s="73">
        <f t="shared" si="62"/>
        <v>49.30196288</v>
      </c>
      <c r="AL117" s="2"/>
      <c r="AM117" s="51">
        <f t="shared" si="63"/>
        <v>0</v>
      </c>
      <c r="AN117" s="51" t="str">
        <f t="array" ref="AN117">XLOOKUP(D117,RUC!$B$3:$B$565,RUC!$M$3:$M$565)</f>
        <v>Evelyn</v>
      </c>
      <c r="AO117" s="131" t="s">
        <v>547</v>
      </c>
      <c r="AP117" s="205">
        <v>279.0</v>
      </c>
      <c r="AQ117" s="141" t="s">
        <v>913</v>
      </c>
    </row>
    <row r="118" ht="15.0" customHeight="1">
      <c r="A118" s="124" t="s">
        <v>919</v>
      </c>
      <c r="B118" s="182"/>
      <c r="C118" s="182">
        <v>46136.0</v>
      </c>
      <c r="D118" s="57" t="s">
        <v>295</v>
      </c>
      <c r="E118" s="3">
        <f t="array" ref="E118">XLOOKUP(D118,RUC!$B$3:$B$110,RUC!$D$3:$D$110)</f>
        <v>20601769396</v>
      </c>
      <c r="G118" s="3">
        <v>50.0</v>
      </c>
      <c r="H118" s="3" t="s">
        <v>40</v>
      </c>
      <c r="I118" s="6">
        <v>2.74</v>
      </c>
      <c r="J118" s="58">
        <v>3.0</v>
      </c>
      <c r="K118" s="6">
        <f t="shared" si="51"/>
        <v>2.658</v>
      </c>
      <c r="L118" s="60">
        <v>0.712</v>
      </c>
      <c r="M118" s="60">
        <f t="array" ref="M118">ROUND(+IF(L118&gt;XLOOKUP(AN118,RUC!M:M,RUC!K:K),L118*XLOOKUP(AN118,RUC!M:M,RUC!I:I),L118-XLOOKUP(AN118,RUC!M:M,RUC!J:J)),3)</f>
        <v>0.669</v>
      </c>
      <c r="N118" s="62">
        <f t="shared" si="75"/>
        <v>0.669</v>
      </c>
      <c r="O118" s="60">
        <f t="shared" si="76"/>
        <v>0.669</v>
      </c>
      <c r="P118" s="63">
        <v>90.0</v>
      </c>
      <c r="Q118" s="64">
        <v>90.0</v>
      </c>
      <c r="S118" s="66">
        <f t="array" ref="S118">IF((XLOOKUP(D118,RUC!$B$3:$B$106,RUC!$E$3:$E$106)+ROUNDDOWN(O118,1)*100)&lt;95,95,((XLOOKUP(D118,RUC!$B$3:$B$106,RUC!$E$3:$E$106)+ROUNDDOWN(O118,1)*100)))</f>
        <v>150</v>
      </c>
      <c r="U118" s="67">
        <f t="array" ref="U118">XLOOKUP(D118,RUC!$B$3:$B$110,RUC!$F$3:$F$110)</f>
        <v>120</v>
      </c>
      <c r="V118" s="67">
        <v>1.1023</v>
      </c>
      <c r="Y118" s="199">
        <v>30.0</v>
      </c>
      <c r="Z118" s="140">
        <v>70.0</v>
      </c>
      <c r="AA118" s="70">
        <f t="shared" si="53"/>
        <v>100</v>
      </c>
      <c r="AB118" s="71">
        <f t="shared" si="67"/>
        <v>-355.2183796</v>
      </c>
      <c r="AC118" s="71">
        <f>+(S118-T118)*V118-'data 1'!$F$4</f>
        <v>85.345</v>
      </c>
      <c r="AD118" s="71">
        <f t="shared" si="55"/>
        <v>0</v>
      </c>
      <c r="AE118" s="71">
        <f t="shared" si="56"/>
        <v>40.23</v>
      </c>
      <c r="AF118" s="71">
        <f t="shared" si="57"/>
        <v>-5.1190812</v>
      </c>
      <c r="AG118" s="72">
        <f t="shared" si="73"/>
        <v>137.4559188</v>
      </c>
      <c r="AH118" s="193">
        <f t="shared" si="59"/>
        <v>58.396</v>
      </c>
      <c r="AI118" s="193">
        <f t="shared" si="60"/>
        <v>64.885</v>
      </c>
      <c r="AJ118" s="73">
        <f t="shared" si="61"/>
        <v>3545.896277</v>
      </c>
      <c r="AK118" s="73">
        <f t="shared" si="62"/>
        <v>54.86971104</v>
      </c>
      <c r="AL118" s="2"/>
      <c r="AM118" s="51">
        <f t="shared" si="63"/>
        <v>0</v>
      </c>
      <c r="AN118" s="51" t="str">
        <f t="array" ref="AN118">XLOOKUP(D118,RUC!$B$3:$B$565,RUC!$M$3:$M$565)</f>
        <v>Evelyn</v>
      </c>
      <c r="AO118" s="131" t="s">
        <v>547</v>
      </c>
      <c r="AP118" s="205">
        <v>279.0</v>
      </c>
      <c r="AQ118" s="141" t="s">
        <v>913</v>
      </c>
    </row>
    <row r="119" ht="15.0" customHeight="1">
      <c r="A119" s="124" t="s">
        <v>920</v>
      </c>
      <c r="B119" s="182"/>
      <c r="C119" s="182">
        <v>46136.0</v>
      </c>
      <c r="D119" s="57" t="s">
        <v>295</v>
      </c>
      <c r="E119" s="3">
        <f t="array" ref="E119">XLOOKUP(D119,RUC!$B$3:$B$110,RUC!$D$3:$D$110)</f>
        <v>20601769396</v>
      </c>
      <c r="G119" s="3">
        <v>80.0</v>
      </c>
      <c r="H119" s="3" t="s">
        <v>40</v>
      </c>
      <c r="I119" s="6">
        <v>6.68</v>
      </c>
      <c r="J119" s="58">
        <v>15.25</v>
      </c>
      <c r="K119" s="6">
        <f t="shared" si="51"/>
        <v>5.661</v>
      </c>
      <c r="L119" s="60">
        <v>0.352</v>
      </c>
      <c r="M119" s="60">
        <f t="array" ref="M119">ROUND(+IF(L119&gt;XLOOKUP(AN119,RUC!M:M,RUC!K:K),L119*XLOOKUP(AN119,RUC!M:M,RUC!I:I),L119-XLOOKUP(AN119,RUC!M:M,RUC!J:J)),3)</f>
        <v>0.331</v>
      </c>
      <c r="N119" s="62">
        <f t="shared" si="75"/>
        <v>0.331</v>
      </c>
      <c r="O119" s="60">
        <f t="shared" si="76"/>
        <v>0.331</v>
      </c>
      <c r="P119" s="63">
        <v>90.0</v>
      </c>
      <c r="Q119" s="64">
        <v>90.0</v>
      </c>
      <c r="S119" s="66">
        <f t="array" ref="S119">IF((XLOOKUP(D119,RUC!$B$3:$B$106,RUC!$E$3:$E$106)+ROUNDDOWN(O119,1)*100)&lt;95,95,((XLOOKUP(D119,RUC!$B$3:$B$106,RUC!$E$3:$E$106)+ROUNDDOWN(O119,1)*100)))</f>
        <v>120</v>
      </c>
      <c r="U119" s="67">
        <f t="array" ref="U119">XLOOKUP(D119,RUC!$B$3:$B$110,RUC!$F$3:$F$110)</f>
        <v>120</v>
      </c>
      <c r="V119" s="67">
        <v>1.1023</v>
      </c>
      <c r="Y119" s="199">
        <v>30.0</v>
      </c>
      <c r="Z119" s="140">
        <v>70.0</v>
      </c>
      <c r="AA119" s="70">
        <f t="shared" si="53"/>
        <v>100</v>
      </c>
      <c r="AB119" s="71">
        <f t="shared" si="67"/>
        <v>-281.9110204</v>
      </c>
      <c r="AC119" s="71">
        <f>+(S119-T119)*V119-'data 1'!$F$4</f>
        <v>52.276</v>
      </c>
      <c r="AD119" s="71">
        <f t="shared" si="55"/>
        <v>0</v>
      </c>
      <c r="AE119" s="71">
        <f t="shared" si="56"/>
        <v>40.23</v>
      </c>
      <c r="AF119" s="71">
        <f t="shared" si="57"/>
        <v>-2.5000164</v>
      </c>
      <c r="AG119" s="72">
        <f t="shared" si="73"/>
        <v>107.0059836</v>
      </c>
      <c r="AH119" s="193">
        <f t="shared" si="59"/>
        <v>61.488</v>
      </c>
      <c r="AI119" s="193">
        <f t="shared" si="60"/>
        <v>68.32</v>
      </c>
      <c r="AJ119" s="73">
        <f t="shared" si="61"/>
        <v>1753.027373</v>
      </c>
      <c r="AK119" s="73">
        <f t="shared" si="62"/>
        <v>57.8192864</v>
      </c>
      <c r="AL119" s="2"/>
      <c r="AM119" s="51">
        <f t="shared" si="63"/>
        <v>0</v>
      </c>
      <c r="AN119" s="51" t="str">
        <f t="array" ref="AN119">XLOOKUP(D119,RUC!$B$3:$B$565,RUC!$M$3:$M$565)</f>
        <v>Evelyn</v>
      </c>
      <c r="AO119" s="131" t="s">
        <v>547</v>
      </c>
      <c r="AP119" s="205">
        <v>279.0</v>
      </c>
      <c r="AQ119" s="141" t="s">
        <v>913</v>
      </c>
    </row>
    <row r="120" ht="15.0" customHeight="1">
      <c r="A120" s="124" t="s">
        <v>921</v>
      </c>
      <c r="B120" s="182"/>
      <c r="C120" s="182">
        <v>46136.0</v>
      </c>
      <c r="D120" s="57" t="s">
        <v>74</v>
      </c>
      <c r="E120" s="3">
        <f t="array" ref="E120">XLOOKUP(D120,RUC!$B$3:$B$110,RUC!$D$3:$D$110)</f>
        <v>10082235774</v>
      </c>
      <c r="G120" s="3">
        <v>56.0</v>
      </c>
      <c r="H120" s="3" t="s">
        <v>47</v>
      </c>
      <c r="I120" s="6">
        <v>5.44</v>
      </c>
      <c r="J120" s="58">
        <v>2.45</v>
      </c>
      <c r="K120" s="6">
        <f t="shared" si="51"/>
        <v>5.307</v>
      </c>
      <c r="L120" s="60">
        <v>0.369</v>
      </c>
      <c r="M120" s="60">
        <f t="array" ref="M120">ROUND(+IF(L120&gt;XLOOKUP(AN120,RUC!M:M,RUC!K:K),L120*XLOOKUP(AN120,RUC!M:M,RUC!I:I),L120-XLOOKUP(AN120,RUC!M:M,RUC!J:J)),3)</f>
        <v>0.362</v>
      </c>
      <c r="N120" s="62">
        <f t="shared" si="75"/>
        <v>0.362</v>
      </c>
      <c r="O120" s="60">
        <f t="shared" si="76"/>
        <v>0.362</v>
      </c>
      <c r="P120" s="63">
        <v>90.0</v>
      </c>
      <c r="Q120" s="64">
        <v>90.0</v>
      </c>
      <c r="S120" s="133">
        <v>110.0</v>
      </c>
      <c r="U120" s="67">
        <f t="array" ref="U120">XLOOKUP(D120,RUC!$B$3:$B$110,RUC!$F$3:$F$110)</f>
        <v>80</v>
      </c>
      <c r="V120" s="67">
        <v>1.1023</v>
      </c>
      <c r="Y120" s="2" t="str">
        <f t="array" ref="Y120">XLOOKUP(D120,RUC!$B$3:$B$110,RUC!$G$3:$G$110)</f>
        <v/>
      </c>
      <c r="Z120" s="69">
        <f t="array" ref="Z120">XLOOKUP(D120,RUC!$B$3:$B$110,RUC!$H$3:$H$110)</f>
        <v>10</v>
      </c>
      <c r="AA120" s="70">
        <f t="shared" si="53"/>
        <v>10</v>
      </c>
      <c r="AB120" s="71">
        <f t="shared" si="67"/>
        <v>-161.0063472</v>
      </c>
      <c r="AC120" s="71">
        <f>+(S120-T120)*V120-'data 1'!$F$4</f>
        <v>41.253</v>
      </c>
      <c r="AD120" s="71">
        <f t="shared" si="55"/>
        <v>0</v>
      </c>
      <c r="AE120" s="71">
        <f t="shared" si="56"/>
        <v>-58.977</v>
      </c>
      <c r="AF120" s="71">
        <f t="shared" si="57"/>
        <v>-0.5555592</v>
      </c>
      <c r="AG120" s="72">
        <f t="shared" ref="AG120:AG126" si="77">AC120+AD120+AE120+AF120+70</f>
        <v>51.7204408</v>
      </c>
      <c r="AH120" s="193">
        <f t="shared" si="59"/>
        <v>60.426</v>
      </c>
      <c r="AI120" s="193">
        <f t="shared" si="60"/>
        <v>67.14</v>
      </c>
      <c r="AJ120" s="73">
        <f t="shared" si="61"/>
        <v>1823.047673</v>
      </c>
      <c r="AK120" s="73">
        <f t="shared" si="62"/>
        <v>59.28014222</v>
      </c>
      <c r="AL120" s="2"/>
      <c r="AM120" s="51">
        <f t="shared" si="63"/>
        <v>0</v>
      </c>
      <c r="AN120" s="51" t="str">
        <f t="array" ref="AN120">XLOOKUP(D120,RUC!$B$3:$B$565,RUC!$M$3:$M$565)</f>
        <v>Melchor Vera</v>
      </c>
      <c r="AO120" s="131" t="s">
        <v>547</v>
      </c>
      <c r="AP120" s="205">
        <v>41.0</v>
      </c>
      <c r="AQ120" s="141" t="s">
        <v>922</v>
      </c>
    </row>
    <row r="121" ht="15.0" customHeight="1">
      <c r="A121" s="124" t="s">
        <v>923</v>
      </c>
      <c r="B121" s="182"/>
      <c r="C121" s="182">
        <v>46136.0</v>
      </c>
      <c r="D121" s="2" t="s">
        <v>74</v>
      </c>
      <c r="E121" s="3">
        <f t="array" ref="E121">XLOOKUP(D121,RUC!$B$3:$B$110,RUC!$D$3:$D$110)</f>
        <v>10082235774</v>
      </c>
      <c r="G121" s="3">
        <v>55.0</v>
      </c>
      <c r="H121" s="3" t="s">
        <v>47</v>
      </c>
      <c r="I121" s="6">
        <v>5.39</v>
      </c>
      <c r="J121" s="58">
        <v>2.1</v>
      </c>
      <c r="K121" s="6">
        <f t="shared" si="51"/>
        <v>5.277</v>
      </c>
      <c r="L121" s="60">
        <v>0.295</v>
      </c>
      <c r="M121" s="60">
        <f t="array" ref="M121">ROUND(+IF(L121&gt;XLOOKUP(AN121,RUC!M:M,RUC!K:K),L121*XLOOKUP(AN121,RUC!M:M,RUC!I:I),L121-XLOOKUP(AN121,RUC!M:M,RUC!J:J)),3)</f>
        <v>0.288</v>
      </c>
      <c r="N121" s="62">
        <f t="shared" si="75"/>
        <v>0.288</v>
      </c>
      <c r="O121" s="60">
        <f t="shared" si="76"/>
        <v>0.288</v>
      </c>
      <c r="P121" s="63">
        <v>90.0</v>
      </c>
      <c r="Q121" s="64">
        <v>90.0</v>
      </c>
      <c r="S121" s="133">
        <v>105.0</v>
      </c>
      <c r="U121" s="67">
        <f t="array" ref="U121">XLOOKUP(D121,RUC!$B$3:$B$110,RUC!$F$3:$F$110)</f>
        <v>80</v>
      </c>
      <c r="V121" s="67">
        <v>1.1023</v>
      </c>
      <c r="Y121" s="2" t="str">
        <f t="array" ref="Y121">XLOOKUP(D121,RUC!$B$3:$B$110,RUC!$G$3:$G$110)</f>
        <v/>
      </c>
      <c r="Z121" s="69">
        <f t="array" ref="Z121">XLOOKUP(D121,RUC!$B$3:$B$110,RUC!$H$3:$H$110)</f>
        <v>10</v>
      </c>
      <c r="AA121" s="70">
        <f t="shared" si="53"/>
        <v>10</v>
      </c>
      <c r="AB121" s="71">
        <f t="shared" si="67"/>
        <v>-149.6217928</v>
      </c>
      <c r="AC121" s="71">
        <f>+(S121-T121)*V121-'data 1'!$F$4</f>
        <v>35.7415</v>
      </c>
      <c r="AD121" s="71">
        <f t="shared" si="55"/>
        <v>0</v>
      </c>
      <c r="AE121" s="71">
        <f t="shared" si="56"/>
        <v>-58.977</v>
      </c>
      <c r="AF121" s="71">
        <f t="shared" si="57"/>
        <v>-0.5555592</v>
      </c>
      <c r="AG121" s="72">
        <f t="shared" si="77"/>
        <v>46.2089408</v>
      </c>
      <c r="AH121" s="193">
        <f t="shared" si="59"/>
        <v>48.035</v>
      </c>
      <c r="AI121" s="193">
        <f t="shared" si="60"/>
        <v>53.373</v>
      </c>
      <c r="AJ121" s="73">
        <f t="shared" si="61"/>
        <v>1457.450037</v>
      </c>
      <c r="AK121" s="73">
        <f t="shared" si="62"/>
        <v>46.89549892</v>
      </c>
      <c r="AL121" s="2"/>
      <c r="AM121" s="51">
        <f t="shared" si="63"/>
        <v>0</v>
      </c>
      <c r="AN121" s="51" t="str">
        <f t="array" ref="AN121">XLOOKUP(D121,RUC!$B$3:$B$565,RUC!$M$3:$M$565)</f>
        <v>Melchor Vera</v>
      </c>
      <c r="AO121" s="131" t="s">
        <v>547</v>
      </c>
      <c r="AP121" s="205">
        <v>41.0</v>
      </c>
      <c r="AQ121" s="141" t="s">
        <v>922</v>
      </c>
    </row>
    <row r="122" ht="15.0" customHeight="1">
      <c r="A122" s="124" t="s">
        <v>924</v>
      </c>
      <c r="B122" s="182"/>
      <c r="C122" s="182">
        <v>46136.0</v>
      </c>
      <c r="D122" s="2" t="s">
        <v>74</v>
      </c>
      <c r="E122" s="3">
        <f t="array" ref="E122">XLOOKUP(D122,RUC!$B$3:$B$110,RUC!$D$3:$D$110)</f>
        <v>10082235774</v>
      </c>
      <c r="G122" s="3">
        <v>68.0</v>
      </c>
      <c r="H122" s="3" t="s">
        <v>47</v>
      </c>
      <c r="I122" s="6">
        <v>6.55</v>
      </c>
      <c r="J122" s="58">
        <v>3.1</v>
      </c>
      <c r="K122" s="6">
        <f t="shared" si="51"/>
        <v>6.347</v>
      </c>
      <c r="L122" s="60">
        <v>0.385</v>
      </c>
      <c r="M122" s="60">
        <f t="array" ref="M122">ROUND(+IF(L122&gt;XLOOKUP(AN122,RUC!M:M,RUC!K:K),L122*XLOOKUP(AN122,RUC!M:M,RUC!I:I),L122-XLOOKUP(AN122,RUC!M:M,RUC!J:J)),3)</f>
        <v>0.378</v>
      </c>
      <c r="N122" s="62">
        <f t="shared" si="75"/>
        <v>0.378</v>
      </c>
      <c r="O122" s="60">
        <f t="shared" si="76"/>
        <v>0.378</v>
      </c>
      <c r="P122" s="63">
        <v>90.0</v>
      </c>
      <c r="Q122" s="64">
        <v>90.0</v>
      </c>
      <c r="S122" s="133">
        <v>110.0</v>
      </c>
      <c r="U122" s="67">
        <f t="array" ref="U122">XLOOKUP(D122,RUC!$B$3:$B$110,RUC!$F$3:$F$110)</f>
        <v>80</v>
      </c>
      <c r="V122" s="67">
        <v>1.1023</v>
      </c>
      <c r="Y122" s="2" t="str">
        <f t="array" ref="Y122">XLOOKUP(D122,RUC!$B$3:$B$110,RUC!$G$3:$G$110)</f>
        <v/>
      </c>
      <c r="Z122" s="69">
        <f t="array" ref="Z122">XLOOKUP(D122,RUC!$B$3:$B$110,RUC!$H$3:$H$110)</f>
        <v>10</v>
      </c>
      <c r="AA122" s="70">
        <f t="shared" si="53"/>
        <v>10</v>
      </c>
      <c r="AB122" s="71">
        <f t="shared" si="67"/>
        <v>-162.2761968</v>
      </c>
      <c r="AC122" s="71">
        <f>+(S122-T122)*V122-'data 1'!$F$4</f>
        <v>41.253</v>
      </c>
      <c r="AD122" s="71">
        <f t="shared" si="55"/>
        <v>0</v>
      </c>
      <c r="AE122" s="71">
        <f t="shared" si="56"/>
        <v>-58.977</v>
      </c>
      <c r="AF122" s="71">
        <f t="shared" si="57"/>
        <v>-0.5555592</v>
      </c>
      <c r="AG122" s="72">
        <f t="shared" si="77"/>
        <v>51.7204408</v>
      </c>
      <c r="AH122" s="193">
        <f t="shared" si="59"/>
        <v>75.402</v>
      </c>
      <c r="AI122" s="193">
        <f t="shared" si="60"/>
        <v>83.78</v>
      </c>
      <c r="AJ122" s="73">
        <f t="shared" si="61"/>
        <v>1902.095811</v>
      </c>
      <c r="AK122" s="73">
        <f t="shared" si="62"/>
        <v>74.03070358</v>
      </c>
      <c r="AL122" s="2"/>
      <c r="AM122" s="51">
        <f t="shared" si="63"/>
        <v>0</v>
      </c>
      <c r="AN122" s="51" t="str">
        <f t="array" ref="AN122">XLOOKUP(D122,RUC!$B$3:$B$565,RUC!$M$3:$M$565)</f>
        <v>Melchor Vera</v>
      </c>
      <c r="AO122" s="131" t="s">
        <v>701</v>
      </c>
      <c r="AP122" s="205">
        <v>41.0</v>
      </c>
      <c r="AQ122" s="141" t="s">
        <v>922</v>
      </c>
    </row>
    <row r="123" ht="15.0" customHeight="1">
      <c r="A123" s="124" t="s">
        <v>925</v>
      </c>
      <c r="B123" s="182"/>
      <c r="C123" s="182">
        <v>46136.0</v>
      </c>
      <c r="D123" s="2" t="s">
        <v>74</v>
      </c>
      <c r="E123" s="3">
        <f t="array" ref="E123">XLOOKUP(D123,RUC!$B$3:$B$110,RUC!$D$3:$D$110)</f>
        <v>10082235774</v>
      </c>
      <c r="G123" s="3">
        <v>46.0</v>
      </c>
      <c r="H123" s="3" t="s">
        <v>47</v>
      </c>
      <c r="I123" s="6">
        <v>4.26</v>
      </c>
      <c r="J123" s="58">
        <v>2.15</v>
      </c>
      <c r="K123" s="6">
        <f t="shared" si="51"/>
        <v>4.168</v>
      </c>
      <c r="L123" s="60">
        <v>0.269</v>
      </c>
      <c r="M123" s="60">
        <f t="array" ref="M123">ROUND(+IF(L123&gt;XLOOKUP(AN123,RUC!M:M,RUC!K:K),L123*XLOOKUP(AN123,RUC!M:M,RUC!I:I),L123-XLOOKUP(AN123,RUC!M:M,RUC!J:J)),3)</f>
        <v>0.262</v>
      </c>
      <c r="N123" s="62">
        <f t="shared" si="75"/>
        <v>0.262</v>
      </c>
      <c r="O123" s="60">
        <f t="shared" si="76"/>
        <v>0.262</v>
      </c>
      <c r="P123" s="63">
        <v>90.0</v>
      </c>
      <c r="Q123" s="64">
        <v>90.0</v>
      </c>
      <c r="S123" s="133">
        <v>105.0</v>
      </c>
      <c r="U123" s="67">
        <f t="array" ref="U123">XLOOKUP(D123,RUC!$B$3:$B$110,RUC!$F$3:$F$110)</f>
        <v>80</v>
      </c>
      <c r="V123" s="67">
        <v>1.1023</v>
      </c>
      <c r="Y123" s="2" t="str">
        <f t="array" ref="Y123">XLOOKUP(D123,RUC!$B$3:$B$110,RUC!$G$3:$G$110)</f>
        <v/>
      </c>
      <c r="Z123" s="69">
        <f t="array" ref="Z123">XLOOKUP(D123,RUC!$B$3:$B$110,RUC!$H$3:$H$110)</f>
        <v>10</v>
      </c>
      <c r="AA123" s="70">
        <f t="shared" si="53"/>
        <v>10</v>
      </c>
      <c r="AB123" s="71">
        <f t="shared" si="67"/>
        <v>-147.5582872</v>
      </c>
      <c r="AC123" s="71">
        <f>+(S123-T123)*V123-'data 1'!$F$4</f>
        <v>35.7415</v>
      </c>
      <c r="AD123" s="71">
        <f t="shared" si="55"/>
        <v>0</v>
      </c>
      <c r="AE123" s="71">
        <f t="shared" si="56"/>
        <v>-58.977</v>
      </c>
      <c r="AF123" s="71">
        <f t="shared" si="57"/>
        <v>-0.5555592</v>
      </c>
      <c r="AG123" s="72">
        <f t="shared" si="77"/>
        <v>46.2089408</v>
      </c>
      <c r="AH123" s="193">
        <f t="shared" si="59"/>
        <v>34.596</v>
      </c>
      <c r="AI123" s="193">
        <f t="shared" si="60"/>
        <v>38.441</v>
      </c>
      <c r="AJ123" s="73">
        <f t="shared" si="61"/>
        <v>1328.996813</v>
      </c>
      <c r="AK123" s="73">
        <f t="shared" si="62"/>
        <v>33.69617309</v>
      </c>
      <c r="AL123" s="2"/>
      <c r="AM123" s="51">
        <f t="shared" si="63"/>
        <v>0</v>
      </c>
      <c r="AN123" s="51" t="str">
        <f t="array" ref="AN123">XLOOKUP(D123,RUC!$B$3:$B$565,RUC!$M$3:$M$565)</f>
        <v>Melchor Vera</v>
      </c>
      <c r="AO123" s="131" t="s">
        <v>701</v>
      </c>
      <c r="AP123" s="205">
        <v>41.0</v>
      </c>
      <c r="AQ123" s="141" t="s">
        <v>922</v>
      </c>
    </row>
    <row r="124" ht="15.0" customHeight="1">
      <c r="A124" s="124" t="s">
        <v>926</v>
      </c>
      <c r="B124" s="182"/>
      <c r="C124" s="182">
        <v>46136.0</v>
      </c>
      <c r="D124" s="2" t="s">
        <v>74</v>
      </c>
      <c r="E124" s="3">
        <f t="array" ref="E124">XLOOKUP(D124,RUC!$B$3:$B$110,RUC!$D$3:$D$110)</f>
        <v>10082235774</v>
      </c>
      <c r="G124" s="3">
        <v>54.0</v>
      </c>
      <c r="H124" s="3" t="s">
        <v>47</v>
      </c>
      <c r="I124" s="6">
        <v>4.91</v>
      </c>
      <c r="J124" s="58">
        <v>2.2</v>
      </c>
      <c r="K124" s="6">
        <f t="shared" si="51"/>
        <v>4.802</v>
      </c>
      <c r="L124" s="60">
        <v>0.261</v>
      </c>
      <c r="M124" s="60">
        <f t="array" ref="M124">ROUND(+IF(L124&gt;XLOOKUP(AN124,RUC!M:M,RUC!K:K),L124*XLOOKUP(AN124,RUC!M:M,RUC!I:I),L124-XLOOKUP(AN124,RUC!M:M,RUC!J:J)),3)</f>
        <v>0.254</v>
      </c>
      <c r="N124" s="62">
        <f t="shared" si="75"/>
        <v>0.254</v>
      </c>
      <c r="O124" s="60">
        <f t="shared" si="76"/>
        <v>0.254</v>
      </c>
      <c r="P124" s="63">
        <v>90.0</v>
      </c>
      <c r="Q124" s="64">
        <v>90.0</v>
      </c>
      <c r="S124" s="133">
        <v>105.0</v>
      </c>
      <c r="U124" s="67">
        <f t="array" ref="U124">XLOOKUP(D124,RUC!$B$3:$B$110,RUC!$F$3:$F$110)</f>
        <v>80</v>
      </c>
      <c r="V124" s="67">
        <v>1.1023</v>
      </c>
      <c r="Y124" s="2" t="str">
        <f t="array" ref="Y124">XLOOKUP(D124,RUC!$B$3:$B$110,RUC!$G$3:$G$110)</f>
        <v/>
      </c>
      <c r="Z124" s="69">
        <f t="array" ref="Z124">XLOOKUP(D124,RUC!$B$3:$B$110,RUC!$H$3:$H$110)</f>
        <v>10</v>
      </c>
      <c r="AA124" s="70">
        <f t="shared" si="53"/>
        <v>10</v>
      </c>
      <c r="AB124" s="71">
        <f t="shared" si="67"/>
        <v>-146.9233624</v>
      </c>
      <c r="AC124" s="71">
        <f>+(S124-T124)*V124-'data 1'!$F$4</f>
        <v>35.7415</v>
      </c>
      <c r="AD124" s="71">
        <f t="shared" si="55"/>
        <v>0</v>
      </c>
      <c r="AE124" s="71">
        <f t="shared" si="56"/>
        <v>-58.977</v>
      </c>
      <c r="AF124" s="71">
        <f t="shared" si="57"/>
        <v>-0.5555592</v>
      </c>
      <c r="AG124" s="72">
        <f t="shared" si="77"/>
        <v>46.2089408</v>
      </c>
      <c r="AH124" s="193">
        <f t="shared" si="59"/>
        <v>38.674</v>
      </c>
      <c r="AI124" s="193">
        <f t="shared" si="60"/>
        <v>42.971</v>
      </c>
      <c r="AJ124" s="73">
        <f t="shared" si="61"/>
        <v>1289.472745</v>
      </c>
      <c r="AK124" s="73">
        <f t="shared" si="62"/>
        <v>37.63634588</v>
      </c>
      <c r="AL124" s="2"/>
      <c r="AM124" s="51">
        <f t="shared" si="63"/>
        <v>0</v>
      </c>
      <c r="AN124" s="51" t="str">
        <f t="array" ref="AN124">XLOOKUP(D124,RUC!$B$3:$B$565,RUC!$M$3:$M$565)</f>
        <v>Melchor Vera</v>
      </c>
      <c r="AO124" s="131" t="s">
        <v>701</v>
      </c>
      <c r="AP124" s="205">
        <v>41.0</v>
      </c>
      <c r="AQ124" s="141" t="s">
        <v>922</v>
      </c>
    </row>
    <row r="125" ht="15.0" customHeight="1">
      <c r="A125" s="124" t="s">
        <v>927</v>
      </c>
      <c r="B125" s="182"/>
      <c r="C125" s="182">
        <v>46137.0</v>
      </c>
      <c r="D125" s="2" t="s">
        <v>74</v>
      </c>
      <c r="E125" s="3">
        <f t="array" ref="E125">XLOOKUP(D125,RUC!$B$3:$B$110,RUC!$D$3:$D$110)</f>
        <v>10082235774</v>
      </c>
      <c r="G125" s="3">
        <v>49.0</v>
      </c>
      <c r="H125" s="3" t="s">
        <v>47</v>
      </c>
      <c r="I125" s="6">
        <v>4.64</v>
      </c>
      <c r="J125" s="58">
        <v>2.25</v>
      </c>
      <c r="K125" s="6">
        <f t="shared" si="51"/>
        <v>4.536</v>
      </c>
      <c r="L125" s="60">
        <v>0.249</v>
      </c>
      <c r="M125" s="60">
        <f t="array" ref="M125">ROUND(+IF(L125&gt;XLOOKUP(AN125,RUC!M:M,RUC!K:K),L125*XLOOKUP(AN125,RUC!M:M,RUC!I:I),L125-XLOOKUP(AN125,RUC!M:M,RUC!J:J)),3)</f>
        <v>0.242</v>
      </c>
      <c r="N125" s="62">
        <f t="shared" si="75"/>
        <v>0.242</v>
      </c>
      <c r="O125" s="60">
        <f t="shared" si="76"/>
        <v>0.242</v>
      </c>
      <c r="P125" s="63">
        <v>90.0</v>
      </c>
      <c r="Q125" s="64">
        <v>90.0</v>
      </c>
      <c r="S125" s="133">
        <v>105.0</v>
      </c>
      <c r="U125" s="67">
        <f t="array" ref="U125">XLOOKUP(D125,RUC!$B$3:$B$110,RUC!$F$3:$F$110)</f>
        <v>80</v>
      </c>
      <c r="V125" s="67">
        <v>1.1023</v>
      </c>
      <c r="Y125" s="2" t="str">
        <f t="array" ref="Y125">XLOOKUP(D125,RUC!$B$3:$B$110,RUC!$G$3:$G$110)</f>
        <v/>
      </c>
      <c r="Z125" s="69">
        <f t="array" ref="Z125">XLOOKUP(D125,RUC!$B$3:$B$110,RUC!$H$3:$H$110)</f>
        <v>10</v>
      </c>
      <c r="AA125" s="70">
        <f t="shared" si="53"/>
        <v>10</v>
      </c>
      <c r="AB125" s="71">
        <f t="shared" si="67"/>
        <v>-145.9709752</v>
      </c>
      <c r="AC125" s="71">
        <f>+(S125-T125)*V125-'data 1'!$F$4</f>
        <v>35.7415</v>
      </c>
      <c r="AD125" s="71">
        <f t="shared" si="55"/>
        <v>0</v>
      </c>
      <c r="AE125" s="71">
        <f t="shared" si="56"/>
        <v>-58.977</v>
      </c>
      <c r="AF125" s="71">
        <f t="shared" si="57"/>
        <v>-0.5555592</v>
      </c>
      <c r="AG125" s="72">
        <f t="shared" si="77"/>
        <v>46.2089408</v>
      </c>
      <c r="AH125" s="193">
        <f t="shared" si="59"/>
        <v>34.852</v>
      </c>
      <c r="AI125" s="193">
        <f t="shared" si="60"/>
        <v>38.724</v>
      </c>
      <c r="AJ125" s="73">
        <f t="shared" si="61"/>
        <v>1230.186641</v>
      </c>
      <c r="AK125" s="73">
        <f t="shared" si="62"/>
        <v>33.8719337</v>
      </c>
      <c r="AL125" s="2"/>
      <c r="AM125" s="51">
        <f t="shared" si="63"/>
        <v>0</v>
      </c>
      <c r="AN125" s="51" t="str">
        <f t="array" ref="AN125">XLOOKUP(D125,RUC!$B$3:$B$565,RUC!$M$3:$M$565)</f>
        <v>Melchor Vera</v>
      </c>
      <c r="AO125" s="131" t="s">
        <v>701</v>
      </c>
      <c r="AP125" s="205">
        <v>41.0</v>
      </c>
      <c r="AQ125" s="141" t="s">
        <v>922</v>
      </c>
    </row>
    <row r="126" ht="15.0" customHeight="1">
      <c r="A126" s="124" t="s">
        <v>928</v>
      </c>
      <c r="B126" s="182"/>
      <c r="C126" s="182">
        <v>46137.0</v>
      </c>
      <c r="D126" s="2" t="s">
        <v>74</v>
      </c>
      <c r="E126" s="3">
        <f t="array" ref="E126">XLOOKUP(D126,RUC!$B$3:$B$110,RUC!$D$3:$D$110)</f>
        <v>10082235774</v>
      </c>
      <c r="G126" s="3">
        <v>67.0</v>
      </c>
      <c r="H126" s="3" t="s">
        <v>47</v>
      </c>
      <c r="I126" s="6">
        <v>6.06</v>
      </c>
      <c r="J126" s="58">
        <v>2.1</v>
      </c>
      <c r="K126" s="6">
        <f t="shared" si="51"/>
        <v>5.933</v>
      </c>
      <c r="L126" s="60">
        <v>0.282</v>
      </c>
      <c r="M126" s="60">
        <f t="array" ref="M126">ROUND(+IF(L126&gt;XLOOKUP(AN126,RUC!M:M,RUC!K:K),L126*XLOOKUP(AN126,RUC!M:M,RUC!I:I),L126-XLOOKUP(AN126,RUC!M:M,RUC!J:J)),3)</f>
        <v>0.275</v>
      </c>
      <c r="N126" s="62">
        <f t="shared" si="75"/>
        <v>0.275</v>
      </c>
      <c r="O126" s="60">
        <f t="shared" si="76"/>
        <v>0.275</v>
      </c>
      <c r="P126" s="63">
        <v>90.0</v>
      </c>
      <c r="Q126" s="64">
        <v>90.0</v>
      </c>
      <c r="S126" s="133">
        <v>105.0</v>
      </c>
      <c r="U126" s="67">
        <f t="array" ref="U126">XLOOKUP(D126,RUC!$B$3:$B$110,RUC!$F$3:$F$110)</f>
        <v>80</v>
      </c>
      <c r="V126" s="67">
        <v>1.1023</v>
      </c>
      <c r="Y126" s="2" t="str">
        <f t="array" ref="Y126">XLOOKUP(D126,RUC!$B$3:$B$110,RUC!$G$3:$G$110)</f>
        <v/>
      </c>
      <c r="Z126" s="69">
        <f t="array" ref="Z126">XLOOKUP(D126,RUC!$B$3:$B$110,RUC!$H$3:$H$110)</f>
        <v>10</v>
      </c>
      <c r="AA126" s="70">
        <f t="shared" si="53"/>
        <v>10</v>
      </c>
      <c r="AB126" s="71">
        <f t="shared" si="67"/>
        <v>-148.59004</v>
      </c>
      <c r="AC126" s="71">
        <f>+(S126-T126)*V126-'data 1'!$F$4</f>
        <v>35.7415</v>
      </c>
      <c r="AD126" s="71">
        <f t="shared" si="55"/>
        <v>0</v>
      </c>
      <c r="AE126" s="71">
        <f t="shared" si="56"/>
        <v>-58.977</v>
      </c>
      <c r="AF126" s="71">
        <f t="shared" si="57"/>
        <v>-0.5555592</v>
      </c>
      <c r="AG126" s="72">
        <f t="shared" si="77"/>
        <v>46.2089408</v>
      </c>
      <c r="AH126" s="193">
        <f t="shared" si="59"/>
        <v>51.627</v>
      </c>
      <c r="AI126" s="193">
        <f t="shared" si="60"/>
        <v>57.363</v>
      </c>
      <c r="AJ126" s="73">
        <f t="shared" si="61"/>
        <v>1393.223425</v>
      </c>
      <c r="AK126" s="73">
        <f t="shared" si="62"/>
        <v>50.34526381</v>
      </c>
      <c r="AL126" s="2"/>
      <c r="AM126" s="51">
        <f t="shared" si="63"/>
        <v>0</v>
      </c>
      <c r="AN126" s="51" t="str">
        <f t="array" ref="AN126">XLOOKUP(D126,RUC!$B$3:$B$565,RUC!$M$3:$M$565)</f>
        <v>Melchor Vera</v>
      </c>
      <c r="AO126" s="131" t="s">
        <v>701</v>
      </c>
      <c r="AP126" s="205">
        <v>41.0</v>
      </c>
      <c r="AQ126" s="141" t="s">
        <v>922</v>
      </c>
    </row>
    <row r="127" ht="15.0" customHeight="1">
      <c r="A127" s="124" t="s">
        <v>929</v>
      </c>
      <c r="B127" s="182"/>
      <c r="C127" s="182">
        <v>46137.0</v>
      </c>
      <c r="D127" s="57" t="s">
        <v>602</v>
      </c>
      <c r="E127" s="3">
        <f t="array" ref="E127">XLOOKUP(D127,RUC!$B$3:$B$110,RUC!$D$3:$D$110)</f>
        <v>20169040231</v>
      </c>
      <c r="G127" s="141">
        <v>73.0</v>
      </c>
      <c r="H127" s="3" t="s">
        <v>47</v>
      </c>
      <c r="I127" s="6">
        <v>7.02</v>
      </c>
      <c r="J127" s="58">
        <v>2.1</v>
      </c>
      <c r="K127" s="6">
        <f t="shared" si="51"/>
        <v>6.873</v>
      </c>
      <c r="L127" s="60">
        <v>0.251</v>
      </c>
      <c r="M127" s="60">
        <f t="array" ref="M127">ROUND(+IF(L127&gt;XLOOKUP(AN127,RUC!M:M,RUC!K:K),L127*XLOOKUP(AN127,RUC!M:M,RUC!I:I),L127-XLOOKUP(AN127,RUC!M:M,RUC!J:J)),3)</f>
        <v>0.232</v>
      </c>
      <c r="N127" s="62">
        <f t="shared" si="75"/>
        <v>0.232</v>
      </c>
      <c r="O127" s="60">
        <f t="shared" si="76"/>
        <v>0.232</v>
      </c>
      <c r="P127" s="63">
        <v>90.0</v>
      </c>
      <c r="Q127" s="64">
        <v>90.0</v>
      </c>
      <c r="S127" s="66">
        <f t="array" ref="S127">IF((XLOOKUP(D127,RUC!$B$3:$B$106,RUC!$E$3:$E$106)+ROUNDDOWN(O127,1)*100)&lt;95,95,((XLOOKUP(D127,RUC!$B$3:$B$106,RUC!$E$3:$E$106)+ROUNDDOWN(O127,1)*100)))</f>
        <v>105</v>
      </c>
      <c r="U127" s="67">
        <f t="array" ref="U127">XLOOKUP(D127,RUC!$B$3:$B$110,RUC!$F$3:$F$110)</f>
        <v>120</v>
      </c>
      <c r="V127" s="67">
        <v>1.1023</v>
      </c>
      <c r="Y127" s="2">
        <f t="array" ref="Y127">XLOOKUP(D127,RUC!$B$3:$B$110,RUC!$G$3:$G$110)</f>
        <v>20</v>
      </c>
      <c r="Z127" s="69">
        <f t="array" ref="Z127">XLOOKUP(D127,RUC!$B$3:$B$110,RUC!$H$3:$H$110)</f>
        <v>30</v>
      </c>
      <c r="AA127" s="70">
        <f t="shared" si="53"/>
        <v>50</v>
      </c>
      <c r="AB127" s="71">
        <f t="shared" si="67"/>
        <v>-198.4757288</v>
      </c>
      <c r="AC127" s="71">
        <f>+(S127-T127)*V127-'data 1'!$F$4</f>
        <v>35.7415</v>
      </c>
      <c r="AD127" s="71">
        <f t="shared" si="55"/>
        <v>0</v>
      </c>
      <c r="AE127" s="71">
        <f t="shared" si="56"/>
        <v>-14.885</v>
      </c>
      <c r="AF127" s="71">
        <f t="shared" si="57"/>
        <v>-2.2619196</v>
      </c>
      <c r="AG127" s="72">
        <f t="shared" ref="AG127:AG141" si="78">AC127+AD127+AE127+AF127+70-53</f>
        <v>35.5945804</v>
      </c>
      <c r="AH127" s="193">
        <f t="shared" si="59"/>
        <v>53.232</v>
      </c>
      <c r="AI127" s="193">
        <f t="shared" si="60"/>
        <v>59.147</v>
      </c>
      <c r="AJ127" s="73">
        <f t="shared" si="61"/>
        <v>1250.028041</v>
      </c>
      <c r="AK127" s="73">
        <f t="shared" si="62"/>
        <v>49.20235697</v>
      </c>
      <c r="AL127" s="2"/>
      <c r="AM127" s="51">
        <f t="shared" si="63"/>
        <v>0</v>
      </c>
      <c r="AN127" s="51" t="str">
        <f t="array" ref="AN127">XLOOKUP(D127,RUC!$B$3:$B$565,RUC!$M$3:$M$565)</f>
        <v>Ronald Miranda</v>
      </c>
      <c r="AO127" s="131" t="s">
        <v>701</v>
      </c>
      <c r="AP127" s="205">
        <v>6468.0</v>
      </c>
      <c r="AQ127" s="141" t="s">
        <v>930</v>
      </c>
    </row>
    <row r="128" ht="15.0" customHeight="1">
      <c r="A128" s="124" t="s">
        <v>931</v>
      </c>
      <c r="B128" s="182"/>
      <c r="C128" s="182">
        <v>46137.0</v>
      </c>
      <c r="D128" s="57" t="s">
        <v>602</v>
      </c>
      <c r="E128" s="3">
        <f t="array" ref="E128">XLOOKUP(D128,RUC!$B$3:$B$110,RUC!$D$3:$D$110)</f>
        <v>20169040231</v>
      </c>
      <c r="G128" s="141">
        <v>73.0</v>
      </c>
      <c r="H128" s="3" t="s">
        <v>47</v>
      </c>
      <c r="I128" s="6">
        <v>7.14</v>
      </c>
      <c r="J128" s="58">
        <v>2.2</v>
      </c>
      <c r="K128" s="6">
        <f t="shared" si="51"/>
        <v>6.983</v>
      </c>
      <c r="L128" s="60">
        <v>0.234</v>
      </c>
      <c r="M128" s="60">
        <f t="array" ref="M128">ROUND(+IF(L128&gt;XLOOKUP(AN128,RUC!M:M,RUC!K:K),L128*XLOOKUP(AN128,RUC!M:M,RUC!I:I),L128-XLOOKUP(AN128,RUC!M:M,RUC!J:J)),3)</f>
        <v>0.215</v>
      </c>
      <c r="N128" s="62">
        <f t="shared" si="75"/>
        <v>0.215</v>
      </c>
      <c r="O128" s="60">
        <f t="shared" si="76"/>
        <v>0.215</v>
      </c>
      <c r="P128" s="63">
        <v>90.0</v>
      </c>
      <c r="Q128" s="64">
        <v>90.0</v>
      </c>
      <c r="S128" s="66">
        <f t="array" ref="S128">IF((XLOOKUP(D128,RUC!$B$3:$B$106,RUC!$E$3:$E$106)+ROUNDDOWN(O128,1)*100)&lt;95,95,((XLOOKUP(D128,RUC!$B$3:$B$106,RUC!$E$3:$E$106)+ROUNDDOWN(O128,1)*100)))</f>
        <v>105</v>
      </c>
      <c r="U128" s="67">
        <f t="array" ref="U128">XLOOKUP(D128,RUC!$B$3:$B$110,RUC!$F$3:$F$110)</f>
        <v>120</v>
      </c>
      <c r="V128" s="67">
        <v>1.1023</v>
      </c>
      <c r="Y128" s="2">
        <f t="array" ref="Y128">XLOOKUP(D128,RUC!$B$3:$B$110,RUC!$G$3:$G$110)</f>
        <v>20</v>
      </c>
      <c r="Z128" s="69">
        <f t="array" ref="Z128">XLOOKUP(D128,RUC!$B$3:$B$110,RUC!$H$3:$H$110)</f>
        <v>30</v>
      </c>
      <c r="AA128" s="70">
        <f t="shared" si="53"/>
        <v>50</v>
      </c>
      <c r="AB128" s="71">
        <f t="shared" si="67"/>
        <v>-196.451906</v>
      </c>
      <c r="AC128" s="71">
        <f>+(S128-T128)*V128-'data 1'!$F$4</f>
        <v>35.7415</v>
      </c>
      <c r="AD128" s="71">
        <f t="shared" si="55"/>
        <v>0</v>
      </c>
      <c r="AE128" s="71">
        <f t="shared" si="56"/>
        <v>-14.885</v>
      </c>
      <c r="AF128" s="71">
        <f t="shared" si="57"/>
        <v>-2.2619196</v>
      </c>
      <c r="AG128" s="72">
        <f t="shared" si="78"/>
        <v>35.5945804</v>
      </c>
      <c r="AH128" s="193">
        <f t="shared" si="59"/>
        <v>50.421</v>
      </c>
      <c r="AI128" s="193">
        <f t="shared" si="60"/>
        <v>56.023</v>
      </c>
      <c r="AJ128" s="73">
        <f t="shared" si="61"/>
        <v>1165.364788</v>
      </c>
      <c r="AK128" s="73">
        <f t="shared" si="62"/>
        <v>46.32677633</v>
      </c>
      <c r="AL128" s="2"/>
      <c r="AM128" s="51">
        <f t="shared" si="63"/>
        <v>0</v>
      </c>
      <c r="AN128" s="51" t="str">
        <f t="array" ref="AN128">XLOOKUP(D128,RUC!$B$3:$B$565,RUC!$M$3:$M$565)</f>
        <v>Ronald Miranda</v>
      </c>
      <c r="AO128" s="131" t="s">
        <v>701</v>
      </c>
      <c r="AP128" s="205">
        <v>6468.0</v>
      </c>
      <c r="AQ128" s="141" t="s">
        <v>930</v>
      </c>
    </row>
    <row r="129" ht="15.0" customHeight="1">
      <c r="A129" s="124" t="s">
        <v>932</v>
      </c>
      <c r="B129" s="182"/>
      <c r="C129" s="182">
        <v>46137.0</v>
      </c>
      <c r="D129" s="2" t="s">
        <v>933</v>
      </c>
      <c r="E129" s="3">
        <f t="array" ref="E129">XLOOKUP(D129,RUC!$B$3:$B$110,RUC!$D$3:$D$110)</f>
        <v>20606562480</v>
      </c>
      <c r="G129" s="141">
        <v>33.0</v>
      </c>
      <c r="H129" s="3" t="s">
        <v>47</v>
      </c>
      <c r="I129" s="6">
        <v>2.98</v>
      </c>
      <c r="J129" s="58">
        <v>2.0</v>
      </c>
      <c r="K129" s="6">
        <f t="shared" si="51"/>
        <v>2.92</v>
      </c>
      <c r="L129" s="60">
        <v>0.359</v>
      </c>
      <c r="M129" s="60">
        <f t="array" ref="M129">ROUND(+IF(L129&gt;XLOOKUP(AN129,RUC!M:M,RUC!K:K),L129*XLOOKUP(AN129,RUC!M:M,RUC!I:I),L129-XLOOKUP(AN129,RUC!M:M,RUC!J:J)),3)</f>
        <v>0.337</v>
      </c>
      <c r="N129" s="62">
        <f t="shared" si="75"/>
        <v>0.337</v>
      </c>
      <c r="O129" s="60">
        <f t="shared" si="76"/>
        <v>0.337</v>
      </c>
      <c r="P129" s="63">
        <v>90.0</v>
      </c>
      <c r="Q129" s="64">
        <v>90.0</v>
      </c>
      <c r="S129" s="66">
        <f t="array" ref="S129">IF((XLOOKUP(D129,RUC!$B$3:$B$106,RUC!$E$3:$E$106)+ROUNDDOWN(O129,1)*100)&lt;95,95,((XLOOKUP(D129,RUC!$B$3:$B$106,RUC!$E$3:$E$106)+ROUNDDOWN(O129,1)*100)))</f>
        <v>115</v>
      </c>
      <c r="U129" s="67">
        <f t="array" ref="U129">XLOOKUP(D129,RUC!$B$3:$B$110,RUC!$F$3:$F$110)</f>
        <v>120</v>
      </c>
      <c r="V129" s="67">
        <v>1.1023</v>
      </c>
      <c r="Y129" s="2">
        <f t="array" ref="Y129">XLOOKUP(D129,RUC!$B$3:$B$110,RUC!$G$3:$G$110)</f>
        <v>20</v>
      </c>
      <c r="Z129" s="69">
        <f t="array" ref="Z129">XLOOKUP(D129,RUC!$B$3:$B$110,RUC!$H$3:$H$110)</f>
        <v>30</v>
      </c>
      <c r="AA129" s="70">
        <f t="shared" si="53"/>
        <v>50</v>
      </c>
      <c r="AB129" s="71">
        <f t="shared" si="67"/>
        <v>-221.9988108</v>
      </c>
      <c r="AC129" s="71">
        <f>+(S129-T129)*V129-'data 1'!$F$4</f>
        <v>46.7645</v>
      </c>
      <c r="AD129" s="71">
        <f t="shared" si="55"/>
        <v>0</v>
      </c>
      <c r="AE129" s="71">
        <f t="shared" si="56"/>
        <v>-14.885</v>
      </c>
      <c r="AF129" s="71">
        <f t="shared" si="57"/>
        <v>-2.6190648</v>
      </c>
      <c r="AG129" s="72">
        <f t="shared" si="78"/>
        <v>46.2604352</v>
      </c>
      <c r="AH129" s="193">
        <f t="shared" si="59"/>
        <v>32.347</v>
      </c>
      <c r="AI129" s="193">
        <f t="shared" si="60"/>
        <v>35.941</v>
      </c>
      <c r="AJ129" s="73">
        <f t="shared" si="61"/>
        <v>1787.888713</v>
      </c>
      <c r="AK129" s="73">
        <f t="shared" si="62"/>
        <v>30.36437393</v>
      </c>
      <c r="AL129" s="2"/>
      <c r="AM129" s="51">
        <f t="shared" si="63"/>
        <v>0</v>
      </c>
      <c r="AN129" s="51" t="str">
        <f t="array" ref="AN129">XLOOKUP(D129,RUC!$B$3:$B$565,RUC!$M$3:$M$565)</f>
        <v>Ronald Miranda</v>
      </c>
      <c r="AO129" s="131" t="s">
        <v>701</v>
      </c>
      <c r="AP129" s="205">
        <v>6468.0</v>
      </c>
      <c r="AQ129" s="141" t="s">
        <v>930</v>
      </c>
    </row>
    <row r="130" ht="15.0" customHeight="1">
      <c r="A130" s="124" t="s">
        <v>934</v>
      </c>
      <c r="B130" s="182"/>
      <c r="C130" s="182">
        <v>46137.0</v>
      </c>
      <c r="D130" s="57" t="s">
        <v>602</v>
      </c>
      <c r="E130" s="3">
        <f t="array" ref="E130">XLOOKUP(D130,RUC!$B$3:$B$110,RUC!$D$3:$D$110)</f>
        <v>20169040231</v>
      </c>
      <c r="G130" s="141">
        <v>8.0</v>
      </c>
      <c r="H130" s="3" t="s">
        <v>40</v>
      </c>
      <c r="I130" s="6">
        <v>0.77</v>
      </c>
      <c r="J130" s="58">
        <v>21.4</v>
      </c>
      <c r="K130" s="6">
        <f t="shared" si="51"/>
        <v>0.605</v>
      </c>
      <c r="L130" s="60">
        <v>0.603</v>
      </c>
      <c r="M130" s="60">
        <f t="array" ref="M130">ROUND(+IF(L130&gt;XLOOKUP(AN130,RUC!M:M,RUC!K:K),L130*XLOOKUP(AN130,RUC!M:M,RUC!I:I),L130-XLOOKUP(AN130,RUC!M:M,RUC!J:J)),3)</f>
        <v>0.567</v>
      </c>
      <c r="N130" s="62">
        <f t="shared" si="75"/>
        <v>0.567</v>
      </c>
      <c r="O130" s="60">
        <f t="shared" si="76"/>
        <v>0.567</v>
      </c>
      <c r="P130" s="63">
        <v>90.0</v>
      </c>
      <c r="Q130" s="64">
        <v>90.0</v>
      </c>
      <c r="S130" s="66">
        <f t="array" ref="S130">IF((XLOOKUP(D130,RUC!$B$3:$B$106,RUC!$E$3:$E$106)+ROUNDDOWN(O130,1)*100)&lt;95,95,((XLOOKUP(D130,RUC!$B$3:$B$106,RUC!$E$3:$E$106)+ROUNDDOWN(O130,1)*100)))</f>
        <v>135</v>
      </c>
      <c r="U130" s="67">
        <f t="array" ref="U130">XLOOKUP(D130,RUC!$B$3:$B$110,RUC!$F$3:$F$110)</f>
        <v>120</v>
      </c>
      <c r="V130" s="67">
        <v>1.1023</v>
      </c>
      <c r="Y130" s="2">
        <f t="array" ref="Y130">XLOOKUP(D130,RUC!$B$3:$B$110,RUC!$G$3:$G$110)</f>
        <v>20</v>
      </c>
      <c r="Z130" s="69">
        <f t="array" ref="Z130">XLOOKUP(D130,RUC!$B$3:$B$110,RUC!$H$3:$H$110)</f>
        <v>30</v>
      </c>
      <c r="AA130" s="70">
        <f t="shared" si="53"/>
        <v>50</v>
      </c>
      <c r="AB130" s="71">
        <f t="shared" si="67"/>
        <v>-271.4259428</v>
      </c>
      <c r="AC130" s="71">
        <f>+(S130-T130)*V130-'data 1'!$F$4</f>
        <v>68.8105</v>
      </c>
      <c r="AD130" s="71">
        <f t="shared" si="55"/>
        <v>0</v>
      </c>
      <c r="AE130" s="71">
        <f t="shared" si="56"/>
        <v>-14.885</v>
      </c>
      <c r="AF130" s="71">
        <f t="shared" si="57"/>
        <v>-4.2857424</v>
      </c>
      <c r="AG130" s="72">
        <f t="shared" si="78"/>
        <v>66.6397576</v>
      </c>
      <c r="AH130" s="193">
        <f t="shared" si="59"/>
        <v>11.257</v>
      </c>
      <c r="AI130" s="193">
        <f t="shared" si="60"/>
        <v>12.508</v>
      </c>
      <c r="AJ130" s="73">
        <f t="shared" si="61"/>
        <v>3003.055414</v>
      </c>
      <c r="AK130" s="73">
        <f t="shared" si="62"/>
        <v>10.58497928</v>
      </c>
      <c r="AL130" s="2"/>
      <c r="AM130" s="51">
        <f t="shared" si="63"/>
        <v>0</v>
      </c>
      <c r="AN130" s="51" t="str">
        <f t="array" ref="AN130">XLOOKUP(D130,RUC!$B$3:$B$565,RUC!$M$3:$M$565)</f>
        <v>Ronald Miranda</v>
      </c>
      <c r="AO130" s="131" t="s">
        <v>701</v>
      </c>
      <c r="AP130" s="205">
        <v>6468.0</v>
      </c>
      <c r="AQ130" s="141" t="s">
        <v>930</v>
      </c>
    </row>
    <row r="131" ht="15.0" customHeight="1">
      <c r="A131" s="124" t="s">
        <v>935</v>
      </c>
      <c r="B131" s="182"/>
      <c r="C131" s="182">
        <v>46137.0</v>
      </c>
      <c r="D131" s="57" t="s">
        <v>602</v>
      </c>
      <c r="E131" s="3">
        <f t="array" ref="E131">XLOOKUP(D131,RUC!$B$3:$B$110,RUC!$D$3:$D$110)</f>
        <v>20169040231</v>
      </c>
      <c r="G131" s="141">
        <v>16.0</v>
      </c>
      <c r="H131" s="3" t="s">
        <v>40</v>
      </c>
      <c r="I131" s="6">
        <v>1.47</v>
      </c>
      <c r="J131" s="58">
        <v>19.03</v>
      </c>
      <c r="K131" s="6">
        <f t="shared" si="51"/>
        <v>1.19</v>
      </c>
      <c r="L131" s="60">
        <v>0.312</v>
      </c>
      <c r="M131" s="60">
        <f t="array" ref="M131">ROUND(+IF(L131&gt;XLOOKUP(AN131,RUC!M:M,RUC!K:K),L131*XLOOKUP(AN131,RUC!M:M,RUC!I:I),L131-XLOOKUP(AN131,RUC!M:M,RUC!J:J)),3)</f>
        <v>0.293</v>
      </c>
      <c r="N131" s="62">
        <f t="shared" si="75"/>
        <v>0.293</v>
      </c>
      <c r="O131" s="60">
        <f t="shared" si="76"/>
        <v>0.293</v>
      </c>
      <c r="P131" s="63">
        <v>90.0</v>
      </c>
      <c r="Q131" s="64">
        <v>90.0</v>
      </c>
      <c r="S131" s="66">
        <f t="array" ref="S131">IF((XLOOKUP(D131,RUC!$B$3:$B$106,RUC!$E$3:$E$106)+ROUNDDOWN(O131,1)*100)&lt;95,95,((XLOOKUP(D131,RUC!$B$3:$B$106,RUC!$E$3:$E$106)+ROUNDDOWN(O131,1)*100)))</f>
        <v>105</v>
      </c>
      <c r="U131" s="67">
        <f t="array" ref="U131">XLOOKUP(D131,RUC!$B$3:$B$110,RUC!$F$3:$F$110)</f>
        <v>120</v>
      </c>
      <c r="V131" s="67">
        <v>1.1023</v>
      </c>
      <c r="Y131" s="2">
        <f t="array" ref="Y131">XLOOKUP(D131,RUC!$B$3:$B$110,RUC!$G$3:$G$110)</f>
        <v>20</v>
      </c>
      <c r="Z131" s="69">
        <f t="array" ref="Z131">XLOOKUP(D131,RUC!$B$3:$B$110,RUC!$H$3:$H$110)</f>
        <v>30</v>
      </c>
      <c r="AA131" s="70">
        <f t="shared" si="53"/>
        <v>50</v>
      </c>
      <c r="AB131" s="71">
        <f t="shared" si="67"/>
        <v>-205.7376812</v>
      </c>
      <c r="AC131" s="71">
        <f>+(S131-T131)*V131-'data 1'!$F$4</f>
        <v>35.7415</v>
      </c>
      <c r="AD131" s="71">
        <f t="shared" si="55"/>
        <v>0</v>
      </c>
      <c r="AE131" s="71">
        <f t="shared" si="56"/>
        <v>-14.885</v>
      </c>
      <c r="AF131" s="71">
        <f t="shared" si="57"/>
        <v>-2.2619196</v>
      </c>
      <c r="AG131" s="72">
        <f t="shared" si="78"/>
        <v>35.5945804</v>
      </c>
      <c r="AH131" s="193">
        <f t="shared" si="59"/>
        <v>11.457</v>
      </c>
      <c r="AI131" s="193">
        <f t="shared" si="60"/>
        <v>12.729</v>
      </c>
      <c r="AJ131" s="73">
        <f t="shared" si="61"/>
        <v>1553.819717</v>
      </c>
      <c r="AK131" s="73">
        <f t="shared" si="62"/>
        <v>10.75885763</v>
      </c>
      <c r="AL131" s="2"/>
      <c r="AM131" s="51">
        <f t="shared" si="63"/>
        <v>0</v>
      </c>
      <c r="AN131" s="51" t="str">
        <f t="array" ref="AN131">XLOOKUP(D131,RUC!$B$3:$B$565,RUC!$M$3:$M$565)</f>
        <v>Ronald Miranda</v>
      </c>
      <c r="AO131" s="131" t="s">
        <v>701</v>
      </c>
      <c r="AP131" s="205">
        <v>6468.0</v>
      </c>
      <c r="AQ131" s="141" t="s">
        <v>930</v>
      </c>
    </row>
    <row r="132" ht="15.0" customHeight="1">
      <c r="A132" s="124" t="s">
        <v>936</v>
      </c>
      <c r="B132" s="182"/>
      <c r="C132" s="182">
        <v>46137.0</v>
      </c>
      <c r="D132" s="2" t="s">
        <v>933</v>
      </c>
      <c r="E132" s="3">
        <f t="array" ref="E132">XLOOKUP(D132,RUC!$B$3:$B$110,RUC!$D$3:$D$110)</f>
        <v>20606562480</v>
      </c>
      <c r="G132" s="141">
        <v>25.0</v>
      </c>
      <c r="H132" s="3" t="s">
        <v>339</v>
      </c>
      <c r="I132" s="6">
        <v>1.81</v>
      </c>
      <c r="J132" s="58">
        <v>12.35</v>
      </c>
      <c r="K132" s="6">
        <f t="shared" si="51"/>
        <v>1.586</v>
      </c>
      <c r="L132" s="60">
        <v>0.318</v>
      </c>
      <c r="M132" s="60">
        <f t="array" ref="M132">ROUND(+IF(L132&gt;XLOOKUP(AN132,RUC!M:M,RUC!K:K),L132*XLOOKUP(AN132,RUC!M:M,RUC!I:I),L132-XLOOKUP(AN132,RUC!M:M,RUC!J:J)),3)</f>
        <v>0.299</v>
      </c>
      <c r="N132" s="62">
        <f t="shared" si="75"/>
        <v>0.299</v>
      </c>
      <c r="O132" s="60">
        <f t="shared" si="76"/>
        <v>0.299</v>
      </c>
      <c r="P132" s="63">
        <v>90.0</v>
      </c>
      <c r="Q132" s="64">
        <v>90.0</v>
      </c>
      <c r="S132" s="66">
        <f t="array" ref="S132">IF((XLOOKUP(D132,RUC!$B$3:$B$106,RUC!$E$3:$E$106)+ROUNDDOWN(O132,1)*100)&lt;95,95,((XLOOKUP(D132,RUC!$B$3:$B$106,RUC!$E$3:$E$106)+ROUNDDOWN(O132,1)*100)))</f>
        <v>105</v>
      </c>
      <c r="U132" s="67">
        <f t="array" ref="U132">XLOOKUP(D132,RUC!$B$3:$B$110,RUC!$F$3:$F$110)</f>
        <v>120</v>
      </c>
      <c r="V132" s="67">
        <v>1.1023</v>
      </c>
      <c r="Y132" s="2">
        <f t="array" ref="Y132">XLOOKUP(D132,RUC!$B$3:$B$110,RUC!$G$3:$G$110)</f>
        <v>20</v>
      </c>
      <c r="Z132" s="69">
        <f t="array" ref="Z132">XLOOKUP(D132,RUC!$B$3:$B$110,RUC!$H$3:$H$110)</f>
        <v>30</v>
      </c>
      <c r="AA132" s="70">
        <f t="shared" si="53"/>
        <v>50</v>
      </c>
      <c r="AB132" s="71">
        <f t="shared" si="67"/>
        <v>-206.4519716</v>
      </c>
      <c r="AC132" s="71">
        <f>+(S132-T132)*V132-'data 1'!$F$4</f>
        <v>35.7415</v>
      </c>
      <c r="AD132" s="71">
        <f t="shared" si="55"/>
        <v>0</v>
      </c>
      <c r="AE132" s="71">
        <f t="shared" si="56"/>
        <v>-14.885</v>
      </c>
      <c r="AF132" s="71">
        <f t="shared" si="57"/>
        <v>-2.2619196</v>
      </c>
      <c r="AG132" s="72">
        <f t="shared" si="78"/>
        <v>35.5945804</v>
      </c>
      <c r="AH132" s="193">
        <f t="shared" si="59"/>
        <v>15.563</v>
      </c>
      <c r="AI132" s="193">
        <f t="shared" si="60"/>
        <v>17.292</v>
      </c>
      <c r="AJ132" s="73">
        <f t="shared" si="61"/>
        <v>1583.700865</v>
      </c>
      <c r="AK132" s="73">
        <f t="shared" si="62"/>
        <v>14.63274991</v>
      </c>
      <c r="AL132" s="2"/>
      <c r="AM132" s="51">
        <f t="shared" si="63"/>
        <v>0</v>
      </c>
      <c r="AN132" s="51" t="str">
        <f t="array" ref="AN132">XLOOKUP(D132,RUC!$B$3:$B$565,RUC!$M$3:$M$565)</f>
        <v>Ronald Miranda</v>
      </c>
      <c r="AO132" s="131" t="s">
        <v>701</v>
      </c>
      <c r="AP132" s="205">
        <v>231.0</v>
      </c>
      <c r="AQ132" s="141" t="s">
        <v>937</v>
      </c>
    </row>
    <row r="133" ht="15.0" customHeight="1">
      <c r="A133" s="124" t="s">
        <v>938</v>
      </c>
      <c r="B133" s="182"/>
      <c r="C133" s="182">
        <v>46137.0</v>
      </c>
      <c r="D133" s="2" t="s">
        <v>933</v>
      </c>
      <c r="E133" s="3">
        <f t="array" ref="E133">XLOOKUP(D133,RUC!$B$3:$B$110,RUC!$D$3:$D$110)</f>
        <v>20606562480</v>
      </c>
      <c r="G133" s="141">
        <v>25.0</v>
      </c>
      <c r="H133" s="3" t="s">
        <v>339</v>
      </c>
      <c r="I133" s="6">
        <v>1.91</v>
      </c>
      <c r="J133" s="58">
        <v>13.18</v>
      </c>
      <c r="K133" s="6">
        <f t="shared" si="51"/>
        <v>1.658</v>
      </c>
      <c r="L133" s="60">
        <v>0.315</v>
      </c>
      <c r="M133" s="60">
        <f t="array" ref="M133">ROUND(+IF(L133&gt;XLOOKUP(AN133,RUC!M:M,RUC!K:K),L133*XLOOKUP(AN133,RUC!M:M,RUC!I:I),L133-XLOOKUP(AN133,RUC!M:M,RUC!J:J)),3)</f>
        <v>0.296</v>
      </c>
      <c r="N133" s="62">
        <f t="shared" si="75"/>
        <v>0.296</v>
      </c>
      <c r="O133" s="60">
        <f t="shared" si="76"/>
        <v>0.296</v>
      </c>
      <c r="P133" s="63">
        <v>90.0</v>
      </c>
      <c r="Q133" s="64">
        <v>90.0</v>
      </c>
      <c r="S133" s="66">
        <f t="array" ref="S133">IF((XLOOKUP(D133,RUC!$B$3:$B$106,RUC!$E$3:$E$106)+ROUNDDOWN(O133,1)*100)&lt;95,95,((XLOOKUP(D133,RUC!$B$3:$B$106,RUC!$E$3:$E$106)+ROUNDDOWN(O133,1)*100)))</f>
        <v>105</v>
      </c>
      <c r="U133" s="67">
        <f t="array" ref="U133">XLOOKUP(D133,RUC!$B$3:$B$110,RUC!$F$3:$F$110)</f>
        <v>120</v>
      </c>
      <c r="V133" s="67">
        <v>1.1023</v>
      </c>
      <c r="Y133" s="2">
        <f t="array" ref="Y133">XLOOKUP(D133,RUC!$B$3:$B$110,RUC!$G$3:$G$110)</f>
        <v>20</v>
      </c>
      <c r="Z133" s="69">
        <f t="array" ref="Z133">XLOOKUP(D133,RUC!$B$3:$B$110,RUC!$H$3:$H$110)</f>
        <v>30</v>
      </c>
      <c r="AA133" s="70">
        <f t="shared" si="53"/>
        <v>50</v>
      </c>
      <c r="AB133" s="71">
        <f t="shared" si="67"/>
        <v>-206.0948264</v>
      </c>
      <c r="AC133" s="71">
        <f>+(S133-T133)*V133-'data 1'!$F$4</f>
        <v>35.7415</v>
      </c>
      <c r="AD133" s="71">
        <f t="shared" si="55"/>
        <v>0</v>
      </c>
      <c r="AE133" s="71">
        <f t="shared" si="56"/>
        <v>-14.885</v>
      </c>
      <c r="AF133" s="71">
        <f t="shared" si="57"/>
        <v>-2.2619196</v>
      </c>
      <c r="AG133" s="72">
        <f t="shared" si="78"/>
        <v>35.5945804</v>
      </c>
      <c r="AH133" s="193">
        <f t="shared" si="59"/>
        <v>16.116</v>
      </c>
      <c r="AI133" s="193">
        <f t="shared" si="60"/>
        <v>17.906</v>
      </c>
      <c r="AJ133" s="73">
        <f t="shared" si="61"/>
        <v>1568.760291</v>
      </c>
      <c r="AK133" s="73">
        <f t="shared" si="62"/>
        <v>15.14355419</v>
      </c>
      <c r="AL133" s="2"/>
      <c r="AM133" s="51">
        <f t="shared" si="63"/>
        <v>0</v>
      </c>
      <c r="AN133" s="51" t="str">
        <f t="array" ref="AN133">XLOOKUP(D133,RUC!$B$3:$B$565,RUC!$M$3:$M$565)</f>
        <v>Ronald Miranda</v>
      </c>
      <c r="AO133" s="131" t="s">
        <v>701</v>
      </c>
      <c r="AP133" s="205">
        <v>231.0</v>
      </c>
      <c r="AQ133" s="141" t="s">
        <v>937</v>
      </c>
    </row>
    <row r="134" ht="15.0" customHeight="1">
      <c r="A134" s="124" t="s">
        <v>939</v>
      </c>
      <c r="B134" s="182"/>
      <c r="C134" s="182">
        <v>46137.0</v>
      </c>
      <c r="D134" s="2" t="s">
        <v>933</v>
      </c>
      <c r="E134" s="3">
        <f t="array" ref="E134">XLOOKUP(D134,RUC!$B$3:$B$110,RUC!$D$3:$D$110)</f>
        <v>20606562480</v>
      </c>
      <c r="G134" s="141">
        <v>27.0</v>
      </c>
      <c r="H134" s="3" t="s">
        <v>339</v>
      </c>
      <c r="I134" s="6">
        <v>1.94</v>
      </c>
      <c r="J134" s="58">
        <v>11.18</v>
      </c>
      <c r="K134" s="6">
        <f t="shared" si="51"/>
        <v>1.723</v>
      </c>
      <c r="L134" s="60">
        <v>0.246</v>
      </c>
      <c r="M134" s="60">
        <f t="array" ref="M134">ROUND(+IF(L134&gt;XLOOKUP(AN134,RUC!M:M,RUC!K:K),L134*XLOOKUP(AN134,RUC!M:M,RUC!I:I),L134-XLOOKUP(AN134,RUC!M:M,RUC!J:J)),3)</f>
        <v>0.227</v>
      </c>
      <c r="N134" s="62">
        <f t="shared" si="75"/>
        <v>0.227</v>
      </c>
      <c r="O134" s="60">
        <f t="shared" si="76"/>
        <v>0.227</v>
      </c>
      <c r="P134" s="63">
        <v>90.0</v>
      </c>
      <c r="Q134" s="64">
        <v>90.0</v>
      </c>
      <c r="S134" s="66">
        <f t="array" ref="S134">IF((XLOOKUP(D134,RUC!$B$3:$B$106,RUC!$E$3:$E$106)+ROUNDDOWN(O134,1)*100)&lt;95,95,((XLOOKUP(D134,RUC!$B$3:$B$106,RUC!$E$3:$E$106)+ROUNDDOWN(O134,1)*100)))</f>
        <v>105</v>
      </c>
      <c r="U134" s="67">
        <f t="array" ref="U134">XLOOKUP(D134,RUC!$B$3:$B$110,RUC!$F$3:$F$110)</f>
        <v>120</v>
      </c>
      <c r="V134" s="67">
        <v>1.1023</v>
      </c>
      <c r="Y134" s="2">
        <f t="array" ref="Y134">XLOOKUP(D134,RUC!$B$3:$B$110,RUC!$G$3:$G$110)</f>
        <v>20</v>
      </c>
      <c r="Z134" s="69">
        <f t="array" ref="Z134">XLOOKUP(D134,RUC!$B$3:$B$110,RUC!$H$3:$H$110)</f>
        <v>30</v>
      </c>
      <c r="AA134" s="70">
        <f t="shared" si="53"/>
        <v>50</v>
      </c>
      <c r="AB134" s="71">
        <f t="shared" si="67"/>
        <v>-197.8804868</v>
      </c>
      <c r="AC134" s="71">
        <f>+(S134-T134)*V134-'data 1'!$F$4</f>
        <v>35.7415</v>
      </c>
      <c r="AD134" s="71">
        <f t="shared" si="55"/>
        <v>0</v>
      </c>
      <c r="AE134" s="71">
        <f t="shared" si="56"/>
        <v>-14.885</v>
      </c>
      <c r="AF134" s="71">
        <f t="shared" si="57"/>
        <v>-2.2619196</v>
      </c>
      <c r="AG134" s="72">
        <f t="shared" si="78"/>
        <v>35.5945804</v>
      </c>
      <c r="AH134" s="193">
        <f t="shared" si="59"/>
        <v>13.079</v>
      </c>
      <c r="AI134" s="193">
        <f t="shared" si="60"/>
        <v>14.532</v>
      </c>
      <c r="AJ134" s="73">
        <f t="shared" si="61"/>
        <v>1225.127084</v>
      </c>
      <c r="AK134" s="73">
        <f t="shared" si="62"/>
        <v>12.06876173</v>
      </c>
      <c r="AL134" s="2"/>
      <c r="AM134" s="51">
        <f t="shared" si="63"/>
        <v>0</v>
      </c>
      <c r="AN134" s="51" t="str">
        <f t="array" ref="AN134">XLOOKUP(D134,RUC!$B$3:$B$565,RUC!$M$3:$M$565)</f>
        <v>Ronald Miranda</v>
      </c>
      <c r="AO134" s="131" t="s">
        <v>701</v>
      </c>
      <c r="AP134" s="205">
        <v>231.0</v>
      </c>
      <c r="AQ134" s="141" t="s">
        <v>937</v>
      </c>
    </row>
    <row r="135" ht="15.0" customHeight="1">
      <c r="A135" s="124" t="s">
        <v>940</v>
      </c>
      <c r="B135" s="182"/>
      <c r="C135" s="182">
        <v>46137.0</v>
      </c>
      <c r="D135" s="2" t="s">
        <v>933</v>
      </c>
      <c r="E135" s="3">
        <f t="array" ref="E135">XLOOKUP(D135,RUC!$B$3:$B$110,RUC!$D$3:$D$110)</f>
        <v>20606562480</v>
      </c>
      <c r="G135" s="141">
        <v>25.0</v>
      </c>
      <c r="H135" s="3" t="s">
        <v>339</v>
      </c>
      <c r="I135" s="6">
        <v>1.82</v>
      </c>
      <c r="J135" s="58">
        <v>12.78</v>
      </c>
      <c r="K135" s="6">
        <f t="shared" si="51"/>
        <v>1.587</v>
      </c>
      <c r="L135" s="60">
        <v>0.287</v>
      </c>
      <c r="M135" s="60">
        <f t="array" ref="M135">ROUND(+IF(L135&gt;XLOOKUP(AN135,RUC!M:M,RUC!K:K),L135*XLOOKUP(AN135,RUC!M:M,RUC!I:I),L135-XLOOKUP(AN135,RUC!M:M,RUC!J:J)),3)</f>
        <v>0.268</v>
      </c>
      <c r="N135" s="62">
        <f t="shared" si="75"/>
        <v>0.268</v>
      </c>
      <c r="O135" s="60">
        <f t="shared" si="76"/>
        <v>0.268</v>
      </c>
      <c r="P135" s="63">
        <v>90.0</v>
      </c>
      <c r="Q135" s="64">
        <v>90.0</v>
      </c>
      <c r="S135" s="66">
        <f t="array" ref="S135">IF((XLOOKUP(D135,RUC!$B$3:$B$106,RUC!$E$3:$E$106)+ROUNDDOWN(O135,1)*100)&lt;95,95,((XLOOKUP(D135,RUC!$B$3:$B$106,RUC!$E$3:$E$106)+ROUNDDOWN(O135,1)*100)))</f>
        <v>105</v>
      </c>
      <c r="U135" s="67">
        <f t="array" ref="U135">XLOOKUP(D135,RUC!$B$3:$B$110,RUC!$F$3:$F$110)</f>
        <v>120</v>
      </c>
      <c r="V135" s="67">
        <v>1.1023</v>
      </c>
      <c r="Y135" s="2">
        <f t="array" ref="Y135">XLOOKUP(D135,RUC!$B$3:$B$110,RUC!$G$3:$G$110)</f>
        <v>20</v>
      </c>
      <c r="Z135" s="69">
        <f t="array" ref="Z135">XLOOKUP(D135,RUC!$B$3:$B$110,RUC!$H$3:$H$110)</f>
        <v>30</v>
      </c>
      <c r="AA135" s="70">
        <f t="shared" si="53"/>
        <v>50</v>
      </c>
      <c r="AB135" s="71">
        <f t="shared" si="67"/>
        <v>-202.7614712</v>
      </c>
      <c r="AC135" s="71">
        <f>+(S135-T135)*V135-'data 1'!$F$4</f>
        <v>35.7415</v>
      </c>
      <c r="AD135" s="71">
        <f t="shared" si="55"/>
        <v>0</v>
      </c>
      <c r="AE135" s="71">
        <f t="shared" si="56"/>
        <v>-14.885</v>
      </c>
      <c r="AF135" s="71">
        <f t="shared" si="57"/>
        <v>-2.2619196</v>
      </c>
      <c r="AG135" s="72">
        <f t="shared" si="78"/>
        <v>35.5945804</v>
      </c>
      <c r="AH135" s="193">
        <f t="shared" si="59"/>
        <v>14.054</v>
      </c>
      <c r="AI135" s="193">
        <f t="shared" si="60"/>
        <v>15.616</v>
      </c>
      <c r="AJ135" s="73">
        <f t="shared" si="61"/>
        <v>1429.314932</v>
      </c>
      <c r="AK135" s="73">
        <f t="shared" si="62"/>
        <v>13.12391169</v>
      </c>
      <c r="AL135" s="2"/>
      <c r="AM135" s="51">
        <f t="shared" si="63"/>
        <v>0</v>
      </c>
      <c r="AN135" s="51" t="str">
        <f t="array" ref="AN135">XLOOKUP(D135,RUC!$B$3:$B$565,RUC!$M$3:$M$565)</f>
        <v>Ronald Miranda</v>
      </c>
      <c r="AO135" s="131" t="s">
        <v>701</v>
      </c>
      <c r="AP135" s="205">
        <v>231.0</v>
      </c>
      <c r="AQ135" s="141" t="s">
        <v>937</v>
      </c>
    </row>
    <row r="136" ht="15.0" customHeight="1">
      <c r="A136" s="124" t="s">
        <v>941</v>
      </c>
      <c r="B136" s="182"/>
      <c r="C136" s="182">
        <v>46137.0</v>
      </c>
      <c r="D136" s="2" t="s">
        <v>933</v>
      </c>
      <c r="E136" s="3">
        <f t="array" ref="E136">XLOOKUP(D136,RUC!$B$3:$B$110,RUC!$D$3:$D$110)</f>
        <v>20606562480</v>
      </c>
      <c r="G136" s="141">
        <v>25.0</v>
      </c>
      <c r="H136" s="3" t="s">
        <v>339</v>
      </c>
      <c r="I136" s="6">
        <v>1.79</v>
      </c>
      <c r="J136" s="58">
        <v>12.6</v>
      </c>
      <c r="K136" s="6">
        <f t="shared" si="51"/>
        <v>1.564</v>
      </c>
      <c r="L136" s="60">
        <v>0.308</v>
      </c>
      <c r="M136" s="60">
        <f t="array" ref="M136">ROUND(+IF(L136&gt;XLOOKUP(AN136,RUC!M:M,RUC!K:K),L136*XLOOKUP(AN136,RUC!M:M,RUC!I:I),L136-XLOOKUP(AN136,RUC!M:M,RUC!J:J)),3)</f>
        <v>0.289</v>
      </c>
      <c r="N136" s="62">
        <f t="shared" si="75"/>
        <v>0.289</v>
      </c>
      <c r="O136" s="60">
        <f t="shared" si="76"/>
        <v>0.289</v>
      </c>
      <c r="P136" s="63">
        <v>90.0</v>
      </c>
      <c r="Q136" s="64">
        <v>90.0</v>
      </c>
      <c r="S136" s="66">
        <f t="array" ref="S136">IF((XLOOKUP(D136,RUC!$B$3:$B$106,RUC!$E$3:$E$106)+ROUNDDOWN(O136,1)*100)&lt;95,95,((XLOOKUP(D136,RUC!$B$3:$B$106,RUC!$E$3:$E$106)+ROUNDDOWN(O136,1)*100)))</f>
        <v>105</v>
      </c>
      <c r="U136" s="67">
        <f t="array" ref="U136">XLOOKUP(D136,RUC!$B$3:$B$110,RUC!$F$3:$F$110)</f>
        <v>120</v>
      </c>
      <c r="V136" s="67">
        <v>1.1023</v>
      </c>
      <c r="Y136" s="2">
        <f t="array" ref="Y136">XLOOKUP(D136,RUC!$B$3:$B$110,RUC!$G$3:$G$110)</f>
        <v>20</v>
      </c>
      <c r="Z136" s="69">
        <f t="array" ref="Z136">XLOOKUP(D136,RUC!$B$3:$B$110,RUC!$H$3:$H$110)</f>
        <v>30</v>
      </c>
      <c r="AA136" s="70">
        <f t="shared" si="53"/>
        <v>50</v>
      </c>
      <c r="AB136" s="71">
        <f t="shared" si="67"/>
        <v>-205.2614876</v>
      </c>
      <c r="AC136" s="71">
        <f>+(S136-T136)*V136-'data 1'!$F$4</f>
        <v>35.7415</v>
      </c>
      <c r="AD136" s="71">
        <f t="shared" si="55"/>
        <v>0</v>
      </c>
      <c r="AE136" s="71">
        <f t="shared" si="56"/>
        <v>-14.885</v>
      </c>
      <c r="AF136" s="71">
        <f t="shared" si="57"/>
        <v>-2.2619196</v>
      </c>
      <c r="AG136" s="72">
        <f t="shared" si="78"/>
        <v>35.5945804</v>
      </c>
      <c r="AH136" s="193">
        <f t="shared" si="59"/>
        <v>14.864</v>
      </c>
      <c r="AI136" s="193">
        <f t="shared" si="60"/>
        <v>16.516</v>
      </c>
      <c r="AJ136" s="73">
        <f t="shared" si="61"/>
        <v>1533.898951</v>
      </c>
      <c r="AK136" s="73">
        <f t="shared" si="62"/>
        <v>13.94717243</v>
      </c>
      <c r="AL136" s="2"/>
      <c r="AM136" s="51">
        <f t="shared" si="63"/>
        <v>0</v>
      </c>
      <c r="AN136" s="51" t="str">
        <f t="array" ref="AN136">XLOOKUP(D136,RUC!$B$3:$B$565,RUC!$M$3:$M$565)</f>
        <v>Ronald Miranda</v>
      </c>
      <c r="AO136" s="131" t="s">
        <v>701</v>
      </c>
      <c r="AP136" s="205">
        <v>231.0</v>
      </c>
      <c r="AQ136" s="141" t="s">
        <v>937</v>
      </c>
    </row>
    <row r="137" ht="15.0" customHeight="1">
      <c r="A137" s="124" t="s">
        <v>942</v>
      </c>
      <c r="B137" s="182"/>
      <c r="C137" s="182">
        <v>46137.0</v>
      </c>
      <c r="D137" s="2" t="s">
        <v>933</v>
      </c>
      <c r="E137" s="3">
        <f t="array" ref="E137">XLOOKUP(D137,RUC!$B$3:$B$110,RUC!$D$3:$D$110)</f>
        <v>20606562480</v>
      </c>
      <c r="G137" s="141">
        <v>25.0</v>
      </c>
      <c r="H137" s="3" t="s">
        <v>339</v>
      </c>
      <c r="I137" s="6">
        <v>1.83</v>
      </c>
      <c r="J137" s="58">
        <v>13.33</v>
      </c>
      <c r="K137" s="6">
        <f t="shared" si="51"/>
        <v>1.586</v>
      </c>
      <c r="L137" s="60">
        <v>0.256</v>
      </c>
      <c r="M137" s="60">
        <f t="array" ref="M137">ROUND(+IF(L137&gt;XLOOKUP(AN137,RUC!M:M,RUC!K:K),L137*XLOOKUP(AN137,RUC!M:M,RUC!I:I),L137-XLOOKUP(AN137,RUC!M:M,RUC!J:J)),3)</f>
        <v>0.237</v>
      </c>
      <c r="N137" s="62">
        <f t="shared" si="75"/>
        <v>0.237</v>
      </c>
      <c r="O137" s="60">
        <f t="shared" si="76"/>
        <v>0.237</v>
      </c>
      <c r="P137" s="63">
        <v>90.0</v>
      </c>
      <c r="Q137" s="64">
        <v>90.0</v>
      </c>
      <c r="S137" s="66">
        <f t="array" ref="S137">IF((XLOOKUP(D137,RUC!$B$3:$B$106,RUC!$E$3:$E$106)+ROUNDDOWN(O137,1)*100)&lt;95,95,((XLOOKUP(D137,RUC!$B$3:$B$106,RUC!$E$3:$E$106)+ROUNDDOWN(O137,1)*100)))</f>
        <v>105</v>
      </c>
      <c r="U137" s="67">
        <f t="array" ref="U137">XLOOKUP(D137,RUC!$B$3:$B$110,RUC!$F$3:$F$110)</f>
        <v>120</v>
      </c>
      <c r="V137" s="67">
        <v>1.1023</v>
      </c>
      <c r="Y137" s="2">
        <f t="array" ref="Y137">XLOOKUP(D137,RUC!$B$3:$B$110,RUC!$G$3:$G$110)</f>
        <v>20</v>
      </c>
      <c r="Z137" s="69">
        <f t="array" ref="Z137">XLOOKUP(D137,RUC!$B$3:$B$110,RUC!$H$3:$H$110)</f>
        <v>30</v>
      </c>
      <c r="AA137" s="70">
        <f t="shared" si="53"/>
        <v>50</v>
      </c>
      <c r="AB137" s="71">
        <f t="shared" si="67"/>
        <v>-199.0709708</v>
      </c>
      <c r="AC137" s="71">
        <f>+(S137-T137)*V137-'data 1'!$F$4</f>
        <v>35.7415</v>
      </c>
      <c r="AD137" s="71">
        <f t="shared" si="55"/>
        <v>0</v>
      </c>
      <c r="AE137" s="71">
        <f t="shared" si="56"/>
        <v>-14.885</v>
      </c>
      <c r="AF137" s="71">
        <f t="shared" si="57"/>
        <v>-2.2619196</v>
      </c>
      <c r="AG137" s="72">
        <f t="shared" si="78"/>
        <v>35.5945804</v>
      </c>
      <c r="AH137" s="193">
        <f t="shared" si="59"/>
        <v>12.528</v>
      </c>
      <c r="AI137" s="193">
        <f t="shared" si="60"/>
        <v>13.92</v>
      </c>
      <c r="AJ137" s="73">
        <f t="shared" si="61"/>
        <v>1274.928998</v>
      </c>
      <c r="AK137" s="73">
        <f t="shared" si="62"/>
        <v>11.59853421</v>
      </c>
      <c r="AL137" s="2"/>
      <c r="AM137" s="51">
        <f t="shared" si="63"/>
        <v>0</v>
      </c>
      <c r="AN137" s="51" t="str">
        <f t="array" ref="AN137">XLOOKUP(D137,RUC!$B$3:$B$565,RUC!$M$3:$M$565)</f>
        <v>Ronald Miranda</v>
      </c>
      <c r="AO137" s="131" t="s">
        <v>701</v>
      </c>
      <c r="AP137" s="205">
        <v>231.0</v>
      </c>
      <c r="AQ137" s="141" t="s">
        <v>937</v>
      </c>
    </row>
    <row r="138" ht="15.0" customHeight="1">
      <c r="A138" s="124" t="s">
        <v>943</v>
      </c>
      <c r="B138" s="182"/>
      <c r="C138" s="182">
        <v>46138.0</v>
      </c>
      <c r="D138" s="57" t="s">
        <v>295</v>
      </c>
      <c r="E138" s="3">
        <f t="array" ref="E138">XLOOKUP(D138,RUC!$B$3:$B$110,RUC!$D$3:$D$110)</f>
        <v>20601769396</v>
      </c>
      <c r="G138" s="141">
        <v>114.0</v>
      </c>
      <c r="H138" s="3" t="s">
        <v>40</v>
      </c>
      <c r="I138" s="6">
        <v>3.91</v>
      </c>
      <c r="J138" s="58">
        <v>15.78</v>
      </c>
      <c r="K138" s="6">
        <f t="shared" si="51"/>
        <v>3.293</v>
      </c>
      <c r="L138" s="60">
        <v>0.41</v>
      </c>
      <c r="M138" s="60">
        <f t="array" ref="M138">ROUND(+IF(L138&gt;XLOOKUP(AN138,RUC!M:M,RUC!K:K),L138*XLOOKUP(AN138,RUC!M:M,RUC!I:I),L138-XLOOKUP(AN138,RUC!M:M,RUC!J:J)),3)</f>
        <v>0.385</v>
      </c>
      <c r="N138" s="62">
        <f t="shared" si="75"/>
        <v>0.385</v>
      </c>
      <c r="O138" s="60">
        <f t="shared" si="76"/>
        <v>0.385</v>
      </c>
      <c r="P138" s="63">
        <v>90.0</v>
      </c>
      <c r="Q138" s="64">
        <v>90.0</v>
      </c>
      <c r="S138" s="66">
        <f t="array" ref="S138">IF((XLOOKUP(D138,RUC!$B$3:$B$106,RUC!$E$3:$E$106)+ROUNDDOWN(O138,1)*100)&lt;95,95,((XLOOKUP(D138,RUC!$B$3:$B$106,RUC!$E$3:$E$106)+ROUNDDOWN(O138,1)*100)))</f>
        <v>120</v>
      </c>
      <c r="U138" s="67">
        <f t="array" ref="U138">XLOOKUP(D138,RUC!$B$3:$B$110,RUC!$F$3:$F$110)</f>
        <v>120</v>
      </c>
      <c r="V138" s="67">
        <v>1.1023</v>
      </c>
      <c r="Y138" s="2">
        <f t="array" ref="Y138">XLOOKUP(D138,RUC!$B$3:$B$110,RUC!$G$3:$G$110)</f>
        <v>20</v>
      </c>
      <c r="Z138" s="69">
        <f t="array" ref="Z138">XLOOKUP(D138,RUC!$B$3:$B$110,RUC!$H$3:$H$110)</f>
        <v>30</v>
      </c>
      <c r="AA138" s="70">
        <f t="shared" si="53"/>
        <v>50</v>
      </c>
      <c r="AB138" s="71">
        <f t="shared" si="67"/>
        <v>-233.224634</v>
      </c>
      <c r="AC138" s="71">
        <f>+(S138-T138)*V138-'data 1'!$F$4</f>
        <v>52.276</v>
      </c>
      <c r="AD138" s="71">
        <f t="shared" si="55"/>
        <v>0</v>
      </c>
      <c r="AE138" s="71">
        <f t="shared" si="56"/>
        <v>-14.885</v>
      </c>
      <c r="AF138" s="71">
        <f t="shared" si="57"/>
        <v>-2.97621</v>
      </c>
      <c r="AG138" s="72">
        <f t="shared" si="78"/>
        <v>51.41479</v>
      </c>
      <c r="AH138" s="193">
        <f t="shared" si="59"/>
        <v>41.661</v>
      </c>
      <c r="AI138" s="193">
        <f t="shared" si="60"/>
        <v>46.29</v>
      </c>
      <c r="AJ138" s="73">
        <f t="shared" si="61"/>
        <v>2041.878474</v>
      </c>
      <c r="AK138" s="73">
        <f t="shared" si="62"/>
        <v>39.12046776</v>
      </c>
      <c r="AL138" s="2"/>
      <c r="AM138" s="51">
        <f t="shared" si="63"/>
        <v>0</v>
      </c>
      <c r="AN138" s="51" t="str">
        <f t="array" ref="AN138">XLOOKUP(D138,RUC!$B$3:$B$565,RUC!$M$3:$M$565)</f>
        <v>Evelyn</v>
      </c>
      <c r="AO138" s="131" t="s">
        <v>701</v>
      </c>
      <c r="AP138" s="205">
        <v>284.0</v>
      </c>
      <c r="AQ138" s="141" t="s">
        <v>944</v>
      </c>
    </row>
    <row r="139" ht="15.0" customHeight="1">
      <c r="A139" s="124" t="s">
        <v>945</v>
      </c>
      <c r="B139" s="182"/>
      <c r="C139" s="182">
        <v>46138.0</v>
      </c>
      <c r="D139" s="57" t="s">
        <v>295</v>
      </c>
      <c r="E139" s="3">
        <f t="array" ref="E139">XLOOKUP(D139,RUC!$B$3:$B$110,RUC!$D$3:$D$110)</f>
        <v>20601769396</v>
      </c>
      <c r="G139" s="141">
        <v>140.0</v>
      </c>
      <c r="H139" s="3" t="s">
        <v>40</v>
      </c>
      <c r="I139" s="6">
        <v>4.99</v>
      </c>
      <c r="J139" s="58">
        <v>16.48</v>
      </c>
      <c r="K139" s="6">
        <f t="shared" si="51"/>
        <v>4.168</v>
      </c>
      <c r="L139" s="60">
        <v>0.431</v>
      </c>
      <c r="M139" s="60">
        <f t="array" ref="M139">ROUND(+IF(L139&gt;XLOOKUP(AN139,RUC!M:M,RUC!K:K),L139*XLOOKUP(AN139,RUC!M:M,RUC!I:I),L139-XLOOKUP(AN139,RUC!M:M,RUC!J:J)),3)</f>
        <v>0.405</v>
      </c>
      <c r="N139" s="62">
        <f t="shared" si="75"/>
        <v>0.405</v>
      </c>
      <c r="O139" s="60">
        <f t="shared" si="76"/>
        <v>0.405</v>
      </c>
      <c r="P139" s="63">
        <v>90.0</v>
      </c>
      <c r="Q139" s="64">
        <v>90.0</v>
      </c>
      <c r="S139" s="66">
        <f t="array" ref="S139">IF((XLOOKUP(D139,RUC!$B$3:$B$106,RUC!$E$3:$E$106)+ROUNDDOWN(O139,1)*100)&lt;95,95,((XLOOKUP(D139,RUC!$B$3:$B$106,RUC!$E$3:$E$106)+ROUNDDOWN(O139,1)*100)))</f>
        <v>130</v>
      </c>
      <c r="U139" s="67">
        <f t="array" ref="U139">XLOOKUP(D139,RUC!$B$3:$B$110,RUC!$F$3:$F$110)</f>
        <v>120</v>
      </c>
      <c r="V139" s="67">
        <v>1.1023</v>
      </c>
      <c r="Y139" s="2">
        <f t="array" ref="Y139">XLOOKUP(D139,RUC!$B$3:$B$110,RUC!$G$3:$G$110)</f>
        <v>20</v>
      </c>
      <c r="Z139" s="69">
        <f t="array" ref="Z139">XLOOKUP(D139,RUC!$B$3:$B$110,RUC!$H$3:$H$110)</f>
        <v>30</v>
      </c>
      <c r="AA139" s="70">
        <f t="shared" si="53"/>
        <v>50</v>
      </c>
      <c r="AB139" s="71">
        <f t="shared" si="67"/>
        <v>-246.628602</v>
      </c>
      <c r="AC139" s="71">
        <f>+(S139-T139)*V139-'data 1'!$F$4</f>
        <v>63.299</v>
      </c>
      <c r="AD139" s="71">
        <f t="shared" si="55"/>
        <v>0</v>
      </c>
      <c r="AE139" s="71">
        <f t="shared" si="56"/>
        <v>-14.885</v>
      </c>
      <c r="AF139" s="71">
        <f t="shared" si="57"/>
        <v>-3.0952584</v>
      </c>
      <c r="AG139" s="72">
        <f t="shared" si="78"/>
        <v>62.3187416</v>
      </c>
      <c r="AH139" s="193">
        <f t="shared" si="59"/>
        <v>55.431</v>
      </c>
      <c r="AI139" s="193">
        <f t="shared" si="60"/>
        <v>61.591</v>
      </c>
      <c r="AJ139" s="73">
        <f t="shared" si="61"/>
        <v>2146.462493</v>
      </c>
      <c r="AK139" s="73">
        <f t="shared" si="62"/>
        <v>52.0875958</v>
      </c>
      <c r="AL139" s="2"/>
      <c r="AM139" s="51">
        <f t="shared" si="63"/>
        <v>0</v>
      </c>
      <c r="AN139" s="51" t="str">
        <f t="array" ref="AN139">XLOOKUP(D139,RUC!$B$3:$B$565,RUC!$M$3:$M$565)</f>
        <v>Evelyn</v>
      </c>
      <c r="AO139" s="131" t="s">
        <v>701</v>
      </c>
      <c r="AP139" s="205">
        <v>284.0</v>
      </c>
      <c r="AQ139" s="141" t="s">
        <v>944</v>
      </c>
    </row>
    <row r="140" ht="15.0" customHeight="1">
      <c r="A140" s="124" t="s">
        <v>946</v>
      </c>
      <c r="B140" s="182"/>
      <c r="C140" s="182">
        <v>46138.0</v>
      </c>
      <c r="D140" s="57" t="s">
        <v>295</v>
      </c>
      <c r="E140" s="3">
        <f t="array" ref="E140">XLOOKUP(D140,RUC!$B$3:$B$110,RUC!$D$3:$D$110)</f>
        <v>20601769396</v>
      </c>
      <c r="G140" s="141">
        <v>120.0</v>
      </c>
      <c r="H140" s="3" t="s">
        <v>40</v>
      </c>
      <c r="I140" s="6">
        <v>4.1</v>
      </c>
      <c r="J140" s="58">
        <v>15.6</v>
      </c>
      <c r="K140" s="6">
        <f t="shared" si="51"/>
        <v>3.46</v>
      </c>
      <c r="L140" s="60">
        <v>0.444</v>
      </c>
      <c r="M140" s="60">
        <f t="array" ref="M140">ROUND(+IF(L140&gt;XLOOKUP(AN140,RUC!M:M,RUC!K:K),L140*XLOOKUP(AN140,RUC!M:M,RUC!I:I),L140-XLOOKUP(AN140,RUC!M:M,RUC!J:J)),3)</f>
        <v>0.417</v>
      </c>
      <c r="N140" s="62">
        <f t="shared" si="75"/>
        <v>0.417</v>
      </c>
      <c r="O140" s="60">
        <f t="shared" si="76"/>
        <v>0.417</v>
      </c>
      <c r="P140" s="63">
        <v>90.0</v>
      </c>
      <c r="Q140" s="64">
        <v>90.0</v>
      </c>
      <c r="S140" s="66">
        <f t="array" ref="S140">IF((XLOOKUP(D140,RUC!$B$3:$B$106,RUC!$E$3:$E$106)+ROUNDDOWN(O140,1)*100)&lt;95,95,((XLOOKUP(D140,RUC!$B$3:$B$106,RUC!$E$3:$E$106)+ROUNDDOWN(O140,1)*100)))</f>
        <v>130</v>
      </c>
      <c r="U140" s="67">
        <f t="array" ref="U140">XLOOKUP(D140,RUC!$B$3:$B$110,RUC!$F$3:$F$110)</f>
        <v>120</v>
      </c>
      <c r="V140" s="67">
        <v>1.1023</v>
      </c>
      <c r="Y140" s="2">
        <f t="array" ref="Y140">XLOOKUP(D140,RUC!$B$3:$B$110,RUC!$G$3:$G$110)</f>
        <v>20</v>
      </c>
      <c r="Z140" s="69">
        <f t="array" ref="Z140">XLOOKUP(D140,RUC!$B$3:$B$110,RUC!$H$3:$H$110)</f>
        <v>30</v>
      </c>
      <c r="AA140" s="70">
        <f t="shared" si="53"/>
        <v>50</v>
      </c>
      <c r="AB140" s="71">
        <f t="shared" si="67"/>
        <v>-248.0571828</v>
      </c>
      <c r="AC140" s="71">
        <f>+(S140-T140)*V140-'data 1'!$F$4</f>
        <v>63.299</v>
      </c>
      <c r="AD140" s="71">
        <f t="shared" si="55"/>
        <v>0</v>
      </c>
      <c r="AE140" s="71">
        <f t="shared" si="56"/>
        <v>-14.885</v>
      </c>
      <c r="AF140" s="71">
        <f t="shared" si="57"/>
        <v>-3.2143068</v>
      </c>
      <c r="AG140" s="72">
        <f t="shared" si="78"/>
        <v>62.1996932</v>
      </c>
      <c r="AH140" s="193">
        <f t="shared" si="59"/>
        <v>47.404</v>
      </c>
      <c r="AI140" s="193">
        <f t="shared" si="60"/>
        <v>52.671</v>
      </c>
      <c r="AJ140" s="73">
        <f t="shared" si="61"/>
        <v>2211.204982</v>
      </c>
      <c r="AK140" s="73">
        <f t="shared" si="62"/>
        <v>44.52087923</v>
      </c>
      <c r="AL140" s="2"/>
      <c r="AM140" s="51">
        <f t="shared" si="63"/>
        <v>0</v>
      </c>
      <c r="AN140" s="51" t="str">
        <f t="array" ref="AN140">XLOOKUP(D140,RUC!$B$3:$B$565,RUC!$M$3:$M$565)</f>
        <v>Evelyn</v>
      </c>
      <c r="AO140" s="131" t="s">
        <v>701</v>
      </c>
      <c r="AP140" s="205">
        <v>284.0</v>
      </c>
      <c r="AQ140" s="141" t="s">
        <v>944</v>
      </c>
    </row>
    <row r="141" ht="15.0" customHeight="1">
      <c r="A141" s="124" t="s">
        <v>947</v>
      </c>
      <c r="B141" s="182"/>
      <c r="C141" s="182">
        <v>46138.0</v>
      </c>
      <c r="D141" s="57" t="s">
        <v>295</v>
      </c>
      <c r="E141" s="3">
        <f t="array" ref="E141">XLOOKUP(D141,RUC!$B$3:$B$110,RUC!$D$3:$D$110)</f>
        <v>20601769396</v>
      </c>
      <c r="G141" s="141">
        <v>130.0</v>
      </c>
      <c r="H141" s="3" t="s">
        <v>40</v>
      </c>
      <c r="I141" s="6">
        <v>4.28</v>
      </c>
      <c r="J141" s="58">
        <v>16.7</v>
      </c>
      <c r="K141" s="6">
        <f t="shared" si="51"/>
        <v>3.565</v>
      </c>
      <c r="L141" s="60">
        <v>0.47</v>
      </c>
      <c r="M141" s="60">
        <f t="array" ref="M141">ROUND(+IF(L141&gt;XLOOKUP(AN141,RUC!M:M,RUC!K:K),L141*XLOOKUP(AN141,RUC!M:M,RUC!I:I),L141-XLOOKUP(AN141,RUC!M:M,RUC!J:J)),3)</f>
        <v>0.442</v>
      </c>
      <c r="N141" s="62">
        <f t="shared" si="75"/>
        <v>0.442</v>
      </c>
      <c r="O141" s="60">
        <f t="shared" si="76"/>
        <v>0.442</v>
      </c>
      <c r="P141" s="63">
        <v>90.0</v>
      </c>
      <c r="Q141" s="64">
        <v>90.0</v>
      </c>
      <c r="S141" s="66">
        <f t="array" ref="S141">IF((XLOOKUP(D141,RUC!$B$3:$B$106,RUC!$E$3:$E$106)+ROUNDDOWN(O141,1)*100)&lt;95,95,((XLOOKUP(D141,RUC!$B$3:$B$106,RUC!$E$3:$E$106)+ROUNDDOWN(O141,1)*100)))</f>
        <v>130</v>
      </c>
      <c r="U141" s="67">
        <f t="array" ref="U141">XLOOKUP(D141,RUC!$B$3:$B$110,RUC!$F$3:$F$110)</f>
        <v>120</v>
      </c>
      <c r="V141" s="67">
        <v>1.1023</v>
      </c>
      <c r="Y141" s="2">
        <f t="array" ref="Y141">XLOOKUP(D141,RUC!$B$3:$B$110,RUC!$G$3:$G$110)</f>
        <v>20</v>
      </c>
      <c r="Z141" s="69">
        <f t="array" ref="Z141">XLOOKUP(D141,RUC!$B$3:$B$110,RUC!$H$3:$H$110)</f>
        <v>30</v>
      </c>
      <c r="AA141" s="70">
        <f t="shared" si="53"/>
        <v>50</v>
      </c>
      <c r="AB141" s="71">
        <f t="shared" si="67"/>
        <v>-251.0333928</v>
      </c>
      <c r="AC141" s="71">
        <f>+(S141-T141)*V141-'data 1'!$F$4</f>
        <v>63.299</v>
      </c>
      <c r="AD141" s="71">
        <f t="shared" si="55"/>
        <v>0</v>
      </c>
      <c r="AE141" s="71">
        <f t="shared" si="56"/>
        <v>-14.885</v>
      </c>
      <c r="AF141" s="71">
        <f t="shared" si="57"/>
        <v>-3.3333552</v>
      </c>
      <c r="AG141" s="72">
        <f t="shared" si="78"/>
        <v>62.0806448</v>
      </c>
      <c r="AH141" s="193">
        <f t="shared" si="59"/>
        <v>51.702</v>
      </c>
      <c r="AI141" s="193">
        <f t="shared" si="60"/>
        <v>57.447</v>
      </c>
      <c r="AJ141" s="73">
        <f t="shared" si="61"/>
        <v>2340.689958</v>
      </c>
      <c r="AK141" s="73">
        <f t="shared" si="62"/>
        <v>48.62206306</v>
      </c>
      <c r="AL141" s="2"/>
      <c r="AM141" s="51">
        <f t="shared" si="63"/>
        <v>0</v>
      </c>
      <c r="AN141" s="51" t="str">
        <f t="array" ref="AN141">XLOOKUP(D141,RUC!$B$3:$B$565,RUC!$M$3:$M$565)</f>
        <v>Evelyn</v>
      </c>
      <c r="AO141" s="131" t="s">
        <v>701</v>
      </c>
      <c r="AP141" s="205">
        <v>284.0</v>
      </c>
      <c r="AQ141" s="141" t="s">
        <v>944</v>
      </c>
    </row>
    <row r="142" ht="15.0" customHeight="1">
      <c r="A142" s="2"/>
      <c r="B142" s="182"/>
      <c r="C142" s="3"/>
      <c r="E142" s="3"/>
      <c r="H142" s="3"/>
      <c r="AG142" s="91"/>
      <c r="AP142" s="141"/>
      <c r="AQ142" s="141"/>
    </row>
    <row r="143" ht="15.0" customHeight="1">
      <c r="A143" s="124" t="s">
        <v>947</v>
      </c>
      <c r="B143" s="182"/>
      <c r="C143" s="182">
        <v>46138.0</v>
      </c>
      <c r="D143" s="57" t="s">
        <v>295</v>
      </c>
      <c r="E143" s="3">
        <f t="array" ref="E143">XLOOKUP(D143,RUC!$B$3:$B$110,RUC!$D$3:$D$110)</f>
        <v>20601769396</v>
      </c>
      <c r="G143" s="141">
        <v>130.0</v>
      </c>
      <c r="H143" s="3" t="s">
        <v>40</v>
      </c>
      <c r="I143" s="206">
        <v>5.005</v>
      </c>
      <c r="J143" s="207">
        <v>5.5</v>
      </c>
      <c r="K143" s="6">
        <f t="shared" ref="K143:K144" si="79">ROUND(+I143-(I143*(J143/100)),3)</f>
        <v>4.73</v>
      </c>
      <c r="L143" s="208">
        <v>0.908</v>
      </c>
      <c r="M143" s="209">
        <f t="array" ref="M143">ROUND(+IF(L143&gt;XLOOKUP(AN143,RUC!M:M,RUC!K:K),L143*XLOOKUP(AN143,RUC!M:M,RUC!I:I),L143-XLOOKUP(AN143,RUC!M:M,RUC!J:J)),3)</f>
        <v>0.854</v>
      </c>
      <c r="N143" s="208">
        <v>0.1445</v>
      </c>
      <c r="O143" s="60">
        <f t="shared" ref="O143:O144" si="80">+ROUND((M143+N143)/2,3)</f>
        <v>0.499</v>
      </c>
      <c r="P143" s="63">
        <v>90.0</v>
      </c>
      <c r="Q143" s="64">
        <v>90.0</v>
      </c>
      <c r="R143" s="210">
        <v>4636.9</v>
      </c>
      <c r="S143" s="66">
        <f t="array" ref="S143">IF((XLOOKUP(D143,RUC!$B$3:$B$106,RUC!$E$3:$E$106)+ROUNDDOWN(O143,1)*100)&lt;95,95,((XLOOKUP(D143,RUC!$B$3:$B$106,RUC!$E$3:$E$106)+ROUNDDOWN(O143,1)*100)))</f>
        <v>130</v>
      </c>
      <c r="U143" s="67">
        <f t="array" ref="U143">XLOOKUP(D143,RUC!$B$3:$B$110,RUC!$F$3:$F$110)</f>
        <v>120</v>
      </c>
      <c r="V143" s="67">
        <v>1.1023</v>
      </c>
      <c r="Y143" s="2">
        <f t="array" ref="Y143">XLOOKUP(D143,RUC!$B$3:$B$110,RUC!$G$3:$G$110)</f>
        <v>20</v>
      </c>
      <c r="Z143" s="69">
        <f t="array" ref="Z143">XLOOKUP(D143,RUC!$B$3:$B$110,RUC!$H$3:$H$110)</f>
        <v>30</v>
      </c>
      <c r="AA143" s="70">
        <f t="shared" ref="AA143:AA144" si="81">+Y143+Z143</f>
        <v>50</v>
      </c>
      <c r="AB143" s="211">
        <f t="shared" ref="AB143:AB144" si="82">+((O143*P143*(R143-U143)/100)-S143-AA143+T143)*V143</f>
        <v>2037.645411</v>
      </c>
      <c r="AC143" s="71">
        <f>+(S143-T143)*V143-'data 1'!$F$4</f>
        <v>63.299</v>
      </c>
      <c r="AD143" s="71">
        <f t="shared" ref="AD143:AD144" si="83">+(Q143-P143)*(R143-U143)*L143*V143/100</f>
        <v>0</v>
      </c>
      <c r="AE143" s="71">
        <f t="shared" ref="AE143:AE144" si="84">+(Y143*V143-70)+V143*(Z143-IF(D143="UNTUCA",IF(+((W143-3)*2.5+(X143-3)*3.1)&gt;0,+((W143-3)*1.5+(X143-3)*3.1),0),IF(+((W143-3)*1.5+(X143-3)*3.1)&gt;0,+((W143-3)*1.5+(X143-3)*3.1),0)))</f>
        <v>-14.885</v>
      </c>
      <c r="AF143" s="71">
        <f t="shared" ref="AF143:AF144" si="85">(L143-O143)*(R143-U143)*Q143*V143/100</f>
        <v>1832.762122</v>
      </c>
      <c r="AG143" s="72">
        <f t="shared" ref="AG143:AG144" si="86">AC143+AD143+AE143+AF143+70-53</f>
        <v>1898.176122</v>
      </c>
      <c r="AH143" s="193">
        <f t="shared" ref="AH143:AH144" si="87">ROUND((31.1035*L143*Q143*1.1023*K143/100),3)</f>
        <v>132.525</v>
      </c>
      <c r="AI143" s="193">
        <f t="shared" ref="AI143:AI144" si="88">ROUND((31.1035*L143*1.1023*K143),3)</f>
        <v>147.25</v>
      </c>
      <c r="AJ143" s="73">
        <f t="shared" ref="AJ143:AJ144" si="89">+((+$AJ$2-R143+U143)*L143*Q143*V143)/100</f>
        <v>345.0963114</v>
      </c>
      <c r="AK143" s="73">
        <f t="shared" ref="AK143:AK144" si="90">31.1035*1.1023*K143*P143*O143/100</f>
        <v>72.83049557</v>
      </c>
      <c r="AL143" s="2"/>
      <c r="AM143" s="51">
        <f t="shared" ref="AM143:AM144" si="91">+IF(AB143*K143&gt;0,AB143*K143,0)</f>
        <v>9638.062792</v>
      </c>
      <c r="AN143" s="51" t="str">
        <f t="array" ref="AN143">XLOOKUP(D143,RUC!$B$3:$B$565,RUC!$M$3:$M$565)</f>
        <v>Evelyn</v>
      </c>
      <c r="AO143" s="131" t="s">
        <v>701</v>
      </c>
      <c r="AP143" s="205">
        <v>284.0</v>
      </c>
      <c r="AQ143" s="141" t="s">
        <v>944</v>
      </c>
    </row>
    <row r="144" ht="15.75" customHeight="1">
      <c r="A144" s="124" t="s">
        <v>947</v>
      </c>
      <c r="B144" s="182"/>
      <c r="C144" s="182">
        <v>46138.0</v>
      </c>
      <c r="D144" s="57" t="s">
        <v>295</v>
      </c>
      <c r="E144" s="3">
        <f t="array" ref="E144">XLOOKUP(D144,RUC!$B$3:$B$110,RUC!$D$3:$D$110)</f>
        <v>20601769396</v>
      </c>
      <c r="G144" s="141">
        <v>130.0</v>
      </c>
      <c r="H144" s="3" t="s">
        <v>40</v>
      </c>
      <c r="I144" s="206">
        <v>5.005</v>
      </c>
      <c r="J144" s="207">
        <v>5.5</v>
      </c>
      <c r="K144" s="6">
        <f t="shared" si="79"/>
        <v>4.73</v>
      </c>
      <c r="L144" s="212">
        <v>0.3068</v>
      </c>
      <c r="M144" s="209">
        <f t="array" ref="M144">ROUND(+IF(L144&gt;XLOOKUP(AN144,RUC!M:M,RUC!K:K),L144*XLOOKUP(AN144,RUC!M:M,RUC!I:I),L144-XLOOKUP(AN144,RUC!M:M,RUC!J:J)),3)</f>
        <v>0.288</v>
      </c>
      <c r="N144" s="209">
        <v>0.549</v>
      </c>
      <c r="O144" s="60">
        <f t="shared" si="80"/>
        <v>0.419</v>
      </c>
      <c r="P144" s="63">
        <v>90.0</v>
      </c>
      <c r="Q144" s="64">
        <v>90.0</v>
      </c>
      <c r="R144" s="210">
        <v>4636.9</v>
      </c>
      <c r="S144" s="66">
        <f t="array" ref="S144">IF((XLOOKUP(D144,RUC!$B$3:$B$106,RUC!$E$3:$E$106)+ROUNDDOWN(O144,1)*100)&lt;95,95,((XLOOKUP(D144,RUC!$B$3:$B$106,RUC!$E$3:$E$106)+ROUNDDOWN(O144,1)*100)))</f>
        <v>130</v>
      </c>
      <c r="U144" s="67">
        <f t="array" ref="U144">XLOOKUP(D144,RUC!$B$3:$B$110,RUC!$F$3:$F$110)</f>
        <v>120</v>
      </c>
      <c r="V144" s="67">
        <v>1.1023</v>
      </c>
      <c r="Y144" s="2">
        <f t="array" ref="Y144">XLOOKUP(D144,RUC!$B$3:$B$110,RUC!$G$3:$G$110)</f>
        <v>20</v>
      </c>
      <c r="Z144" s="69">
        <f t="array" ref="Z144">XLOOKUP(D144,RUC!$B$3:$B$110,RUC!$H$3:$H$110)</f>
        <v>30</v>
      </c>
      <c r="AA144" s="70">
        <f t="shared" si="81"/>
        <v>50</v>
      </c>
      <c r="AB144" s="71">
        <f t="shared" si="82"/>
        <v>1679.158932</v>
      </c>
      <c r="AC144" s="71">
        <f>+(S144-T144)*V144-'data 1'!$F$4</f>
        <v>63.299</v>
      </c>
      <c r="AD144" s="71">
        <f t="shared" si="83"/>
        <v>0</v>
      </c>
      <c r="AE144" s="71">
        <f t="shared" si="84"/>
        <v>-14.885</v>
      </c>
      <c r="AF144" s="71">
        <f t="shared" si="85"/>
        <v>-502.7772863</v>
      </c>
      <c r="AG144" s="72">
        <f t="shared" si="86"/>
        <v>-437.3632863</v>
      </c>
      <c r="AH144" s="193">
        <f t="shared" si="87"/>
        <v>44.778</v>
      </c>
      <c r="AI144" s="193">
        <f t="shared" si="88"/>
        <v>49.754</v>
      </c>
      <c r="AJ144" s="73">
        <f t="shared" si="89"/>
        <v>116.6030268</v>
      </c>
      <c r="AK144" s="73">
        <f t="shared" si="90"/>
        <v>61.15426381</v>
      </c>
      <c r="AL144" s="2"/>
      <c r="AM144" s="51">
        <f t="shared" si="91"/>
        <v>7942.421748</v>
      </c>
      <c r="AN144" s="51" t="str">
        <f t="array" ref="AN144">XLOOKUP(D144,RUC!$B$3:$B$565,RUC!$M$3:$M$565)</f>
        <v>Evelyn</v>
      </c>
      <c r="AO144" s="131" t="s">
        <v>701</v>
      </c>
      <c r="AP144" s="205">
        <v>284.0</v>
      </c>
      <c r="AQ144" s="141" t="s">
        <v>944</v>
      </c>
    </row>
    <row r="145" ht="15.75" customHeight="1">
      <c r="B145" s="182"/>
      <c r="C145" s="3"/>
      <c r="E145" s="3"/>
      <c r="H145" s="3"/>
      <c r="AG145" s="91"/>
      <c r="AP145" s="141"/>
      <c r="AQ145" s="141"/>
    </row>
    <row r="146" ht="15.75" customHeight="1">
      <c r="B146" s="182"/>
      <c r="C146" s="3"/>
      <c r="E146" s="3"/>
      <c r="H146" s="3"/>
      <c r="AG146" s="91"/>
      <c r="AP146" s="141"/>
      <c r="AQ146" s="141"/>
    </row>
    <row r="147" ht="15.75" customHeight="1">
      <c r="B147" s="182"/>
      <c r="C147" s="3"/>
      <c r="E147" s="3"/>
      <c r="H147" s="3"/>
      <c r="AG147" s="91"/>
      <c r="AP147" s="141"/>
      <c r="AQ147" s="141"/>
    </row>
    <row r="148" ht="15.75" customHeight="1">
      <c r="B148" s="182"/>
      <c r="C148" s="3"/>
      <c r="E148" s="3"/>
      <c r="H148" s="3"/>
      <c r="I148" s="213">
        <f>M143*P143/100*(R143-U143)</f>
        <v>3471.68934</v>
      </c>
      <c r="J148" s="213">
        <f>I148-S143-AA143+T143</f>
        <v>3291.68934</v>
      </c>
      <c r="K148" s="57">
        <f t="shared" ref="K148:K149" si="92">J148*1.1023</f>
        <v>3628.429159</v>
      </c>
      <c r="L148" s="214">
        <v>0.908</v>
      </c>
      <c r="N148" s="215">
        <f>M143-N143</f>
        <v>0.7095</v>
      </c>
      <c r="AG148" s="91"/>
      <c r="AP148" s="141"/>
      <c r="AQ148" s="141"/>
    </row>
    <row r="149" ht="15.75" customHeight="1">
      <c r="B149" s="182"/>
      <c r="C149" s="3"/>
      <c r="E149" s="3"/>
      <c r="H149" s="3"/>
      <c r="I149" s="57">
        <f>O143*P143*(R143-U143)/100</f>
        <v>2028.53979</v>
      </c>
      <c r="J149" s="216">
        <f>I149-S143+T143-AA143</f>
        <v>1848.53979</v>
      </c>
      <c r="K149" s="57">
        <f t="shared" si="92"/>
        <v>2037.645411</v>
      </c>
      <c r="AG149" s="91"/>
      <c r="AP149" s="141"/>
      <c r="AQ149" s="141"/>
    </row>
    <row r="150" ht="15.75" customHeight="1">
      <c r="B150" s="182"/>
      <c r="C150" s="3"/>
      <c r="E150" s="3"/>
      <c r="H150" s="3"/>
      <c r="AG150" s="91"/>
      <c r="AP150" s="141"/>
      <c r="AQ150" s="141"/>
    </row>
    <row r="151" ht="15.75" customHeight="1">
      <c r="B151" s="182"/>
      <c r="C151" s="3"/>
      <c r="E151" s="3"/>
      <c r="H151" s="3"/>
      <c r="I151" s="213">
        <v>2134.2352499999997</v>
      </c>
      <c r="J151" s="213">
        <f>I151-AA143-S143</f>
        <v>1954.23525</v>
      </c>
      <c r="AG151" s="91"/>
      <c r="AP151" s="141"/>
      <c r="AQ151" s="141"/>
    </row>
    <row r="152" ht="15.75" customHeight="1">
      <c r="B152" s="182"/>
      <c r="C152" s="3"/>
      <c r="E152" s="3"/>
      <c r="H152" s="3"/>
      <c r="I152" s="57">
        <f>0.5255</f>
        <v>0.5255</v>
      </c>
      <c r="AG152" s="91"/>
      <c r="AP152" s="141"/>
      <c r="AQ152" s="141"/>
    </row>
    <row r="153" ht="15.75" customHeight="1">
      <c r="A153" s="124" t="s">
        <v>947</v>
      </c>
      <c r="B153" s="182"/>
      <c r="C153" s="182">
        <v>46138.0</v>
      </c>
      <c r="D153" s="57" t="s">
        <v>295</v>
      </c>
      <c r="E153" s="3">
        <f t="array" ref="E153">XLOOKUP(D153,RUC!$B$3:$B$110,RUC!$D$3:$D$110)</f>
        <v>20601769396</v>
      </c>
      <c r="G153" s="141">
        <v>130.0</v>
      </c>
      <c r="H153" s="3" t="s">
        <v>40</v>
      </c>
      <c r="I153" s="206">
        <v>5.005</v>
      </c>
      <c r="J153" s="207">
        <v>5.5</v>
      </c>
      <c r="K153" s="6">
        <f>ROUND(+I153-(I153*(J153/100)),3)</f>
        <v>4.73</v>
      </c>
      <c r="L153" s="208">
        <v>0.584</v>
      </c>
      <c r="M153" s="209">
        <f t="array" ref="M153">ROUND(+IF(L153&gt;XLOOKUP(AN153,RUC!M:M,RUC!K:K),L153*XLOOKUP(AN153,RUC!M:M,RUC!I:I),L153-XLOOKUP(AN153,RUC!M:M,RUC!J:J)),3)</f>
        <v>0.549</v>
      </c>
      <c r="N153" s="209">
        <v>0.549</v>
      </c>
      <c r="O153" s="60">
        <f>+ROUND((M153+N153)/2,3)</f>
        <v>0.549</v>
      </c>
      <c r="P153" s="63">
        <v>90.0</v>
      </c>
      <c r="Q153" s="64">
        <v>90.0</v>
      </c>
      <c r="R153" s="210">
        <v>4636.9</v>
      </c>
      <c r="S153" s="66">
        <f t="array" ref="S153">IF((XLOOKUP(D153,RUC!$B$3:$B$106,RUC!$E$3:$E$106)+ROUNDDOWN(O153,1)*100)&lt;95,95,((XLOOKUP(D153,RUC!$B$3:$B$106,RUC!$E$3:$E$106)+ROUNDDOWN(O153,1)*100)))</f>
        <v>140</v>
      </c>
      <c r="U153" s="67">
        <f t="array" ref="U153">XLOOKUP(D153,RUC!$B$3:$B$110,RUC!$F$3:$F$110)</f>
        <v>120</v>
      </c>
      <c r="V153" s="67">
        <v>1.1023</v>
      </c>
      <c r="Y153" s="2">
        <f t="array" ref="Y153">XLOOKUP(D153,RUC!$B$3:$B$110,RUC!$G$3:$G$110)</f>
        <v>20</v>
      </c>
      <c r="Z153" s="69">
        <f t="array" ref="Z153">XLOOKUP(D153,RUC!$B$3:$B$110,RUC!$H$3:$H$110)</f>
        <v>30</v>
      </c>
      <c r="AA153" s="70">
        <f>+Y153+Z153</f>
        <v>50</v>
      </c>
      <c r="AB153" s="71">
        <f>+((O153*P153*(R153-U153)/100)-S153-AA153+T153)*V153</f>
        <v>2250.67646</v>
      </c>
      <c r="AC153" s="71">
        <f>+(S153-T153)*V153-'data 1'!$F$4</f>
        <v>74.322</v>
      </c>
      <c r="AD153" s="71">
        <f>+(Q153-P153)*(R153-U153)*L153*V153/100</f>
        <v>0</v>
      </c>
      <c r="AE153" s="71">
        <f>+(Y153*V153-70)+V153*(Z153-IF(D153="UNTUCA",IF(+((W153-3)*2.5+(X153-3)*3.1)&gt;0,+((W153-3)*1.5+(X153-3)*3.1),0),IF(+((W153-3)*1.5+(X153-3)*3.1)&gt;0,+((W153-3)*1.5+(X153-3)*3.1),0)))</f>
        <v>-14.885</v>
      </c>
      <c r="AF153" s="71">
        <f>(L153-O153)*(R153-U153)*Q153*V153/100</f>
        <v>156.8378344</v>
      </c>
      <c r="AG153" s="72">
        <f>AC153+AD153+AE153+AF153+70-53</f>
        <v>233.2748344</v>
      </c>
      <c r="AH153" s="193">
        <f>ROUND((31.1035*L153*Q153*1.1023*K153/100),3)</f>
        <v>85.236</v>
      </c>
      <c r="AI153" s="193">
        <f>ROUND((31.1035*L153*1.1023*K153),3)</f>
        <v>94.707</v>
      </c>
      <c r="AJ153" s="73">
        <f>+((+$AJ$2-R153+U153)*L153*Q153*V153)/100</f>
        <v>221.9562179</v>
      </c>
      <c r="AK153" s="73">
        <f>31.1035*1.1023*K153*P153*O153/100</f>
        <v>80.12814041</v>
      </c>
      <c r="AL153" s="2"/>
      <c r="AM153" s="51">
        <f>+IF(AB153*K153&gt;0,AB153*K153,0)</f>
        <v>10645.69965</v>
      </c>
      <c r="AN153" s="51" t="str">
        <f t="array" ref="AN153">XLOOKUP(D153,RUC!$B$3:$B$565,RUC!$M$3:$M$565)</f>
        <v>Evelyn</v>
      </c>
      <c r="AO153" s="131" t="s">
        <v>701</v>
      </c>
      <c r="AP153" s="205">
        <v>284.0</v>
      </c>
      <c r="AQ153" s="141" t="s">
        <v>944</v>
      </c>
    </row>
    <row r="154" ht="15.75" customHeight="1">
      <c r="B154" s="182"/>
      <c r="C154" s="3"/>
      <c r="E154" s="3"/>
      <c r="H154" s="3"/>
      <c r="AG154" s="91"/>
      <c r="AP154" s="141"/>
      <c r="AQ154" s="141"/>
    </row>
    <row r="155" ht="15.75" customHeight="1">
      <c r="B155" s="182"/>
      <c r="C155" s="3"/>
      <c r="E155" s="3"/>
      <c r="H155" s="3"/>
      <c r="AG155" s="91"/>
      <c r="AP155" s="141"/>
      <c r="AQ155" s="141"/>
    </row>
    <row r="156" ht="15.75" customHeight="1">
      <c r="B156" s="182"/>
      <c r="C156" s="3"/>
      <c r="E156" s="3"/>
      <c r="H156" s="3"/>
      <c r="J156" s="215"/>
      <c r="AG156" s="91"/>
      <c r="AP156" s="141"/>
      <c r="AQ156" s="141"/>
    </row>
    <row r="157" ht="15.75" customHeight="1">
      <c r="B157" s="182"/>
      <c r="C157" s="3"/>
      <c r="E157" s="3"/>
      <c r="H157" s="3"/>
      <c r="AG157" s="91"/>
      <c r="AP157" s="141"/>
      <c r="AQ157" s="141"/>
    </row>
    <row r="158" ht="15.75" customHeight="1">
      <c r="B158" s="182"/>
      <c r="C158" s="3"/>
      <c r="E158" s="3"/>
      <c r="H158" s="3"/>
      <c r="AG158" s="91"/>
      <c r="AP158" s="141"/>
      <c r="AQ158" s="141"/>
    </row>
    <row r="159" ht="15.75" customHeight="1">
      <c r="B159" s="182"/>
      <c r="C159" s="3"/>
      <c r="E159" s="3"/>
      <c r="H159" s="3"/>
      <c r="AG159" s="91"/>
      <c r="AP159" s="141"/>
      <c r="AQ159" s="141"/>
    </row>
    <row r="160" ht="15.75" customHeight="1">
      <c r="B160" s="182"/>
      <c r="C160" s="3"/>
      <c r="E160" s="3"/>
      <c r="H160" s="3"/>
      <c r="AG160" s="91"/>
      <c r="AP160" s="141"/>
      <c r="AQ160" s="141"/>
    </row>
    <row r="161" ht="15.75" customHeight="1">
      <c r="B161" s="182"/>
      <c r="C161" s="3"/>
      <c r="E161" s="3"/>
      <c r="H161" s="3"/>
      <c r="AG161" s="91"/>
      <c r="AP161" s="141"/>
      <c r="AQ161" s="141"/>
    </row>
    <row r="162" ht="15.75" customHeight="1">
      <c r="B162" s="182"/>
      <c r="C162" s="3"/>
      <c r="E162" s="3"/>
      <c r="H162" s="3"/>
      <c r="AG162" s="91"/>
      <c r="AP162" s="141"/>
      <c r="AQ162" s="141"/>
    </row>
    <row r="163" ht="15.75" customHeight="1">
      <c r="B163" s="182"/>
      <c r="C163" s="3"/>
      <c r="E163" s="3"/>
      <c r="H163" s="3"/>
      <c r="AG163" s="91"/>
      <c r="AP163" s="141"/>
      <c r="AQ163" s="141"/>
    </row>
    <row r="164" ht="15.75" customHeight="1">
      <c r="B164" s="182"/>
      <c r="C164" s="3"/>
      <c r="E164" s="3"/>
      <c r="H164" s="3"/>
      <c r="AG164" s="91"/>
      <c r="AP164" s="141"/>
      <c r="AQ164" s="141"/>
    </row>
    <row r="165" ht="15.75" customHeight="1">
      <c r="B165" s="182"/>
      <c r="C165" s="3"/>
      <c r="E165" s="3"/>
      <c r="H165" s="3"/>
      <c r="AG165" s="91"/>
      <c r="AP165" s="141"/>
      <c r="AQ165" s="141"/>
    </row>
    <row r="166" ht="15.75" customHeight="1">
      <c r="B166" s="182"/>
      <c r="C166" s="3"/>
      <c r="E166" s="3"/>
      <c r="H166" s="3"/>
      <c r="AG166" s="91"/>
      <c r="AP166" s="141"/>
      <c r="AQ166" s="141"/>
    </row>
    <row r="167" ht="15.75" customHeight="1">
      <c r="B167" s="182"/>
      <c r="C167" s="3"/>
      <c r="E167" s="3"/>
      <c r="H167" s="3"/>
      <c r="AG167" s="91"/>
      <c r="AP167" s="141"/>
      <c r="AQ167" s="141"/>
    </row>
    <row r="168" ht="15.75" customHeight="1">
      <c r="B168" s="182"/>
      <c r="C168" s="3"/>
      <c r="E168" s="3"/>
      <c r="H168" s="3"/>
      <c r="AG168" s="91"/>
      <c r="AP168" s="141"/>
      <c r="AQ168" s="141"/>
    </row>
    <row r="169" ht="15.75" customHeight="1">
      <c r="B169" s="182"/>
      <c r="C169" s="3"/>
      <c r="E169" s="3"/>
      <c r="H169" s="3"/>
      <c r="AG169" s="91"/>
      <c r="AP169" s="141"/>
      <c r="AQ169" s="141"/>
    </row>
    <row r="170" ht="15.75" customHeight="1">
      <c r="B170" s="182"/>
      <c r="C170" s="3"/>
      <c r="E170" s="3"/>
      <c r="H170" s="3"/>
      <c r="AG170" s="91"/>
      <c r="AP170" s="141"/>
      <c r="AQ170" s="141"/>
    </row>
    <row r="171" ht="15.75" customHeight="1">
      <c r="B171" s="182"/>
      <c r="C171" s="3"/>
      <c r="E171" s="3"/>
      <c r="H171" s="3"/>
      <c r="AG171" s="91"/>
      <c r="AP171" s="141"/>
      <c r="AQ171" s="141"/>
    </row>
    <row r="172" ht="15.75" customHeight="1">
      <c r="B172" s="182"/>
      <c r="C172" s="3"/>
      <c r="E172" s="3"/>
      <c r="H172" s="3"/>
      <c r="AG172" s="91"/>
      <c r="AP172" s="141"/>
      <c r="AQ172" s="141"/>
    </row>
    <row r="173" ht="15.75" customHeight="1">
      <c r="B173" s="182"/>
      <c r="C173" s="3"/>
      <c r="E173" s="3"/>
      <c r="H173" s="3"/>
      <c r="AG173" s="91"/>
      <c r="AP173" s="141"/>
      <c r="AQ173" s="141"/>
    </row>
    <row r="174" ht="15.75" customHeight="1">
      <c r="B174" s="182"/>
      <c r="C174" s="3"/>
      <c r="E174" s="3"/>
      <c r="H174" s="3"/>
      <c r="AG174" s="91"/>
      <c r="AP174" s="141"/>
      <c r="AQ174" s="141"/>
    </row>
    <row r="175" ht="15.75" customHeight="1">
      <c r="B175" s="182"/>
      <c r="C175" s="3"/>
      <c r="E175" s="3"/>
      <c r="H175" s="3"/>
      <c r="AG175" s="91"/>
      <c r="AP175" s="141"/>
      <c r="AQ175" s="141"/>
    </row>
    <row r="176" ht="15.75" customHeight="1">
      <c r="B176" s="182"/>
      <c r="C176" s="3"/>
      <c r="E176" s="3"/>
      <c r="H176" s="3"/>
      <c r="AG176" s="91"/>
      <c r="AP176" s="141"/>
      <c r="AQ176" s="141"/>
    </row>
    <row r="177" ht="15.75" customHeight="1">
      <c r="B177" s="182"/>
      <c r="C177" s="3"/>
      <c r="E177" s="3"/>
      <c r="H177" s="3"/>
      <c r="AG177" s="91"/>
      <c r="AP177" s="141"/>
      <c r="AQ177" s="141"/>
    </row>
    <row r="178" ht="15.75" customHeight="1">
      <c r="B178" s="182"/>
      <c r="C178" s="3"/>
      <c r="E178" s="3"/>
      <c r="H178" s="3"/>
      <c r="AG178" s="91"/>
      <c r="AP178" s="141"/>
      <c r="AQ178" s="141"/>
    </row>
    <row r="179" ht="15.75" customHeight="1">
      <c r="B179" s="182"/>
      <c r="C179" s="3"/>
      <c r="E179" s="3"/>
      <c r="H179" s="3"/>
      <c r="AG179" s="91"/>
      <c r="AP179" s="141"/>
      <c r="AQ179" s="141"/>
    </row>
    <row r="180" ht="15.75" customHeight="1">
      <c r="B180" s="182"/>
      <c r="C180" s="3"/>
      <c r="E180" s="3"/>
      <c r="H180" s="3"/>
      <c r="AG180" s="91"/>
      <c r="AP180" s="141"/>
      <c r="AQ180" s="141"/>
    </row>
    <row r="181" ht="15.75" customHeight="1">
      <c r="B181" s="182"/>
      <c r="C181" s="3"/>
      <c r="E181" s="3"/>
      <c r="H181" s="3"/>
      <c r="AG181" s="91"/>
      <c r="AP181" s="141"/>
      <c r="AQ181" s="141"/>
    </row>
    <row r="182" ht="15.75" customHeight="1">
      <c r="B182" s="182"/>
      <c r="C182" s="3"/>
      <c r="E182" s="3"/>
      <c r="H182" s="3"/>
      <c r="AG182" s="91"/>
      <c r="AP182" s="141"/>
      <c r="AQ182" s="141"/>
    </row>
    <row r="183" ht="15.75" customHeight="1">
      <c r="B183" s="182"/>
      <c r="C183" s="3"/>
      <c r="E183" s="3"/>
      <c r="H183" s="3"/>
      <c r="AG183" s="91"/>
      <c r="AP183" s="141"/>
      <c r="AQ183" s="141"/>
    </row>
    <row r="184" ht="15.75" customHeight="1">
      <c r="B184" s="182"/>
      <c r="C184" s="3"/>
      <c r="E184" s="3"/>
      <c r="H184" s="3"/>
      <c r="AG184" s="91"/>
      <c r="AP184" s="141"/>
      <c r="AQ184" s="141"/>
    </row>
    <row r="185" ht="15.75" customHeight="1">
      <c r="B185" s="182"/>
      <c r="C185" s="3"/>
      <c r="E185" s="3"/>
      <c r="H185" s="3"/>
      <c r="AG185" s="91"/>
      <c r="AP185" s="141"/>
      <c r="AQ185" s="141"/>
    </row>
    <row r="186" ht="15.75" customHeight="1">
      <c r="B186" s="182"/>
      <c r="C186" s="3"/>
      <c r="E186" s="3"/>
      <c r="H186" s="3"/>
      <c r="AG186" s="91"/>
      <c r="AP186" s="141"/>
      <c r="AQ186" s="141"/>
    </row>
    <row r="187" ht="15.75" customHeight="1">
      <c r="B187" s="182"/>
      <c r="C187" s="3"/>
      <c r="E187" s="3"/>
      <c r="H187" s="3"/>
      <c r="AG187" s="91"/>
      <c r="AP187" s="141"/>
      <c r="AQ187" s="141"/>
    </row>
    <row r="188" ht="15.75" customHeight="1">
      <c r="B188" s="182"/>
      <c r="C188" s="3"/>
      <c r="E188" s="3"/>
      <c r="H188" s="3"/>
      <c r="AG188" s="91"/>
      <c r="AP188" s="141"/>
      <c r="AQ188" s="141"/>
    </row>
    <row r="189" ht="15.75" customHeight="1">
      <c r="B189" s="182"/>
      <c r="C189" s="3"/>
      <c r="E189" s="3"/>
      <c r="H189" s="3"/>
      <c r="AG189" s="91"/>
      <c r="AP189" s="141"/>
      <c r="AQ189" s="141"/>
    </row>
    <row r="190" ht="15.75" customHeight="1">
      <c r="B190" s="182"/>
      <c r="C190" s="3"/>
      <c r="E190" s="3"/>
      <c r="H190" s="3"/>
      <c r="AG190" s="91"/>
      <c r="AP190" s="141"/>
      <c r="AQ190" s="141"/>
    </row>
    <row r="191" ht="15.75" customHeight="1">
      <c r="B191" s="182"/>
      <c r="C191" s="3"/>
      <c r="E191" s="3"/>
      <c r="H191" s="3"/>
      <c r="AG191" s="91"/>
      <c r="AP191" s="141"/>
      <c r="AQ191" s="141"/>
    </row>
    <row r="192" ht="15.75" customHeight="1">
      <c r="B192" s="182"/>
      <c r="C192" s="3"/>
      <c r="E192" s="3"/>
      <c r="H192" s="3"/>
      <c r="AG192" s="91"/>
      <c r="AP192" s="141"/>
      <c r="AQ192" s="141"/>
    </row>
    <row r="193" ht="15.75" customHeight="1">
      <c r="B193" s="182"/>
      <c r="C193" s="3"/>
      <c r="E193" s="3"/>
      <c r="H193" s="3"/>
      <c r="AG193" s="91"/>
      <c r="AP193" s="141"/>
      <c r="AQ193" s="141"/>
    </row>
    <row r="194" ht="15.75" customHeight="1">
      <c r="B194" s="182"/>
      <c r="C194" s="3"/>
      <c r="E194" s="3"/>
      <c r="H194" s="3"/>
      <c r="AG194" s="91"/>
      <c r="AP194" s="141"/>
      <c r="AQ194" s="141"/>
    </row>
    <row r="195" ht="15.75" customHeight="1">
      <c r="B195" s="182"/>
      <c r="C195" s="3"/>
      <c r="E195" s="3"/>
      <c r="H195" s="3"/>
      <c r="AG195" s="91"/>
      <c r="AP195" s="141"/>
      <c r="AQ195" s="141"/>
    </row>
    <row r="196" ht="15.75" customHeight="1">
      <c r="B196" s="182"/>
      <c r="C196" s="3"/>
      <c r="E196" s="3"/>
      <c r="H196" s="3"/>
      <c r="AG196" s="91"/>
      <c r="AP196" s="141"/>
      <c r="AQ196" s="141"/>
    </row>
    <row r="197" ht="15.75" customHeight="1">
      <c r="B197" s="182"/>
      <c r="C197" s="3"/>
      <c r="E197" s="3"/>
      <c r="H197" s="3"/>
      <c r="AG197" s="91"/>
      <c r="AP197" s="141"/>
      <c r="AQ197" s="141"/>
    </row>
    <row r="198" ht="15.75" customHeight="1">
      <c r="B198" s="182"/>
      <c r="C198" s="3"/>
      <c r="E198" s="3"/>
      <c r="H198" s="3"/>
      <c r="AG198" s="91"/>
      <c r="AP198" s="141"/>
      <c r="AQ198" s="141"/>
    </row>
    <row r="199" ht="15.75" customHeight="1">
      <c r="B199" s="182"/>
      <c r="C199" s="3"/>
      <c r="E199" s="3"/>
      <c r="H199" s="3"/>
      <c r="AG199" s="91"/>
      <c r="AP199" s="141"/>
      <c r="AQ199" s="141"/>
    </row>
    <row r="200" ht="15.75" customHeight="1">
      <c r="B200" s="182"/>
      <c r="C200" s="3"/>
      <c r="E200" s="3"/>
      <c r="H200" s="3"/>
      <c r="AG200" s="91"/>
      <c r="AP200" s="141"/>
      <c r="AQ200" s="141"/>
    </row>
    <row r="201" ht="15.75" customHeight="1">
      <c r="B201" s="182"/>
      <c r="C201" s="3"/>
      <c r="E201" s="3"/>
      <c r="H201" s="3"/>
      <c r="AG201" s="91"/>
      <c r="AP201" s="141"/>
      <c r="AQ201" s="141"/>
    </row>
    <row r="202" ht="15.75" customHeight="1">
      <c r="B202" s="182"/>
      <c r="C202" s="3"/>
      <c r="E202" s="3"/>
      <c r="H202" s="3"/>
      <c r="AG202" s="91"/>
      <c r="AP202" s="141"/>
      <c r="AQ202" s="141"/>
    </row>
    <row r="203" ht="15.75" customHeight="1">
      <c r="B203" s="182"/>
      <c r="C203" s="3"/>
      <c r="E203" s="3"/>
      <c r="H203" s="3"/>
      <c r="AG203" s="91"/>
      <c r="AP203" s="141"/>
      <c r="AQ203" s="141"/>
    </row>
    <row r="204" ht="15.75" customHeight="1">
      <c r="B204" s="182"/>
      <c r="C204" s="3"/>
      <c r="E204" s="3"/>
      <c r="H204" s="3"/>
      <c r="AG204" s="91"/>
      <c r="AP204" s="141"/>
      <c r="AQ204" s="141"/>
    </row>
    <row r="205" ht="15.75" customHeight="1">
      <c r="B205" s="182"/>
      <c r="C205" s="3"/>
      <c r="E205" s="3"/>
      <c r="H205" s="3"/>
      <c r="AG205" s="91"/>
      <c r="AP205" s="141"/>
      <c r="AQ205" s="141"/>
    </row>
    <row r="206" ht="15.75" customHeight="1">
      <c r="B206" s="182"/>
      <c r="C206" s="3"/>
      <c r="E206" s="3"/>
      <c r="H206" s="3"/>
      <c r="AG206" s="91"/>
      <c r="AP206" s="141"/>
      <c r="AQ206" s="141"/>
    </row>
    <row r="207" ht="15.75" customHeight="1">
      <c r="B207" s="182"/>
      <c r="C207" s="3"/>
      <c r="E207" s="3"/>
      <c r="H207" s="3"/>
      <c r="AG207" s="91"/>
      <c r="AP207" s="141"/>
      <c r="AQ207" s="141"/>
    </row>
    <row r="208" ht="15.75" customHeight="1">
      <c r="B208" s="182"/>
      <c r="C208" s="3"/>
      <c r="E208" s="3"/>
      <c r="H208" s="3"/>
      <c r="AG208" s="91"/>
      <c r="AP208" s="141"/>
      <c r="AQ208" s="141"/>
    </row>
    <row r="209" ht="15.75" customHeight="1">
      <c r="B209" s="182"/>
      <c r="C209" s="3"/>
      <c r="E209" s="3"/>
      <c r="H209" s="3"/>
      <c r="AG209" s="91"/>
      <c r="AP209" s="141"/>
      <c r="AQ209" s="141"/>
    </row>
    <row r="210" ht="15.75" customHeight="1">
      <c r="B210" s="182"/>
      <c r="C210" s="3"/>
      <c r="E210" s="3"/>
      <c r="H210" s="3"/>
      <c r="AG210" s="91"/>
      <c r="AP210" s="141"/>
      <c r="AQ210" s="141"/>
    </row>
    <row r="211" ht="15.75" customHeight="1">
      <c r="B211" s="182"/>
      <c r="C211" s="3"/>
      <c r="E211" s="3"/>
      <c r="H211" s="3"/>
      <c r="AG211" s="91"/>
      <c r="AP211" s="141"/>
      <c r="AQ211" s="141"/>
    </row>
    <row r="212" ht="15.75" customHeight="1">
      <c r="B212" s="182"/>
      <c r="C212" s="3"/>
      <c r="E212" s="3"/>
      <c r="H212" s="3"/>
      <c r="AG212" s="91"/>
      <c r="AP212" s="141"/>
      <c r="AQ212" s="141"/>
    </row>
    <row r="213" ht="15.75" customHeight="1">
      <c r="B213" s="182"/>
      <c r="C213" s="3"/>
      <c r="E213" s="3"/>
      <c r="H213" s="3"/>
      <c r="AG213" s="91"/>
      <c r="AP213" s="141"/>
      <c r="AQ213" s="141"/>
    </row>
    <row r="214" ht="15.75" customHeight="1">
      <c r="B214" s="182"/>
      <c r="C214" s="3"/>
      <c r="E214" s="3"/>
      <c r="H214" s="3"/>
      <c r="AG214" s="91"/>
      <c r="AP214" s="141"/>
      <c r="AQ214" s="141"/>
    </row>
    <row r="215" ht="15.75" customHeight="1">
      <c r="B215" s="182"/>
      <c r="C215" s="3"/>
      <c r="E215" s="3"/>
      <c r="H215" s="3"/>
      <c r="AG215" s="91"/>
      <c r="AP215" s="141"/>
      <c r="AQ215" s="141"/>
    </row>
    <row r="216" ht="15.75" customHeight="1">
      <c r="B216" s="182"/>
      <c r="C216" s="3"/>
      <c r="E216" s="3"/>
      <c r="H216" s="3"/>
      <c r="AG216" s="91"/>
      <c r="AP216" s="141"/>
      <c r="AQ216" s="141"/>
    </row>
    <row r="217" ht="15.75" customHeight="1">
      <c r="B217" s="182"/>
      <c r="C217" s="3"/>
      <c r="E217" s="3"/>
      <c r="H217" s="3"/>
      <c r="AG217" s="91"/>
      <c r="AP217" s="141"/>
      <c r="AQ217" s="141"/>
    </row>
    <row r="218" ht="15.75" customHeight="1">
      <c r="B218" s="182"/>
      <c r="C218" s="3"/>
      <c r="E218" s="3"/>
      <c r="H218" s="3"/>
      <c r="AG218" s="91"/>
      <c r="AP218" s="141"/>
      <c r="AQ218" s="141"/>
    </row>
    <row r="219" ht="15.75" customHeight="1">
      <c r="B219" s="182"/>
      <c r="C219" s="3"/>
      <c r="E219" s="3"/>
      <c r="H219" s="3"/>
      <c r="AG219" s="91"/>
      <c r="AP219" s="141"/>
      <c r="AQ219" s="141"/>
    </row>
    <row r="220" ht="15.75" customHeight="1">
      <c r="B220" s="182"/>
      <c r="C220" s="3"/>
      <c r="E220" s="3"/>
      <c r="H220" s="3"/>
      <c r="AG220" s="91"/>
      <c r="AP220" s="141"/>
      <c r="AQ220" s="141"/>
    </row>
    <row r="221" ht="15.75" customHeight="1">
      <c r="B221" s="182"/>
      <c r="C221" s="3"/>
      <c r="E221" s="3"/>
      <c r="H221" s="3"/>
      <c r="AG221" s="91"/>
      <c r="AP221" s="141"/>
      <c r="AQ221" s="141"/>
    </row>
    <row r="222" ht="15.75" customHeight="1">
      <c r="B222" s="182"/>
      <c r="C222" s="3"/>
      <c r="E222" s="3"/>
      <c r="H222" s="3"/>
      <c r="AG222" s="91"/>
      <c r="AP222" s="141"/>
      <c r="AQ222" s="141"/>
    </row>
    <row r="223" ht="15.75" customHeight="1">
      <c r="B223" s="182"/>
      <c r="C223" s="3"/>
      <c r="E223" s="3"/>
      <c r="H223" s="3"/>
      <c r="AG223" s="91"/>
      <c r="AP223" s="141"/>
      <c r="AQ223" s="141"/>
    </row>
    <row r="224" ht="15.75" customHeight="1">
      <c r="B224" s="182"/>
      <c r="C224" s="3"/>
      <c r="E224" s="3"/>
      <c r="H224" s="3"/>
      <c r="AG224" s="91"/>
      <c r="AP224" s="141"/>
      <c r="AQ224" s="141"/>
    </row>
    <row r="225" ht="15.75" customHeight="1">
      <c r="B225" s="182"/>
      <c r="C225" s="3"/>
      <c r="E225" s="3"/>
      <c r="H225" s="3"/>
      <c r="AG225" s="91"/>
      <c r="AP225" s="141"/>
      <c r="AQ225" s="141"/>
    </row>
    <row r="226" ht="15.75" customHeight="1">
      <c r="B226" s="182"/>
      <c r="C226" s="3"/>
      <c r="E226" s="3"/>
      <c r="H226" s="3"/>
      <c r="AG226" s="91"/>
      <c r="AP226" s="141"/>
      <c r="AQ226" s="141"/>
    </row>
    <row r="227" ht="15.75" customHeight="1">
      <c r="B227" s="182"/>
      <c r="C227" s="3"/>
      <c r="E227" s="3"/>
      <c r="H227" s="3"/>
      <c r="AG227" s="91"/>
      <c r="AP227" s="141"/>
      <c r="AQ227" s="141"/>
    </row>
    <row r="228" ht="15.75" customHeight="1">
      <c r="B228" s="182"/>
      <c r="C228" s="3"/>
      <c r="E228" s="3"/>
      <c r="H228" s="3"/>
      <c r="AG228" s="91"/>
      <c r="AP228" s="141"/>
      <c r="AQ228" s="141"/>
    </row>
    <row r="229" ht="15.75" customHeight="1">
      <c r="B229" s="182"/>
      <c r="C229" s="3"/>
      <c r="E229" s="3"/>
      <c r="H229" s="3"/>
      <c r="AG229" s="91"/>
      <c r="AP229" s="141"/>
      <c r="AQ229" s="141"/>
    </row>
    <row r="230" ht="15.75" customHeight="1">
      <c r="B230" s="182"/>
      <c r="C230" s="3"/>
      <c r="E230" s="3"/>
      <c r="H230" s="3"/>
      <c r="AG230" s="91"/>
      <c r="AP230" s="141"/>
      <c r="AQ230" s="141"/>
    </row>
    <row r="231" ht="15.75" customHeight="1">
      <c r="B231" s="182"/>
      <c r="C231" s="3"/>
      <c r="E231" s="3"/>
      <c r="H231" s="3"/>
      <c r="AG231" s="91"/>
      <c r="AP231" s="141"/>
      <c r="AQ231" s="141"/>
    </row>
    <row r="232" ht="15.75" customHeight="1">
      <c r="B232" s="182"/>
      <c r="C232" s="3"/>
      <c r="E232" s="3"/>
      <c r="H232" s="3"/>
      <c r="AG232" s="91"/>
      <c r="AP232" s="141"/>
      <c r="AQ232" s="141"/>
    </row>
    <row r="233" ht="15.75" customHeight="1">
      <c r="B233" s="182"/>
      <c r="C233" s="3"/>
      <c r="E233" s="3"/>
      <c r="H233" s="3"/>
      <c r="AG233" s="91"/>
      <c r="AP233" s="141"/>
      <c r="AQ233" s="141"/>
    </row>
    <row r="234" ht="15.75" customHeight="1">
      <c r="B234" s="182"/>
      <c r="C234" s="3"/>
      <c r="E234" s="3"/>
      <c r="H234" s="3"/>
      <c r="AG234" s="91"/>
      <c r="AP234" s="141"/>
      <c r="AQ234" s="141"/>
    </row>
    <row r="235" ht="15.75" customHeight="1">
      <c r="B235" s="182"/>
      <c r="C235" s="3"/>
      <c r="E235" s="3"/>
      <c r="H235" s="3"/>
      <c r="AG235" s="91"/>
      <c r="AP235" s="141"/>
      <c r="AQ235" s="141"/>
    </row>
    <row r="236" ht="15.75" customHeight="1">
      <c r="B236" s="182"/>
      <c r="C236" s="3"/>
      <c r="E236" s="3"/>
      <c r="H236" s="3"/>
      <c r="AG236" s="91"/>
      <c r="AP236" s="141"/>
      <c r="AQ236" s="141"/>
    </row>
    <row r="237" ht="15.75" customHeight="1">
      <c r="B237" s="182"/>
      <c r="C237" s="3"/>
      <c r="E237" s="3"/>
      <c r="H237" s="3"/>
      <c r="AG237" s="91"/>
      <c r="AP237" s="141"/>
      <c r="AQ237" s="141"/>
    </row>
    <row r="238" ht="15.75" customHeight="1">
      <c r="B238" s="182"/>
      <c r="C238" s="3"/>
      <c r="E238" s="3"/>
      <c r="H238" s="3"/>
      <c r="AG238" s="91"/>
      <c r="AP238" s="141"/>
      <c r="AQ238" s="141"/>
    </row>
    <row r="239" ht="15.75" customHeight="1">
      <c r="B239" s="182"/>
      <c r="C239" s="3"/>
      <c r="E239" s="3"/>
      <c r="H239" s="3"/>
      <c r="AG239" s="91"/>
      <c r="AP239" s="141"/>
      <c r="AQ239" s="141"/>
    </row>
    <row r="240" ht="15.75" customHeight="1">
      <c r="B240" s="182"/>
      <c r="C240" s="3"/>
      <c r="E240" s="3"/>
      <c r="H240" s="3"/>
      <c r="AG240" s="91"/>
      <c r="AP240" s="141"/>
      <c r="AQ240" s="141"/>
    </row>
    <row r="241" ht="15.75" customHeight="1">
      <c r="B241" s="182"/>
      <c r="C241" s="3"/>
      <c r="E241" s="3"/>
      <c r="H241" s="3"/>
      <c r="AG241" s="91"/>
      <c r="AP241" s="141"/>
      <c r="AQ241" s="141"/>
    </row>
    <row r="242" ht="15.75" customHeight="1">
      <c r="B242" s="182"/>
      <c r="C242" s="3"/>
      <c r="E242" s="3"/>
      <c r="H242" s="3"/>
      <c r="AG242" s="91"/>
      <c r="AP242" s="141"/>
      <c r="AQ242" s="141"/>
    </row>
    <row r="243" ht="15.75" customHeight="1">
      <c r="B243" s="182"/>
      <c r="C243" s="3"/>
      <c r="E243" s="3"/>
      <c r="H243" s="3"/>
      <c r="AG243" s="91"/>
      <c r="AP243" s="141"/>
      <c r="AQ243" s="141"/>
    </row>
    <row r="244" ht="15.75" customHeight="1">
      <c r="B244" s="182"/>
      <c r="C244" s="3"/>
      <c r="E244" s="3"/>
      <c r="H244" s="3"/>
      <c r="AG244" s="91"/>
      <c r="AP244" s="141"/>
      <c r="AQ244" s="141"/>
    </row>
    <row r="245" ht="15.75" customHeight="1">
      <c r="B245" s="182"/>
      <c r="C245" s="3"/>
      <c r="E245" s="3"/>
      <c r="H245" s="3"/>
      <c r="AG245" s="91"/>
      <c r="AP245" s="141"/>
      <c r="AQ245" s="141"/>
    </row>
    <row r="246" ht="15.75" customHeight="1">
      <c r="B246" s="182"/>
      <c r="C246" s="3"/>
      <c r="E246" s="3"/>
      <c r="H246" s="3"/>
      <c r="AG246" s="91"/>
      <c r="AP246" s="141"/>
      <c r="AQ246" s="141"/>
    </row>
    <row r="247" ht="15.75" customHeight="1">
      <c r="B247" s="182"/>
      <c r="C247" s="3"/>
      <c r="E247" s="3"/>
      <c r="H247" s="3"/>
      <c r="AG247" s="91"/>
      <c r="AP247" s="141"/>
      <c r="AQ247" s="141"/>
    </row>
    <row r="248" ht="15.75" customHeight="1">
      <c r="B248" s="182"/>
      <c r="C248" s="3"/>
      <c r="E248" s="3"/>
      <c r="H248" s="3"/>
      <c r="AG248" s="91"/>
      <c r="AP248" s="141"/>
      <c r="AQ248" s="141"/>
    </row>
    <row r="249" ht="15.75" customHeight="1">
      <c r="B249" s="182"/>
      <c r="C249" s="3"/>
      <c r="E249" s="3"/>
      <c r="H249" s="3"/>
      <c r="AG249" s="91"/>
      <c r="AP249" s="141"/>
      <c r="AQ249" s="141"/>
    </row>
    <row r="250" ht="15.75" customHeight="1">
      <c r="B250" s="182"/>
      <c r="C250" s="3"/>
      <c r="E250" s="3"/>
      <c r="H250" s="3"/>
      <c r="AG250" s="91"/>
      <c r="AP250" s="141"/>
      <c r="AQ250" s="141"/>
    </row>
    <row r="251" ht="15.75" customHeight="1">
      <c r="B251" s="182"/>
      <c r="C251" s="3"/>
      <c r="E251" s="3"/>
      <c r="H251" s="3"/>
      <c r="AG251" s="91"/>
      <c r="AP251" s="141"/>
      <c r="AQ251" s="141"/>
    </row>
    <row r="252" ht="15.75" customHeight="1">
      <c r="B252" s="182"/>
      <c r="C252" s="3"/>
      <c r="E252" s="3"/>
      <c r="H252" s="3"/>
      <c r="AG252" s="91"/>
      <c r="AP252" s="141"/>
      <c r="AQ252" s="141"/>
    </row>
    <row r="253" ht="15.75" customHeight="1">
      <c r="B253" s="182"/>
      <c r="C253" s="3"/>
      <c r="E253" s="3"/>
      <c r="H253" s="3"/>
      <c r="AG253" s="91"/>
      <c r="AP253" s="141"/>
      <c r="AQ253" s="141"/>
    </row>
    <row r="254" ht="15.75" customHeight="1">
      <c r="B254" s="182"/>
      <c r="C254" s="3"/>
      <c r="E254" s="3"/>
      <c r="H254" s="3"/>
      <c r="AG254" s="91"/>
      <c r="AP254" s="141"/>
      <c r="AQ254" s="141"/>
    </row>
    <row r="255" ht="15.75" customHeight="1">
      <c r="B255" s="182"/>
      <c r="C255" s="3"/>
      <c r="E255" s="3"/>
      <c r="H255" s="3"/>
      <c r="AG255" s="91"/>
      <c r="AP255" s="141"/>
      <c r="AQ255" s="141"/>
    </row>
    <row r="256" ht="15.75" customHeight="1">
      <c r="B256" s="182"/>
      <c r="C256" s="3"/>
      <c r="E256" s="3"/>
      <c r="H256" s="3"/>
      <c r="AG256" s="91"/>
      <c r="AP256" s="141"/>
      <c r="AQ256" s="141"/>
    </row>
    <row r="257" ht="15.75" customHeight="1">
      <c r="B257" s="182"/>
      <c r="C257" s="3"/>
      <c r="E257" s="3"/>
      <c r="H257" s="3"/>
      <c r="AG257" s="91"/>
      <c r="AP257" s="141"/>
      <c r="AQ257" s="141"/>
    </row>
    <row r="258" ht="15.75" customHeight="1">
      <c r="B258" s="182"/>
      <c r="C258" s="3"/>
      <c r="E258" s="3"/>
      <c r="H258" s="3"/>
      <c r="AG258" s="91"/>
      <c r="AP258" s="141"/>
      <c r="AQ258" s="141"/>
    </row>
    <row r="259" ht="15.75" customHeight="1">
      <c r="B259" s="182"/>
      <c r="C259" s="3"/>
      <c r="E259" s="3"/>
      <c r="H259" s="3"/>
      <c r="AG259" s="91"/>
      <c r="AP259" s="141"/>
      <c r="AQ259" s="141"/>
    </row>
    <row r="260" ht="15.75" customHeight="1">
      <c r="B260" s="182"/>
      <c r="C260" s="3"/>
      <c r="E260" s="3"/>
      <c r="H260" s="3"/>
      <c r="AG260" s="91"/>
      <c r="AP260" s="141"/>
      <c r="AQ260" s="141"/>
    </row>
    <row r="261" ht="15.75" customHeight="1">
      <c r="B261" s="182"/>
      <c r="C261" s="3"/>
      <c r="E261" s="3"/>
      <c r="H261" s="3"/>
      <c r="AG261" s="91"/>
      <c r="AP261" s="141"/>
      <c r="AQ261" s="141"/>
    </row>
    <row r="262" ht="15.75" customHeight="1">
      <c r="B262" s="182"/>
      <c r="C262" s="3"/>
      <c r="E262" s="3"/>
      <c r="H262" s="3"/>
      <c r="AG262" s="91"/>
      <c r="AP262" s="141"/>
      <c r="AQ262" s="141"/>
    </row>
    <row r="263" ht="15.75" customHeight="1">
      <c r="B263" s="182"/>
      <c r="C263" s="3"/>
      <c r="E263" s="3"/>
      <c r="H263" s="3"/>
      <c r="AG263" s="91"/>
      <c r="AP263" s="141"/>
      <c r="AQ263" s="141"/>
    </row>
    <row r="264" ht="15.75" customHeight="1">
      <c r="B264" s="182"/>
      <c r="C264" s="3"/>
      <c r="E264" s="3"/>
      <c r="H264" s="3"/>
      <c r="AG264" s="91"/>
      <c r="AP264" s="141"/>
      <c r="AQ264" s="141"/>
    </row>
    <row r="265" ht="15.75" customHeight="1">
      <c r="B265" s="182"/>
      <c r="C265" s="3"/>
      <c r="E265" s="3"/>
      <c r="H265" s="3"/>
      <c r="AG265" s="91"/>
      <c r="AP265" s="141"/>
      <c r="AQ265" s="141"/>
    </row>
    <row r="266" ht="15.75" customHeight="1">
      <c r="B266" s="182"/>
      <c r="C266" s="3"/>
      <c r="E266" s="3"/>
      <c r="H266" s="3"/>
      <c r="AG266" s="91"/>
      <c r="AP266" s="141"/>
      <c r="AQ266" s="141"/>
    </row>
    <row r="267" ht="15.75" customHeight="1">
      <c r="B267" s="182"/>
      <c r="C267" s="3"/>
      <c r="E267" s="3"/>
      <c r="H267" s="3"/>
      <c r="AG267" s="91"/>
      <c r="AP267" s="141"/>
      <c r="AQ267" s="141"/>
    </row>
    <row r="268" ht="15.75" customHeight="1">
      <c r="B268" s="182"/>
      <c r="C268" s="3"/>
      <c r="E268" s="3"/>
      <c r="H268" s="3"/>
      <c r="AG268" s="91"/>
      <c r="AP268" s="141"/>
      <c r="AQ268" s="141"/>
    </row>
    <row r="269" ht="15.75" customHeight="1">
      <c r="B269" s="182"/>
      <c r="C269" s="3"/>
      <c r="E269" s="3"/>
      <c r="H269" s="3"/>
      <c r="AG269" s="91"/>
      <c r="AP269" s="141"/>
      <c r="AQ269" s="141"/>
    </row>
    <row r="270" ht="15.75" customHeight="1">
      <c r="B270" s="182"/>
      <c r="C270" s="3"/>
      <c r="E270" s="3"/>
      <c r="H270" s="3"/>
      <c r="AG270" s="91"/>
      <c r="AP270" s="141"/>
      <c r="AQ270" s="141"/>
    </row>
    <row r="271" ht="15.75" customHeight="1">
      <c r="B271" s="182"/>
      <c r="C271" s="3"/>
      <c r="E271" s="3"/>
      <c r="H271" s="3"/>
      <c r="AG271" s="91"/>
      <c r="AP271" s="141"/>
      <c r="AQ271" s="141"/>
    </row>
    <row r="272" ht="15.75" customHeight="1">
      <c r="B272" s="182"/>
      <c r="C272" s="3"/>
      <c r="E272" s="3"/>
      <c r="H272" s="3"/>
      <c r="AG272" s="91"/>
      <c r="AP272" s="141"/>
      <c r="AQ272" s="141"/>
    </row>
    <row r="273" ht="15.75" customHeight="1">
      <c r="B273" s="182"/>
      <c r="C273" s="3"/>
      <c r="E273" s="3"/>
      <c r="H273" s="3"/>
      <c r="AG273" s="91"/>
      <c r="AP273" s="141"/>
      <c r="AQ273" s="141"/>
    </row>
    <row r="274" ht="15.75" customHeight="1">
      <c r="B274" s="182"/>
      <c r="C274" s="3"/>
      <c r="E274" s="3"/>
      <c r="H274" s="3"/>
      <c r="AG274" s="91"/>
      <c r="AP274" s="141"/>
      <c r="AQ274" s="141"/>
    </row>
    <row r="275" ht="15.75" customHeight="1">
      <c r="B275" s="182"/>
      <c r="C275" s="3"/>
      <c r="E275" s="3"/>
      <c r="H275" s="3"/>
      <c r="AG275" s="91"/>
      <c r="AP275" s="141"/>
      <c r="AQ275" s="141"/>
    </row>
    <row r="276" ht="15.75" customHeight="1">
      <c r="B276" s="182"/>
      <c r="C276" s="3"/>
      <c r="E276" s="3"/>
      <c r="H276" s="3"/>
      <c r="AG276" s="91"/>
      <c r="AP276" s="141"/>
      <c r="AQ276" s="141"/>
    </row>
    <row r="277" ht="15.75" customHeight="1">
      <c r="B277" s="182"/>
      <c r="C277" s="3"/>
      <c r="E277" s="3"/>
      <c r="H277" s="3"/>
      <c r="AG277" s="91"/>
      <c r="AP277" s="141"/>
      <c r="AQ277" s="141"/>
    </row>
    <row r="278" ht="15.75" customHeight="1">
      <c r="B278" s="182"/>
      <c r="C278" s="3"/>
      <c r="E278" s="3"/>
      <c r="H278" s="3"/>
      <c r="AG278" s="91"/>
      <c r="AP278" s="141"/>
      <c r="AQ278" s="141"/>
    </row>
    <row r="279" ht="15.75" customHeight="1">
      <c r="B279" s="182"/>
      <c r="C279" s="3"/>
      <c r="E279" s="3"/>
      <c r="H279" s="3"/>
      <c r="AG279" s="91"/>
      <c r="AP279" s="141"/>
      <c r="AQ279" s="141"/>
    </row>
    <row r="280" ht="15.75" customHeight="1">
      <c r="B280" s="182"/>
      <c r="C280" s="3"/>
      <c r="E280" s="3"/>
      <c r="H280" s="3"/>
      <c r="AG280" s="91"/>
      <c r="AP280" s="141"/>
      <c r="AQ280" s="141"/>
    </row>
    <row r="281" ht="15.75" customHeight="1">
      <c r="B281" s="182"/>
      <c r="C281" s="3"/>
      <c r="E281" s="3"/>
      <c r="H281" s="3"/>
      <c r="AG281" s="91"/>
      <c r="AP281" s="141"/>
      <c r="AQ281" s="141"/>
    </row>
    <row r="282" ht="15.75" customHeight="1">
      <c r="B282" s="182"/>
      <c r="C282" s="3"/>
      <c r="E282" s="3"/>
      <c r="H282" s="3"/>
      <c r="AG282" s="91"/>
      <c r="AP282" s="141"/>
      <c r="AQ282" s="141"/>
    </row>
    <row r="283" ht="15.75" customHeight="1">
      <c r="B283" s="182"/>
      <c r="C283" s="3"/>
      <c r="E283" s="3"/>
      <c r="H283" s="3"/>
      <c r="AG283" s="91"/>
      <c r="AP283" s="141"/>
      <c r="AQ283" s="141"/>
    </row>
    <row r="284" ht="15.75" customHeight="1">
      <c r="B284" s="182"/>
      <c r="C284" s="3"/>
      <c r="E284" s="3"/>
      <c r="H284" s="3"/>
      <c r="AG284" s="91"/>
      <c r="AP284" s="141"/>
      <c r="AQ284" s="141"/>
    </row>
    <row r="285" ht="15.75" customHeight="1">
      <c r="B285" s="182"/>
      <c r="C285" s="3"/>
      <c r="E285" s="3"/>
      <c r="H285" s="3"/>
      <c r="AG285" s="91"/>
      <c r="AP285" s="141"/>
      <c r="AQ285" s="141"/>
    </row>
    <row r="286" ht="15.75" customHeight="1">
      <c r="B286" s="182"/>
      <c r="C286" s="3"/>
      <c r="E286" s="3"/>
      <c r="H286" s="3"/>
      <c r="AG286" s="91"/>
      <c r="AP286" s="141"/>
      <c r="AQ286" s="141"/>
    </row>
    <row r="287" ht="15.75" customHeight="1">
      <c r="B287" s="182"/>
      <c r="C287" s="3"/>
      <c r="E287" s="3"/>
      <c r="H287" s="3"/>
      <c r="AG287" s="91"/>
      <c r="AP287" s="141"/>
      <c r="AQ287" s="141"/>
    </row>
    <row r="288" ht="15.75" customHeight="1">
      <c r="B288" s="182"/>
      <c r="C288" s="3"/>
      <c r="E288" s="3"/>
      <c r="H288" s="3"/>
      <c r="AG288" s="91"/>
      <c r="AP288" s="141"/>
      <c r="AQ288" s="141"/>
    </row>
    <row r="289" ht="15.75" customHeight="1">
      <c r="B289" s="182"/>
      <c r="C289" s="3"/>
      <c r="E289" s="3"/>
      <c r="H289" s="3"/>
      <c r="AG289" s="91"/>
      <c r="AP289" s="141"/>
      <c r="AQ289" s="141"/>
    </row>
    <row r="290" ht="15.75" customHeight="1">
      <c r="B290" s="182"/>
      <c r="C290" s="3"/>
      <c r="E290" s="3"/>
      <c r="H290" s="3"/>
      <c r="AG290" s="91"/>
      <c r="AP290" s="141"/>
      <c r="AQ290" s="141"/>
    </row>
    <row r="291" ht="15.75" customHeight="1">
      <c r="B291" s="182"/>
      <c r="C291" s="3"/>
      <c r="E291" s="3"/>
      <c r="H291" s="3"/>
      <c r="AG291" s="91"/>
      <c r="AP291" s="141"/>
      <c r="AQ291" s="141"/>
    </row>
    <row r="292" ht="15.75" customHeight="1">
      <c r="B292" s="182"/>
      <c r="C292" s="3"/>
      <c r="E292" s="3"/>
      <c r="H292" s="3"/>
      <c r="AG292" s="91"/>
      <c r="AP292" s="141"/>
      <c r="AQ292" s="141"/>
    </row>
    <row r="293" ht="15.75" customHeight="1">
      <c r="B293" s="182"/>
      <c r="C293" s="3"/>
      <c r="E293" s="3"/>
      <c r="H293" s="3"/>
      <c r="AG293" s="91"/>
      <c r="AP293" s="141"/>
      <c r="AQ293" s="141"/>
    </row>
    <row r="294" ht="15.75" customHeight="1">
      <c r="B294" s="182"/>
      <c r="C294" s="3"/>
      <c r="E294" s="3"/>
      <c r="H294" s="3"/>
      <c r="AG294" s="91"/>
      <c r="AP294" s="141"/>
      <c r="AQ294" s="141"/>
    </row>
    <row r="295" ht="15.75" customHeight="1">
      <c r="B295" s="182"/>
      <c r="C295" s="3"/>
      <c r="E295" s="3"/>
      <c r="H295" s="3"/>
      <c r="AG295" s="91"/>
      <c r="AP295" s="141"/>
      <c r="AQ295" s="141"/>
    </row>
    <row r="296" ht="15.75" customHeight="1">
      <c r="B296" s="182"/>
      <c r="C296" s="3"/>
      <c r="E296" s="3"/>
      <c r="H296" s="3"/>
      <c r="AG296" s="91"/>
      <c r="AP296" s="141"/>
      <c r="AQ296" s="141"/>
    </row>
    <row r="297" ht="15.75" customHeight="1">
      <c r="B297" s="182"/>
      <c r="C297" s="3"/>
      <c r="E297" s="3"/>
      <c r="H297" s="3"/>
      <c r="AG297" s="91"/>
      <c r="AP297" s="141"/>
      <c r="AQ297" s="141"/>
    </row>
    <row r="298" ht="15.75" customHeight="1">
      <c r="B298" s="182"/>
      <c r="C298" s="3"/>
      <c r="E298" s="3"/>
      <c r="H298" s="3"/>
      <c r="AG298" s="91"/>
      <c r="AP298" s="141"/>
      <c r="AQ298" s="141"/>
    </row>
    <row r="299" ht="15.75" customHeight="1">
      <c r="B299" s="182"/>
      <c r="C299" s="3"/>
      <c r="E299" s="3"/>
      <c r="H299" s="3"/>
      <c r="AG299" s="91"/>
      <c r="AP299" s="141"/>
      <c r="AQ299" s="141"/>
    </row>
    <row r="300" ht="15.75" customHeight="1">
      <c r="B300" s="182"/>
      <c r="C300" s="3"/>
      <c r="E300" s="3"/>
      <c r="H300" s="3"/>
      <c r="AG300" s="91"/>
      <c r="AP300" s="141"/>
      <c r="AQ300" s="141"/>
    </row>
    <row r="301" ht="15.75" customHeight="1">
      <c r="B301" s="182"/>
      <c r="C301" s="3"/>
      <c r="E301" s="3"/>
      <c r="H301" s="3"/>
      <c r="AG301" s="91"/>
      <c r="AP301" s="141"/>
      <c r="AQ301" s="141"/>
    </row>
    <row r="302" ht="15.75" customHeight="1">
      <c r="B302" s="182"/>
      <c r="C302" s="3"/>
      <c r="E302" s="3"/>
      <c r="H302" s="3"/>
      <c r="AG302" s="91"/>
      <c r="AP302" s="141"/>
      <c r="AQ302" s="141"/>
    </row>
    <row r="303" ht="15.75" customHeight="1">
      <c r="B303" s="182"/>
      <c r="C303" s="3"/>
      <c r="E303" s="3"/>
      <c r="H303" s="3"/>
      <c r="AG303" s="91"/>
      <c r="AP303" s="141"/>
      <c r="AQ303" s="141"/>
    </row>
    <row r="304" ht="15.75" customHeight="1">
      <c r="B304" s="182"/>
      <c r="C304" s="3"/>
      <c r="E304" s="3"/>
      <c r="H304" s="3"/>
      <c r="AG304" s="91"/>
      <c r="AP304" s="141"/>
      <c r="AQ304" s="141"/>
    </row>
    <row r="305" ht="15.75" customHeight="1">
      <c r="B305" s="182"/>
      <c r="C305" s="3"/>
      <c r="E305" s="3"/>
      <c r="H305" s="3"/>
      <c r="AG305" s="91"/>
      <c r="AP305" s="141"/>
      <c r="AQ305" s="141"/>
    </row>
    <row r="306" ht="15.75" customHeight="1">
      <c r="B306" s="182"/>
      <c r="C306" s="3"/>
      <c r="E306" s="3"/>
      <c r="H306" s="3"/>
      <c r="AG306" s="91"/>
      <c r="AP306" s="141"/>
      <c r="AQ306" s="141"/>
    </row>
    <row r="307" ht="15.75" customHeight="1">
      <c r="B307" s="182"/>
      <c r="C307" s="3"/>
      <c r="E307" s="3"/>
      <c r="H307" s="3"/>
      <c r="AG307" s="91"/>
      <c r="AP307" s="141"/>
      <c r="AQ307" s="141"/>
    </row>
    <row r="308" ht="15.75" customHeight="1">
      <c r="B308" s="182"/>
      <c r="C308" s="3"/>
      <c r="E308" s="3"/>
      <c r="H308" s="3"/>
      <c r="AG308" s="91"/>
      <c r="AP308" s="141"/>
      <c r="AQ308" s="141"/>
    </row>
    <row r="309" ht="15.75" customHeight="1">
      <c r="B309" s="182"/>
      <c r="C309" s="3"/>
      <c r="E309" s="3"/>
      <c r="H309" s="3"/>
      <c r="AG309" s="91"/>
      <c r="AP309" s="141"/>
      <c r="AQ309" s="141"/>
    </row>
    <row r="310" ht="15.75" customHeight="1">
      <c r="B310" s="182"/>
      <c r="C310" s="3"/>
      <c r="E310" s="3"/>
      <c r="H310" s="3"/>
      <c r="AG310" s="91"/>
      <c r="AP310" s="141"/>
      <c r="AQ310" s="141"/>
    </row>
    <row r="311" ht="15.75" customHeight="1">
      <c r="B311" s="182"/>
      <c r="C311" s="3"/>
      <c r="E311" s="3"/>
      <c r="H311" s="3"/>
      <c r="AG311" s="91"/>
      <c r="AP311" s="141"/>
      <c r="AQ311" s="141"/>
    </row>
    <row r="312" ht="15.75" customHeight="1">
      <c r="B312" s="182"/>
      <c r="C312" s="3"/>
      <c r="E312" s="3"/>
      <c r="H312" s="3"/>
      <c r="AG312" s="91"/>
      <c r="AP312" s="141"/>
      <c r="AQ312" s="141"/>
    </row>
    <row r="313" ht="15.75" customHeight="1">
      <c r="B313" s="182"/>
      <c r="C313" s="3"/>
      <c r="E313" s="3"/>
      <c r="H313" s="3"/>
      <c r="AG313" s="91"/>
      <c r="AP313" s="141"/>
      <c r="AQ313" s="141"/>
    </row>
    <row r="314" ht="15.75" customHeight="1">
      <c r="B314" s="182"/>
      <c r="C314" s="3"/>
      <c r="E314" s="3"/>
      <c r="H314" s="3"/>
      <c r="AG314" s="91"/>
      <c r="AP314" s="141"/>
      <c r="AQ314" s="141"/>
    </row>
    <row r="315" ht="15.75" customHeight="1">
      <c r="B315" s="182"/>
      <c r="C315" s="3"/>
      <c r="E315" s="3"/>
      <c r="H315" s="3"/>
      <c r="AG315" s="91"/>
      <c r="AP315" s="141"/>
      <c r="AQ315" s="141"/>
    </row>
    <row r="316" ht="15.75" customHeight="1">
      <c r="B316" s="182"/>
      <c r="C316" s="3"/>
      <c r="E316" s="3"/>
      <c r="H316" s="3"/>
      <c r="AG316" s="91"/>
      <c r="AP316" s="141"/>
      <c r="AQ316" s="141"/>
    </row>
    <row r="317" ht="15.75" customHeight="1">
      <c r="B317" s="182"/>
      <c r="C317" s="3"/>
      <c r="E317" s="3"/>
      <c r="H317" s="3"/>
      <c r="AG317" s="91"/>
      <c r="AP317" s="141"/>
      <c r="AQ317" s="141"/>
    </row>
    <row r="318" ht="15.75" customHeight="1">
      <c r="B318" s="182"/>
      <c r="C318" s="3"/>
      <c r="E318" s="3"/>
      <c r="H318" s="3"/>
      <c r="AG318" s="91"/>
      <c r="AP318" s="141"/>
      <c r="AQ318" s="141"/>
    </row>
    <row r="319" ht="15.75" customHeight="1">
      <c r="B319" s="182"/>
      <c r="C319" s="3"/>
      <c r="E319" s="3"/>
      <c r="H319" s="3"/>
      <c r="AG319" s="91"/>
      <c r="AP319" s="141"/>
      <c r="AQ319" s="141"/>
    </row>
    <row r="320" ht="15.75" customHeight="1">
      <c r="B320" s="182"/>
      <c r="C320" s="3"/>
      <c r="E320" s="3"/>
      <c r="H320" s="3"/>
      <c r="AG320" s="91"/>
      <c r="AP320" s="141"/>
      <c r="AQ320" s="141"/>
    </row>
    <row r="321" ht="15.75" customHeight="1">
      <c r="B321" s="182"/>
      <c r="C321" s="3"/>
      <c r="E321" s="3"/>
      <c r="H321" s="3"/>
      <c r="AG321" s="91"/>
      <c r="AP321" s="141"/>
      <c r="AQ321" s="141"/>
    </row>
    <row r="322" ht="15.75" customHeight="1">
      <c r="B322" s="182"/>
      <c r="C322" s="3"/>
      <c r="E322" s="3"/>
      <c r="H322" s="3"/>
      <c r="AG322" s="91"/>
      <c r="AP322" s="141"/>
      <c r="AQ322" s="141"/>
    </row>
    <row r="323" ht="15.75" customHeight="1">
      <c r="B323" s="182"/>
      <c r="C323" s="3"/>
      <c r="E323" s="3"/>
      <c r="H323" s="3"/>
      <c r="AG323" s="91"/>
      <c r="AP323" s="141"/>
      <c r="AQ323" s="141"/>
    </row>
    <row r="324" ht="15.75" customHeight="1">
      <c r="B324" s="182"/>
      <c r="C324" s="3"/>
      <c r="E324" s="3"/>
      <c r="H324" s="3"/>
      <c r="AG324" s="91"/>
      <c r="AP324" s="141"/>
      <c r="AQ324" s="141"/>
    </row>
    <row r="325" ht="15.75" customHeight="1">
      <c r="B325" s="182"/>
      <c r="C325" s="3"/>
      <c r="E325" s="3"/>
      <c r="H325" s="3"/>
      <c r="AG325" s="91"/>
      <c r="AP325" s="141"/>
      <c r="AQ325" s="141"/>
    </row>
    <row r="326" ht="15.75" customHeight="1">
      <c r="B326" s="182"/>
      <c r="C326" s="3"/>
      <c r="E326" s="3"/>
      <c r="H326" s="3"/>
      <c r="AG326" s="91"/>
      <c r="AP326" s="141"/>
      <c r="AQ326" s="141"/>
    </row>
    <row r="327" ht="15.75" customHeight="1">
      <c r="B327" s="182"/>
      <c r="C327" s="3"/>
      <c r="E327" s="3"/>
      <c r="H327" s="3"/>
      <c r="AG327" s="91"/>
      <c r="AP327" s="141"/>
      <c r="AQ327" s="141"/>
    </row>
    <row r="328" ht="15.75" customHeight="1">
      <c r="B328" s="182"/>
      <c r="C328" s="3"/>
      <c r="E328" s="3"/>
      <c r="H328" s="3"/>
      <c r="AG328" s="91"/>
      <c r="AP328" s="141"/>
      <c r="AQ328" s="141"/>
    </row>
    <row r="329" ht="15.75" customHeight="1">
      <c r="B329" s="182"/>
      <c r="C329" s="3"/>
      <c r="E329" s="3"/>
      <c r="H329" s="3"/>
      <c r="AG329" s="91"/>
      <c r="AP329" s="141"/>
      <c r="AQ329" s="141"/>
    </row>
    <row r="330" ht="15.75" customHeight="1">
      <c r="B330" s="182"/>
      <c r="C330" s="3"/>
      <c r="E330" s="3"/>
      <c r="H330" s="3"/>
      <c r="AG330" s="91"/>
      <c r="AP330" s="141"/>
      <c r="AQ330" s="141"/>
    </row>
    <row r="331" ht="15.75" customHeight="1">
      <c r="B331" s="182"/>
      <c r="C331" s="3"/>
      <c r="E331" s="3"/>
      <c r="H331" s="3"/>
      <c r="AG331" s="91"/>
      <c r="AP331" s="141"/>
      <c r="AQ331" s="141"/>
    </row>
    <row r="332" ht="15.75" customHeight="1">
      <c r="B332" s="182"/>
      <c r="C332" s="3"/>
      <c r="E332" s="3"/>
      <c r="H332" s="3"/>
      <c r="AG332" s="91"/>
      <c r="AP332" s="141"/>
      <c r="AQ332" s="141"/>
    </row>
    <row r="333" ht="15.75" customHeight="1">
      <c r="B333" s="182"/>
      <c r="C333" s="3"/>
      <c r="E333" s="3"/>
      <c r="H333" s="3"/>
      <c r="AG333" s="91"/>
      <c r="AP333" s="141"/>
      <c r="AQ333" s="141"/>
    </row>
    <row r="334" ht="15.75" customHeight="1">
      <c r="B334" s="182"/>
      <c r="C334" s="3"/>
      <c r="E334" s="3"/>
      <c r="H334" s="3"/>
      <c r="AG334" s="91"/>
      <c r="AP334" s="141"/>
      <c r="AQ334" s="141"/>
    </row>
    <row r="335" ht="15.75" customHeight="1">
      <c r="B335" s="182"/>
      <c r="C335" s="3"/>
      <c r="E335" s="3"/>
      <c r="H335" s="3"/>
      <c r="AG335" s="91"/>
      <c r="AP335" s="141"/>
      <c r="AQ335" s="141"/>
    </row>
    <row r="336" ht="15.75" customHeight="1">
      <c r="B336" s="182"/>
      <c r="C336" s="3"/>
      <c r="E336" s="3"/>
      <c r="H336" s="3"/>
      <c r="AG336" s="91"/>
      <c r="AP336" s="141"/>
      <c r="AQ336" s="141"/>
    </row>
    <row r="337" ht="15.75" customHeight="1">
      <c r="B337" s="182"/>
      <c r="C337" s="3"/>
      <c r="E337" s="3"/>
      <c r="H337" s="3"/>
      <c r="AG337" s="91"/>
      <c r="AP337" s="141"/>
      <c r="AQ337" s="141"/>
    </row>
    <row r="338" ht="15.75" customHeight="1">
      <c r="B338" s="182"/>
      <c r="C338" s="3"/>
      <c r="E338" s="3"/>
      <c r="H338" s="3"/>
      <c r="AG338" s="91"/>
      <c r="AP338" s="141"/>
      <c r="AQ338" s="141"/>
    </row>
    <row r="339" ht="15.75" customHeight="1">
      <c r="B339" s="182"/>
      <c r="C339" s="3"/>
      <c r="E339" s="3"/>
      <c r="H339" s="3"/>
      <c r="AG339" s="91"/>
      <c r="AP339" s="141"/>
      <c r="AQ339" s="141"/>
    </row>
    <row r="340" ht="15.75" customHeight="1">
      <c r="B340" s="182"/>
      <c r="C340" s="3"/>
      <c r="E340" s="3"/>
      <c r="H340" s="3"/>
      <c r="AG340" s="91"/>
      <c r="AP340" s="141"/>
      <c r="AQ340" s="141"/>
    </row>
    <row r="341" ht="15.75" customHeight="1">
      <c r="B341" s="182"/>
      <c r="C341" s="3"/>
      <c r="E341" s="3"/>
      <c r="H341" s="3"/>
      <c r="AG341" s="91"/>
      <c r="AP341" s="141"/>
      <c r="AQ341" s="141"/>
    </row>
    <row r="342" ht="15.75" customHeight="1">
      <c r="B342" s="182"/>
      <c r="C342" s="3"/>
      <c r="E342" s="3"/>
      <c r="H342" s="3"/>
      <c r="AG342" s="91"/>
      <c r="AP342" s="141"/>
      <c r="AQ342" s="141"/>
    </row>
    <row r="343" ht="15.75" customHeight="1">
      <c r="B343" s="182"/>
      <c r="C343" s="3"/>
      <c r="E343" s="3"/>
      <c r="H343" s="3"/>
      <c r="AG343" s="91"/>
      <c r="AP343" s="141"/>
      <c r="AQ343" s="141"/>
    </row>
    <row r="344" ht="15.75" customHeight="1">
      <c r="B344" s="182"/>
      <c r="C344" s="3"/>
      <c r="E344" s="3"/>
      <c r="H344" s="3"/>
      <c r="AG344" s="91"/>
      <c r="AP344" s="141"/>
      <c r="AQ344" s="141"/>
    </row>
    <row r="345" ht="15.75" customHeight="1">
      <c r="B345" s="182"/>
      <c r="C345" s="3"/>
      <c r="E345" s="3"/>
      <c r="H345" s="3"/>
      <c r="AG345" s="91"/>
      <c r="AP345" s="141"/>
      <c r="AQ345" s="141"/>
    </row>
    <row r="346" ht="15.75" customHeight="1">
      <c r="B346" s="182"/>
      <c r="C346" s="3"/>
      <c r="E346" s="3"/>
      <c r="H346" s="3"/>
      <c r="AG346" s="91"/>
      <c r="AP346" s="141"/>
      <c r="AQ346" s="141"/>
    </row>
    <row r="347" ht="15.75" customHeight="1">
      <c r="B347" s="182"/>
      <c r="C347" s="3"/>
      <c r="E347" s="3"/>
      <c r="H347" s="3"/>
      <c r="AG347" s="91"/>
      <c r="AP347" s="141"/>
      <c r="AQ347" s="141"/>
    </row>
    <row r="348" ht="15.75" customHeight="1">
      <c r="B348" s="182"/>
      <c r="C348" s="3"/>
      <c r="E348" s="3"/>
      <c r="H348" s="3"/>
      <c r="AG348" s="91"/>
      <c r="AP348" s="141"/>
      <c r="AQ348" s="141"/>
    </row>
    <row r="349" ht="15.75" customHeight="1">
      <c r="B349" s="182"/>
      <c r="C349" s="3"/>
      <c r="E349" s="3"/>
      <c r="H349" s="3"/>
      <c r="AG349" s="91"/>
      <c r="AP349" s="141"/>
      <c r="AQ349" s="141"/>
    </row>
    <row r="350" ht="15.75" customHeight="1">
      <c r="B350" s="182"/>
      <c r="C350" s="3"/>
      <c r="E350" s="3"/>
      <c r="H350" s="3"/>
      <c r="AG350" s="91"/>
      <c r="AP350" s="141"/>
      <c r="AQ350" s="141"/>
    </row>
    <row r="351" ht="15.75" customHeight="1">
      <c r="B351" s="182"/>
      <c r="C351" s="3"/>
      <c r="E351" s="3"/>
      <c r="H351" s="3"/>
      <c r="AG351" s="91"/>
      <c r="AP351" s="141"/>
      <c r="AQ351" s="141"/>
    </row>
    <row r="352" ht="15.75" customHeight="1">
      <c r="B352" s="182"/>
      <c r="C352" s="3"/>
      <c r="E352" s="3"/>
      <c r="H352" s="3"/>
      <c r="AG352" s="91"/>
      <c r="AP352" s="141"/>
      <c r="AQ352" s="141"/>
    </row>
    <row r="353" ht="15.75" customHeight="1">
      <c r="B353" s="182"/>
      <c r="C353" s="3"/>
      <c r="E353" s="3"/>
      <c r="H353" s="3"/>
      <c r="AG353" s="91"/>
      <c r="AP353" s="141"/>
      <c r="AQ353" s="141"/>
    </row>
    <row r="354" ht="15.75" customHeight="1">
      <c r="B354" s="182"/>
      <c r="C354" s="3"/>
      <c r="E354" s="3"/>
      <c r="H354" s="3"/>
      <c r="AG354" s="91"/>
      <c r="AP354" s="141"/>
      <c r="AQ354" s="141"/>
    </row>
    <row r="355" ht="15.75" customHeight="1">
      <c r="B355" s="182"/>
      <c r="C355" s="3"/>
      <c r="E355" s="3"/>
      <c r="H355" s="3"/>
      <c r="AG355" s="91"/>
      <c r="AP355" s="141"/>
      <c r="AQ355" s="141"/>
    </row>
    <row r="356" ht="15.75" customHeight="1">
      <c r="B356" s="182"/>
      <c r="C356" s="3"/>
      <c r="E356" s="3"/>
      <c r="H356" s="3"/>
      <c r="AG356" s="91"/>
      <c r="AP356" s="141"/>
      <c r="AQ356" s="141"/>
    </row>
    <row r="357" ht="15.75" customHeight="1">
      <c r="B357" s="182"/>
      <c r="C357" s="3"/>
      <c r="E357" s="3"/>
      <c r="H357" s="3"/>
      <c r="AG357" s="91"/>
      <c r="AP357" s="141"/>
      <c r="AQ357" s="141"/>
    </row>
    <row r="358" ht="15.75" customHeight="1">
      <c r="B358" s="182"/>
      <c r="C358" s="3"/>
      <c r="E358" s="3"/>
      <c r="H358" s="3"/>
      <c r="AG358" s="91"/>
      <c r="AP358" s="141"/>
      <c r="AQ358" s="141"/>
    </row>
    <row r="359" ht="15.75" customHeight="1">
      <c r="B359" s="182"/>
      <c r="C359" s="3"/>
      <c r="E359" s="3"/>
      <c r="H359" s="3"/>
      <c r="AG359" s="91"/>
      <c r="AP359" s="141"/>
      <c r="AQ359" s="141"/>
    </row>
    <row r="360" ht="15.75" customHeight="1">
      <c r="B360" s="182"/>
      <c r="C360" s="3"/>
      <c r="E360" s="3"/>
      <c r="H360" s="3"/>
      <c r="AG360" s="91"/>
      <c r="AP360" s="141"/>
      <c r="AQ360" s="141"/>
    </row>
    <row r="361" ht="15.75" customHeight="1">
      <c r="B361" s="182"/>
      <c r="C361" s="3"/>
      <c r="E361" s="3"/>
      <c r="H361" s="3"/>
      <c r="AG361" s="91"/>
      <c r="AP361" s="141"/>
      <c r="AQ361" s="141"/>
    </row>
    <row r="362" ht="15.75" customHeight="1">
      <c r="B362" s="182"/>
      <c r="C362" s="3"/>
      <c r="E362" s="3"/>
      <c r="H362" s="3"/>
      <c r="AG362" s="91"/>
      <c r="AP362" s="141"/>
      <c r="AQ362" s="141"/>
    </row>
    <row r="363" ht="15.75" customHeight="1">
      <c r="B363" s="182"/>
      <c r="C363" s="3"/>
      <c r="E363" s="3"/>
      <c r="H363" s="3"/>
      <c r="AG363" s="91"/>
      <c r="AP363" s="141"/>
      <c r="AQ363" s="141"/>
    </row>
    <row r="364" ht="15.75" customHeight="1">
      <c r="B364" s="182"/>
      <c r="C364" s="3"/>
      <c r="E364" s="3"/>
      <c r="H364" s="3"/>
      <c r="AG364" s="91"/>
      <c r="AP364" s="141"/>
      <c r="AQ364" s="141"/>
    </row>
    <row r="365" ht="15.75" customHeight="1">
      <c r="B365" s="182"/>
      <c r="C365" s="3"/>
      <c r="E365" s="3"/>
      <c r="H365" s="3"/>
      <c r="AG365" s="91"/>
      <c r="AP365" s="141"/>
      <c r="AQ365" s="141"/>
    </row>
    <row r="366" ht="15.75" customHeight="1">
      <c r="B366" s="182"/>
      <c r="C366" s="3"/>
      <c r="E366" s="3"/>
      <c r="H366" s="3"/>
      <c r="AG366" s="91"/>
      <c r="AP366" s="141"/>
      <c r="AQ366" s="141"/>
    </row>
    <row r="367" ht="15.75" customHeight="1">
      <c r="B367" s="182"/>
      <c r="C367" s="3"/>
      <c r="E367" s="3"/>
      <c r="H367" s="3"/>
      <c r="AG367" s="91"/>
      <c r="AP367" s="141"/>
      <c r="AQ367" s="141"/>
    </row>
    <row r="368" ht="15.75" customHeight="1">
      <c r="B368" s="182"/>
      <c r="C368" s="3"/>
      <c r="E368" s="3"/>
      <c r="H368" s="3"/>
      <c r="AG368" s="91"/>
      <c r="AP368" s="141"/>
      <c r="AQ368" s="141"/>
    </row>
    <row r="369" ht="15.75" customHeight="1">
      <c r="B369" s="182"/>
      <c r="C369" s="3"/>
      <c r="E369" s="3"/>
      <c r="H369" s="3"/>
      <c r="AG369" s="91"/>
      <c r="AP369" s="141"/>
      <c r="AQ369" s="141"/>
    </row>
    <row r="370" ht="15.75" customHeight="1">
      <c r="B370" s="182"/>
      <c r="C370" s="3"/>
      <c r="E370" s="3"/>
      <c r="H370" s="3"/>
      <c r="AG370" s="91"/>
      <c r="AP370" s="141"/>
      <c r="AQ370" s="141"/>
    </row>
    <row r="371" ht="15.75" customHeight="1">
      <c r="B371" s="182"/>
      <c r="C371" s="3"/>
      <c r="E371" s="3"/>
      <c r="H371" s="3"/>
      <c r="AG371" s="91"/>
      <c r="AP371" s="141"/>
      <c r="AQ371" s="141"/>
    </row>
    <row r="372" ht="15.75" customHeight="1">
      <c r="B372" s="182"/>
      <c r="C372" s="3"/>
      <c r="E372" s="3"/>
      <c r="H372" s="3"/>
      <c r="AG372" s="91"/>
      <c r="AP372" s="141"/>
      <c r="AQ372" s="141"/>
    </row>
    <row r="373" ht="15.75" customHeight="1">
      <c r="B373" s="182"/>
      <c r="C373" s="3"/>
      <c r="E373" s="3"/>
      <c r="H373" s="3"/>
      <c r="AG373" s="91"/>
      <c r="AP373" s="141"/>
      <c r="AQ373" s="141"/>
    </row>
    <row r="374" ht="15.75" customHeight="1">
      <c r="B374" s="182"/>
      <c r="C374" s="3"/>
      <c r="E374" s="3"/>
      <c r="H374" s="3"/>
      <c r="AG374" s="91"/>
      <c r="AP374" s="141"/>
      <c r="AQ374" s="141"/>
    </row>
    <row r="375" ht="15.75" customHeight="1">
      <c r="B375" s="182"/>
      <c r="C375" s="3"/>
      <c r="E375" s="3"/>
      <c r="H375" s="3"/>
      <c r="AG375" s="91"/>
      <c r="AP375" s="141"/>
      <c r="AQ375" s="141"/>
    </row>
    <row r="376" ht="15.75" customHeight="1">
      <c r="B376" s="182"/>
      <c r="C376" s="3"/>
      <c r="E376" s="3"/>
      <c r="H376" s="3"/>
      <c r="AG376" s="91"/>
      <c r="AP376" s="141"/>
      <c r="AQ376" s="141"/>
    </row>
    <row r="377" ht="15.75" customHeight="1">
      <c r="B377" s="182"/>
      <c r="C377" s="3"/>
      <c r="E377" s="3"/>
      <c r="H377" s="3"/>
      <c r="AG377" s="91"/>
      <c r="AP377" s="141"/>
      <c r="AQ377" s="141"/>
    </row>
    <row r="378" ht="15.75" customHeight="1">
      <c r="B378" s="182"/>
      <c r="C378" s="3"/>
      <c r="E378" s="3"/>
      <c r="H378" s="3"/>
      <c r="AG378" s="91"/>
      <c r="AP378" s="141"/>
      <c r="AQ378" s="141"/>
    </row>
    <row r="379" ht="15.75" customHeight="1">
      <c r="B379" s="182"/>
      <c r="C379" s="3"/>
      <c r="E379" s="3"/>
      <c r="H379" s="3"/>
      <c r="AG379" s="91"/>
      <c r="AP379" s="141"/>
      <c r="AQ379" s="141"/>
    </row>
    <row r="380" ht="15.75" customHeight="1">
      <c r="B380" s="182"/>
      <c r="C380" s="3"/>
      <c r="E380" s="3"/>
      <c r="H380" s="3"/>
      <c r="AG380" s="91"/>
      <c r="AP380" s="141"/>
      <c r="AQ380" s="141"/>
    </row>
    <row r="381" ht="15.75" customHeight="1">
      <c r="B381" s="182"/>
      <c r="C381" s="3"/>
      <c r="E381" s="3"/>
      <c r="H381" s="3"/>
      <c r="AG381" s="91"/>
      <c r="AP381" s="141"/>
      <c r="AQ381" s="141"/>
    </row>
    <row r="382" ht="15.75" customHeight="1">
      <c r="B382" s="182"/>
      <c r="C382" s="3"/>
      <c r="E382" s="3"/>
      <c r="H382" s="3"/>
      <c r="AG382" s="91"/>
      <c r="AP382" s="141"/>
      <c r="AQ382" s="141"/>
    </row>
    <row r="383" ht="15.75" customHeight="1">
      <c r="B383" s="182"/>
      <c r="C383" s="3"/>
      <c r="E383" s="3"/>
      <c r="H383" s="3"/>
      <c r="AG383" s="91"/>
      <c r="AP383" s="141"/>
      <c r="AQ383" s="141"/>
    </row>
    <row r="384" ht="15.75" customHeight="1">
      <c r="B384" s="182"/>
      <c r="C384" s="3"/>
      <c r="E384" s="3"/>
      <c r="H384" s="3"/>
      <c r="AG384" s="91"/>
      <c r="AP384" s="141"/>
      <c r="AQ384" s="141"/>
    </row>
    <row r="385" ht="15.75" customHeight="1">
      <c r="B385" s="182"/>
      <c r="C385" s="3"/>
      <c r="E385" s="3"/>
      <c r="H385" s="3"/>
      <c r="AG385" s="91"/>
      <c r="AP385" s="141"/>
      <c r="AQ385" s="141"/>
    </row>
    <row r="386" ht="15.75" customHeight="1">
      <c r="B386" s="182"/>
      <c r="C386" s="3"/>
      <c r="E386" s="3"/>
      <c r="H386" s="3"/>
      <c r="AG386" s="91"/>
      <c r="AP386" s="141"/>
      <c r="AQ386" s="141"/>
    </row>
    <row r="387" ht="15.75" customHeight="1">
      <c r="B387" s="182"/>
      <c r="C387" s="3"/>
      <c r="E387" s="3"/>
      <c r="H387" s="3"/>
      <c r="AG387" s="91"/>
      <c r="AP387" s="141"/>
      <c r="AQ387" s="141"/>
    </row>
    <row r="388" ht="15.75" customHeight="1">
      <c r="B388" s="182"/>
      <c r="C388" s="3"/>
      <c r="E388" s="3"/>
      <c r="H388" s="3"/>
      <c r="AG388" s="91"/>
      <c r="AP388" s="141"/>
      <c r="AQ388" s="141"/>
    </row>
    <row r="389" ht="15.75" customHeight="1">
      <c r="B389" s="182"/>
      <c r="C389" s="3"/>
      <c r="E389" s="3"/>
      <c r="H389" s="3"/>
      <c r="AG389" s="91"/>
      <c r="AP389" s="141"/>
      <c r="AQ389" s="141"/>
    </row>
    <row r="390" ht="15.75" customHeight="1">
      <c r="B390" s="182"/>
      <c r="C390" s="3"/>
      <c r="E390" s="3"/>
      <c r="H390" s="3"/>
      <c r="AG390" s="91"/>
      <c r="AP390" s="141"/>
      <c r="AQ390" s="141"/>
    </row>
    <row r="391" ht="15.75" customHeight="1">
      <c r="B391" s="182"/>
      <c r="C391" s="3"/>
      <c r="E391" s="3"/>
      <c r="H391" s="3"/>
      <c r="AG391" s="91"/>
      <c r="AP391" s="141"/>
      <c r="AQ391" s="141"/>
    </row>
    <row r="392" ht="15.75" customHeight="1">
      <c r="B392" s="182"/>
      <c r="C392" s="3"/>
      <c r="E392" s="3"/>
      <c r="H392" s="3"/>
      <c r="AG392" s="91"/>
      <c r="AP392" s="141"/>
      <c r="AQ392" s="141"/>
    </row>
    <row r="393" ht="15.75" customHeight="1">
      <c r="B393" s="182"/>
      <c r="C393" s="3"/>
      <c r="E393" s="3"/>
      <c r="H393" s="3"/>
      <c r="AG393" s="91"/>
      <c r="AP393" s="141"/>
      <c r="AQ393" s="141"/>
    </row>
    <row r="394" ht="15.75" customHeight="1">
      <c r="B394" s="182"/>
      <c r="C394" s="3"/>
      <c r="E394" s="3"/>
      <c r="H394" s="3"/>
      <c r="AG394" s="91"/>
      <c r="AP394" s="141"/>
      <c r="AQ394" s="141"/>
    </row>
    <row r="395" ht="15.75" customHeight="1">
      <c r="B395" s="182"/>
      <c r="C395" s="3"/>
      <c r="E395" s="3"/>
      <c r="H395" s="3"/>
      <c r="AG395" s="91"/>
      <c r="AP395" s="141"/>
      <c r="AQ395" s="141"/>
    </row>
    <row r="396" ht="15.75" customHeight="1">
      <c r="B396" s="182"/>
      <c r="C396" s="3"/>
      <c r="E396" s="3"/>
      <c r="H396" s="3"/>
      <c r="AG396" s="91"/>
      <c r="AP396" s="141"/>
      <c r="AQ396" s="141"/>
    </row>
    <row r="397" ht="15.75" customHeight="1">
      <c r="B397" s="182"/>
      <c r="C397" s="3"/>
      <c r="E397" s="3"/>
      <c r="H397" s="3"/>
      <c r="AG397" s="91"/>
      <c r="AP397" s="141"/>
      <c r="AQ397" s="141"/>
    </row>
    <row r="398" ht="15.75" customHeight="1">
      <c r="B398" s="182"/>
      <c r="C398" s="3"/>
      <c r="E398" s="3"/>
      <c r="H398" s="3"/>
      <c r="AG398" s="91"/>
      <c r="AP398" s="141"/>
      <c r="AQ398" s="141"/>
    </row>
    <row r="399" ht="15.75" customHeight="1">
      <c r="B399" s="182"/>
      <c r="C399" s="3"/>
      <c r="E399" s="3"/>
      <c r="H399" s="3"/>
      <c r="AG399" s="91"/>
      <c r="AP399" s="141"/>
      <c r="AQ399" s="141"/>
    </row>
    <row r="400" ht="15.75" customHeight="1">
      <c r="B400" s="182"/>
      <c r="C400" s="3"/>
      <c r="E400" s="3"/>
      <c r="H400" s="3"/>
      <c r="AG400" s="91"/>
      <c r="AP400" s="141"/>
      <c r="AQ400" s="141"/>
    </row>
    <row r="401" ht="15.75" customHeight="1">
      <c r="B401" s="182"/>
      <c r="C401" s="3"/>
      <c r="E401" s="3"/>
      <c r="H401" s="3"/>
      <c r="AG401" s="91"/>
      <c r="AP401" s="141"/>
      <c r="AQ401" s="141"/>
    </row>
    <row r="402" ht="15.75" customHeight="1">
      <c r="B402" s="182"/>
      <c r="C402" s="3"/>
      <c r="E402" s="3"/>
      <c r="H402" s="3"/>
      <c r="AG402" s="91"/>
      <c r="AP402" s="141"/>
      <c r="AQ402" s="141"/>
    </row>
    <row r="403" ht="15.75" customHeight="1">
      <c r="B403" s="182"/>
      <c r="C403" s="3"/>
      <c r="E403" s="3"/>
      <c r="H403" s="3"/>
      <c r="AG403" s="91"/>
      <c r="AP403" s="141"/>
      <c r="AQ403" s="141"/>
    </row>
    <row r="404" ht="15.75" customHeight="1">
      <c r="B404" s="182"/>
      <c r="C404" s="3"/>
      <c r="E404" s="3"/>
      <c r="H404" s="3"/>
      <c r="AG404" s="91"/>
      <c r="AP404" s="141"/>
      <c r="AQ404" s="141"/>
    </row>
    <row r="405" ht="15.75" customHeight="1">
      <c r="B405" s="182"/>
      <c r="C405" s="3"/>
      <c r="E405" s="3"/>
      <c r="H405" s="3"/>
      <c r="AG405" s="91"/>
      <c r="AP405" s="141"/>
      <c r="AQ405" s="141"/>
    </row>
    <row r="406" ht="15.75" customHeight="1">
      <c r="B406" s="182"/>
      <c r="C406" s="3"/>
      <c r="E406" s="3"/>
      <c r="H406" s="3"/>
      <c r="AG406" s="91"/>
      <c r="AP406" s="141"/>
      <c r="AQ406" s="141"/>
    </row>
    <row r="407" ht="15.75" customHeight="1">
      <c r="B407" s="182"/>
      <c r="C407" s="3"/>
      <c r="E407" s="3"/>
      <c r="H407" s="3"/>
      <c r="AG407" s="91"/>
      <c r="AP407" s="141"/>
      <c r="AQ407" s="141"/>
    </row>
    <row r="408" ht="15.75" customHeight="1">
      <c r="B408" s="182"/>
      <c r="C408" s="3"/>
      <c r="E408" s="3"/>
      <c r="H408" s="3"/>
      <c r="AG408" s="91"/>
      <c r="AP408" s="141"/>
      <c r="AQ408" s="141"/>
    </row>
    <row r="409" ht="15.75" customHeight="1">
      <c r="B409" s="182"/>
      <c r="C409" s="3"/>
      <c r="E409" s="3"/>
      <c r="H409" s="3"/>
      <c r="AG409" s="91"/>
      <c r="AP409" s="141"/>
      <c r="AQ409" s="141"/>
    </row>
    <row r="410" ht="15.75" customHeight="1">
      <c r="B410" s="182"/>
      <c r="C410" s="3"/>
      <c r="E410" s="3"/>
      <c r="H410" s="3"/>
      <c r="AG410" s="91"/>
      <c r="AP410" s="141"/>
      <c r="AQ410" s="141"/>
    </row>
    <row r="411" ht="15.75" customHeight="1">
      <c r="B411" s="182"/>
      <c r="C411" s="3"/>
      <c r="E411" s="3"/>
      <c r="H411" s="3"/>
      <c r="AG411" s="91"/>
      <c r="AP411" s="141"/>
      <c r="AQ411" s="141"/>
    </row>
    <row r="412" ht="15.75" customHeight="1">
      <c r="B412" s="182"/>
      <c r="C412" s="3"/>
      <c r="E412" s="3"/>
      <c r="H412" s="3"/>
      <c r="AG412" s="91"/>
      <c r="AP412" s="141"/>
      <c r="AQ412" s="141"/>
    </row>
    <row r="413" ht="15.75" customHeight="1">
      <c r="B413" s="182"/>
      <c r="C413" s="3"/>
      <c r="E413" s="3"/>
      <c r="H413" s="3"/>
      <c r="AG413" s="91"/>
      <c r="AP413" s="141"/>
      <c r="AQ413" s="141"/>
    </row>
    <row r="414" ht="15.75" customHeight="1">
      <c r="B414" s="182"/>
      <c r="C414" s="3"/>
      <c r="E414" s="3"/>
      <c r="H414" s="3"/>
      <c r="AG414" s="91"/>
      <c r="AP414" s="141"/>
      <c r="AQ414" s="141"/>
    </row>
    <row r="415" ht="15.75" customHeight="1">
      <c r="B415" s="182"/>
      <c r="C415" s="3"/>
      <c r="E415" s="3"/>
      <c r="H415" s="3"/>
      <c r="AG415" s="91"/>
      <c r="AP415" s="141"/>
      <c r="AQ415" s="141"/>
    </row>
    <row r="416" ht="15.75" customHeight="1">
      <c r="B416" s="182"/>
      <c r="C416" s="3"/>
      <c r="E416" s="3"/>
      <c r="H416" s="3"/>
      <c r="AG416" s="91"/>
      <c r="AP416" s="141"/>
      <c r="AQ416" s="141"/>
    </row>
    <row r="417" ht="15.75" customHeight="1">
      <c r="B417" s="182"/>
      <c r="C417" s="3"/>
      <c r="E417" s="3"/>
      <c r="H417" s="3"/>
      <c r="AG417" s="91"/>
      <c r="AP417" s="141"/>
      <c r="AQ417" s="141"/>
    </row>
    <row r="418" ht="15.75" customHeight="1">
      <c r="B418" s="182"/>
      <c r="C418" s="3"/>
      <c r="E418" s="3"/>
      <c r="H418" s="3"/>
      <c r="AG418" s="91"/>
      <c r="AP418" s="141"/>
      <c r="AQ418" s="141"/>
    </row>
    <row r="419" ht="15.75" customHeight="1">
      <c r="B419" s="182"/>
      <c r="C419" s="3"/>
      <c r="E419" s="3"/>
      <c r="H419" s="3"/>
      <c r="AG419" s="91"/>
      <c r="AP419" s="141"/>
      <c r="AQ419" s="141"/>
    </row>
    <row r="420" ht="15.75" customHeight="1">
      <c r="B420" s="182"/>
      <c r="C420" s="3"/>
      <c r="E420" s="3"/>
      <c r="H420" s="3"/>
      <c r="AG420" s="91"/>
      <c r="AP420" s="141"/>
      <c r="AQ420" s="141"/>
    </row>
    <row r="421" ht="15.75" customHeight="1">
      <c r="B421" s="182"/>
      <c r="C421" s="3"/>
      <c r="E421" s="3"/>
      <c r="H421" s="3"/>
      <c r="AG421" s="91"/>
      <c r="AP421" s="141"/>
      <c r="AQ421" s="141"/>
    </row>
    <row r="422" ht="15.75" customHeight="1">
      <c r="B422" s="182"/>
      <c r="C422" s="3"/>
      <c r="E422" s="3"/>
      <c r="H422" s="3"/>
      <c r="AG422" s="91"/>
      <c r="AP422" s="141"/>
      <c r="AQ422" s="141"/>
    </row>
    <row r="423" ht="15.75" customHeight="1">
      <c r="B423" s="182"/>
      <c r="C423" s="3"/>
      <c r="E423" s="3"/>
      <c r="H423" s="3"/>
      <c r="AG423" s="91"/>
      <c r="AP423" s="141"/>
      <c r="AQ423" s="141"/>
    </row>
    <row r="424" ht="15.75" customHeight="1">
      <c r="B424" s="182"/>
      <c r="C424" s="3"/>
      <c r="E424" s="3"/>
      <c r="H424" s="3"/>
      <c r="AG424" s="91"/>
      <c r="AP424" s="141"/>
      <c r="AQ424" s="141"/>
    </row>
    <row r="425" ht="15.75" customHeight="1">
      <c r="B425" s="182"/>
      <c r="C425" s="3"/>
      <c r="E425" s="3"/>
      <c r="H425" s="3"/>
      <c r="AG425" s="91"/>
      <c r="AP425" s="141"/>
      <c r="AQ425" s="141"/>
    </row>
    <row r="426" ht="15.75" customHeight="1">
      <c r="B426" s="182"/>
      <c r="C426" s="3"/>
      <c r="E426" s="3"/>
      <c r="H426" s="3"/>
      <c r="AG426" s="91"/>
      <c r="AP426" s="141"/>
      <c r="AQ426" s="141"/>
    </row>
    <row r="427" ht="15.75" customHeight="1">
      <c r="B427" s="182"/>
      <c r="C427" s="3"/>
      <c r="E427" s="3"/>
      <c r="H427" s="3"/>
      <c r="AG427" s="91"/>
      <c r="AP427" s="141"/>
      <c r="AQ427" s="141"/>
    </row>
    <row r="428" ht="15.75" customHeight="1">
      <c r="B428" s="182"/>
      <c r="C428" s="3"/>
      <c r="E428" s="3"/>
      <c r="H428" s="3"/>
      <c r="AG428" s="91"/>
      <c r="AP428" s="141"/>
      <c r="AQ428" s="141"/>
    </row>
    <row r="429" ht="15.75" customHeight="1">
      <c r="B429" s="182"/>
      <c r="C429" s="3"/>
      <c r="E429" s="3"/>
      <c r="H429" s="3"/>
      <c r="AG429" s="91"/>
      <c r="AP429" s="141"/>
      <c r="AQ429" s="141"/>
    </row>
    <row r="430" ht="15.75" customHeight="1">
      <c r="B430" s="182"/>
      <c r="C430" s="3"/>
      <c r="E430" s="3"/>
      <c r="H430" s="3"/>
      <c r="AG430" s="91"/>
      <c r="AP430" s="141"/>
      <c r="AQ430" s="141"/>
    </row>
    <row r="431" ht="15.75" customHeight="1">
      <c r="B431" s="182"/>
      <c r="C431" s="3"/>
      <c r="E431" s="3"/>
      <c r="H431" s="3"/>
      <c r="AG431" s="91"/>
      <c r="AP431" s="141"/>
      <c r="AQ431" s="141"/>
    </row>
    <row r="432" ht="15.75" customHeight="1">
      <c r="B432" s="182"/>
      <c r="C432" s="3"/>
      <c r="E432" s="3"/>
      <c r="H432" s="3"/>
      <c r="AG432" s="91"/>
      <c r="AP432" s="141"/>
      <c r="AQ432" s="141"/>
    </row>
    <row r="433" ht="15.75" customHeight="1">
      <c r="B433" s="182"/>
      <c r="C433" s="3"/>
      <c r="E433" s="3"/>
      <c r="H433" s="3"/>
      <c r="AG433" s="91"/>
      <c r="AP433" s="141"/>
      <c r="AQ433" s="141"/>
    </row>
    <row r="434" ht="15.75" customHeight="1">
      <c r="B434" s="182"/>
      <c r="C434" s="3"/>
      <c r="E434" s="3"/>
      <c r="H434" s="3"/>
      <c r="AG434" s="91"/>
      <c r="AP434" s="141"/>
      <c r="AQ434" s="141"/>
    </row>
    <row r="435" ht="15.75" customHeight="1">
      <c r="B435" s="182"/>
      <c r="C435" s="3"/>
      <c r="E435" s="3"/>
      <c r="H435" s="3"/>
      <c r="AG435" s="91"/>
      <c r="AP435" s="141"/>
      <c r="AQ435" s="141"/>
    </row>
    <row r="436" ht="15.75" customHeight="1">
      <c r="B436" s="182"/>
      <c r="C436" s="3"/>
      <c r="E436" s="3"/>
      <c r="H436" s="3"/>
      <c r="AG436" s="91"/>
      <c r="AP436" s="141"/>
      <c r="AQ436" s="141"/>
    </row>
    <row r="437" ht="15.75" customHeight="1">
      <c r="B437" s="182"/>
      <c r="C437" s="3"/>
      <c r="E437" s="3"/>
      <c r="H437" s="3"/>
      <c r="AG437" s="91"/>
      <c r="AP437" s="141"/>
      <c r="AQ437" s="141"/>
    </row>
    <row r="438" ht="15.75" customHeight="1">
      <c r="B438" s="182"/>
      <c r="C438" s="3"/>
      <c r="E438" s="3"/>
      <c r="H438" s="3"/>
      <c r="AG438" s="91"/>
      <c r="AP438" s="141"/>
      <c r="AQ438" s="141"/>
    </row>
    <row r="439" ht="15.75" customHeight="1">
      <c r="B439" s="182"/>
      <c r="C439" s="3"/>
      <c r="E439" s="3"/>
      <c r="H439" s="3"/>
      <c r="AG439" s="91"/>
      <c r="AP439" s="141"/>
      <c r="AQ439" s="141"/>
    </row>
    <row r="440" ht="15.75" customHeight="1">
      <c r="B440" s="182"/>
      <c r="C440" s="3"/>
      <c r="E440" s="3"/>
      <c r="H440" s="3"/>
      <c r="AG440" s="91"/>
      <c r="AP440" s="141"/>
      <c r="AQ440" s="141"/>
    </row>
    <row r="441" ht="15.75" customHeight="1">
      <c r="B441" s="182"/>
      <c r="C441" s="3"/>
      <c r="E441" s="3"/>
      <c r="H441" s="3"/>
      <c r="AG441" s="91"/>
      <c r="AP441" s="141"/>
      <c r="AQ441" s="141"/>
    </row>
    <row r="442" ht="15.75" customHeight="1">
      <c r="B442" s="182"/>
      <c r="C442" s="3"/>
      <c r="E442" s="3"/>
      <c r="H442" s="3"/>
      <c r="AG442" s="91"/>
      <c r="AP442" s="141"/>
      <c r="AQ442" s="141"/>
    </row>
    <row r="443" ht="15.75" customHeight="1">
      <c r="B443" s="182"/>
      <c r="C443" s="3"/>
      <c r="E443" s="3"/>
      <c r="H443" s="3"/>
      <c r="AG443" s="91"/>
      <c r="AP443" s="141"/>
      <c r="AQ443" s="141"/>
    </row>
    <row r="444" ht="15.75" customHeight="1">
      <c r="B444" s="182"/>
      <c r="C444" s="3"/>
      <c r="E444" s="3"/>
      <c r="H444" s="3"/>
      <c r="AG444" s="91"/>
      <c r="AP444" s="141"/>
      <c r="AQ444" s="141"/>
    </row>
    <row r="445" ht="15.75" customHeight="1">
      <c r="B445" s="182"/>
      <c r="C445" s="3"/>
      <c r="E445" s="3"/>
      <c r="H445" s="3"/>
      <c r="AG445" s="91"/>
      <c r="AP445" s="141"/>
      <c r="AQ445" s="141"/>
    </row>
    <row r="446" ht="15.75" customHeight="1">
      <c r="B446" s="182"/>
      <c r="C446" s="3"/>
      <c r="E446" s="3"/>
      <c r="H446" s="3"/>
      <c r="AG446" s="91"/>
      <c r="AP446" s="141"/>
      <c r="AQ446" s="141"/>
    </row>
    <row r="447" ht="15.75" customHeight="1">
      <c r="B447" s="182"/>
      <c r="C447" s="3"/>
      <c r="E447" s="3"/>
      <c r="H447" s="3"/>
      <c r="AG447" s="91"/>
      <c r="AP447" s="141"/>
      <c r="AQ447" s="141"/>
    </row>
    <row r="448" ht="15.75" customHeight="1">
      <c r="B448" s="182"/>
      <c r="C448" s="3"/>
      <c r="E448" s="3"/>
      <c r="H448" s="3"/>
      <c r="AG448" s="91"/>
      <c r="AP448" s="141"/>
      <c r="AQ448" s="141"/>
    </row>
    <row r="449" ht="15.75" customHeight="1">
      <c r="B449" s="182"/>
      <c r="C449" s="3"/>
      <c r="E449" s="3"/>
      <c r="H449" s="3"/>
      <c r="AG449" s="91"/>
      <c r="AP449" s="141"/>
      <c r="AQ449" s="141"/>
    </row>
    <row r="450" ht="15.75" customHeight="1">
      <c r="B450" s="182"/>
      <c r="C450" s="3"/>
      <c r="E450" s="3"/>
      <c r="H450" s="3"/>
      <c r="AG450" s="91"/>
      <c r="AP450" s="141"/>
      <c r="AQ450" s="141"/>
    </row>
    <row r="451" ht="15.75" customHeight="1">
      <c r="B451" s="182"/>
      <c r="C451" s="3"/>
      <c r="E451" s="3"/>
      <c r="H451" s="3"/>
      <c r="AG451" s="91"/>
      <c r="AP451" s="141"/>
      <c r="AQ451" s="141"/>
    </row>
    <row r="452" ht="15.75" customHeight="1">
      <c r="B452" s="182"/>
      <c r="C452" s="3"/>
      <c r="E452" s="3"/>
      <c r="H452" s="3"/>
      <c r="AG452" s="91"/>
      <c r="AP452" s="141"/>
      <c r="AQ452" s="141"/>
    </row>
    <row r="453" ht="15.75" customHeight="1">
      <c r="B453" s="182"/>
      <c r="C453" s="3"/>
      <c r="E453" s="3"/>
      <c r="H453" s="3"/>
      <c r="AG453" s="91"/>
      <c r="AP453" s="141"/>
      <c r="AQ453" s="141"/>
    </row>
    <row r="454" ht="15.75" customHeight="1">
      <c r="B454" s="182"/>
      <c r="C454" s="3"/>
      <c r="E454" s="3"/>
      <c r="H454" s="3"/>
      <c r="AG454" s="91"/>
      <c r="AP454" s="141"/>
      <c r="AQ454" s="141"/>
    </row>
    <row r="455" ht="15.75" customHeight="1">
      <c r="B455" s="182"/>
      <c r="C455" s="3"/>
      <c r="E455" s="3"/>
      <c r="H455" s="3"/>
      <c r="AG455" s="91"/>
      <c r="AP455" s="141"/>
      <c r="AQ455" s="141"/>
    </row>
    <row r="456" ht="15.75" customHeight="1">
      <c r="B456" s="182"/>
      <c r="C456" s="3"/>
      <c r="E456" s="3"/>
      <c r="H456" s="3"/>
      <c r="AG456" s="91"/>
      <c r="AP456" s="141"/>
      <c r="AQ456" s="141"/>
    </row>
    <row r="457" ht="15.75" customHeight="1">
      <c r="B457" s="182"/>
      <c r="C457" s="3"/>
      <c r="E457" s="3"/>
      <c r="H457" s="3"/>
      <c r="AG457" s="91"/>
      <c r="AP457" s="141"/>
      <c r="AQ457" s="141"/>
    </row>
    <row r="458" ht="15.75" customHeight="1">
      <c r="B458" s="182"/>
      <c r="C458" s="3"/>
      <c r="E458" s="3"/>
      <c r="H458" s="3"/>
      <c r="AG458" s="91"/>
      <c r="AP458" s="141"/>
      <c r="AQ458" s="141"/>
    </row>
    <row r="459" ht="15.75" customHeight="1">
      <c r="B459" s="182"/>
      <c r="C459" s="3"/>
      <c r="E459" s="3"/>
      <c r="H459" s="3"/>
      <c r="AG459" s="91"/>
      <c r="AP459" s="141"/>
      <c r="AQ459" s="141"/>
    </row>
    <row r="460" ht="15.75" customHeight="1">
      <c r="B460" s="182"/>
      <c r="C460" s="3"/>
      <c r="E460" s="3"/>
      <c r="H460" s="3"/>
      <c r="AG460" s="91"/>
      <c r="AP460" s="141"/>
      <c r="AQ460" s="141"/>
    </row>
    <row r="461" ht="15.75" customHeight="1">
      <c r="B461" s="182"/>
      <c r="C461" s="3"/>
      <c r="E461" s="3"/>
      <c r="H461" s="3"/>
      <c r="AG461" s="91"/>
      <c r="AP461" s="141"/>
      <c r="AQ461" s="141"/>
    </row>
    <row r="462" ht="15.75" customHeight="1">
      <c r="B462" s="182"/>
      <c r="C462" s="3"/>
      <c r="E462" s="3"/>
      <c r="H462" s="3"/>
      <c r="AG462" s="91"/>
      <c r="AP462" s="141"/>
      <c r="AQ462" s="141"/>
    </row>
    <row r="463" ht="15.75" customHeight="1">
      <c r="B463" s="182"/>
      <c r="C463" s="3"/>
      <c r="E463" s="3"/>
      <c r="H463" s="3"/>
      <c r="AG463" s="91"/>
      <c r="AP463" s="141"/>
      <c r="AQ463" s="141"/>
    </row>
    <row r="464" ht="15.75" customHeight="1">
      <c r="B464" s="182"/>
      <c r="C464" s="3"/>
      <c r="E464" s="3"/>
      <c r="H464" s="3"/>
      <c r="AG464" s="91"/>
      <c r="AP464" s="141"/>
      <c r="AQ464" s="141"/>
    </row>
    <row r="465" ht="15.75" customHeight="1">
      <c r="B465" s="182"/>
      <c r="C465" s="3"/>
      <c r="E465" s="3"/>
      <c r="H465" s="3"/>
      <c r="AG465" s="91"/>
      <c r="AP465" s="141"/>
      <c r="AQ465" s="141"/>
    </row>
    <row r="466" ht="15.75" customHeight="1">
      <c r="B466" s="182"/>
      <c r="C466" s="3"/>
      <c r="E466" s="3"/>
      <c r="H466" s="3"/>
      <c r="AG466" s="91"/>
      <c r="AP466" s="141"/>
      <c r="AQ466" s="141"/>
    </row>
    <row r="467" ht="15.75" customHeight="1">
      <c r="B467" s="182"/>
      <c r="C467" s="3"/>
      <c r="E467" s="3"/>
      <c r="H467" s="3"/>
      <c r="AG467" s="91"/>
      <c r="AP467" s="141"/>
      <c r="AQ467" s="141"/>
    </row>
    <row r="468" ht="15.75" customHeight="1">
      <c r="B468" s="182"/>
      <c r="C468" s="3"/>
      <c r="E468" s="3"/>
      <c r="H468" s="3"/>
      <c r="AG468" s="91"/>
      <c r="AP468" s="141"/>
      <c r="AQ468" s="141"/>
    </row>
    <row r="469" ht="15.75" customHeight="1">
      <c r="B469" s="182"/>
      <c r="C469" s="3"/>
      <c r="E469" s="3"/>
      <c r="H469" s="3"/>
      <c r="AG469" s="91"/>
      <c r="AP469" s="141"/>
      <c r="AQ469" s="141"/>
    </row>
    <row r="470" ht="15.75" customHeight="1">
      <c r="B470" s="182"/>
      <c r="C470" s="3"/>
      <c r="E470" s="3"/>
      <c r="H470" s="3"/>
      <c r="AG470" s="91"/>
      <c r="AP470" s="141"/>
      <c r="AQ470" s="141"/>
    </row>
    <row r="471" ht="15.75" customHeight="1">
      <c r="B471" s="182"/>
      <c r="C471" s="3"/>
      <c r="E471" s="3"/>
      <c r="H471" s="3"/>
      <c r="AG471" s="91"/>
      <c r="AP471" s="141"/>
      <c r="AQ471" s="141"/>
    </row>
    <row r="472" ht="15.75" customHeight="1">
      <c r="B472" s="182"/>
      <c r="C472" s="3"/>
      <c r="E472" s="3"/>
      <c r="H472" s="3"/>
      <c r="AG472" s="91"/>
      <c r="AP472" s="141"/>
      <c r="AQ472" s="141"/>
    </row>
    <row r="473" ht="15.75" customHeight="1">
      <c r="B473" s="182"/>
      <c r="C473" s="3"/>
      <c r="E473" s="3"/>
      <c r="H473" s="3"/>
      <c r="AG473" s="91"/>
      <c r="AP473" s="141"/>
      <c r="AQ473" s="141"/>
    </row>
    <row r="474" ht="15.75" customHeight="1">
      <c r="B474" s="182"/>
      <c r="C474" s="3"/>
      <c r="E474" s="3"/>
      <c r="H474" s="3"/>
      <c r="AG474" s="91"/>
      <c r="AP474" s="141"/>
      <c r="AQ474" s="141"/>
    </row>
    <row r="475" ht="15.75" customHeight="1">
      <c r="B475" s="182"/>
      <c r="C475" s="3"/>
      <c r="E475" s="3"/>
      <c r="H475" s="3"/>
      <c r="AG475" s="91"/>
      <c r="AP475" s="141"/>
      <c r="AQ475" s="141"/>
    </row>
    <row r="476" ht="15.75" customHeight="1">
      <c r="B476" s="182"/>
      <c r="C476" s="3"/>
      <c r="E476" s="3"/>
      <c r="H476" s="3"/>
      <c r="AG476" s="91"/>
      <c r="AP476" s="141"/>
      <c r="AQ476" s="141"/>
    </row>
    <row r="477" ht="15.75" customHeight="1">
      <c r="B477" s="182"/>
      <c r="C477" s="3"/>
      <c r="E477" s="3"/>
      <c r="H477" s="3"/>
      <c r="AG477" s="91"/>
      <c r="AP477" s="141"/>
      <c r="AQ477" s="141"/>
    </row>
    <row r="478" ht="15.75" customHeight="1">
      <c r="B478" s="182"/>
      <c r="C478" s="3"/>
      <c r="E478" s="3"/>
      <c r="H478" s="3"/>
      <c r="AG478" s="91"/>
      <c r="AP478" s="141"/>
      <c r="AQ478" s="141"/>
    </row>
    <row r="479" ht="15.75" customHeight="1">
      <c r="B479" s="182"/>
      <c r="C479" s="3"/>
      <c r="E479" s="3"/>
      <c r="H479" s="3"/>
      <c r="AG479" s="91"/>
      <c r="AP479" s="141"/>
      <c r="AQ479" s="141"/>
    </row>
    <row r="480" ht="15.75" customHeight="1">
      <c r="B480" s="182"/>
      <c r="C480" s="3"/>
      <c r="E480" s="3"/>
      <c r="H480" s="3"/>
      <c r="AG480" s="91"/>
      <c r="AP480" s="141"/>
      <c r="AQ480" s="141"/>
    </row>
    <row r="481" ht="15.75" customHeight="1">
      <c r="B481" s="182"/>
      <c r="C481" s="3"/>
      <c r="E481" s="3"/>
      <c r="H481" s="3"/>
      <c r="AG481" s="91"/>
      <c r="AP481" s="141"/>
      <c r="AQ481" s="141"/>
    </row>
    <row r="482" ht="15.75" customHeight="1">
      <c r="B482" s="182"/>
      <c r="C482" s="3"/>
      <c r="E482" s="3"/>
      <c r="H482" s="3"/>
      <c r="AG482" s="91"/>
      <c r="AP482" s="141"/>
      <c r="AQ482" s="141"/>
    </row>
    <row r="483" ht="15.75" customHeight="1">
      <c r="B483" s="182"/>
      <c r="C483" s="3"/>
      <c r="E483" s="3"/>
      <c r="H483" s="3"/>
      <c r="AG483" s="91"/>
      <c r="AP483" s="141"/>
      <c r="AQ483" s="141"/>
    </row>
    <row r="484" ht="15.75" customHeight="1">
      <c r="B484" s="182"/>
      <c r="C484" s="3"/>
      <c r="E484" s="3"/>
      <c r="H484" s="3"/>
      <c r="AG484" s="91"/>
      <c r="AP484" s="141"/>
      <c r="AQ484" s="141"/>
    </row>
    <row r="485" ht="15.75" customHeight="1">
      <c r="B485" s="182"/>
      <c r="C485" s="3"/>
      <c r="E485" s="3"/>
      <c r="H485" s="3"/>
      <c r="AG485" s="91"/>
      <c r="AP485" s="141"/>
      <c r="AQ485" s="141"/>
    </row>
    <row r="486" ht="15.75" customHeight="1">
      <c r="B486" s="182"/>
      <c r="C486" s="3"/>
      <c r="E486" s="3"/>
      <c r="H486" s="3"/>
      <c r="AG486" s="91"/>
      <c r="AP486" s="141"/>
      <c r="AQ486" s="141"/>
    </row>
    <row r="487" ht="15.75" customHeight="1">
      <c r="B487" s="182"/>
      <c r="C487" s="3"/>
      <c r="E487" s="3"/>
      <c r="H487" s="3"/>
      <c r="AG487" s="91"/>
      <c r="AP487" s="141"/>
      <c r="AQ487" s="141"/>
    </row>
    <row r="488" ht="15.75" customHeight="1">
      <c r="B488" s="182"/>
      <c r="C488" s="3"/>
      <c r="E488" s="3"/>
      <c r="H488" s="3"/>
      <c r="AG488" s="91"/>
      <c r="AP488" s="141"/>
      <c r="AQ488" s="141"/>
    </row>
    <row r="489" ht="15.75" customHeight="1">
      <c r="B489" s="182"/>
      <c r="C489" s="3"/>
      <c r="E489" s="3"/>
      <c r="H489" s="3"/>
      <c r="AG489" s="91"/>
      <c r="AP489" s="141"/>
      <c r="AQ489" s="141"/>
    </row>
    <row r="490" ht="15.75" customHeight="1">
      <c r="B490" s="182"/>
      <c r="C490" s="3"/>
      <c r="E490" s="3"/>
      <c r="H490" s="3"/>
      <c r="AG490" s="91"/>
      <c r="AP490" s="141"/>
      <c r="AQ490" s="141"/>
    </row>
    <row r="491" ht="15.75" customHeight="1">
      <c r="B491" s="182"/>
      <c r="C491" s="3"/>
      <c r="E491" s="3"/>
      <c r="H491" s="3"/>
      <c r="AG491" s="91"/>
      <c r="AP491" s="141"/>
      <c r="AQ491" s="141"/>
    </row>
    <row r="492" ht="15.75" customHeight="1">
      <c r="B492" s="182"/>
      <c r="C492" s="3"/>
      <c r="E492" s="3"/>
      <c r="H492" s="3"/>
      <c r="AG492" s="91"/>
      <c r="AP492" s="141"/>
      <c r="AQ492" s="141"/>
    </row>
    <row r="493" ht="15.75" customHeight="1">
      <c r="B493" s="182"/>
      <c r="C493" s="3"/>
      <c r="E493" s="3"/>
      <c r="H493" s="3"/>
      <c r="AG493" s="91"/>
      <c r="AP493" s="141"/>
      <c r="AQ493" s="141"/>
    </row>
    <row r="494" ht="15.75" customHeight="1">
      <c r="B494" s="182"/>
      <c r="C494" s="3"/>
      <c r="E494" s="3"/>
      <c r="H494" s="3"/>
      <c r="AG494" s="91"/>
      <c r="AP494" s="141"/>
      <c r="AQ494" s="141"/>
    </row>
    <row r="495" ht="15.75" customHeight="1">
      <c r="B495" s="182"/>
      <c r="C495" s="3"/>
      <c r="E495" s="3"/>
      <c r="H495" s="3"/>
      <c r="AG495" s="91"/>
      <c r="AP495" s="141"/>
      <c r="AQ495" s="141"/>
    </row>
    <row r="496" ht="15.75" customHeight="1">
      <c r="B496" s="182"/>
      <c r="C496" s="3"/>
      <c r="E496" s="3"/>
      <c r="H496" s="3"/>
      <c r="AG496" s="91"/>
      <c r="AP496" s="141"/>
      <c r="AQ496" s="141"/>
    </row>
    <row r="497" ht="15.75" customHeight="1">
      <c r="B497" s="182"/>
      <c r="C497" s="3"/>
      <c r="E497" s="3"/>
      <c r="H497" s="3"/>
      <c r="AG497" s="91"/>
      <c r="AP497" s="141"/>
      <c r="AQ497" s="141"/>
    </row>
    <row r="498" ht="15.75" customHeight="1">
      <c r="B498" s="182"/>
      <c r="C498" s="3"/>
      <c r="E498" s="3"/>
      <c r="H498" s="3"/>
      <c r="AG498" s="91"/>
      <c r="AP498" s="141"/>
      <c r="AQ498" s="141"/>
    </row>
    <row r="499" ht="15.75" customHeight="1">
      <c r="B499" s="182"/>
      <c r="C499" s="3"/>
      <c r="E499" s="3"/>
      <c r="H499" s="3"/>
      <c r="AG499" s="91"/>
      <c r="AP499" s="141"/>
      <c r="AQ499" s="141"/>
    </row>
    <row r="500" ht="15.75" customHeight="1">
      <c r="B500" s="182"/>
      <c r="C500" s="3"/>
      <c r="E500" s="3"/>
      <c r="H500" s="3"/>
      <c r="AG500" s="91"/>
      <c r="AP500" s="141"/>
      <c r="AQ500" s="141"/>
    </row>
    <row r="501" ht="15.75" customHeight="1">
      <c r="B501" s="182"/>
      <c r="C501" s="3"/>
      <c r="E501" s="3"/>
      <c r="H501" s="3"/>
      <c r="AG501" s="91"/>
      <c r="AP501" s="141"/>
      <c r="AQ501" s="141"/>
    </row>
    <row r="502" ht="15.75" customHeight="1">
      <c r="B502" s="182"/>
      <c r="C502" s="3"/>
      <c r="E502" s="3"/>
      <c r="H502" s="3"/>
      <c r="AG502" s="91"/>
      <c r="AP502" s="141"/>
      <c r="AQ502" s="141"/>
    </row>
    <row r="503" ht="15.75" customHeight="1">
      <c r="B503" s="182"/>
      <c r="C503" s="3"/>
      <c r="E503" s="3"/>
      <c r="H503" s="3"/>
      <c r="AG503" s="91"/>
      <c r="AP503" s="141"/>
      <c r="AQ503" s="141"/>
    </row>
    <row r="504" ht="15.75" customHeight="1">
      <c r="B504" s="182"/>
      <c r="C504" s="3"/>
      <c r="E504" s="3"/>
      <c r="H504" s="3"/>
      <c r="AG504" s="91"/>
      <c r="AP504" s="141"/>
      <c r="AQ504" s="141"/>
    </row>
    <row r="505" ht="15.75" customHeight="1">
      <c r="B505" s="182"/>
      <c r="C505" s="3"/>
      <c r="E505" s="3"/>
      <c r="H505" s="3"/>
      <c r="AG505" s="91"/>
      <c r="AP505" s="141"/>
      <c r="AQ505" s="141"/>
    </row>
    <row r="506" ht="15.75" customHeight="1">
      <c r="B506" s="182"/>
      <c r="C506" s="3"/>
      <c r="E506" s="3"/>
      <c r="H506" s="3"/>
      <c r="AG506" s="91"/>
      <c r="AP506" s="141"/>
      <c r="AQ506" s="141"/>
    </row>
    <row r="507" ht="15.75" customHeight="1">
      <c r="B507" s="182"/>
      <c r="C507" s="3"/>
      <c r="E507" s="3"/>
      <c r="H507" s="3"/>
      <c r="AG507" s="91"/>
      <c r="AP507" s="141"/>
      <c r="AQ507" s="141"/>
    </row>
    <row r="508" ht="15.75" customHeight="1">
      <c r="B508" s="182"/>
      <c r="C508" s="3"/>
      <c r="E508" s="3"/>
      <c r="H508" s="3"/>
      <c r="AG508" s="91"/>
      <c r="AP508" s="141"/>
      <c r="AQ508" s="141"/>
    </row>
    <row r="509" ht="15.75" customHeight="1">
      <c r="B509" s="182"/>
      <c r="C509" s="3"/>
      <c r="E509" s="3"/>
      <c r="H509" s="3"/>
      <c r="AG509" s="91"/>
      <c r="AP509" s="141"/>
      <c r="AQ509" s="141"/>
    </row>
    <row r="510" ht="15.75" customHeight="1">
      <c r="B510" s="182"/>
      <c r="C510" s="3"/>
      <c r="E510" s="3"/>
      <c r="H510" s="3"/>
      <c r="AG510" s="91"/>
      <c r="AP510" s="141"/>
      <c r="AQ510" s="141"/>
    </row>
    <row r="511" ht="15.75" customHeight="1">
      <c r="B511" s="182"/>
      <c r="C511" s="3"/>
      <c r="E511" s="3"/>
      <c r="H511" s="3"/>
      <c r="AG511" s="91"/>
      <c r="AP511" s="141"/>
      <c r="AQ511" s="141"/>
    </row>
    <row r="512" ht="15.75" customHeight="1">
      <c r="B512" s="182"/>
      <c r="C512" s="3"/>
      <c r="E512" s="3"/>
      <c r="H512" s="3"/>
      <c r="AG512" s="91"/>
      <c r="AP512" s="141"/>
      <c r="AQ512" s="141"/>
    </row>
    <row r="513" ht="15.75" customHeight="1">
      <c r="B513" s="182"/>
      <c r="C513" s="3"/>
      <c r="E513" s="3"/>
      <c r="H513" s="3"/>
      <c r="AG513" s="91"/>
      <c r="AP513" s="141"/>
      <c r="AQ513" s="141"/>
    </row>
    <row r="514" ht="15.75" customHeight="1">
      <c r="B514" s="182"/>
      <c r="C514" s="3"/>
      <c r="E514" s="3"/>
      <c r="H514" s="3"/>
      <c r="AG514" s="91"/>
      <c r="AP514" s="141"/>
      <c r="AQ514" s="141"/>
    </row>
    <row r="515" ht="15.75" customHeight="1">
      <c r="B515" s="182"/>
      <c r="C515" s="3"/>
      <c r="E515" s="3"/>
      <c r="H515" s="3"/>
      <c r="AG515" s="91"/>
      <c r="AP515" s="141"/>
      <c r="AQ515" s="141"/>
    </row>
    <row r="516" ht="15.75" customHeight="1">
      <c r="B516" s="182"/>
      <c r="C516" s="3"/>
      <c r="E516" s="3"/>
      <c r="H516" s="3"/>
      <c r="AG516" s="91"/>
      <c r="AP516" s="141"/>
      <c r="AQ516" s="141"/>
    </row>
    <row r="517" ht="15.75" customHeight="1">
      <c r="B517" s="182"/>
      <c r="C517" s="3"/>
      <c r="E517" s="3"/>
      <c r="H517" s="3"/>
      <c r="AG517" s="91"/>
      <c r="AP517" s="141"/>
      <c r="AQ517" s="141"/>
    </row>
    <row r="518" ht="15.75" customHeight="1">
      <c r="B518" s="182"/>
      <c r="C518" s="3"/>
      <c r="E518" s="3"/>
      <c r="H518" s="3"/>
      <c r="AG518" s="91"/>
      <c r="AP518" s="141"/>
      <c r="AQ518" s="141"/>
    </row>
    <row r="519" ht="15.75" customHeight="1">
      <c r="B519" s="182"/>
      <c r="C519" s="3"/>
      <c r="E519" s="3"/>
      <c r="H519" s="3"/>
      <c r="AG519" s="91"/>
      <c r="AP519" s="141"/>
      <c r="AQ519" s="141"/>
    </row>
    <row r="520" ht="15.75" customHeight="1">
      <c r="B520" s="182"/>
      <c r="C520" s="3"/>
      <c r="E520" s="3"/>
      <c r="H520" s="3"/>
      <c r="AG520" s="91"/>
      <c r="AP520" s="141"/>
      <c r="AQ520" s="141"/>
    </row>
    <row r="521" ht="15.75" customHeight="1">
      <c r="B521" s="182"/>
      <c r="C521" s="3"/>
      <c r="E521" s="3"/>
      <c r="H521" s="3"/>
      <c r="AG521" s="91"/>
      <c r="AP521" s="141"/>
      <c r="AQ521" s="141"/>
    </row>
    <row r="522" ht="15.75" customHeight="1">
      <c r="B522" s="182"/>
      <c r="C522" s="3"/>
      <c r="E522" s="3"/>
      <c r="H522" s="3"/>
      <c r="AG522" s="91"/>
      <c r="AP522" s="141"/>
      <c r="AQ522" s="141"/>
    </row>
    <row r="523" ht="15.75" customHeight="1">
      <c r="B523" s="182"/>
      <c r="C523" s="3"/>
      <c r="E523" s="3"/>
      <c r="H523" s="3"/>
      <c r="AG523" s="91"/>
      <c r="AP523" s="141"/>
      <c r="AQ523" s="141"/>
    </row>
    <row r="524" ht="15.75" customHeight="1">
      <c r="B524" s="182"/>
      <c r="C524" s="3"/>
      <c r="E524" s="3"/>
      <c r="H524" s="3"/>
      <c r="AG524" s="91"/>
      <c r="AP524" s="141"/>
      <c r="AQ524" s="141"/>
    </row>
    <row r="525" ht="15.75" customHeight="1">
      <c r="B525" s="182"/>
      <c r="C525" s="3"/>
      <c r="E525" s="3"/>
      <c r="H525" s="3"/>
      <c r="AG525" s="91"/>
      <c r="AP525" s="141"/>
      <c r="AQ525" s="141"/>
    </row>
    <row r="526" ht="15.75" customHeight="1">
      <c r="B526" s="182"/>
      <c r="C526" s="3"/>
      <c r="E526" s="3"/>
      <c r="H526" s="3"/>
      <c r="AG526" s="91"/>
      <c r="AP526" s="141"/>
      <c r="AQ526" s="141"/>
    </row>
    <row r="527" ht="15.75" customHeight="1">
      <c r="B527" s="182"/>
      <c r="C527" s="3"/>
      <c r="E527" s="3"/>
      <c r="H527" s="3"/>
      <c r="AG527" s="91"/>
      <c r="AP527" s="141"/>
      <c r="AQ527" s="141"/>
    </row>
    <row r="528" ht="15.75" customHeight="1">
      <c r="B528" s="182"/>
      <c r="C528" s="3"/>
      <c r="E528" s="3"/>
      <c r="H528" s="3"/>
      <c r="AG528" s="91"/>
      <c r="AP528" s="141"/>
      <c r="AQ528" s="141"/>
    </row>
    <row r="529" ht="15.75" customHeight="1">
      <c r="B529" s="182"/>
      <c r="C529" s="3"/>
      <c r="E529" s="3"/>
      <c r="H529" s="3"/>
      <c r="AG529" s="91"/>
      <c r="AP529" s="141"/>
      <c r="AQ529" s="141"/>
    </row>
    <row r="530" ht="15.75" customHeight="1">
      <c r="B530" s="182"/>
      <c r="C530" s="3"/>
      <c r="E530" s="3"/>
      <c r="H530" s="3"/>
      <c r="AG530" s="91"/>
      <c r="AP530" s="141"/>
      <c r="AQ530" s="141"/>
    </row>
    <row r="531" ht="15.75" customHeight="1">
      <c r="B531" s="182"/>
      <c r="C531" s="3"/>
      <c r="E531" s="3"/>
      <c r="H531" s="3"/>
      <c r="AG531" s="91"/>
      <c r="AP531" s="141"/>
      <c r="AQ531" s="141"/>
    </row>
    <row r="532" ht="15.75" customHeight="1">
      <c r="B532" s="182"/>
      <c r="C532" s="3"/>
      <c r="E532" s="3"/>
      <c r="H532" s="3"/>
      <c r="AG532" s="91"/>
      <c r="AP532" s="141"/>
      <c r="AQ532" s="141"/>
    </row>
    <row r="533" ht="15.75" customHeight="1">
      <c r="B533" s="182"/>
      <c r="C533" s="3"/>
      <c r="E533" s="3"/>
      <c r="H533" s="3"/>
      <c r="AG533" s="91"/>
      <c r="AP533" s="141"/>
      <c r="AQ533" s="141"/>
    </row>
    <row r="534" ht="15.75" customHeight="1">
      <c r="B534" s="182"/>
      <c r="C534" s="3"/>
      <c r="E534" s="3"/>
      <c r="H534" s="3"/>
      <c r="AG534" s="91"/>
      <c r="AP534" s="141"/>
      <c r="AQ534" s="141"/>
    </row>
    <row r="535" ht="15.75" customHeight="1">
      <c r="B535" s="182"/>
      <c r="C535" s="3"/>
      <c r="E535" s="3"/>
      <c r="H535" s="3"/>
      <c r="AG535" s="91"/>
      <c r="AP535" s="141"/>
      <c r="AQ535" s="141"/>
    </row>
    <row r="536" ht="15.75" customHeight="1">
      <c r="B536" s="182"/>
      <c r="C536" s="3"/>
      <c r="E536" s="3"/>
      <c r="H536" s="3"/>
      <c r="AG536" s="91"/>
      <c r="AP536" s="141"/>
      <c r="AQ536" s="141"/>
    </row>
    <row r="537" ht="15.75" customHeight="1">
      <c r="B537" s="182"/>
      <c r="C537" s="3"/>
      <c r="E537" s="3"/>
      <c r="H537" s="3"/>
      <c r="AG537" s="91"/>
      <c r="AP537" s="141"/>
      <c r="AQ537" s="141"/>
    </row>
    <row r="538" ht="15.75" customHeight="1">
      <c r="B538" s="182"/>
      <c r="C538" s="3"/>
      <c r="E538" s="3"/>
      <c r="H538" s="3"/>
      <c r="AG538" s="91"/>
      <c r="AP538" s="141"/>
      <c r="AQ538" s="141"/>
    </row>
    <row r="539" ht="15.75" customHeight="1">
      <c r="B539" s="182"/>
      <c r="C539" s="3"/>
      <c r="E539" s="3"/>
      <c r="H539" s="3"/>
      <c r="AG539" s="91"/>
      <c r="AP539" s="141"/>
      <c r="AQ539" s="141"/>
    </row>
    <row r="540" ht="15.75" customHeight="1">
      <c r="B540" s="182"/>
      <c r="C540" s="3"/>
      <c r="E540" s="3"/>
      <c r="H540" s="3"/>
      <c r="AG540" s="91"/>
      <c r="AP540" s="141"/>
      <c r="AQ540" s="141"/>
    </row>
    <row r="541" ht="15.75" customHeight="1">
      <c r="B541" s="182"/>
      <c r="C541" s="3"/>
      <c r="E541" s="3"/>
      <c r="H541" s="3"/>
      <c r="AG541" s="91"/>
      <c r="AP541" s="141"/>
      <c r="AQ541" s="141"/>
    </row>
    <row r="542" ht="15.75" customHeight="1">
      <c r="B542" s="182"/>
      <c r="C542" s="3"/>
      <c r="E542" s="3"/>
      <c r="H542" s="3"/>
      <c r="AG542" s="91"/>
      <c r="AP542" s="141"/>
      <c r="AQ542" s="141"/>
    </row>
    <row r="543" ht="15.75" customHeight="1">
      <c r="B543" s="182"/>
      <c r="C543" s="3"/>
      <c r="E543" s="3"/>
      <c r="H543" s="3"/>
      <c r="AG543" s="91"/>
      <c r="AP543" s="141"/>
      <c r="AQ543" s="141"/>
    </row>
    <row r="544" ht="15.75" customHeight="1">
      <c r="B544" s="182"/>
      <c r="C544" s="3"/>
      <c r="E544" s="3"/>
      <c r="H544" s="3"/>
      <c r="AG544" s="91"/>
      <c r="AP544" s="141"/>
      <c r="AQ544" s="141"/>
    </row>
    <row r="545" ht="15.75" customHeight="1">
      <c r="B545" s="182"/>
      <c r="C545" s="3"/>
      <c r="E545" s="3"/>
      <c r="H545" s="3"/>
      <c r="AG545" s="91"/>
      <c r="AP545" s="141"/>
      <c r="AQ545" s="141"/>
    </row>
    <row r="546" ht="15.75" customHeight="1">
      <c r="B546" s="182"/>
      <c r="C546" s="3"/>
      <c r="E546" s="3"/>
      <c r="H546" s="3"/>
      <c r="AG546" s="91"/>
      <c r="AP546" s="141"/>
      <c r="AQ546" s="141"/>
    </row>
    <row r="547" ht="15.75" customHeight="1">
      <c r="B547" s="182"/>
      <c r="C547" s="3"/>
      <c r="E547" s="3"/>
      <c r="H547" s="3"/>
      <c r="AG547" s="91"/>
      <c r="AP547" s="141"/>
      <c r="AQ547" s="141"/>
    </row>
    <row r="548" ht="15.75" customHeight="1">
      <c r="B548" s="182"/>
      <c r="C548" s="3"/>
      <c r="E548" s="3"/>
      <c r="H548" s="3"/>
      <c r="AG548" s="91"/>
      <c r="AP548" s="141"/>
      <c r="AQ548" s="141"/>
    </row>
    <row r="549" ht="15.75" customHeight="1">
      <c r="B549" s="182"/>
      <c r="C549" s="3"/>
      <c r="E549" s="3"/>
      <c r="H549" s="3"/>
      <c r="AG549" s="91"/>
      <c r="AP549" s="141"/>
      <c r="AQ549" s="141"/>
    </row>
    <row r="550" ht="15.75" customHeight="1">
      <c r="B550" s="182"/>
      <c r="C550" s="3"/>
      <c r="E550" s="3"/>
      <c r="H550" s="3"/>
      <c r="AG550" s="91"/>
      <c r="AP550" s="141"/>
      <c r="AQ550" s="141"/>
    </row>
    <row r="551" ht="15.75" customHeight="1">
      <c r="B551" s="182"/>
      <c r="C551" s="3"/>
      <c r="E551" s="3"/>
      <c r="H551" s="3"/>
      <c r="AG551" s="91"/>
      <c r="AP551" s="141"/>
      <c r="AQ551" s="141"/>
    </row>
    <row r="552" ht="15.75" customHeight="1">
      <c r="B552" s="182"/>
      <c r="C552" s="3"/>
      <c r="E552" s="3"/>
      <c r="H552" s="3"/>
      <c r="AG552" s="91"/>
      <c r="AP552" s="141"/>
      <c r="AQ552" s="141"/>
    </row>
    <row r="553" ht="15.75" customHeight="1">
      <c r="B553" s="182"/>
      <c r="C553" s="3"/>
      <c r="E553" s="3"/>
      <c r="H553" s="3"/>
      <c r="AG553" s="91"/>
      <c r="AP553" s="141"/>
      <c r="AQ553" s="141"/>
    </row>
    <row r="554" ht="15.75" customHeight="1">
      <c r="B554" s="182"/>
      <c r="C554" s="3"/>
      <c r="E554" s="3"/>
      <c r="H554" s="3"/>
      <c r="AG554" s="91"/>
      <c r="AP554" s="141"/>
      <c r="AQ554" s="141"/>
    </row>
    <row r="555" ht="15.75" customHeight="1">
      <c r="B555" s="182"/>
      <c r="C555" s="3"/>
      <c r="E555" s="3"/>
      <c r="H555" s="3"/>
      <c r="AG555" s="91"/>
      <c r="AP555" s="141"/>
      <c r="AQ555" s="141"/>
    </row>
    <row r="556" ht="15.75" customHeight="1">
      <c r="B556" s="182"/>
      <c r="C556" s="3"/>
      <c r="E556" s="3"/>
      <c r="H556" s="3"/>
      <c r="AG556" s="91"/>
      <c r="AP556" s="141"/>
      <c r="AQ556" s="141"/>
    </row>
    <row r="557" ht="15.75" customHeight="1">
      <c r="B557" s="182"/>
      <c r="C557" s="3"/>
      <c r="E557" s="3"/>
      <c r="H557" s="3"/>
      <c r="AG557" s="91"/>
      <c r="AP557" s="141"/>
      <c r="AQ557" s="141"/>
    </row>
    <row r="558" ht="15.75" customHeight="1">
      <c r="B558" s="182"/>
      <c r="C558" s="3"/>
      <c r="E558" s="3"/>
      <c r="H558" s="3"/>
      <c r="AG558" s="91"/>
      <c r="AP558" s="141"/>
      <c r="AQ558" s="141"/>
    </row>
    <row r="559" ht="15.75" customHeight="1">
      <c r="B559" s="182"/>
      <c r="C559" s="3"/>
      <c r="E559" s="3"/>
      <c r="H559" s="3"/>
      <c r="AG559" s="91"/>
      <c r="AP559" s="141"/>
      <c r="AQ559" s="141"/>
    </row>
    <row r="560" ht="15.75" customHeight="1">
      <c r="B560" s="182"/>
      <c r="C560" s="3"/>
      <c r="E560" s="3"/>
      <c r="H560" s="3"/>
      <c r="AG560" s="91"/>
      <c r="AP560" s="141"/>
      <c r="AQ560" s="141"/>
    </row>
    <row r="561" ht="15.75" customHeight="1">
      <c r="B561" s="182"/>
      <c r="C561" s="3"/>
      <c r="E561" s="3"/>
      <c r="H561" s="3"/>
      <c r="AG561" s="91"/>
      <c r="AP561" s="141"/>
      <c r="AQ561" s="141"/>
    </row>
    <row r="562" ht="15.75" customHeight="1">
      <c r="B562" s="182"/>
      <c r="C562" s="3"/>
      <c r="E562" s="3"/>
      <c r="H562" s="3"/>
      <c r="AG562" s="91"/>
      <c r="AP562" s="141"/>
      <c r="AQ562" s="141"/>
    </row>
    <row r="563" ht="15.75" customHeight="1">
      <c r="B563" s="182"/>
      <c r="C563" s="3"/>
      <c r="E563" s="3"/>
      <c r="H563" s="3"/>
      <c r="AG563" s="91"/>
      <c r="AP563" s="141"/>
      <c r="AQ563" s="141"/>
    </row>
    <row r="564" ht="15.75" customHeight="1">
      <c r="B564" s="182"/>
      <c r="C564" s="3"/>
      <c r="E564" s="3"/>
      <c r="H564" s="3"/>
      <c r="AG564" s="91"/>
      <c r="AP564" s="141"/>
      <c r="AQ564" s="141"/>
    </row>
    <row r="565" ht="15.75" customHeight="1">
      <c r="B565" s="182"/>
      <c r="C565" s="3"/>
      <c r="E565" s="3"/>
      <c r="H565" s="3"/>
      <c r="AG565" s="91"/>
      <c r="AP565" s="141"/>
      <c r="AQ565" s="141"/>
    </row>
    <row r="566" ht="15.75" customHeight="1">
      <c r="B566" s="182"/>
      <c r="C566" s="3"/>
      <c r="E566" s="3"/>
      <c r="H566" s="3"/>
      <c r="AG566" s="91"/>
      <c r="AP566" s="141"/>
      <c r="AQ566" s="141"/>
    </row>
    <row r="567" ht="15.75" customHeight="1">
      <c r="B567" s="182"/>
      <c r="C567" s="3"/>
      <c r="E567" s="3"/>
      <c r="H567" s="3"/>
      <c r="AG567" s="91"/>
      <c r="AP567" s="141"/>
      <c r="AQ567" s="141"/>
    </row>
    <row r="568" ht="15.75" customHeight="1">
      <c r="B568" s="182"/>
      <c r="C568" s="3"/>
      <c r="E568" s="3"/>
      <c r="H568" s="3"/>
      <c r="AG568" s="91"/>
      <c r="AP568" s="141"/>
      <c r="AQ568" s="141"/>
    </row>
    <row r="569" ht="15.75" customHeight="1">
      <c r="B569" s="182"/>
      <c r="C569" s="3"/>
      <c r="E569" s="3"/>
      <c r="H569" s="3"/>
      <c r="AG569" s="91"/>
      <c r="AP569" s="141"/>
      <c r="AQ569" s="141"/>
    </row>
    <row r="570" ht="15.75" customHeight="1">
      <c r="B570" s="182"/>
      <c r="C570" s="3"/>
      <c r="E570" s="3"/>
      <c r="H570" s="3"/>
      <c r="AG570" s="91"/>
      <c r="AP570" s="141"/>
      <c r="AQ570" s="141"/>
    </row>
    <row r="571" ht="15.75" customHeight="1">
      <c r="B571" s="182"/>
      <c r="C571" s="3"/>
      <c r="E571" s="3"/>
      <c r="H571" s="3"/>
      <c r="AG571" s="91"/>
      <c r="AP571" s="141"/>
      <c r="AQ571" s="141"/>
    </row>
    <row r="572" ht="15.75" customHeight="1">
      <c r="B572" s="182"/>
      <c r="C572" s="3"/>
      <c r="E572" s="3"/>
      <c r="H572" s="3"/>
      <c r="AG572" s="91"/>
      <c r="AP572" s="141"/>
      <c r="AQ572" s="141"/>
    </row>
    <row r="573" ht="15.75" customHeight="1">
      <c r="B573" s="182"/>
      <c r="C573" s="3"/>
      <c r="E573" s="3"/>
      <c r="H573" s="3"/>
      <c r="AG573" s="91"/>
      <c r="AP573" s="141"/>
      <c r="AQ573" s="141"/>
    </row>
    <row r="574" ht="15.75" customHeight="1">
      <c r="B574" s="182"/>
      <c r="C574" s="3"/>
      <c r="E574" s="3"/>
      <c r="H574" s="3"/>
      <c r="AG574" s="91"/>
      <c r="AP574" s="141"/>
      <c r="AQ574" s="141"/>
    </row>
    <row r="575" ht="15.75" customHeight="1">
      <c r="B575" s="182"/>
      <c r="C575" s="3"/>
      <c r="E575" s="3"/>
      <c r="H575" s="3"/>
      <c r="AG575" s="91"/>
      <c r="AP575" s="141"/>
      <c r="AQ575" s="141"/>
    </row>
    <row r="576" ht="15.75" customHeight="1">
      <c r="B576" s="182"/>
      <c r="C576" s="3"/>
      <c r="E576" s="3"/>
      <c r="H576" s="3"/>
      <c r="AG576" s="91"/>
      <c r="AP576" s="141"/>
      <c r="AQ576" s="141"/>
    </row>
    <row r="577" ht="15.75" customHeight="1">
      <c r="B577" s="182"/>
      <c r="C577" s="3"/>
      <c r="E577" s="3"/>
      <c r="H577" s="3"/>
      <c r="AG577" s="91"/>
      <c r="AP577" s="141"/>
      <c r="AQ577" s="141"/>
    </row>
    <row r="578" ht="15.75" customHeight="1">
      <c r="B578" s="182"/>
      <c r="C578" s="3"/>
      <c r="E578" s="3"/>
      <c r="H578" s="3"/>
      <c r="AG578" s="91"/>
      <c r="AP578" s="141"/>
      <c r="AQ578" s="141"/>
    </row>
    <row r="579" ht="15.75" customHeight="1">
      <c r="B579" s="182"/>
      <c r="C579" s="3"/>
      <c r="E579" s="3"/>
      <c r="H579" s="3"/>
      <c r="AG579" s="91"/>
      <c r="AP579" s="141"/>
      <c r="AQ579" s="141"/>
    </row>
    <row r="580" ht="15.75" customHeight="1">
      <c r="B580" s="182"/>
      <c r="C580" s="3"/>
      <c r="E580" s="3"/>
      <c r="H580" s="3"/>
      <c r="AG580" s="91"/>
      <c r="AP580" s="141"/>
      <c r="AQ580" s="141"/>
    </row>
    <row r="581" ht="15.75" customHeight="1">
      <c r="B581" s="182"/>
      <c r="C581" s="3"/>
      <c r="E581" s="3"/>
      <c r="H581" s="3"/>
      <c r="AG581" s="91"/>
      <c r="AP581" s="141"/>
      <c r="AQ581" s="141"/>
    </row>
    <row r="582" ht="15.75" customHeight="1">
      <c r="B582" s="182"/>
      <c r="C582" s="3"/>
      <c r="E582" s="3"/>
      <c r="H582" s="3"/>
      <c r="AG582" s="91"/>
      <c r="AP582" s="141"/>
      <c r="AQ582" s="141"/>
    </row>
    <row r="583" ht="15.75" customHeight="1">
      <c r="B583" s="182"/>
      <c r="C583" s="3"/>
      <c r="E583" s="3"/>
      <c r="H583" s="3"/>
      <c r="AG583" s="91"/>
      <c r="AP583" s="141"/>
      <c r="AQ583" s="141"/>
    </row>
    <row r="584" ht="15.75" customHeight="1">
      <c r="B584" s="182"/>
      <c r="C584" s="3"/>
      <c r="E584" s="3"/>
      <c r="H584" s="3"/>
      <c r="AG584" s="91"/>
      <c r="AP584" s="141"/>
      <c r="AQ584" s="141"/>
    </row>
    <row r="585" ht="15.75" customHeight="1">
      <c r="B585" s="182"/>
      <c r="C585" s="3"/>
      <c r="E585" s="3"/>
      <c r="H585" s="3"/>
      <c r="AG585" s="91"/>
      <c r="AP585" s="141"/>
      <c r="AQ585" s="141"/>
    </row>
    <row r="586" ht="15.75" customHeight="1">
      <c r="B586" s="182"/>
      <c r="C586" s="3"/>
      <c r="E586" s="3"/>
      <c r="H586" s="3"/>
      <c r="AG586" s="91"/>
      <c r="AP586" s="141"/>
      <c r="AQ586" s="141"/>
    </row>
    <row r="587" ht="15.75" customHeight="1">
      <c r="B587" s="182"/>
      <c r="C587" s="3"/>
      <c r="E587" s="3"/>
      <c r="H587" s="3"/>
      <c r="AG587" s="91"/>
      <c r="AP587" s="141"/>
      <c r="AQ587" s="141"/>
    </row>
    <row r="588" ht="15.75" customHeight="1">
      <c r="B588" s="182"/>
      <c r="C588" s="3"/>
      <c r="E588" s="3"/>
      <c r="H588" s="3"/>
      <c r="AG588" s="91"/>
      <c r="AP588" s="141"/>
      <c r="AQ588" s="141"/>
    </row>
    <row r="589" ht="15.75" customHeight="1">
      <c r="B589" s="182"/>
      <c r="C589" s="3"/>
      <c r="E589" s="3"/>
      <c r="H589" s="3"/>
      <c r="AG589" s="91"/>
      <c r="AP589" s="141"/>
      <c r="AQ589" s="141"/>
    </row>
    <row r="590" ht="15.75" customHeight="1">
      <c r="B590" s="182"/>
      <c r="C590" s="3"/>
      <c r="E590" s="3"/>
      <c r="H590" s="3"/>
      <c r="AG590" s="91"/>
      <c r="AP590" s="141"/>
      <c r="AQ590" s="141"/>
    </row>
    <row r="591" ht="15.75" customHeight="1">
      <c r="B591" s="182"/>
      <c r="C591" s="3"/>
      <c r="E591" s="3"/>
      <c r="H591" s="3"/>
      <c r="AG591" s="91"/>
      <c r="AP591" s="141"/>
      <c r="AQ591" s="141"/>
    </row>
    <row r="592" ht="15.75" customHeight="1">
      <c r="B592" s="182"/>
      <c r="C592" s="3"/>
      <c r="E592" s="3"/>
      <c r="H592" s="3"/>
      <c r="AG592" s="91"/>
      <c r="AP592" s="141"/>
      <c r="AQ592" s="141"/>
    </row>
    <row r="593" ht="15.75" customHeight="1">
      <c r="B593" s="182"/>
      <c r="C593" s="3"/>
      <c r="E593" s="3"/>
      <c r="H593" s="3"/>
      <c r="AG593" s="91"/>
      <c r="AP593" s="141"/>
      <c r="AQ593" s="141"/>
    </row>
    <row r="594" ht="15.75" customHeight="1">
      <c r="B594" s="182"/>
      <c r="C594" s="3"/>
      <c r="E594" s="3"/>
      <c r="H594" s="3"/>
      <c r="AG594" s="91"/>
      <c r="AP594" s="141"/>
      <c r="AQ594" s="141"/>
    </row>
    <row r="595" ht="15.75" customHeight="1">
      <c r="B595" s="182"/>
      <c r="C595" s="3"/>
      <c r="E595" s="3"/>
      <c r="H595" s="3"/>
      <c r="AG595" s="91"/>
      <c r="AP595" s="141"/>
      <c r="AQ595" s="141"/>
    </row>
    <row r="596" ht="15.75" customHeight="1">
      <c r="B596" s="182"/>
      <c r="C596" s="3"/>
      <c r="E596" s="3"/>
      <c r="H596" s="3"/>
      <c r="AG596" s="91"/>
      <c r="AP596" s="141"/>
      <c r="AQ596" s="141"/>
    </row>
    <row r="597" ht="15.75" customHeight="1">
      <c r="B597" s="182"/>
      <c r="C597" s="3"/>
      <c r="E597" s="3"/>
      <c r="H597" s="3"/>
      <c r="AG597" s="91"/>
      <c r="AP597" s="141"/>
      <c r="AQ597" s="141"/>
    </row>
    <row r="598" ht="15.75" customHeight="1">
      <c r="B598" s="182"/>
      <c r="C598" s="3"/>
      <c r="E598" s="3"/>
      <c r="H598" s="3"/>
      <c r="AG598" s="91"/>
      <c r="AP598" s="141"/>
      <c r="AQ598" s="141"/>
    </row>
    <row r="599" ht="15.75" customHeight="1">
      <c r="B599" s="182"/>
      <c r="C599" s="3"/>
      <c r="E599" s="3"/>
      <c r="H599" s="3"/>
      <c r="AG599" s="91"/>
      <c r="AP599" s="141"/>
      <c r="AQ599" s="141"/>
    </row>
    <row r="600" ht="15.75" customHeight="1">
      <c r="B600" s="182"/>
      <c r="C600" s="3"/>
      <c r="E600" s="3"/>
      <c r="H600" s="3"/>
      <c r="AG600" s="91"/>
      <c r="AP600" s="141"/>
      <c r="AQ600" s="141"/>
    </row>
    <row r="601" ht="15.75" customHeight="1">
      <c r="B601" s="182"/>
      <c r="C601" s="3"/>
      <c r="E601" s="3"/>
      <c r="H601" s="3"/>
      <c r="AG601" s="91"/>
      <c r="AP601" s="141"/>
      <c r="AQ601" s="141"/>
    </row>
    <row r="602" ht="15.75" customHeight="1">
      <c r="B602" s="182"/>
      <c r="C602" s="3"/>
      <c r="E602" s="3"/>
      <c r="H602" s="3"/>
      <c r="AG602" s="91"/>
      <c r="AP602" s="141"/>
      <c r="AQ602" s="141"/>
    </row>
    <row r="603" ht="15.75" customHeight="1">
      <c r="B603" s="182"/>
      <c r="C603" s="3"/>
      <c r="E603" s="3"/>
      <c r="H603" s="3"/>
      <c r="AG603" s="91"/>
      <c r="AP603" s="141"/>
      <c r="AQ603" s="141"/>
    </row>
    <row r="604" ht="15.75" customHeight="1">
      <c r="B604" s="182"/>
      <c r="C604" s="3"/>
      <c r="E604" s="3"/>
      <c r="H604" s="3"/>
      <c r="AG604" s="91"/>
      <c r="AP604" s="141"/>
      <c r="AQ604" s="141"/>
    </row>
    <row r="605" ht="15.75" customHeight="1">
      <c r="B605" s="182"/>
      <c r="C605" s="3"/>
      <c r="E605" s="3"/>
      <c r="H605" s="3"/>
      <c r="AG605" s="91"/>
      <c r="AP605" s="141"/>
      <c r="AQ605" s="141"/>
    </row>
    <row r="606" ht="15.75" customHeight="1">
      <c r="B606" s="182"/>
      <c r="C606" s="3"/>
      <c r="E606" s="3"/>
      <c r="H606" s="3"/>
      <c r="AG606" s="91"/>
      <c r="AP606" s="141"/>
      <c r="AQ606" s="141"/>
    </row>
    <row r="607" ht="15.75" customHeight="1">
      <c r="B607" s="182"/>
      <c r="C607" s="3"/>
      <c r="E607" s="3"/>
      <c r="H607" s="3"/>
      <c r="AG607" s="91"/>
      <c r="AP607" s="141"/>
      <c r="AQ607" s="141"/>
    </row>
    <row r="608" ht="15.75" customHeight="1">
      <c r="B608" s="182"/>
      <c r="C608" s="3"/>
      <c r="E608" s="3"/>
      <c r="H608" s="3"/>
      <c r="AG608" s="91"/>
      <c r="AP608" s="141"/>
      <c r="AQ608" s="141"/>
    </row>
    <row r="609" ht="15.75" customHeight="1">
      <c r="B609" s="182"/>
      <c r="C609" s="3"/>
      <c r="E609" s="3"/>
      <c r="H609" s="3"/>
      <c r="AG609" s="91"/>
      <c r="AP609" s="141"/>
      <c r="AQ609" s="141"/>
    </row>
    <row r="610" ht="15.75" customHeight="1">
      <c r="B610" s="182"/>
      <c r="C610" s="3"/>
      <c r="E610" s="3"/>
      <c r="H610" s="3"/>
      <c r="AG610" s="91"/>
      <c r="AP610" s="141"/>
      <c r="AQ610" s="141"/>
    </row>
    <row r="611" ht="15.75" customHeight="1">
      <c r="B611" s="182"/>
      <c r="C611" s="3"/>
      <c r="E611" s="3"/>
      <c r="H611" s="3"/>
      <c r="AG611" s="91"/>
      <c r="AP611" s="141"/>
      <c r="AQ611" s="141"/>
    </row>
    <row r="612" ht="15.75" customHeight="1">
      <c r="B612" s="182"/>
      <c r="C612" s="3"/>
      <c r="E612" s="3"/>
      <c r="H612" s="3"/>
      <c r="AG612" s="91"/>
      <c r="AP612" s="141"/>
      <c r="AQ612" s="141"/>
    </row>
    <row r="613" ht="15.75" customHeight="1">
      <c r="B613" s="182"/>
      <c r="C613" s="3"/>
      <c r="E613" s="3"/>
      <c r="H613" s="3"/>
      <c r="AG613" s="91"/>
      <c r="AP613" s="141"/>
      <c r="AQ613" s="141"/>
    </row>
    <row r="614" ht="15.75" customHeight="1">
      <c r="B614" s="182"/>
      <c r="C614" s="3"/>
      <c r="E614" s="3"/>
      <c r="H614" s="3"/>
      <c r="AG614" s="91"/>
      <c r="AP614" s="141"/>
      <c r="AQ614" s="141"/>
    </row>
    <row r="615" ht="15.75" customHeight="1">
      <c r="B615" s="182"/>
      <c r="C615" s="3"/>
      <c r="E615" s="3"/>
      <c r="H615" s="3"/>
      <c r="AG615" s="91"/>
      <c r="AP615" s="141"/>
      <c r="AQ615" s="141"/>
    </row>
    <row r="616" ht="15.75" customHeight="1">
      <c r="B616" s="182"/>
      <c r="C616" s="3"/>
      <c r="E616" s="3"/>
      <c r="H616" s="3"/>
      <c r="AG616" s="91"/>
      <c r="AP616" s="141"/>
      <c r="AQ616" s="141"/>
    </row>
    <row r="617" ht="15.75" customHeight="1">
      <c r="B617" s="182"/>
      <c r="C617" s="3"/>
      <c r="E617" s="3"/>
      <c r="H617" s="3"/>
      <c r="AG617" s="91"/>
      <c r="AP617" s="141"/>
      <c r="AQ617" s="141"/>
    </row>
    <row r="618" ht="15.75" customHeight="1">
      <c r="B618" s="182"/>
      <c r="C618" s="3"/>
      <c r="E618" s="3"/>
      <c r="H618" s="3"/>
      <c r="AG618" s="91"/>
      <c r="AP618" s="141"/>
      <c r="AQ618" s="141"/>
    </row>
    <row r="619" ht="15.75" customHeight="1">
      <c r="B619" s="182"/>
      <c r="C619" s="3"/>
      <c r="E619" s="3"/>
      <c r="H619" s="3"/>
      <c r="AG619" s="91"/>
      <c r="AP619" s="141"/>
      <c r="AQ619" s="141"/>
    </row>
    <row r="620" ht="15.75" customHeight="1">
      <c r="B620" s="182"/>
      <c r="C620" s="3"/>
      <c r="E620" s="3"/>
      <c r="H620" s="3"/>
      <c r="AG620" s="91"/>
      <c r="AP620" s="141"/>
      <c r="AQ620" s="141"/>
    </row>
    <row r="621" ht="15.75" customHeight="1">
      <c r="B621" s="182"/>
      <c r="C621" s="3"/>
      <c r="E621" s="3"/>
      <c r="H621" s="3"/>
      <c r="AG621" s="91"/>
      <c r="AP621" s="141"/>
      <c r="AQ621" s="141"/>
    </row>
    <row r="622" ht="15.75" customHeight="1">
      <c r="B622" s="182"/>
      <c r="C622" s="3"/>
      <c r="E622" s="3"/>
      <c r="H622" s="3"/>
      <c r="AG622" s="91"/>
      <c r="AP622" s="141"/>
      <c r="AQ622" s="141"/>
    </row>
    <row r="623" ht="15.75" customHeight="1">
      <c r="B623" s="182"/>
      <c r="C623" s="3"/>
      <c r="E623" s="3"/>
      <c r="H623" s="3"/>
      <c r="AG623" s="91"/>
      <c r="AP623" s="141"/>
      <c r="AQ623" s="141"/>
    </row>
    <row r="624" ht="15.75" customHeight="1">
      <c r="B624" s="182"/>
      <c r="C624" s="3"/>
      <c r="E624" s="3"/>
      <c r="H624" s="3"/>
      <c r="AG624" s="91"/>
      <c r="AP624" s="141"/>
      <c r="AQ624" s="141"/>
    </row>
    <row r="625" ht="15.75" customHeight="1">
      <c r="B625" s="182"/>
      <c r="C625" s="3"/>
      <c r="E625" s="3"/>
      <c r="H625" s="3"/>
      <c r="AG625" s="91"/>
      <c r="AP625" s="141"/>
      <c r="AQ625" s="141"/>
    </row>
    <row r="626" ht="15.75" customHeight="1">
      <c r="B626" s="182"/>
      <c r="C626" s="3"/>
      <c r="E626" s="3"/>
      <c r="H626" s="3"/>
      <c r="AG626" s="91"/>
      <c r="AP626" s="141"/>
      <c r="AQ626" s="141"/>
    </row>
    <row r="627" ht="15.75" customHeight="1">
      <c r="B627" s="182"/>
      <c r="C627" s="3"/>
      <c r="E627" s="3"/>
      <c r="H627" s="3"/>
      <c r="AG627" s="91"/>
      <c r="AP627" s="141"/>
      <c r="AQ627" s="141"/>
    </row>
    <row r="628" ht="15.75" customHeight="1">
      <c r="B628" s="182"/>
      <c r="C628" s="3"/>
      <c r="E628" s="3"/>
      <c r="H628" s="3"/>
      <c r="AG628" s="91"/>
      <c r="AP628" s="141"/>
      <c r="AQ628" s="141"/>
    </row>
    <row r="629" ht="15.75" customHeight="1">
      <c r="B629" s="182"/>
      <c r="C629" s="3"/>
      <c r="E629" s="3"/>
      <c r="H629" s="3"/>
      <c r="AG629" s="91"/>
      <c r="AP629" s="141"/>
      <c r="AQ629" s="141"/>
    </row>
    <row r="630" ht="15.75" customHeight="1">
      <c r="B630" s="182"/>
      <c r="C630" s="3"/>
      <c r="E630" s="3"/>
      <c r="H630" s="3"/>
      <c r="AG630" s="91"/>
      <c r="AP630" s="141"/>
      <c r="AQ630" s="141"/>
    </row>
    <row r="631" ht="15.75" customHeight="1">
      <c r="B631" s="182"/>
      <c r="C631" s="3"/>
      <c r="E631" s="3"/>
      <c r="H631" s="3"/>
      <c r="AG631" s="91"/>
      <c r="AP631" s="141"/>
      <c r="AQ631" s="141"/>
    </row>
    <row r="632" ht="15.75" customHeight="1">
      <c r="B632" s="182"/>
      <c r="C632" s="3"/>
      <c r="E632" s="3"/>
      <c r="H632" s="3"/>
      <c r="AG632" s="91"/>
      <c r="AP632" s="141"/>
      <c r="AQ632" s="141"/>
    </row>
    <row r="633" ht="15.75" customHeight="1">
      <c r="B633" s="182"/>
      <c r="C633" s="3"/>
      <c r="E633" s="3"/>
      <c r="H633" s="3"/>
      <c r="AG633" s="91"/>
      <c r="AP633" s="141"/>
      <c r="AQ633" s="141"/>
    </row>
    <row r="634" ht="15.75" customHeight="1">
      <c r="B634" s="182"/>
      <c r="C634" s="3"/>
      <c r="E634" s="3"/>
      <c r="H634" s="3"/>
      <c r="AG634" s="91"/>
      <c r="AP634" s="141"/>
      <c r="AQ634" s="141"/>
    </row>
    <row r="635" ht="15.75" customHeight="1">
      <c r="B635" s="182"/>
      <c r="C635" s="3"/>
      <c r="E635" s="3"/>
      <c r="H635" s="3"/>
      <c r="AG635" s="91"/>
      <c r="AP635" s="141"/>
      <c r="AQ635" s="141"/>
    </row>
    <row r="636" ht="15.75" customHeight="1">
      <c r="B636" s="182"/>
      <c r="C636" s="3"/>
      <c r="E636" s="3"/>
      <c r="H636" s="3"/>
      <c r="AG636" s="91"/>
      <c r="AP636" s="141"/>
      <c r="AQ636" s="141"/>
    </row>
    <row r="637" ht="15.75" customHeight="1">
      <c r="B637" s="182"/>
      <c r="C637" s="3"/>
      <c r="E637" s="3"/>
      <c r="H637" s="3"/>
      <c r="AG637" s="91"/>
      <c r="AP637" s="141"/>
      <c r="AQ637" s="141"/>
    </row>
    <row r="638" ht="15.75" customHeight="1">
      <c r="B638" s="182"/>
      <c r="C638" s="3"/>
      <c r="E638" s="3"/>
      <c r="H638" s="3"/>
      <c r="AG638" s="91"/>
      <c r="AP638" s="141"/>
      <c r="AQ638" s="141"/>
    </row>
    <row r="639" ht="15.75" customHeight="1">
      <c r="B639" s="182"/>
      <c r="C639" s="3"/>
      <c r="E639" s="3"/>
      <c r="H639" s="3"/>
      <c r="AG639" s="91"/>
      <c r="AP639" s="141"/>
      <c r="AQ639" s="141"/>
    </row>
    <row r="640" ht="15.75" customHeight="1">
      <c r="B640" s="182"/>
      <c r="C640" s="3"/>
      <c r="E640" s="3"/>
      <c r="H640" s="3"/>
      <c r="AG640" s="91"/>
      <c r="AP640" s="141"/>
      <c r="AQ640" s="141"/>
    </row>
    <row r="641" ht="15.75" customHeight="1">
      <c r="B641" s="182"/>
      <c r="C641" s="3"/>
      <c r="E641" s="3"/>
      <c r="H641" s="3"/>
      <c r="AG641" s="91"/>
      <c r="AP641" s="141"/>
      <c r="AQ641" s="141"/>
    </row>
    <row r="642" ht="15.75" customHeight="1">
      <c r="B642" s="182"/>
      <c r="C642" s="3"/>
      <c r="E642" s="3"/>
      <c r="H642" s="3"/>
      <c r="AG642" s="91"/>
      <c r="AP642" s="141"/>
      <c r="AQ642" s="141"/>
    </row>
    <row r="643" ht="15.75" customHeight="1">
      <c r="B643" s="182"/>
      <c r="C643" s="3"/>
      <c r="E643" s="3"/>
      <c r="H643" s="3"/>
      <c r="AG643" s="91"/>
      <c r="AP643" s="141"/>
      <c r="AQ643" s="141"/>
    </row>
    <row r="644" ht="15.75" customHeight="1">
      <c r="B644" s="182"/>
      <c r="C644" s="3"/>
      <c r="E644" s="3"/>
      <c r="H644" s="3"/>
      <c r="AG644" s="91"/>
      <c r="AP644" s="141"/>
      <c r="AQ644" s="141"/>
    </row>
    <row r="645" ht="15.75" customHeight="1">
      <c r="B645" s="182"/>
      <c r="C645" s="3"/>
      <c r="E645" s="3"/>
      <c r="H645" s="3"/>
      <c r="AG645" s="91"/>
      <c r="AP645" s="141"/>
      <c r="AQ645" s="141"/>
    </row>
    <row r="646" ht="15.75" customHeight="1">
      <c r="B646" s="182"/>
      <c r="C646" s="3"/>
      <c r="E646" s="3"/>
      <c r="H646" s="3"/>
      <c r="AG646" s="91"/>
      <c r="AP646" s="141"/>
      <c r="AQ646" s="141"/>
    </row>
    <row r="647" ht="15.75" customHeight="1">
      <c r="B647" s="182"/>
      <c r="C647" s="3"/>
      <c r="E647" s="3"/>
      <c r="H647" s="3"/>
      <c r="AG647" s="91"/>
      <c r="AP647" s="141"/>
      <c r="AQ647" s="141"/>
    </row>
    <row r="648" ht="15.75" customHeight="1">
      <c r="B648" s="182"/>
      <c r="C648" s="3"/>
      <c r="E648" s="3"/>
      <c r="H648" s="3"/>
      <c r="AG648" s="91"/>
      <c r="AP648" s="141"/>
      <c r="AQ648" s="141"/>
    </row>
    <row r="649" ht="15.75" customHeight="1">
      <c r="B649" s="182"/>
      <c r="C649" s="3"/>
      <c r="E649" s="3"/>
      <c r="H649" s="3"/>
      <c r="AG649" s="91"/>
      <c r="AP649" s="141"/>
      <c r="AQ649" s="141"/>
    </row>
    <row r="650" ht="15.75" customHeight="1">
      <c r="B650" s="182"/>
      <c r="C650" s="3"/>
      <c r="E650" s="3"/>
      <c r="H650" s="3"/>
      <c r="AG650" s="91"/>
      <c r="AP650" s="141"/>
      <c r="AQ650" s="141"/>
    </row>
    <row r="651" ht="15.75" customHeight="1">
      <c r="B651" s="182"/>
      <c r="C651" s="3"/>
      <c r="E651" s="3"/>
      <c r="H651" s="3"/>
      <c r="AG651" s="91"/>
      <c r="AP651" s="141"/>
      <c r="AQ651" s="141"/>
    </row>
    <row r="652" ht="15.75" customHeight="1">
      <c r="B652" s="182"/>
      <c r="C652" s="3"/>
      <c r="E652" s="3"/>
      <c r="H652" s="3"/>
      <c r="AG652" s="91"/>
      <c r="AP652" s="141"/>
      <c r="AQ652" s="141"/>
    </row>
    <row r="653" ht="15.75" customHeight="1">
      <c r="B653" s="182"/>
      <c r="C653" s="3"/>
      <c r="E653" s="3"/>
      <c r="H653" s="3"/>
      <c r="AG653" s="91"/>
      <c r="AP653" s="141"/>
      <c r="AQ653" s="141"/>
    </row>
    <row r="654" ht="15.75" customHeight="1">
      <c r="B654" s="182"/>
      <c r="C654" s="3"/>
      <c r="E654" s="3"/>
      <c r="H654" s="3"/>
      <c r="AG654" s="91"/>
      <c r="AP654" s="141"/>
      <c r="AQ654" s="141"/>
    </row>
    <row r="655" ht="15.75" customHeight="1">
      <c r="B655" s="182"/>
      <c r="C655" s="3"/>
      <c r="E655" s="3"/>
      <c r="H655" s="3"/>
      <c r="AG655" s="91"/>
      <c r="AP655" s="141"/>
      <c r="AQ655" s="141"/>
    </row>
    <row r="656" ht="15.75" customHeight="1">
      <c r="B656" s="182"/>
      <c r="C656" s="3"/>
      <c r="E656" s="3"/>
      <c r="H656" s="3"/>
      <c r="AG656" s="91"/>
      <c r="AP656" s="141"/>
      <c r="AQ656" s="141"/>
    </row>
    <row r="657" ht="15.75" customHeight="1">
      <c r="B657" s="182"/>
      <c r="C657" s="3"/>
      <c r="E657" s="3"/>
      <c r="H657" s="3"/>
      <c r="AG657" s="91"/>
      <c r="AP657" s="141"/>
      <c r="AQ657" s="141"/>
    </row>
    <row r="658" ht="15.75" customHeight="1">
      <c r="B658" s="182"/>
      <c r="C658" s="3"/>
      <c r="E658" s="3"/>
      <c r="H658" s="3"/>
      <c r="AG658" s="91"/>
      <c r="AP658" s="141"/>
      <c r="AQ658" s="141"/>
    </row>
    <row r="659" ht="15.75" customHeight="1">
      <c r="B659" s="182"/>
      <c r="C659" s="3"/>
      <c r="E659" s="3"/>
      <c r="H659" s="3"/>
      <c r="AG659" s="91"/>
      <c r="AP659" s="141"/>
      <c r="AQ659" s="141"/>
    </row>
    <row r="660" ht="15.75" customHeight="1">
      <c r="B660" s="182"/>
      <c r="C660" s="3"/>
      <c r="E660" s="3"/>
      <c r="H660" s="3"/>
      <c r="AG660" s="91"/>
      <c r="AP660" s="141"/>
      <c r="AQ660" s="141"/>
    </row>
    <row r="661" ht="15.75" customHeight="1">
      <c r="B661" s="182"/>
      <c r="C661" s="3"/>
      <c r="E661" s="3"/>
      <c r="H661" s="3"/>
      <c r="AG661" s="91"/>
      <c r="AP661" s="141"/>
      <c r="AQ661" s="141"/>
    </row>
    <row r="662" ht="15.75" customHeight="1">
      <c r="B662" s="182"/>
      <c r="C662" s="3"/>
      <c r="E662" s="3"/>
      <c r="H662" s="3"/>
      <c r="AG662" s="91"/>
      <c r="AP662" s="141"/>
      <c r="AQ662" s="141"/>
    </row>
    <row r="663" ht="15.75" customHeight="1">
      <c r="B663" s="182"/>
      <c r="C663" s="3"/>
      <c r="E663" s="3"/>
      <c r="H663" s="3"/>
      <c r="AG663" s="91"/>
      <c r="AP663" s="141"/>
      <c r="AQ663" s="141"/>
    </row>
    <row r="664" ht="15.75" customHeight="1">
      <c r="B664" s="182"/>
      <c r="C664" s="3"/>
      <c r="E664" s="3"/>
      <c r="H664" s="3"/>
      <c r="AG664" s="91"/>
      <c r="AP664" s="141"/>
      <c r="AQ664" s="141"/>
    </row>
    <row r="665" ht="15.75" customHeight="1">
      <c r="B665" s="182"/>
      <c r="C665" s="3"/>
      <c r="E665" s="3"/>
      <c r="H665" s="3"/>
      <c r="AG665" s="91"/>
      <c r="AP665" s="141"/>
      <c r="AQ665" s="141"/>
    </row>
    <row r="666" ht="15.75" customHeight="1">
      <c r="B666" s="182"/>
      <c r="C666" s="3"/>
      <c r="E666" s="3"/>
      <c r="H666" s="3"/>
      <c r="AG666" s="91"/>
      <c r="AP666" s="141"/>
      <c r="AQ666" s="141"/>
    </row>
    <row r="667" ht="15.75" customHeight="1">
      <c r="B667" s="182"/>
      <c r="C667" s="3"/>
      <c r="E667" s="3"/>
      <c r="H667" s="3"/>
      <c r="AG667" s="91"/>
      <c r="AP667" s="141"/>
      <c r="AQ667" s="141"/>
    </row>
    <row r="668" ht="15.75" customHeight="1">
      <c r="B668" s="182"/>
      <c r="C668" s="3"/>
      <c r="E668" s="3"/>
      <c r="H668" s="3"/>
      <c r="AG668" s="91"/>
      <c r="AP668" s="141"/>
      <c r="AQ668" s="141"/>
    </row>
    <row r="669" ht="15.75" customHeight="1">
      <c r="B669" s="182"/>
      <c r="C669" s="3"/>
      <c r="E669" s="3"/>
      <c r="H669" s="3"/>
      <c r="AG669" s="91"/>
      <c r="AP669" s="141"/>
      <c r="AQ669" s="141"/>
    </row>
    <row r="670" ht="15.75" customHeight="1">
      <c r="B670" s="182"/>
      <c r="C670" s="3"/>
      <c r="E670" s="3"/>
      <c r="H670" s="3"/>
      <c r="AG670" s="91"/>
      <c r="AP670" s="141"/>
      <c r="AQ670" s="141"/>
    </row>
    <row r="671" ht="15.75" customHeight="1">
      <c r="B671" s="182"/>
      <c r="C671" s="3"/>
      <c r="E671" s="3"/>
      <c r="H671" s="3"/>
      <c r="AG671" s="91"/>
      <c r="AP671" s="141"/>
      <c r="AQ671" s="141"/>
    </row>
    <row r="672" ht="15.75" customHeight="1">
      <c r="B672" s="182"/>
      <c r="C672" s="3"/>
      <c r="E672" s="3"/>
      <c r="H672" s="3"/>
      <c r="AG672" s="91"/>
      <c r="AP672" s="141"/>
      <c r="AQ672" s="141"/>
    </row>
    <row r="673" ht="15.75" customHeight="1">
      <c r="B673" s="182"/>
      <c r="C673" s="3"/>
      <c r="E673" s="3"/>
      <c r="H673" s="3"/>
      <c r="AG673" s="91"/>
      <c r="AP673" s="141"/>
      <c r="AQ673" s="141"/>
    </row>
    <row r="674" ht="15.75" customHeight="1">
      <c r="B674" s="182"/>
      <c r="C674" s="3"/>
      <c r="E674" s="3"/>
      <c r="H674" s="3"/>
      <c r="AG674" s="91"/>
      <c r="AP674" s="141"/>
      <c r="AQ674" s="141"/>
    </row>
    <row r="675" ht="15.75" customHeight="1">
      <c r="B675" s="182"/>
      <c r="C675" s="3"/>
      <c r="E675" s="3"/>
      <c r="H675" s="3"/>
      <c r="AG675" s="91"/>
      <c r="AP675" s="141"/>
      <c r="AQ675" s="141"/>
    </row>
    <row r="676" ht="15.75" customHeight="1">
      <c r="B676" s="182"/>
      <c r="C676" s="3"/>
      <c r="E676" s="3"/>
      <c r="H676" s="3"/>
      <c r="AG676" s="91"/>
      <c r="AP676" s="141"/>
      <c r="AQ676" s="141"/>
    </row>
    <row r="677" ht="15.75" customHeight="1">
      <c r="B677" s="182"/>
      <c r="C677" s="3"/>
      <c r="E677" s="3"/>
      <c r="H677" s="3"/>
      <c r="AG677" s="91"/>
      <c r="AP677" s="141"/>
      <c r="AQ677" s="141"/>
    </row>
    <row r="678" ht="15.75" customHeight="1">
      <c r="B678" s="182"/>
      <c r="C678" s="3"/>
      <c r="E678" s="3"/>
      <c r="H678" s="3"/>
      <c r="AG678" s="91"/>
      <c r="AP678" s="141"/>
      <c r="AQ678" s="141"/>
    </row>
    <row r="679" ht="15.75" customHeight="1">
      <c r="B679" s="182"/>
      <c r="C679" s="3"/>
      <c r="E679" s="3"/>
      <c r="H679" s="3"/>
      <c r="AG679" s="91"/>
      <c r="AP679" s="141"/>
      <c r="AQ679" s="141"/>
    </row>
    <row r="680" ht="15.75" customHeight="1">
      <c r="B680" s="182"/>
      <c r="C680" s="3"/>
      <c r="E680" s="3"/>
      <c r="H680" s="3"/>
      <c r="AG680" s="91"/>
      <c r="AP680" s="141"/>
      <c r="AQ680" s="141"/>
    </row>
    <row r="681" ht="15.75" customHeight="1">
      <c r="B681" s="182"/>
      <c r="C681" s="3"/>
      <c r="E681" s="3"/>
      <c r="H681" s="3"/>
      <c r="AG681" s="91"/>
      <c r="AP681" s="141"/>
      <c r="AQ681" s="141"/>
    </row>
    <row r="682" ht="15.75" customHeight="1">
      <c r="B682" s="182"/>
      <c r="C682" s="3"/>
      <c r="E682" s="3"/>
      <c r="H682" s="3"/>
      <c r="AG682" s="91"/>
      <c r="AP682" s="141"/>
      <c r="AQ682" s="141"/>
    </row>
    <row r="683" ht="15.75" customHeight="1">
      <c r="B683" s="182"/>
      <c r="C683" s="3"/>
      <c r="E683" s="3"/>
      <c r="H683" s="3"/>
      <c r="AG683" s="91"/>
      <c r="AP683" s="141"/>
      <c r="AQ683" s="141"/>
    </row>
    <row r="684" ht="15.75" customHeight="1">
      <c r="B684" s="182"/>
      <c r="C684" s="3"/>
      <c r="E684" s="3"/>
      <c r="H684" s="3"/>
      <c r="AG684" s="91"/>
      <c r="AP684" s="141"/>
      <c r="AQ684" s="141"/>
    </row>
    <row r="685" ht="15.75" customHeight="1">
      <c r="B685" s="182"/>
      <c r="C685" s="3"/>
      <c r="E685" s="3"/>
      <c r="H685" s="3"/>
      <c r="AG685" s="91"/>
      <c r="AP685" s="141"/>
      <c r="AQ685" s="141"/>
    </row>
    <row r="686" ht="15.75" customHeight="1">
      <c r="B686" s="182"/>
      <c r="C686" s="3"/>
      <c r="E686" s="3"/>
      <c r="H686" s="3"/>
      <c r="AG686" s="91"/>
      <c r="AP686" s="141"/>
      <c r="AQ686" s="141"/>
    </row>
    <row r="687" ht="15.75" customHeight="1">
      <c r="B687" s="182"/>
      <c r="C687" s="3"/>
      <c r="E687" s="3"/>
      <c r="H687" s="3"/>
      <c r="AG687" s="91"/>
      <c r="AP687" s="141"/>
      <c r="AQ687" s="141"/>
    </row>
    <row r="688" ht="15.75" customHeight="1">
      <c r="B688" s="182"/>
      <c r="C688" s="3"/>
      <c r="E688" s="3"/>
      <c r="H688" s="3"/>
      <c r="AG688" s="91"/>
      <c r="AP688" s="141"/>
      <c r="AQ688" s="141"/>
    </row>
    <row r="689" ht="15.75" customHeight="1">
      <c r="B689" s="182"/>
      <c r="C689" s="3"/>
      <c r="E689" s="3"/>
      <c r="H689" s="3"/>
      <c r="AG689" s="91"/>
      <c r="AP689" s="141"/>
      <c r="AQ689" s="141"/>
    </row>
    <row r="690" ht="15.75" customHeight="1">
      <c r="B690" s="182"/>
      <c r="C690" s="3"/>
      <c r="E690" s="3"/>
      <c r="H690" s="3"/>
      <c r="AG690" s="91"/>
      <c r="AP690" s="141"/>
      <c r="AQ690" s="141"/>
    </row>
    <row r="691" ht="15.75" customHeight="1">
      <c r="B691" s="182"/>
      <c r="C691" s="3"/>
      <c r="E691" s="3"/>
      <c r="H691" s="3"/>
      <c r="AG691" s="91"/>
      <c r="AP691" s="141"/>
      <c r="AQ691" s="141"/>
    </row>
    <row r="692" ht="15.75" customHeight="1">
      <c r="B692" s="182"/>
      <c r="C692" s="3"/>
      <c r="E692" s="3"/>
      <c r="H692" s="3"/>
      <c r="AG692" s="91"/>
      <c r="AP692" s="141"/>
      <c r="AQ692" s="141"/>
    </row>
    <row r="693" ht="15.75" customHeight="1">
      <c r="B693" s="182"/>
      <c r="C693" s="3"/>
      <c r="E693" s="3"/>
      <c r="H693" s="3"/>
      <c r="AG693" s="91"/>
      <c r="AP693" s="141"/>
      <c r="AQ693" s="141"/>
    </row>
    <row r="694" ht="15.75" customHeight="1">
      <c r="B694" s="182"/>
      <c r="C694" s="3"/>
      <c r="E694" s="3"/>
      <c r="H694" s="3"/>
      <c r="AG694" s="91"/>
      <c r="AP694" s="141"/>
      <c r="AQ694" s="141"/>
    </row>
    <row r="695" ht="15.75" customHeight="1">
      <c r="B695" s="182"/>
      <c r="C695" s="3"/>
      <c r="E695" s="3"/>
      <c r="H695" s="3"/>
      <c r="AG695" s="91"/>
      <c r="AP695" s="141"/>
      <c r="AQ695" s="141"/>
    </row>
    <row r="696" ht="15.75" customHeight="1">
      <c r="B696" s="182"/>
      <c r="C696" s="3"/>
      <c r="E696" s="3"/>
      <c r="H696" s="3"/>
      <c r="AG696" s="91"/>
      <c r="AP696" s="141"/>
      <c r="AQ696" s="141"/>
    </row>
    <row r="697" ht="15.75" customHeight="1">
      <c r="B697" s="182"/>
      <c r="C697" s="3"/>
      <c r="E697" s="3"/>
      <c r="H697" s="3"/>
      <c r="AG697" s="91"/>
      <c r="AP697" s="141"/>
      <c r="AQ697" s="141"/>
    </row>
    <row r="698" ht="15.75" customHeight="1">
      <c r="B698" s="182"/>
      <c r="C698" s="3"/>
      <c r="E698" s="3"/>
      <c r="H698" s="3"/>
      <c r="AG698" s="91"/>
      <c r="AP698" s="141"/>
      <c r="AQ698" s="141"/>
    </row>
    <row r="699" ht="15.75" customHeight="1">
      <c r="B699" s="182"/>
      <c r="C699" s="3"/>
      <c r="E699" s="3"/>
      <c r="H699" s="3"/>
      <c r="AG699" s="91"/>
      <c r="AP699" s="141"/>
      <c r="AQ699" s="141"/>
    </row>
    <row r="700" ht="15.75" customHeight="1">
      <c r="B700" s="182"/>
      <c r="C700" s="3"/>
      <c r="E700" s="3"/>
      <c r="H700" s="3"/>
      <c r="AG700" s="91"/>
      <c r="AP700" s="141"/>
      <c r="AQ700" s="141"/>
    </row>
    <row r="701" ht="15.75" customHeight="1">
      <c r="B701" s="182"/>
      <c r="C701" s="3"/>
      <c r="E701" s="3"/>
      <c r="H701" s="3"/>
      <c r="AG701" s="91"/>
      <c r="AP701" s="141"/>
      <c r="AQ701" s="141"/>
    </row>
    <row r="702" ht="15.75" customHeight="1">
      <c r="B702" s="182"/>
      <c r="C702" s="3"/>
      <c r="E702" s="3"/>
      <c r="H702" s="3"/>
      <c r="AG702" s="91"/>
      <c r="AP702" s="141"/>
      <c r="AQ702" s="141"/>
    </row>
    <row r="703" ht="15.75" customHeight="1">
      <c r="B703" s="182"/>
      <c r="C703" s="3"/>
      <c r="E703" s="3"/>
      <c r="H703" s="3"/>
      <c r="AG703" s="91"/>
      <c r="AP703" s="141"/>
      <c r="AQ703" s="141"/>
    </row>
    <row r="704" ht="15.75" customHeight="1">
      <c r="B704" s="182"/>
      <c r="C704" s="3"/>
      <c r="E704" s="3"/>
      <c r="H704" s="3"/>
      <c r="AG704" s="91"/>
      <c r="AP704" s="141"/>
      <c r="AQ704" s="141"/>
    </row>
    <row r="705" ht="15.75" customHeight="1">
      <c r="B705" s="182"/>
      <c r="C705" s="3"/>
      <c r="E705" s="3"/>
      <c r="H705" s="3"/>
      <c r="AG705" s="91"/>
      <c r="AP705" s="141"/>
      <c r="AQ705" s="141"/>
    </row>
    <row r="706" ht="15.75" customHeight="1">
      <c r="B706" s="182"/>
      <c r="C706" s="3"/>
      <c r="E706" s="3"/>
      <c r="H706" s="3"/>
      <c r="AG706" s="91"/>
      <c r="AP706" s="141"/>
      <c r="AQ706" s="141"/>
    </row>
    <row r="707" ht="15.75" customHeight="1">
      <c r="B707" s="182"/>
      <c r="C707" s="3"/>
      <c r="E707" s="3"/>
      <c r="H707" s="3"/>
      <c r="AG707" s="91"/>
      <c r="AP707" s="141"/>
      <c r="AQ707" s="141"/>
    </row>
    <row r="708" ht="15.75" customHeight="1">
      <c r="B708" s="182"/>
      <c r="C708" s="3"/>
      <c r="E708" s="3"/>
      <c r="H708" s="3"/>
      <c r="AG708" s="91"/>
      <c r="AP708" s="141"/>
      <c r="AQ708" s="141"/>
    </row>
    <row r="709" ht="15.75" customHeight="1">
      <c r="B709" s="182"/>
      <c r="C709" s="3"/>
      <c r="E709" s="3"/>
      <c r="H709" s="3"/>
      <c r="AG709" s="91"/>
      <c r="AP709" s="141"/>
      <c r="AQ709" s="141"/>
    </row>
    <row r="710" ht="15.75" customHeight="1">
      <c r="B710" s="182"/>
      <c r="C710" s="3"/>
      <c r="E710" s="3"/>
      <c r="H710" s="3"/>
      <c r="AG710" s="91"/>
      <c r="AP710" s="141"/>
      <c r="AQ710" s="141"/>
    </row>
    <row r="711" ht="15.75" customHeight="1">
      <c r="B711" s="182"/>
      <c r="C711" s="3"/>
      <c r="E711" s="3"/>
      <c r="H711" s="3"/>
      <c r="AG711" s="91"/>
      <c r="AP711" s="141"/>
      <c r="AQ711" s="141"/>
    </row>
    <row r="712" ht="15.75" customHeight="1">
      <c r="B712" s="182"/>
      <c r="C712" s="3"/>
      <c r="E712" s="3"/>
      <c r="H712" s="3"/>
      <c r="AG712" s="91"/>
      <c r="AP712" s="141"/>
      <c r="AQ712" s="141"/>
    </row>
    <row r="713" ht="15.75" customHeight="1">
      <c r="B713" s="182"/>
      <c r="C713" s="3"/>
      <c r="E713" s="3"/>
      <c r="H713" s="3"/>
      <c r="AG713" s="91"/>
      <c r="AP713" s="141"/>
      <c r="AQ713" s="141"/>
    </row>
    <row r="714" ht="15.75" customHeight="1">
      <c r="B714" s="182"/>
      <c r="C714" s="3"/>
      <c r="E714" s="3"/>
      <c r="H714" s="3"/>
      <c r="AG714" s="91"/>
      <c r="AP714" s="141"/>
      <c r="AQ714" s="141"/>
    </row>
    <row r="715" ht="15.75" customHeight="1">
      <c r="B715" s="182"/>
      <c r="C715" s="3"/>
      <c r="E715" s="3"/>
      <c r="H715" s="3"/>
      <c r="AG715" s="91"/>
      <c r="AP715" s="141"/>
      <c r="AQ715" s="141"/>
    </row>
    <row r="716" ht="15.75" customHeight="1">
      <c r="B716" s="182"/>
      <c r="C716" s="3"/>
      <c r="E716" s="3"/>
      <c r="H716" s="3"/>
      <c r="AG716" s="91"/>
      <c r="AP716" s="141"/>
      <c r="AQ716" s="141"/>
    </row>
    <row r="717" ht="15.75" customHeight="1">
      <c r="B717" s="182"/>
      <c r="C717" s="3"/>
      <c r="E717" s="3"/>
      <c r="H717" s="3"/>
      <c r="AG717" s="91"/>
      <c r="AP717" s="141"/>
      <c r="AQ717" s="141"/>
    </row>
    <row r="718" ht="15.75" customHeight="1">
      <c r="B718" s="182"/>
      <c r="C718" s="3"/>
      <c r="E718" s="3"/>
      <c r="H718" s="3"/>
      <c r="AG718" s="91"/>
      <c r="AP718" s="141"/>
      <c r="AQ718" s="141"/>
    </row>
    <row r="719" ht="15.75" customHeight="1">
      <c r="B719" s="182"/>
      <c r="C719" s="3"/>
      <c r="E719" s="3"/>
      <c r="H719" s="3"/>
      <c r="AG719" s="91"/>
      <c r="AP719" s="141"/>
      <c r="AQ719" s="141"/>
    </row>
    <row r="720" ht="15.75" customHeight="1">
      <c r="B720" s="182"/>
      <c r="C720" s="3"/>
      <c r="E720" s="3"/>
      <c r="H720" s="3"/>
      <c r="AG720" s="91"/>
      <c r="AP720" s="141"/>
      <c r="AQ720" s="141"/>
    </row>
    <row r="721" ht="15.75" customHeight="1">
      <c r="B721" s="182"/>
      <c r="C721" s="3"/>
      <c r="E721" s="3"/>
      <c r="H721" s="3"/>
      <c r="AG721" s="91"/>
      <c r="AP721" s="141"/>
      <c r="AQ721" s="141"/>
    </row>
    <row r="722" ht="15.75" customHeight="1">
      <c r="B722" s="182"/>
      <c r="C722" s="3"/>
      <c r="E722" s="3"/>
      <c r="H722" s="3"/>
      <c r="AG722" s="91"/>
      <c r="AP722" s="141"/>
      <c r="AQ722" s="141"/>
    </row>
    <row r="723" ht="15.75" customHeight="1">
      <c r="B723" s="182"/>
      <c r="C723" s="3"/>
      <c r="E723" s="3"/>
      <c r="H723" s="3"/>
      <c r="AG723" s="91"/>
      <c r="AP723" s="141"/>
      <c r="AQ723" s="141"/>
    </row>
    <row r="724" ht="15.75" customHeight="1">
      <c r="B724" s="182"/>
      <c r="C724" s="3"/>
      <c r="E724" s="3"/>
      <c r="H724" s="3"/>
      <c r="AG724" s="91"/>
      <c r="AP724" s="141"/>
      <c r="AQ724" s="141"/>
    </row>
    <row r="725" ht="15.75" customHeight="1">
      <c r="B725" s="182"/>
      <c r="C725" s="3"/>
      <c r="E725" s="3"/>
      <c r="H725" s="3"/>
      <c r="AG725" s="91"/>
      <c r="AP725" s="141"/>
      <c r="AQ725" s="141"/>
    </row>
    <row r="726" ht="15.75" customHeight="1">
      <c r="B726" s="182"/>
      <c r="C726" s="3"/>
      <c r="E726" s="3"/>
      <c r="H726" s="3"/>
      <c r="AG726" s="91"/>
      <c r="AP726" s="141"/>
      <c r="AQ726" s="141"/>
    </row>
    <row r="727" ht="15.75" customHeight="1">
      <c r="B727" s="182"/>
      <c r="C727" s="3"/>
      <c r="E727" s="3"/>
      <c r="H727" s="3"/>
      <c r="AG727" s="91"/>
      <c r="AP727" s="141"/>
      <c r="AQ727" s="141"/>
    </row>
    <row r="728" ht="15.75" customHeight="1">
      <c r="B728" s="182"/>
      <c r="C728" s="3"/>
      <c r="E728" s="3"/>
      <c r="H728" s="3"/>
      <c r="AG728" s="91"/>
      <c r="AP728" s="141"/>
      <c r="AQ728" s="141"/>
    </row>
    <row r="729" ht="15.75" customHeight="1">
      <c r="B729" s="182"/>
      <c r="C729" s="3"/>
      <c r="E729" s="3"/>
      <c r="H729" s="3"/>
      <c r="AG729" s="91"/>
      <c r="AP729" s="141"/>
      <c r="AQ729" s="141"/>
    </row>
    <row r="730" ht="15.75" customHeight="1">
      <c r="B730" s="182"/>
      <c r="C730" s="3"/>
      <c r="E730" s="3"/>
      <c r="H730" s="3"/>
      <c r="AG730" s="91"/>
      <c r="AP730" s="141"/>
      <c r="AQ730" s="141"/>
    </row>
    <row r="731" ht="15.75" customHeight="1">
      <c r="B731" s="182"/>
      <c r="C731" s="3"/>
      <c r="E731" s="3"/>
      <c r="H731" s="3"/>
      <c r="AG731" s="91"/>
      <c r="AP731" s="141"/>
      <c r="AQ731" s="141"/>
    </row>
    <row r="732" ht="15.75" customHeight="1">
      <c r="B732" s="182"/>
      <c r="C732" s="3"/>
      <c r="E732" s="3"/>
      <c r="H732" s="3"/>
      <c r="AG732" s="91"/>
      <c r="AP732" s="141"/>
      <c r="AQ732" s="141"/>
    </row>
    <row r="733" ht="15.75" customHeight="1">
      <c r="B733" s="182"/>
      <c r="C733" s="3"/>
      <c r="E733" s="3"/>
      <c r="H733" s="3"/>
      <c r="AG733" s="91"/>
      <c r="AP733" s="141"/>
      <c r="AQ733" s="141"/>
    </row>
    <row r="734" ht="15.75" customHeight="1">
      <c r="B734" s="182"/>
      <c r="C734" s="3"/>
      <c r="E734" s="3"/>
      <c r="H734" s="3"/>
      <c r="AG734" s="91"/>
      <c r="AP734" s="141"/>
      <c r="AQ734" s="141"/>
    </row>
    <row r="735" ht="15.75" customHeight="1">
      <c r="B735" s="182"/>
      <c r="C735" s="3"/>
      <c r="E735" s="3"/>
      <c r="H735" s="3"/>
      <c r="AG735" s="91"/>
      <c r="AP735" s="141"/>
      <c r="AQ735" s="141"/>
    </row>
    <row r="736" ht="15.75" customHeight="1">
      <c r="B736" s="182"/>
      <c r="C736" s="3"/>
      <c r="E736" s="3"/>
      <c r="H736" s="3"/>
      <c r="AG736" s="91"/>
      <c r="AP736" s="141"/>
      <c r="AQ736" s="141"/>
    </row>
    <row r="737" ht="15.75" customHeight="1">
      <c r="B737" s="182"/>
      <c r="C737" s="3"/>
      <c r="E737" s="3"/>
      <c r="H737" s="3"/>
      <c r="AG737" s="91"/>
      <c r="AP737" s="141"/>
      <c r="AQ737" s="141"/>
    </row>
    <row r="738" ht="15.75" customHeight="1">
      <c r="B738" s="182"/>
      <c r="C738" s="3"/>
      <c r="E738" s="3"/>
      <c r="H738" s="3"/>
      <c r="AG738" s="91"/>
      <c r="AP738" s="141"/>
      <c r="AQ738" s="141"/>
    </row>
    <row r="739" ht="15.75" customHeight="1">
      <c r="B739" s="182"/>
      <c r="C739" s="3"/>
      <c r="E739" s="3"/>
      <c r="H739" s="3"/>
      <c r="AG739" s="91"/>
      <c r="AP739" s="141"/>
      <c r="AQ739" s="141"/>
    </row>
    <row r="740" ht="15.75" customHeight="1">
      <c r="B740" s="182"/>
      <c r="C740" s="3"/>
      <c r="E740" s="3"/>
      <c r="H740" s="3"/>
      <c r="AG740" s="91"/>
      <c r="AP740" s="141"/>
      <c r="AQ740" s="141"/>
    </row>
    <row r="741" ht="15.75" customHeight="1">
      <c r="B741" s="182"/>
      <c r="C741" s="3"/>
      <c r="E741" s="3"/>
      <c r="H741" s="3"/>
      <c r="AG741" s="91"/>
      <c r="AP741" s="141"/>
      <c r="AQ741" s="141"/>
    </row>
    <row r="742" ht="15.75" customHeight="1">
      <c r="B742" s="182"/>
      <c r="C742" s="3"/>
      <c r="E742" s="3"/>
      <c r="H742" s="3"/>
      <c r="AG742" s="91"/>
      <c r="AP742" s="141"/>
      <c r="AQ742" s="141"/>
    </row>
    <row r="743" ht="15.75" customHeight="1">
      <c r="B743" s="182"/>
      <c r="C743" s="3"/>
      <c r="E743" s="3"/>
      <c r="H743" s="3"/>
      <c r="AG743" s="91"/>
      <c r="AP743" s="141"/>
      <c r="AQ743" s="141"/>
    </row>
    <row r="744" ht="15.75" customHeight="1">
      <c r="B744" s="182"/>
      <c r="C744" s="3"/>
      <c r="E744" s="3"/>
      <c r="H744" s="3"/>
      <c r="AG744" s="91"/>
      <c r="AP744" s="141"/>
      <c r="AQ744" s="141"/>
    </row>
    <row r="745" ht="15.75" customHeight="1">
      <c r="B745" s="182"/>
      <c r="C745" s="3"/>
      <c r="E745" s="3"/>
      <c r="H745" s="3"/>
      <c r="AG745" s="91"/>
      <c r="AP745" s="141"/>
      <c r="AQ745" s="141"/>
    </row>
    <row r="746" ht="15.75" customHeight="1">
      <c r="B746" s="182"/>
      <c r="C746" s="3"/>
      <c r="E746" s="3"/>
      <c r="H746" s="3"/>
      <c r="AG746" s="91"/>
      <c r="AP746" s="141"/>
      <c r="AQ746" s="141"/>
    </row>
    <row r="747" ht="15.75" customHeight="1">
      <c r="B747" s="182"/>
      <c r="C747" s="3"/>
      <c r="E747" s="3"/>
      <c r="H747" s="3"/>
      <c r="AG747" s="91"/>
      <c r="AP747" s="141"/>
      <c r="AQ747" s="141"/>
    </row>
    <row r="748" ht="15.75" customHeight="1">
      <c r="B748" s="182"/>
      <c r="C748" s="3"/>
      <c r="E748" s="3"/>
      <c r="H748" s="3"/>
      <c r="AG748" s="91"/>
      <c r="AP748" s="141"/>
      <c r="AQ748" s="141"/>
    </row>
    <row r="749" ht="15.75" customHeight="1">
      <c r="B749" s="182"/>
      <c r="C749" s="3"/>
      <c r="E749" s="3"/>
      <c r="H749" s="3"/>
      <c r="AG749" s="91"/>
      <c r="AP749" s="141"/>
      <c r="AQ749" s="141"/>
    </row>
    <row r="750" ht="15.75" customHeight="1">
      <c r="B750" s="182"/>
      <c r="C750" s="3"/>
      <c r="E750" s="3"/>
      <c r="H750" s="3"/>
      <c r="AG750" s="91"/>
      <c r="AP750" s="141"/>
      <c r="AQ750" s="141"/>
    </row>
    <row r="751" ht="15.75" customHeight="1">
      <c r="B751" s="182"/>
      <c r="C751" s="3"/>
      <c r="E751" s="3"/>
      <c r="H751" s="3"/>
      <c r="AG751" s="91"/>
      <c r="AP751" s="141"/>
      <c r="AQ751" s="141"/>
    </row>
    <row r="752" ht="15.75" customHeight="1">
      <c r="B752" s="182"/>
      <c r="C752" s="3"/>
      <c r="E752" s="3"/>
      <c r="H752" s="3"/>
      <c r="AG752" s="91"/>
      <c r="AP752" s="141"/>
      <c r="AQ752" s="141"/>
    </row>
    <row r="753" ht="15.75" customHeight="1">
      <c r="B753" s="182"/>
      <c r="C753" s="3"/>
      <c r="E753" s="3"/>
      <c r="H753" s="3"/>
      <c r="AG753" s="91"/>
      <c r="AP753" s="141"/>
      <c r="AQ753" s="141"/>
    </row>
    <row r="754" ht="15.75" customHeight="1">
      <c r="B754" s="182"/>
      <c r="C754" s="3"/>
      <c r="E754" s="3"/>
      <c r="H754" s="3"/>
      <c r="AG754" s="91"/>
      <c r="AP754" s="141"/>
      <c r="AQ754" s="141"/>
    </row>
    <row r="755" ht="15.75" customHeight="1">
      <c r="B755" s="182"/>
      <c r="C755" s="3"/>
      <c r="E755" s="3"/>
      <c r="H755" s="3"/>
      <c r="AG755" s="91"/>
      <c r="AP755" s="141"/>
      <c r="AQ755" s="141"/>
    </row>
    <row r="756" ht="15.75" customHeight="1">
      <c r="B756" s="182"/>
      <c r="C756" s="3"/>
      <c r="E756" s="3"/>
      <c r="H756" s="3"/>
      <c r="AG756" s="91"/>
      <c r="AP756" s="141"/>
      <c r="AQ756" s="141"/>
    </row>
    <row r="757" ht="15.75" customHeight="1">
      <c r="B757" s="182"/>
      <c r="C757" s="3"/>
      <c r="E757" s="3"/>
      <c r="H757" s="3"/>
      <c r="AG757" s="91"/>
      <c r="AP757" s="141"/>
      <c r="AQ757" s="141"/>
    </row>
    <row r="758" ht="15.75" customHeight="1">
      <c r="B758" s="182"/>
      <c r="C758" s="3"/>
      <c r="E758" s="3"/>
      <c r="H758" s="3"/>
      <c r="AG758" s="91"/>
      <c r="AP758" s="141"/>
      <c r="AQ758" s="141"/>
    </row>
    <row r="759" ht="15.75" customHeight="1">
      <c r="B759" s="182"/>
      <c r="C759" s="3"/>
      <c r="E759" s="3"/>
      <c r="H759" s="3"/>
      <c r="AG759" s="91"/>
      <c r="AP759" s="141"/>
      <c r="AQ759" s="141"/>
    </row>
    <row r="760" ht="15.75" customHeight="1">
      <c r="B760" s="182"/>
      <c r="C760" s="3"/>
      <c r="E760" s="3"/>
      <c r="H760" s="3"/>
      <c r="AG760" s="91"/>
      <c r="AP760" s="141"/>
      <c r="AQ760" s="141"/>
    </row>
    <row r="761" ht="15.75" customHeight="1">
      <c r="B761" s="182"/>
      <c r="C761" s="3"/>
      <c r="E761" s="3"/>
      <c r="H761" s="3"/>
      <c r="AG761" s="91"/>
      <c r="AP761" s="141"/>
      <c r="AQ761" s="141"/>
    </row>
    <row r="762" ht="15.75" customHeight="1">
      <c r="B762" s="182"/>
      <c r="C762" s="3"/>
      <c r="E762" s="3"/>
      <c r="H762" s="3"/>
      <c r="AG762" s="91"/>
      <c r="AP762" s="141"/>
      <c r="AQ762" s="141"/>
    </row>
    <row r="763" ht="15.75" customHeight="1">
      <c r="B763" s="182"/>
      <c r="C763" s="3"/>
      <c r="E763" s="3"/>
      <c r="H763" s="3"/>
      <c r="AG763" s="91"/>
      <c r="AP763" s="141"/>
      <c r="AQ763" s="141"/>
    </row>
    <row r="764" ht="15.75" customHeight="1">
      <c r="B764" s="182"/>
      <c r="C764" s="3"/>
      <c r="E764" s="3"/>
      <c r="H764" s="3"/>
      <c r="AG764" s="91"/>
      <c r="AP764" s="141"/>
      <c r="AQ764" s="141"/>
    </row>
    <row r="765" ht="15.75" customHeight="1">
      <c r="B765" s="182"/>
      <c r="C765" s="3"/>
      <c r="E765" s="3"/>
      <c r="H765" s="3"/>
      <c r="AG765" s="91"/>
      <c r="AP765" s="141"/>
      <c r="AQ765" s="141"/>
    </row>
    <row r="766" ht="15.75" customHeight="1">
      <c r="B766" s="182"/>
      <c r="C766" s="3"/>
      <c r="E766" s="3"/>
      <c r="H766" s="3"/>
      <c r="AG766" s="91"/>
      <c r="AP766" s="141"/>
      <c r="AQ766" s="141"/>
    </row>
    <row r="767" ht="15.75" customHeight="1">
      <c r="B767" s="182"/>
      <c r="C767" s="3"/>
      <c r="E767" s="3"/>
      <c r="H767" s="3"/>
      <c r="AG767" s="91"/>
      <c r="AP767" s="141"/>
      <c r="AQ767" s="141"/>
    </row>
    <row r="768" ht="15.75" customHeight="1">
      <c r="B768" s="182"/>
      <c r="C768" s="3"/>
      <c r="E768" s="3"/>
      <c r="H768" s="3"/>
      <c r="AG768" s="91"/>
      <c r="AP768" s="141"/>
      <c r="AQ768" s="141"/>
    </row>
    <row r="769" ht="15.75" customHeight="1">
      <c r="B769" s="182"/>
      <c r="C769" s="3"/>
      <c r="E769" s="3"/>
      <c r="H769" s="3"/>
      <c r="AG769" s="91"/>
      <c r="AP769" s="141"/>
      <c r="AQ769" s="141"/>
    </row>
    <row r="770" ht="15.75" customHeight="1">
      <c r="B770" s="182"/>
      <c r="C770" s="3"/>
      <c r="E770" s="3"/>
      <c r="H770" s="3"/>
      <c r="AG770" s="91"/>
      <c r="AP770" s="141"/>
      <c r="AQ770" s="141"/>
    </row>
    <row r="771" ht="15.75" customHeight="1">
      <c r="B771" s="182"/>
      <c r="C771" s="3"/>
      <c r="E771" s="3"/>
      <c r="H771" s="3"/>
      <c r="AG771" s="91"/>
      <c r="AP771" s="141"/>
      <c r="AQ771" s="141"/>
    </row>
    <row r="772" ht="15.75" customHeight="1">
      <c r="B772" s="182"/>
      <c r="C772" s="3"/>
      <c r="E772" s="3"/>
      <c r="H772" s="3"/>
      <c r="AG772" s="91"/>
      <c r="AP772" s="141"/>
      <c r="AQ772" s="141"/>
    </row>
    <row r="773" ht="15.75" customHeight="1">
      <c r="B773" s="182"/>
      <c r="C773" s="3"/>
      <c r="E773" s="3"/>
      <c r="H773" s="3"/>
      <c r="AG773" s="91"/>
      <c r="AP773" s="141"/>
      <c r="AQ773" s="141"/>
    </row>
    <row r="774" ht="15.75" customHeight="1">
      <c r="B774" s="182"/>
      <c r="C774" s="3"/>
      <c r="E774" s="3"/>
      <c r="H774" s="3"/>
      <c r="AG774" s="91"/>
      <c r="AP774" s="141"/>
      <c r="AQ774" s="141"/>
    </row>
    <row r="775" ht="15.75" customHeight="1">
      <c r="B775" s="182"/>
      <c r="C775" s="3"/>
      <c r="E775" s="3"/>
      <c r="H775" s="3"/>
      <c r="AG775" s="91"/>
      <c r="AP775" s="141"/>
      <c r="AQ775" s="141"/>
    </row>
    <row r="776" ht="15.75" customHeight="1">
      <c r="B776" s="182"/>
      <c r="C776" s="3"/>
      <c r="E776" s="3"/>
      <c r="H776" s="3"/>
      <c r="AG776" s="91"/>
      <c r="AP776" s="141"/>
      <c r="AQ776" s="141"/>
    </row>
    <row r="777" ht="15.75" customHeight="1">
      <c r="B777" s="182"/>
      <c r="C777" s="3"/>
      <c r="E777" s="3"/>
      <c r="H777" s="3"/>
      <c r="AG777" s="91"/>
      <c r="AP777" s="141"/>
      <c r="AQ777" s="141"/>
    </row>
    <row r="778" ht="15.75" customHeight="1">
      <c r="B778" s="182"/>
      <c r="C778" s="3"/>
      <c r="E778" s="3"/>
      <c r="H778" s="3"/>
      <c r="AG778" s="91"/>
      <c r="AP778" s="141"/>
      <c r="AQ778" s="141"/>
    </row>
    <row r="779" ht="15.75" customHeight="1">
      <c r="B779" s="182"/>
      <c r="C779" s="3"/>
      <c r="E779" s="3"/>
      <c r="H779" s="3"/>
      <c r="AG779" s="91"/>
      <c r="AP779" s="141"/>
      <c r="AQ779" s="141"/>
    </row>
    <row r="780" ht="15.75" customHeight="1">
      <c r="B780" s="182"/>
      <c r="C780" s="3"/>
      <c r="E780" s="3"/>
      <c r="H780" s="3"/>
      <c r="AG780" s="91"/>
      <c r="AP780" s="141"/>
      <c r="AQ780" s="141"/>
    </row>
    <row r="781" ht="15.75" customHeight="1">
      <c r="B781" s="182"/>
      <c r="C781" s="3"/>
      <c r="E781" s="3"/>
      <c r="H781" s="3"/>
      <c r="AG781" s="91"/>
      <c r="AP781" s="141"/>
      <c r="AQ781" s="141"/>
    </row>
    <row r="782" ht="15.75" customHeight="1">
      <c r="B782" s="182"/>
      <c r="C782" s="3"/>
      <c r="E782" s="3"/>
      <c r="H782" s="3"/>
      <c r="AG782" s="91"/>
      <c r="AP782" s="141"/>
      <c r="AQ782" s="141"/>
    </row>
    <row r="783" ht="15.75" customHeight="1">
      <c r="B783" s="182"/>
      <c r="C783" s="3"/>
      <c r="E783" s="3"/>
      <c r="H783" s="3"/>
      <c r="AG783" s="91"/>
      <c r="AP783" s="141"/>
      <c r="AQ783" s="141"/>
    </row>
    <row r="784" ht="15.75" customHeight="1">
      <c r="B784" s="182"/>
      <c r="C784" s="3"/>
      <c r="E784" s="3"/>
      <c r="H784" s="3"/>
      <c r="AG784" s="91"/>
      <c r="AP784" s="141"/>
      <c r="AQ784" s="141"/>
    </row>
    <row r="785" ht="15.75" customHeight="1">
      <c r="B785" s="182"/>
      <c r="C785" s="3"/>
      <c r="E785" s="3"/>
      <c r="H785" s="3"/>
      <c r="AG785" s="91"/>
      <c r="AP785" s="141"/>
      <c r="AQ785" s="141"/>
    </row>
    <row r="786" ht="15.75" customHeight="1">
      <c r="B786" s="182"/>
      <c r="C786" s="3"/>
      <c r="E786" s="3"/>
      <c r="H786" s="3"/>
      <c r="AG786" s="91"/>
      <c r="AP786" s="141"/>
      <c r="AQ786" s="141"/>
    </row>
    <row r="787" ht="15.75" customHeight="1">
      <c r="B787" s="182"/>
      <c r="C787" s="3"/>
      <c r="E787" s="3"/>
      <c r="H787" s="3"/>
      <c r="AG787" s="91"/>
      <c r="AP787" s="141"/>
      <c r="AQ787" s="141"/>
    </row>
    <row r="788" ht="15.75" customHeight="1">
      <c r="B788" s="182"/>
      <c r="C788" s="3"/>
      <c r="E788" s="3"/>
      <c r="H788" s="3"/>
      <c r="AG788" s="91"/>
      <c r="AP788" s="141"/>
      <c r="AQ788" s="141"/>
    </row>
    <row r="789" ht="15.75" customHeight="1">
      <c r="B789" s="182"/>
      <c r="C789" s="3"/>
      <c r="E789" s="3"/>
      <c r="H789" s="3"/>
      <c r="AG789" s="91"/>
      <c r="AP789" s="141"/>
      <c r="AQ789" s="141"/>
    </row>
    <row r="790" ht="15.75" customHeight="1">
      <c r="B790" s="182"/>
      <c r="C790" s="3"/>
      <c r="E790" s="3"/>
      <c r="H790" s="3"/>
      <c r="AG790" s="91"/>
      <c r="AP790" s="141"/>
      <c r="AQ790" s="141"/>
    </row>
    <row r="791" ht="15.75" customHeight="1">
      <c r="B791" s="182"/>
      <c r="C791" s="3"/>
      <c r="E791" s="3"/>
      <c r="H791" s="3"/>
      <c r="AG791" s="91"/>
      <c r="AP791" s="141"/>
      <c r="AQ791" s="141"/>
    </row>
    <row r="792" ht="15.75" customHeight="1">
      <c r="B792" s="182"/>
      <c r="C792" s="3"/>
      <c r="E792" s="3"/>
      <c r="H792" s="3"/>
      <c r="AG792" s="91"/>
      <c r="AP792" s="141"/>
      <c r="AQ792" s="141"/>
    </row>
    <row r="793" ht="15.75" customHeight="1">
      <c r="B793" s="182"/>
      <c r="C793" s="3"/>
      <c r="E793" s="3"/>
      <c r="H793" s="3"/>
      <c r="AG793" s="91"/>
      <c r="AP793" s="141"/>
      <c r="AQ793" s="141"/>
    </row>
    <row r="794" ht="15.75" customHeight="1">
      <c r="B794" s="182"/>
      <c r="C794" s="3"/>
      <c r="E794" s="3"/>
      <c r="H794" s="3"/>
      <c r="AG794" s="91"/>
      <c r="AP794" s="141"/>
      <c r="AQ794" s="141"/>
    </row>
    <row r="795" ht="15.75" customHeight="1">
      <c r="B795" s="182"/>
      <c r="C795" s="3"/>
      <c r="E795" s="3"/>
      <c r="H795" s="3"/>
      <c r="AG795" s="91"/>
      <c r="AP795" s="141"/>
      <c r="AQ795" s="141"/>
    </row>
    <row r="796" ht="15.75" customHeight="1">
      <c r="B796" s="182"/>
      <c r="C796" s="3"/>
      <c r="E796" s="3"/>
      <c r="H796" s="3"/>
      <c r="AG796" s="91"/>
      <c r="AP796" s="141"/>
      <c r="AQ796" s="141"/>
    </row>
    <row r="797" ht="15.75" customHeight="1">
      <c r="B797" s="182"/>
      <c r="C797" s="3"/>
      <c r="E797" s="3"/>
      <c r="H797" s="3"/>
      <c r="AG797" s="91"/>
      <c r="AP797" s="141"/>
      <c r="AQ797" s="141"/>
    </row>
    <row r="798" ht="15.75" customHeight="1">
      <c r="B798" s="182"/>
      <c r="C798" s="3"/>
      <c r="E798" s="3"/>
      <c r="H798" s="3"/>
      <c r="AG798" s="91"/>
      <c r="AP798" s="141"/>
      <c r="AQ798" s="141"/>
    </row>
    <row r="799" ht="15.75" customHeight="1">
      <c r="B799" s="182"/>
      <c r="C799" s="3"/>
      <c r="E799" s="3"/>
      <c r="H799" s="3"/>
      <c r="AG799" s="91"/>
      <c r="AP799" s="141"/>
      <c r="AQ799" s="141"/>
    </row>
    <row r="800" ht="15.75" customHeight="1">
      <c r="B800" s="182"/>
      <c r="C800" s="3"/>
      <c r="E800" s="3"/>
      <c r="H800" s="3"/>
      <c r="AG800" s="91"/>
      <c r="AP800" s="141"/>
      <c r="AQ800" s="141"/>
    </row>
    <row r="801" ht="15.75" customHeight="1">
      <c r="B801" s="182"/>
      <c r="C801" s="3"/>
      <c r="E801" s="3"/>
      <c r="H801" s="3"/>
      <c r="AG801" s="91"/>
      <c r="AP801" s="141"/>
      <c r="AQ801" s="141"/>
    </row>
    <row r="802" ht="15.75" customHeight="1">
      <c r="B802" s="182"/>
      <c r="C802" s="3"/>
      <c r="E802" s="3"/>
      <c r="H802" s="3"/>
      <c r="AG802" s="91"/>
      <c r="AP802" s="141"/>
      <c r="AQ802" s="141"/>
    </row>
    <row r="803" ht="15.75" customHeight="1">
      <c r="B803" s="182"/>
      <c r="C803" s="3"/>
      <c r="E803" s="3"/>
      <c r="H803" s="3"/>
      <c r="AG803" s="91"/>
      <c r="AP803" s="141"/>
      <c r="AQ803" s="141"/>
    </row>
    <row r="804" ht="15.75" customHeight="1">
      <c r="B804" s="182"/>
      <c r="C804" s="3"/>
      <c r="E804" s="3"/>
      <c r="H804" s="3"/>
      <c r="AG804" s="91"/>
      <c r="AP804" s="141"/>
      <c r="AQ804" s="141"/>
    </row>
    <row r="805" ht="15.75" customHeight="1">
      <c r="B805" s="182"/>
      <c r="C805" s="3"/>
      <c r="E805" s="3"/>
      <c r="H805" s="3"/>
      <c r="AG805" s="91"/>
      <c r="AP805" s="141"/>
      <c r="AQ805" s="141"/>
    </row>
    <row r="806" ht="15.75" customHeight="1">
      <c r="B806" s="182"/>
      <c r="C806" s="3"/>
      <c r="E806" s="3"/>
      <c r="H806" s="3"/>
      <c r="AG806" s="91"/>
      <c r="AP806" s="141"/>
      <c r="AQ806" s="141"/>
    </row>
    <row r="807" ht="15.75" customHeight="1">
      <c r="B807" s="182"/>
      <c r="C807" s="3"/>
      <c r="E807" s="3"/>
      <c r="H807" s="3"/>
      <c r="AG807" s="91"/>
      <c r="AP807" s="141"/>
      <c r="AQ807" s="141"/>
    </row>
    <row r="808" ht="15.75" customHeight="1">
      <c r="B808" s="182"/>
      <c r="C808" s="3"/>
      <c r="E808" s="3"/>
      <c r="H808" s="3"/>
      <c r="AG808" s="91"/>
      <c r="AP808" s="141"/>
      <c r="AQ808" s="141"/>
    </row>
    <row r="809" ht="15.75" customHeight="1">
      <c r="B809" s="182"/>
      <c r="C809" s="3"/>
      <c r="E809" s="3"/>
      <c r="H809" s="3"/>
      <c r="AG809" s="91"/>
      <c r="AP809" s="141"/>
      <c r="AQ809" s="141"/>
    </row>
    <row r="810" ht="15.75" customHeight="1">
      <c r="B810" s="182"/>
      <c r="C810" s="3"/>
      <c r="E810" s="3"/>
      <c r="H810" s="3"/>
      <c r="AG810" s="91"/>
      <c r="AP810" s="141"/>
      <c r="AQ810" s="141"/>
    </row>
    <row r="811" ht="15.75" customHeight="1">
      <c r="B811" s="182"/>
      <c r="C811" s="3"/>
      <c r="E811" s="3"/>
      <c r="H811" s="3"/>
      <c r="AG811" s="91"/>
      <c r="AP811" s="141"/>
      <c r="AQ811" s="141"/>
    </row>
    <row r="812" ht="15.75" customHeight="1">
      <c r="B812" s="182"/>
      <c r="C812" s="3"/>
      <c r="E812" s="3"/>
      <c r="H812" s="3"/>
      <c r="AG812" s="91"/>
      <c r="AP812" s="141"/>
      <c r="AQ812" s="141"/>
    </row>
    <row r="813" ht="15.75" customHeight="1">
      <c r="B813" s="182"/>
      <c r="C813" s="3"/>
      <c r="E813" s="3"/>
      <c r="H813" s="3"/>
      <c r="AG813" s="91"/>
      <c r="AP813" s="141"/>
      <c r="AQ813" s="141"/>
    </row>
    <row r="814" ht="15.75" customHeight="1">
      <c r="B814" s="182"/>
      <c r="C814" s="3"/>
      <c r="E814" s="3"/>
      <c r="H814" s="3"/>
      <c r="AG814" s="91"/>
      <c r="AP814" s="141"/>
      <c r="AQ814" s="141"/>
    </row>
    <row r="815" ht="15.75" customHeight="1">
      <c r="B815" s="182"/>
      <c r="C815" s="3"/>
      <c r="E815" s="3"/>
      <c r="H815" s="3"/>
      <c r="AG815" s="91"/>
      <c r="AP815" s="141"/>
      <c r="AQ815" s="141"/>
    </row>
    <row r="816" ht="15.75" customHeight="1">
      <c r="B816" s="182"/>
      <c r="C816" s="3"/>
      <c r="E816" s="3"/>
      <c r="H816" s="3"/>
      <c r="AG816" s="91"/>
      <c r="AP816" s="141"/>
      <c r="AQ816" s="141"/>
    </row>
    <row r="817" ht="15.75" customHeight="1">
      <c r="B817" s="182"/>
      <c r="C817" s="3"/>
      <c r="E817" s="3"/>
      <c r="H817" s="3"/>
      <c r="AG817" s="91"/>
      <c r="AP817" s="141"/>
      <c r="AQ817" s="141"/>
    </row>
    <row r="818" ht="15.75" customHeight="1">
      <c r="B818" s="182"/>
      <c r="C818" s="3"/>
      <c r="E818" s="3"/>
      <c r="H818" s="3"/>
      <c r="AG818" s="91"/>
      <c r="AP818" s="141"/>
      <c r="AQ818" s="141"/>
    </row>
    <row r="819" ht="15.75" customHeight="1">
      <c r="B819" s="182"/>
      <c r="C819" s="3"/>
      <c r="E819" s="3"/>
      <c r="H819" s="3"/>
      <c r="AG819" s="91"/>
      <c r="AP819" s="141"/>
      <c r="AQ819" s="141"/>
    </row>
    <row r="820" ht="15.75" customHeight="1">
      <c r="B820" s="182"/>
      <c r="C820" s="3"/>
      <c r="E820" s="3"/>
      <c r="H820" s="3"/>
      <c r="AG820" s="91"/>
      <c r="AP820" s="141"/>
      <c r="AQ820" s="141"/>
    </row>
    <row r="821" ht="15.75" customHeight="1">
      <c r="B821" s="182"/>
      <c r="C821" s="3"/>
      <c r="E821" s="3"/>
      <c r="H821" s="3"/>
      <c r="AG821" s="91"/>
      <c r="AP821" s="141"/>
      <c r="AQ821" s="141"/>
    </row>
    <row r="822" ht="15.75" customHeight="1">
      <c r="B822" s="182"/>
      <c r="C822" s="3"/>
      <c r="E822" s="3"/>
      <c r="H822" s="3"/>
      <c r="AG822" s="91"/>
      <c r="AP822" s="141"/>
      <c r="AQ822" s="141"/>
    </row>
    <row r="823" ht="15.75" customHeight="1">
      <c r="B823" s="182"/>
      <c r="C823" s="3"/>
      <c r="E823" s="3"/>
      <c r="H823" s="3"/>
      <c r="AG823" s="91"/>
      <c r="AP823" s="141"/>
      <c r="AQ823" s="141"/>
    </row>
    <row r="824" ht="15.75" customHeight="1">
      <c r="B824" s="182"/>
      <c r="C824" s="3"/>
      <c r="E824" s="3"/>
      <c r="H824" s="3"/>
      <c r="AG824" s="91"/>
      <c r="AP824" s="141"/>
      <c r="AQ824" s="141"/>
    </row>
    <row r="825" ht="15.75" customHeight="1">
      <c r="B825" s="182"/>
      <c r="C825" s="3"/>
      <c r="E825" s="3"/>
      <c r="H825" s="3"/>
      <c r="AG825" s="91"/>
      <c r="AP825" s="141"/>
      <c r="AQ825" s="141"/>
    </row>
    <row r="826" ht="15.75" customHeight="1">
      <c r="B826" s="182"/>
      <c r="C826" s="3"/>
      <c r="E826" s="3"/>
      <c r="H826" s="3"/>
      <c r="AG826" s="91"/>
      <c r="AP826" s="141"/>
      <c r="AQ826" s="141"/>
    </row>
    <row r="827" ht="15.75" customHeight="1">
      <c r="B827" s="182"/>
      <c r="C827" s="3"/>
      <c r="E827" s="3"/>
      <c r="H827" s="3"/>
      <c r="AG827" s="91"/>
      <c r="AP827" s="141"/>
      <c r="AQ827" s="141"/>
    </row>
    <row r="828" ht="15.75" customHeight="1">
      <c r="B828" s="182"/>
      <c r="C828" s="3"/>
      <c r="E828" s="3"/>
      <c r="H828" s="3"/>
      <c r="AG828" s="91"/>
      <c r="AP828" s="141"/>
      <c r="AQ828" s="141"/>
    </row>
    <row r="829" ht="15.75" customHeight="1">
      <c r="B829" s="182"/>
      <c r="C829" s="3"/>
      <c r="E829" s="3"/>
      <c r="H829" s="3"/>
      <c r="AG829" s="91"/>
      <c r="AP829" s="141"/>
      <c r="AQ829" s="141"/>
    </row>
    <row r="830" ht="15.75" customHeight="1">
      <c r="B830" s="182"/>
      <c r="C830" s="3"/>
      <c r="E830" s="3"/>
      <c r="H830" s="3"/>
      <c r="AG830" s="91"/>
      <c r="AP830" s="141"/>
      <c r="AQ830" s="141"/>
    </row>
    <row r="831" ht="15.75" customHeight="1">
      <c r="B831" s="182"/>
      <c r="C831" s="3"/>
      <c r="E831" s="3"/>
      <c r="H831" s="3"/>
      <c r="AG831" s="91"/>
      <c r="AP831" s="141"/>
      <c r="AQ831" s="141"/>
    </row>
    <row r="832" ht="15.75" customHeight="1">
      <c r="B832" s="182"/>
      <c r="C832" s="3"/>
      <c r="E832" s="3"/>
      <c r="H832" s="3"/>
      <c r="AG832" s="91"/>
      <c r="AP832" s="141"/>
      <c r="AQ832" s="141"/>
    </row>
    <row r="833" ht="15.75" customHeight="1">
      <c r="B833" s="182"/>
      <c r="C833" s="3"/>
      <c r="E833" s="3"/>
      <c r="H833" s="3"/>
      <c r="AG833" s="91"/>
      <c r="AP833" s="141"/>
      <c r="AQ833" s="141"/>
    </row>
    <row r="834" ht="15.75" customHeight="1">
      <c r="B834" s="182"/>
      <c r="C834" s="3"/>
      <c r="E834" s="3"/>
      <c r="H834" s="3"/>
      <c r="AG834" s="91"/>
      <c r="AP834" s="141"/>
      <c r="AQ834" s="141"/>
    </row>
    <row r="835" ht="15.75" customHeight="1">
      <c r="B835" s="182"/>
      <c r="C835" s="3"/>
      <c r="E835" s="3"/>
      <c r="H835" s="3"/>
      <c r="AG835" s="91"/>
      <c r="AP835" s="141"/>
      <c r="AQ835" s="141"/>
    </row>
    <row r="836" ht="15.75" customHeight="1">
      <c r="B836" s="182"/>
      <c r="C836" s="3"/>
      <c r="E836" s="3"/>
      <c r="H836" s="3"/>
      <c r="AG836" s="91"/>
      <c r="AP836" s="141"/>
      <c r="AQ836" s="141"/>
    </row>
    <row r="837" ht="15.75" customHeight="1">
      <c r="B837" s="182"/>
      <c r="C837" s="3"/>
      <c r="E837" s="3"/>
      <c r="H837" s="3"/>
      <c r="AG837" s="91"/>
      <c r="AP837" s="141"/>
      <c r="AQ837" s="141"/>
    </row>
    <row r="838" ht="15.75" customHeight="1">
      <c r="B838" s="182"/>
      <c r="C838" s="3"/>
      <c r="E838" s="3"/>
      <c r="H838" s="3"/>
      <c r="AG838" s="91"/>
      <c r="AP838" s="141"/>
      <c r="AQ838" s="141"/>
    </row>
    <row r="839" ht="15.75" customHeight="1">
      <c r="B839" s="182"/>
      <c r="C839" s="3"/>
      <c r="E839" s="3"/>
      <c r="H839" s="3"/>
      <c r="AG839" s="91"/>
      <c r="AP839" s="141"/>
      <c r="AQ839" s="141"/>
    </row>
    <row r="840" ht="15.75" customHeight="1">
      <c r="B840" s="182"/>
      <c r="C840" s="3"/>
      <c r="E840" s="3"/>
      <c r="H840" s="3"/>
      <c r="AG840" s="91"/>
      <c r="AP840" s="141"/>
      <c r="AQ840" s="141"/>
    </row>
    <row r="841" ht="15.75" customHeight="1">
      <c r="B841" s="182"/>
      <c r="C841" s="3"/>
      <c r="E841" s="3"/>
      <c r="H841" s="3"/>
      <c r="AG841" s="91"/>
      <c r="AP841" s="141"/>
      <c r="AQ841" s="141"/>
    </row>
    <row r="842" ht="15.75" customHeight="1">
      <c r="B842" s="182"/>
      <c r="C842" s="3"/>
      <c r="E842" s="3"/>
      <c r="H842" s="3"/>
      <c r="AG842" s="91"/>
      <c r="AP842" s="141"/>
      <c r="AQ842" s="141"/>
    </row>
    <row r="843" ht="15.75" customHeight="1">
      <c r="B843" s="182"/>
      <c r="C843" s="3"/>
      <c r="E843" s="3"/>
      <c r="H843" s="3"/>
      <c r="AG843" s="91"/>
      <c r="AP843" s="141"/>
      <c r="AQ843" s="141"/>
    </row>
    <row r="844" ht="15.75" customHeight="1">
      <c r="B844" s="182"/>
      <c r="C844" s="3"/>
      <c r="E844" s="3"/>
      <c r="H844" s="3"/>
      <c r="AG844" s="91"/>
      <c r="AP844" s="141"/>
      <c r="AQ844" s="141"/>
    </row>
    <row r="845" ht="15.75" customHeight="1">
      <c r="B845" s="182"/>
      <c r="C845" s="3"/>
      <c r="E845" s="3"/>
      <c r="H845" s="3"/>
      <c r="AG845" s="91"/>
      <c r="AP845" s="141"/>
      <c r="AQ845" s="141"/>
    </row>
    <row r="846" ht="15.75" customHeight="1">
      <c r="B846" s="182"/>
      <c r="C846" s="3"/>
      <c r="E846" s="3"/>
      <c r="H846" s="3"/>
      <c r="AG846" s="91"/>
      <c r="AP846" s="141"/>
      <c r="AQ846" s="141"/>
    </row>
    <row r="847" ht="15.75" customHeight="1">
      <c r="B847" s="182"/>
      <c r="C847" s="3"/>
      <c r="E847" s="3"/>
      <c r="H847" s="3"/>
      <c r="AG847" s="91"/>
      <c r="AP847" s="141"/>
      <c r="AQ847" s="141"/>
    </row>
    <row r="848" ht="15.75" customHeight="1">
      <c r="B848" s="182"/>
      <c r="C848" s="3"/>
      <c r="E848" s="3"/>
      <c r="H848" s="3"/>
      <c r="AG848" s="91"/>
      <c r="AP848" s="141"/>
      <c r="AQ848" s="141"/>
    </row>
    <row r="849" ht="15.75" customHeight="1">
      <c r="B849" s="182"/>
      <c r="C849" s="3"/>
      <c r="E849" s="3"/>
      <c r="H849" s="3"/>
      <c r="AG849" s="91"/>
      <c r="AP849" s="141"/>
      <c r="AQ849" s="141"/>
    </row>
    <row r="850" ht="15.75" customHeight="1">
      <c r="B850" s="182"/>
      <c r="C850" s="3"/>
      <c r="E850" s="3"/>
      <c r="H850" s="3"/>
      <c r="AG850" s="91"/>
      <c r="AP850" s="141"/>
      <c r="AQ850" s="141"/>
    </row>
    <row r="851" ht="15.75" customHeight="1">
      <c r="B851" s="182"/>
      <c r="C851" s="3"/>
      <c r="E851" s="3"/>
      <c r="H851" s="3"/>
      <c r="AG851" s="91"/>
      <c r="AP851" s="141"/>
      <c r="AQ851" s="141"/>
    </row>
    <row r="852" ht="15.75" customHeight="1">
      <c r="B852" s="182"/>
      <c r="C852" s="3"/>
      <c r="E852" s="3"/>
      <c r="H852" s="3"/>
      <c r="AG852" s="91"/>
      <c r="AP852" s="141"/>
      <c r="AQ852" s="141"/>
    </row>
    <row r="853" ht="15.75" customHeight="1">
      <c r="B853" s="182"/>
      <c r="C853" s="3"/>
      <c r="E853" s="3"/>
      <c r="H853" s="3"/>
      <c r="AG853" s="91"/>
      <c r="AP853" s="141"/>
      <c r="AQ853" s="141"/>
    </row>
    <row r="854" ht="15.75" customHeight="1">
      <c r="B854" s="182"/>
      <c r="C854" s="3"/>
      <c r="E854" s="3"/>
      <c r="H854" s="3"/>
      <c r="AG854" s="91"/>
      <c r="AP854" s="141"/>
      <c r="AQ854" s="141"/>
    </row>
    <row r="855" ht="15.75" customHeight="1">
      <c r="B855" s="182"/>
      <c r="C855" s="3"/>
      <c r="E855" s="3"/>
      <c r="H855" s="3"/>
      <c r="AG855" s="91"/>
      <c r="AP855" s="141"/>
      <c r="AQ855" s="141"/>
    </row>
    <row r="856" ht="15.75" customHeight="1">
      <c r="B856" s="182"/>
      <c r="C856" s="3"/>
      <c r="E856" s="3"/>
      <c r="H856" s="3"/>
      <c r="AG856" s="91"/>
      <c r="AP856" s="141"/>
      <c r="AQ856" s="141"/>
    </row>
    <row r="857" ht="15.75" customHeight="1">
      <c r="B857" s="182"/>
      <c r="C857" s="3"/>
      <c r="E857" s="3"/>
      <c r="H857" s="3"/>
      <c r="AG857" s="91"/>
      <c r="AP857" s="141"/>
      <c r="AQ857" s="141"/>
    </row>
    <row r="858" ht="15.75" customHeight="1">
      <c r="B858" s="182"/>
      <c r="C858" s="3"/>
      <c r="E858" s="3"/>
      <c r="H858" s="3"/>
      <c r="AG858" s="91"/>
      <c r="AP858" s="141"/>
      <c r="AQ858" s="141"/>
    </row>
    <row r="859" ht="15.75" customHeight="1">
      <c r="B859" s="182"/>
      <c r="C859" s="3"/>
      <c r="E859" s="3"/>
      <c r="H859" s="3"/>
      <c r="AG859" s="91"/>
      <c r="AP859" s="141"/>
      <c r="AQ859" s="141"/>
    </row>
    <row r="860" ht="15.75" customHeight="1">
      <c r="B860" s="182"/>
      <c r="C860" s="3"/>
      <c r="E860" s="3"/>
      <c r="H860" s="3"/>
      <c r="AG860" s="91"/>
      <c r="AP860" s="141"/>
      <c r="AQ860" s="141"/>
    </row>
    <row r="861" ht="15.75" customHeight="1">
      <c r="B861" s="182"/>
      <c r="C861" s="3"/>
      <c r="E861" s="3"/>
      <c r="H861" s="3"/>
      <c r="AG861" s="91"/>
      <c r="AP861" s="141"/>
      <c r="AQ861" s="141"/>
    </row>
    <row r="862" ht="15.75" customHeight="1">
      <c r="B862" s="182"/>
      <c r="C862" s="3"/>
      <c r="E862" s="3"/>
      <c r="H862" s="3"/>
      <c r="AG862" s="91"/>
      <c r="AP862" s="141"/>
      <c r="AQ862" s="141"/>
    </row>
    <row r="863" ht="15.75" customHeight="1">
      <c r="B863" s="182"/>
      <c r="C863" s="3"/>
      <c r="E863" s="3"/>
      <c r="H863" s="3"/>
      <c r="AG863" s="91"/>
      <c r="AP863" s="141"/>
      <c r="AQ863" s="141"/>
    </row>
    <row r="864" ht="15.75" customHeight="1">
      <c r="B864" s="182"/>
      <c r="C864" s="3"/>
      <c r="E864" s="3"/>
      <c r="H864" s="3"/>
      <c r="AG864" s="91"/>
      <c r="AP864" s="141"/>
      <c r="AQ864" s="141"/>
    </row>
    <row r="865" ht="15.75" customHeight="1">
      <c r="B865" s="182"/>
      <c r="C865" s="3"/>
      <c r="E865" s="3"/>
      <c r="H865" s="3"/>
      <c r="AG865" s="91"/>
      <c r="AP865" s="141"/>
      <c r="AQ865" s="141"/>
    </row>
    <row r="866" ht="15.75" customHeight="1">
      <c r="B866" s="182"/>
      <c r="C866" s="3"/>
      <c r="E866" s="3"/>
      <c r="H866" s="3"/>
      <c r="AG866" s="91"/>
      <c r="AP866" s="141"/>
      <c r="AQ866" s="141"/>
    </row>
    <row r="867" ht="15.75" customHeight="1">
      <c r="B867" s="182"/>
      <c r="C867" s="3"/>
      <c r="E867" s="3"/>
      <c r="H867" s="3"/>
      <c r="AG867" s="91"/>
      <c r="AP867" s="141"/>
      <c r="AQ867" s="141"/>
    </row>
    <row r="868" ht="15.75" customHeight="1">
      <c r="B868" s="182"/>
      <c r="C868" s="3"/>
      <c r="E868" s="3"/>
      <c r="H868" s="3"/>
      <c r="AG868" s="91"/>
      <c r="AP868" s="141"/>
      <c r="AQ868" s="141"/>
    </row>
    <row r="869" ht="15.75" customHeight="1">
      <c r="B869" s="182"/>
      <c r="C869" s="3"/>
      <c r="E869" s="3"/>
      <c r="H869" s="3"/>
      <c r="AG869" s="91"/>
      <c r="AP869" s="141"/>
      <c r="AQ869" s="141"/>
    </row>
    <row r="870" ht="15.75" customHeight="1">
      <c r="B870" s="182"/>
      <c r="C870" s="3"/>
      <c r="E870" s="3"/>
      <c r="H870" s="3"/>
      <c r="AG870" s="91"/>
      <c r="AP870" s="141"/>
      <c r="AQ870" s="141"/>
    </row>
    <row r="871" ht="15.75" customHeight="1">
      <c r="B871" s="182"/>
      <c r="C871" s="3"/>
      <c r="E871" s="3"/>
      <c r="H871" s="3"/>
      <c r="AG871" s="91"/>
      <c r="AP871" s="141"/>
      <c r="AQ871" s="141"/>
    </row>
    <row r="872" ht="15.75" customHeight="1">
      <c r="B872" s="182"/>
      <c r="C872" s="3"/>
      <c r="E872" s="3"/>
      <c r="H872" s="3"/>
      <c r="AG872" s="91"/>
      <c r="AP872" s="141"/>
      <c r="AQ872" s="141"/>
    </row>
    <row r="873" ht="15.75" customHeight="1">
      <c r="B873" s="182"/>
      <c r="C873" s="3"/>
      <c r="E873" s="3"/>
      <c r="H873" s="3"/>
      <c r="AG873" s="91"/>
      <c r="AP873" s="141"/>
      <c r="AQ873" s="141"/>
    </row>
    <row r="874" ht="15.75" customHeight="1">
      <c r="B874" s="182"/>
      <c r="C874" s="3"/>
      <c r="E874" s="3"/>
      <c r="H874" s="3"/>
      <c r="AG874" s="91"/>
      <c r="AP874" s="141"/>
      <c r="AQ874" s="141"/>
    </row>
    <row r="875" ht="15.75" customHeight="1">
      <c r="B875" s="182"/>
      <c r="C875" s="3"/>
      <c r="E875" s="3"/>
      <c r="H875" s="3"/>
      <c r="AG875" s="91"/>
      <c r="AP875" s="141"/>
      <c r="AQ875" s="141"/>
    </row>
    <row r="876" ht="15.75" customHeight="1">
      <c r="B876" s="182"/>
      <c r="C876" s="3"/>
      <c r="E876" s="3"/>
      <c r="H876" s="3"/>
      <c r="AG876" s="91"/>
      <c r="AP876" s="141"/>
      <c r="AQ876" s="141"/>
    </row>
    <row r="877" ht="15.75" customHeight="1">
      <c r="B877" s="182"/>
      <c r="C877" s="3"/>
      <c r="E877" s="3"/>
      <c r="H877" s="3"/>
      <c r="AG877" s="91"/>
      <c r="AP877" s="141"/>
      <c r="AQ877" s="141"/>
    </row>
    <row r="878" ht="15.75" customHeight="1">
      <c r="B878" s="182"/>
      <c r="C878" s="3"/>
      <c r="E878" s="3"/>
      <c r="H878" s="3"/>
      <c r="AG878" s="91"/>
      <c r="AP878" s="141"/>
      <c r="AQ878" s="141"/>
    </row>
    <row r="879" ht="15.75" customHeight="1">
      <c r="B879" s="182"/>
      <c r="C879" s="3"/>
      <c r="E879" s="3"/>
      <c r="H879" s="3"/>
      <c r="AG879" s="91"/>
      <c r="AP879" s="141"/>
      <c r="AQ879" s="141"/>
    </row>
    <row r="880" ht="15.75" customHeight="1">
      <c r="B880" s="182"/>
      <c r="C880" s="3"/>
      <c r="E880" s="3"/>
      <c r="H880" s="3"/>
      <c r="AG880" s="91"/>
      <c r="AP880" s="141"/>
      <c r="AQ880" s="141"/>
    </row>
    <row r="881" ht="15.75" customHeight="1">
      <c r="B881" s="182"/>
      <c r="C881" s="3"/>
      <c r="E881" s="3"/>
      <c r="H881" s="3"/>
      <c r="AG881" s="91"/>
      <c r="AP881" s="141"/>
      <c r="AQ881" s="141"/>
    </row>
    <row r="882" ht="15.75" customHeight="1">
      <c r="B882" s="182"/>
      <c r="C882" s="3"/>
      <c r="E882" s="3"/>
      <c r="H882" s="3"/>
      <c r="AG882" s="91"/>
      <c r="AP882" s="141"/>
      <c r="AQ882" s="141"/>
    </row>
    <row r="883" ht="15.75" customHeight="1">
      <c r="B883" s="182"/>
      <c r="C883" s="3"/>
      <c r="E883" s="3"/>
      <c r="H883" s="3"/>
      <c r="AG883" s="91"/>
      <c r="AP883" s="141"/>
      <c r="AQ883" s="141"/>
    </row>
    <row r="884" ht="15.75" customHeight="1">
      <c r="B884" s="182"/>
      <c r="C884" s="3"/>
      <c r="E884" s="3"/>
      <c r="H884" s="3"/>
      <c r="AG884" s="91"/>
      <c r="AP884" s="141"/>
      <c r="AQ884" s="141"/>
    </row>
    <row r="885" ht="15.75" customHeight="1">
      <c r="B885" s="182"/>
      <c r="C885" s="3"/>
      <c r="E885" s="3"/>
      <c r="H885" s="3"/>
      <c r="AG885" s="91"/>
      <c r="AP885" s="141"/>
      <c r="AQ885" s="141"/>
    </row>
    <row r="886" ht="15.75" customHeight="1">
      <c r="B886" s="182"/>
      <c r="C886" s="3"/>
      <c r="E886" s="3"/>
      <c r="H886" s="3"/>
      <c r="AG886" s="91"/>
      <c r="AP886" s="141"/>
      <c r="AQ886" s="141"/>
    </row>
    <row r="887" ht="15.75" customHeight="1">
      <c r="B887" s="182"/>
      <c r="C887" s="3"/>
      <c r="E887" s="3"/>
      <c r="H887" s="3"/>
      <c r="AG887" s="91"/>
      <c r="AP887" s="141"/>
      <c r="AQ887" s="141"/>
    </row>
    <row r="888" ht="15.75" customHeight="1">
      <c r="B888" s="182"/>
      <c r="C888" s="3"/>
      <c r="E888" s="3"/>
      <c r="H888" s="3"/>
      <c r="AG888" s="91"/>
      <c r="AP888" s="141"/>
      <c r="AQ888" s="141"/>
    </row>
    <row r="889" ht="15.75" customHeight="1">
      <c r="B889" s="182"/>
      <c r="C889" s="3"/>
      <c r="E889" s="3"/>
      <c r="H889" s="3"/>
      <c r="AG889" s="91"/>
      <c r="AP889" s="141"/>
      <c r="AQ889" s="141"/>
    </row>
    <row r="890" ht="15.75" customHeight="1">
      <c r="B890" s="182"/>
      <c r="C890" s="3"/>
      <c r="E890" s="3"/>
      <c r="H890" s="3"/>
      <c r="AG890" s="91"/>
      <c r="AP890" s="141"/>
      <c r="AQ890" s="141"/>
    </row>
    <row r="891" ht="15.75" customHeight="1">
      <c r="B891" s="182"/>
      <c r="C891" s="3"/>
      <c r="E891" s="3"/>
      <c r="H891" s="3"/>
      <c r="AG891" s="91"/>
      <c r="AP891" s="141"/>
      <c r="AQ891" s="141"/>
    </row>
    <row r="892" ht="15.75" customHeight="1">
      <c r="B892" s="182"/>
      <c r="C892" s="3"/>
      <c r="E892" s="3"/>
      <c r="H892" s="3"/>
      <c r="AG892" s="91"/>
      <c r="AP892" s="141"/>
      <c r="AQ892" s="141"/>
    </row>
    <row r="893" ht="15.75" customHeight="1">
      <c r="B893" s="182"/>
      <c r="C893" s="3"/>
      <c r="E893" s="3"/>
      <c r="H893" s="3"/>
      <c r="AG893" s="91"/>
      <c r="AP893" s="141"/>
      <c r="AQ893" s="141"/>
    </row>
    <row r="894" ht="15.75" customHeight="1">
      <c r="B894" s="182"/>
      <c r="C894" s="3"/>
      <c r="E894" s="3"/>
      <c r="H894" s="3"/>
      <c r="AG894" s="91"/>
      <c r="AP894" s="141"/>
      <c r="AQ894" s="141"/>
    </row>
    <row r="895" ht="15.75" customHeight="1">
      <c r="B895" s="182"/>
      <c r="C895" s="3"/>
      <c r="E895" s="3"/>
      <c r="H895" s="3"/>
      <c r="AG895" s="91"/>
      <c r="AP895" s="141"/>
      <c r="AQ895" s="141"/>
    </row>
    <row r="896" ht="15.75" customHeight="1">
      <c r="B896" s="182"/>
      <c r="C896" s="3"/>
      <c r="E896" s="3"/>
      <c r="H896" s="3"/>
      <c r="AG896" s="91"/>
      <c r="AP896" s="141"/>
      <c r="AQ896" s="141"/>
    </row>
    <row r="897" ht="15.75" customHeight="1">
      <c r="B897" s="182"/>
      <c r="C897" s="3"/>
      <c r="E897" s="3"/>
      <c r="H897" s="3"/>
      <c r="AG897" s="91"/>
      <c r="AP897" s="141"/>
      <c r="AQ897" s="141"/>
    </row>
    <row r="898" ht="15.75" customHeight="1">
      <c r="B898" s="182"/>
      <c r="C898" s="3"/>
      <c r="E898" s="3"/>
      <c r="H898" s="3"/>
      <c r="AG898" s="91"/>
      <c r="AP898" s="141"/>
      <c r="AQ898" s="141"/>
    </row>
    <row r="899" ht="15.75" customHeight="1">
      <c r="B899" s="182"/>
      <c r="C899" s="3"/>
      <c r="E899" s="3"/>
      <c r="H899" s="3"/>
      <c r="AG899" s="91"/>
      <c r="AP899" s="141"/>
      <c r="AQ899" s="141"/>
    </row>
    <row r="900" ht="15.75" customHeight="1">
      <c r="B900" s="182"/>
      <c r="C900" s="3"/>
      <c r="E900" s="3"/>
      <c r="H900" s="3"/>
      <c r="AG900" s="91"/>
      <c r="AP900" s="141"/>
      <c r="AQ900" s="141"/>
    </row>
    <row r="901" ht="15.75" customHeight="1">
      <c r="B901" s="182"/>
      <c r="C901" s="3"/>
      <c r="E901" s="3"/>
      <c r="H901" s="3"/>
      <c r="AG901" s="91"/>
      <c r="AP901" s="141"/>
      <c r="AQ901" s="141"/>
    </row>
    <row r="902" ht="15.75" customHeight="1">
      <c r="B902" s="182"/>
      <c r="C902" s="3"/>
      <c r="E902" s="3"/>
      <c r="H902" s="3"/>
      <c r="AG902" s="91"/>
      <c r="AP902" s="141"/>
      <c r="AQ902" s="141"/>
    </row>
    <row r="903" ht="15.75" customHeight="1">
      <c r="B903" s="182"/>
      <c r="C903" s="3"/>
      <c r="E903" s="3"/>
      <c r="H903" s="3"/>
      <c r="AG903" s="91"/>
      <c r="AP903" s="141"/>
      <c r="AQ903" s="141"/>
    </row>
    <row r="904" ht="15.75" customHeight="1">
      <c r="B904" s="182"/>
      <c r="C904" s="3"/>
      <c r="E904" s="3"/>
      <c r="H904" s="3"/>
      <c r="AG904" s="91"/>
      <c r="AP904" s="141"/>
      <c r="AQ904" s="141"/>
    </row>
    <row r="905" ht="15.75" customHeight="1">
      <c r="B905" s="182"/>
      <c r="C905" s="3"/>
      <c r="E905" s="3"/>
      <c r="H905" s="3"/>
      <c r="AG905" s="91"/>
      <c r="AP905" s="141"/>
      <c r="AQ905" s="141"/>
    </row>
    <row r="906" ht="15.75" customHeight="1">
      <c r="B906" s="182"/>
      <c r="C906" s="3"/>
      <c r="E906" s="3"/>
      <c r="H906" s="3"/>
      <c r="AG906" s="91"/>
      <c r="AP906" s="141"/>
      <c r="AQ906" s="141"/>
    </row>
    <row r="907" ht="15.75" customHeight="1">
      <c r="B907" s="182"/>
      <c r="C907" s="3"/>
      <c r="E907" s="3"/>
      <c r="H907" s="3"/>
      <c r="AG907" s="91"/>
      <c r="AP907" s="141"/>
      <c r="AQ907" s="141"/>
    </row>
    <row r="908" ht="15.75" customHeight="1">
      <c r="B908" s="182"/>
      <c r="C908" s="3"/>
      <c r="E908" s="3"/>
      <c r="H908" s="3"/>
      <c r="AG908" s="91"/>
      <c r="AP908" s="141"/>
      <c r="AQ908" s="141"/>
    </row>
    <row r="909" ht="15.75" customHeight="1">
      <c r="B909" s="182"/>
      <c r="C909" s="3"/>
      <c r="E909" s="3"/>
      <c r="H909" s="3"/>
      <c r="AG909" s="91"/>
      <c r="AP909" s="141"/>
      <c r="AQ909" s="141"/>
    </row>
    <row r="910" ht="15.75" customHeight="1">
      <c r="B910" s="182"/>
      <c r="C910" s="3"/>
      <c r="E910" s="3"/>
      <c r="H910" s="3"/>
      <c r="AG910" s="91"/>
      <c r="AP910" s="141"/>
      <c r="AQ910" s="141"/>
    </row>
    <row r="911" ht="15.75" customHeight="1">
      <c r="B911" s="182"/>
      <c r="C911" s="3"/>
      <c r="E911" s="3"/>
      <c r="H911" s="3"/>
      <c r="AG911" s="91"/>
      <c r="AP911" s="141"/>
      <c r="AQ911" s="141"/>
    </row>
    <row r="912" ht="15.75" customHeight="1">
      <c r="B912" s="182"/>
      <c r="C912" s="3"/>
      <c r="E912" s="3"/>
      <c r="H912" s="3"/>
      <c r="AG912" s="91"/>
      <c r="AP912" s="141"/>
      <c r="AQ912" s="141"/>
    </row>
    <row r="913" ht="15.75" customHeight="1">
      <c r="B913" s="182"/>
      <c r="C913" s="3"/>
      <c r="E913" s="3"/>
      <c r="H913" s="3"/>
      <c r="AG913" s="91"/>
      <c r="AP913" s="141"/>
      <c r="AQ913" s="141"/>
    </row>
    <row r="914" ht="15.75" customHeight="1">
      <c r="B914" s="182"/>
      <c r="C914" s="3"/>
      <c r="E914" s="3"/>
      <c r="H914" s="3"/>
      <c r="AG914" s="91"/>
      <c r="AP914" s="141"/>
      <c r="AQ914" s="141"/>
    </row>
    <row r="915" ht="15.75" customHeight="1">
      <c r="B915" s="182"/>
      <c r="C915" s="3"/>
      <c r="E915" s="3"/>
      <c r="H915" s="3"/>
      <c r="AG915" s="91"/>
      <c r="AP915" s="141"/>
      <c r="AQ915" s="141"/>
    </row>
    <row r="916" ht="15.75" customHeight="1">
      <c r="B916" s="182"/>
      <c r="C916" s="3"/>
      <c r="E916" s="3"/>
      <c r="H916" s="3"/>
      <c r="AG916" s="91"/>
      <c r="AP916" s="141"/>
      <c r="AQ916" s="141"/>
    </row>
    <row r="917" ht="15.75" customHeight="1">
      <c r="B917" s="182"/>
      <c r="C917" s="3"/>
      <c r="E917" s="3"/>
      <c r="H917" s="3"/>
      <c r="AG917" s="91"/>
      <c r="AP917" s="141"/>
      <c r="AQ917" s="141"/>
    </row>
    <row r="918" ht="15.75" customHeight="1">
      <c r="B918" s="182"/>
      <c r="C918" s="3"/>
      <c r="E918" s="3"/>
      <c r="H918" s="3"/>
      <c r="AG918" s="91"/>
      <c r="AP918" s="141"/>
      <c r="AQ918" s="141"/>
    </row>
    <row r="919" ht="15.75" customHeight="1">
      <c r="B919" s="182"/>
      <c r="C919" s="3"/>
      <c r="E919" s="3"/>
      <c r="H919" s="3"/>
      <c r="AG919" s="91"/>
      <c r="AP919" s="141"/>
      <c r="AQ919" s="141"/>
    </row>
    <row r="920" ht="15.75" customHeight="1">
      <c r="B920" s="182"/>
      <c r="C920" s="3"/>
      <c r="E920" s="3"/>
      <c r="H920" s="3"/>
      <c r="AG920" s="91"/>
      <c r="AP920" s="141"/>
      <c r="AQ920" s="141"/>
    </row>
    <row r="921" ht="15.75" customHeight="1">
      <c r="B921" s="182"/>
      <c r="C921" s="3"/>
      <c r="E921" s="3"/>
      <c r="H921" s="3"/>
      <c r="AG921" s="91"/>
      <c r="AP921" s="141"/>
      <c r="AQ921" s="141"/>
    </row>
    <row r="922" ht="15.75" customHeight="1">
      <c r="B922" s="182"/>
      <c r="C922" s="3"/>
      <c r="E922" s="3"/>
      <c r="H922" s="3"/>
      <c r="AG922" s="91"/>
      <c r="AP922" s="141"/>
      <c r="AQ922" s="141"/>
    </row>
    <row r="923" ht="15.75" customHeight="1">
      <c r="B923" s="182"/>
      <c r="C923" s="3"/>
      <c r="E923" s="3"/>
      <c r="H923" s="3"/>
      <c r="AG923" s="91"/>
      <c r="AP923" s="141"/>
      <c r="AQ923" s="141"/>
    </row>
    <row r="924" ht="15.75" customHeight="1">
      <c r="B924" s="182"/>
      <c r="C924" s="3"/>
      <c r="E924" s="3"/>
      <c r="H924" s="3"/>
      <c r="AG924" s="91"/>
      <c r="AP924" s="141"/>
      <c r="AQ924" s="141"/>
    </row>
    <row r="925" ht="15.75" customHeight="1">
      <c r="B925" s="182"/>
      <c r="C925" s="3"/>
      <c r="E925" s="3"/>
      <c r="H925" s="3"/>
      <c r="AG925" s="91"/>
      <c r="AP925" s="141"/>
      <c r="AQ925" s="141"/>
    </row>
    <row r="926" ht="15.75" customHeight="1">
      <c r="B926" s="182"/>
      <c r="C926" s="3"/>
      <c r="E926" s="3"/>
      <c r="H926" s="3"/>
      <c r="AG926" s="91"/>
      <c r="AP926" s="141"/>
      <c r="AQ926" s="141"/>
    </row>
    <row r="927" ht="15.75" customHeight="1">
      <c r="B927" s="182"/>
      <c r="C927" s="3"/>
      <c r="E927" s="3"/>
      <c r="H927" s="3"/>
      <c r="AG927" s="91"/>
      <c r="AP927" s="141"/>
      <c r="AQ927" s="141"/>
    </row>
    <row r="928" ht="15.75" customHeight="1">
      <c r="B928" s="182"/>
      <c r="C928" s="3"/>
      <c r="E928" s="3"/>
      <c r="H928" s="3"/>
      <c r="AG928" s="91"/>
      <c r="AP928" s="141"/>
      <c r="AQ928" s="141"/>
    </row>
    <row r="929" ht="15.75" customHeight="1">
      <c r="B929" s="182"/>
      <c r="C929" s="3"/>
      <c r="E929" s="3"/>
      <c r="H929" s="3"/>
      <c r="AG929" s="91"/>
      <c r="AP929" s="141"/>
      <c r="AQ929" s="141"/>
    </row>
    <row r="930" ht="15.75" customHeight="1">
      <c r="B930" s="182"/>
      <c r="C930" s="3"/>
      <c r="E930" s="3"/>
      <c r="H930" s="3"/>
      <c r="AG930" s="91"/>
      <c r="AP930" s="141"/>
      <c r="AQ930" s="141"/>
    </row>
    <row r="931" ht="15.75" customHeight="1">
      <c r="B931" s="182"/>
      <c r="C931" s="3"/>
      <c r="E931" s="3"/>
      <c r="H931" s="3"/>
      <c r="AG931" s="91"/>
      <c r="AP931" s="141"/>
      <c r="AQ931" s="141"/>
    </row>
    <row r="932" ht="15.75" customHeight="1">
      <c r="B932" s="182"/>
      <c r="C932" s="3"/>
      <c r="E932" s="3"/>
      <c r="H932" s="3"/>
      <c r="AG932" s="91"/>
      <c r="AP932" s="141"/>
      <c r="AQ932" s="141"/>
    </row>
    <row r="933" ht="15.75" customHeight="1">
      <c r="B933" s="182"/>
      <c r="C933" s="3"/>
      <c r="E933" s="3"/>
      <c r="H933" s="3"/>
      <c r="AG933" s="91"/>
      <c r="AP933" s="141"/>
      <c r="AQ933" s="141"/>
    </row>
    <row r="934" ht="15.75" customHeight="1">
      <c r="B934" s="182"/>
      <c r="C934" s="3"/>
      <c r="E934" s="3"/>
      <c r="H934" s="3"/>
      <c r="AG934" s="91"/>
      <c r="AP934" s="141"/>
      <c r="AQ934" s="141"/>
    </row>
    <row r="935" ht="15.75" customHeight="1">
      <c r="B935" s="182"/>
      <c r="C935" s="3"/>
      <c r="E935" s="3"/>
      <c r="H935" s="3"/>
      <c r="AG935" s="91"/>
      <c r="AP935" s="141"/>
      <c r="AQ935" s="141"/>
    </row>
    <row r="936" ht="15.75" customHeight="1">
      <c r="B936" s="182"/>
      <c r="C936" s="3"/>
      <c r="E936" s="3"/>
      <c r="H936" s="3"/>
      <c r="AG936" s="91"/>
      <c r="AP936" s="141"/>
      <c r="AQ936" s="141"/>
    </row>
    <row r="937" ht="15.75" customHeight="1">
      <c r="B937" s="182"/>
      <c r="C937" s="3"/>
      <c r="E937" s="3"/>
      <c r="H937" s="3"/>
      <c r="AG937" s="91"/>
      <c r="AP937" s="141"/>
      <c r="AQ937" s="141"/>
    </row>
    <row r="938" ht="15.75" customHeight="1">
      <c r="B938" s="182"/>
      <c r="C938" s="3"/>
      <c r="E938" s="3"/>
      <c r="H938" s="3"/>
      <c r="AG938" s="91"/>
      <c r="AP938" s="141"/>
      <c r="AQ938" s="141"/>
    </row>
    <row r="939" ht="15.75" customHeight="1">
      <c r="B939" s="182"/>
      <c r="C939" s="3"/>
      <c r="E939" s="3"/>
      <c r="H939" s="3"/>
      <c r="AG939" s="91"/>
      <c r="AP939" s="141"/>
      <c r="AQ939" s="141"/>
    </row>
    <row r="940" ht="15.75" customHeight="1">
      <c r="B940" s="182"/>
      <c r="C940" s="3"/>
      <c r="E940" s="3"/>
      <c r="H940" s="3"/>
      <c r="AG940" s="91"/>
      <c r="AP940" s="141"/>
      <c r="AQ940" s="141"/>
    </row>
    <row r="941" ht="15.75" customHeight="1">
      <c r="B941" s="182"/>
      <c r="C941" s="3"/>
      <c r="E941" s="3"/>
      <c r="H941" s="3"/>
      <c r="AG941" s="91"/>
      <c r="AP941" s="141"/>
      <c r="AQ941" s="141"/>
    </row>
    <row r="942" ht="15.75" customHeight="1">
      <c r="B942" s="182"/>
      <c r="C942" s="3"/>
      <c r="E942" s="3"/>
      <c r="H942" s="3"/>
      <c r="AG942" s="91"/>
      <c r="AP942" s="141"/>
      <c r="AQ942" s="141"/>
    </row>
    <row r="943" ht="15.75" customHeight="1">
      <c r="B943" s="182"/>
      <c r="C943" s="3"/>
      <c r="E943" s="3"/>
      <c r="H943" s="3"/>
      <c r="AG943" s="91"/>
      <c r="AP943" s="141"/>
      <c r="AQ943" s="141"/>
    </row>
    <row r="944" ht="15.75" customHeight="1">
      <c r="B944" s="182"/>
      <c r="C944" s="3"/>
      <c r="E944" s="3"/>
      <c r="H944" s="3"/>
      <c r="AG944" s="91"/>
      <c r="AP944" s="141"/>
      <c r="AQ944" s="141"/>
    </row>
    <row r="945" ht="15.75" customHeight="1">
      <c r="B945" s="182"/>
      <c r="C945" s="3"/>
      <c r="E945" s="3"/>
      <c r="H945" s="3"/>
      <c r="AG945" s="91"/>
      <c r="AP945" s="141"/>
      <c r="AQ945" s="141"/>
    </row>
    <row r="946" ht="15.75" customHeight="1">
      <c r="B946" s="182"/>
      <c r="C946" s="3"/>
      <c r="E946" s="3"/>
      <c r="H946" s="3"/>
      <c r="AG946" s="91"/>
      <c r="AP946" s="141"/>
      <c r="AQ946" s="141"/>
    </row>
    <row r="947" ht="15.75" customHeight="1">
      <c r="B947" s="182"/>
      <c r="C947" s="3"/>
      <c r="E947" s="3"/>
      <c r="H947" s="3"/>
      <c r="AG947" s="91"/>
      <c r="AP947" s="141"/>
      <c r="AQ947" s="141"/>
    </row>
    <row r="948" ht="15.75" customHeight="1">
      <c r="B948" s="182"/>
      <c r="C948" s="3"/>
      <c r="E948" s="3"/>
      <c r="H948" s="3"/>
      <c r="AG948" s="91"/>
      <c r="AP948" s="141"/>
      <c r="AQ948" s="141"/>
    </row>
    <row r="949" ht="15.75" customHeight="1">
      <c r="B949" s="182"/>
      <c r="C949" s="3"/>
      <c r="E949" s="3"/>
      <c r="H949" s="3"/>
      <c r="AG949" s="91"/>
      <c r="AP949" s="141"/>
      <c r="AQ949" s="141"/>
    </row>
    <row r="950" ht="15.75" customHeight="1">
      <c r="B950" s="182"/>
      <c r="C950" s="3"/>
      <c r="E950" s="3"/>
      <c r="H950" s="3"/>
      <c r="AG950" s="91"/>
      <c r="AP950" s="141"/>
      <c r="AQ950" s="141"/>
    </row>
    <row r="951" ht="15.75" customHeight="1">
      <c r="B951" s="182"/>
      <c r="C951" s="3"/>
      <c r="E951" s="3"/>
      <c r="H951" s="3"/>
      <c r="AG951" s="91"/>
      <c r="AP951" s="141"/>
      <c r="AQ951" s="141"/>
    </row>
    <row r="952" ht="15.75" customHeight="1">
      <c r="B952" s="182"/>
      <c r="C952" s="3"/>
      <c r="E952" s="3"/>
      <c r="H952" s="3"/>
      <c r="AG952" s="91"/>
      <c r="AP952" s="141"/>
      <c r="AQ952" s="141"/>
    </row>
    <row r="953" ht="15.75" customHeight="1">
      <c r="B953" s="182"/>
      <c r="C953" s="3"/>
      <c r="E953" s="3"/>
      <c r="H953" s="3"/>
      <c r="AG953" s="91"/>
      <c r="AP953" s="141"/>
      <c r="AQ953" s="141"/>
    </row>
    <row r="954" ht="15.75" customHeight="1">
      <c r="B954" s="182"/>
      <c r="C954" s="3"/>
      <c r="E954" s="3"/>
      <c r="H954" s="3"/>
      <c r="AG954" s="91"/>
      <c r="AP954" s="141"/>
      <c r="AQ954" s="141"/>
    </row>
    <row r="955" ht="15.75" customHeight="1">
      <c r="B955" s="182"/>
      <c r="C955" s="3"/>
      <c r="E955" s="3"/>
      <c r="H955" s="3"/>
      <c r="AG955" s="91"/>
      <c r="AP955" s="141"/>
      <c r="AQ955" s="141"/>
    </row>
    <row r="956" ht="15.75" customHeight="1">
      <c r="B956" s="182"/>
      <c r="C956" s="3"/>
      <c r="E956" s="3"/>
      <c r="H956" s="3"/>
      <c r="AG956" s="91"/>
      <c r="AP956" s="141"/>
      <c r="AQ956" s="141"/>
    </row>
    <row r="957" ht="15.75" customHeight="1">
      <c r="B957" s="182"/>
      <c r="C957" s="3"/>
      <c r="E957" s="3"/>
      <c r="H957" s="3"/>
      <c r="AG957" s="91"/>
      <c r="AP957" s="141"/>
      <c r="AQ957" s="141"/>
    </row>
    <row r="958" ht="15.75" customHeight="1">
      <c r="B958" s="182"/>
      <c r="C958" s="3"/>
      <c r="E958" s="3"/>
      <c r="H958" s="3"/>
      <c r="AG958" s="91"/>
      <c r="AP958" s="141"/>
      <c r="AQ958" s="141"/>
    </row>
    <row r="959" ht="15.75" customHeight="1">
      <c r="B959" s="182"/>
      <c r="C959" s="3"/>
      <c r="E959" s="3"/>
      <c r="H959" s="3"/>
      <c r="AG959" s="91"/>
      <c r="AP959" s="141"/>
      <c r="AQ959" s="141"/>
    </row>
    <row r="960" ht="15.75" customHeight="1">
      <c r="B960" s="182"/>
      <c r="C960" s="3"/>
      <c r="E960" s="3"/>
      <c r="H960" s="3"/>
      <c r="AG960" s="91"/>
      <c r="AP960" s="141"/>
      <c r="AQ960" s="141"/>
    </row>
    <row r="961" ht="15.75" customHeight="1">
      <c r="B961" s="182"/>
      <c r="C961" s="3"/>
      <c r="E961" s="3"/>
      <c r="H961" s="3"/>
      <c r="AG961" s="91"/>
      <c r="AP961" s="141"/>
      <c r="AQ961" s="141"/>
    </row>
    <row r="962" ht="15.75" customHeight="1">
      <c r="B962" s="182"/>
      <c r="C962" s="3"/>
      <c r="E962" s="3"/>
      <c r="H962" s="3"/>
      <c r="AG962" s="91"/>
      <c r="AP962" s="141"/>
      <c r="AQ962" s="141"/>
    </row>
    <row r="963" ht="15.75" customHeight="1">
      <c r="B963" s="182"/>
      <c r="C963" s="3"/>
      <c r="E963" s="3"/>
      <c r="H963" s="3"/>
      <c r="AG963" s="91"/>
      <c r="AP963" s="141"/>
      <c r="AQ963" s="141"/>
    </row>
    <row r="964" ht="15.75" customHeight="1">
      <c r="B964" s="182"/>
      <c r="C964" s="3"/>
      <c r="E964" s="3"/>
      <c r="H964" s="3"/>
      <c r="AG964" s="91"/>
      <c r="AP964" s="141"/>
      <c r="AQ964" s="141"/>
    </row>
    <row r="965" ht="15.75" customHeight="1">
      <c r="B965" s="182"/>
      <c r="C965" s="3"/>
      <c r="E965" s="3"/>
      <c r="H965" s="3"/>
      <c r="AG965" s="91"/>
      <c r="AP965" s="141"/>
      <c r="AQ965" s="141"/>
    </row>
    <row r="966" ht="15.75" customHeight="1">
      <c r="B966" s="182"/>
      <c r="C966" s="3"/>
      <c r="E966" s="3"/>
      <c r="H966" s="3"/>
      <c r="AG966" s="91"/>
      <c r="AP966" s="141"/>
      <c r="AQ966" s="141"/>
    </row>
    <row r="967" ht="15.75" customHeight="1">
      <c r="B967" s="182"/>
      <c r="C967" s="3"/>
      <c r="E967" s="3"/>
      <c r="H967" s="3"/>
      <c r="AG967" s="91"/>
      <c r="AP967" s="141"/>
      <c r="AQ967" s="141"/>
    </row>
    <row r="968" ht="15.75" customHeight="1">
      <c r="B968" s="182"/>
      <c r="C968" s="3"/>
      <c r="E968" s="3"/>
      <c r="H968" s="3"/>
      <c r="AG968" s="91"/>
      <c r="AP968" s="141"/>
      <c r="AQ968" s="141"/>
    </row>
    <row r="969" ht="15.75" customHeight="1">
      <c r="B969" s="182"/>
      <c r="C969" s="3"/>
      <c r="E969" s="3"/>
      <c r="H969" s="3"/>
      <c r="AG969" s="91"/>
      <c r="AP969" s="141"/>
      <c r="AQ969" s="141"/>
    </row>
    <row r="970" ht="15.75" customHeight="1">
      <c r="B970" s="182"/>
      <c r="C970" s="3"/>
      <c r="E970" s="3"/>
      <c r="H970" s="3"/>
      <c r="AG970" s="91"/>
      <c r="AP970" s="141"/>
      <c r="AQ970" s="141"/>
    </row>
    <row r="971" ht="15.75" customHeight="1">
      <c r="B971" s="182"/>
      <c r="C971" s="3"/>
      <c r="E971" s="3"/>
      <c r="H971" s="3"/>
      <c r="AG971" s="91"/>
      <c r="AP971" s="141"/>
      <c r="AQ971" s="141"/>
    </row>
    <row r="972" ht="15.75" customHeight="1">
      <c r="B972" s="182"/>
      <c r="C972" s="3"/>
      <c r="E972" s="3"/>
      <c r="H972" s="3"/>
      <c r="AG972" s="91"/>
      <c r="AP972" s="141"/>
      <c r="AQ972" s="141"/>
    </row>
    <row r="973" ht="15.75" customHeight="1">
      <c r="B973" s="182"/>
      <c r="C973" s="3"/>
      <c r="E973" s="3"/>
      <c r="H973" s="3"/>
      <c r="AG973" s="91"/>
      <c r="AP973" s="141"/>
      <c r="AQ973" s="141"/>
    </row>
    <row r="974" ht="15.75" customHeight="1">
      <c r="B974" s="182"/>
      <c r="C974" s="3"/>
      <c r="E974" s="3"/>
      <c r="H974" s="3"/>
      <c r="AG974" s="91"/>
      <c r="AP974" s="141"/>
      <c r="AQ974" s="141"/>
    </row>
    <row r="975" ht="15.75" customHeight="1">
      <c r="B975" s="182"/>
      <c r="C975" s="3"/>
      <c r="E975" s="3"/>
      <c r="H975" s="3"/>
      <c r="AG975" s="91"/>
      <c r="AP975" s="141"/>
      <c r="AQ975" s="141"/>
    </row>
    <row r="976" ht="15.75" customHeight="1">
      <c r="B976" s="182"/>
      <c r="C976" s="3"/>
      <c r="E976" s="3"/>
      <c r="H976" s="3"/>
      <c r="AG976" s="91"/>
      <c r="AP976" s="141"/>
      <c r="AQ976" s="141"/>
    </row>
    <row r="977" ht="15.75" customHeight="1">
      <c r="B977" s="182"/>
      <c r="C977" s="3"/>
      <c r="E977" s="3"/>
      <c r="H977" s="3"/>
      <c r="AG977" s="91"/>
      <c r="AP977" s="141"/>
      <c r="AQ977" s="141"/>
    </row>
    <row r="978" ht="15.75" customHeight="1">
      <c r="B978" s="182"/>
      <c r="C978" s="3"/>
      <c r="E978" s="3"/>
      <c r="H978" s="3"/>
      <c r="AG978" s="91"/>
      <c r="AP978" s="141"/>
      <c r="AQ978" s="141"/>
    </row>
    <row r="979" ht="15.75" customHeight="1">
      <c r="B979" s="182"/>
      <c r="C979" s="3"/>
      <c r="E979" s="3"/>
      <c r="H979" s="3"/>
      <c r="AG979" s="91"/>
      <c r="AP979" s="141"/>
      <c r="AQ979" s="141"/>
    </row>
    <row r="980" ht="15.75" customHeight="1">
      <c r="B980" s="182"/>
      <c r="C980" s="3"/>
      <c r="E980" s="3"/>
      <c r="H980" s="3"/>
      <c r="AG980" s="91"/>
      <c r="AP980" s="141"/>
      <c r="AQ980" s="141"/>
    </row>
    <row r="981" ht="15.75" customHeight="1">
      <c r="B981" s="182"/>
      <c r="C981" s="3"/>
      <c r="E981" s="3"/>
      <c r="H981" s="3"/>
      <c r="AG981" s="91"/>
      <c r="AP981" s="141"/>
      <c r="AQ981" s="141"/>
    </row>
    <row r="982" ht="15.75" customHeight="1">
      <c r="B982" s="182"/>
      <c r="C982" s="3"/>
      <c r="E982" s="3"/>
      <c r="H982" s="3"/>
      <c r="AG982" s="91"/>
      <c r="AP982" s="141"/>
      <c r="AQ982" s="141"/>
    </row>
    <row r="983" ht="15.75" customHeight="1">
      <c r="B983" s="182"/>
      <c r="C983" s="3"/>
      <c r="E983" s="3"/>
      <c r="H983" s="3"/>
      <c r="AG983" s="91"/>
      <c r="AP983" s="141"/>
      <c r="AQ983" s="141"/>
    </row>
    <row r="984" ht="15.75" customHeight="1">
      <c r="B984" s="182"/>
      <c r="C984" s="3"/>
      <c r="E984" s="3"/>
      <c r="H984" s="3"/>
      <c r="AG984" s="91"/>
      <c r="AP984" s="141"/>
      <c r="AQ984" s="141"/>
    </row>
    <row r="985" ht="15.75" customHeight="1">
      <c r="B985" s="182"/>
      <c r="C985" s="3"/>
      <c r="E985" s="3"/>
      <c r="H985" s="3"/>
      <c r="AG985" s="91"/>
      <c r="AP985" s="141"/>
      <c r="AQ985" s="141"/>
    </row>
    <row r="986" ht="15.75" customHeight="1">
      <c r="B986" s="182"/>
      <c r="C986" s="3"/>
      <c r="E986" s="3"/>
      <c r="H986" s="3"/>
      <c r="AG986" s="91"/>
      <c r="AP986" s="141"/>
      <c r="AQ986" s="141"/>
    </row>
    <row r="987" ht="15.75" customHeight="1">
      <c r="B987" s="182"/>
      <c r="C987" s="3"/>
      <c r="E987" s="3"/>
      <c r="H987" s="3"/>
      <c r="AG987" s="91"/>
      <c r="AP987" s="141"/>
      <c r="AQ987" s="141"/>
    </row>
    <row r="988" ht="15.75" customHeight="1">
      <c r="B988" s="182"/>
      <c r="C988" s="3"/>
      <c r="E988" s="3"/>
      <c r="H988" s="3"/>
      <c r="AG988" s="91"/>
      <c r="AP988" s="141"/>
      <c r="AQ988" s="141"/>
    </row>
    <row r="989" ht="15.75" customHeight="1">
      <c r="B989" s="182"/>
      <c r="C989" s="3"/>
      <c r="E989" s="3"/>
      <c r="H989" s="3"/>
      <c r="AG989" s="91"/>
      <c r="AP989" s="141"/>
      <c r="AQ989" s="141"/>
    </row>
    <row r="990" ht="15.75" customHeight="1">
      <c r="B990" s="182"/>
      <c r="C990" s="3"/>
      <c r="E990" s="3"/>
      <c r="H990" s="3"/>
      <c r="AG990" s="91"/>
      <c r="AP990" s="141"/>
      <c r="AQ990" s="141"/>
    </row>
    <row r="991" ht="15.75" customHeight="1">
      <c r="B991" s="182"/>
      <c r="C991" s="3"/>
      <c r="E991" s="3"/>
      <c r="H991" s="3"/>
      <c r="AG991" s="91"/>
      <c r="AP991" s="141"/>
      <c r="AQ991" s="141"/>
    </row>
    <row r="992" ht="15.75" customHeight="1">
      <c r="B992" s="182"/>
      <c r="C992" s="3"/>
      <c r="E992" s="3"/>
      <c r="H992" s="3"/>
      <c r="AG992" s="91"/>
      <c r="AP992" s="141"/>
      <c r="AQ992" s="141"/>
    </row>
    <row r="993" ht="15.75" customHeight="1">
      <c r="B993" s="182"/>
      <c r="C993" s="3"/>
      <c r="E993" s="3"/>
      <c r="H993" s="3"/>
      <c r="AG993" s="91"/>
      <c r="AP993" s="141"/>
      <c r="AQ993" s="141"/>
    </row>
    <row r="994" ht="15.75" customHeight="1">
      <c r="B994" s="182"/>
      <c r="C994" s="3"/>
      <c r="E994" s="3"/>
      <c r="H994" s="3"/>
      <c r="AG994" s="91"/>
      <c r="AP994" s="141"/>
      <c r="AQ994" s="141"/>
    </row>
    <row r="995" ht="15.75" customHeight="1">
      <c r="B995" s="182"/>
      <c r="C995" s="3"/>
      <c r="E995" s="3"/>
      <c r="H995" s="3"/>
      <c r="AG995" s="91"/>
      <c r="AP995" s="141"/>
      <c r="AQ995" s="141"/>
    </row>
    <row r="996" ht="15.75" customHeight="1">
      <c r="B996" s="182"/>
      <c r="C996" s="3"/>
      <c r="E996" s="3"/>
      <c r="H996" s="3"/>
      <c r="AG996" s="91"/>
      <c r="AP996" s="141"/>
      <c r="AQ996" s="141"/>
    </row>
    <row r="997" ht="15.75" customHeight="1">
      <c r="B997" s="182"/>
      <c r="C997" s="3"/>
      <c r="E997" s="3"/>
      <c r="H997" s="3"/>
      <c r="AG997" s="91"/>
      <c r="AP997" s="141"/>
      <c r="AQ997" s="141"/>
    </row>
    <row r="998" ht="15.75" customHeight="1">
      <c r="B998" s="182"/>
      <c r="C998" s="3"/>
      <c r="E998" s="3"/>
      <c r="H998" s="3"/>
      <c r="AG998" s="91"/>
      <c r="AP998" s="141"/>
      <c r="AQ998" s="141"/>
    </row>
    <row r="999" ht="15.75" customHeight="1">
      <c r="B999" s="182"/>
      <c r="C999" s="3"/>
      <c r="E999" s="3"/>
      <c r="H999" s="3"/>
      <c r="AG999" s="91"/>
      <c r="AP999" s="141"/>
      <c r="AQ999" s="141"/>
    </row>
    <row r="1000" ht="15.75" customHeight="1">
      <c r="B1000" s="182"/>
      <c r="C1000" s="3"/>
      <c r="E1000" s="3"/>
      <c r="H1000" s="3"/>
      <c r="AG1000" s="91"/>
      <c r="AP1000" s="141"/>
      <c r="AQ1000" s="141"/>
    </row>
  </sheetData>
  <autoFilter ref="$A$3:$AO$141"/>
  <mergeCells count="2">
    <mergeCell ref="AV5:BD5"/>
    <mergeCell ref="AV26:BA26"/>
  </mergeCells>
  <conditionalFormatting sqref="O4:O144 O153">
    <cfRule type="expression" dxfId="0" priority="1">
      <formula>"(L3-N3)&gt;0,05"</formula>
    </cfRule>
  </conditionalFormatting>
  <printOptions/>
  <pageMargins bottom="0.75" footer="0.0" header="0.0" left="0.7" right="0.7" top="0.75"/>
  <pageSetup fitToHeight="0"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1" width="10.86"/>
    <col customWidth="1" min="2" max="2" width="10.57"/>
    <col customWidth="1" min="3" max="3" width="13.43"/>
    <col customWidth="1" min="4" max="4" width="10.0"/>
    <col customWidth="1" min="5" max="5" width="10.29"/>
    <col customWidth="1" min="6" max="6" width="12.29"/>
    <col customWidth="1" min="7" max="7" width="11.29"/>
    <col customWidth="1" min="8" max="8" width="8.29"/>
    <col customWidth="1" min="9" max="9" width="12.71"/>
    <col customWidth="1" min="10" max="10" width="11.29"/>
    <col customWidth="1" hidden="1" min="11" max="11" width="1.71"/>
    <col customWidth="1" min="12" max="12" width="9.86"/>
    <col customWidth="1" min="13" max="13" width="9.43"/>
    <col customWidth="1" min="14" max="14" width="11.71"/>
    <col customWidth="1" min="15" max="15" width="11.29"/>
    <col customWidth="1" min="16" max="16" width="9.57"/>
    <col customWidth="1" min="17" max="17" width="17.29"/>
    <col customWidth="1" min="18" max="20" width="9.57"/>
  </cols>
  <sheetData>
    <row r="1" ht="1.5" customHeight="1">
      <c r="A1" s="217" t="s">
        <v>948</v>
      </c>
      <c r="B1" s="218"/>
      <c r="C1" s="219"/>
      <c r="D1" s="220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2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1.5" customHeight="1">
      <c r="A2" s="222" t="s">
        <v>949</v>
      </c>
      <c r="O2" s="22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3.5" customHeight="1">
      <c r="A3" s="224"/>
      <c r="O3" s="22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7.25" customHeight="1">
      <c r="A4" s="226" t="s">
        <v>950</v>
      </c>
      <c r="B4" s="227"/>
      <c r="C4" s="228"/>
      <c r="D4" s="229"/>
      <c r="E4" s="229"/>
      <c r="F4" s="230"/>
      <c r="G4" s="231"/>
      <c r="H4" s="231"/>
      <c r="I4" s="232"/>
      <c r="J4" s="230"/>
      <c r="K4" s="230"/>
      <c r="L4" s="230"/>
      <c r="M4" s="230"/>
      <c r="N4" s="233"/>
      <c r="O4" s="234"/>
      <c r="P4" s="235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6.5" customHeight="1">
      <c r="A5" s="236" t="s">
        <v>951</v>
      </c>
      <c r="B5" s="237"/>
      <c r="C5" s="68" t="s">
        <v>730</v>
      </c>
      <c r="D5" s="238"/>
      <c r="E5" s="238"/>
      <c r="F5" s="237"/>
      <c r="G5" s="239"/>
      <c r="H5" s="239"/>
      <c r="I5" s="240"/>
      <c r="J5" s="241" t="s">
        <v>952</v>
      </c>
      <c r="K5" s="242"/>
      <c r="L5" s="243" t="str">
        <f t="array" ref="L5">XLOOKUP(C6,RUC!D3:D114,RUC!M3:M114)</f>
        <v>Dante </v>
      </c>
      <c r="M5" s="244"/>
      <c r="N5" s="233"/>
      <c r="O5" s="234"/>
      <c r="P5" s="75"/>
      <c r="Q5" s="60"/>
      <c r="R5" s="75"/>
      <c r="S5" s="60"/>
      <c r="T5" s="59"/>
      <c r="U5" s="2"/>
      <c r="V5" s="2"/>
      <c r="W5" s="2"/>
      <c r="X5" s="2"/>
      <c r="Y5" s="2"/>
      <c r="Z5" s="2"/>
      <c r="AA5" s="2"/>
    </row>
    <row r="6" ht="15.0" customHeight="1">
      <c r="A6" s="236" t="s">
        <v>953</v>
      </c>
      <c r="B6" s="245"/>
      <c r="C6" s="246">
        <f t="array" ref="C6">XLOOKUP(C5,RUC!B3:B114,RUC!D3:D114)</f>
        <v>20613935151</v>
      </c>
      <c r="D6" s="247"/>
      <c r="E6" s="248"/>
      <c r="F6" s="237"/>
      <c r="G6" s="248"/>
      <c r="H6" s="249"/>
      <c r="I6" s="250"/>
      <c r="J6" s="241" t="s">
        <v>954</v>
      </c>
      <c r="K6" s="242"/>
      <c r="L6" s="243" t="s">
        <v>955</v>
      </c>
      <c r="M6" s="244"/>
      <c r="N6" s="251"/>
      <c r="O6" s="225"/>
      <c r="P6" s="75"/>
      <c r="Q6" s="60"/>
      <c r="R6" s="75"/>
      <c r="S6" s="60"/>
      <c r="T6" s="59"/>
      <c r="U6" s="2"/>
      <c r="V6" s="2"/>
      <c r="W6" s="2"/>
      <c r="X6" s="2"/>
      <c r="Y6" s="2"/>
      <c r="Z6" s="2"/>
      <c r="AA6" s="2"/>
    </row>
    <row r="7" ht="15.0" customHeight="1">
      <c r="A7" s="236" t="s">
        <v>956</v>
      </c>
      <c r="B7" s="245"/>
      <c r="C7" s="252">
        <f t="shared" ref="C7:C8" si="1">TODAY()</f>
        <v>46157</v>
      </c>
      <c r="D7" s="247"/>
      <c r="E7" s="248"/>
      <c r="F7" s="241"/>
      <c r="G7" s="248"/>
      <c r="H7" s="249"/>
      <c r="I7" s="250"/>
      <c r="J7" s="249" t="s">
        <v>957</v>
      </c>
      <c r="K7" s="253"/>
      <c r="L7" s="254"/>
      <c r="M7" s="244"/>
      <c r="N7" s="251"/>
      <c r="O7" s="225"/>
      <c r="P7" s="75"/>
      <c r="Q7" s="60"/>
      <c r="R7" s="75"/>
      <c r="S7" s="60"/>
      <c r="T7" s="59"/>
      <c r="U7" s="2"/>
      <c r="V7" s="2"/>
      <c r="W7" s="2"/>
      <c r="X7" s="2"/>
      <c r="Y7" s="2"/>
      <c r="Z7" s="2"/>
      <c r="AA7" s="2"/>
    </row>
    <row r="8" ht="15.0" customHeight="1">
      <c r="A8" s="236" t="s">
        <v>958</v>
      </c>
      <c r="B8" s="245"/>
      <c r="C8" s="252">
        <f t="shared" si="1"/>
        <v>46157</v>
      </c>
      <c r="D8" s="247"/>
      <c r="E8" s="248"/>
      <c r="F8" s="241"/>
      <c r="G8" s="248"/>
      <c r="H8" s="249"/>
      <c r="I8" s="250"/>
      <c r="J8" s="249" t="s">
        <v>959</v>
      </c>
      <c r="K8" s="253"/>
      <c r="L8" s="254"/>
      <c r="M8" s="244"/>
      <c r="N8" s="251"/>
      <c r="O8" s="225"/>
      <c r="P8" s="75"/>
      <c r="Q8" s="60"/>
      <c r="R8" s="75"/>
      <c r="S8" s="60"/>
      <c r="T8" s="59"/>
      <c r="U8" s="2"/>
      <c r="V8" s="2"/>
      <c r="W8" s="2"/>
      <c r="X8" s="2"/>
      <c r="Y8" s="2"/>
      <c r="Z8" s="2"/>
      <c r="AA8" s="2"/>
    </row>
    <row r="9" ht="12.0" customHeight="1">
      <c r="A9" s="255"/>
      <c r="B9" s="256"/>
      <c r="C9" s="257"/>
      <c r="D9" s="257"/>
      <c r="E9" s="257"/>
      <c r="F9" s="258"/>
      <c r="G9" s="257"/>
      <c r="H9" s="257"/>
      <c r="I9" s="257"/>
      <c r="J9" s="259"/>
      <c r="K9" s="260"/>
      <c r="L9" s="261"/>
      <c r="M9" s="230"/>
      <c r="N9" s="251"/>
      <c r="O9" s="225"/>
      <c r="P9" s="75"/>
      <c r="Q9" s="60"/>
      <c r="R9" s="75"/>
      <c r="S9" s="60"/>
      <c r="T9" s="59"/>
      <c r="U9" s="2"/>
      <c r="V9" s="2"/>
      <c r="W9" s="2"/>
      <c r="X9" s="2"/>
      <c r="Y9" s="2"/>
      <c r="Z9" s="2"/>
      <c r="AA9" s="2"/>
    </row>
    <row r="10" ht="12.0" customHeight="1">
      <c r="A10" s="255"/>
      <c r="B10" s="256"/>
      <c r="C10" s="262"/>
      <c r="D10" s="263"/>
      <c r="E10" s="264"/>
      <c r="F10" s="265"/>
      <c r="G10" s="264"/>
      <c r="H10" s="265"/>
      <c r="J10" s="259"/>
      <c r="K10" s="260"/>
      <c r="L10" s="260"/>
      <c r="M10" s="266"/>
      <c r="N10" s="251"/>
      <c r="O10" s="225"/>
      <c r="P10" s="75"/>
      <c r="Q10" s="60"/>
      <c r="R10" s="75"/>
      <c r="S10" s="60"/>
      <c r="T10" s="59"/>
      <c r="U10" s="2"/>
      <c r="V10" s="2"/>
      <c r="W10" s="2"/>
      <c r="X10" s="2"/>
      <c r="Y10" s="2"/>
      <c r="Z10" s="2"/>
      <c r="AA10" s="2"/>
    </row>
    <row r="11">
      <c r="A11" s="267" t="s">
        <v>5</v>
      </c>
      <c r="B11" s="268" t="s">
        <v>960</v>
      </c>
      <c r="C11" s="268" t="s">
        <v>12</v>
      </c>
      <c r="D11" s="268" t="s">
        <v>13</v>
      </c>
      <c r="E11" s="268" t="s">
        <v>14</v>
      </c>
      <c r="F11" s="269" t="s">
        <v>11</v>
      </c>
      <c r="G11" s="268" t="s">
        <v>961</v>
      </c>
      <c r="H11" s="268" t="s">
        <v>962</v>
      </c>
      <c r="I11" s="268" t="s">
        <v>963</v>
      </c>
      <c r="J11" s="268" t="s">
        <v>964</v>
      </c>
      <c r="K11" s="269" t="s">
        <v>24</v>
      </c>
      <c r="L11" s="269" t="s">
        <v>25</v>
      </c>
      <c r="M11" s="268" t="s">
        <v>965</v>
      </c>
      <c r="N11" s="268" t="s">
        <v>966</v>
      </c>
      <c r="O11" s="270" t="s">
        <v>967</v>
      </c>
      <c r="P11" s="271"/>
      <c r="Q11" s="139"/>
      <c r="R11" s="271"/>
      <c r="S11" s="139"/>
      <c r="T11" s="272"/>
      <c r="U11" s="250"/>
      <c r="V11" s="250"/>
      <c r="W11" s="250"/>
      <c r="X11" s="250"/>
      <c r="Y11" s="250"/>
      <c r="Z11" s="250"/>
      <c r="AA11" s="250"/>
    </row>
    <row r="12">
      <c r="A12" s="273"/>
      <c r="B12" s="274" t="s">
        <v>968</v>
      </c>
      <c r="C12" s="275"/>
      <c r="D12" s="276"/>
      <c r="E12" s="275"/>
      <c r="F12" s="274"/>
      <c r="G12" s="274"/>
      <c r="H12" s="274" t="s">
        <v>969</v>
      </c>
      <c r="I12" s="274" t="s">
        <v>970</v>
      </c>
      <c r="J12" s="274" t="s">
        <v>971</v>
      </c>
      <c r="K12" s="277" t="s">
        <v>972</v>
      </c>
      <c r="L12" s="277"/>
      <c r="M12" s="274" t="s">
        <v>973</v>
      </c>
      <c r="N12" s="274" t="s">
        <v>14</v>
      </c>
      <c r="O12" s="278"/>
      <c r="P12" s="271"/>
      <c r="Q12" s="139"/>
      <c r="R12" s="271"/>
      <c r="S12" s="139"/>
      <c r="T12" s="272"/>
      <c r="U12" s="250"/>
      <c r="V12" s="250"/>
      <c r="W12" s="250"/>
      <c r="X12" s="250"/>
      <c r="Y12" s="250"/>
      <c r="Z12" s="250"/>
      <c r="AA12" s="250"/>
    </row>
    <row r="13">
      <c r="A13" s="279"/>
      <c r="B13" s="280"/>
      <c r="C13" s="281"/>
      <c r="D13" s="281"/>
      <c r="E13" s="281"/>
      <c r="F13" s="282"/>
      <c r="G13" s="281"/>
      <c r="H13" s="283"/>
      <c r="I13" s="281"/>
      <c r="J13" s="283"/>
      <c r="K13" s="283"/>
      <c r="L13" s="284"/>
      <c r="M13" s="285"/>
      <c r="N13" s="285"/>
      <c r="O13" s="286"/>
      <c r="P13" s="75"/>
      <c r="Q13" s="60"/>
      <c r="R13" s="75"/>
      <c r="S13" s="60"/>
      <c r="T13" s="59"/>
      <c r="U13" s="2"/>
      <c r="V13" s="2"/>
      <c r="W13" s="2"/>
      <c r="X13" s="2"/>
      <c r="Y13" s="2"/>
      <c r="Z13" s="2"/>
      <c r="AA13" s="2"/>
    </row>
    <row r="14">
      <c r="A14" s="287" t="s">
        <v>974</v>
      </c>
      <c r="B14" s="252">
        <f>TODAY()</f>
        <v>46157</v>
      </c>
      <c r="C14" s="288">
        <v>0.0</v>
      </c>
      <c r="D14" s="289">
        <v>0.0</v>
      </c>
      <c r="E14" s="290">
        <v>5.0</v>
      </c>
      <c r="F14" s="291"/>
      <c r="G14" s="292">
        <v>0.12</v>
      </c>
      <c r="H14" s="293">
        <v>80.0</v>
      </c>
      <c r="I14" s="294">
        <v>4870.5</v>
      </c>
      <c r="J14" s="295">
        <f t="array" ref="J14">XLOOKUP($C$5,RUC!B:B,RUC!E:E)+ROUNDDOWN(G14*100,-1)</f>
        <v>100</v>
      </c>
      <c r="K14" s="296" t="str">
        <f>VLOOKUP(Valorizacion!$A14,'Analisis comercial'!$A$5:$AH$4015,21,FALSE)</f>
        <v>#N/A</v>
      </c>
      <c r="L14" s="297">
        <v>1.1023</v>
      </c>
      <c r="M14" s="295">
        <f t="array" ref="M14">XLOOKUP($C$5,RUC!B:B,RUC!H:H)</f>
        <v>30</v>
      </c>
      <c r="N14" s="295">
        <f t="array" ref="N14">+((G14*(I14-XLOOKUP($C$5,RUC!B:B,RUC!F:F))*H14/100)-J14-M14-XLOOKUP($C$5,RUC!B:B,RUC!G:G))*L14</f>
        <v>337.3567104</v>
      </c>
      <c r="O14" s="298">
        <f>ROUND(+N14,2)*ROUND(E14,2)</f>
        <v>1686.8</v>
      </c>
      <c r="P14" s="75"/>
      <c r="Q14" s="60"/>
      <c r="R14" s="75"/>
      <c r="S14" s="60"/>
      <c r="T14" s="59"/>
      <c r="U14" s="2"/>
      <c r="V14" s="2"/>
      <c r="W14" s="2"/>
      <c r="X14" s="2"/>
      <c r="Y14" s="2"/>
      <c r="Z14" s="2"/>
      <c r="AA14" s="2"/>
    </row>
    <row r="15">
      <c r="A15" s="287"/>
      <c r="B15" s="252"/>
      <c r="C15" s="288"/>
      <c r="D15" s="289"/>
      <c r="E15" s="290"/>
      <c r="F15" s="291"/>
      <c r="G15" s="292"/>
      <c r="H15" s="293"/>
      <c r="I15" s="294"/>
      <c r="J15" s="295"/>
      <c r="K15" s="296"/>
      <c r="L15" s="297"/>
      <c r="M15" s="295"/>
      <c r="N15" s="295"/>
      <c r="O15" s="298"/>
      <c r="P15" s="75"/>
      <c r="Q15" s="60"/>
      <c r="R15" s="75"/>
      <c r="S15" s="60"/>
      <c r="T15" s="59"/>
      <c r="U15" s="2"/>
      <c r="V15" s="2"/>
      <c r="W15" s="2"/>
      <c r="X15" s="2"/>
      <c r="Y15" s="2"/>
      <c r="Z15" s="2"/>
      <c r="AA15" s="2"/>
    </row>
    <row r="16">
      <c r="A16" s="287"/>
      <c r="B16" s="252"/>
      <c r="C16" s="288"/>
      <c r="D16" s="289"/>
      <c r="E16" s="299"/>
      <c r="F16" s="291"/>
      <c r="G16" s="288"/>
      <c r="H16" s="300"/>
      <c r="I16" s="295"/>
      <c r="J16" s="295"/>
      <c r="K16" s="296"/>
      <c r="L16" s="297"/>
      <c r="M16" s="295"/>
      <c r="N16" s="295"/>
      <c r="O16" s="298"/>
      <c r="P16" s="75"/>
      <c r="Q16" s="60"/>
      <c r="R16" s="75"/>
      <c r="S16" s="60"/>
      <c r="T16" s="59"/>
      <c r="U16" s="2"/>
      <c r="V16" s="2"/>
      <c r="W16" s="2"/>
      <c r="X16" s="2"/>
      <c r="Y16" s="2"/>
      <c r="Z16" s="2"/>
      <c r="AA16" s="2"/>
    </row>
    <row r="17">
      <c r="A17" s="287"/>
      <c r="B17" s="301"/>
      <c r="C17" s="288"/>
      <c r="D17" s="289"/>
      <c r="E17" s="299"/>
      <c r="F17" s="291"/>
      <c r="G17" s="288"/>
      <c r="H17" s="300"/>
      <c r="I17" s="295"/>
      <c r="J17" s="295"/>
      <c r="K17" s="296"/>
      <c r="L17" s="297"/>
      <c r="M17" s="295"/>
      <c r="N17" s="295"/>
      <c r="O17" s="298"/>
      <c r="P17" s="75"/>
      <c r="Q17" s="60"/>
      <c r="R17" s="75"/>
      <c r="S17" s="60"/>
      <c r="T17" s="59"/>
      <c r="U17" s="2"/>
      <c r="V17" s="2"/>
      <c r="W17" s="2"/>
      <c r="X17" s="2"/>
      <c r="Y17" s="2"/>
      <c r="Z17" s="2"/>
      <c r="AA17" s="2"/>
    </row>
    <row r="18">
      <c r="A18" s="287"/>
      <c r="B18" s="301"/>
      <c r="C18" s="288"/>
      <c r="D18" s="289"/>
      <c r="E18" s="299"/>
      <c r="F18" s="291"/>
      <c r="G18" s="288"/>
      <c r="H18" s="300"/>
      <c r="I18" s="295"/>
      <c r="J18" s="295"/>
      <c r="K18" s="296"/>
      <c r="L18" s="297"/>
      <c r="M18" s="295"/>
      <c r="N18" s="295"/>
      <c r="O18" s="298"/>
      <c r="P18" s="75"/>
      <c r="Q18" s="60"/>
      <c r="R18" s="75"/>
      <c r="S18" s="60"/>
      <c r="T18" s="59"/>
      <c r="U18" s="2"/>
      <c r="V18" s="2"/>
      <c r="W18" s="2"/>
      <c r="X18" s="2"/>
      <c r="Y18" s="2"/>
      <c r="Z18" s="2"/>
      <c r="AA18" s="2"/>
    </row>
    <row r="19">
      <c r="A19" s="287"/>
      <c r="B19" s="301"/>
      <c r="C19" s="288"/>
      <c r="D19" s="289"/>
      <c r="E19" s="299"/>
      <c r="F19" s="291"/>
      <c r="G19" s="288"/>
      <c r="H19" s="300"/>
      <c r="I19" s="295"/>
      <c r="J19" s="295"/>
      <c r="K19" s="296"/>
      <c r="L19" s="297"/>
      <c r="M19" s="295"/>
      <c r="N19" s="295"/>
      <c r="O19" s="298"/>
      <c r="P19" s="75"/>
      <c r="Q19" s="60"/>
      <c r="R19" s="75"/>
      <c r="S19" s="60"/>
      <c r="T19" s="59"/>
      <c r="U19" s="2"/>
      <c r="V19" s="2"/>
      <c r="W19" s="2"/>
      <c r="X19" s="2"/>
      <c r="Y19" s="2"/>
      <c r="Z19" s="2"/>
      <c r="AA19" s="2"/>
    </row>
    <row r="20">
      <c r="A20" s="287"/>
      <c r="B20" s="301"/>
      <c r="C20" s="288"/>
      <c r="D20" s="289"/>
      <c r="E20" s="299"/>
      <c r="F20" s="291"/>
      <c r="G20" s="288"/>
      <c r="H20" s="300"/>
      <c r="I20" s="295"/>
      <c r="J20" s="295"/>
      <c r="K20" s="296"/>
      <c r="L20" s="297"/>
      <c r="M20" s="295"/>
      <c r="N20" s="295"/>
      <c r="O20" s="298"/>
      <c r="P20" s="75"/>
      <c r="Q20" s="60"/>
      <c r="R20" s="75"/>
      <c r="S20" s="60"/>
      <c r="T20" s="59"/>
      <c r="U20" s="2"/>
      <c r="V20" s="2"/>
      <c r="W20" s="2"/>
      <c r="X20" s="2"/>
      <c r="Y20" s="2"/>
      <c r="Z20" s="2"/>
      <c r="AA20" s="2"/>
    </row>
    <row r="21" ht="15.75" customHeight="1">
      <c r="A21" s="287"/>
      <c r="B21" s="301"/>
      <c r="C21" s="288"/>
      <c r="D21" s="289"/>
      <c r="E21" s="299"/>
      <c r="F21" s="291"/>
      <c r="G21" s="288"/>
      <c r="H21" s="300"/>
      <c r="I21" s="295"/>
      <c r="J21" s="295"/>
      <c r="K21" s="296"/>
      <c r="L21" s="297"/>
      <c r="M21" s="295"/>
      <c r="N21" s="295"/>
      <c r="O21" s="298"/>
      <c r="P21" s="75"/>
      <c r="Q21" s="60"/>
      <c r="R21" s="75"/>
      <c r="S21" s="60"/>
      <c r="T21" s="59"/>
      <c r="U21" s="2"/>
      <c r="V21" s="2"/>
      <c r="W21" s="2"/>
      <c r="X21" s="2"/>
      <c r="Y21" s="2"/>
      <c r="Z21" s="2"/>
      <c r="AA21" s="2"/>
    </row>
    <row r="22" ht="15.75" customHeight="1">
      <c r="A22" s="287"/>
      <c r="B22" s="301"/>
      <c r="C22" s="288"/>
      <c r="D22" s="289"/>
      <c r="E22" s="299"/>
      <c r="F22" s="291"/>
      <c r="G22" s="288"/>
      <c r="H22" s="300"/>
      <c r="I22" s="295"/>
      <c r="J22" s="295"/>
      <c r="K22" s="296"/>
      <c r="L22" s="297"/>
      <c r="M22" s="295"/>
      <c r="N22" s="302"/>
      <c r="O22" s="298"/>
      <c r="P22" s="75"/>
      <c r="Q22" s="60"/>
      <c r="R22" s="75"/>
      <c r="S22" s="60"/>
      <c r="T22" s="6"/>
      <c r="U22" s="2"/>
      <c r="V22" s="2"/>
      <c r="W22" s="2"/>
      <c r="X22" s="2"/>
      <c r="Y22" s="2"/>
      <c r="Z22" s="2"/>
      <c r="AA22" s="2"/>
    </row>
    <row r="23" ht="15.75" customHeight="1">
      <c r="A23" s="287"/>
      <c r="B23" s="301"/>
      <c r="C23" s="288"/>
      <c r="D23" s="289"/>
      <c r="E23" s="299"/>
      <c r="F23" s="303"/>
      <c r="G23" s="288"/>
      <c r="H23" s="300"/>
      <c r="I23" s="295"/>
      <c r="J23" s="295"/>
      <c r="K23" s="296"/>
      <c r="L23" s="297"/>
      <c r="M23" s="295"/>
      <c r="N23" s="304"/>
      <c r="O23" s="298"/>
      <c r="P23" s="75"/>
      <c r="Q23" s="60"/>
      <c r="R23" s="75"/>
      <c r="S23" s="60"/>
      <c r="T23" s="6"/>
      <c r="U23" s="2"/>
      <c r="V23" s="2"/>
      <c r="W23" s="2"/>
      <c r="X23" s="2"/>
      <c r="Y23" s="2"/>
      <c r="Z23" s="2"/>
      <c r="AA23" s="2"/>
    </row>
    <row r="24" ht="16.5" customHeight="1">
      <c r="A24" s="287"/>
      <c r="B24" s="301"/>
      <c r="C24" s="288"/>
      <c r="D24" s="305"/>
      <c r="E24" s="305"/>
      <c r="F24" s="306"/>
      <c r="G24" s="288"/>
      <c r="H24" s="296"/>
      <c r="I24" s="295"/>
      <c r="J24" s="295"/>
      <c r="K24" s="296"/>
      <c r="L24" s="297"/>
      <c r="M24" s="295"/>
      <c r="N24" s="302" t="s">
        <v>975</v>
      </c>
      <c r="O24" s="307">
        <f>SUM(O13:O23)</f>
        <v>1686.8</v>
      </c>
      <c r="P24" s="75"/>
      <c r="Q24" s="60"/>
      <c r="R24" s="75"/>
      <c r="S24" s="60"/>
      <c r="T24" s="6"/>
      <c r="U24" s="2"/>
      <c r="V24" s="2"/>
      <c r="W24" s="2"/>
      <c r="X24" s="2"/>
      <c r="Y24" s="2"/>
      <c r="Z24" s="2"/>
      <c r="AA24" s="2"/>
    </row>
    <row r="25" ht="29.25" customHeight="1">
      <c r="A25" s="308"/>
      <c r="B25" s="309" t="s">
        <v>976</v>
      </c>
      <c r="C25" s="310"/>
      <c r="D25" s="311"/>
      <c r="E25" s="312"/>
      <c r="F25" s="313"/>
      <c r="G25" s="314"/>
      <c r="H25" s="313"/>
      <c r="I25" s="313"/>
      <c r="J25" s="313"/>
      <c r="K25" s="312"/>
      <c r="L25" s="312"/>
      <c r="M25" s="312"/>
      <c r="N25" s="313"/>
      <c r="O25" s="315"/>
      <c r="P25" s="316"/>
      <c r="Q25" s="317"/>
      <c r="R25" s="316"/>
      <c r="S25" s="317"/>
      <c r="T25" s="318"/>
      <c r="U25" s="313"/>
      <c r="V25" s="313"/>
      <c r="W25" s="313"/>
      <c r="X25" s="313"/>
      <c r="Y25" s="313"/>
      <c r="Z25" s="313"/>
      <c r="AA25" s="313"/>
    </row>
    <row r="26" ht="15.0" customHeight="1">
      <c r="A26" s="287"/>
      <c r="B26" s="319" t="str">
        <f t="array" ref="B26">XLOOKUP(L5,RUC!M3:M106,RUC!N3:N106)</f>
        <v>*Se promedia diferencia de leyes desde 0.040 hasta 0.099 oz/Tc</v>
      </c>
      <c r="C26" s="320"/>
      <c r="D26" s="321"/>
      <c r="E26" s="322"/>
      <c r="F26" s="322"/>
      <c r="G26" s="322"/>
      <c r="H26" s="322"/>
      <c r="I26" s="322"/>
      <c r="J26" s="323"/>
      <c r="K26" s="2"/>
      <c r="L26" s="2"/>
      <c r="M26" s="2"/>
      <c r="N26" s="324"/>
      <c r="O26" s="325"/>
      <c r="P26" s="75"/>
      <c r="Q26" s="60"/>
      <c r="R26" s="75"/>
      <c r="S26" s="60"/>
      <c r="T26" s="6"/>
      <c r="U26" s="2"/>
      <c r="V26" s="2"/>
      <c r="W26" s="2"/>
      <c r="X26" s="2"/>
      <c r="Y26" s="2"/>
      <c r="Z26" s="2"/>
      <c r="AA26" s="2"/>
    </row>
    <row r="27" ht="15.0" customHeight="1">
      <c r="A27" s="287"/>
      <c r="B27" s="319" t="s">
        <v>977</v>
      </c>
      <c r="C27" s="326"/>
      <c r="D27" s="321"/>
      <c r="E27" s="322"/>
      <c r="F27" s="266"/>
      <c r="G27" s="322"/>
      <c r="H27" s="322"/>
      <c r="I27" s="322"/>
      <c r="J27" s="322"/>
      <c r="K27" s="2"/>
      <c r="L27" s="2"/>
      <c r="M27" s="2"/>
      <c r="N27" s="324"/>
      <c r="O27" s="327"/>
      <c r="P27" s="75"/>
      <c r="Q27" s="60"/>
      <c r="R27" s="75"/>
      <c r="S27" s="60"/>
      <c r="T27" s="6"/>
      <c r="U27" s="2"/>
      <c r="V27" s="2"/>
      <c r="W27" s="2"/>
      <c r="X27" s="2"/>
      <c r="Y27" s="2"/>
      <c r="Z27" s="2"/>
      <c r="AA27" s="2"/>
    </row>
    <row r="28" ht="15.75" customHeight="1">
      <c r="A28" s="287"/>
      <c r="B28" s="319" t="s">
        <v>978</v>
      </c>
      <c r="C28" s="328"/>
      <c r="D28" s="321"/>
      <c r="E28" s="322"/>
      <c r="F28" s="266"/>
      <c r="G28" s="322"/>
      <c r="H28" s="322"/>
      <c r="I28" s="322"/>
      <c r="J28" s="322"/>
      <c r="K28" s="266"/>
      <c r="L28" s="266"/>
      <c r="M28" s="266"/>
      <c r="N28" s="324"/>
      <c r="O28" s="325"/>
      <c r="P28" s="75"/>
      <c r="Q28" s="60"/>
      <c r="R28" s="75"/>
      <c r="S28" s="60"/>
      <c r="T28" s="6"/>
      <c r="U28" s="2"/>
      <c r="V28" s="2"/>
      <c r="W28" s="2"/>
      <c r="X28" s="2"/>
      <c r="Y28" s="2"/>
      <c r="Z28" s="2"/>
      <c r="AA28" s="2"/>
    </row>
    <row r="29" ht="15.75" customHeight="1">
      <c r="A29" s="287"/>
      <c r="B29" s="319" t="s">
        <v>979</v>
      </c>
      <c r="C29" s="328"/>
      <c r="D29" s="328"/>
      <c r="E29" s="328"/>
      <c r="F29" s="328"/>
      <c r="G29" s="2"/>
      <c r="H29" s="2"/>
      <c r="I29" s="2"/>
      <c r="J29" s="2"/>
      <c r="K29" s="2"/>
      <c r="L29" s="2"/>
      <c r="O29" s="325"/>
      <c r="AA29" s="2"/>
    </row>
    <row r="30" ht="15.75" customHeight="1">
      <c r="A30" s="287"/>
      <c r="B30" s="319" t="s">
        <v>980</v>
      </c>
      <c r="C30" s="328"/>
      <c r="D30" s="321"/>
      <c r="E30" s="322"/>
      <c r="F30" s="266"/>
      <c r="G30" s="322"/>
      <c r="H30" s="322"/>
      <c r="I30" s="322"/>
      <c r="J30" s="322"/>
      <c r="K30" s="266"/>
      <c r="L30" s="266"/>
      <c r="M30" s="266"/>
      <c r="N30" s="324"/>
      <c r="O30" s="325"/>
      <c r="P30" s="65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87"/>
      <c r="B31" s="319" t="s">
        <v>981</v>
      </c>
      <c r="C31" s="328"/>
      <c r="D31" s="321"/>
      <c r="E31" s="322"/>
      <c r="F31" s="266"/>
      <c r="G31" s="322"/>
      <c r="H31" s="322"/>
      <c r="I31" s="322"/>
      <c r="J31" s="322"/>
      <c r="K31" s="266"/>
      <c r="L31" s="266"/>
      <c r="M31" s="266"/>
      <c r="N31" s="324"/>
      <c r="O31" s="325"/>
      <c r="P31" s="65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329"/>
      <c r="B32" s="330" t="s">
        <v>982</v>
      </c>
      <c r="C32" s="331"/>
      <c r="D32" s="331"/>
      <c r="E32" s="331"/>
      <c r="F32" s="332"/>
      <c r="G32" s="333"/>
      <c r="H32" s="334"/>
      <c r="I32" s="335"/>
      <c r="J32" s="336"/>
      <c r="K32" s="337"/>
      <c r="L32" s="337"/>
      <c r="M32" s="337"/>
      <c r="N32" s="338"/>
      <c r="O32" s="339" t="s">
        <v>983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O2"/>
    <mergeCell ref="H10:I10"/>
  </mergeCells>
  <printOptions horizontalCentered="1" vertic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4.43" defaultRowHeight="15.0"/>
  <cols>
    <col customWidth="1" min="1" max="1" width="10.86"/>
    <col customWidth="1" min="2" max="2" width="10.57"/>
    <col customWidth="1" min="3" max="3" width="13.43"/>
    <col customWidth="1" min="4" max="4" width="10.0"/>
    <col customWidth="1" min="5" max="5" width="10.29"/>
    <col customWidth="1" min="6" max="6" width="12.29"/>
    <col customWidth="1" min="7" max="7" width="11.29"/>
    <col customWidth="1" min="8" max="8" width="8.29"/>
    <col customWidth="1" min="9" max="9" width="12.71"/>
    <col customWidth="1" min="10" max="10" width="11.29"/>
    <col customWidth="1" hidden="1" min="11" max="11" width="1.71"/>
    <col customWidth="1" min="12" max="12" width="11.71"/>
    <col customWidth="1" min="13" max="13" width="9.43"/>
    <col customWidth="1" min="14" max="14" width="11.71"/>
    <col customWidth="1" min="15" max="15" width="11.29"/>
    <col customWidth="1" min="16" max="16" width="9.57"/>
    <col customWidth="1" min="17" max="17" width="17.29"/>
    <col customWidth="1" min="18" max="20" width="9.57"/>
  </cols>
  <sheetData>
    <row r="1" ht="1.5" customHeight="1">
      <c r="A1" s="217" t="s">
        <v>948</v>
      </c>
      <c r="B1" s="218"/>
      <c r="C1" s="219"/>
      <c r="D1" s="220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2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21.5" customHeight="1">
      <c r="A2" s="222" t="s">
        <v>984</v>
      </c>
      <c r="O2" s="22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3.5" customHeight="1">
      <c r="A3" s="224"/>
      <c r="O3" s="22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7.25" customHeight="1">
      <c r="A4" s="226" t="s">
        <v>950</v>
      </c>
      <c r="B4" s="227"/>
      <c r="C4" s="260"/>
      <c r="D4" s="231"/>
      <c r="E4" s="231"/>
      <c r="F4" s="230"/>
      <c r="G4" s="231"/>
      <c r="H4" s="231"/>
      <c r="I4" s="232"/>
      <c r="J4" s="230"/>
      <c r="K4" s="230"/>
      <c r="L4" s="230"/>
      <c r="M4" s="230"/>
      <c r="N4" s="233"/>
      <c r="O4" s="234"/>
      <c r="P4" s="235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6.5" customHeight="1">
      <c r="A5" s="236" t="s">
        <v>951</v>
      </c>
      <c r="B5" s="237"/>
      <c r="C5" s="305" t="str">
        <f t="array" ref="C5">XLOOKUP(Liquidacion!$A14,'Analisis comercial'!A:A,'Analisis comercial'!D:D)</f>
        <v>COMUNIDAD CAMPESINA DE UNTUCA</v>
      </c>
      <c r="D5" s="239"/>
      <c r="E5" s="239"/>
      <c r="F5" s="237"/>
      <c r="G5" s="239"/>
      <c r="H5" s="239"/>
      <c r="I5" s="240"/>
      <c r="J5" s="241" t="s">
        <v>952</v>
      </c>
      <c r="K5" s="242"/>
      <c r="L5" s="243" t="str">
        <f t="array" ref="L5">XLOOKUP(C6,RUC!D3:D114,RUC!M3:M114)</f>
        <v>Ronald Miranda</v>
      </c>
      <c r="M5" s="244"/>
      <c r="N5" s="233"/>
      <c r="O5" s="234"/>
      <c r="P5" s="75"/>
      <c r="Q5" s="60"/>
      <c r="R5" s="75"/>
      <c r="S5" s="60"/>
      <c r="T5" s="59"/>
      <c r="U5" s="2"/>
      <c r="V5" s="2"/>
      <c r="W5" s="2"/>
      <c r="X5" s="2"/>
      <c r="Y5" s="2"/>
      <c r="Z5" s="2"/>
      <c r="AA5" s="2"/>
    </row>
    <row r="6" ht="15.0" customHeight="1">
      <c r="A6" s="236" t="s">
        <v>953</v>
      </c>
      <c r="B6" s="245"/>
      <c r="C6" s="246">
        <f t="array" ref="C6">XLOOKUP(C5,RUC!B3:B114,RUC!D3:D114)</f>
        <v>20169040231</v>
      </c>
      <c r="D6" s="247"/>
      <c r="E6" s="248"/>
      <c r="F6" s="237"/>
      <c r="G6" s="248"/>
      <c r="H6" s="249"/>
      <c r="I6" s="250"/>
      <c r="J6" s="241" t="s">
        <v>954</v>
      </c>
      <c r="K6" s="242"/>
      <c r="L6" s="243" t="s">
        <v>955</v>
      </c>
      <c r="M6" s="244"/>
      <c r="N6" s="251"/>
      <c r="O6" s="225"/>
      <c r="P6" s="75"/>
      <c r="Q6" s="60"/>
      <c r="R6" s="75"/>
      <c r="S6" s="60"/>
      <c r="T6" s="59"/>
      <c r="U6" s="2"/>
      <c r="V6" s="2"/>
      <c r="W6" s="2"/>
      <c r="X6" s="2"/>
      <c r="Y6" s="2"/>
      <c r="Z6" s="2"/>
      <c r="AA6" s="2"/>
    </row>
    <row r="7" ht="15.0" customHeight="1">
      <c r="A7" s="236" t="s">
        <v>956</v>
      </c>
      <c r="B7" s="245"/>
      <c r="C7" s="252">
        <f t="array" ref="C7">XLOOKUP($A14,'Analisis comercial'!A:A,'Analisis comercial'!C:C)</f>
        <v>46130</v>
      </c>
      <c r="D7" s="247"/>
      <c r="E7" s="248"/>
      <c r="F7" s="241"/>
      <c r="G7" s="248"/>
      <c r="H7" s="249"/>
      <c r="I7" s="250"/>
      <c r="J7" s="249" t="s">
        <v>957</v>
      </c>
      <c r="K7" s="253"/>
      <c r="L7" s="340">
        <f t="array" ref="L7">XLOOKUP(A14,'Analisis comercial'!A:A,'Analisis comercial'!AP:AP)</f>
        <v>6403</v>
      </c>
      <c r="M7" s="244"/>
      <c r="N7" s="251"/>
      <c r="O7" s="225"/>
      <c r="P7" s="75"/>
      <c r="Q7" s="60"/>
      <c r="R7" s="75"/>
      <c r="S7" s="60"/>
      <c r="T7" s="59"/>
      <c r="U7" s="2"/>
      <c r="V7" s="2"/>
      <c r="W7" s="2"/>
      <c r="X7" s="2"/>
      <c r="Y7" s="2"/>
      <c r="Z7" s="2"/>
      <c r="AA7" s="2"/>
    </row>
    <row r="8" ht="15.0" customHeight="1">
      <c r="A8" s="236" t="s">
        <v>958</v>
      </c>
      <c r="B8" s="245"/>
      <c r="C8" s="252">
        <f t="array" ref="C8">XLOOKUP($A14,'Analisis comercial'!A:A,'Analisis comercial'!B:B)</f>
        <v>46135</v>
      </c>
      <c r="D8" s="247"/>
      <c r="E8" s="248"/>
      <c r="F8" s="241"/>
      <c r="G8" s="248"/>
      <c r="H8" s="249"/>
      <c r="I8" s="250"/>
      <c r="J8" s="249" t="s">
        <v>959</v>
      </c>
      <c r="K8" s="253"/>
      <c r="L8" s="341" t="str">
        <f t="array" ref="L8">XLOOKUP(A14,'Analisis comercial'!A:A,'Analisis comercial'!AQ:AQ)</f>
        <v>EG03-0247</v>
      </c>
      <c r="M8" s="244"/>
      <c r="N8" s="251"/>
      <c r="O8" s="225"/>
      <c r="P8" s="75"/>
      <c r="Q8" s="60"/>
      <c r="R8" s="75"/>
      <c r="S8" s="60"/>
      <c r="T8" s="59"/>
      <c r="U8" s="2"/>
      <c r="V8" s="2"/>
      <c r="W8" s="2"/>
      <c r="X8" s="2"/>
      <c r="Y8" s="2"/>
      <c r="Z8" s="2"/>
      <c r="AA8" s="2"/>
    </row>
    <row r="9" ht="12.0" customHeight="1">
      <c r="A9" s="255"/>
      <c r="B9" s="256"/>
      <c r="C9" s="257"/>
      <c r="D9" s="257"/>
      <c r="E9" s="257"/>
      <c r="F9" s="258"/>
      <c r="G9" s="257"/>
      <c r="H9" s="257"/>
      <c r="I9" s="257"/>
      <c r="J9" s="259"/>
      <c r="K9" s="260"/>
      <c r="L9" s="261"/>
      <c r="M9" s="230"/>
      <c r="N9" s="251"/>
      <c r="O9" s="225"/>
      <c r="P9" s="75"/>
      <c r="Q9" s="60"/>
      <c r="R9" s="75"/>
      <c r="S9" s="60"/>
      <c r="T9" s="59"/>
      <c r="U9" s="2"/>
      <c r="V9" s="2"/>
      <c r="W9" s="2"/>
      <c r="X9" s="2"/>
      <c r="Y9" s="2"/>
      <c r="Z9" s="2"/>
      <c r="AA9" s="2"/>
    </row>
    <row r="10" ht="12.0" customHeight="1">
      <c r="A10" s="255"/>
      <c r="B10" s="256"/>
      <c r="C10" s="262"/>
      <c r="D10" s="263"/>
      <c r="E10" s="264"/>
      <c r="F10" s="265"/>
      <c r="G10" s="264"/>
      <c r="H10" s="265"/>
      <c r="J10" s="259"/>
      <c r="K10" s="260"/>
      <c r="L10" s="260"/>
      <c r="M10" s="266"/>
      <c r="N10" s="251"/>
      <c r="O10" s="225"/>
      <c r="P10" s="75"/>
      <c r="Q10" s="60"/>
      <c r="R10" s="75"/>
      <c r="S10" s="60"/>
      <c r="T10" s="59"/>
      <c r="U10" s="2"/>
      <c r="V10" s="2"/>
      <c r="W10" s="2"/>
      <c r="X10" s="2"/>
      <c r="Y10" s="2"/>
      <c r="Z10" s="2"/>
      <c r="AA10" s="2"/>
    </row>
    <row r="11">
      <c r="A11" s="267" t="s">
        <v>5</v>
      </c>
      <c r="B11" s="268" t="s">
        <v>960</v>
      </c>
      <c r="C11" s="268" t="s">
        <v>12</v>
      </c>
      <c r="D11" s="268" t="s">
        <v>13</v>
      </c>
      <c r="E11" s="268" t="s">
        <v>14</v>
      </c>
      <c r="F11" s="269" t="s">
        <v>11</v>
      </c>
      <c r="G11" s="268" t="s">
        <v>961</v>
      </c>
      <c r="H11" s="268" t="s">
        <v>962</v>
      </c>
      <c r="I11" s="268" t="s">
        <v>963</v>
      </c>
      <c r="J11" s="268" t="s">
        <v>964</v>
      </c>
      <c r="K11" s="269" t="s">
        <v>24</v>
      </c>
      <c r="L11" s="269" t="s">
        <v>25</v>
      </c>
      <c r="M11" s="268" t="s">
        <v>965</v>
      </c>
      <c r="N11" s="268" t="s">
        <v>966</v>
      </c>
      <c r="O11" s="270" t="s">
        <v>967</v>
      </c>
      <c r="P11" s="271"/>
      <c r="Q11" s="139"/>
      <c r="R11" s="271"/>
      <c r="S11" s="139"/>
      <c r="T11" s="272"/>
      <c r="U11" s="250"/>
      <c r="V11" s="250"/>
      <c r="W11" s="250"/>
      <c r="X11" s="250"/>
      <c r="Y11" s="250"/>
      <c r="Z11" s="250"/>
      <c r="AA11" s="250"/>
    </row>
    <row r="12">
      <c r="A12" s="273"/>
      <c r="B12" s="274" t="s">
        <v>968</v>
      </c>
      <c r="C12" s="275"/>
      <c r="D12" s="276"/>
      <c r="E12" s="275"/>
      <c r="F12" s="274"/>
      <c r="G12" s="274"/>
      <c r="H12" s="274" t="s">
        <v>969</v>
      </c>
      <c r="I12" s="274" t="s">
        <v>970</v>
      </c>
      <c r="J12" s="274" t="s">
        <v>971</v>
      </c>
      <c r="K12" s="277" t="s">
        <v>972</v>
      </c>
      <c r="L12" s="277"/>
      <c r="M12" s="274" t="s">
        <v>973</v>
      </c>
      <c r="N12" s="274" t="s">
        <v>14</v>
      </c>
      <c r="O12" s="278"/>
      <c r="P12" s="271"/>
      <c r="Q12" s="139"/>
      <c r="R12" s="271"/>
      <c r="S12" s="139"/>
      <c r="T12" s="272"/>
      <c r="U12" s="250"/>
      <c r="V12" s="250"/>
      <c r="W12" s="250"/>
      <c r="X12" s="250"/>
      <c r="Y12" s="250"/>
      <c r="Z12" s="250"/>
      <c r="AA12" s="250"/>
    </row>
    <row r="13">
      <c r="A13" s="279"/>
      <c r="B13" s="280"/>
      <c r="C13" s="281"/>
      <c r="D13" s="281"/>
      <c r="E13" s="281"/>
      <c r="F13" s="282"/>
      <c r="G13" s="281"/>
      <c r="H13" s="283"/>
      <c r="I13" s="281"/>
      <c r="J13" s="283"/>
      <c r="K13" s="283"/>
      <c r="L13" s="284"/>
      <c r="M13" s="285"/>
      <c r="N13" s="285"/>
      <c r="O13" s="286"/>
      <c r="P13" s="75"/>
      <c r="Q13" s="60"/>
      <c r="R13" s="75"/>
      <c r="S13" s="60"/>
      <c r="T13" s="59"/>
      <c r="U13" s="2"/>
      <c r="V13" s="2"/>
      <c r="W13" s="2"/>
      <c r="X13" s="2"/>
      <c r="Y13" s="2"/>
      <c r="Z13" s="2"/>
      <c r="AA13" s="2"/>
    </row>
    <row r="14">
      <c r="A14" s="287" t="s">
        <v>889</v>
      </c>
      <c r="B14" s="301">
        <f t="array" ref="B14">XLOOKUP($A14,'Analisis comercial'!A:A,'Analisis comercial'!C:C)</f>
        <v>46130</v>
      </c>
      <c r="C14" s="288">
        <f t="array" ref="C14">XLOOKUP(A14,'Analisis comercial'!A:A,'Analisis comercial'!I:I)</f>
        <v>1.75</v>
      </c>
      <c r="D14" s="289">
        <f t="array" ref="D14">XLOOKUP(A14,'Analisis comercial'!A:A,'Analisis comercial'!J:J)</f>
        <v>22.3</v>
      </c>
      <c r="E14" s="299">
        <f t="array" ref="E14">XLOOKUP(A14,'Analisis comercial'!A:A,'Analisis comercial'!K:K)</f>
        <v>1.36</v>
      </c>
      <c r="F14" s="291">
        <f t="array" ref="F14">XLOOKUP(Liquidacion!$A14,'Analisis comercial'!A:A,'Analisis comercial'!G:G)</f>
        <v>18</v>
      </c>
      <c r="G14" s="288">
        <f t="array" ref="G14">XLOOKUP(Liquidacion!$A14,'Analisis comercial'!A:A,'Analisis comercial'!O:O)</f>
        <v>0.345</v>
      </c>
      <c r="H14" s="300">
        <f t="array" ref="H14">XLOOKUP(Liquidacion!$A14,'Analisis comercial'!A:A,'Analisis comercial'!P:P)</f>
        <v>88</v>
      </c>
      <c r="I14" s="295">
        <f t="array" ref="I14">XLOOKUP(Liquidacion!$A14,'Analisis comercial'!A:A,'Analisis comercial'!R:R)</f>
        <v>4870.5</v>
      </c>
      <c r="J14" s="295">
        <f t="array" ref="J14">XLOOKUP(Liquidacion!$A14,'Analisis comercial'!A:A,'Analisis comercial'!S:S)</f>
        <v>115</v>
      </c>
      <c r="K14" s="296">
        <f>VLOOKUP(Liquidacion!$A14,'Analisis comercial'!$A$5:$AH$4015,21,FALSE)</f>
        <v>120</v>
      </c>
      <c r="L14" s="297">
        <f t="array" ref="L14">XLOOKUP(Liquidacion!$A14,'Analisis comercial'!A:A,'Analisis comercial'!V:V)</f>
        <v>1.1023</v>
      </c>
      <c r="M14" s="295">
        <f t="array" ref="M14">XLOOKUP(Liquidacion!$A14,'Analisis comercial'!A:A,'Analisis comercial'!Z:Z)</f>
        <v>40</v>
      </c>
      <c r="N14" s="295">
        <f t="array" ref="N14">ROUND(XLOOKUP(Liquidacion!$A14,'Analisis comercial'!A:A,'Analisis comercial'!AB:AB),2)</f>
        <v>1396.89</v>
      </c>
      <c r="O14" s="298">
        <f t="shared" ref="O14:O16" si="1">+ROUND(N14,2)*ROUND(E14,3)</f>
        <v>1899.7704</v>
      </c>
      <c r="P14" s="75"/>
      <c r="Q14" s="60"/>
      <c r="R14" s="75"/>
      <c r="S14" s="60"/>
      <c r="T14" s="59"/>
      <c r="U14" s="2"/>
      <c r="V14" s="2"/>
      <c r="W14" s="2"/>
      <c r="X14" s="2"/>
      <c r="Y14" s="2"/>
      <c r="Z14" s="2"/>
      <c r="AA14" s="2"/>
    </row>
    <row r="15">
      <c r="A15" s="287" t="s">
        <v>891</v>
      </c>
      <c r="B15" s="301">
        <f t="array" ref="B15">XLOOKUP($A15,'Analisis comercial'!A:A,'Analisis comercial'!C:C)</f>
        <v>46130</v>
      </c>
      <c r="C15" s="288">
        <f t="array" ref="C15">XLOOKUP(A15,'Analisis comercial'!A:A,'Analisis comercial'!I:I)</f>
        <v>2.84</v>
      </c>
      <c r="D15" s="289">
        <f t="array" ref="D15">XLOOKUP(A15,'Analisis comercial'!A:A,'Analisis comercial'!J:J)</f>
        <v>3.65</v>
      </c>
      <c r="E15" s="299">
        <f t="array" ref="E15">XLOOKUP(A15,'Analisis comercial'!A:A,'Analisis comercial'!K:K)</f>
        <v>2.736</v>
      </c>
      <c r="F15" s="291">
        <f t="array" ref="F15">XLOOKUP(Liquidacion!$A15,'Analisis comercial'!A:A,'Analisis comercial'!G:G)</f>
        <v>32</v>
      </c>
      <c r="G15" s="288">
        <f t="array" ref="G15">XLOOKUP(Liquidacion!$A15,'Analisis comercial'!A:A,'Analisis comercial'!O:O)</f>
        <v>0.289</v>
      </c>
      <c r="H15" s="300">
        <f t="array" ref="H15">XLOOKUP(Liquidacion!$A15,'Analisis comercial'!A:A,'Analisis comercial'!P:P)</f>
        <v>90</v>
      </c>
      <c r="I15" s="295">
        <f t="array" ref="I15">XLOOKUP(Liquidacion!$A15,'Analisis comercial'!A:A,'Analisis comercial'!R:R)</f>
        <v>4870.5</v>
      </c>
      <c r="J15" s="295">
        <f t="array" ref="J15">XLOOKUP(Liquidacion!$A15,'Analisis comercial'!A:A,'Analisis comercial'!S:S)</f>
        <v>105</v>
      </c>
      <c r="K15" s="296">
        <f>VLOOKUP(Liquidacion!$A15,'Analisis comercial'!$A$5:$AH$4015,21,FALSE)</f>
        <v>120</v>
      </c>
      <c r="L15" s="297">
        <f t="array" ref="L15">XLOOKUP(Liquidacion!$A15,'Analisis comercial'!A:A,'Analisis comercial'!V:V)</f>
        <v>1.1023</v>
      </c>
      <c r="M15" s="295">
        <f t="array" ref="M15">XLOOKUP(Liquidacion!$A15,'Analisis comercial'!A:A,'Analisis comercial'!Z:Z)</f>
        <v>35</v>
      </c>
      <c r="N15" s="295">
        <f t="array" ref="N15">ROUND(XLOOKUP(Liquidacion!$A15,'Analisis comercial'!A:A,'Analisis comercial'!AB:AB),2)</f>
        <v>1185.64</v>
      </c>
      <c r="O15" s="298">
        <f t="shared" si="1"/>
        <v>3243.91104</v>
      </c>
      <c r="P15" s="75"/>
      <c r="Q15" s="60"/>
      <c r="R15" s="75"/>
      <c r="S15" s="60"/>
      <c r="T15" s="59"/>
      <c r="U15" s="2"/>
      <c r="V15" s="2"/>
      <c r="W15" s="2"/>
      <c r="X15" s="2"/>
      <c r="Y15" s="2"/>
      <c r="Z15" s="2"/>
      <c r="AA15" s="2"/>
    </row>
    <row r="16">
      <c r="A16" s="287" t="s">
        <v>892</v>
      </c>
      <c r="B16" s="301">
        <f t="array" ref="B16">XLOOKUP($A16,'Analisis comercial'!A:A,'Analisis comercial'!C:C)</f>
        <v>46130</v>
      </c>
      <c r="C16" s="288">
        <f t="array" ref="C16">XLOOKUP(A16,'Analisis comercial'!A:A,'Analisis comercial'!I:I)</f>
        <v>2.35</v>
      </c>
      <c r="D16" s="289">
        <f t="array" ref="D16">XLOOKUP(A16,'Analisis comercial'!A:A,'Analisis comercial'!J:J)</f>
        <v>2.65</v>
      </c>
      <c r="E16" s="299">
        <f t="array" ref="E16">XLOOKUP(A16,'Analisis comercial'!A:A,'Analisis comercial'!K:K)</f>
        <v>2.288</v>
      </c>
      <c r="F16" s="291">
        <f t="array" ref="F16">XLOOKUP(Liquidacion!$A16,'Analisis comercial'!A:A,'Analisis comercial'!G:G)</f>
        <v>25</v>
      </c>
      <c r="G16" s="288">
        <f t="array" ref="G16">XLOOKUP(Liquidacion!$A16,'Analisis comercial'!A:A,'Analisis comercial'!O:O)</f>
        <v>0.587</v>
      </c>
      <c r="H16" s="300">
        <f t="array" ref="H16">XLOOKUP(Liquidacion!$A16,'Analisis comercial'!A:A,'Analisis comercial'!P:P)</f>
        <v>90</v>
      </c>
      <c r="I16" s="295">
        <f t="array" ref="I16">XLOOKUP(Liquidacion!$A16,'Analisis comercial'!A:A,'Analisis comercial'!R:R)</f>
        <v>4870.5</v>
      </c>
      <c r="J16" s="295">
        <f t="array" ref="J16">XLOOKUP(Liquidacion!$A16,'Analisis comercial'!A:A,'Analisis comercial'!S:S)</f>
        <v>135</v>
      </c>
      <c r="K16" s="296">
        <f>VLOOKUP(Liquidacion!$A16,'Analisis comercial'!$A$5:$AH$4015,21,FALSE)</f>
        <v>120</v>
      </c>
      <c r="L16" s="297">
        <f t="array" ref="L16">XLOOKUP(Liquidacion!$A16,'Analisis comercial'!A:A,'Analisis comercial'!V:V)</f>
        <v>1.1023</v>
      </c>
      <c r="M16" s="295">
        <f t="array" ref="M16">XLOOKUP(Liquidacion!$A16,'Analisis comercial'!A:A,'Analisis comercial'!Z:Z)</f>
        <v>35</v>
      </c>
      <c r="N16" s="295">
        <f t="array" ref="N16">ROUND(XLOOKUP(Liquidacion!$A16,'Analisis comercial'!A:A,'Analisis comercial'!AB:AB),2)</f>
        <v>2556.99</v>
      </c>
      <c r="O16" s="298">
        <f t="shared" si="1"/>
        <v>5850.39312</v>
      </c>
      <c r="P16" s="75"/>
      <c r="Q16" s="60"/>
      <c r="R16" s="75"/>
      <c r="S16" s="60"/>
      <c r="T16" s="59"/>
      <c r="U16" s="2"/>
      <c r="V16" s="2"/>
      <c r="W16" s="2"/>
      <c r="X16" s="2"/>
      <c r="Y16" s="2"/>
      <c r="Z16" s="2"/>
      <c r="AA16" s="2"/>
    </row>
    <row r="17">
      <c r="A17" s="287"/>
      <c r="B17" s="301"/>
      <c r="C17" s="288"/>
      <c r="D17" s="289"/>
      <c r="E17" s="299"/>
      <c r="F17" s="291"/>
      <c r="G17" s="288"/>
      <c r="H17" s="300"/>
      <c r="I17" s="295"/>
      <c r="J17" s="295"/>
      <c r="K17" s="296"/>
      <c r="L17" s="297"/>
      <c r="M17" s="295"/>
      <c r="N17" s="295"/>
      <c r="O17" s="298"/>
      <c r="P17" s="75"/>
      <c r="Q17" s="60"/>
      <c r="R17" s="75"/>
      <c r="S17" s="60"/>
      <c r="T17" s="59"/>
      <c r="U17" s="2"/>
      <c r="V17" s="2"/>
      <c r="W17" s="2"/>
      <c r="X17" s="2"/>
      <c r="Y17" s="2"/>
      <c r="Z17" s="2"/>
      <c r="AA17" s="2"/>
    </row>
    <row r="18">
      <c r="A18" s="287"/>
      <c r="B18" s="301"/>
      <c r="C18" s="288"/>
      <c r="D18" s="289"/>
      <c r="E18" s="299"/>
      <c r="F18" s="291"/>
      <c r="G18" s="288"/>
      <c r="H18" s="300"/>
      <c r="I18" s="295"/>
      <c r="J18" s="295"/>
      <c r="K18" s="296"/>
      <c r="L18" s="297"/>
      <c r="M18" s="295"/>
      <c r="N18" s="295"/>
      <c r="O18" s="298"/>
      <c r="P18" s="75"/>
      <c r="Q18" s="60"/>
      <c r="R18" s="75"/>
      <c r="S18" s="60"/>
      <c r="T18" s="59"/>
      <c r="U18" s="2"/>
      <c r="V18" s="2"/>
      <c r="W18" s="2"/>
      <c r="X18" s="2"/>
      <c r="Y18" s="2"/>
      <c r="Z18" s="2"/>
      <c r="AA18" s="2"/>
    </row>
    <row r="19">
      <c r="A19" s="287"/>
      <c r="B19" s="301"/>
      <c r="C19" s="288"/>
      <c r="D19" s="289"/>
      <c r="E19" s="299"/>
      <c r="F19" s="291"/>
      <c r="G19" s="288"/>
      <c r="H19" s="300"/>
      <c r="I19" s="295"/>
      <c r="J19" s="295"/>
      <c r="K19" s="296"/>
      <c r="L19" s="297"/>
      <c r="M19" s="295"/>
      <c r="N19" s="295"/>
      <c r="O19" s="298"/>
      <c r="P19" s="75"/>
      <c r="Q19" s="60"/>
      <c r="R19" s="75"/>
      <c r="S19" s="60"/>
      <c r="T19" s="59"/>
      <c r="U19" s="2"/>
      <c r="V19" s="2"/>
      <c r="W19" s="2"/>
      <c r="X19" s="2"/>
      <c r="Y19" s="2"/>
      <c r="Z19" s="2"/>
      <c r="AA19" s="2"/>
    </row>
    <row r="20">
      <c r="A20" s="287"/>
      <c r="B20" s="301"/>
      <c r="C20" s="288"/>
      <c r="D20" s="289"/>
      <c r="E20" s="299"/>
      <c r="F20" s="291"/>
      <c r="G20" s="288"/>
      <c r="H20" s="300"/>
      <c r="I20" s="295"/>
      <c r="J20" s="295"/>
      <c r="K20" s="296"/>
      <c r="L20" s="297"/>
      <c r="M20" s="295"/>
      <c r="N20" s="295"/>
      <c r="O20" s="298"/>
      <c r="P20" s="75"/>
      <c r="Q20" s="60"/>
      <c r="R20" s="75"/>
      <c r="S20" s="60"/>
      <c r="T20" s="59"/>
      <c r="U20" s="2"/>
      <c r="V20" s="2"/>
      <c r="W20" s="2"/>
      <c r="X20" s="2"/>
      <c r="Y20" s="2"/>
      <c r="Z20" s="2"/>
      <c r="AA20" s="2"/>
    </row>
    <row r="21" ht="15.75" customHeight="1">
      <c r="A21" s="287"/>
      <c r="B21" s="301"/>
      <c r="C21" s="288"/>
      <c r="D21" s="289"/>
      <c r="E21" s="299"/>
      <c r="F21" s="291"/>
      <c r="G21" s="288"/>
      <c r="H21" s="300"/>
      <c r="I21" s="295"/>
      <c r="J21" s="295"/>
      <c r="K21" s="296"/>
      <c r="L21" s="297"/>
      <c r="M21" s="295"/>
      <c r="N21" s="295"/>
      <c r="O21" s="298"/>
      <c r="P21" s="75"/>
      <c r="Q21" s="60"/>
      <c r="R21" s="75"/>
      <c r="S21" s="60"/>
      <c r="T21" s="59"/>
      <c r="U21" s="2"/>
      <c r="V21" s="2"/>
      <c r="W21" s="2"/>
      <c r="X21" s="2"/>
      <c r="Y21" s="2"/>
      <c r="Z21" s="2"/>
      <c r="AA21" s="2"/>
    </row>
    <row r="22" ht="15.75" customHeight="1">
      <c r="A22" s="287"/>
      <c r="B22" s="301"/>
      <c r="C22" s="288"/>
      <c r="D22" s="289"/>
      <c r="E22" s="299"/>
      <c r="F22" s="291"/>
      <c r="G22" s="288"/>
      <c r="H22" s="300"/>
      <c r="I22" s="295"/>
      <c r="J22" s="295"/>
      <c r="K22" s="296"/>
      <c r="L22" s="297"/>
      <c r="M22" s="295"/>
      <c r="N22" s="302"/>
      <c r="O22" s="298"/>
      <c r="P22" s="75"/>
      <c r="Q22" s="60"/>
      <c r="R22" s="75"/>
      <c r="S22" s="60"/>
      <c r="T22" s="6"/>
      <c r="U22" s="2"/>
      <c r="V22" s="2"/>
      <c r="W22" s="2"/>
      <c r="X22" s="2"/>
      <c r="Y22" s="2"/>
      <c r="Z22" s="2"/>
      <c r="AA22" s="2"/>
    </row>
    <row r="23" ht="15.75" customHeight="1">
      <c r="A23" s="287"/>
      <c r="B23" s="301"/>
      <c r="C23" s="288"/>
      <c r="D23" s="289"/>
      <c r="E23" s="299"/>
      <c r="F23" s="303"/>
      <c r="G23" s="288"/>
      <c r="H23" s="300"/>
      <c r="I23" s="295"/>
      <c r="J23" s="295"/>
      <c r="K23" s="296"/>
      <c r="L23" s="297"/>
      <c r="M23" s="295"/>
      <c r="N23" s="304"/>
      <c r="O23" s="298"/>
      <c r="P23" s="75"/>
      <c r="Q23" s="60"/>
      <c r="R23" s="75"/>
      <c r="S23" s="60"/>
      <c r="T23" s="6"/>
      <c r="U23" s="2"/>
      <c r="V23" s="2"/>
      <c r="W23" s="2"/>
      <c r="X23" s="2"/>
      <c r="Y23" s="2"/>
      <c r="Z23" s="2"/>
      <c r="AA23" s="2"/>
    </row>
    <row r="24" ht="16.5" customHeight="1">
      <c r="A24" s="287"/>
      <c r="B24" s="301"/>
      <c r="C24" s="288"/>
      <c r="D24" s="305"/>
      <c r="E24" s="305"/>
      <c r="F24" s="306"/>
      <c r="G24" s="288"/>
      <c r="H24" s="296"/>
      <c r="I24" s="295"/>
      <c r="J24" s="295"/>
      <c r="K24" s="296"/>
      <c r="L24" s="297"/>
      <c r="M24" s="295"/>
      <c r="N24" s="302" t="s">
        <v>975</v>
      </c>
      <c r="O24" s="307">
        <f>SUM(O13:O23)</f>
        <v>10994.07456</v>
      </c>
      <c r="P24" s="75"/>
      <c r="Q24" s="60"/>
      <c r="R24" s="75"/>
      <c r="S24" s="60"/>
      <c r="T24" s="6"/>
      <c r="U24" s="2"/>
      <c r="V24" s="2"/>
      <c r="W24" s="2"/>
      <c r="X24" s="2"/>
      <c r="Y24" s="2"/>
      <c r="Z24" s="2"/>
      <c r="AA24" s="2"/>
    </row>
    <row r="25" ht="29.25" customHeight="1">
      <c r="A25" s="308"/>
      <c r="B25" s="309" t="s">
        <v>976</v>
      </c>
      <c r="C25" s="310"/>
      <c r="D25" s="311"/>
      <c r="E25" s="312"/>
      <c r="F25" s="313"/>
      <c r="G25" s="314"/>
      <c r="H25" s="313"/>
      <c r="I25" s="313"/>
      <c r="J25" s="313"/>
      <c r="K25" s="312"/>
      <c r="L25" s="312"/>
      <c r="M25" s="312"/>
      <c r="N25" s="313"/>
      <c r="O25" s="315"/>
      <c r="P25" s="316"/>
      <c r="Q25" s="317"/>
      <c r="R25" s="316"/>
      <c r="S25" s="317"/>
      <c r="T25" s="318"/>
      <c r="U25" s="313"/>
      <c r="V25" s="313"/>
      <c r="W25" s="313"/>
      <c r="X25" s="313"/>
      <c r="Y25" s="313"/>
      <c r="Z25" s="313"/>
      <c r="AA25" s="313"/>
    </row>
    <row r="26" ht="15.0" customHeight="1">
      <c r="A26" s="287"/>
      <c r="B26" s="319" t="str">
        <f t="array" ref="B26">XLOOKUP(L5,RUC!M3:M106,RUC!N3:N106)</f>
        <v>*Se promedia diferencia de leyes desde 0.040 hasta 0.099 oz/Tc</v>
      </c>
      <c r="C26" s="320"/>
      <c r="D26" s="321"/>
      <c r="E26" s="322"/>
      <c r="F26" s="322"/>
      <c r="G26" s="322"/>
      <c r="H26" s="322"/>
      <c r="I26" s="322"/>
      <c r="J26" s="323"/>
      <c r="K26" s="2"/>
      <c r="L26" s="2"/>
      <c r="M26" s="2"/>
      <c r="N26" s="324"/>
      <c r="O26" s="325"/>
      <c r="P26" s="75"/>
      <c r="Q26" s="60"/>
      <c r="R26" s="75"/>
      <c r="S26" s="60"/>
      <c r="T26" s="6"/>
      <c r="U26" s="2"/>
      <c r="V26" s="2"/>
      <c r="W26" s="2"/>
      <c r="X26" s="2"/>
      <c r="Y26" s="2"/>
      <c r="Z26" s="2"/>
      <c r="AA26" s="2"/>
    </row>
    <row r="27" ht="15.0" customHeight="1">
      <c r="A27" s="287"/>
      <c r="B27" s="319" t="s">
        <v>977</v>
      </c>
      <c r="C27" s="326"/>
      <c r="D27" s="321"/>
      <c r="E27" s="322"/>
      <c r="F27" s="266"/>
      <c r="G27" s="322"/>
      <c r="H27" s="322"/>
      <c r="I27" s="322"/>
      <c r="J27" s="322"/>
      <c r="K27" s="2"/>
      <c r="L27" s="2"/>
      <c r="M27" s="2"/>
      <c r="N27" s="324"/>
      <c r="O27" s="327"/>
      <c r="P27" s="75"/>
      <c r="Q27" s="60"/>
      <c r="R27" s="75"/>
      <c r="S27" s="60"/>
      <c r="T27" s="6"/>
      <c r="U27" s="2"/>
      <c r="V27" s="2"/>
      <c r="W27" s="2"/>
      <c r="X27" s="2"/>
      <c r="Y27" s="2"/>
      <c r="Z27" s="2"/>
      <c r="AA27" s="2"/>
    </row>
    <row r="28" ht="15.75" customHeight="1">
      <c r="A28" s="287"/>
      <c r="B28" s="319" t="s">
        <v>978</v>
      </c>
      <c r="C28" s="328"/>
      <c r="D28" s="321"/>
      <c r="E28" s="322"/>
      <c r="F28" s="266"/>
      <c r="G28" s="322"/>
      <c r="H28" s="322"/>
      <c r="I28" s="322"/>
      <c r="J28" s="322"/>
      <c r="K28" s="266"/>
      <c r="L28" s="266"/>
      <c r="M28" s="266"/>
      <c r="N28" s="324"/>
      <c r="O28" s="325"/>
      <c r="P28" s="75"/>
      <c r="Q28" s="60"/>
      <c r="R28" s="75"/>
      <c r="S28" s="60"/>
      <c r="T28" s="6"/>
      <c r="U28" s="2"/>
      <c r="V28" s="2"/>
      <c r="W28" s="2"/>
      <c r="X28" s="2"/>
      <c r="Y28" s="2"/>
      <c r="Z28" s="2"/>
      <c r="AA28" s="2"/>
    </row>
    <row r="29" ht="15.75" customHeight="1">
      <c r="A29" s="287"/>
      <c r="B29" s="319" t="s">
        <v>979</v>
      </c>
      <c r="C29" s="328"/>
      <c r="D29" s="328"/>
      <c r="E29" s="328"/>
      <c r="F29" s="328"/>
      <c r="G29" s="2"/>
      <c r="H29" s="2"/>
      <c r="I29" s="2"/>
      <c r="J29" s="2"/>
      <c r="K29" s="2"/>
      <c r="L29" s="2"/>
      <c r="O29" s="325"/>
      <c r="AA29" s="2"/>
    </row>
    <row r="30" ht="15.75" customHeight="1">
      <c r="A30" s="287"/>
      <c r="B30" s="319" t="s">
        <v>980</v>
      </c>
      <c r="C30" s="328"/>
      <c r="D30" s="321"/>
      <c r="E30" s="322"/>
      <c r="F30" s="266"/>
      <c r="G30" s="322"/>
      <c r="H30" s="322"/>
      <c r="I30" s="322"/>
      <c r="J30" s="322"/>
      <c r="K30" s="266"/>
      <c r="L30" s="266"/>
      <c r="M30" s="266"/>
      <c r="N30" s="324"/>
      <c r="O30" s="325"/>
      <c r="P30" s="65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87"/>
      <c r="B31" s="319" t="s">
        <v>981</v>
      </c>
      <c r="C31" s="328"/>
      <c r="D31" s="321"/>
      <c r="E31" s="322"/>
      <c r="F31" s="266"/>
      <c r="G31" s="322"/>
      <c r="H31" s="322"/>
      <c r="I31" s="322"/>
      <c r="J31" s="322"/>
      <c r="K31" s="266"/>
      <c r="L31" s="266"/>
      <c r="M31" s="266"/>
      <c r="N31" s="324"/>
      <c r="O31" s="325"/>
      <c r="P31" s="65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329"/>
      <c r="B32" s="330" t="s">
        <v>982</v>
      </c>
      <c r="C32" s="331"/>
      <c r="D32" s="331"/>
      <c r="E32" s="331"/>
      <c r="F32" s="332"/>
      <c r="G32" s="333"/>
      <c r="H32" s="334"/>
      <c r="I32" s="335"/>
      <c r="J32" s="336"/>
      <c r="K32" s="337"/>
      <c r="L32" s="337"/>
      <c r="M32" s="337"/>
      <c r="N32" s="338"/>
      <c r="O32" s="339" t="s">
        <v>983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O2"/>
    <mergeCell ref="H10:I10"/>
  </mergeCells>
  <printOptions horizontalCentered="1"/>
  <pageMargins bottom="0.3937007874015748" footer="0.0" header="0.0" left="0.3937007874015748" right="0.3937007874015748" top="0.3937007874015748"/>
  <pageSetup paperSize="9" scale="6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6.29"/>
    <col customWidth="1" min="3" max="3" width="19.43"/>
    <col customWidth="1" min="4" max="4" width="11.86"/>
    <col customWidth="1" min="5" max="5" width="12.57"/>
    <col customWidth="1" min="6" max="6" width="11.57"/>
    <col customWidth="1" min="7" max="7" width="9.71"/>
    <col customWidth="1" min="8" max="8" width="10.86"/>
    <col customWidth="1" min="9" max="9" width="3.57"/>
    <col customWidth="1" min="10" max="26" width="11.57"/>
  </cols>
  <sheetData>
    <row r="1" ht="14.25" customHeight="1">
      <c r="A1" s="342"/>
      <c r="B1" s="342"/>
      <c r="C1" s="342"/>
      <c r="D1" s="342"/>
      <c r="E1" s="342"/>
      <c r="F1" s="342"/>
      <c r="G1" s="342"/>
      <c r="H1" s="343"/>
      <c r="I1" s="343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0"/>
    </row>
    <row r="2" ht="20.25" customHeight="1">
      <c r="A2" s="342"/>
      <c r="B2" s="342"/>
      <c r="C2" s="342"/>
      <c r="D2" s="342"/>
      <c r="E2" s="342"/>
      <c r="F2" s="342"/>
      <c r="G2" s="342"/>
      <c r="H2" s="343"/>
      <c r="I2" s="343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  <c r="W2" s="250"/>
      <c r="X2" s="250"/>
      <c r="Y2" s="250"/>
      <c r="Z2" s="250"/>
    </row>
    <row r="3" ht="21.75" customHeight="1">
      <c r="A3" s="342"/>
      <c r="B3" s="342"/>
      <c r="C3" s="342"/>
      <c r="D3" s="342"/>
      <c r="E3" s="342"/>
      <c r="F3" s="342"/>
      <c r="G3" s="342"/>
      <c r="H3" s="343"/>
      <c r="I3" s="343"/>
      <c r="J3" s="250"/>
      <c r="K3" s="250"/>
      <c r="L3" s="250"/>
      <c r="M3" s="250"/>
      <c r="N3" s="250"/>
      <c r="O3" s="250"/>
      <c r="P3" s="250"/>
      <c r="Q3" s="250"/>
      <c r="R3" s="250"/>
      <c r="S3" s="250"/>
      <c r="T3" s="250"/>
      <c r="U3" s="250"/>
      <c r="V3" s="250"/>
      <c r="W3" s="250"/>
      <c r="X3" s="250"/>
      <c r="Y3" s="250"/>
      <c r="Z3" s="250"/>
    </row>
    <row r="4" ht="11.25" customHeight="1">
      <c r="A4" s="344"/>
      <c r="B4" s="344"/>
      <c r="C4" s="345"/>
      <c r="D4" s="345"/>
      <c r="E4" s="345"/>
      <c r="F4" s="345"/>
      <c r="G4" s="344"/>
      <c r="H4" s="346"/>
      <c r="I4" s="343"/>
      <c r="J4" s="250"/>
      <c r="K4" s="250"/>
      <c r="L4" s="250"/>
      <c r="M4" s="250"/>
      <c r="N4" s="250"/>
      <c r="O4" s="250"/>
      <c r="P4" s="250"/>
      <c r="Q4" s="250"/>
      <c r="R4" s="250"/>
      <c r="S4" s="250"/>
      <c r="T4" s="250"/>
      <c r="U4" s="250"/>
      <c r="V4" s="250"/>
      <c r="W4" s="250"/>
      <c r="X4" s="250"/>
      <c r="Y4" s="250"/>
      <c r="Z4" s="250"/>
    </row>
    <row r="5" ht="14.25" customHeight="1">
      <c r="A5" s="347" t="s">
        <v>985</v>
      </c>
      <c r="B5" s="348"/>
      <c r="C5" s="348"/>
      <c r="D5" s="348"/>
      <c r="E5" s="348"/>
      <c r="F5" s="348"/>
      <c r="G5" s="348"/>
      <c r="H5" s="348"/>
      <c r="I5" s="349"/>
      <c r="J5" s="250"/>
      <c r="K5" s="250"/>
      <c r="L5" s="250"/>
      <c r="M5" s="250"/>
      <c r="N5" s="250"/>
      <c r="O5" s="250"/>
      <c r="P5" s="250"/>
      <c r="Q5" s="250"/>
      <c r="R5" s="250"/>
      <c r="S5" s="250"/>
      <c r="T5" s="250"/>
      <c r="U5" s="250"/>
      <c r="V5" s="250"/>
      <c r="W5" s="250"/>
      <c r="X5" s="250"/>
      <c r="Y5" s="250"/>
      <c r="Z5" s="250"/>
    </row>
    <row r="6" ht="14.25" customHeight="1">
      <c r="A6" s="350" t="s">
        <v>986</v>
      </c>
      <c r="B6" s="348"/>
      <c r="C6" s="348"/>
      <c r="D6" s="348"/>
      <c r="E6" s="348"/>
      <c r="F6" s="348"/>
      <c r="G6" s="348"/>
      <c r="H6" s="348"/>
      <c r="I6" s="349"/>
      <c r="J6" s="250"/>
      <c r="K6" s="250"/>
      <c r="L6" s="250"/>
      <c r="M6" s="250"/>
      <c r="N6" s="250"/>
      <c r="O6" s="250"/>
      <c r="P6" s="250"/>
      <c r="Q6" s="250"/>
      <c r="R6" s="250"/>
      <c r="S6" s="250"/>
      <c r="T6" s="250"/>
      <c r="U6" s="250"/>
      <c r="V6" s="250"/>
      <c r="W6" s="250"/>
      <c r="X6" s="250"/>
      <c r="Y6" s="250"/>
      <c r="Z6" s="250"/>
    </row>
    <row r="7" ht="14.25" customHeight="1">
      <c r="A7" s="351"/>
      <c r="B7" s="345"/>
      <c r="C7" s="345"/>
      <c r="D7" s="345"/>
      <c r="E7" s="345"/>
      <c r="F7" s="345"/>
      <c r="G7" s="352"/>
      <c r="H7" s="345"/>
      <c r="I7" s="343"/>
      <c r="J7" s="250"/>
      <c r="K7" s="250"/>
      <c r="L7" s="250"/>
      <c r="M7" s="250"/>
      <c r="N7" s="250"/>
      <c r="O7" s="250"/>
      <c r="P7" s="250"/>
      <c r="Q7" s="250"/>
      <c r="R7" s="250"/>
      <c r="S7" s="250"/>
      <c r="T7" s="250"/>
      <c r="U7" s="250"/>
      <c r="V7" s="250"/>
      <c r="W7" s="250"/>
      <c r="X7" s="250"/>
      <c r="Y7" s="250"/>
      <c r="Z7" s="250"/>
    </row>
    <row r="8" ht="14.25" customHeight="1">
      <c r="A8" s="344"/>
      <c r="B8" s="344"/>
      <c r="C8" s="344"/>
      <c r="D8" s="344"/>
      <c r="E8" s="344"/>
      <c r="F8" s="344"/>
      <c r="G8" s="353"/>
      <c r="H8" s="354"/>
      <c r="I8" s="343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</row>
    <row r="9" ht="15.75" customHeight="1">
      <c r="A9" s="345"/>
      <c r="B9" s="355" t="s">
        <v>987</v>
      </c>
      <c r="C9" s="356"/>
      <c r="D9" s="357" t="s">
        <v>988</v>
      </c>
      <c r="E9" s="358" t="str">
        <f t="array" ref="E9">XLOOKUP(C29,'Analisis comercial'!A:A,'Analisis comercial'!D:D)</f>
        <v>CONSORCIO MINERO RENACER DEL SUR E.I.R.L.</v>
      </c>
      <c r="F9" s="359"/>
      <c r="G9" s="359"/>
      <c r="H9" s="359"/>
      <c r="I9" s="356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</row>
    <row r="10" ht="15.75" customHeight="1">
      <c r="A10" s="360"/>
      <c r="B10" s="361"/>
      <c r="C10" s="362"/>
      <c r="D10" s="363"/>
      <c r="E10" s="361"/>
      <c r="F10" s="364"/>
      <c r="G10" s="364"/>
      <c r="H10" s="364"/>
      <c r="I10" s="362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</row>
    <row r="11" ht="15.75" customHeight="1">
      <c r="A11" s="345"/>
      <c r="B11" s="365" t="s">
        <v>989</v>
      </c>
      <c r="C11" s="356"/>
      <c r="D11" s="366" t="s">
        <v>988</v>
      </c>
      <c r="E11" s="367" t="str">
        <f t="array" ref="E11">XLOOKUP(E9,RUC!B3:B112,RUC!C3:C112)</f>
        <v>CONCESIÓN MINERA: COLONIA 1 - RIO GRANDE-CONDESUYOS-AREQUIPA</v>
      </c>
      <c r="F11" s="359"/>
      <c r="G11" s="359"/>
      <c r="H11" s="359"/>
      <c r="I11" s="356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</row>
    <row r="12" ht="15.75" customHeight="1">
      <c r="A12" s="360"/>
      <c r="B12" s="361"/>
      <c r="C12" s="362"/>
      <c r="D12" s="363"/>
      <c r="E12" s="361"/>
      <c r="F12" s="364"/>
      <c r="G12" s="364"/>
      <c r="H12" s="364"/>
      <c r="I12" s="362"/>
      <c r="J12" s="250"/>
      <c r="K12" s="250"/>
      <c r="L12" s="250"/>
      <c r="M12" s="250"/>
      <c r="N12" s="250"/>
      <c r="O12" s="250"/>
      <c r="P12" s="250"/>
      <c r="Q12" s="250"/>
      <c r="R12" s="250"/>
      <c r="S12" s="250"/>
      <c r="T12" s="250"/>
      <c r="U12" s="250"/>
      <c r="V12" s="250"/>
      <c r="W12" s="250"/>
      <c r="X12" s="250"/>
      <c r="Y12" s="250"/>
      <c r="Z12" s="250"/>
    </row>
    <row r="13" ht="18.0" customHeight="1">
      <c r="A13" s="345"/>
      <c r="B13" s="368" t="s">
        <v>990</v>
      </c>
      <c r="C13" s="349"/>
      <c r="D13" s="369" t="s">
        <v>988</v>
      </c>
      <c r="E13" s="67" t="s">
        <v>991</v>
      </c>
      <c r="F13" s="370"/>
      <c r="G13" s="370"/>
      <c r="H13" s="371"/>
      <c r="I13" s="343"/>
      <c r="J13" s="250"/>
      <c r="K13" s="250"/>
      <c r="L13" s="250"/>
      <c r="M13" s="250"/>
      <c r="N13" s="250"/>
      <c r="O13" s="250"/>
      <c r="P13" s="250"/>
      <c r="Q13" s="250"/>
      <c r="R13" s="250"/>
      <c r="S13" s="250"/>
      <c r="T13" s="250"/>
      <c r="U13" s="250"/>
      <c r="V13" s="250"/>
      <c r="W13" s="250"/>
      <c r="X13" s="250"/>
      <c r="Y13" s="250"/>
      <c r="Z13" s="250"/>
    </row>
    <row r="14" ht="15.75" customHeight="1">
      <c r="A14" s="360"/>
      <c r="B14" s="345"/>
      <c r="C14" s="370"/>
      <c r="D14" s="372"/>
      <c r="E14" s="370"/>
      <c r="F14" s="351"/>
      <c r="G14" s="351"/>
      <c r="H14" s="346"/>
      <c r="I14" s="343"/>
      <c r="J14" s="250"/>
      <c r="K14" s="250"/>
      <c r="L14" s="250"/>
      <c r="M14" s="250"/>
      <c r="N14" s="250"/>
      <c r="O14" s="250"/>
      <c r="P14" s="250"/>
      <c r="Q14" s="250"/>
      <c r="R14" s="250"/>
      <c r="S14" s="250"/>
      <c r="T14" s="250"/>
      <c r="U14" s="250"/>
      <c r="V14" s="250"/>
      <c r="W14" s="250"/>
      <c r="X14" s="250"/>
      <c r="Y14" s="250"/>
      <c r="Z14" s="250"/>
    </row>
    <row r="15" ht="15.75" customHeight="1">
      <c r="A15" s="360"/>
      <c r="B15" s="345"/>
      <c r="C15" s="370"/>
      <c r="D15" s="372"/>
      <c r="E15" s="370"/>
      <c r="F15" s="370"/>
      <c r="G15" s="351"/>
      <c r="H15" s="346"/>
      <c r="I15" s="343"/>
      <c r="J15" s="250"/>
      <c r="K15" s="250"/>
      <c r="L15" s="250"/>
      <c r="M15" s="250"/>
      <c r="N15" s="250"/>
      <c r="O15" s="250"/>
      <c r="P15" s="250"/>
      <c r="Q15" s="250"/>
      <c r="R15" s="250"/>
      <c r="S15" s="250"/>
      <c r="T15" s="250"/>
      <c r="U15" s="250"/>
      <c r="V15" s="250"/>
      <c r="W15" s="250"/>
      <c r="X15" s="250"/>
      <c r="Y15" s="250"/>
      <c r="Z15" s="250"/>
    </row>
    <row r="16" ht="9.75" customHeight="1">
      <c r="A16" s="250"/>
      <c r="B16" s="345"/>
      <c r="C16" s="370"/>
      <c r="D16" s="372"/>
      <c r="E16" s="345"/>
      <c r="F16" s="370"/>
      <c r="G16" s="351"/>
      <c r="H16" s="346"/>
      <c r="I16" s="343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</row>
    <row r="17" ht="20.25" customHeight="1">
      <c r="A17" s="373" t="s">
        <v>992</v>
      </c>
      <c r="B17" s="345"/>
      <c r="C17" s="370"/>
      <c r="D17" s="372"/>
      <c r="E17" s="370"/>
      <c r="F17" s="345"/>
      <c r="G17" s="351"/>
      <c r="H17" s="346"/>
      <c r="I17" s="343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</row>
    <row r="18" ht="14.25" customHeight="1">
      <c r="A18" s="351"/>
      <c r="B18" s="370" t="s">
        <v>993</v>
      </c>
      <c r="C18" s="374"/>
      <c r="D18" s="372" t="s">
        <v>988</v>
      </c>
      <c r="E18" s="375">
        <f>COUNTA(B29:B39)</f>
        <v>1</v>
      </c>
      <c r="F18" s="345"/>
      <c r="G18" s="351"/>
      <c r="H18" s="346"/>
      <c r="I18" s="343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</row>
    <row r="19" ht="14.25" customHeight="1">
      <c r="A19" s="351"/>
      <c r="B19" s="370" t="s">
        <v>994</v>
      </c>
      <c r="C19" s="376"/>
      <c r="D19" s="372" t="s">
        <v>988</v>
      </c>
      <c r="E19" s="374" t="s">
        <v>995</v>
      </c>
      <c r="F19" s="345"/>
      <c r="G19" s="351"/>
      <c r="H19" s="346"/>
      <c r="I19" s="343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</row>
    <row r="20" ht="14.25" customHeight="1">
      <c r="A20" s="351"/>
      <c r="B20" s="370" t="s">
        <v>996</v>
      </c>
      <c r="C20" s="376"/>
      <c r="D20" s="372" t="s">
        <v>988</v>
      </c>
      <c r="E20" s="374" t="s">
        <v>997</v>
      </c>
      <c r="F20" s="345"/>
      <c r="G20" s="351"/>
      <c r="H20" s="346"/>
      <c r="I20" s="343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</row>
    <row r="21" ht="14.25" customHeight="1">
      <c r="A21" s="351"/>
      <c r="B21" s="370" t="s">
        <v>998</v>
      </c>
      <c r="C21" s="374"/>
      <c r="D21" s="372" t="s">
        <v>988</v>
      </c>
      <c r="E21" s="377">
        <f>+E22-1</f>
        <v>46156</v>
      </c>
      <c r="F21" s="345"/>
      <c r="G21" s="344"/>
      <c r="H21" s="346"/>
      <c r="I21" s="343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</row>
    <row r="22" ht="14.25" customHeight="1">
      <c r="A22" s="351"/>
      <c r="B22" s="370" t="s">
        <v>999</v>
      </c>
      <c r="C22" s="374"/>
      <c r="D22" s="372" t="s">
        <v>988</v>
      </c>
      <c r="E22" s="377">
        <f>TODAY()</f>
        <v>46157</v>
      </c>
      <c r="F22" s="345"/>
      <c r="G22" s="344"/>
      <c r="H22" s="346"/>
      <c r="I22" s="343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</row>
    <row r="23" ht="14.25" customHeight="1">
      <c r="A23" s="351"/>
      <c r="B23" s="370" t="s">
        <v>1000</v>
      </c>
      <c r="C23" s="374"/>
      <c r="D23" s="372" t="s">
        <v>988</v>
      </c>
      <c r="E23" s="377" t="s">
        <v>1001</v>
      </c>
      <c r="F23" s="345"/>
      <c r="G23" s="344"/>
      <c r="H23" s="346"/>
      <c r="I23" s="343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</row>
    <row r="24" ht="19.5" customHeight="1">
      <c r="A24" s="378"/>
      <c r="B24" s="379"/>
      <c r="C24" s="379"/>
      <c r="D24" s="380"/>
      <c r="E24" s="381"/>
      <c r="F24" s="379"/>
      <c r="G24" s="352"/>
      <c r="H24" s="352"/>
      <c r="I24" s="343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</row>
    <row r="25" ht="14.25" customHeight="1">
      <c r="A25" s="378"/>
      <c r="B25" s="379"/>
      <c r="C25" s="379"/>
      <c r="D25" s="380"/>
      <c r="E25" s="381"/>
      <c r="F25" s="379"/>
      <c r="G25" s="352"/>
      <c r="H25" s="352"/>
      <c r="I25" s="343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</row>
    <row r="26" ht="24.75" customHeight="1">
      <c r="A26" s="382" t="s">
        <v>1002</v>
      </c>
      <c r="B26" s="345"/>
      <c r="C26" s="345"/>
      <c r="D26" s="372"/>
      <c r="E26" s="383"/>
      <c r="F26" s="345"/>
      <c r="G26" s="351"/>
      <c r="H26" s="384"/>
      <c r="I26" s="343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</row>
    <row r="27" ht="12.0" customHeight="1">
      <c r="A27" s="360"/>
      <c r="B27" s="345"/>
      <c r="C27" s="345"/>
      <c r="D27" s="345"/>
      <c r="E27" s="345"/>
      <c r="F27" s="345"/>
      <c r="G27" s="345"/>
      <c r="H27" s="384"/>
      <c r="I27" s="385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</row>
    <row r="28" ht="22.5" customHeight="1">
      <c r="A28" s="345"/>
      <c r="B28" s="386" t="s">
        <v>1003</v>
      </c>
      <c r="C28" s="387" t="s">
        <v>1004</v>
      </c>
      <c r="D28" s="388"/>
      <c r="E28" s="389" t="s">
        <v>1005</v>
      </c>
      <c r="F28" s="390"/>
      <c r="G28" s="391"/>
      <c r="H28" s="392"/>
      <c r="I28" s="393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</row>
    <row r="29" ht="19.5" customHeight="1">
      <c r="A29" s="346"/>
      <c r="B29" s="394">
        <v>1.0</v>
      </c>
      <c r="C29" s="395" t="s">
        <v>947</v>
      </c>
      <c r="D29" s="396"/>
      <c r="E29" s="397">
        <f t="array" ref="E29">+XLOOKUP(C29,'Analisis comercial'!A:A,'Analisis comercial'!M:M)</f>
        <v>0.442</v>
      </c>
      <c r="F29" s="390"/>
      <c r="G29" s="391"/>
      <c r="H29" s="398"/>
      <c r="I29" s="399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</row>
    <row r="30" ht="19.5" customHeight="1">
      <c r="A30" s="346"/>
      <c r="B30" s="191"/>
      <c r="C30" s="400"/>
      <c r="D30" s="401"/>
      <c r="E30" s="402"/>
      <c r="F30" s="348"/>
      <c r="G30" s="349"/>
      <c r="H30" s="398"/>
      <c r="I30" s="385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</row>
    <row r="31" ht="19.5" customHeight="1">
      <c r="A31" s="346"/>
      <c r="B31" s="191"/>
      <c r="C31" s="400"/>
      <c r="D31" s="401"/>
      <c r="E31" s="402"/>
      <c r="F31" s="348"/>
      <c r="G31" s="349"/>
      <c r="H31" s="398"/>
      <c r="I31" s="343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</row>
    <row r="32" ht="19.5" customHeight="1">
      <c r="A32" s="346"/>
      <c r="B32" s="191"/>
      <c r="C32" s="400"/>
      <c r="D32" s="401"/>
      <c r="E32" s="402"/>
      <c r="F32" s="348"/>
      <c r="G32" s="349"/>
      <c r="H32" s="398"/>
      <c r="I32" s="343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</row>
    <row r="33" ht="19.5" customHeight="1">
      <c r="A33" s="346"/>
      <c r="B33" s="191"/>
      <c r="C33" s="400"/>
      <c r="D33" s="401"/>
      <c r="E33" s="402"/>
      <c r="F33" s="348"/>
      <c r="G33" s="349"/>
      <c r="H33" s="346"/>
      <c r="I33" s="343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</row>
    <row r="34" ht="19.5" customHeight="1">
      <c r="A34" s="346"/>
      <c r="B34" s="191"/>
      <c r="C34" s="400"/>
      <c r="D34" s="401"/>
      <c r="E34" s="402"/>
      <c r="F34" s="348"/>
      <c r="G34" s="349"/>
      <c r="H34" s="346"/>
      <c r="I34" s="343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</row>
    <row r="35" ht="19.5" customHeight="1">
      <c r="A35" s="346"/>
      <c r="B35" s="191"/>
      <c r="C35" s="400"/>
      <c r="D35" s="401"/>
      <c r="E35" s="402"/>
      <c r="F35" s="348"/>
      <c r="G35" s="349"/>
      <c r="H35" s="346"/>
      <c r="I35" s="343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</row>
    <row r="36" ht="19.5" customHeight="1">
      <c r="A36" s="346"/>
      <c r="B36" s="191"/>
      <c r="C36" s="400"/>
      <c r="D36" s="401"/>
      <c r="E36" s="402"/>
      <c r="F36" s="348"/>
      <c r="G36" s="349"/>
      <c r="H36" s="346"/>
      <c r="I36" s="343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</row>
    <row r="37" ht="19.5" customHeight="1">
      <c r="A37" s="346"/>
      <c r="B37" s="191"/>
      <c r="C37" s="400"/>
      <c r="D37" s="401"/>
      <c r="E37" s="402"/>
      <c r="F37" s="348"/>
      <c r="G37" s="349"/>
      <c r="H37" s="346"/>
      <c r="I37" s="343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</row>
    <row r="38" ht="19.5" customHeight="1">
      <c r="A38" s="346"/>
      <c r="B38" s="191"/>
      <c r="C38" s="400"/>
      <c r="D38" s="401"/>
      <c r="E38" s="402"/>
      <c r="F38" s="348"/>
      <c r="G38" s="349"/>
      <c r="H38" s="346"/>
      <c r="I38" s="343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</row>
    <row r="39" ht="19.5" customHeight="1">
      <c r="A39" s="346"/>
      <c r="B39" s="191"/>
      <c r="C39" s="400"/>
      <c r="D39" s="401"/>
      <c r="E39" s="402"/>
      <c r="F39" s="348"/>
      <c r="G39" s="349"/>
      <c r="H39" s="346"/>
      <c r="I39" s="343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</row>
    <row r="40" ht="19.5" customHeight="1">
      <c r="A40" s="346"/>
      <c r="B40" s="191"/>
      <c r="C40" s="400"/>
      <c r="D40" s="401"/>
      <c r="E40" s="403"/>
      <c r="F40" s="403"/>
      <c r="G40" s="403"/>
      <c r="H40" s="346"/>
      <c r="I40" s="343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</row>
    <row r="41" ht="18.75" customHeight="1">
      <c r="A41" s="346"/>
      <c r="B41" s="191"/>
      <c r="C41" s="404"/>
      <c r="D41" s="349"/>
      <c r="E41" s="403"/>
      <c r="F41" s="403"/>
      <c r="G41" s="405"/>
      <c r="H41" s="346"/>
      <c r="I41" s="343"/>
      <c r="J41" s="250"/>
      <c r="K41" s="250"/>
      <c r="L41" s="250"/>
      <c r="M41" s="250"/>
      <c r="N41" s="250"/>
      <c r="O41" s="250"/>
      <c r="P41" s="250"/>
      <c r="Q41" s="250"/>
      <c r="R41" s="250"/>
      <c r="S41" s="250"/>
      <c r="T41" s="250"/>
      <c r="U41" s="250"/>
      <c r="V41" s="250"/>
      <c r="W41" s="250"/>
      <c r="X41" s="250"/>
      <c r="Y41" s="250"/>
      <c r="Z41" s="250"/>
    </row>
    <row r="42" ht="18.75" customHeight="1">
      <c r="A42" s="406" t="s">
        <v>1006</v>
      </c>
      <c r="B42" s="407"/>
      <c r="C42" s="408"/>
      <c r="D42" s="405"/>
      <c r="E42" s="403"/>
      <c r="F42" s="403"/>
      <c r="G42" s="405"/>
      <c r="H42" s="346"/>
      <c r="I42" s="343"/>
      <c r="J42" s="250"/>
      <c r="K42" s="250"/>
      <c r="L42" s="250"/>
      <c r="M42" s="250"/>
      <c r="N42" s="250"/>
      <c r="O42" s="250"/>
      <c r="P42" s="250"/>
      <c r="Q42" s="250"/>
      <c r="R42" s="250"/>
      <c r="S42" s="250"/>
      <c r="T42" s="250"/>
      <c r="U42" s="250"/>
      <c r="V42" s="250"/>
      <c r="W42" s="250"/>
      <c r="X42" s="250"/>
      <c r="Y42" s="250"/>
      <c r="Z42" s="250"/>
    </row>
    <row r="43" ht="18.75" customHeight="1">
      <c r="A43" s="409" t="s">
        <v>1007</v>
      </c>
      <c r="B43" s="359"/>
      <c r="C43" s="359"/>
      <c r="D43" s="359"/>
      <c r="E43" s="359"/>
      <c r="F43" s="359"/>
      <c r="G43" s="359"/>
      <c r="H43" s="359"/>
      <c r="I43" s="356"/>
      <c r="J43" s="250"/>
      <c r="K43" s="250"/>
      <c r="L43" s="250"/>
      <c r="M43" s="250"/>
      <c r="N43" s="250"/>
      <c r="O43" s="250"/>
      <c r="P43" s="250"/>
      <c r="Q43" s="250"/>
      <c r="R43" s="250"/>
      <c r="S43" s="250"/>
      <c r="T43" s="250"/>
      <c r="U43" s="250"/>
      <c r="V43" s="250"/>
      <c r="W43" s="250"/>
      <c r="X43" s="250"/>
      <c r="Y43" s="250"/>
      <c r="Z43" s="250"/>
    </row>
    <row r="44" ht="18.75" customHeight="1">
      <c r="A44" s="410"/>
      <c r="I44" s="411"/>
      <c r="J44" s="250"/>
      <c r="K44" s="250"/>
      <c r="L44" s="250"/>
      <c r="M44" s="250"/>
      <c r="N44" s="250"/>
      <c r="O44" s="250"/>
      <c r="P44" s="250"/>
      <c r="Q44" s="250"/>
      <c r="R44" s="250"/>
      <c r="S44" s="250"/>
      <c r="T44" s="250"/>
      <c r="U44" s="250"/>
      <c r="V44" s="250"/>
      <c r="W44" s="250"/>
      <c r="X44" s="250"/>
      <c r="Y44" s="250"/>
      <c r="Z44" s="250"/>
    </row>
    <row r="45" ht="27.75" customHeight="1">
      <c r="A45" s="361"/>
      <c r="B45" s="364"/>
      <c r="C45" s="364"/>
      <c r="D45" s="364"/>
      <c r="E45" s="364"/>
      <c r="F45" s="364"/>
      <c r="G45" s="364"/>
      <c r="H45" s="364"/>
      <c r="I45" s="362"/>
      <c r="J45" s="250"/>
      <c r="K45" s="250"/>
      <c r="L45" s="250"/>
      <c r="M45" s="250"/>
      <c r="N45" s="250"/>
      <c r="O45" s="250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</row>
    <row r="46" ht="18.75" customHeight="1">
      <c r="A46" s="346"/>
      <c r="B46" s="191"/>
      <c r="C46" s="405"/>
      <c r="D46" s="405"/>
      <c r="E46" s="403"/>
      <c r="F46" s="403"/>
      <c r="G46" s="405"/>
      <c r="H46" s="346"/>
      <c r="I46" s="343"/>
      <c r="J46" s="250"/>
      <c r="K46" s="250"/>
      <c r="L46" s="250"/>
      <c r="M46" s="250"/>
      <c r="N46" s="250"/>
      <c r="O46" s="250"/>
      <c r="P46" s="250"/>
      <c r="Q46" s="250"/>
      <c r="R46" s="250"/>
      <c r="S46" s="250"/>
      <c r="T46" s="250"/>
      <c r="U46" s="250"/>
      <c r="V46" s="250"/>
      <c r="W46" s="250"/>
      <c r="X46" s="250"/>
      <c r="Y46" s="250"/>
      <c r="Z46" s="250"/>
    </row>
    <row r="47" ht="14.25" customHeight="1">
      <c r="A47" s="345"/>
      <c r="B47" s="351"/>
      <c r="C47" s="351"/>
      <c r="D47" s="351"/>
      <c r="E47" s="351"/>
      <c r="F47" s="351"/>
      <c r="G47" s="351"/>
      <c r="H47" s="412"/>
      <c r="I47" s="343"/>
      <c r="J47" s="250"/>
      <c r="K47" s="250"/>
      <c r="L47" s="250"/>
      <c r="M47" s="250"/>
      <c r="N47" s="250"/>
      <c r="O47" s="250"/>
      <c r="P47" s="250"/>
      <c r="Q47" s="250"/>
      <c r="R47" s="250"/>
      <c r="S47" s="250"/>
      <c r="T47" s="250"/>
      <c r="U47" s="250"/>
      <c r="V47" s="250"/>
      <c r="W47" s="250"/>
      <c r="X47" s="250"/>
      <c r="Y47" s="250"/>
      <c r="Z47" s="250"/>
    </row>
    <row r="48" ht="12.0" customHeight="1">
      <c r="A48" s="413" t="s">
        <v>1008</v>
      </c>
      <c r="B48" s="359"/>
      <c r="C48" s="359"/>
      <c r="D48" s="359"/>
      <c r="E48" s="359"/>
      <c r="F48" s="359"/>
      <c r="G48" s="359"/>
      <c r="H48" s="356"/>
      <c r="I48" s="343"/>
      <c r="J48" s="250"/>
      <c r="K48" s="250"/>
      <c r="L48" s="250"/>
      <c r="M48" s="250"/>
      <c r="N48" s="250"/>
      <c r="O48" s="250"/>
      <c r="P48" s="250"/>
      <c r="Q48" s="250"/>
      <c r="R48" s="250"/>
      <c r="S48" s="250"/>
      <c r="T48" s="250"/>
      <c r="U48" s="250"/>
      <c r="V48" s="250"/>
      <c r="W48" s="250"/>
      <c r="X48" s="250"/>
      <c r="Y48" s="250"/>
      <c r="Z48" s="250"/>
    </row>
    <row r="49" ht="12.0" customHeight="1">
      <c r="A49" s="361"/>
      <c r="B49" s="364"/>
      <c r="C49" s="364"/>
      <c r="D49" s="364"/>
      <c r="E49" s="364"/>
      <c r="F49" s="364"/>
      <c r="G49" s="364"/>
      <c r="H49" s="362"/>
      <c r="I49" s="343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0"/>
      <c r="X49" s="250"/>
      <c r="Y49" s="250"/>
      <c r="Z49" s="250"/>
    </row>
    <row r="50" ht="15.75" customHeight="1">
      <c r="A50" s="414"/>
      <c r="B50" s="250"/>
      <c r="C50" s="415"/>
      <c r="D50" s="415"/>
      <c r="E50" s="416"/>
      <c r="F50" s="416"/>
      <c r="G50" s="416"/>
      <c r="H50" s="346"/>
      <c r="I50" s="343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</row>
    <row r="51" ht="12.0" customHeight="1">
      <c r="A51" s="417"/>
      <c r="B51" s="348"/>
      <c r="C51" s="348"/>
      <c r="D51" s="348"/>
      <c r="E51" s="348"/>
      <c r="F51" s="349"/>
      <c r="G51" s="250"/>
      <c r="H51" s="343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</row>
    <row r="52" ht="14.25" customHeight="1">
      <c r="A52" s="250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</row>
    <row r="53" ht="14.25" customHeight="1">
      <c r="A53" s="250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</row>
    <row r="54" ht="14.25" customHeight="1">
      <c r="A54" s="250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</row>
    <row r="55" ht="14.25" customHeight="1">
      <c r="A55" s="250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</row>
    <row r="56" ht="14.25" customHeight="1">
      <c r="A56" s="250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0"/>
      <c r="X56" s="250"/>
      <c r="Y56" s="250"/>
      <c r="Z56" s="250"/>
    </row>
    <row r="57" ht="14.25" customHeight="1">
      <c r="A57" s="250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X57" s="250"/>
      <c r="Y57" s="250"/>
      <c r="Z57" s="250"/>
    </row>
    <row r="58" ht="14.25" customHeight="1">
      <c r="A58" s="250"/>
      <c r="B58" s="250"/>
      <c r="C58" s="250"/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0"/>
      <c r="X58" s="250"/>
      <c r="Y58" s="250"/>
      <c r="Z58" s="250"/>
    </row>
    <row r="59" ht="14.25" customHeight="1">
      <c r="A59" s="250"/>
      <c r="B59" s="250"/>
      <c r="C59" s="250"/>
      <c r="D59" s="250"/>
      <c r="E59" s="250"/>
      <c r="F59" s="250"/>
      <c r="G59" s="250"/>
      <c r="H59" s="250"/>
      <c r="I59" s="250"/>
      <c r="J59" s="250"/>
      <c r="K59" s="250"/>
      <c r="L59" s="250"/>
      <c r="M59" s="250"/>
      <c r="N59" s="250"/>
      <c r="O59" s="250"/>
      <c r="P59" s="250"/>
      <c r="Q59" s="250"/>
      <c r="R59" s="250"/>
      <c r="S59" s="250"/>
      <c r="T59" s="250"/>
      <c r="U59" s="250"/>
      <c r="V59" s="250"/>
      <c r="W59" s="250"/>
      <c r="X59" s="250"/>
      <c r="Y59" s="250"/>
      <c r="Z59" s="250"/>
    </row>
    <row r="60" ht="14.25" customHeight="1">
      <c r="A60" s="250"/>
      <c r="B60" s="250"/>
      <c r="C60" s="250"/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0"/>
      <c r="X60" s="250"/>
      <c r="Y60" s="250"/>
      <c r="Z60" s="250"/>
    </row>
    <row r="61" ht="14.25" customHeight="1">
      <c r="A61" s="250"/>
      <c r="B61" s="250"/>
      <c r="C61" s="250"/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0"/>
      <c r="X61" s="250"/>
      <c r="Y61" s="250"/>
      <c r="Z61" s="250"/>
    </row>
    <row r="62" ht="14.25" customHeight="1">
      <c r="A62" s="250"/>
      <c r="B62" s="250"/>
      <c r="C62" s="250"/>
      <c r="D62" s="250"/>
      <c r="E62" s="250"/>
      <c r="F62" s="250"/>
      <c r="G62" s="250"/>
      <c r="H62" s="250"/>
      <c r="I62" s="250"/>
      <c r="J62" s="250"/>
      <c r="K62" s="250"/>
      <c r="L62" s="250"/>
      <c r="M62" s="250"/>
      <c r="N62" s="250"/>
      <c r="O62" s="250"/>
      <c r="P62" s="250"/>
      <c r="Q62" s="250"/>
      <c r="R62" s="250"/>
      <c r="S62" s="250"/>
      <c r="T62" s="250"/>
      <c r="U62" s="250"/>
      <c r="V62" s="250"/>
      <c r="W62" s="250"/>
      <c r="X62" s="250"/>
      <c r="Y62" s="250"/>
      <c r="Z62" s="250"/>
    </row>
    <row r="63" ht="14.25" customHeight="1">
      <c r="A63" s="250"/>
      <c r="B63" s="250"/>
      <c r="C63" s="250"/>
      <c r="D63" s="250"/>
      <c r="E63" s="250"/>
      <c r="F63" s="250"/>
      <c r="G63" s="250"/>
      <c r="H63" s="250"/>
      <c r="I63" s="250"/>
      <c r="J63" s="250"/>
      <c r="K63" s="250"/>
      <c r="L63" s="250"/>
      <c r="M63" s="250"/>
      <c r="N63" s="250"/>
      <c r="O63" s="250"/>
      <c r="P63" s="250"/>
      <c r="Q63" s="250"/>
      <c r="R63" s="250"/>
      <c r="S63" s="250"/>
      <c r="T63" s="250"/>
      <c r="U63" s="250"/>
      <c r="V63" s="250"/>
      <c r="W63" s="250"/>
      <c r="X63" s="250"/>
      <c r="Y63" s="250"/>
      <c r="Z63" s="250"/>
    </row>
    <row r="64" ht="14.25" customHeight="1">
      <c r="A64" s="250"/>
      <c r="B64" s="250"/>
      <c r="C64" s="250"/>
      <c r="D64" s="250"/>
      <c r="E64" s="250"/>
      <c r="F64" s="250"/>
      <c r="G64" s="250"/>
      <c r="H64" s="250"/>
      <c r="I64" s="250"/>
      <c r="J64" s="250"/>
      <c r="K64" s="250"/>
      <c r="L64" s="250"/>
      <c r="M64" s="250"/>
      <c r="N64" s="250"/>
      <c r="O64" s="250"/>
      <c r="P64" s="250"/>
      <c r="Q64" s="250"/>
      <c r="R64" s="250"/>
      <c r="S64" s="250"/>
      <c r="T64" s="250"/>
      <c r="U64" s="250"/>
      <c r="V64" s="250"/>
      <c r="W64" s="250"/>
      <c r="X64" s="250"/>
      <c r="Y64" s="250"/>
      <c r="Z64" s="250"/>
    </row>
    <row r="65" ht="14.25" customHeight="1">
      <c r="A65" s="250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0"/>
      <c r="X65" s="250"/>
      <c r="Y65" s="250"/>
      <c r="Z65" s="250"/>
    </row>
    <row r="66" ht="14.25" customHeight="1">
      <c r="A66" s="250"/>
      <c r="B66" s="250"/>
      <c r="C66" s="250"/>
      <c r="D66" s="250"/>
      <c r="E66" s="250"/>
      <c r="F66" s="250"/>
      <c r="G66" s="250"/>
      <c r="H66" s="250"/>
      <c r="I66" s="250"/>
      <c r="J66" s="250"/>
      <c r="K66" s="250"/>
      <c r="L66" s="250"/>
      <c r="M66" s="250"/>
      <c r="N66" s="250"/>
      <c r="O66" s="250"/>
      <c r="P66" s="250"/>
      <c r="Q66" s="250"/>
      <c r="R66" s="250"/>
      <c r="S66" s="250"/>
      <c r="T66" s="250"/>
      <c r="U66" s="250"/>
      <c r="V66" s="250"/>
      <c r="W66" s="250"/>
      <c r="X66" s="250"/>
      <c r="Y66" s="250"/>
      <c r="Z66" s="250"/>
    </row>
    <row r="67" ht="14.25" customHeight="1">
      <c r="A67" s="250"/>
      <c r="B67" s="250"/>
      <c r="C67" s="250"/>
      <c r="D67" s="250"/>
      <c r="E67" s="250"/>
      <c r="F67" s="250"/>
      <c r="G67" s="250"/>
      <c r="H67" s="250"/>
      <c r="I67" s="250"/>
      <c r="J67" s="250"/>
      <c r="K67" s="250"/>
      <c r="L67" s="250"/>
      <c r="M67" s="250"/>
      <c r="N67" s="250"/>
      <c r="O67" s="250"/>
      <c r="P67" s="250"/>
      <c r="Q67" s="250"/>
      <c r="R67" s="250"/>
      <c r="S67" s="250"/>
      <c r="T67" s="250"/>
      <c r="U67" s="250"/>
      <c r="V67" s="250"/>
      <c r="W67" s="250"/>
      <c r="X67" s="250"/>
      <c r="Y67" s="250"/>
      <c r="Z67" s="250"/>
    </row>
    <row r="68" ht="14.25" customHeight="1">
      <c r="A68" s="250"/>
      <c r="B68" s="250"/>
      <c r="C68" s="250"/>
      <c r="D68" s="250"/>
      <c r="E68" s="250"/>
      <c r="F68" s="250"/>
      <c r="G68" s="250"/>
      <c r="H68" s="250"/>
      <c r="I68" s="250"/>
      <c r="J68" s="250"/>
      <c r="K68" s="250"/>
      <c r="L68" s="250"/>
      <c r="M68" s="250"/>
      <c r="N68" s="250"/>
      <c r="O68" s="250"/>
      <c r="P68" s="250"/>
      <c r="Q68" s="250"/>
      <c r="R68" s="250"/>
      <c r="S68" s="250"/>
      <c r="T68" s="250"/>
      <c r="U68" s="250"/>
      <c r="V68" s="250"/>
      <c r="W68" s="250"/>
      <c r="X68" s="250"/>
      <c r="Y68" s="250"/>
      <c r="Z68" s="250"/>
    </row>
    <row r="69" ht="14.25" customHeight="1">
      <c r="A69" s="250"/>
      <c r="B69" s="250"/>
      <c r="C69" s="250"/>
      <c r="D69" s="250"/>
      <c r="E69" s="250"/>
      <c r="F69" s="250"/>
      <c r="G69" s="250"/>
      <c r="H69" s="250"/>
      <c r="I69" s="250"/>
      <c r="J69" s="250"/>
      <c r="K69" s="250"/>
      <c r="L69" s="250"/>
      <c r="M69" s="250"/>
      <c r="N69" s="250"/>
      <c r="O69" s="250"/>
      <c r="P69" s="250"/>
      <c r="Q69" s="250"/>
      <c r="R69" s="250"/>
      <c r="S69" s="250"/>
      <c r="T69" s="250"/>
      <c r="U69" s="250"/>
      <c r="V69" s="250"/>
      <c r="W69" s="250"/>
      <c r="X69" s="250"/>
      <c r="Y69" s="250"/>
      <c r="Z69" s="250"/>
    </row>
    <row r="70" ht="14.25" customHeight="1">
      <c r="A70" s="250"/>
      <c r="B70" s="250"/>
      <c r="C70" s="250"/>
      <c r="D70" s="250"/>
      <c r="E70" s="250"/>
      <c r="F70" s="250"/>
      <c r="G70" s="250"/>
      <c r="H70" s="250"/>
      <c r="I70" s="250"/>
      <c r="J70" s="250"/>
      <c r="K70" s="250"/>
      <c r="L70" s="250"/>
      <c r="M70" s="250"/>
      <c r="N70" s="250"/>
      <c r="O70" s="250"/>
      <c r="P70" s="250"/>
      <c r="Q70" s="250"/>
      <c r="R70" s="250"/>
      <c r="S70" s="250"/>
      <c r="T70" s="250"/>
      <c r="U70" s="250"/>
      <c r="V70" s="250"/>
      <c r="W70" s="250"/>
      <c r="X70" s="250"/>
      <c r="Y70" s="250"/>
      <c r="Z70" s="250"/>
    </row>
    <row r="71" ht="14.25" customHeight="1">
      <c r="A71" s="250"/>
      <c r="B71" s="250"/>
      <c r="C71" s="250"/>
      <c r="D71" s="250"/>
      <c r="E71" s="250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50"/>
      <c r="Z71" s="250"/>
    </row>
    <row r="72" ht="14.25" customHeight="1">
      <c r="A72" s="250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50"/>
      <c r="Z72" s="250"/>
    </row>
    <row r="73" ht="14.25" customHeight="1">
      <c r="A73" s="250"/>
      <c r="B73" s="250"/>
      <c r="C73" s="250"/>
      <c r="D73" s="250"/>
      <c r="E73" s="250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50"/>
      <c r="Z73" s="250"/>
    </row>
    <row r="74" ht="14.25" customHeight="1">
      <c r="A74" s="250"/>
      <c r="B74" s="250"/>
      <c r="C74" s="250"/>
      <c r="D74" s="250"/>
      <c r="E74" s="250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50"/>
      <c r="Z74" s="250"/>
    </row>
    <row r="75" ht="14.25" customHeight="1">
      <c r="A75" s="250"/>
      <c r="B75" s="250"/>
      <c r="C75" s="250"/>
      <c r="D75" s="250"/>
      <c r="E75" s="250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50"/>
      <c r="Z75" s="250"/>
    </row>
    <row r="76" ht="14.25" customHeight="1">
      <c r="A76" s="250"/>
      <c r="B76" s="250"/>
      <c r="C76" s="250"/>
      <c r="D76" s="250"/>
      <c r="E76" s="250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50"/>
      <c r="Z76" s="250"/>
    </row>
    <row r="77" ht="14.25" customHeight="1">
      <c r="A77" s="250"/>
      <c r="B77" s="250"/>
      <c r="C77" s="250"/>
      <c r="D77" s="250"/>
      <c r="E77" s="250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50"/>
      <c r="Z77" s="250"/>
    </row>
    <row r="78" ht="14.25" customHeight="1">
      <c r="A78" s="250"/>
      <c r="B78" s="250"/>
      <c r="C78" s="250"/>
      <c r="D78" s="250"/>
      <c r="E78" s="250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50"/>
      <c r="Z78" s="250"/>
    </row>
    <row r="79" ht="14.25" customHeight="1">
      <c r="A79" s="250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X79" s="250"/>
      <c r="Y79" s="250"/>
      <c r="Z79" s="250"/>
    </row>
    <row r="80" ht="14.25" customHeight="1">
      <c r="A80" s="250"/>
      <c r="B80" s="250"/>
      <c r="C80" s="250"/>
      <c r="D80" s="250"/>
      <c r="E80" s="250"/>
      <c r="F80" s="250"/>
      <c r="G80" s="250"/>
      <c r="H80" s="250"/>
      <c r="I80" s="250"/>
      <c r="J80" s="250"/>
      <c r="K80" s="250"/>
      <c r="L80" s="250"/>
      <c r="M80" s="250"/>
      <c r="N80" s="250"/>
      <c r="O80" s="250"/>
      <c r="P80" s="250"/>
      <c r="Q80" s="250"/>
      <c r="R80" s="250"/>
      <c r="S80" s="250"/>
      <c r="T80" s="250"/>
      <c r="U80" s="250"/>
      <c r="V80" s="250"/>
      <c r="W80" s="250"/>
      <c r="X80" s="250"/>
      <c r="Y80" s="250"/>
      <c r="Z80" s="250"/>
    </row>
    <row r="81" ht="14.25" customHeight="1">
      <c r="A81" s="250"/>
      <c r="B81" s="250"/>
      <c r="C81" s="250"/>
      <c r="D81" s="250"/>
      <c r="E81" s="250"/>
      <c r="F81" s="250"/>
      <c r="G81" s="250"/>
      <c r="H81" s="250"/>
      <c r="I81" s="250"/>
      <c r="J81" s="250"/>
      <c r="K81" s="250"/>
      <c r="L81" s="250"/>
      <c r="M81" s="250"/>
      <c r="N81" s="250"/>
      <c r="O81" s="250"/>
      <c r="P81" s="250"/>
      <c r="Q81" s="250"/>
      <c r="R81" s="250"/>
      <c r="S81" s="250"/>
      <c r="T81" s="250"/>
      <c r="U81" s="250"/>
      <c r="V81" s="250"/>
      <c r="W81" s="250"/>
      <c r="X81" s="250"/>
      <c r="Y81" s="250"/>
      <c r="Z81" s="250"/>
    </row>
    <row r="82" ht="14.25" customHeight="1">
      <c r="A82" s="250"/>
      <c r="B82" s="250"/>
      <c r="C82" s="250"/>
      <c r="D82" s="250"/>
      <c r="E82" s="250"/>
      <c r="F82" s="250"/>
      <c r="G82" s="250"/>
      <c r="H82" s="250"/>
      <c r="I82" s="250"/>
      <c r="J82" s="250"/>
      <c r="K82" s="250"/>
      <c r="L82" s="250"/>
      <c r="M82" s="250"/>
      <c r="N82" s="250"/>
      <c r="O82" s="250"/>
      <c r="P82" s="250"/>
      <c r="Q82" s="250"/>
      <c r="R82" s="250"/>
      <c r="S82" s="250"/>
      <c r="T82" s="250"/>
      <c r="U82" s="250"/>
      <c r="V82" s="250"/>
      <c r="W82" s="250"/>
      <c r="X82" s="250"/>
      <c r="Y82" s="250"/>
      <c r="Z82" s="250"/>
    </row>
    <row r="83" ht="14.25" customHeight="1">
      <c r="A83" s="250"/>
      <c r="B83" s="250"/>
      <c r="C83" s="250"/>
      <c r="D83" s="250"/>
      <c r="E83" s="250"/>
      <c r="F83" s="250"/>
      <c r="G83" s="250"/>
      <c r="H83" s="250"/>
      <c r="I83" s="250"/>
      <c r="J83" s="250"/>
      <c r="K83" s="250"/>
      <c r="L83" s="250"/>
      <c r="M83" s="250"/>
      <c r="N83" s="250"/>
      <c r="O83" s="250"/>
      <c r="P83" s="250"/>
      <c r="Q83" s="250"/>
      <c r="R83" s="250"/>
      <c r="S83" s="250"/>
      <c r="T83" s="250"/>
      <c r="U83" s="250"/>
      <c r="V83" s="250"/>
      <c r="W83" s="250"/>
      <c r="X83" s="250"/>
      <c r="Y83" s="250"/>
      <c r="Z83" s="250"/>
    </row>
    <row r="84" ht="14.25" customHeight="1">
      <c r="A84" s="250"/>
      <c r="B84" s="250"/>
      <c r="C84" s="250"/>
      <c r="D84" s="250"/>
      <c r="E84" s="250"/>
      <c r="F84" s="250"/>
      <c r="G84" s="250"/>
      <c r="H84" s="250"/>
      <c r="I84" s="250"/>
      <c r="J84" s="250"/>
      <c r="K84" s="250"/>
      <c r="L84" s="250"/>
      <c r="M84" s="250"/>
      <c r="N84" s="250"/>
      <c r="O84" s="250"/>
      <c r="P84" s="250"/>
      <c r="Q84" s="250"/>
      <c r="R84" s="250"/>
      <c r="S84" s="250"/>
      <c r="T84" s="250"/>
      <c r="U84" s="250"/>
      <c r="V84" s="250"/>
      <c r="W84" s="250"/>
      <c r="X84" s="250"/>
      <c r="Y84" s="250"/>
      <c r="Z84" s="250"/>
    </row>
    <row r="85" ht="14.25" customHeight="1">
      <c r="A85" s="250"/>
      <c r="B85" s="250"/>
      <c r="C85" s="250"/>
      <c r="D85" s="250"/>
      <c r="E85" s="250"/>
      <c r="F85" s="250"/>
      <c r="G85" s="250"/>
      <c r="H85" s="250"/>
      <c r="I85" s="250"/>
      <c r="J85" s="250"/>
      <c r="K85" s="250"/>
      <c r="L85" s="250"/>
      <c r="M85" s="250"/>
      <c r="N85" s="250"/>
      <c r="O85" s="250"/>
      <c r="P85" s="250"/>
      <c r="Q85" s="250"/>
      <c r="R85" s="250"/>
      <c r="S85" s="250"/>
      <c r="T85" s="250"/>
      <c r="U85" s="250"/>
      <c r="V85" s="250"/>
      <c r="W85" s="250"/>
      <c r="X85" s="250"/>
      <c r="Y85" s="250"/>
      <c r="Z85" s="250"/>
    </row>
    <row r="86" ht="14.25" customHeight="1">
      <c r="A86" s="250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0"/>
      <c r="X86" s="250"/>
      <c r="Y86" s="250"/>
      <c r="Z86" s="250"/>
    </row>
    <row r="87" ht="14.25" customHeight="1">
      <c r="A87" s="250"/>
      <c r="B87" s="250"/>
      <c r="C87" s="250"/>
      <c r="D87" s="250"/>
      <c r="E87" s="250"/>
      <c r="F87" s="250"/>
      <c r="G87" s="250"/>
      <c r="H87" s="250"/>
      <c r="I87" s="250"/>
      <c r="J87" s="250"/>
      <c r="K87" s="250"/>
      <c r="L87" s="250"/>
      <c r="M87" s="250"/>
      <c r="N87" s="250"/>
      <c r="O87" s="250"/>
      <c r="P87" s="250"/>
      <c r="Q87" s="250"/>
      <c r="R87" s="250"/>
      <c r="S87" s="250"/>
      <c r="T87" s="250"/>
      <c r="U87" s="250"/>
      <c r="V87" s="250"/>
      <c r="W87" s="250"/>
      <c r="X87" s="250"/>
      <c r="Y87" s="250"/>
      <c r="Z87" s="250"/>
    </row>
    <row r="88" ht="14.25" customHeight="1">
      <c r="A88" s="250"/>
      <c r="B88" s="250"/>
      <c r="C88" s="250"/>
      <c r="D88" s="250"/>
      <c r="E88" s="250"/>
      <c r="F88" s="250"/>
      <c r="G88" s="250"/>
      <c r="H88" s="250"/>
      <c r="I88" s="250"/>
      <c r="J88" s="250"/>
      <c r="K88" s="250"/>
      <c r="L88" s="250"/>
      <c r="M88" s="250"/>
      <c r="N88" s="250"/>
      <c r="O88" s="250"/>
      <c r="P88" s="250"/>
      <c r="Q88" s="250"/>
      <c r="R88" s="250"/>
      <c r="S88" s="250"/>
      <c r="T88" s="250"/>
      <c r="U88" s="250"/>
      <c r="V88" s="250"/>
      <c r="W88" s="250"/>
      <c r="X88" s="250"/>
      <c r="Y88" s="250"/>
      <c r="Z88" s="250"/>
    </row>
    <row r="89" ht="14.25" customHeight="1">
      <c r="A89" s="250"/>
      <c r="B89" s="250"/>
      <c r="C89" s="250"/>
      <c r="D89" s="250"/>
      <c r="E89" s="250"/>
      <c r="F89" s="250"/>
      <c r="G89" s="250"/>
      <c r="H89" s="250"/>
      <c r="I89" s="250"/>
      <c r="J89" s="250"/>
      <c r="K89" s="250"/>
      <c r="L89" s="250"/>
      <c r="M89" s="250"/>
      <c r="N89" s="250"/>
      <c r="O89" s="250"/>
      <c r="P89" s="250"/>
      <c r="Q89" s="250"/>
      <c r="R89" s="250"/>
      <c r="S89" s="250"/>
      <c r="T89" s="250"/>
      <c r="U89" s="250"/>
      <c r="V89" s="250"/>
      <c r="W89" s="250"/>
      <c r="X89" s="250"/>
      <c r="Y89" s="250"/>
      <c r="Z89" s="250"/>
    </row>
    <row r="90" ht="14.25" customHeight="1">
      <c r="A90" s="250"/>
      <c r="B90" s="250"/>
      <c r="C90" s="250"/>
      <c r="D90" s="250"/>
      <c r="E90" s="250"/>
      <c r="F90" s="250"/>
      <c r="G90" s="250"/>
      <c r="H90" s="250"/>
      <c r="I90" s="250"/>
      <c r="J90" s="250"/>
      <c r="K90" s="250"/>
      <c r="L90" s="250"/>
      <c r="M90" s="250"/>
      <c r="N90" s="250"/>
      <c r="O90" s="250"/>
      <c r="P90" s="250"/>
      <c r="Q90" s="250"/>
      <c r="R90" s="250"/>
      <c r="S90" s="250"/>
      <c r="T90" s="250"/>
      <c r="U90" s="250"/>
      <c r="V90" s="250"/>
      <c r="W90" s="250"/>
      <c r="X90" s="250"/>
      <c r="Y90" s="250"/>
      <c r="Z90" s="250"/>
    </row>
    <row r="91" ht="14.25" customHeight="1">
      <c r="A91" s="250"/>
      <c r="B91" s="250"/>
      <c r="C91" s="250"/>
      <c r="D91" s="250"/>
      <c r="E91" s="250"/>
      <c r="F91" s="250"/>
      <c r="G91" s="250"/>
      <c r="H91" s="250"/>
      <c r="I91" s="250"/>
      <c r="J91" s="250"/>
      <c r="K91" s="250"/>
      <c r="L91" s="250"/>
      <c r="M91" s="250"/>
      <c r="N91" s="250"/>
      <c r="O91" s="250"/>
      <c r="P91" s="250"/>
      <c r="Q91" s="250"/>
      <c r="R91" s="250"/>
      <c r="S91" s="250"/>
      <c r="T91" s="250"/>
      <c r="U91" s="250"/>
      <c r="V91" s="250"/>
      <c r="W91" s="250"/>
      <c r="X91" s="250"/>
      <c r="Y91" s="250"/>
      <c r="Z91" s="250"/>
    </row>
    <row r="92" ht="14.25" customHeight="1">
      <c r="A92" s="250"/>
      <c r="B92" s="250"/>
      <c r="C92" s="250"/>
      <c r="D92" s="250"/>
      <c r="E92" s="250"/>
      <c r="F92" s="250"/>
      <c r="G92" s="250"/>
      <c r="H92" s="250"/>
      <c r="I92" s="250"/>
      <c r="J92" s="250"/>
      <c r="K92" s="250"/>
      <c r="L92" s="250"/>
      <c r="M92" s="250"/>
      <c r="N92" s="250"/>
      <c r="O92" s="250"/>
      <c r="P92" s="250"/>
      <c r="Q92" s="250"/>
      <c r="R92" s="250"/>
      <c r="S92" s="250"/>
      <c r="T92" s="250"/>
      <c r="U92" s="250"/>
      <c r="V92" s="250"/>
      <c r="W92" s="250"/>
      <c r="X92" s="250"/>
      <c r="Y92" s="250"/>
      <c r="Z92" s="250"/>
    </row>
    <row r="93" ht="14.25" customHeight="1">
      <c r="A93" s="250"/>
      <c r="B93" s="250"/>
      <c r="C93" s="250"/>
      <c r="D93" s="250"/>
      <c r="E93" s="250"/>
      <c r="F93" s="250"/>
      <c r="G93" s="250"/>
      <c r="H93" s="250"/>
      <c r="I93" s="250"/>
      <c r="J93" s="250"/>
      <c r="K93" s="250"/>
      <c r="L93" s="250"/>
      <c r="M93" s="250"/>
      <c r="N93" s="250"/>
      <c r="O93" s="250"/>
      <c r="P93" s="250"/>
      <c r="Q93" s="250"/>
      <c r="R93" s="250"/>
      <c r="S93" s="250"/>
      <c r="T93" s="250"/>
      <c r="U93" s="250"/>
      <c r="V93" s="250"/>
      <c r="W93" s="250"/>
      <c r="X93" s="250"/>
      <c r="Y93" s="250"/>
      <c r="Z93" s="250"/>
    </row>
    <row r="94" ht="14.25" customHeight="1">
      <c r="A94" s="250"/>
      <c r="B94" s="250"/>
      <c r="C94" s="250"/>
      <c r="D94" s="250"/>
      <c r="E94" s="250"/>
      <c r="F94" s="250"/>
      <c r="G94" s="250"/>
      <c r="H94" s="250"/>
      <c r="I94" s="250"/>
      <c r="J94" s="250"/>
      <c r="K94" s="250"/>
      <c r="L94" s="250"/>
      <c r="M94" s="250"/>
      <c r="N94" s="250"/>
      <c r="O94" s="250"/>
      <c r="P94" s="250"/>
      <c r="Q94" s="250"/>
      <c r="R94" s="250"/>
      <c r="S94" s="250"/>
      <c r="T94" s="250"/>
      <c r="U94" s="250"/>
      <c r="V94" s="250"/>
      <c r="W94" s="250"/>
      <c r="X94" s="250"/>
      <c r="Y94" s="250"/>
      <c r="Z94" s="250"/>
    </row>
    <row r="95" ht="14.25" customHeight="1">
      <c r="A95" s="250"/>
      <c r="B95" s="250"/>
      <c r="C95" s="250"/>
      <c r="D95" s="250"/>
      <c r="E95" s="250"/>
      <c r="F95" s="250"/>
      <c r="G95" s="250"/>
      <c r="H95" s="250"/>
      <c r="I95" s="250"/>
      <c r="J95" s="250"/>
      <c r="K95" s="250"/>
      <c r="L95" s="250"/>
      <c r="M95" s="250"/>
      <c r="N95" s="250"/>
      <c r="O95" s="250"/>
      <c r="P95" s="250"/>
      <c r="Q95" s="250"/>
      <c r="R95" s="250"/>
      <c r="S95" s="250"/>
      <c r="T95" s="250"/>
      <c r="U95" s="250"/>
      <c r="V95" s="250"/>
      <c r="W95" s="250"/>
      <c r="X95" s="250"/>
      <c r="Y95" s="250"/>
      <c r="Z95" s="250"/>
    </row>
    <row r="96" ht="14.25" customHeight="1">
      <c r="A96" s="250"/>
      <c r="B96" s="250"/>
      <c r="C96" s="250"/>
      <c r="D96" s="250"/>
      <c r="E96" s="250"/>
      <c r="F96" s="250"/>
      <c r="G96" s="250"/>
      <c r="H96" s="250"/>
      <c r="I96" s="250"/>
      <c r="J96" s="250"/>
      <c r="K96" s="250"/>
      <c r="L96" s="250"/>
      <c r="M96" s="250"/>
      <c r="N96" s="250"/>
      <c r="O96" s="250"/>
      <c r="P96" s="250"/>
      <c r="Q96" s="250"/>
      <c r="R96" s="250"/>
      <c r="S96" s="250"/>
      <c r="T96" s="250"/>
      <c r="U96" s="250"/>
      <c r="V96" s="250"/>
      <c r="W96" s="250"/>
      <c r="X96" s="250"/>
      <c r="Y96" s="250"/>
      <c r="Z96" s="250"/>
    </row>
    <row r="97" ht="14.25" customHeight="1">
      <c r="A97" s="250"/>
      <c r="B97" s="250"/>
      <c r="C97" s="250"/>
      <c r="D97" s="250"/>
      <c r="E97" s="250"/>
      <c r="F97" s="250"/>
      <c r="G97" s="250"/>
      <c r="H97" s="250"/>
      <c r="I97" s="250"/>
      <c r="J97" s="250"/>
      <c r="K97" s="250"/>
      <c r="L97" s="250"/>
      <c r="M97" s="250"/>
      <c r="N97" s="250"/>
      <c r="O97" s="250"/>
      <c r="P97" s="250"/>
      <c r="Q97" s="250"/>
      <c r="R97" s="250"/>
      <c r="S97" s="250"/>
      <c r="T97" s="250"/>
      <c r="U97" s="250"/>
      <c r="V97" s="250"/>
      <c r="W97" s="250"/>
      <c r="X97" s="250"/>
      <c r="Y97" s="250"/>
      <c r="Z97" s="250"/>
    </row>
    <row r="98" ht="14.25" customHeight="1">
      <c r="A98" s="250"/>
      <c r="B98" s="250"/>
      <c r="C98" s="250"/>
      <c r="D98" s="250"/>
      <c r="E98" s="250"/>
      <c r="F98" s="250"/>
      <c r="G98" s="250"/>
      <c r="H98" s="250"/>
      <c r="I98" s="250"/>
      <c r="J98" s="250"/>
      <c r="K98" s="250"/>
      <c r="L98" s="250"/>
      <c r="M98" s="250"/>
      <c r="N98" s="250"/>
      <c r="O98" s="250"/>
      <c r="P98" s="250"/>
      <c r="Q98" s="250"/>
      <c r="R98" s="250"/>
      <c r="S98" s="250"/>
      <c r="T98" s="250"/>
      <c r="U98" s="250"/>
      <c r="V98" s="250"/>
      <c r="W98" s="250"/>
      <c r="X98" s="250"/>
      <c r="Y98" s="250"/>
      <c r="Z98" s="250"/>
    </row>
    <row r="99" ht="14.25" customHeight="1">
      <c r="A99" s="250"/>
      <c r="B99" s="250"/>
      <c r="C99" s="250"/>
      <c r="D99" s="250"/>
      <c r="E99" s="250"/>
      <c r="F99" s="250"/>
      <c r="G99" s="250"/>
      <c r="H99" s="250"/>
      <c r="I99" s="250"/>
      <c r="J99" s="250"/>
      <c r="K99" s="250"/>
      <c r="L99" s="250"/>
      <c r="M99" s="250"/>
      <c r="N99" s="250"/>
      <c r="O99" s="250"/>
      <c r="P99" s="250"/>
      <c r="Q99" s="250"/>
      <c r="R99" s="250"/>
      <c r="S99" s="250"/>
      <c r="T99" s="250"/>
      <c r="U99" s="250"/>
      <c r="V99" s="250"/>
      <c r="W99" s="250"/>
      <c r="X99" s="250"/>
      <c r="Y99" s="250"/>
      <c r="Z99" s="250"/>
    </row>
    <row r="100" ht="14.25" customHeight="1">
      <c r="A100" s="250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0"/>
      <c r="X100" s="250"/>
      <c r="Y100" s="250"/>
      <c r="Z100" s="250"/>
    </row>
    <row r="101" ht="14.25" customHeight="1">
      <c r="A101" s="250"/>
      <c r="B101" s="250"/>
      <c r="C101" s="250"/>
      <c r="D101" s="250"/>
      <c r="E101" s="250"/>
      <c r="F101" s="250"/>
      <c r="G101" s="250"/>
      <c r="H101" s="250"/>
      <c r="I101" s="250"/>
      <c r="J101" s="250"/>
      <c r="K101" s="250"/>
      <c r="L101" s="250"/>
      <c r="M101" s="250"/>
      <c r="N101" s="250"/>
      <c r="O101" s="250"/>
      <c r="P101" s="250"/>
      <c r="Q101" s="250"/>
      <c r="R101" s="250"/>
      <c r="S101" s="250"/>
      <c r="T101" s="250"/>
      <c r="U101" s="250"/>
      <c r="V101" s="250"/>
      <c r="W101" s="250"/>
      <c r="X101" s="250"/>
      <c r="Y101" s="250"/>
      <c r="Z101" s="250"/>
    </row>
    <row r="102" ht="14.25" customHeight="1">
      <c r="A102" s="250"/>
      <c r="B102" s="250"/>
      <c r="C102" s="250"/>
      <c r="D102" s="250"/>
      <c r="E102" s="250"/>
      <c r="F102" s="250"/>
      <c r="G102" s="250"/>
      <c r="H102" s="250"/>
      <c r="I102" s="250"/>
      <c r="J102" s="250"/>
      <c r="K102" s="250"/>
      <c r="L102" s="250"/>
      <c r="M102" s="250"/>
      <c r="N102" s="250"/>
      <c r="O102" s="250"/>
      <c r="P102" s="250"/>
      <c r="Q102" s="250"/>
      <c r="R102" s="250"/>
      <c r="S102" s="250"/>
      <c r="T102" s="250"/>
      <c r="U102" s="250"/>
      <c r="V102" s="250"/>
      <c r="W102" s="250"/>
      <c r="X102" s="250"/>
      <c r="Y102" s="250"/>
      <c r="Z102" s="250"/>
    </row>
    <row r="103" ht="14.25" customHeight="1">
      <c r="A103" s="250"/>
      <c r="B103" s="250"/>
      <c r="C103" s="250"/>
      <c r="D103" s="250"/>
      <c r="E103" s="250"/>
      <c r="F103" s="250"/>
      <c r="G103" s="250"/>
      <c r="H103" s="250"/>
      <c r="I103" s="250"/>
      <c r="J103" s="250"/>
      <c r="K103" s="250"/>
      <c r="L103" s="250"/>
      <c r="M103" s="250"/>
      <c r="N103" s="250"/>
      <c r="O103" s="250"/>
      <c r="P103" s="250"/>
      <c r="Q103" s="250"/>
      <c r="R103" s="250"/>
      <c r="S103" s="250"/>
      <c r="T103" s="250"/>
      <c r="U103" s="250"/>
      <c r="V103" s="250"/>
      <c r="W103" s="250"/>
      <c r="X103" s="250"/>
      <c r="Y103" s="250"/>
      <c r="Z103" s="250"/>
    </row>
    <row r="104" ht="14.25" customHeight="1">
      <c r="A104" s="250"/>
      <c r="B104" s="250"/>
      <c r="C104" s="250"/>
      <c r="D104" s="250"/>
      <c r="E104" s="250"/>
      <c r="F104" s="250"/>
      <c r="G104" s="250"/>
      <c r="H104" s="250"/>
      <c r="I104" s="250"/>
      <c r="J104" s="250"/>
      <c r="K104" s="250"/>
      <c r="L104" s="250"/>
      <c r="M104" s="250"/>
      <c r="N104" s="250"/>
      <c r="O104" s="250"/>
      <c r="P104" s="250"/>
      <c r="Q104" s="250"/>
      <c r="R104" s="250"/>
      <c r="S104" s="250"/>
      <c r="T104" s="250"/>
      <c r="U104" s="250"/>
      <c r="V104" s="250"/>
      <c r="W104" s="250"/>
      <c r="X104" s="250"/>
      <c r="Y104" s="250"/>
      <c r="Z104" s="250"/>
    </row>
    <row r="105" ht="14.25" customHeight="1">
      <c r="A105" s="250"/>
      <c r="B105" s="250"/>
      <c r="C105" s="250"/>
      <c r="D105" s="250"/>
      <c r="E105" s="250"/>
      <c r="F105" s="250"/>
      <c r="G105" s="250"/>
      <c r="H105" s="250"/>
      <c r="I105" s="250"/>
      <c r="J105" s="250"/>
      <c r="K105" s="250"/>
      <c r="L105" s="250"/>
      <c r="M105" s="250"/>
      <c r="N105" s="250"/>
      <c r="O105" s="250"/>
      <c r="P105" s="250"/>
      <c r="Q105" s="250"/>
      <c r="R105" s="250"/>
      <c r="S105" s="250"/>
      <c r="T105" s="250"/>
      <c r="U105" s="250"/>
      <c r="V105" s="250"/>
      <c r="W105" s="250"/>
      <c r="X105" s="250"/>
      <c r="Y105" s="250"/>
      <c r="Z105" s="250"/>
    </row>
    <row r="106" ht="14.25" customHeight="1">
      <c r="A106" s="250"/>
      <c r="B106" s="250"/>
      <c r="C106" s="250"/>
      <c r="D106" s="250"/>
      <c r="E106" s="250"/>
      <c r="F106" s="250"/>
      <c r="G106" s="250"/>
      <c r="H106" s="250"/>
      <c r="I106" s="250"/>
      <c r="J106" s="250"/>
      <c r="K106" s="250"/>
      <c r="L106" s="250"/>
      <c r="M106" s="250"/>
      <c r="N106" s="250"/>
      <c r="O106" s="250"/>
      <c r="P106" s="250"/>
      <c r="Q106" s="250"/>
      <c r="R106" s="250"/>
      <c r="S106" s="250"/>
      <c r="T106" s="250"/>
      <c r="U106" s="250"/>
      <c r="V106" s="250"/>
      <c r="W106" s="250"/>
      <c r="X106" s="250"/>
      <c r="Y106" s="250"/>
      <c r="Z106" s="250"/>
    </row>
    <row r="107" ht="14.25" customHeight="1">
      <c r="A107" s="250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50"/>
      <c r="O107" s="250"/>
      <c r="P107" s="250"/>
      <c r="Q107" s="250"/>
      <c r="R107" s="250"/>
      <c r="S107" s="250"/>
      <c r="T107" s="250"/>
      <c r="U107" s="250"/>
      <c r="V107" s="250"/>
      <c r="W107" s="250"/>
      <c r="X107" s="250"/>
      <c r="Y107" s="250"/>
      <c r="Z107" s="250"/>
    </row>
    <row r="108" ht="14.25" customHeight="1">
      <c r="A108" s="250"/>
      <c r="B108" s="250"/>
      <c r="C108" s="250"/>
      <c r="D108" s="250"/>
      <c r="E108" s="250"/>
      <c r="F108" s="250"/>
      <c r="G108" s="250"/>
      <c r="H108" s="250"/>
      <c r="I108" s="250"/>
      <c r="J108" s="250"/>
      <c r="K108" s="250"/>
      <c r="L108" s="250"/>
      <c r="M108" s="250"/>
      <c r="N108" s="250"/>
      <c r="O108" s="250"/>
      <c r="P108" s="250"/>
      <c r="Q108" s="250"/>
      <c r="R108" s="250"/>
      <c r="S108" s="250"/>
      <c r="T108" s="250"/>
      <c r="U108" s="250"/>
      <c r="V108" s="250"/>
      <c r="W108" s="250"/>
      <c r="X108" s="250"/>
      <c r="Y108" s="250"/>
      <c r="Z108" s="250"/>
    </row>
    <row r="109" ht="14.25" customHeight="1">
      <c r="A109" s="250"/>
      <c r="B109" s="250"/>
      <c r="C109" s="250"/>
      <c r="D109" s="250"/>
      <c r="E109" s="250"/>
      <c r="F109" s="250"/>
      <c r="G109" s="250"/>
      <c r="H109" s="250"/>
      <c r="I109" s="250"/>
      <c r="J109" s="250"/>
      <c r="K109" s="250"/>
      <c r="L109" s="250"/>
      <c r="M109" s="250"/>
      <c r="N109" s="250"/>
      <c r="O109" s="250"/>
      <c r="P109" s="250"/>
      <c r="Q109" s="250"/>
      <c r="R109" s="250"/>
      <c r="S109" s="250"/>
      <c r="T109" s="250"/>
      <c r="U109" s="250"/>
      <c r="V109" s="250"/>
      <c r="W109" s="250"/>
      <c r="X109" s="250"/>
      <c r="Y109" s="250"/>
      <c r="Z109" s="250"/>
    </row>
    <row r="110" ht="14.25" customHeight="1">
      <c r="A110" s="250"/>
      <c r="B110" s="250"/>
      <c r="C110" s="250"/>
      <c r="D110" s="250"/>
      <c r="E110" s="250"/>
      <c r="F110" s="250"/>
      <c r="G110" s="250"/>
      <c r="H110" s="250"/>
      <c r="I110" s="250"/>
      <c r="J110" s="250"/>
      <c r="K110" s="250"/>
      <c r="L110" s="250"/>
      <c r="M110" s="250"/>
      <c r="N110" s="250"/>
      <c r="O110" s="250"/>
      <c r="P110" s="250"/>
      <c r="Q110" s="250"/>
      <c r="R110" s="250"/>
      <c r="S110" s="250"/>
      <c r="T110" s="250"/>
      <c r="U110" s="250"/>
      <c r="V110" s="250"/>
      <c r="W110" s="250"/>
      <c r="X110" s="250"/>
      <c r="Y110" s="250"/>
      <c r="Z110" s="250"/>
    </row>
    <row r="111" ht="14.25" customHeight="1">
      <c r="A111" s="250"/>
      <c r="B111" s="250"/>
      <c r="C111" s="250"/>
      <c r="D111" s="250"/>
      <c r="E111" s="250"/>
      <c r="F111" s="250"/>
      <c r="G111" s="250"/>
      <c r="H111" s="250"/>
      <c r="I111" s="250"/>
      <c r="J111" s="250"/>
      <c r="K111" s="250"/>
      <c r="L111" s="250"/>
      <c r="M111" s="250"/>
      <c r="N111" s="250"/>
      <c r="O111" s="250"/>
      <c r="P111" s="250"/>
      <c r="Q111" s="250"/>
      <c r="R111" s="250"/>
      <c r="S111" s="250"/>
      <c r="T111" s="250"/>
      <c r="U111" s="250"/>
      <c r="V111" s="250"/>
      <c r="W111" s="250"/>
      <c r="X111" s="250"/>
      <c r="Y111" s="250"/>
      <c r="Z111" s="250"/>
    </row>
    <row r="112" ht="14.25" customHeight="1">
      <c r="A112" s="250"/>
      <c r="B112" s="250"/>
      <c r="C112" s="250"/>
      <c r="D112" s="250"/>
      <c r="E112" s="250"/>
      <c r="F112" s="250"/>
      <c r="G112" s="250"/>
      <c r="H112" s="250"/>
      <c r="I112" s="250"/>
      <c r="J112" s="250"/>
      <c r="K112" s="250"/>
      <c r="L112" s="250"/>
      <c r="M112" s="250"/>
      <c r="N112" s="250"/>
      <c r="O112" s="250"/>
      <c r="P112" s="250"/>
      <c r="Q112" s="250"/>
      <c r="R112" s="250"/>
      <c r="S112" s="250"/>
      <c r="T112" s="250"/>
      <c r="U112" s="250"/>
      <c r="V112" s="250"/>
      <c r="W112" s="250"/>
      <c r="X112" s="250"/>
      <c r="Y112" s="250"/>
      <c r="Z112" s="250"/>
    </row>
    <row r="113" ht="14.25" customHeight="1">
      <c r="A113" s="250"/>
      <c r="B113" s="250"/>
      <c r="C113" s="250"/>
      <c r="D113" s="250"/>
      <c r="E113" s="250"/>
      <c r="F113" s="250"/>
      <c r="G113" s="250"/>
      <c r="H113" s="250"/>
      <c r="I113" s="250"/>
      <c r="J113" s="250"/>
      <c r="K113" s="250"/>
      <c r="L113" s="250"/>
      <c r="M113" s="250"/>
      <c r="N113" s="250"/>
      <c r="O113" s="250"/>
      <c r="P113" s="250"/>
      <c r="Q113" s="250"/>
      <c r="R113" s="250"/>
      <c r="S113" s="250"/>
      <c r="T113" s="250"/>
      <c r="U113" s="250"/>
      <c r="V113" s="250"/>
      <c r="W113" s="250"/>
      <c r="X113" s="250"/>
      <c r="Y113" s="250"/>
      <c r="Z113" s="250"/>
    </row>
    <row r="114" ht="14.25" customHeight="1">
      <c r="A114" s="250"/>
      <c r="B114" s="250"/>
      <c r="C114" s="250"/>
      <c r="D114" s="250"/>
      <c r="E114" s="250"/>
      <c r="F114" s="250"/>
      <c r="G114" s="250"/>
      <c r="H114" s="250"/>
      <c r="I114" s="250"/>
      <c r="J114" s="250"/>
      <c r="K114" s="250"/>
      <c r="L114" s="250"/>
      <c r="M114" s="250"/>
      <c r="N114" s="250"/>
      <c r="O114" s="250"/>
      <c r="P114" s="250"/>
      <c r="Q114" s="250"/>
      <c r="R114" s="250"/>
      <c r="S114" s="250"/>
      <c r="T114" s="250"/>
      <c r="U114" s="250"/>
      <c r="V114" s="250"/>
      <c r="W114" s="250"/>
      <c r="X114" s="250"/>
      <c r="Y114" s="250"/>
      <c r="Z114" s="250"/>
    </row>
    <row r="115" ht="14.25" customHeight="1">
      <c r="A115" s="250"/>
      <c r="B115" s="250"/>
      <c r="C115" s="250"/>
      <c r="D115" s="250"/>
      <c r="E115" s="250"/>
      <c r="F115" s="250"/>
      <c r="G115" s="250"/>
      <c r="H115" s="250"/>
      <c r="I115" s="250"/>
      <c r="J115" s="250"/>
      <c r="K115" s="250"/>
      <c r="L115" s="250"/>
      <c r="M115" s="250"/>
      <c r="N115" s="250"/>
      <c r="O115" s="250"/>
      <c r="P115" s="250"/>
      <c r="Q115" s="250"/>
      <c r="R115" s="250"/>
      <c r="S115" s="250"/>
      <c r="T115" s="250"/>
      <c r="U115" s="250"/>
      <c r="V115" s="250"/>
      <c r="W115" s="250"/>
      <c r="X115" s="250"/>
      <c r="Y115" s="250"/>
      <c r="Z115" s="250"/>
    </row>
    <row r="116" ht="14.25" customHeight="1">
      <c r="A116" s="250"/>
      <c r="B116" s="250"/>
      <c r="C116" s="250"/>
      <c r="D116" s="250"/>
      <c r="E116" s="250"/>
      <c r="F116" s="250"/>
      <c r="G116" s="250"/>
      <c r="H116" s="250"/>
      <c r="I116" s="250"/>
      <c r="J116" s="250"/>
      <c r="K116" s="250"/>
      <c r="L116" s="250"/>
      <c r="M116" s="250"/>
      <c r="N116" s="250"/>
      <c r="O116" s="250"/>
      <c r="P116" s="250"/>
      <c r="Q116" s="250"/>
      <c r="R116" s="250"/>
      <c r="S116" s="250"/>
      <c r="T116" s="250"/>
      <c r="U116" s="250"/>
      <c r="V116" s="250"/>
      <c r="W116" s="250"/>
      <c r="X116" s="250"/>
      <c r="Y116" s="250"/>
      <c r="Z116" s="250"/>
    </row>
    <row r="117" ht="14.25" customHeight="1">
      <c r="A117" s="250"/>
      <c r="B117" s="250"/>
      <c r="C117" s="250"/>
      <c r="D117" s="250"/>
      <c r="E117" s="250"/>
      <c r="F117" s="250"/>
      <c r="G117" s="250"/>
      <c r="H117" s="250"/>
      <c r="I117" s="250"/>
      <c r="J117" s="250"/>
      <c r="K117" s="250"/>
      <c r="L117" s="250"/>
      <c r="M117" s="250"/>
      <c r="N117" s="250"/>
      <c r="O117" s="250"/>
      <c r="P117" s="250"/>
      <c r="Q117" s="250"/>
      <c r="R117" s="250"/>
      <c r="S117" s="250"/>
      <c r="T117" s="250"/>
      <c r="U117" s="250"/>
      <c r="V117" s="250"/>
      <c r="W117" s="250"/>
      <c r="X117" s="250"/>
      <c r="Y117" s="250"/>
      <c r="Z117" s="250"/>
    </row>
    <row r="118" ht="14.25" customHeight="1">
      <c r="A118" s="250"/>
      <c r="B118" s="250"/>
      <c r="C118" s="250"/>
      <c r="D118" s="250"/>
      <c r="E118" s="250"/>
      <c r="F118" s="250"/>
      <c r="G118" s="250"/>
      <c r="H118" s="250"/>
      <c r="I118" s="250"/>
      <c r="J118" s="250"/>
      <c r="K118" s="250"/>
      <c r="L118" s="250"/>
      <c r="M118" s="250"/>
      <c r="N118" s="250"/>
      <c r="O118" s="250"/>
      <c r="P118" s="250"/>
      <c r="Q118" s="250"/>
      <c r="R118" s="250"/>
      <c r="S118" s="250"/>
      <c r="T118" s="250"/>
      <c r="U118" s="250"/>
      <c r="V118" s="250"/>
      <c r="W118" s="250"/>
      <c r="X118" s="250"/>
      <c r="Y118" s="250"/>
      <c r="Z118" s="250"/>
    </row>
    <row r="119" ht="14.25" customHeight="1">
      <c r="A119" s="250"/>
      <c r="B119" s="250"/>
      <c r="C119" s="250"/>
      <c r="D119" s="250"/>
      <c r="E119" s="250"/>
      <c r="F119" s="250"/>
      <c r="G119" s="250"/>
      <c r="H119" s="250"/>
      <c r="I119" s="250"/>
      <c r="J119" s="250"/>
      <c r="K119" s="250"/>
      <c r="L119" s="250"/>
      <c r="M119" s="250"/>
      <c r="N119" s="250"/>
      <c r="O119" s="250"/>
      <c r="P119" s="250"/>
      <c r="Q119" s="250"/>
      <c r="R119" s="250"/>
      <c r="S119" s="250"/>
      <c r="T119" s="250"/>
      <c r="U119" s="250"/>
      <c r="V119" s="250"/>
      <c r="W119" s="250"/>
      <c r="X119" s="250"/>
      <c r="Y119" s="250"/>
      <c r="Z119" s="250"/>
    </row>
    <row r="120" ht="14.25" customHeight="1">
      <c r="A120" s="250"/>
      <c r="B120" s="250"/>
      <c r="C120" s="250"/>
      <c r="D120" s="250"/>
      <c r="E120" s="250"/>
      <c r="F120" s="250"/>
      <c r="G120" s="250"/>
      <c r="H120" s="250"/>
      <c r="I120" s="250"/>
      <c r="J120" s="250"/>
      <c r="K120" s="250"/>
      <c r="L120" s="250"/>
      <c r="M120" s="250"/>
      <c r="N120" s="250"/>
      <c r="O120" s="250"/>
      <c r="P120" s="250"/>
      <c r="Q120" s="250"/>
      <c r="R120" s="250"/>
      <c r="S120" s="250"/>
      <c r="T120" s="250"/>
      <c r="U120" s="250"/>
      <c r="V120" s="250"/>
      <c r="W120" s="250"/>
      <c r="X120" s="250"/>
      <c r="Y120" s="250"/>
      <c r="Z120" s="250"/>
    </row>
    <row r="121" ht="14.25" customHeight="1">
      <c r="A121" s="250"/>
      <c r="B121" s="250"/>
      <c r="C121" s="250"/>
      <c r="D121" s="250"/>
      <c r="E121" s="250"/>
      <c r="F121" s="250"/>
      <c r="G121" s="250"/>
      <c r="H121" s="250"/>
      <c r="I121" s="250"/>
      <c r="J121" s="250"/>
      <c r="K121" s="250"/>
      <c r="L121" s="250"/>
      <c r="M121" s="250"/>
      <c r="N121" s="250"/>
      <c r="O121" s="250"/>
      <c r="P121" s="250"/>
      <c r="Q121" s="250"/>
      <c r="R121" s="250"/>
      <c r="S121" s="250"/>
      <c r="T121" s="250"/>
      <c r="U121" s="250"/>
      <c r="V121" s="250"/>
      <c r="W121" s="250"/>
      <c r="X121" s="250"/>
      <c r="Y121" s="250"/>
      <c r="Z121" s="250"/>
    </row>
    <row r="122" ht="14.25" customHeight="1">
      <c r="A122" s="250"/>
      <c r="B122" s="250"/>
      <c r="C122" s="250"/>
      <c r="D122" s="250"/>
      <c r="E122" s="250"/>
      <c r="F122" s="250"/>
      <c r="G122" s="250"/>
      <c r="H122" s="250"/>
      <c r="I122" s="250"/>
      <c r="J122" s="250"/>
      <c r="K122" s="250"/>
      <c r="L122" s="250"/>
      <c r="M122" s="250"/>
      <c r="N122" s="250"/>
      <c r="O122" s="250"/>
      <c r="P122" s="250"/>
      <c r="Q122" s="250"/>
      <c r="R122" s="250"/>
      <c r="S122" s="250"/>
      <c r="T122" s="250"/>
      <c r="U122" s="250"/>
      <c r="V122" s="250"/>
      <c r="W122" s="250"/>
      <c r="X122" s="250"/>
      <c r="Y122" s="250"/>
      <c r="Z122" s="250"/>
    </row>
    <row r="123" ht="14.25" customHeight="1">
      <c r="A123" s="250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0"/>
      <c r="X123" s="250"/>
      <c r="Y123" s="250"/>
      <c r="Z123" s="250"/>
    </row>
    <row r="124" ht="14.25" customHeight="1">
      <c r="A124" s="250"/>
      <c r="B124" s="250"/>
      <c r="C124" s="250"/>
      <c r="D124" s="250"/>
      <c r="E124" s="250"/>
      <c r="F124" s="250"/>
      <c r="G124" s="250"/>
      <c r="H124" s="250"/>
      <c r="I124" s="250"/>
      <c r="J124" s="250"/>
      <c r="K124" s="250"/>
      <c r="L124" s="250"/>
      <c r="M124" s="250"/>
      <c r="N124" s="250"/>
      <c r="O124" s="250"/>
      <c r="P124" s="250"/>
      <c r="Q124" s="250"/>
      <c r="R124" s="250"/>
      <c r="S124" s="250"/>
      <c r="T124" s="250"/>
      <c r="U124" s="250"/>
      <c r="V124" s="250"/>
      <c r="W124" s="250"/>
      <c r="X124" s="250"/>
      <c r="Y124" s="250"/>
      <c r="Z124" s="250"/>
    </row>
    <row r="125" ht="14.25" customHeight="1">
      <c r="A125" s="250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50"/>
      <c r="M125" s="250"/>
      <c r="N125" s="250"/>
      <c r="O125" s="250"/>
      <c r="P125" s="250"/>
      <c r="Q125" s="250"/>
      <c r="R125" s="250"/>
      <c r="S125" s="250"/>
      <c r="T125" s="250"/>
      <c r="U125" s="250"/>
      <c r="V125" s="250"/>
      <c r="W125" s="250"/>
      <c r="X125" s="250"/>
      <c r="Y125" s="250"/>
      <c r="Z125" s="250"/>
    </row>
    <row r="126" ht="14.25" customHeight="1">
      <c r="A126" s="250"/>
      <c r="B126" s="250"/>
      <c r="C126" s="250"/>
      <c r="D126" s="250"/>
      <c r="E126" s="250"/>
      <c r="F126" s="250"/>
      <c r="G126" s="250"/>
      <c r="H126" s="250"/>
      <c r="I126" s="250"/>
      <c r="J126" s="250"/>
      <c r="K126" s="250"/>
      <c r="L126" s="250"/>
      <c r="M126" s="250"/>
      <c r="N126" s="250"/>
      <c r="O126" s="250"/>
      <c r="P126" s="250"/>
      <c r="Q126" s="250"/>
      <c r="R126" s="250"/>
      <c r="S126" s="250"/>
      <c r="T126" s="250"/>
      <c r="U126" s="250"/>
      <c r="V126" s="250"/>
      <c r="W126" s="250"/>
      <c r="X126" s="250"/>
      <c r="Y126" s="250"/>
      <c r="Z126" s="250"/>
    </row>
    <row r="127" ht="14.25" customHeight="1">
      <c r="A127" s="250"/>
      <c r="B127" s="250"/>
      <c r="C127" s="250"/>
      <c r="D127" s="250"/>
      <c r="E127" s="250"/>
      <c r="F127" s="250"/>
      <c r="G127" s="250"/>
      <c r="H127" s="250"/>
      <c r="I127" s="250"/>
      <c r="J127" s="250"/>
      <c r="K127" s="250"/>
      <c r="L127" s="250"/>
      <c r="M127" s="250"/>
      <c r="N127" s="250"/>
      <c r="O127" s="250"/>
      <c r="P127" s="250"/>
      <c r="Q127" s="250"/>
      <c r="R127" s="250"/>
      <c r="S127" s="250"/>
      <c r="T127" s="250"/>
      <c r="U127" s="250"/>
      <c r="V127" s="250"/>
      <c r="W127" s="250"/>
      <c r="X127" s="250"/>
      <c r="Y127" s="250"/>
      <c r="Z127" s="250"/>
    </row>
    <row r="128" ht="14.25" customHeight="1">
      <c r="A128" s="250"/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  <c r="M128" s="250"/>
      <c r="N128" s="250"/>
      <c r="O128" s="250"/>
      <c r="P128" s="250"/>
      <c r="Q128" s="250"/>
      <c r="R128" s="250"/>
      <c r="S128" s="250"/>
      <c r="T128" s="250"/>
      <c r="U128" s="250"/>
      <c r="V128" s="250"/>
      <c r="W128" s="250"/>
      <c r="X128" s="250"/>
      <c r="Y128" s="250"/>
      <c r="Z128" s="250"/>
    </row>
    <row r="129" ht="14.25" customHeight="1">
      <c r="A129" s="250"/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  <c r="M129" s="250"/>
      <c r="N129" s="250"/>
      <c r="O129" s="250"/>
      <c r="P129" s="250"/>
      <c r="Q129" s="250"/>
      <c r="R129" s="250"/>
      <c r="S129" s="250"/>
      <c r="T129" s="250"/>
      <c r="U129" s="250"/>
      <c r="V129" s="250"/>
      <c r="W129" s="250"/>
      <c r="X129" s="250"/>
      <c r="Y129" s="250"/>
      <c r="Z129" s="250"/>
    </row>
    <row r="130" ht="14.25" customHeight="1">
      <c r="A130" s="250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0"/>
      <c r="X130" s="250"/>
      <c r="Y130" s="250"/>
      <c r="Z130" s="250"/>
    </row>
    <row r="131" ht="14.25" customHeight="1">
      <c r="A131" s="250"/>
      <c r="B131" s="250"/>
      <c r="C131" s="250"/>
      <c r="D131" s="250"/>
      <c r="E131" s="250"/>
      <c r="F131" s="250"/>
      <c r="G131" s="250"/>
      <c r="H131" s="250"/>
      <c r="I131" s="250"/>
      <c r="J131" s="250"/>
      <c r="K131" s="250"/>
      <c r="L131" s="250"/>
      <c r="M131" s="250"/>
      <c r="N131" s="250"/>
      <c r="O131" s="250"/>
      <c r="P131" s="250"/>
      <c r="Q131" s="250"/>
      <c r="R131" s="250"/>
      <c r="S131" s="250"/>
      <c r="T131" s="250"/>
      <c r="U131" s="250"/>
      <c r="V131" s="250"/>
      <c r="W131" s="250"/>
      <c r="X131" s="250"/>
      <c r="Y131" s="250"/>
      <c r="Z131" s="250"/>
    </row>
    <row r="132" ht="14.25" customHeight="1">
      <c r="A132" s="250"/>
      <c r="B132" s="250"/>
      <c r="C132" s="250"/>
      <c r="D132" s="250"/>
      <c r="E132" s="250"/>
      <c r="F132" s="250"/>
      <c r="G132" s="250"/>
      <c r="H132" s="250"/>
      <c r="I132" s="250"/>
      <c r="J132" s="250"/>
      <c r="K132" s="250"/>
      <c r="L132" s="250"/>
      <c r="M132" s="250"/>
      <c r="N132" s="250"/>
      <c r="O132" s="250"/>
      <c r="P132" s="250"/>
      <c r="Q132" s="250"/>
      <c r="R132" s="250"/>
      <c r="S132" s="250"/>
      <c r="T132" s="250"/>
      <c r="U132" s="250"/>
      <c r="V132" s="250"/>
      <c r="W132" s="250"/>
      <c r="X132" s="250"/>
      <c r="Y132" s="250"/>
      <c r="Z132" s="250"/>
    </row>
    <row r="133" ht="14.25" customHeight="1">
      <c r="A133" s="250"/>
      <c r="B133" s="250"/>
      <c r="C133" s="250"/>
      <c r="D133" s="250"/>
      <c r="E133" s="250"/>
      <c r="F133" s="250"/>
      <c r="G133" s="250"/>
      <c r="H133" s="250"/>
      <c r="I133" s="250"/>
      <c r="J133" s="250"/>
      <c r="K133" s="250"/>
      <c r="L133" s="250"/>
      <c r="M133" s="250"/>
      <c r="N133" s="250"/>
      <c r="O133" s="250"/>
      <c r="P133" s="250"/>
      <c r="Q133" s="250"/>
      <c r="R133" s="250"/>
      <c r="S133" s="250"/>
      <c r="T133" s="250"/>
      <c r="U133" s="250"/>
      <c r="V133" s="250"/>
      <c r="W133" s="250"/>
      <c r="X133" s="250"/>
      <c r="Y133" s="250"/>
      <c r="Z133" s="250"/>
    </row>
    <row r="134" ht="14.25" customHeight="1">
      <c r="A134" s="250"/>
      <c r="B134" s="250"/>
      <c r="C134" s="250"/>
      <c r="D134" s="250"/>
      <c r="E134" s="250"/>
      <c r="F134" s="250"/>
      <c r="G134" s="250"/>
      <c r="H134" s="250"/>
      <c r="I134" s="250"/>
      <c r="J134" s="250"/>
      <c r="K134" s="250"/>
      <c r="L134" s="250"/>
      <c r="M134" s="250"/>
      <c r="N134" s="250"/>
      <c r="O134" s="250"/>
      <c r="P134" s="250"/>
      <c r="Q134" s="250"/>
      <c r="R134" s="250"/>
      <c r="S134" s="250"/>
      <c r="T134" s="250"/>
      <c r="U134" s="250"/>
      <c r="V134" s="250"/>
      <c r="W134" s="250"/>
      <c r="X134" s="250"/>
      <c r="Y134" s="250"/>
      <c r="Z134" s="250"/>
    </row>
    <row r="135" ht="14.25" customHeight="1">
      <c r="A135" s="250"/>
      <c r="B135" s="250"/>
      <c r="C135" s="250"/>
      <c r="D135" s="250"/>
      <c r="E135" s="250"/>
      <c r="F135" s="250"/>
      <c r="G135" s="250"/>
      <c r="H135" s="250"/>
      <c r="I135" s="250"/>
      <c r="J135" s="250"/>
      <c r="K135" s="250"/>
      <c r="L135" s="250"/>
      <c r="M135" s="250"/>
      <c r="N135" s="250"/>
      <c r="O135" s="250"/>
      <c r="P135" s="250"/>
      <c r="Q135" s="250"/>
      <c r="R135" s="250"/>
      <c r="S135" s="250"/>
      <c r="T135" s="250"/>
      <c r="U135" s="250"/>
      <c r="V135" s="250"/>
      <c r="W135" s="250"/>
      <c r="X135" s="250"/>
      <c r="Y135" s="250"/>
      <c r="Z135" s="250"/>
    </row>
    <row r="136" ht="14.25" customHeight="1">
      <c r="A136" s="250"/>
      <c r="B136" s="250"/>
      <c r="C136" s="250"/>
      <c r="D136" s="250"/>
      <c r="E136" s="250"/>
      <c r="F136" s="250"/>
      <c r="G136" s="250"/>
      <c r="H136" s="250"/>
      <c r="I136" s="250"/>
      <c r="J136" s="250"/>
      <c r="K136" s="250"/>
      <c r="L136" s="250"/>
      <c r="M136" s="250"/>
      <c r="N136" s="250"/>
      <c r="O136" s="250"/>
      <c r="P136" s="250"/>
      <c r="Q136" s="250"/>
      <c r="R136" s="250"/>
      <c r="S136" s="250"/>
      <c r="T136" s="250"/>
      <c r="U136" s="250"/>
      <c r="V136" s="250"/>
      <c r="W136" s="250"/>
      <c r="X136" s="250"/>
      <c r="Y136" s="250"/>
      <c r="Z136" s="250"/>
    </row>
    <row r="137" ht="14.25" customHeight="1">
      <c r="A137" s="250"/>
      <c r="B137" s="250"/>
      <c r="C137" s="250"/>
      <c r="D137" s="250"/>
      <c r="E137" s="250"/>
      <c r="F137" s="250"/>
      <c r="G137" s="250"/>
      <c r="H137" s="250"/>
      <c r="I137" s="250"/>
      <c r="J137" s="250"/>
      <c r="K137" s="250"/>
      <c r="L137" s="250"/>
      <c r="M137" s="250"/>
      <c r="N137" s="250"/>
      <c r="O137" s="250"/>
      <c r="P137" s="250"/>
      <c r="Q137" s="250"/>
      <c r="R137" s="250"/>
      <c r="S137" s="250"/>
      <c r="T137" s="250"/>
      <c r="U137" s="250"/>
      <c r="V137" s="250"/>
      <c r="W137" s="250"/>
      <c r="X137" s="250"/>
      <c r="Y137" s="250"/>
      <c r="Z137" s="250"/>
    </row>
    <row r="138" ht="14.25" customHeight="1">
      <c r="A138" s="250"/>
      <c r="B138" s="250"/>
      <c r="C138" s="250"/>
      <c r="D138" s="250"/>
      <c r="E138" s="250"/>
      <c r="F138" s="250"/>
      <c r="G138" s="250"/>
      <c r="H138" s="250"/>
      <c r="I138" s="250"/>
      <c r="J138" s="250"/>
      <c r="K138" s="250"/>
      <c r="L138" s="250"/>
      <c r="M138" s="250"/>
      <c r="N138" s="250"/>
      <c r="O138" s="250"/>
      <c r="P138" s="250"/>
      <c r="Q138" s="250"/>
      <c r="R138" s="250"/>
      <c r="S138" s="250"/>
      <c r="T138" s="250"/>
      <c r="U138" s="250"/>
      <c r="V138" s="250"/>
      <c r="W138" s="250"/>
      <c r="X138" s="250"/>
      <c r="Y138" s="250"/>
      <c r="Z138" s="250"/>
    </row>
    <row r="139" ht="14.25" customHeight="1">
      <c r="A139" s="250"/>
      <c r="B139" s="250"/>
      <c r="C139" s="250"/>
      <c r="D139" s="250"/>
      <c r="E139" s="250"/>
      <c r="F139" s="250"/>
      <c r="G139" s="250"/>
      <c r="H139" s="250"/>
      <c r="I139" s="250"/>
      <c r="J139" s="250"/>
      <c r="K139" s="250"/>
      <c r="L139" s="250"/>
      <c r="M139" s="250"/>
      <c r="N139" s="250"/>
      <c r="O139" s="250"/>
      <c r="P139" s="250"/>
      <c r="Q139" s="250"/>
      <c r="R139" s="250"/>
      <c r="S139" s="250"/>
      <c r="T139" s="250"/>
      <c r="U139" s="250"/>
      <c r="V139" s="250"/>
      <c r="W139" s="250"/>
      <c r="X139" s="250"/>
      <c r="Y139" s="250"/>
      <c r="Z139" s="250"/>
    </row>
    <row r="140" ht="14.25" customHeight="1">
      <c r="A140" s="250"/>
      <c r="B140" s="250"/>
      <c r="C140" s="250"/>
      <c r="D140" s="250"/>
      <c r="E140" s="250"/>
      <c r="F140" s="250"/>
      <c r="G140" s="250"/>
      <c r="H140" s="250"/>
      <c r="I140" s="250"/>
      <c r="J140" s="250"/>
      <c r="K140" s="250"/>
      <c r="L140" s="250"/>
      <c r="M140" s="250"/>
      <c r="N140" s="250"/>
      <c r="O140" s="250"/>
      <c r="P140" s="250"/>
      <c r="Q140" s="250"/>
      <c r="R140" s="250"/>
      <c r="S140" s="250"/>
      <c r="T140" s="250"/>
      <c r="U140" s="250"/>
      <c r="V140" s="250"/>
      <c r="W140" s="250"/>
      <c r="X140" s="250"/>
      <c r="Y140" s="250"/>
      <c r="Z140" s="250"/>
    </row>
    <row r="141" ht="14.25" customHeight="1">
      <c r="A141" s="250"/>
      <c r="B141" s="250"/>
      <c r="C141" s="250"/>
      <c r="D141" s="250"/>
      <c r="E141" s="250"/>
      <c r="F141" s="250"/>
      <c r="G141" s="250"/>
      <c r="H141" s="250"/>
      <c r="I141" s="250"/>
      <c r="J141" s="250"/>
      <c r="K141" s="250"/>
      <c r="L141" s="250"/>
      <c r="M141" s="250"/>
      <c r="N141" s="250"/>
      <c r="O141" s="250"/>
      <c r="P141" s="250"/>
      <c r="Q141" s="250"/>
      <c r="R141" s="250"/>
      <c r="S141" s="250"/>
      <c r="T141" s="250"/>
      <c r="U141" s="250"/>
      <c r="V141" s="250"/>
      <c r="W141" s="250"/>
      <c r="X141" s="250"/>
      <c r="Y141" s="250"/>
      <c r="Z141" s="250"/>
    </row>
    <row r="142" ht="14.25" customHeight="1">
      <c r="A142" s="250"/>
      <c r="B142" s="250"/>
      <c r="C142" s="250"/>
      <c r="D142" s="250"/>
      <c r="E142" s="250"/>
      <c r="F142" s="250"/>
      <c r="G142" s="250"/>
      <c r="H142" s="250"/>
      <c r="I142" s="250"/>
      <c r="J142" s="250"/>
      <c r="K142" s="250"/>
      <c r="L142" s="250"/>
      <c r="M142" s="250"/>
      <c r="N142" s="250"/>
      <c r="O142" s="250"/>
      <c r="P142" s="250"/>
      <c r="Q142" s="250"/>
      <c r="R142" s="250"/>
      <c r="S142" s="250"/>
      <c r="T142" s="250"/>
      <c r="U142" s="250"/>
      <c r="V142" s="250"/>
      <c r="W142" s="250"/>
      <c r="X142" s="250"/>
      <c r="Y142" s="250"/>
      <c r="Z142" s="250"/>
    </row>
    <row r="143" ht="14.25" customHeight="1">
      <c r="A143" s="250"/>
      <c r="B143" s="250"/>
      <c r="C143" s="250"/>
      <c r="D143" s="250"/>
      <c r="E143" s="250"/>
      <c r="F143" s="250"/>
      <c r="G143" s="250"/>
      <c r="H143" s="250"/>
      <c r="I143" s="250"/>
      <c r="J143" s="250"/>
      <c r="K143" s="250"/>
      <c r="L143" s="250"/>
      <c r="M143" s="250"/>
      <c r="N143" s="250"/>
      <c r="O143" s="250"/>
      <c r="P143" s="250"/>
      <c r="Q143" s="250"/>
      <c r="R143" s="250"/>
      <c r="S143" s="250"/>
      <c r="T143" s="250"/>
      <c r="U143" s="250"/>
      <c r="V143" s="250"/>
      <c r="W143" s="250"/>
      <c r="X143" s="250"/>
      <c r="Y143" s="250"/>
      <c r="Z143" s="250"/>
    </row>
    <row r="144" ht="14.25" customHeight="1">
      <c r="A144" s="250"/>
      <c r="B144" s="250"/>
      <c r="C144" s="250"/>
      <c r="D144" s="250"/>
      <c r="E144" s="250"/>
      <c r="F144" s="250"/>
      <c r="G144" s="250"/>
      <c r="H144" s="250"/>
      <c r="I144" s="250"/>
      <c r="J144" s="250"/>
      <c r="K144" s="250"/>
      <c r="L144" s="250"/>
      <c r="M144" s="250"/>
      <c r="N144" s="250"/>
      <c r="O144" s="250"/>
      <c r="P144" s="250"/>
      <c r="Q144" s="250"/>
      <c r="R144" s="250"/>
      <c r="S144" s="250"/>
      <c r="T144" s="250"/>
      <c r="U144" s="250"/>
      <c r="V144" s="250"/>
      <c r="W144" s="250"/>
      <c r="X144" s="250"/>
      <c r="Y144" s="250"/>
      <c r="Z144" s="250"/>
    </row>
    <row r="145" ht="14.25" customHeight="1">
      <c r="A145" s="250"/>
      <c r="B145" s="250"/>
      <c r="C145" s="250"/>
      <c r="D145" s="250"/>
      <c r="E145" s="250"/>
      <c r="F145" s="250"/>
      <c r="G145" s="250"/>
      <c r="H145" s="250"/>
      <c r="I145" s="250"/>
      <c r="J145" s="250"/>
      <c r="K145" s="250"/>
      <c r="L145" s="250"/>
      <c r="M145" s="250"/>
      <c r="N145" s="250"/>
      <c r="O145" s="250"/>
      <c r="P145" s="250"/>
      <c r="Q145" s="250"/>
      <c r="R145" s="250"/>
      <c r="S145" s="250"/>
      <c r="T145" s="250"/>
      <c r="U145" s="250"/>
      <c r="V145" s="250"/>
      <c r="W145" s="250"/>
      <c r="X145" s="250"/>
      <c r="Y145" s="250"/>
      <c r="Z145" s="250"/>
    </row>
    <row r="146" ht="14.25" customHeight="1">
      <c r="A146" s="250"/>
      <c r="B146" s="250"/>
      <c r="C146" s="250"/>
      <c r="D146" s="250"/>
      <c r="E146" s="250"/>
      <c r="F146" s="250"/>
      <c r="G146" s="250"/>
      <c r="H146" s="250"/>
      <c r="I146" s="250"/>
      <c r="J146" s="250"/>
      <c r="K146" s="250"/>
      <c r="L146" s="250"/>
      <c r="M146" s="250"/>
      <c r="N146" s="250"/>
      <c r="O146" s="250"/>
      <c r="P146" s="250"/>
      <c r="Q146" s="250"/>
      <c r="R146" s="250"/>
      <c r="S146" s="250"/>
      <c r="T146" s="250"/>
      <c r="U146" s="250"/>
      <c r="V146" s="250"/>
      <c r="W146" s="250"/>
      <c r="X146" s="250"/>
      <c r="Y146" s="250"/>
      <c r="Z146" s="250"/>
    </row>
    <row r="147" ht="14.25" customHeight="1">
      <c r="A147" s="250"/>
      <c r="B147" s="250"/>
      <c r="C147" s="250"/>
      <c r="D147" s="250"/>
      <c r="E147" s="250"/>
      <c r="F147" s="250"/>
      <c r="G147" s="250"/>
      <c r="H147" s="250"/>
      <c r="I147" s="250"/>
      <c r="J147" s="250"/>
      <c r="K147" s="250"/>
      <c r="L147" s="250"/>
      <c r="M147" s="250"/>
      <c r="N147" s="250"/>
      <c r="O147" s="250"/>
      <c r="P147" s="250"/>
      <c r="Q147" s="250"/>
      <c r="R147" s="250"/>
      <c r="S147" s="250"/>
      <c r="T147" s="250"/>
      <c r="U147" s="250"/>
      <c r="V147" s="250"/>
      <c r="W147" s="250"/>
      <c r="X147" s="250"/>
      <c r="Y147" s="250"/>
      <c r="Z147" s="250"/>
    </row>
    <row r="148" ht="14.25" customHeight="1">
      <c r="A148" s="250"/>
      <c r="B148" s="250"/>
      <c r="C148" s="250"/>
      <c r="D148" s="250"/>
      <c r="E148" s="250"/>
      <c r="F148" s="250"/>
      <c r="G148" s="250"/>
      <c r="H148" s="250"/>
      <c r="I148" s="250"/>
      <c r="J148" s="250"/>
      <c r="K148" s="250"/>
      <c r="L148" s="250"/>
      <c r="M148" s="250"/>
      <c r="N148" s="250"/>
      <c r="O148" s="250"/>
      <c r="P148" s="250"/>
      <c r="Q148" s="250"/>
      <c r="R148" s="250"/>
      <c r="S148" s="250"/>
      <c r="T148" s="250"/>
      <c r="U148" s="250"/>
      <c r="V148" s="250"/>
      <c r="W148" s="250"/>
      <c r="X148" s="250"/>
      <c r="Y148" s="250"/>
      <c r="Z148" s="250"/>
    </row>
    <row r="149" ht="14.25" customHeight="1">
      <c r="A149" s="250"/>
      <c r="B149" s="250"/>
      <c r="C149" s="250"/>
      <c r="D149" s="250"/>
      <c r="E149" s="250"/>
      <c r="F149" s="250"/>
      <c r="G149" s="250"/>
      <c r="H149" s="250"/>
      <c r="I149" s="250"/>
      <c r="J149" s="250"/>
      <c r="K149" s="250"/>
      <c r="L149" s="250"/>
      <c r="M149" s="250"/>
      <c r="N149" s="250"/>
      <c r="O149" s="250"/>
      <c r="P149" s="250"/>
      <c r="Q149" s="250"/>
      <c r="R149" s="250"/>
      <c r="S149" s="250"/>
      <c r="T149" s="250"/>
      <c r="U149" s="250"/>
      <c r="V149" s="250"/>
      <c r="W149" s="250"/>
      <c r="X149" s="250"/>
      <c r="Y149" s="250"/>
      <c r="Z149" s="250"/>
    </row>
    <row r="150" ht="14.25" customHeight="1">
      <c r="A150" s="250"/>
      <c r="B150" s="250"/>
      <c r="C150" s="250"/>
      <c r="D150" s="250"/>
      <c r="E150" s="250"/>
      <c r="F150" s="250"/>
      <c r="G150" s="250"/>
      <c r="H150" s="250"/>
      <c r="I150" s="250"/>
      <c r="J150" s="250"/>
      <c r="K150" s="250"/>
      <c r="L150" s="250"/>
      <c r="M150" s="250"/>
      <c r="N150" s="250"/>
      <c r="O150" s="250"/>
      <c r="P150" s="250"/>
      <c r="Q150" s="250"/>
      <c r="R150" s="250"/>
      <c r="S150" s="250"/>
      <c r="T150" s="250"/>
      <c r="U150" s="250"/>
      <c r="V150" s="250"/>
      <c r="W150" s="250"/>
      <c r="X150" s="250"/>
      <c r="Y150" s="250"/>
      <c r="Z150" s="250"/>
    </row>
    <row r="151" ht="14.25" customHeight="1">
      <c r="A151" s="250"/>
      <c r="B151" s="250"/>
      <c r="C151" s="250"/>
      <c r="D151" s="250"/>
      <c r="E151" s="250"/>
      <c r="F151" s="250"/>
      <c r="G151" s="250"/>
      <c r="H151" s="250"/>
      <c r="I151" s="250"/>
      <c r="J151" s="250"/>
      <c r="K151" s="250"/>
      <c r="L151" s="250"/>
      <c r="M151" s="250"/>
      <c r="N151" s="250"/>
      <c r="O151" s="250"/>
      <c r="P151" s="250"/>
      <c r="Q151" s="250"/>
      <c r="R151" s="250"/>
      <c r="S151" s="250"/>
      <c r="T151" s="250"/>
      <c r="U151" s="250"/>
      <c r="V151" s="250"/>
      <c r="W151" s="250"/>
      <c r="X151" s="250"/>
      <c r="Y151" s="250"/>
      <c r="Z151" s="250"/>
    </row>
    <row r="152" ht="14.25" customHeight="1">
      <c r="A152" s="250"/>
      <c r="B152" s="250"/>
      <c r="C152" s="250"/>
      <c r="D152" s="250"/>
      <c r="E152" s="250"/>
      <c r="F152" s="250"/>
      <c r="G152" s="250"/>
      <c r="H152" s="250"/>
      <c r="I152" s="250"/>
      <c r="J152" s="250"/>
      <c r="K152" s="250"/>
      <c r="L152" s="250"/>
      <c r="M152" s="250"/>
      <c r="N152" s="250"/>
      <c r="O152" s="250"/>
      <c r="P152" s="250"/>
      <c r="Q152" s="250"/>
      <c r="R152" s="250"/>
      <c r="S152" s="250"/>
      <c r="T152" s="250"/>
      <c r="U152" s="250"/>
      <c r="V152" s="250"/>
      <c r="W152" s="250"/>
      <c r="X152" s="250"/>
      <c r="Y152" s="250"/>
      <c r="Z152" s="250"/>
    </row>
    <row r="153" ht="14.25" customHeight="1">
      <c r="A153" s="250"/>
      <c r="B153" s="250"/>
      <c r="C153" s="250"/>
      <c r="D153" s="250"/>
      <c r="E153" s="250"/>
      <c r="F153" s="250"/>
      <c r="G153" s="250"/>
      <c r="H153" s="250"/>
      <c r="I153" s="250"/>
      <c r="J153" s="250"/>
      <c r="K153" s="250"/>
      <c r="L153" s="250"/>
      <c r="M153" s="250"/>
      <c r="N153" s="250"/>
      <c r="O153" s="250"/>
      <c r="P153" s="250"/>
      <c r="Q153" s="250"/>
      <c r="R153" s="250"/>
      <c r="S153" s="250"/>
      <c r="T153" s="250"/>
      <c r="U153" s="250"/>
      <c r="V153" s="250"/>
      <c r="W153" s="250"/>
      <c r="X153" s="250"/>
      <c r="Y153" s="250"/>
      <c r="Z153" s="250"/>
    </row>
    <row r="154" ht="14.25" customHeight="1">
      <c r="A154" s="250"/>
      <c r="B154" s="250"/>
      <c r="C154" s="250"/>
      <c r="D154" s="250"/>
      <c r="E154" s="250"/>
      <c r="F154" s="250"/>
      <c r="G154" s="250"/>
      <c r="H154" s="250"/>
      <c r="I154" s="250"/>
      <c r="J154" s="250"/>
      <c r="K154" s="250"/>
      <c r="L154" s="250"/>
      <c r="M154" s="250"/>
      <c r="N154" s="250"/>
      <c r="O154" s="250"/>
      <c r="P154" s="250"/>
      <c r="Q154" s="250"/>
      <c r="R154" s="250"/>
      <c r="S154" s="250"/>
      <c r="T154" s="250"/>
      <c r="U154" s="250"/>
      <c r="V154" s="250"/>
      <c r="W154" s="250"/>
      <c r="X154" s="250"/>
      <c r="Y154" s="250"/>
      <c r="Z154" s="250"/>
    </row>
    <row r="155" ht="14.25" customHeight="1">
      <c r="A155" s="250"/>
      <c r="B155" s="250"/>
      <c r="C155" s="250"/>
      <c r="D155" s="250"/>
      <c r="E155" s="250"/>
      <c r="F155" s="250"/>
      <c r="G155" s="250"/>
      <c r="H155" s="250"/>
      <c r="I155" s="250"/>
      <c r="J155" s="250"/>
      <c r="K155" s="250"/>
      <c r="L155" s="250"/>
      <c r="M155" s="250"/>
      <c r="N155" s="250"/>
      <c r="O155" s="250"/>
      <c r="P155" s="250"/>
      <c r="Q155" s="250"/>
      <c r="R155" s="250"/>
      <c r="S155" s="250"/>
      <c r="T155" s="250"/>
      <c r="U155" s="250"/>
      <c r="V155" s="250"/>
      <c r="W155" s="250"/>
      <c r="X155" s="250"/>
      <c r="Y155" s="250"/>
      <c r="Z155" s="250"/>
    </row>
    <row r="156" ht="14.25" customHeight="1">
      <c r="A156" s="250"/>
      <c r="B156" s="250"/>
      <c r="C156" s="250"/>
      <c r="D156" s="250"/>
      <c r="E156" s="250"/>
      <c r="F156" s="250"/>
      <c r="G156" s="250"/>
      <c r="H156" s="250"/>
      <c r="I156" s="250"/>
      <c r="J156" s="250"/>
      <c r="K156" s="250"/>
      <c r="L156" s="250"/>
      <c r="M156" s="250"/>
      <c r="N156" s="250"/>
      <c r="O156" s="250"/>
      <c r="P156" s="250"/>
      <c r="Q156" s="250"/>
      <c r="R156" s="250"/>
      <c r="S156" s="250"/>
      <c r="T156" s="250"/>
      <c r="U156" s="250"/>
      <c r="V156" s="250"/>
      <c r="W156" s="250"/>
      <c r="X156" s="250"/>
      <c r="Y156" s="250"/>
      <c r="Z156" s="250"/>
    </row>
    <row r="157" ht="14.25" customHeight="1">
      <c r="A157" s="250"/>
      <c r="B157" s="250"/>
      <c r="C157" s="250"/>
      <c r="D157" s="250"/>
      <c r="E157" s="250"/>
      <c r="F157" s="250"/>
      <c r="G157" s="250"/>
      <c r="H157" s="250"/>
      <c r="I157" s="250"/>
      <c r="J157" s="250"/>
      <c r="K157" s="250"/>
      <c r="L157" s="250"/>
      <c r="M157" s="250"/>
      <c r="N157" s="250"/>
      <c r="O157" s="250"/>
      <c r="P157" s="250"/>
      <c r="Q157" s="250"/>
      <c r="R157" s="250"/>
      <c r="S157" s="250"/>
      <c r="T157" s="250"/>
      <c r="U157" s="250"/>
      <c r="V157" s="250"/>
      <c r="W157" s="250"/>
      <c r="X157" s="250"/>
      <c r="Y157" s="250"/>
      <c r="Z157" s="250"/>
    </row>
    <row r="158" ht="14.25" customHeight="1">
      <c r="A158" s="250"/>
      <c r="B158" s="250"/>
      <c r="C158" s="250"/>
      <c r="D158" s="250"/>
      <c r="E158" s="250"/>
      <c r="F158" s="250"/>
      <c r="G158" s="250"/>
      <c r="H158" s="250"/>
      <c r="I158" s="250"/>
      <c r="J158" s="250"/>
      <c r="K158" s="250"/>
      <c r="L158" s="250"/>
      <c r="M158" s="250"/>
      <c r="N158" s="250"/>
      <c r="O158" s="250"/>
      <c r="P158" s="250"/>
      <c r="Q158" s="250"/>
      <c r="R158" s="250"/>
      <c r="S158" s="250"/>
      <c r="T158" s="250"/>
      <c r="U158" s="250"/>
      <c r="V158" s="250"/>
      <c r="W158" s="250"/>
      <c r="X158" s="250"/>
      <c r="Y158" s="250"/>
      <c r="Z158" s="250"/>
    </row>
    <row r="159" ht="14.25" customHeight="1">
      <c r="A159" s="250"/>
      <c r="B159" s="250"/>
      <c r="C159" s="250"/>
      <c r="D159" s="250"/>
      <c r="E159" s="250"/>
      <c r="F159" s="250"/>
      <c r="G159" s="250"/>
      <c r="H159" s="250"/>
      <c r="I159" s="250"/>
      <c r="J159" s="250"/>
      <c r="K159" s="250"/>
      <c r="L159" s="250"/>
      <c r="M159" s="250"/>
      <c r="N159" s="250"/>
      <c r="O159" s="250"/>
      <c r="P159" s="250"/>
      <c r="Q159" s="250"/>
      <c r="R159" s="250"/>
      <c r="S159" s="250"/>
      <c r="T159" s="250"/>
      <c r="U159" s="250"/>
      <c r="V159" s="250"/>
      <c r="W159" s="250"/>
      <c r="X159" s="250"/>
      <c r="Y159" s="250"/>
      <c r="Z159" s="250"/>
    </row>
    <row r="160" ht="14.25" customHeight="1">
      <c r="A160" s="250"/>
      <c r="B160" s="250"/>
      <c r="C160" s="250"/>
      <c r="D160" s="250"/>
      <c r="E160" s="250"/>
      <c r="F160" s="250"/>
      <c r="G160" s="250"/>
      <c r="H160" s="250"/>
      <c r="I160" s="250"/>
      <c r="J160" s="250"/>
      <c r="K160" s="250"/>
      <c r="L160" s="250"/>
      <c r="M160" s="250"/>
      <c r="N160" s="250"/>
      <c r="O160" s="250"/>
      <c r="P160" s="250"/>
      <c r="Q160" s="250"/>
      <c r="R160" s="250"/>
      <c r="S160" s="250"/>
      <c r="T160" s="250"/>
      <c r="U160" s="250"/>
      <c r="V160" s="250"/>
      <c r="W160" s="250"/>
      <c r="X160" s="250"/>
      <c r="Y160" s="250"/>
      <c r="Z160" s="250"/>
    </row>
    <row r="161" ht="14.25" customHeight="1">
      <c r="A161" s="250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0"/>
      <c r="X161" s="250"/>
      <c r="Y161" s="250"/>
      <c r="Z161" s="250"/>
    </row>
    <row r="162" ht="14.25" customHeight="1">
      <c r="A162" s="250"/>
      <c r="B162" s="250"/>
      <c r="C162" s="250"/>
      <c r="D162" s="250"/>
      <c r="E162" s="250"/>
      <c r="F162" s="250"/>
      <c r="G162" s="250"/>
      <c r="H162" s="250"/>
      <c r="I162" s="250"/>
      <c r="J162" s="250"/>
      <c r="K162" s="250"/>
      <c r="L162" s="250"/>
      <c r="M162" s="250"/>
      <c r="N162" s="250"/>
      <c r="O162" s="250"/>
      <c r="P162" s="250"/>
      <c r="Q162" s="250"/>
      <c r="R162" s="250"/>
      <c r="S162" s="250"/>
      <c r="T162" s="250"/>
      <c r="U162" s="250"/>
      <c r="V162" s="250"/>
      <c r="W162" s="250"/>
      <c r="X162" s="250"/>
      <c r="Y162" s="250"/>
      <c r="Z162" s="250"/>
    </row>
    <row r="163" ht="14.25" customHeight="1">
      <c r="A163" s="250"/>
      <c r="B163" s="250"/>
      <c r="C163" s="250"/>
      <c r="D163" s="250"/>
      <c r="E163" s="250"/>
      <c r="F163" s="250"/>
      <c r="G163" s="250"/>
      <c r="H163" s="250"/>
      <c r="I163" s="250"/>
      <c r="J163" s="250"/>
      <c r="K163" s="250"/>
      <c r="L163" s="250"/>
      <c r="M163" s="250"/>
      <c r="N163" s="250"/>
      <c r="O163" s="250"/>
      <c r="P163" s="250"/>
      <c r="Q163" s="250"/>
      <c r="R163" s="250"/>
      <c r="S163" s="250"/>
      <c r="T163" s="250"/>
      <c r="U163" s="250"/>
      <c r="V163" s="250"/>
      <c r="W163" s="250"/>
      <c r="X163" s="250"/>
      <c r="Y163" s="250"/>
      <c r="Z163" s="250"/>
    </row>
    <row r="164" ht="14.25" customHeight="1">
      <c r="A164" s="250"/>
      <c r="B164" s="250"/>
      <c r="C164" s="250"/>
      <c r="D164" s="250"/>
      <c r="E164" s="250"/>
      <c r="F164" s="250"/>
      <c r="G164" s="250"/>
      <c r="H164" s="250"/>
      <c r="I164" s="250"/>
      <c r="J164" s="250"/>
      <c r="K164" s="250"/>
      <c r="L164" s="250"/>
      <c r="M164" s="250"/>
      <c r="N164" s="250"/>
      <c r="O164" s="250"/>
      <c r="P164" s="250"/>
      <c r="Q164" s="250"/>
      <c r="R164" s="250"/>
      <c r="S164" s="250"/>
      <c r="T164" s="250"/>
      <c r="U164" s="250"/>
      <c r="V164" s="250"/>
      <c r="W164" s="250"/>
      <c r="X164" s="250"/>
      <c r="Y164" s="250"/>
      <c r="Z164" s="250"/>
    </row>
    <row r="165" ht="14.25" customHeight="1">
      <c r="A165" s="250"/>
      <c r="B165" s="250"/>
      <c r="C165" s="250"/>
      <c r="D165" s="250"/>
      <c r="E165" s="250"/>
      <c r="F165" s="250"/>
      <c r="G165" s="250"/>
      <c r="H165" s="250"/>
      <c r="I165" s="250"/>
      <c r="J165" s="250"/>
      <c r="K165" s="250"/>
      <c r="L165" s="250"/>
      <c r="M165" s="250"/>
      <c r="N165" s="250"/>
      <c r="O165" s="250"/>
      <c r="P165" s="250"/>
      <c r="Q165" s="250"/>
      <c r="R165" s="250"/>
      <c r="S165" s="250"/>
      <c r="T165" s="250"/>
      <c r="U165" s="250"/>
      <c r="V165" s="250"/>
      <c r="W165" s="250"/>
      <c r="X165" s="250"/>
      <c r="Y165" s="250"/>
      <c r="Z165" s="250"/>
    </row>
    <row r="166" ht="14.25" customHeight="1">
      <c r="A166" s="250"/>
      <c r="B166" s="250"/>
      <c r="C166" s="250"/>
      <c r="D166" s="250"/>
      <c r="E166" s="250"/>
      <c r="F166" s="250"/>
      <c r="G166" s="250"/>
      <c r="H166" s="250"/>
      <c r="I166" s="250"/>
      <c r="J166" s="250"/>
      <c r="K166" s="250"/>
      <c r="L166" s="250"/>
      <c r="M166" s="250"/>
      <c r="N166" s="250"/>
      <c r="O166" s="250"/>
      <c r="P166" s="250"/>
      <c r="Q166" s="250"/>
      <c r="R166" s="250"/>
      <c r="S166" s="250"/>
      <c r="T166" s="250"/>
      <c r="U166" s="250"/>
      <c r="V166" s="250"/>
      <c r="W166" s="250"/>
      <c r="X166" s="250"/>
      <c r="Y166" s="250"/>
      <c r="Z166" s="250"/>
    </row>
    <row r="167" ht="14.25" customHeight="1">
      <c r="A167" s="250"/>
      <c r="B167" s="250"/>
      <c r="C167" s="250"/>
      <c r="D167" s="250"/>
      <c r="E167" s="250"/>
      <c r="F167" s="250"/>
      <c r="G167" s="250"/>
      <c r="H167" s="250"/>
      <c r="I167" s="250"/>
      <c r="J167" s="250"/>
      <c r="K167" s="250"/>
      <c r="L167" s="250"/>
      <c r="M167" s="250"/>
      <c r="N167" s="250"/>
      <c r="O167" s="250"/>
      <c r="P167" s="250"/>
      <c r="Q167" s="250"/>
      <c r="R167" s="250"/>
      <c r="S167" s="250"/>
      <c r="T167" s="250"/>
      <c r="U167" s="250"/>
      <c r="V167" s="250"/>
      <c r="W167" s="250"/>
      <c r="X167" s="250"/>
      <c r="Y167" s="250"/>
      <c r="Z167" s="250"/>
    </row>
    <row r="168" ht="14.25" customHeight="1">
      <c r="A168" s="250"/>
      <c r="B168" s="250"/>
      <c r="C168" s="250"/>
      <c r="D168" s="250"/>
      <c r="E168" s="250"/>
      <c r="F168" s="250"/>
      <c r="G168" s="250"/>
      <c r="H168" s="250"/>
      <c r="I168" s="250"/>
      <c r="J168" s="250"/>
      <c r="K168" s="250"/>
      <c r="L168" s="250"/>
      <c r="M168" s="250"/>
      <c r="N168" s="250"/>
      <c r="O168" s="250"/>
      <c r="P168" s="250"/>
      <c r="Q168" s="250"/>
      <c r="R168" s="250"/>
      <c r="S168" s="250"/>
      <c r="T168" s="250"/>
      <c r="U168" s="250"/>
      <c r="V168" s="250"/>
      <c r="W168" s="250"/>
      <c r="X168" s="250"/>
      <c r="Y168" s="250"/>
      <c r="Z168" s="250"/>
    </row>
    <row r="169" ht="14.25" customHeight="1">
      <c r="A169" s="250"/>
      <c r="B169" s="250"/>
      <c r="C169" s="250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  <c r="Y169" s="250"/>
      <c r="Z169" s="250"/>
    </row>
    <row r="170" ht="14.25" customHeight="1">
      <c r="A170" s="250"/>
      <c r="B170" s="250"/>
      <c r="C170" s="250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  <c r="Y170" s="250"/>
      <c r="Z170" s="250"/>
    </row>
    <row r="171" ht="14.25" customHeight="1">
      <c r="A171" s="250"/>
      <c r="B171" s="250"/>
      <c r="C171" s="250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  <c r="Y171" s="250"/>
      <c r="Z171" s="250"/>
    </row>
    <row r="172" ht="14.25" customHeight="1">
      <c r="A172" s="250"/>
      <c r="B172" s="250"/>
      <c r="C172" s="250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  <c r="Y172" s="250"/>
      <c r="Z172" s="250"/>
    </row>
    <row r="173" ht="14.25" customHeight="1">
      <c r="A173" s="250"/>
      <c r="B173" s="250"/>
      <c r="C173" s="250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  <c r="Y173" s="250"/>
      <c r="Z173" s="250"/>
    </row>
    <row r="174" ht="14.25" customHeight="1">
      <c r="A174" s="250"/>
      <c r="B174" s="250"/>
      <c r="C174" s="250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0"/>
      <c r="Z174" s="250"/>
    </row>
    <row r="175" ht="14.25" customHeight="1">
      <c r="A175" s="250"/>
      <c r="B175" s="250"/>
      <c r="C175" s="250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  <c r="Y175" s="250"/>
      <c r="Z175" s="250"/>
    </row>
    <row r="176" ht="14.25" customHeight="1">
      <c r="A176" s="250"/>
      <c r="B176" s="250"/>
      <c r="C176" s="250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  <c r="Y176" s="250"/>
      <c r="Z176" s="250"/>
    </row>
    <row r="177" ht="14.25" customHeight="1">
      <c r="A177" s="250"/>
      <c r="B177" s="250"/>
      <c r="C177" s="250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  <c r="Y177" s="250"/>
      <c r="Z177" s="250"/>
    </row>
    <row r="178" ht="14.25" customHeight="1">
      <c r="A178" s="250"/>
      <c r="B178" s="250"/>
      <c r="C178" s="250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0"/>
      <c r="Z178" s="250"/>
    </row>
    <row r="179" ht="14.25" customHeight="1">
      <c r="A179" s="250"/>
      <c r="B179" s="250"/>
      <c r="C179" s="250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  <c r="Y179" s="250"/>
      <c r="Z179" s="250"/>
    </row>
    <row r="180" ht="14.25" customHeight="1">
      <c r="A180" s="250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  <c r="Y180" s="250"/>
      <c r="Z180" s="250"/>
    </row>
    <row r="181" ht="14.25" customHeight="1">
      <c r="A181" s="250"/>
      <c r="B181" s="250"/>
      <c r="C181" s="250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  <c r="Y181" s="250"/>
      <c r="Z181" s="250"/>
    </row>
    <row r="182" ht="14.25" customHeight="1">
      <c r="A182" s="250"/>
      <c r="B182" s="250"/>
      <c r="C182" s="250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  <c r="Y182" s="250"/>
      <c r="Z182" s="250"/>
    </row>
    <row r="183" ht="14.25" customHeight="1">
      <c r="A183" s="250"/>
      <c r="B183" s="250"/>
      <c r="C183" s="250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0"/>
      <c r="Z183" s="250"/>
    </row>
    <row r="184" ht="14.25" customHeight="1">
      <c r="A184" s="250"/>
      <c r="B184" s="250"/>
      <c r="C184" s="250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  <c r="Y184" s="250"/>
      <c r="Z184" s="250"/>
    </row>
    <row r="185" ht="14.25" customHeight="1">
      <c r="A185" s="250"/>
      <c r="B185" s="250"/>
      <c r="C185" s="250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  <c r="Y185" s="250"/>
      <c r="Z185" s="250"/>
    </row>
    <row r="186" ht="14.25" customHeight="1">
      <c r="A186" s="250"/>
      <c r="B186" s="250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0"/>
      <c r="Z186" s="250"/>
    </row>
    <row r="187" ht="14.25" customHeight="1">
      <c r="A187" s="250"/>
      <c r="B187" s="250"/>
      <c r="C187" s="250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0"/>
      <c r="Z187" s="250"/>
    </row>
    <row r="188" ht="14.25" customHeight="1">
      <c r="A188" s="250"/>
      <c r="B188" s="250"/>
      <c r="C188" s="250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0"/>
      <c r="Z188" s="250"/>
    </row>
    <row r="189" ht="14.25" customHeight="1">
      <c r="A189" s="250"/>
      <c r="B189" s="250"/>
      <c r="C189" s="250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0"/>
      <c r="Z189" s="250"/>
    </row>
    <row r="190" ht="14.25" customHeight="1">
      <c r="A190" s="250"/>
      <c r="B190" s="250"/>
      <c r="C190" s="250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  <c r="Y190" s="250"/>
      <c r="Z190" s="250"/>
    </row>
    <row r="191" ht="14.25" customHeight="1">
      <c r="A191" s="250"/>
      <c r="B191" s="250"/>
      <c r="C191" s="250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  <c r="Y191" s="250"/>
      <c r="Z191" s="250"/>
    </row>
    <row r="192" ht="14.25" customHeight="1">
      <c r="A192" s="250"/>
      <c r="B192" s="250"/>
      <c r="C192" s="250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  <c r="Y192" s="250"/>
      <c r="Z192" s="250"/>
    </row>
    <row r="193" ht="14.25" customHeight="1">
      <c r="A193" s="250"/>
      <c r="B193" s="250"/>
      <c r="C193" s="250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  <c r="Y193" s="250"/>
      <c r="Z193" s="250"/>
    </row>
    <row r="194" ht="14.25" customHeight="1">
      <c r="A194" s="250"/>
      <c r="B194" s="250"/>
      <c r="C194" s="250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  <c r="Y194" s="250"/>
      <c r="Z194" s="250"/>
    </row>
    <row r="195" ht="14.25" customHeight="1">
      <c r="A195" s="250"/>
      <c r="B195" s="250"/>
      <c r="C195" s="250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  <c r="Y195" s="250"/>
      <c r="Z195" s="250"/>
    </row>
    <row r="196" ht="14.25" customHeight="1">
      <c r="A196" s="250"/>
      <c r="B196" s="250"/>
      <c r="C196" s="250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  <c r="Y196" s="250"/>
      <c r="Z196" s="250"/>
    </row>
    <row r="197" ht="14.25" customHeight="1">
      <c r="A197" s="250"/>
      <c r="B197" s="250"/>
      <c r="C197" s="250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0"/>
      <c r="Z197" s="250"/>
    </row>
    <row r="198" ht="14.25" customHeight="1">
      <c r="A198" s="250"/>
      <c r="B198" s="250"/>
      <c r="C198" s="250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  <c r="Y198" s="250"/>
      <c r="Z198" s="250"/>
    </row>
    <row r="199" ht="14.25" customHeight="1">
      <c r="A199" s="250"/>
      <c r="B199" s="250"/>
      <c r="C199" s="250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  <c r="Y199" s="250"/>
      <c r="Z199" s="250"/>
    </row>
    <row r="200" ht="14.25" customHeight="1">
      <c r="A200" s="250"/>
      <c r="B200" s="250"/>
      <c r="C200" s="250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  <c r="Y200" s="250"/>
      <c r="Z200" s="250"/>
    </row>
    <row r="201" ht="14.25" customHeight="1">
      <c r="A201" s="250"/>
      <c r="B201" s="250"/>
      <c r="C201" s="250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  <c r="Y201" s="250"/>
      <c r="Z201" s="250"/>
    </row>
    <row r="202" ht="14.25" customHeight="1">
      <c r="A202" s="250"/>
      <c r="B202" s="250"/>
      <c r="C202" s="250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  <c r="Y202" s="250"/>
      <c r="Z202" s="250"/>
    </row>
    <row r="203" ht="14.25" customHeight="1">
      <c r="A203" s="250"/>
      <c r="B203" s="250"/>
      <c r="C203" s="250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  <c r="Y203" s="250"/>
      <c r="Z203" s="250"/>
    </row>
    <row r="204" ht="14.25" customHeight="1">
      <c r="A204" s="250"/>
      <c r="B204" s="250"/>
      <c r="C204" s="250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  <c r="Y204" s="250"/>
      <c r="Z204" s="250"/>
    </row>
    <row r="205" ht="14.25" customHeight="1">
      <c r="A205" s="250"/>
      <c r="B205" s="250"/>
      <c r="C205" s="250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  <c r="Y205" s="250"/>
      <c r="Z205" s="250"/>
    </row>
    <row r="206" ht="14.25" customHeight="1">
      <c r="A206" s="250"/>
      <c r="B206" s="250"/>
      <c r="C206" s="250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  <c r="Y206" s="250"/>
      <c r="Z206" s="250"/>
    </row>
    <row r="207" ht="14.25" customHeight="1">
      <c r="A207" s="250"/>
      <c r="B207" s="250"/>
      <c r="C207" s="250"/>
      <c r="D207" s="250"/>
      <c r="E207" s="250"/>
      <c r="F207" s="250"/>
      <c r="G207" s="250"/>
      <c r="H207" s="250"/>
      <c r="I207" s="250"/>
      <c r="J207" s="250"/>
      <c r="K207" s="250"/>
      <c r="L207" s="250"/>
      <c r="M207" s="250"/>
      <c r="N207" s="250"/>
      <c r="O207" s="250"/>
      <c r="P207" s="250"/>
      <c r="Q207" s="250"/>
      <c r="R207" s="250"/>
      <c r="S207" s="250"/>
      <c r="T207" s="250"/>
      <c r="U207" s="250"/>
      <c r="V207" s="250"/>
      <c r="W207" s="250"/>
      <c r="X207" s="250"/>
      <c r="Y207" s="250"/>
      <c r="Z207" s="250"/>
    </row>
    <row r="208" ht="14.25" customHeight="1">
      <c r="A208" s="250"/>
      <c r="B208" s="250"/>
      <c r="C208" s="250"/>
      <c r="D208" s="250"/>
      <c r="E208" s="250"/>
      <c r="F208" s="250"/>
      <c r="G208" s="250"/>
      <c r="H208" s="250"/>
      <c r="I208" s="250"/>
      <c r="J208" s="250"/>
      <c r="K208" s="250"/>
      <c r="L208" s="250"/>
      <c r="M208" s="250"/>
      <c r="N208" s="250"/>
      <c r="O208" s="250"/>
      <c r="P208" s="250"/>
      <c r="Q208" s="250"/>
      <c r="R208" s="250"/>
      <c r="S208" s="250"/>
      <c r="T208" s="250"/>
      <c r="U208" s="250"/>
      <c r="V208" s="250"/>
      <c r="W208" s="250"/>
      <c r="X208" s="250"/>
      <c r="Y208" s="250"/>
      <c r="Z208" s="250"/>
    </row>
    <row r="209" ht="14.25" customHeight="1">
      <c r="A209" s="250"/>
      <c r="B209" s="250"/>
      <c r="C209" s="250"/>
      <c r="D209" s="250"/>
      <c r="E209" s="250"/>
      <c r="F209" s="250"/>
      <c r="G209" s="250"/>
      <c r="H209" s="250"/>
      <c r="I209" s="250"/>
      <c r="J209" s="250"/>
      <c r="K209" s="250"/>
      <c r="L209" s="250"/>
      <c r="M209" s="250"/>
      <c r="N209" s="250"/>
      <c r="O209" s="250"/>
      <c r="P209" s="250"/>
      <c r="Q209" s="250"/>
      <c r="R209" s="250"/>
      <c r="S209" s="250"/>
      <c r="T209" s="250"/>
      <c r="U209" s="250"/>
      <c r="V209" s="250"/>
      <c r="W209" s="250"/>
      <c r="X209" s="250"/>
      <c r="Y209" s="250"/>
      <c r="Z209" s="250"/>
    </row>
    <row r="210" ht="14.25" customHeight="1">
      <c r="A210" s="250"/>
      <c r="B210" s="250"/>
      <c r="C210" s="250"/>
      <c r="D210" s="250"/>
      <c r="E210" s="250"/>
      <c r="F210" s="250"/>
      <c r="G210" s="250"/>
      <c r="H210" s="250"/>
      <c r="I210" s="250"/>
      <c r="J210" s="250"/>
      <c r="K210" s="250"/>
      <c r="L210" s="250"/>
      <c r="M210" s="250"/>
      <c r="N210" s="250"/>
      <c r="O210" s="250"/>
      <c r="P210" s="250"/>
      <c r="Q210" s="250"/>
      <c r="R210" s="250"/>
      <c r="S210" s="250"/>
      <c r="T210" s="250"/>
      <c r="U210" s="250"/>
      <c r="V210" s="250"/>
      <c r="W210" s="250"/>
      <c r="X210" s="250"/>
      <c r="Y210" s="250"/>
      <c r="Z210" s="250"/>
    </row>
    <row r="211" ht="14.25" customHeight="1">
      <c r="A211" s="250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50"/>
      <c r="O211" s="250"/>
      <c r="P211" s="250"/>
      <c r="Q211" s="250"/>
      <c r="R211" s="250"/>
      <c r="S211" s="250"/>
      <c r="T211" s="250"/>
      <c r="U211" s="250"/>
      <c r="V211" s="250"/>
      <c r="W211" s="250"/>
      <c r="X211" s="250"/>
      <c r="Y211" s="250"/>
      <c r="Z211" s="250"/>
    </row>
    <row r="212" ht="14.25" customHeight="1">
      <c r="A212" s="250"/>
      <c r="B212" s="250"/>
      <c r="C212" s="250"/>
      <c r="D212" s="250"/>
      <c r="E212" s="250"/>
      <c r="F212" s="250"/>
      <c r="G212" s="250"/>
      <c r="H212" s="250"/>
      <c r="I212" s="250"/>
      <c r="J212" s="250"/>
      <c r="K212" s="250"/>
      <c r="L212" s="250"/>
      <c r="M212" s="250"/>
      <c r="N212" s="250"/>
      <c r="O212" s="250"/>
      <c r="P212" s="250"/>
      <c r="Q212" s="250"/>
      <c r="R212" s="250"/>
      <c r="S212" s="250"/>
      <c r="T212" s="250"/>
      <c r="U212" s="250"/>
      <c r="V212" s="250"/>
      <c r="W212" s="250"/>
      <c r="X212" s="250"/>
      <c r="Y212" s="250"/>
      <c r="Z212" s="250"/>
    </row>
    <row r="213" ht="14.25" customHeight="1">
      <c r="A213" s="250"/>
      <c r="B213" s="250"/>
      <c r="C213" s="250"/>
      <c r="D213" s="250"/>
      <c r="E213" s="250"/>
      <c r="F213" s="250"/>
      <c r="G213" s="250"/>
      <c r="H213" s="250"/>
      <c r="I213" s="250"/>
      <c r="J213" s="250"/>
      <c r="K213" s="250"/>
      <c r="L213" s="250"/>
      <c r="M213" s="250"/>
      <c r="N213" s="250"/>
      <c r="O213" s="250"/>
      <c r="P213" s="250"/>
      <c r="Q213" s="250"/>
      <c r="R213" s="250"/>
      <c r="S213" s="250"/>
      <c r="T213" s="250"/>
      <c r="U213" s="250"/>
      <c r="V213" s="250"/>
      <c r="W213" s="250"/>
      <c r="X213" s="250"/>
      <c r="Y213" s="250"/>
      <c r="Z213" s="250"/>
    </row>
    <row r="214" ht="14.25" customHeight="1">
      <c r="A214" s="250"/>
      <c r="B214" s="250"/>
      <c r="C214" s="250"/>
      <c r="D214" s="250"/>
      <c r="E214" s="250"/>
      <c r="F214" s="250"/>
      <c r="G214" s="250"/>
      <c r="H214" s="250"/>
      <c r="I214" s="250"/>
      <c r="J214" s="250"/>
      <c r="K214" s="250"/>
      <c r="L214" s="250"/>
      <c r="M214" s="250"/>
      <c r="N214" s="250"/>
      <c r="O214" s="250"/>
      <c r="P214" s="250"/>
      <c r="Q214" s="250"/>
      <c r="R214" s="250"/>
      <c r="S214" s="250"/>
      <c r="T214" s="250"/>
      <c r="U214" s="250"/>
      <c r="V214" s="250"/>
      <c r="W214" s="250"/>
      <c r="X214" s="250"/>
      <c r="Y214" s="250"/>
      <c r="Z214" s="250"/>
    </row>
    <row r="215" ht="14.25" customHeight="1">
      <c r="A215" s="250"/>
      <c r="B215" s="250"/>
      <c r="C215" s="250"/>
      <c r="D215" s="250"/>
      <c r="E215" s="250"/>
      <c r="F215" s="250"/>
      <c r="G215" s="250"/>
      <c r="H215" s="250"/>
      <c r="I215" s="250"/>
      <c r="J215" s="250"/>
      <c r="K215" s="250"/>
      <c r="L215" s="250"/>
      <c r="M215" s="250"/>
      <c r="N215" s="250"/>
      <c r="O215" s="250"/>
      <c r="P215" s="250"/>
      <c r="Q215" s="250"/>
      <c r="R215" s="250"/>
      <c r="S215" s="250"/>
      <c r="T215" s="250"/>
      <c r="U215" s="250"/>
      <c r="V215" s="250"/>
      <c r="W215" s="250"/>
      <c r="X215" s="250"/>
      <c r="Y215" s="250"/>
      <c r="Z215" s="250"/>
    </row>
    <row r="216" ht="14.25" customHeight="1">
      <c r="A216" s="250"/>
      <c r="B216" s="250"/>
      <c r="C216" s="250"/>
      <c r="D216" s="250"/>
      <c r="E216" s="250"/>
      <c r="F216" s="250"/>
      <c r="G216" s="250"/>
      <c r="H216" s="250"/>
      <c r="I216" s="250"/>
      <c r="J216" s="250"/>
      <c r="K216" s="250"/>
      <c r="L216" s="250"/>
      <c r="M216" s="250"/>
      <c r="N216" s="250"/>
      <c r="O216" s="250"/>
      <c r="P216" s="250"/>
      <c r="Q216" s="250"/>
      <c r="R216" s="250"/>
      <c r="S216" s="250"/>
      <c r="T216" s="250"/>
      <c r="U216" s="250"/>
      <c r="V216" s="250"/>
      <c r="W216" s="250"/>
      <c r="X216" s="250"/>
      <c r="Y216" s="250"/>
      <c r="Z216" s="250"/>
    </row>
    <row r="217" ht="14.25" customHeight="1">
      <c r="A217" s="250"/>
      <c r="B217" s="250"/>
      <c r="C217" s="250"/>
      <c r="D217" s="250"/>
      <c r="E217" s="250"/>
      <c r="F217" s="250"/>
      <c r="G217" s="250"/>
      <c r="H217" s="250"/>
      <c r="I217" s="250"/>
      <c r="J217" s="250"/>
      <c r="K217" s="250"/>
      <c r="L217" s="250"/>
      <c r="M217" s="250"/>
      <c r="N217" s="250"/>
      <c r="O217" s="250"/>
      <c r="P217" s="250"/>
      <c r="Q217" s="250"/>
      <c r="R217" s="250"/>
      <c r="S217" s="250"/>
      <c r="T217" s="250"/>
      <c r="U217" s="250"/>
      <c r="V217" s="250"/>
      <c r="W217" s="250"/>
      <c r="X217" s="250"/>
      <c r="Y217" s="250"/>
      <c r="Z217" s="250"/>
    </row>
    <row r="218" ht="14.25" customHeight="1">
      <c r="A218" s="250"/>
      <c r="B218" s="250"/>
      <c r="C218" s="250"/>
      <c r="D218" s="250"/>
      <c r="E218" s="250"/>
      <c r="F218" s="250"/>
      <c r="G218" s="250"/>
      <c r="H218" s="250"/>
      <c r="I218" s="250"/>
      <c r="J218" s="250"/>
      <c r="K218" s="250"/>
      <c r="L218" s="250"/>
      <c r="M218" s="250"/>
      <c r="N218" s="250"/>
      <c r="O218" s="250"/>
      <c r="P218" s="250"/>
      <c r="Q218" s="250"/>
      <c r="R218" s="250"/>
      <c r="S218" s="250"/>
      <c r="T218" s="250"/>
      <c r="U218" s="250"/>
      <c r="V218" s="250"/>
      <c r="W218" s="250"/>
      <c r="X218" s="250"/>
      <c r="Y218" s="250"/>
      <c r="Z218" s="250"/>
    </row>
    <row r="219" ht="14.25" customHeight="1">
      <c r="A219" s="250"/>
      <c r="B219" s="250"/>
      <c r="C219" s="250"/>
      <c r="D219" s="250"/>
      <c r="E219" s="250"/>
      <c r="F219" s="250"/>
      <c r="G219" s="250"/>
      <c r="H219" s="250"/>
      <c r="I219" s="250"/>
      <c r="J219" s="250"/>
      <c r="K219" s="250"/>
      <c r="L219" s="250"/>
      <c r="M219" s="250"/>
      <c r="N219" s="250"/>
      <c r="O219" s="250"/>
      <c r="P219" s="250"/>
      <c r="Q219" s="250"/>
      <c r="R219" s="250"/>
      <c r="S219" s="250"/>
      <c r="T219" s="250"/>
      <c r="U219" s="250"/>
      <c r="V219" s="250"/>
      <c r="W219" s="250"/>
      <c r="X219" s="250"/>
      <c r="Y219" s="250"/>
      <c r="Z219" s="250"/>
    </row>
    <row r="220" ht="14.25" customHeight="1">
      <c r="A220" s="250"/>
      <c r="B220" s="250"/>
      <c r="C220" s="250"/>
      <c r="D220" s="250"/>
      <c r="E220" s="250"/>
      <c r="F220" s="250"/>
      <c r="G220" s="250"/>
      <c r="H220" s="250"/>
      <c r="I220" s="250"/>
      <c r="J220" s="250"/>
      <c r="K220" s="250"/>
      <c r="L220" s="250"/>
      <c r="M220" s="250"/>
      <c r="N220" s="250"/>
      <c r="O220" s="250"/>
      <c r="P220" s="250"/>
      <c r="Q220" s="250"/>
      <c r="R220" s="250"/>
      <c r="S220" s="250"/>
      <c r="T220" s="250"/>
      <c r="U220" s="250"/>
      <c r="V220" s="250"/>
      <c r="W220" s="250"/>
      <c r="X220" s="250"/>
      <c r="Y220" s="250"/>
      <c r="Z220" s="250"/>
    </row>
    <row r="221" ht="14.25" customHeight="1">
      <c r="A221" s="250"/>
      <c r="B221" s="250"/>
      <c r="C221" s="250"/>
      <c r="D221" s="250"/>
      <c r="E221" s="250"/>
      <c r="F221" s="250"/>
      <c r="G221" s="250"/>
      <c r="H221" s="250"/>
      <c r="I221" s="250"/>
      <c r="J221" s="250"/>
      <c r="K221" s="250"/>
      <c r="L221" s="250"/>
      <c r="M221" s="250"/>
      <c r="N221" s="250"/>
      <c r="O221" s="250"/>
      <c r="P221" s="250"/>
      <c r="Q221" s="250"/>
      <c r="R221" s="250"/>
      <c r="S221" s="250"/>
      <c r="T221" s="250"/>
      <c r="U221" s="250"/>
      <c r="V221" s="250"/>
      <c r="W221" s="250"/>
      <c r="X221" s="250"/>
      <c r="Y221" s="250"/>
      <c r="Z221" s="250"/>
    </row>
    <row r="222" ht="14.25" customHeight="1">
      <c r="A222" s="250"/>
      <c r="B222" s="250"/>
      <c r="C222" s="250"/>
      <c r="D222" s="250"/>
      <c r="E222" s="250"/>
      <c r="F222" s="250"/>
      <c r="G222" s="250"/>
      <c r="H222" s="250"/>
      <c r="I222" s="250"/>
      <c r="J222" s="250"/>
      <c r="K222" s="250"/>
      <c r="L222" s="250"/>
      <c r="M222" s="250"/>
      <c r="N222" s="250"/>
      <c r="O222" s="250"/>
      <c r="P222" s="250"/>
      <c r="Q222" s="250"/>
      <c r="R222" s="250"/>
      <c r="S222" s="250"/>
      <c r="T222" s="250"/>
      <c r="U222" s="250"/>
      <c r="V222" s="250"/>
      <c r="W222" s="250"/>
      <c r="X222" s="250"/>
      <c r="Y222" s="250"/>
      <c r="Z222" s="250"/>
    </row>
    <row r="223" ht="14.25" customHeight="1">
      <c r="A223" s="250"/>
      <c r="B223" s="250"/>
      <c r="C223" s="250"/>
      <c r="D223" s="250"/>
      <c r="E223" s="250"/>
      <c r="F223" s="250"/>
      <c r="G223" s="250"/>
      <c r="H223" s="250"/>
      <c r="I223" s="250"/>
      <c r="J223" s="250"/>
      <c r="K223" s="250"/>
      <c r="L223" s="250"/>
      <c r="M223" s="250"/>
      <c r="N223" s="250"/>
      <c r="O223" s="250"/>
      <c r="P223" s="250"/>
      <c r="Q223" s="250"/>
      <c r="R223" s="250"/>
      <c r="S223" s="250"/>
      <c r="T223" s="250"/>
      <c r="U223" s="250"/>
      <c r="V223" s="250"/>
      <c r="W223" s="250"/>
      <c r="X223" s="250"/>
      <c r="Y223" s="250"/>
      <c r="Z223" s="250"/>
    </row>
    <row r="224" ht="14.25" customHeight="1">
      <c r="A224" s="250"/>
      <c r="B224" s="250"/>
      <c r="C224" s="250"/>
      <c r="D224" s="250"/>
      <c r="E224" s="250"/>
      <c r="F224" s="250"/>
      <c r="G224" s="250"/>
      <c r="H224" s="250"/>
      <c r="I224" s="250"/>
      <c r="J224" s="250"/>
      <c r="K224" s="250"/>
      <c r="L224" s="250"/>
      <c r="M224" s="250"/>
      <c r="N224" s="250"/>
      <c r="O224" s="250"/>
      <c r="P224" s="250"/>
      <c r="Q224" s="250"/>
      <c r="R224" s="250"/>
      <c r="S224" s="250"/>
      <c r="T224" s="250"/>
      <c r="U224" s="250"/>
      <c r="V224" s="250"/>
      <c r="W224" s="250"/>
      <c r="X224" s="250"/>
      <c r="Y224" s="250"/>
      <c r="Z224" s="250"/>
    </row>
    <row r="225" ht="14.25" customHeight="1">
      <c r="A225" s="250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0"/>
      <c r="X225" s="250"/>
      <c r="Y225" s="250"/>
      <c r="Z225" s="250"/>
    </row>
    <row r="226" ht="14.25" customHeight="1">
      <c r="A226" s="250"/>
      <c r="B226" s="250"/>
      <c r="C226" s="250"/>
      <c r="D226" s="250"/>
      <c r="E226" s="250"/>
      <c r="F226" s="250"/>
      <c r="G226" s="250"/>
      <c r="H226" s="250"/>
      <c r="I226" s="250"/>
      <c r="J226" s="250"/>
      <c r="K226" s="250"/>
      <c r="L226" s="250"/>
      <c r="M226" s="250"/>
      <c r="N226" s="250"/>
      <c r="O226" s="250"/>
      <c r="P226" s="250"/>
      <c r="Q226" s="250"/>
      <c r="R226" s="250"/>
      <c r="S226" s="250"/>
      <c r="T226" s="250"/>
      <c r="U226" s="250"/>
      <c r="V226" s="250"/>
      <c r="W226" s="250"/>
      <c r="X226" s="250"/>
      <c r="Y226" s="250"/>
      <c r="Z226" s="250"/>
    </row>
    <row r="227" ht="14.25" customHeight="1">
      <c r="A227" s="250"/>
      <c r="B227" s="250"/>
      <c r="C227" s="250"/>
      <c r="D227" s="250"/>
      <c r="E227" s="250"/>
      <c r="F227" s="250"/>
      <c r="G227" s="250"/>
      <c r="H227" s="250"/>
      <c r="I227" s="250"/>
      <c r="J227" s="250"/>
      <c r="K227" s="250"/>
      <c r="L227" s="250"/>
      <c r="M227" s="250"/>
      <c r="N227" s="250"/>
      <c r="O227" s="250"/>
      <c r="P227" s="250"/>
      <c r="Q227" s="250"/>
      <c r="R227" s="250"/>
      <c r="S227" s="250"/>
      <c r="T227" s="250"/>
      <c r="U227" s="250"/>
      <c r="V227" s="250"/>
      <c r="W227" s="250"/>
      <c r="X227" s="250"/>
      <c r="Y227" s="250"/>
      <c r="Z227" s="250"/>
    </row>
    <row r="228" ht="14.25" customHeight="1">
      <c r="A228" s="250"/>
      <c r="B228" s="250"/>
      <c r="C228" s="250"/>
      <c r="D228" s="250"/>
      <c r="E228" s="250"/>
      <c r="F228" s="250"/>
      <c r="G228" s="250"/>
      <c r="H228" s="250"/>
      <c r="I228" s="250"/>
      <c r="J228" s="250"/>
      <c r="K228" s="250"/>
      <c r="L228" s="250"/>
      <c r="M228" s="250"/>
      <c r="N228" s="250"/>
      <c r="O228" s="250"/>
      <c r="P228" s="250"/>
      <c r="Q228" s="250"/>
      <c r="R228" s="250"/>
      <c r="S228" s="250"/>
      <c r="T228" s="250"/>
      <c r="U228" s="250"/>
      <c r="V228" s="250"/>
      <c r="W228" s="250"/>
      <c r="X228" s="250"/>
      <c r="Y228" s="250"/>
      <c r="Z228" s="250"/>
    </row>
    <row r="229" ht="14.25" customHeight="1">
      <c r="A229" s="250"/>
      <c r="B229" s="250"/>
      <c r="C229" s="250"/>
      <c r="D229" s="250"/>
      <c r="E229" s="250"/>
      <c r="F229" s="250"/>
      <c r="G229" s="250"/>
      <c r="H229" s="250"/>
      <c r="I229" s="250"/>
      <c r="J229" s="250"/>
      <c r="K229" s="250"/>
      <c r="L229" s="250"/>
      <c r="M229" s="250"/>
      <c r="N229" s="250"/>
      <c r="O229" s="250"/>
      <c r="P229" s="250"/>
      <c r="Q229" s="250"/>
      <c r="R229" s="250"/>
      <c r="S229" s="250"/>
      <c r="T229" s="250"/>
      <c r="U229" s="250"/>
      <c r="V229" s="250"/>
      <c r="W229" s="250"/>
      <c r="X229" s="250"/>
      <c r="Y229" s="250"/>
      <c r="Z229" s="250"/>
    </row>
    <row r="230" ht="14.25" customHeight="1">
      <c r="A230" s="250"/>
      <c r="B230" s="250"/>
      <c r="C230" s="250"/>
      <c r="D230" s="250"/>
      <c r="E230" s="250"/>
      <c r="F230" s="250"/>
      <c r="G230" s="250"/>
      <c r="H230" s="250"/>
      <c r="I230" s="250"/>
      <c r="J230" s="250"/>
      <c r="K230" s="250"/>
      <c r="L230" s="250"/>
      <c r="M230" s="250"/>
      <c r="N230" s="250"/>
      <c r="O230" s="250"/>
      <c r="P230" s="250"/>
      <c r="Q230" s="250"/>
      <c r="R230" s="250"/>
      <c r="S230" s="250"/>
      <c r="T230" s="250"/>
      <c r="U230" s="250"/>
      <c r="V230" s="250"/>
      <c r="W230" s="250"/>
      <c r="X230" s="250"/>
      <c r="Y230" s="250"/>
      <c r="Z230" s="250"/>
    </row>
    <row r="231" ht="14.25" customHeight="1">
      <c r="A231" s="250"/>
      <c r="B231" s="250"/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</row>
    <row r="232" ht="14.25" customHeight="1">
      <c r="A232" s="250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0"/>
      <c r="X232" s="250"/>
      <c r="Y232" s="250"/>
      <c r="Z232" s="250"/>
    </row>
    <row r="233" ht="14.25" customHeight="1">
      <c r="A233" s="250"/>
      <c r="B233" s="250"/>
      <c r="C233" s="250"/>
      <c r="D233" s="250"/>
      <c r="E233" s="250"/>
      <c r="F233" s="250"/>
      <c r="G233" s="250"/>
      <c r="H233" s="250"/>
      <c r="I233" s="250"/>
      <c r="J233" s="250"/>
      <c r="K233" s="250"/>
      <c r="L233" s="250"/>
      <c r="M233" s="250"/>
      <c r="N233" s="250"/>
      <c r="O233" s="250"/>
      <c r="P233" s="250"/>
      <c r="Q233" s="250"/>
      <c r="R233" s="250"/>
      <c r="S233" s="250"/>
      <c r="T233" s="250"/>
      <c r="U233" s="250"/>
      <c r="V233" s="250"/>
      <c r="W233" s="250"/>
      <c r="X233" s="250"/>
      <c r="Y233" s="250"/>
      <c r="Z233" s="250"/>
    </row>
    <row r="234" ht="14.25" customHeight="1">
      <c r="A234" s="250"/>
      <c r="B234" s="250"/>
      <c r="C234" s="250"/>
      <c r="D234" s="250"/>
      <c r="E234" s="250"/>
      <c r="F234" s="250"/>
      <c r="G234" s="250"/>
      <c r="H234" s="250"/>
      <c r="I234" s="250"/>
      <c r="J234" s="250"/>
      <c r="K234" s="250"/>
      <c r="L234" s="250"/>
      <c r="M234" s="250"/>
      <c r="N234" s="250"/>
      <c r="O234" s="250"/>
      <c r="P234" s="250"/>
      <c r="Q234" s="250"/>
      <c r="R234" s="250"/>
      <c r="S234" s="250"/>
      <c r="T234" s="250"/>
      <c r="U234" s="250"/>
      <c r="V234" s="250"/>
      <c r="W234" s="250"/>
      <c r="X234" s="250"/>
      <c r="Y234" s="250"/>
      <c r="Z234" s="250"/>
    </row>
    <row r="235" ht="14.25" customHeight="1">
      <c r="A235" s="250"/>
      <c r="B235" s="250"/>
      <c r="C235" s="250"/>
      <c r="D235" s="250"/>
      <c r="E235" s="250"/>
      <c r="F235" s="250"/>
      <c r="G235" s="250"/>
      <c r="H235" s="250"/>
      <c r="I235" s="250"/>
      <c r="J235" s="250"/>
      <c r="K235" s="250"/>
      <c r="L235" s="250"/>
      <c r="M235" s="250"/>
      <c r="N235" s="250"/>
      <c r="O235" s="250"/>
      <c r="P235" s="250"/>
      <c r="Q235" s="250"/>
      <c r="R235" s="250"/>
      <c r="S235" s="250"/>
      <c r="T235" s="250"/>
      <c r="U235" s="250"/>
      <c r="V235" s="250"/>
      <c r="W235" s="250"/>
      <c r="X235" s="250"/>
      <c r="Y235" s="250"/>
      <c r="Z235" s="250"/>
    </row>
    <row r="236" ht="14.25" customHeight="1">
      <c r="A236" s="250"/>
      <c r="B236" s="250"/>
      <c r="C236" s="250"/>
      <c r="D236" s="250"/>
      <c r="E236" s="250"/>
      <c r="F236" s="250"/>
      <c r="G236" s="250"/>
      <c r="H236" s="250"/>
      <c r="I236" s="250"/>
      <c r="J236" s="250"/>
      <c r="K236" s="250"/>
      <c r="L236" s="250"/>
      <c r="M236" s="250"/>
      <c r="N236" s="250"/>
      <c r="O236" s="250"/>
      <c r="P236" s="250"/>
      <c r="Q236" s="250"/>
      <c r="R236" s="250"/>
      <c r="S236" s="250"/>
      <c r="T236" s="250"/>
      <c r="U236" s="250"/>
      <c r="V236" s="250"/>
      <c r="W236" s="250"/>
      <c r="X236" s="250"/>
      <c r="Y236" s="250"/>
      <c r="Z236" s="250"/>
    </row>
    <row r="237" ht="14.25" customHeight="1">
      <c r="A237" s="250"/>
      <c r="B237" s="250"/>
      <c r="C237" s="250"/>
      <c r="D237" s="250"/>
      <c r="E237" s="250"/>
      <c r="F237" s="250"/>
      <c r="G237" s="250"/>
      <c r="H237" s="250"/>
      <c r="I237" s="250"/>
      <c r="J237" s="250"/>
      <c r="K237" s="250"/>
      <c r="L237" s="250"/>
      <c r="M237" s="250"/>
      <c r="N237" s="250"/>
      <c r="O237" s="250"/>
      <c r="P237" s="250"/>
      <c r="Q237" s="250"/>
      <c r="R237" s="250"/>
      <c r="S237" s="250"/>
      <c r="T237" s="250"/>
      <c r="U237" s="250"/>
      <c r="V237" s="250"/>
      <c r="W237" s="250"/>
      <c r="X237" s="250"/>
      <c r="Y237" s="250"/>
      <c r="Z237" s="250"/>
    </row>
    <row r="238" ht="14.25" customHeight="1">
      <c r="A238" s="250"/>
      <c r="B238" s="250"/>
      <c r="C238" s="250"/>
      <c r="D238" s="250"/>
      <c r="E238" s="250"/>
      <c r="F238" s="250"/>
      <c r="G238" s="250"/>
      <c r="H238" s="250"/>
      <c r="I238" s="250"/>
      <c r="J238" s="250"/>
      <c r="K238" s="250"/>
      <c r="L238" s="250"/>
      <c r="M238" s="250"/>
      <c r="N238" s="250"/>
      <c r="O238" s="250"/>
      <c r="P238" s="250"/>
      <c r="Q238" s="250"/>
      <c r="R238" s="250"/>
      <c r="S238" s="250"/>
      <c r="T238" s="250"/>
      <c r="U238" s="250"/>
      <c r="V238" s="250"/>
      <c r="W238" s="250"/>
      <c r="X238" s="250"/>
      <c r="Y238" s="250"/>
      <c r="Z238" s="250"/>
    </row>
    <row r="239" ht="14.25" customHeight="1">
      <c r="A239" s="250"/>
      <c r="B239" s="250"/>
      <c r="C239" s="250"/>
      <c r="D239" s="250"/>
      <c r="E239" s="250"/>
      <c r="F239" s="250"/>
      <c r="G239" s="250"/>
      <c r="H239" s="250"/>
      <c r="I239" s="250"/>
      <c r="J239" s="250"/>
      <c r="K239" s="250"/>
      <c r="L239" s="250"/>
      <c r="M239" s="250"/>
      <c r="N239" s="250"/>
      <c r="O239" s="250"/>
      <c r="P239" s="250"/>
      <c r="Q239" s="250"/>
      <c r="R239" s="250"/>
      <c r="S239" s="250"/>
      <c r="T239" s="250"/>
      <c r="U239" s="250"/>
      <c r="V239" s="250"/>
      <c r="W239" s="250"/>
      <c r="X239" s="250"/>
      <c r="Y239" s="250"/>
      <c r="Z239" s="250"/>
    </row>
    <row r="240" ht="14.25" customHeight="1">
      <c r="A240" s="250"/>
      <c r="B240" s="250"/>
      <c r="C240" s="250"/>
      <c r="D240" s="250"/>
      <c r="E240" s="250"/>
      <c r="F240" s="250"/>
      <c r="G240" s="250"/>
      <c r="H240" s="250"/>
      <c r="I240" s="250"/>
      <c r="J240" s="250"/>
      <c r="K240" s="250"/>
      <c r="L240" s="250"/>
      <c r="M240" s="250"/>
      <c r="N240" s="250"/>
      <c r="O240" s="250"/>
      <c r="P240" s="250"/>
      <c r="Q240" s="250"/>
      <c r="R240" s="250"/>
      <c r="S240" s="250"/>
      <c r="T240" s="250"/>
      <c r="U240" s="250"/>
      <c r="V240" s="250"/>
      <c r="W240" s="250"/>
      <c r="X240" s="250"/>
      <c r="Y240" s="250"/>
      <c r="Z240" s="250"/>
    </row>
    <row r="241" ht="14.25" customHeight="1">
      <c r="A241" s="250"/>
      <c r="B241" s="250"/>
      <c r="C241" s="250"/>
      <c r="D241" s="250"/>
      <c r="E241" s="250"/>
      <c r="F241" s="250"/>
      <c r="G241" s="250"/>
      <c r="H241" s="250"/>
      <c r="I241" s="250"/>
      <c r="J241" s="250"/>
      <c r="K241" s="250"/>
      <c r="L241" s="250"/>
      <c r="M241" s="250"/>
      <c r="N241" s="250"/>
      <c r="O241" s="250"/>
      <c r="P241" s="250"/>
      <c r="Q241" s="250"/>
      <c r="R241" s="250"/>
      <c r="S241" s="250"/>
      <c r="T241" s="250"/>
      <c r="U241" s="250"/>
      <c r="V241" s="250"/>
      <c r="W241" s="250"/>
      <c r="X241" s="250"/>
      <c r="Y241" s="250"/>
      <c r="Z241" s="250"/>
    </row>
    <row r="242" ht="14.25" customHeight="1">
      <c r="A242" s="250"/>
      <c r="B242" s="250"/>
      <c r="C242" s="250"/>
      <c r="D242" s="250"/>
      <c r="E242" s="250"/>
      <c r="F242" s="250"/>
      <c r="G242" s="250"/>
      <c r="H242" s="250"/>
      <c r="I242" s="250"/>
      <c r="J242" s="250"/>
      <c r="K242" s="250"/>
      <c r="L242" s="250"/>
      <c r="M242" s="250"/>
      <c r="N242" s="250"/>
      <c r="O242" s="250"/>
      <c r="P242" s="250"/>
      <c r="Q242" s="250"/>
      <c r="R242" s="250"/>
      <c r="S242" s="250"/>
      <c r="T242" s="250"/>
      <c r="U242" s="250"/>
      <c r="V242" s="250"/>
      <c r="W242" s="250"/>
      <c r="X242" s="250"/>
      <c r="Y242" s="250"/>
      <c r="Z242" s="250"/>
    </row>
    <row r="243" ht="14.25" customHeight="1">
      <c r="A243" s="250"/>
      <c r="B243" s="250"/>
      <c r="C243" s="250"/>
      <c r="D243" s="250"/>
      <c r="E243" s="250"/>
      <c r="F243" s="250"/>
      <c r="G243" s="250"/>
      <c r="H243" s="250"/>
      <c r="I243" s="250"/>
      <c r="J243" s="250"/>
      <c r="K243" s="250"/>
      <c r="L243" s="250"/>
      <c r="M243" s="250"/>
      <c r="N243" s="250"/>
      <c r="O243" s="250"/>
      <c r="P243" s="250"/>
      <c r="Q243" s="250"/>
      <c r="R243" s="250"/>
      <c r="S243" s="250"/>
      <c r="T243" s="250"/>
      <c r="U243" s="250"/>
      <c r="V243" s="250"/>
      <c r="W243" s="250"/>
      <c r="X243" s="250"/>
      <c r="Y243" s="250"/>
      <c r="Z243" s="250"/>
    </row>
    <row r="244" ht="14.25" customHeight="1">
      <c r="A244" s="250"/>
      <c r="B244" s="250"/>
      <c r="C244" s="250"/>
      <c r="D244" s="250"/>
      <c r="E244" s="250"/>
      <c r="F244" s="250"/>
      <c r="G244" s="250"/>
      <c r="H244" s="250"/>
      <c r="I244" s="250"/>
      <c r="J244" s="250"/>
      <c r="K244" s="250"/>
      <c r="L244" s="250"/>
      <c r="M244" s="250"/>
      <c r="N244" s="250"/>
      <c r="O244" s="250"/>
      <c r="P244" s="250"/>
      <c r="Q244" s="250"/>
      <c r="R244" s="250"/>
      <c r="S244" s="250"/>
      <c r="T244" s="250"/>
      <c r="U244" s="250"/>
      <c r="V244" s="250"/>
      <c r="W244" s="250"/>
      <c r="X244" s="250"/>
      <c r="Y244" s="250"/>
      <c r="Z244" s="250"/>
    </row>
    <row r="245" ht="14.25" customHeight="1">
      <c r="A245" s="250"/>
      <c r="B245" s="250"/>
      <c r="C245" s="250"/>
      <c r="D245" s="250"/>
      <c r="E245" s="250"/>
      <c r="F245" s="250"/>
      <c r="G245" s="250"/>
      <c r="H245" s="250"/>
      <c r="I245" s="250"/>
      <c r="J245" s="250"/>
      <c r="K245" s="250"/>
      <c r="L245" s="250"/>
      <c r="M245" s="250"/>
      <c r="N245" s="250"/>
      <c r="O245" s="250"/>
      <c r="P245" s="250"/>
      <c r="Q245" s="250"/>
      <c r="R245" s="250"/>
      <c r="S245" s="250"/>
      <c r="T245" s="250"/>
      <c r="U245" s="250"/>
      <c r="V245" s="250"/>
      <c r="W245" s="250"/>
      <c r="X245" s="250"/>
      <c r="Y245" s="250"/>
      <c r="Z245" s="250"/>
    </row>
    <row r="246" ht="14.25" customHeight="1">
      <c r="A246" s="250"/>
      <c r="B246" s="250"/>
      <c r="C246" s="250"/>
      <c r="D246" s="250"/>
      <c r="E246" s="250"/>
      <c r="F246" s="250"/>
      <c r="G246" s="250"/>
      <c r="H246" s="250"/>
      <c r="I246" s="250"/>
      <c r="J246" s="250"/>
      <c r="K246" s="250"/>
      <c r="L246" s="250"/>
      <c r="M246" s="250"/>
      <c r="N246" s="250"/>
      <c r="O246" s="250"/>
      <c r="P246" s="250"/>
      <c r="Q246" s="250"/>
      <c r="R246" s="250"/>
      <c r="S246" s="250"/>
      <c r="T246" s="250"/>
      <c r="U246" s="250"/>
      <c r="V246" s="250"/>
      <c r="W246" s="250"/>
      <c r="X246" s="250"/>
      <c r="Y246" s="250"/>
      <c r="Z246" s="250"/>
    </row>
    <row r="247" ht="14.25" customHeight="1">
      <c r="A247" s="250"/>
      <c r="B247" s="250"/>
      <c r="C247" s="250"/>
      <c r="D247" s="250"/>
      <c r="E247" s="250"/>
      <c r="F247" s="250"/>
      <c r="G247" s="250"/>
      <c r="H247" s="250"/>
      <c r="I247" s="250"/>
      <c r="J247" s="250"/>
      <c r="K247" s="250"/>
      <c r="L247" s="250"/>
      <c r="M247" s="250"/>
      <c r="N247" s="250"/>
      <c r="O247" s="250"/>
      <c r="P247" s="250"/>
      <c r="Q247" s="250"/>
      <c r="R247" s="250"/>
      <c r="S247" s="250"/>
      <c r="T247" s="250"/>
      <c r="U247" s="250"/>
      <c r="V247" s="250"/>
      <c r="W247" s="250"/>
      <c r="X247" s="250"/>
      <c r="Y247" s="250"/>
      <c r="Z247" s="250"/>
    </row>
    <row r="248" ht="14.25" customHeight="1">
      <c r="A248" s="250"/>
      <c r="B248" s="250"/>
      <c r="C248" s="250"/>
      <c r="D248" s="250"/>
      <c r="E248" s="250"/>
      <c r="F248" s="250"/>
      <c r="G248" s="250"/>
      <c r="H248" s="250"/>
      <c r="I248" s="250"/>
      <c r="J248" s="250"/>
      <c r="K248" s="250"/>
      <c r="L248" s="250"/>
      <c r="M248" s="250"/>
      <c r="N248" s="250"/>
      <c r="O248" s="250"/>
      <c r="P248" s="250"/>
      <c r="Q248" s="250"/>
      <c r="R248" s="250"/>
      <c r="S248" s="250"/>
      <c r="T248" s="250"/>
      <c r="U248" s="250"/>
      <c r="V248" s="250"/>
      <c r="W248" s="250"/>
      <c r="X248" s="250"/>
      <c r="Y248" s="250"/>
      <c r="Z248" s="250"/>
    </row>
    <row r="249" ht="14.25" customHeight="1">
      <c r="A249" s="250"/>
      <c r="B249" s="250"/>
      <c r="C249" s="250"/>
      <c r="D249" s="250"/>
      <c r="E249" s="250"/>
      <c r="F249" s="250"/>
      <c r="G249" s="250"/>
      <c r="H249" s="250"/>
      <c r="I249" s="250"/>
      <c r="J249" s="250"/>
      <c r="K249" s="250"/>
      <c r="L249" s="250"/>
      <c r="M249" s="250"/>
      <c r="N249" s="250"/>
      <c r="O249" s="250"/>
      <c r="P249" s="250"/>
      <c r="Q249" s="250"/>
      <c r="R249" s="250"/>
      <c r="S249" s="250"/>
      <c r="T249" s="250"/>
      <c r="U249" s="250"/>
      <c r="V249" s="250"/>
      <c r="W249" s="250"/>
      <c r="X249" s="250"/>
      <c r="Y249" s="250"/>
      <c r="Z249" s="250"/>
    </row>
    <row r="250" ht="14.25" customHeight="1">
      <c r="A250" s="250"/>
      <c r="B250" s="250"/>
      <c r="C250" s="250"/>
      <c r="D250" s="250"/>
      <c r="E250" s="250"/>
      <c r="F250" s="250"/>
      <c r="G250" s="250"/>
      <c r="H250" s="250"/>
      <c r="I250" s="250"/>
      <c r="J250" s="250"/>
      <c r="K250" s="250"/>
      <c r="L250" s="250"/>
      <c r="M250" s="250"/>
      <c r="N250" s="250"/>
      <c r="O250" s="250"/>
      <c r="P250" s="250"/>
      <c r="Q250" s="250"/>
      <c r="R250" s="250"/>
      <c r="S250" s="250"/>
      <c r="T250" s="250"/>
      <c r="U250" s="250"/>
      <c r="V250" s="250"/>
      <c r="W250" s="250"/>
      <c r="X250" s="250"/>
      <c r="Y250" s="250"/>
      <c r="Z250" s="250"/>
    </row>
    <row r="251" ht="14.25" customHeight="1">
      <c r="A251" s="250"/>
      <c r="B251" s="250"/>
      <c r="C251" s="250"/>
      <c r="D251" s="250"/>
      <c r="E251" s="250"/>
      <c r="F251" s="250"/>
      <c r="G251" s="250"/>
      <c r="H251" s="250"/>
      <c r="I251" s="250"/>
      <c r="J251" s="250"/>
      <c r="K251" s="250"/>
      <c r="L251" s="250"/>
      <c r="M251" s="250"/>
      <c r="N251" s="250"/>
      <c r="O251" s="250"/>
      <c r="P251" s="250"/>
      <c r="Q251" s="250"/>
      <c r="R251" s="250"/>
      <c r="S251" s="250"/>
      <c r="T251" s="250"/>
      <c r="U251" s="250"/>
      <c r="V251" s="250"/>
      <c r="W251" s="250"/>
      <c r="X251" s="250"/>
      <c r="Y251" s="250"/>
      <c r="Z251" s="250"/>
    </row>
    <row r="252" ht="14.25" customHeight="1">
      <c r="A252" s="250"/>
      <c r="B252" s="250"/>
      <c r="C252" s="250"/>
      <c r="D252" s="250"/>
      <c r="E252" s="250"/>
      <c r="F252" s="250"/>
      <c r="G252" s="250"/>
      <c r="H252" s="250"/>
      <c r="I252" s="250"/>
      <c r="J252" s="250"/>
      <c r="K252" s="250"/>
      <c r="L252" s="250"/>
      <c r="M252" s="250"/>
      <c r="N252" s="250"/>
      <c r="O252" s="250"/>
      <c r="P252" s="250"/>
      <c r="Q252" s="250"/>
      <c r="R252" s="250"/>
      <c r="S252" s="250"/>
      <c r="T252" s="250"/>
      <c r="U252" s="250"/>
      <c r="V252" s="250"/>
      <c r="W252" s="250"/>
      <c r="X252" s="250"/>
      <c r="Y252" s="250"/>
      <c r="Z252" s="250"/>
    </row>
    <row r="253" ht="14.25" customHeight="1">
      <c r="A253" s="250"/>
      <c r="B253" s="250"/>
      <c r="C253" s="250"/>
      <c r="D253" s="250"/>
      <c r="E253" s="250"/>
      <c r="F253" s="250"/>
      <c r="G253" s="250"/>
      <c r="H253" s="250"/>
      <c r="I253" s="250"/>
      <c r="J253" s="250"/>
      <c r="K253" s="250"/>
      <c r="L253" s="250"/>
      <c r="M253" s="250"/>
      <c r="N253" s="250"/>
      <c r="O253" s="250"/>
      <c r="P253" s="250"/>
      <c r="Q253" s="250"/>
      <c r="R253" s="250"/>
      <c r="S253" s="250"/>
      <c r="T253" s="250"/>
      <c r="U253" s="250"/>
      <c r="V253" s="250"/>
      <c r="W253" s="250"/>
      <c r="X253" s="250"/>
      <c r="Y253" s="250"/>
      <c r="Z253" s="250"/>
    </row>
    <row r="254" ht="14.25" customHeight="1">
      <c r="A254" s="250"/>
      <c r="B254" s="250"/>
      <c r="C254" s="250"/>
      <c r="D254" s="250"/>
      <c r="E254" s="250"/>
      <c r="F254" s="250"/>
      <c r="G254" s="250"/>
      <c r="H254" s="250"/>
      <c r="I254" s="250"/>
      <c r="J254" s="250"/>
      <c r="K254" s="250"/>
      <c r="L254" s="250"/>
      <c r="M254" s="250"/>
      <c r="N254" s="250"/>
      <c r="O254" s="250"/>
      <c r="P254" s="250"/>
      <c r="Q254" s="250"/>
      <c r="R254" s="250"/>
      <c r="S254" s="250"/>
      <c r="T254" s="250"/>
      <c r="U254" s="250"/>
      <c r="V254" s="250"/>
      <c r="W254" s="250"/>
      <c r="X254" s="250"/>
      <c r="Y254" s="250"/>
      <c r="Z254" s="250"/>
    </row>
    <row r="255" ht="14.25" customHeight="1">
      <c r="A255" s="250"/>
      <c r="B255" s="250"/>
      <c r="C255" s="250"/>
      <c r="D255" s="250"/>
      <c r="E255" s="250"/>
      <c r="F255" s="250"/>
      <c r="G255" s="250"/>
      <c r="H255" s="250"/>
      <c r="I255" s="250"/>
      <c r="J255" s="250"/>
      <c r="K255" s="250"/>
      <c r="L255" s="250"/>
      <c r="M255" s="250"/>
      <c r="N255" s="250"/>
      <c r="O255" s="250"/>
      <c r="P255" s="250"/>
      <c r="Q255" s="250"/>
      <c r="R255" s="250"/>
      <c r="S255" s="250"/>
      <c r="T255" s="250"/>
      <c r="U255" s="250"/>
      <c r="V255" s="250"/>
      <c r="W255" s="250"/>
      <c r="X255" s="250"/>
      <c r="Y255" s="250"/>
      <c r="Z255" s="250"/>
    </row>
    <row r="256" ht="14.25" customHeight="1">
      <c r="A256" s="250"/>
      <c r="B256" s="250"/>
      <c r="C256" s="250"/>
      <c r="D256" s="250"/>
      <c r="E256" s="250"/>
      <c r="F256" s="250"/>
      <c r="G256" s="250"/>
      <c r="H256" s="250"/>
      <c r="I256" s="250"/>
      <c r="J256" s="250"/>
      <c r="K256" s="250"/>
      <c r="L256" s="250"/>
      <c r="M256" s="250"/>
      <c r="N256" s="250"/>
      <c r="O256" s="250"/>
      <c r="P256" s="250"/>
      <c r="Q256" s="250"/>
      <c r="R256" s="250"/>
      <c r="S256" s="250"/>
      <c r="T256" s="250"/>
      <c r="U256" s="250"/>
      <c r="V256" s="250"/>
      <c r="W256" s="250"/>
      <c r="X256" s="250"/>
      <c r="Y256" s="250"/>
      <c r="Z256" s="250"/>
    </row>
    <row r="257" ht="14.25" customHeight="1">
      <c r="A257" s="250"/>
      <c r="B257" s="250"/>
      <c r="C257" s="250"/>
      <c r="D257" s="250"/>
      <c r="E257" s="250"/>
      <c r="F257" s="250"/>
      <c r="G257" s="250"/>
      <c r="H257" s="250"/>
      <c r="I257" s="250"/>
      <c r="J257" s="250"/>
      <c r="K257" s="250"/>
      <c r="L257" s="250"/>
      <c r="M257" s="250"/>
      <c r="N257" s="250"/>
      <c r="O257" s="250"/>
      <c r="P257" s="250"/>
      <c r="Q257" s="250"/>
      <c r="R257" s="250"/>
      <c r="S257" s="250"/>
      <c r="T257" s="250"/>
      <c r="U257" s="250"/>
      <c r="V257" s="250"/>
      <c r="W257" s="250"/>
      <c r="X257" s="250"/>
      <c r="Y257" s="250"/>
      <c r="Z257" s="250"/>
    </row>
    <row r="258" ht="14.25" customHeight="1">
      <c r="A258" s="250"/>
      <c r="B258" s="250"/>
      <c r="C258" s="250"/>
      <c r="D258" s="250"/>
      <c r="E258" s="250"/>
      <c r="F258" s="250"/>
      <c r="G258" s="250"/>
      <c r="H258" s="250"/>
      <c r="I258" s="250"/>
      <c r="J258" s="250"/>
      <c r="K258" s="250"/>
      <c r="L258" s="250"/>
      <c r="M258" s="250"/>
      <c r="N258" s="250"/>
      <c r="O258" s="250"/>
      <c r="P258" s="250"/>
      <c r="Q258" s="250"/>
      <c r="R258" s="250"/>
      <c r="S258" s="250"/>
      <c r="T258" s="250"/>
      <c r="U258" s="250"/>
      <c r="V258" s="250"/>
      <c r="W258" s="250"/>
      <c r="X258" s="250"/>
      <c r="Y258" s="250"/>
      <c r="Z258" s="250"/>
    </row>
    <row r="259" ht="14.25" customHeight="1">
      <c r="A259" s="250"/>
      <c r="B259" s="250"/>
      <c r="C259" s="250"/>
      <c r="D259" s="250"/>
      <c r="E259" s="250"/>
      <c r="F259" s="250"/>
      <c r="G259" s="250"/>
      <c r="H259" s="250"/>
      <c r="I259" s="250"/>
      <c r="J259" s="250"/>
      <c r="K259" s="250"/>
      <c r="L259" s="250"/>
      <c r="M259" s="250"/>
      <c r="N259" s="250"/>
      <c r="O259" s="250"/>
      <c r="P259" s="250"/>
      <c r="Q259" s="250"/>
      <c r="R259" s="250"/>
      <c r="S259" s="250"/>
      <c r="T259" s="250"/>
      <c r="U259" s="250"/>
      <c r="V259" s="250"/>
      <c r="W259" s="250"/>
      <c r="X259" s="250"/>
      <c r="Y259" s="250"/>
      <c r="Z259" s="250"/>
    </row>
    <row r="260" ht="14.25" customHeight="1">
      <c r="A260" s="250"/>
      <c r="B260" s="250"/>
      <c r="C260" s="250"/>
      <c r="D260" s="250"/>
      <c r="E260" s="250"/>
      <c r="F260" s="250"/>
      <c r="G260" s="250"/>
      <c r="H260" s="250"/>
      <c r="I260" s="250"/>
      <c r="J260" s="250"/>
      <c r="K260" s="250"/>
      <c r="L260" s="250"/>
      <c r="M260" s="250"/>
      <c r="N260" s="250"/>
      <c r="O260" s="250"/>
      <c r="P260" s="250"/>
      <c r="Q260" s="250"/>
      <c r="R260" s="250"/>
      <c r="S260" s="250"/>
      <c r="T260" s="250"/>
      <c r="U260" s="250"/>
      <c r="V260" s="250"/>
      <c r="W260" s="250"/>
      <c r="X260" s="250"/>
      <c r="Y260" s="250"/>
      <c r="Z260" s="250"/>
    </row>
    <row r="261" ht="14.25" customHeight="1">
      <c r="A261" s="250"/>
      <c r="B261" s="250"/>
      <c r="C261" s="250"/>
      <c r="D261" s="250"/>
      <c r="E261" s="250"/>
      <c r="F261" s="250"/>
      <c r="G261" s="250"/>
      <c r="H261" s="250"/>
      <c r="I261" s="250"/>
      <c r="J261" s="250"/>
      <c r="K261" s="250"/>
      <c r="L261" s="250"/>
      <c r="M261" s="250"/>
      <c r="N261" s="250"/>
      <c r="O261" s="250"/>
      <c r="P261" s="250"/>
      <c r="Q261" s="250"/>
      <c r="R261" s="250"/>
      <c r="S261" s="250"/>
      <c r="T261" s="250"/>
      <c r="U261" s="250"/>
      <c r="V261" s="250"/>
      <c r="W261" s="250"/>
      <c r="X261" s="250"/>
      <c r="Y261" s="250"/>
      <c r="Z261" s="250"/>
    </row>
    <row r="262" ht="14.25" customHeight="1">
      <c r="A262" s="250"/>
      <c r="B262" s="250"/>
      <c r="C262" s="250"/>
      <c r="D262" s="250"/>
      <c r="E262" s="250"/>
      <c r="F262" s="250"/>
      <c r="G262" s="250"/>
      <c r="H262" s="250"/>
      <c r="I262" s="250"/>
      <c r="J262" s="250"/>
      <c r="K262" s="250"/>
      <c r="L262" s="250"/>
      <c r="M262" s="250"/>
      <c r="N262" s="250"/>
      <c r="O262" s="250"/>
      <c r="P262" s="250"/>
      <c r="Q262" s="250"/>
      <c r="R262" s="250"/>
      <c r="S262" s="250"/>
      <c r="T262" s="250"/>
      <c r="U262" s="250"/>
      <c r="V262" s="250"/>
      <c r="W262" s="250"/>
      <c r="X262" s="250"/>
      <c r="Y262" s="250"/>
      <c r="Z262" s="250"/>
    </row>
    <row r="263" ht="14.25" customHeight="1">
      <c r="A263" s="250"/>
      <c r="B263" s="250"/>
      <c r="C263" s="250"/>
      <c r="D263" s="250"/>
      <c r="E263" s="250"/>
      <c r="F263" s="250"/>
      <c r="G263" s="250"/>
      <c r="H263" s="250"/>
      <c r="I263" s="250"/>
      <c r="J263" s="250"/>
      <c r="K263" s="250"/>
      <c r="L263" s="250"/>
      <c r="M263" s="250"/>
      <c r="N263" s="250"/>
      <c r="O263" s="250"/>
      <c r="P263" s="250"/>
      <c r="Q263" s="250"/>
      <c r="R263" s="250"/>
      <c r="S263" s="250"/>
      <c r="T263" s="250"/>
      <c r="U263" s="250"/>
      <c r="V263" s="250"/>
      <c r="W263" s="250"/>
      <c r="X263" s="250"/>
      <c r="Y263" s="250"/>
      <c r="Z263" s="250"/>
    </row>
    <row r="264" ht="14.25" customHeight="1">
      <c r="A264" s="250"/>
      <c r="B264" s="250"/>
      <c r="C264" s="250"/>
      <c r="D264" s="250"/>
      <c r="E264" s="250"/>
      <c r="F264" s="250"/>
      <c r="G264" s="250"/>
      <c r="H264" s="250"/>
      <c r="I264" s="250"/>
      <c r="J264" s="250"/>
      <c r="K264" s="250"/>
      <c r="L264" s="250"/>
      <c r="M264" s="250"/>
      <c r="N264" s="250"/>
      <c r="O264" s="250"/>
      <c r="P264" s="250"/>
      <c r="Q264" s="250"/>
      <c r="R264" s="250"/>
      <c r="S264" s="250"/>
      <c r="T264" s="250"/>
      <c r="U264" s="250"/>
      <c r="V264" s="250"/>
      <c r="W264" s="250"/>
      <c r="X264" s="250"/>
      <c r="Y264" s="250"/>
      <c r="Z264" s="250"/>
    </row>
    <row r="265" ht="14.25" customHeight="1">
      <c r="A265" s="250"/>
      <c r="B265" s="250"/>
      <c r="C265" s="250"/>
      <c r="D265" s="250"/>
      <c r="E265" s="250"/>
      <c r="F265" s="250"/>
      <c r="G265" s="250"/>
      <c r="H265" s="250"/>
      <c r="I265" s="250"/>
      <c r="J265" s="250"/>
      <c r="K265" s="250"/>
      <c r="L265" s="250"/>
      <c r="M265" s="250"/>
      <c r="N265" s="250"/>
      <c r="O265" s="250"/>
      <c r="P265" s="250"/>
      <c r="Q265" s="250"/>
      <c r="R265" s="250"/>
      <c r="S265" s="250"/>
      <c r="T265" s="250"/>
      <c r="U265" s="250"/>
      <c r="V265" s="250"/>
      <c r="W265" s="250"/>
      <c r="X265" s="250"/>
      <c r="Y265" s="250"/>
      <c r="Z265" s="250"/>
    </row>
    <row r="266" ht="14.25" customHeight="1">
      <c r="A266" s="250"/>
      <c r="B266" s="250"/>
      <c r="C266" s="250"/>
      <c r="D266" s="250"/>
      <c r="E266" s="250"/>
      <c r="F266" s="250"/>
      <c r="G266" s="250"/>
      <c r="H266" s="250"/>
      <c r="I266" s="250"/>
      <c r="J266" s="250"/>
      <c r="K266" s="250"/>
      <c r="L266" s="250"/>
      <c r="M266" s="250"/>
      <c r="N266" s="250"/>
      <c r="O266" s="250"/>
      <c r="P266" s="250"/>
      <c r="Q266" s="250"/>
      <c r="R266" s="250"/>
      <c r="S266" s="250"/>
      <c r="T266" s="250"/>
      <c r="U266" s="250"/>
      <c r="V266" s="250"/>
      <c r="W266" s="250"/>
      <c r="X266" s="250"/>
      <c r="Y266" s="250"/>
      <c r="Z266" s="250"/>
    </row>
    <row r="267" ht="14.25" customHeight="1">
      <c r="A267" s="250"/>
      <c r="B267" s="250"/>
      <c r="C267" s="250"/>
      <c r="D267" s="250"/>
      <c r="E267" s="250"/>
      <c r="F267" s="250"/>
      <c r="G267" s="250"/>
      <c r="H267" s="250"/>
      <c r="I267" s="250"/>
      <c r="J267" s="250"/>
      <c r="K267" s="250"/>
      <c r="L267" s="250"/>
      <c r="M267" s="250"/>
      <c r="N267" s="250"/>
      <c r="O267" s="250"/>
      <c r="P267" s="250"/>
      <c r="Q267" s="250"/>
      <c r="R267" s="250"/>
      <c r="S267" s="250"/>
      <c r="T267" s="250"/>
      <c r="U267" s="250"/>
      <c r="V267" s="250"/>
      <c r="W267" s="250"/>
      <c r="X267" s="250"/>
      <c r="Y267" s="250"/>
      <c r="Z267" s="250"/>
    </row>
    <row r="268" ht="14.25" customHeight="1">
      <c r="A268" s="250"/>
      <c r="B268" s="250"/>
      <c r="C268" s="250"/>
      <c r="D268" s="250"/>
      <c r="E268" s="250"/>
      <c r="F268" s="250"/>
      <c r="G268" s="250"/>
      <c r="H268" s="250"/>
      <c r="I268" s="250"/>
      <c r="J268" s="250"/>
      <c r="K268" s="250"/>
      <c r="L268" s="250"/>
      <c r="M268" s="250"/>
      <c r="N268" s="250"/>
      <c r="O268" s="250"/>
      <c r="P268" s="250"/>
      <c r="Q268" s="250"/>
      <c r="R268" s="250"/>
      <c r="S268" s="250"/>
      <c r="T268" s="250"/>
      <c r="U268" s="250"/>
      <c r="V268" s="250"/>
      <c r="W268" s="250"/>
      <c r="X268" s="250"/>
      <c r="Y268" s="250"/>
      <c r="Z268" s="250"/>
    </row>
    <row r="269" ht="14.25" customHeight="1">
      <c r="A269" s="250"/>
      <c r="B269" s="250"/>
      <c r="C269" s="250"/>
      <c r="D269" s="250"/>
      <c r="E269" s="250"/>
      <c r="F269" s="250"/>
      <c r="G269" s="250"/>
      <c r="H269" s="250"/>
      <c r="I269" s="250"/>
      <c r="J269" s="250"/>
      <c r="K269" s="250"/>
      <c r="L269" s="250"/>
      <c r="M269" s="250"/>
      <c r="N269" s="250"/>
      <c r="O269" s="250"/>
      <c r="P269" s="250"/>
      <c r="Q269" s="250"/>
      <c r="R269" s="250"/>
      <c r="S269" s="250"/>
      <c r="T269" s="250"/>
      <c r="U269" s="250"/>
      <c r="V269" s="250"/>
      <c r="W269" s="250"/>
      <c r="X269" s="250"/>
      <c r="Y269" s="250"/>
      <c r="Z269" s="250"/>
    </row>
    <row r="270" ht="14.25" customHeight="1">
      <c r="A270" s="250"/>
      <c r="B270" s="250"/>
      <c r="C270" s="250"/>
      <c r="D270" s="250"/>
      <c r="E270" s="250"/>
      <c r="F270" s="250"/>
      <c r="G270" s="250"/>
      <c r="H270" s="250"/>
      <c r="I270" s="250"/>
      <c r="J270" s="250"/>
      <c r="K270" s="250"/>
      <c r="L270" s="250"/>
      <c r="M270" s="250"/>
      <c r="N270" s="250"/>
      <c r="O270" s="250"/>
      <c r="P270" s="250"/>
      <c r="Q270" s="250"/>
      <c r="R270" s="250"/>
      <c r="S270" s="250"/>
      <c r="T270" s="250"/>
      <c r="U270" s="250"/>
      <c r="V270" s="250"/>
      <c r="W270" s="250"/>
      <c r="X270" s="250"/>
      <c r="Y270" s="250"/>
      <c r="Z270" s="250"/>
    </row>
    <row r="271" ht="14.25" customHeight="1">
      <c r="A271" s="250"/>
      <c r="B271" s="250"/>
      <c r="C271" s="250"/>
      <c r="D271" s="250"/>
      <c r="E271" s="250"/>
      <c r="F271" s="250"/>
      <c r="G271" s="250"/>
      <c r="H271" s="250"/>
      <c r="I271" s="250"/>
      <c r="J271" s="250"/>
      <c r="K271" s="250"/>
      <c r="L271" s="250"/>
      <c r="M271" s="250"/>
      <c r="N271" s="250"/>
      <c r="O271" s="250"/>
      <c r="P271" s="250"/>
      <c r="Q271" s="250"/>
      <c r="R271" s="250"/>
      <c r="S271" s="250"/>
      <c r="T271" s="250"/>
      <c r="U271" s="250"/>
      <c r="V271" s="250"/>
      <c r="W271" s="250"/>
      <c r="X271" s="250"/>
      <c r="Y271" s="250"/>
      <c r="Z271" s="250"/>
    </row>
    <row r="272" ht="14.25" customHeight="1">
      <c r="A272" s="250"/>
      <c r="B272" s="250"/>
      <c r="C272" s="250"/>
      <c r="D272" s="250"/>
      <c r="E272" s="250"/>
      <c r="F272" s="250"/>
      <c r="G272" s="250"/>
      <c r="H272" s="250"/>
      <c r="I272" s="250"/>
      <c r="J272" s="250"/>
      <c r="K272" s="250"/>
      <c r="L272" s="250"/>
      <c r="M272" s="250"/>
      <c r="N272" s="250"/>
      <c r="O272" s="250"/>
      <c r="P272" s="250"/>
      <c r="Q272" s="250"/>
      <c r="R272" s="250"/>
      <c r="S272" s="250"/>
      <c r="T272" s="250"/>
      <c r="U272" s="250"/>
      <c r="V272" s="250"/>
      <c r="W272" s="250"/>
      <c r="X272" s="250"/>
      <c r="Y272" s="250"/>
      <c r="Z272" s="250"/>
    </row>
    <row r="273" ht="14.25" customHeight="1">
      <c r="A273" s="250"/>
      <c r="B273" s="250"/>
      <c r="C273" s="250"/>
      <c r="D273" s="250"/>
      <c r="E273" s="250"/>
      <c r="F273" s="250"/>
      <c r="G273" s="250"/>
      <c r="H273" s="250"/>
      <c r="I273" s="250"/>
      <c r="J273" s="250"/>
      <c r="K273" s="250"/>
      <c r="L273" s="250"/>
      <c r="M273" s="250"/>
      <c r="N273" s="250"/>
      <c r="O273" s="250"/>
      <c r="P273" s="250"/>
      <c r="Q273" s="250"/>
      <c r="R273" s="250"/>
      <c r="S273" s="250"/>
      <c r="T273" s="250"/>
      <c r="U273" s="250"/>
      <c r="V273" s="250"/>
      <c r="W273" s="250"/>
      <c r="X273" s="250"/>
      <c r="Y273" s="250"/>
      <c r="Z273" s="250"/>
    </row>
    <row r="274" ht="14.25" customHeight="1">
      <c r="A274" s="250"/>
      <c r="B274" s="250"/>
      <c r="C274" s="250"/>
      <c r="D274" s="250"/>
      <c r="E274" s="250"/>
      <c r="F274" s="250"/>
      <c r="G274" s="250"/>
      <c r="H274" s="250"/>
      <c r="I274" s="250"/>
      <c r="J274" s="250"/>
      <c r="K274" s="250"/>
      <c r="L274" s="250"/>
      <c r="M274" s="250"/>
      <c r="N274" s="250"/>
      <c r="O274" s="250"/>
      <c r="P274" s="250"/>
      <c r="Q274" s="250"/>
      <c r="R274" s="250"/>
      <c r="S274" s="250"/>
      <c r="T274" s="250"/>
      <c r="U274" s="250"/>
      <c r="V274" s="250"/>
      <c r="W274" s="250"/>
      <c r="X274" s="250"/>
      <c r="Y274" s="250"/>
      <c r="Z274" s="250"/>
    </row>
    <row r="275" ht="14.25" customHeight="1">
      <c r="A275" s="250"/>
      <c r="B275" s="250"/>
      <c r="C275" s="250"/>
      <c r="D275" s="250"/>
      <c r="E275" s="250"/>
      <c r="F275" s="250"/>
      <c r="G275" s="250"/>
      <c r="H275" s="250"/>
      <c r="I275" s="250"/>
      <c r="J275" s="250"/>
      <c r="K275" s="250"/>
      <c r="L275" s="250"/>
      <c r="M275" s="250"/>
      <c r="N275" s="250"/>
      <c r="O275" s="250"/>
      <c r="P275" s="250"/>
      <c r="Q275" s="250"/>
      <c r="R275" s="250"/>
      <c r="S275" s="250"/>
      <c r="T275" s="250"/>
      <c r="U275" s="250"/>
      <c r="V275" s="250"/>
      <c r="W275" s="250"/>
      <c r="X275" s="250"/>
      <c r="Y275" s="250"/>
      <c r="Z275" s="250"/>
    </row>
    <row r="276" ht="14.25" customHeight="1">
      <c r="A276" s="250"/>
      <c r="B276" s="250"/>
      <c r="C276" s="250"/>
      <c r="D276" s="250"/>
      <c r="E276" s="250"/>
      <c r="F276" s="250"/>
      <c r="G276" s="250"/>
      <c r="H276" s="250"/>
      <c r="I276" s="250"/>
      <c r="J276" s="250"/>
      <c r="K276" s="250"/>
      <c r="L276" s="250"/>
      <c r="M276" s="250"/>
      <c r="N276" s="250"/>
      <c r="O276" s="250"/>
      <c r="P276" s="250"/>
      <c r="Q276" s="250"/>
      <c r="R276" s="250"/>
      <c r="S276" s="250"/>
      <c r="T276" s="250"/>
      <c r="U276" s="250"/>
      <c r="V276" s="250"/>
      <c r="W276" s="250"/>
      <c r="X276" s="250"/>
      <c r="Y276" s="250"/>
      <c r="Z276" s="250"/>
    </row>
    <row r="277" ht="14.25" customHeight="1">
      <c r="A277" s="250"/>
      <c r="B277" s="250"/>
      <c r="C277" s="250"/>
      <c r="D277" s="250"/>
      <c r="E277" s="250"/>
      <c r="F277" s="250"/>
      <c r="G277" s="250"/>
      <c r="H277" s="250"/>
      <c r="I277" s="250"/>
      <c r="J277" s="250"/>
      <c r="K277" s="250"/>
      <c r="L277" s="250"/>
      <c r="M277" s="250"/>
      <c r="N277" s="250"/>
      <c r="O277" s="250"/>
      <c r="P277" s="250"/>
      <c r="Q277" s="250"/>
      <c r="R277" s="250"/>
      <c r="S277" s="250"/>
      <c r="T277" s="250"/>
      <c r="U277" s="250"/>
      <c r="V277" s="250"/>
      <c r="W277" s="250"/>
      <c r="X277" s="250"/>
      <c r="Y277" s="250"/>
      <c r="Z277" s="250"/>
    </row>
    <row r="278" ht="14.25" customHeight="1">
      <c r="A278" s="250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0"/>
      <c r="X278" s="250"/>
      <c r="Y278" s="250"/>
      <c r="Z278" s="250"/>
    </row>
    <row r="279" ht="14.25" customHeight="1">
      <c r="A279" s="250"/>
      <c r="B279" s="250"/>
      <c r="C279" s="250"/>
      <c r="D279" s="250"/>
      <c r="E279" s="250"/>
      <c r="F279" s="250"/>
      <c r="G279" s="250"/>
      <c r="H279" s="250"/>
      <c r="I279" s="250"/>
      <c r="J279" s="250"/>
      <c r="K279" s="250"/>
      <c r="L279" s="250"/>
      <c r="M279" s="250"/>
      <c r="N279" s="250"/>
      <c r="O279" s="250"/>
      <c r="P279" s="250"/>
      <c r="Q279" s="250"/>
      <c r="R279" s="250"/>
      <c r="S279" s="250"/>
      <c r="T279" s="250"/>
      <c r="U279" s="250"/>
      <c r="V279" s="250"/>
      <c r="W279" s="250"/>
      <c r="X279" s="250"/>
      <c r="Y279" s="250"/>
      <c r="Z279" s="250"/>
    </row>
    <row r="280" ht="14.25" customHeight="1">
      <c r="A280" s="250"/>
      <c r="B280" s="250"/>
      <c r="C280" s="250"/>
      <c r="D280" s="250"/>
      <c r="E280" s="250"/>
      <c r="F280" s="250"/>
      <c r="G280" s="250"/>
      <c r="H280" s="250"/>
      <c r="I280" s="250"/>
      <c r="J280" s="250"/>
      <c r="K280" s="250"/>
      <c r="L280" s="250"/>
      <c r="M280" s="250"/>
      <c r="N280" s="250"/>
      <c r="O280" s="250"/>
      <c r="P280" s="250"/>
      <c r="Q280" s="250"/>
      <c r="R280" s="250"/>
      <c r="S280" s="250"/>
      <c r="T280" s="250"/>
      <c r="U280" s="250"/>
      <c r="V280" s="250"/>
      <c r="W280" s="250"/>
      <c r="X280" s="250"/>
      <c r="Y280" s="250"/>
      <c r="Z280" s="250"/>
    </row>
    <row r="281" ht="14.25" customHeight="1">
      <c r="A281" s="250"/>
      <c r="B281" s="250"/>
      <c r="C281" s="250"/>
      <c r="D281" s="250"/>
      <c r="E281" s="250"/>
      <c r="F281" s="250"/>
      <c r="G281" s="250"/>
      <c r="H281" s="250"/>
      <c r="I281" s="250"/>
      <c r="J281" s="250"/>
      <c r="K281" s="250"/>
      <c r="L281" s="250"/>
      <c r="M281" s="250"/>
      <c r="N281" s="250"/>
      <c r="O281" s="250"/>
      <c r="P281" s="250"/>
      <c r="Q281" s="250"/>
      <c r="R281" s="250"/>
      <c r="S281" s="250"/>
      <c r="T281" s="250"/>
      <c r="U281" s="250"/>
      <c r="V281" s="250"/>
      <c r="W281" s="250"/>
      <c r="X281" s="250"/>
      <c r="Y281" s="250"/>
      <c r="Z281" s="250"/>
    </row>
    <row r="282" ht="14.25" customHeight="1">
      <c r="A282" s="250"/>
      <c r="B282" s="250"/>
      <c r="C282" s="250"/>
      <c r="D282" s="250"/>
      <c r="E282" s="250"/>
      <c r="F282" s="250"/>
      <c r="G282" s="250"/>
      <c r="H282" s="250"/>
      <c r="I282" s="250"/>
      <c r="J282" s="250"/>
      <c r="K282" s="250"/>
      <c r="L282" s="250"/>
      <c r="M282" s="250"/>
      <c r="N282" s="250"/>
      <c r="O282" s="250"/>
      <c r="P282" s="250"/>
      <c r="Q282" s="250"/>
      <c r="R282" s="250"/>
      <c r="S282" s="250"/>
      <c r="T282" s="250"/>
      <c r="U282" s="250"/>
      <c r="V282" s="250"/>
      <c r="W282" s="250"/>
      <c r="X282" s="250"/>
      <c r="Y282" s="250"/>
      <c r="Z282" s="250"/>
    </row>
    <row r="283" ht="14.25" customHeight="1">
      <c r="A283" s="250"/>
      <c r="B283" s="250"/>
      <c r="C283" s="250"/>
      <c r="D283" s="250"/>
      <c r="E283" s="250"/>
      <c r="F283" s="250"/>
      <c r="G283" s="250"/>
      <c r="H283" s="250"/>
      <c r="I283" s="250"/>
      <c r="J283" s="250"/>
      <c r="K283" s="250"/>
      <c r="L283" s="250"/>
      <c r="M283" s="250"/>
      <c r="N283" s="250"/>
      <c r="O283" s="250"/>
      <c r="P283" s="250"/>
      <c r="Q283" s="250"/>
      <c r="R283" s="250"/>
      <c r="S283" s="250"/>
      <c r="T283" s="250"/>
      <c r="U283" s="250"/>
      <c r="V283" s="250"/>
      <c r="W283" s="250"/>
      <c r="X283" s="250"/>
      <c r="Y283" s="250"/>
      <c r="Z283" s="250"/>
    </row>
    <row r="284" ht="14.25" customHeight="1">
      <c r="A284" s="250"/>
      <c r="B284" s="250"/>
      <c r="C284" s="250"/>
      <c r="D284" s="250"/>
      <c r="E284" s="250"/>
      <c r="F284" s="250"/>
      <c r="G284" s="250"/>
      <c r="H284" s="250"/>
      <c r="I284" s="250"/>
      <c r="J284" s="250"/>
      <c r="K284" s="250"/>
      <c r="L284" s="250"/>
      <c r="M284" s="250"/>
      <c r="N284" s="250"/>
      <c r="O284" s="250"/>
      <c r="P284" s="250"/>
      <c r="Q284" s="250"/>
      <c r="R284" s="250"/>
      <c r="S284" s="250"/>
      <c r="T284" s="250"/>
      <c r="U284" s="250"/>
      <c r="V284" s="250"/>
      <c r="W284" s="250"/>
      <c r="X284" s="250"/>
      <c r="Y284" s="250"/>
      <c r="Z284" s="250"/>
    </row>
    <row r="285" ht="14.25" customHeight="1">
      <c r="A285" s="250"/>
      <c r="B285" s="250"/>
      <c r="C285" s="250"/>
      <c r="D285" s="250"/>
      <c r="E285" s="250"/>
      <c r="F285" s="250"/>
      <c r="G285" s="250"/>
      <c r="H285" s="250"/>
      <c r="I285" s="250"/>
      <c r="J285" s="250"/>
      <c r="K285" s="250"/>
      <c r="L285" s="250"/>
      <c r="M285" s="250"/>
      <c r="N285" s="250"/>
      <c r="O285" s="250"/>
      <c r="P285" s="250"/>
      <c r="Q285" s="250"/>
      <c r="R285" s="250"/>
      <c r="S285" s="250"/>
      <c r="T285" s="250"/>
      <c r="U285" s="250"/>
      <c r="V285" s="250"/>
      <c r="W285" s="250"/>
      <c r="X285" s="250"/>
      <c r="Y285" s="250"/>
      <c r="Z285" s="250"/>
    </row>
    <row r="286" ht="14.25" customHeight="1">
      <c r="A286" s="250"/>
      <c r="B286" s="250"/>
      <c r="C286" s="250"/>
      <c r="D286" s="250"/>
      <c r="E286" s="250"/>
      <c r="F286" s="250"/>
      <c r="G286" s="250"/>
      <c r="H286" s="250"/>
      <c r="I286" s="250"/>
      <c r="J286" s="250"/>
      <c r="K286" s="250"/>
      <c r="L286" s="250"/>
      <c r="M286" s="250"/>
      <c r="N286" s="250"/>
      <c r="O286" s="250"/>
      <c r="P286" s="250"/>
      <c r="Q286" s="250"/>
      <c r="R286" s="250"/>
      <c r="S286" s="250"/>
      <c r="T286" s="250"/>
      <c r="U286" s="250"/>
      <c r="V286" s="250"/>
      <c r="W286" s="250"/>
      <c r="X286" s="250"/>
      <c r="Y286" s="250"/>
      <c r="Z286" s="250"/>
    </row>
    <row r="287" ht="14.25" customHeight="1">
      <c r="A287" s="250"/>
      <c r="B287" s="250"/>
      <c r="C287" s="250"/>
      <c r="D287" s="250"/>
      <c r="E287" s="250"/>
      <c r="F287" s="250"/>
      <c r="G287" s="250"/>
      <c r="H287" s="250"/>
      <c r="I287" s="250"/>
      <c r="J287" s="250"/>
      <c r="K287" s="250"/>
      <c r="L287" s="250"/>
      <c r="M287" s="250"/>
      <c r="N287" s="250"/>
      <c r="O287" s="250"/>
      <c r="P287" s="250"/>
      <c r="Q287" s="250"/>
      <c r="R287" s="250"/>
      <c r="S287" s="250"/>
      <c r="T287" s="250"/>
      <c r="U287" s="250"/>
      <c r="V287" s="250"/>
      <c r="W287" s="250"/>
      <c r="X287" s="250"/>
      <c r="Y287" s="250"/>
      <c r="Z287" s="250"/>
    </row>
    <row r="288" ht="14.25" customHeight="1">
      <c r="A288" s="250"/>
      <c r="B288" s="250"/>
      <c r="C288" s="250"/>
      <c r="D288" s="250"/>
      <c r="E288" s="250"/>
      <c r="F288" s="250"/>
      <c r="G288" s="250"/>
      <c r="H288" s="250"/>
      <c r="I288" s="250"/>
      <c r="J288" s="250"/>
      <c r="K288" s="250"/>
      <c r="L288" s="250"/>
      <c r="M288" s="250"/>
      <c r="N288" s="250"/>
      <c r="O288" s="250"/>
      <c r="P288" s="250"/>
      <c r="Q288" s="250"/>
      <c r="R288" s="250"/>
      <c r="S288" s="250"/>
      <c r="T288" s="250"/>
      <c r="U288" s="250"/>
      <c r="V288" s="250"/>
      <c r="W288" s="250"/>
      <c r="X288" s="250"/>
      <c r="Y288" s="250"/>
      <c r="Z288" s="250"/>
    </row>
    <row r="289" ht="14.25" customHeight="1">
      <c r="A289" s="250"/>
      <c r="B289" s="250"/>
      <c r="C289" s="250"/>
      <c r="D289" s="250"/>
      <c r="E289" s="250"/>
      <c r="F289" s="250"/>
      <c r="G289" s="250"/>
      <c r="H289" s="250"/>
      <c r="I289" s="250"/>
      <c r="J289" s="250"/>
      <c r="K289" s="250"/>
      <c r="L289" s="250"/>
      <c r="M289" s="250"/>
      <c r="N289" s="250"/>
      <c r="O289" s="250"/>
      <c r="P289" s="250"/>
      <c r="Q289" s="250"/>
      <c r="R289" s="250"/>
      <c r="S289" s="250"/>
      <c r="T289" s="250"/>
      <c r="U289" s="250"/>
      <c r="V289" s="250"/>
      <c r="W289" s="250"/>
      <c r="X289" s="250"/>
      <c r="Y289" s="250"/>
      <c r="Z289" s="250"/>
    </row>
    <row r="290" ht="14.25" customHeight="1">
      <c r="A290" s="250"/>
      <c r="B290" s="250"/>
      <c r="C290" s="250"/>
      <c r="D290" s="250"/>
      <c r="E290" s="250"/>
      <c r="F290" s="250"/>
      <c r="G290" s="250"/>
      <c r="H290" s="250"/>
      <c r="I290" s="250"/>
      <c r="J290" s="250"/>
      <c r="K290" s="250"/>
      <c r="L290" s="250"/>
      <c r="M290" s="250"/>
      <c r="N290" s="250"/>
      <c r="O290" s="250"/>
      <c r="P290" s="250"/>
      <c r="Q290" s="250"/>
      <c r="R290" s="250"/>
      <c r="S290" s="250"/>
      <c r="T290" s="250"/>
      <c r="U290" s="250"/>
      <c r="V290" s="250"/>
      <c r="W290" s="250"/>
      <c r="X290" s="250"/>
      <c r="Y290" s="250"/>
      <c r="Z290" s="250"/>
    </row>
    <row r="291" ht="14.25" customHeight="1">
      <c r="A291" s="250"/>
      <c r="B291" s="250"/>
      <c r="C291" s="250"/>
      <c r="D291" s="250"/>
      <c r="E291" s="250"/>
      <c r="F291" s="250"/>
      <c r="G291" s="250"/>
      <c r="H291" s="250"/>
      <c r="I291" s="250"/>
      <c r="J291" s="250"/>
      <c r="K291" s="250"/>
      <c r="L291" s="250"/>
      <c r="M291" s="250"/>
      <c r="N291" s="250"/>
      <c r="O291" s="250"/>
      <c r="P291" s="250"/>
      <c r="Q291" s="250"/>
      <c r="R291" s="250"/>
      <c r="S291" s="250"/>
      <c r="T291" s="250"/>
      <c r="U291" s="250"/>
      <c r="V291" s="250"/>
      <c r="W291" s="250"/>
      <c r="X291" s="250"/>
      <c r="Y291" s="250"/>
      <c r="Z291" s="250"/>
    </row>
    <row r="292" ht="14.25" customHeight="1">
      <c r="A292" s="250"/>
      <c r="B292" s="250"/>
      <c r="C292" s="250"/>
      <c r="D292" s="250"/>
      <c r="E292" s="250"/>
      <c r="F292" s="250"/>
      <c r="G292" s="250"/>
      <c r="H292" s="250"/>
      <c r="I292" s="250"/>
      <c r="J292" s="250"/>
      <c r="K292" s="250"/>
      <c r="L292" s="250"/>
      <c r="M292" s="250"/>
      <c r="N292" s="250"/>
      <c r="O292" s="250"/>
      <c r="P292" s="250"/>
      <c r="Q292" s="250"/>
      <c r="R292" s="250"/>
      <c r="S292" s="250"/>
      <c r="T292" s="250"/>
      <c r="U292" s="250"/>
      <c r="V292" s="250"/>
      <c r="W292" s="250"/>
      <c r="X292" s="250"/>
      <c r="Y292" s="250"/>
      <c r="Z292" s="250"/>
    </row>
    <row r="293" ht="14.25" customHeight="1">
      <c r="A293" s="250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0"/>
      <c r="X293" s="250"/>
      <c r="Y293" s="250"/>
      <c r="Z293" s="250"/>
    </row>
    <row r="294" ht="14.25" customHeight="1">
      <c r="A294" s="250"/>
      <c r="B294" s="250"/>
      <c r="C294" s="250"/>
      <c r="D294" s="250"/>
      <c r="E294" s="250"/>
      <c r="F294" s="250"/>
      <c r="G294" s="250"/>
      <c r="H294" s="250"/>
      <c r="I294" s="250"/>
      <c r="J294" s="250"/>
      <c r="K294" s="250"/>
      <c r="L294" s="250"/>
      <c r="M294" s="250"/>
      <c r="N294" s="250"/>
      <c r="O294" s="250"/>
      <c r="P294" s="250"/>
      <c r="Q294" s="250"/>
      <c r="R294" s="250"/>
      <c r="S294" s="250"/>
      <c r="T294" s="250"/>
      <c r="U294" s="250"/>
      <c r="V294" s="250"/>
      <c r="W294" s="250"/>
      <c r="X294" s="250"/>
      <c r="Y294" s="250"/>
      <c r="Z294" s="250"/>
    </row>
    <row r="295" ht="14.25" customHeight="1">
      <c r="A295" s="250"/>
      <c r="B295" s="250"/>
      <c r="C295" s="250"/>
      <c r="D295" s="250"/>
      <c r="E295" s="250"/>
      <c r="F295" s="250"/>
      <c r="G295" s="250"/>
      <c r="H295" s="250"/>
      <c r="I295" s="250"/>
      <c r="J295" s="250"/>
      <c r="K295" s="250"/>
      <c r="L295" s="250"/>
      <c r="M295" s="250"/>
      <c r="N295" s="250"/>
      <c r="O295" s="250"/>
      <c r="P295" s="250"/>
      <c r="Q295" s="250"/>
      <c r="R295" s="250"/>
      <c r="S295" s="250"/>
      <c r="T295" s="250"/>
      <c r="U295" s="250"/>
      <c r="V295" s="250"/>
      <c r="W295" s="250"/>
      <c r="X295" s="250"/>
      <c r="Y295" s="250"/>
      <c r="Z295" s="250"/>
    </row>
    <row r="296" ht="14.25" customHeight="1">
      <c r="A296" s="250"/>
      <c r="B296" s="250"/>
      <c r="C296" s="250"/>
      <c r="D296" s="250"/>
      <c r="E296" s="250"/>
      <c r="F296" s="250"/>
      <c r="G296" s="250"/>
      <c r="H296" s="250"/>
      <c r="I296" s="250"/>
      <c r="J296" s="250"/>
      <c r="K296" s="250"/>
      <c r="L296" s="250"/>
      <c r="M296" s="250"/>
      <c r="N296" s="250"/>
      <c r="O296" s="250"/>
      <c r="P296" s="250"/>
      <c r="Q296" s="250"/>
      <c r="R296" s="250"/>
      <c r="S296" s="250"/>
      <c r="T296" s="250"/>
      <c r="U296" s="250"/>
      <c r="V296" s="250"/>
      <c r="W296" s="250"/>
      <c r="X296" s="250"/>
      <c r="Y296" s="250"/>
      <c r="Z296" s="250"/>
    </row>
    <row r="297" ht="14.25" customHeight="1">
      <c r="A297" s="250"/>
      <c r="B297" s="250"/>
      <c r="C297" s="250"/>
      <c r="D297" s="250"/>
      <c r="E297" s="250"/>
      <c r="F297" s="250"/>
      <c r="G297" s="250"/>
      <c r="H297" s="250"/>
      <c r="I297" s="250"/>
      <c r="J297" s="250"/>
      <c r="K297" s="250"/>
      <c r="L297" s="250"/>
      <c r="M297" s="250"/>
      <c r="N297" s="250"/>
      <c r="O297" s="250"/>
      <c r="P297" s="250"/>
      <c r="Q297" s="250"/>
      <c r="R297" s="250"/>
      <c r="S297" s="250"/>
      <c r="T297" s="250"/>
      <c r="U297" s="250"/>
      <c r="V297" s="250"/>
      <c r="W297" s="250"/>
      <c r="X297" s="250"/>
      <c r="Y297" s="250"/>
      <c r="Z297" s="250"/>
    </row>
    <row r="298" ht="14.25" customHeight="1">
      <c r="A298" s="250"/>
      <c r="B298" s="250"/>
      <c r="C298" s="250"/>
      <c r="D298" s="250"/>
      <c r="E298" s="250"/>
      <c r="F298" s="250"/>
      <c r="G298" s="250"/>
      <c r="H298" s="250"/>
      <c r="I298" s="250"/>
      <c r="J298" s="250"/>
      <c r="K298" s="250"/>
      <c r="L298" s="250"/>
      <c r="M298" s="250"/>
      <c r="N298" s="250"/>
      <c r="O298" s="250"/>
      <c r="P298" s="250"/>
      <c r="Q298" s="250"/>
      <c r="R298" s="250"/>
      <c r="S298" s="250"/>
      <c r="T298" s="250"/>
      <c r="U298" s="250"/>
      <c r="V298" s="250"/>
      <c r="W298" s="250"/>
      <c r="X298" s="250"/>
      <c r="Y298" s="250"/>
      <c r="Z298" s="250"/>
    </row>
    <row r="299" ht="14.25" customHeight="1">
      <c r="A299" s="250"/>
      <c r="B299" s="250"/>
      <c r="C299" s="250"/>
      <c r="D299" s="250"/>
      <c r="E299" s="250"/>
      <c r="F299" s="250"/>
      <c r="G299" s="250"/>
      <c r="H299" s="250"/>
      <c r="I299" s="250"/>
      <c r="J299" s="250"/>
      <c r="K299" s="250"/>
      <c r="L299" s="250"/>
      <c r="M299" s="250"/>
      <c r="N299" s="250"/>
      <c r="O299" s="250"/>
      <c r="P299" s="250"/>
      <c r="Q299" s="250"/>
      <c r="R299" s="250"/>
      <c r="S299" s="250"/>
      <c r="T299" s="250"/>
      <c r="U299" s="250"/>
      <c r="V299" s="250"/>
      <c r="W299" s="250"/>
      <c r="X299" s="250"/>
      <c r="Y299" s="250"/>
      <c r="Z299" s="250"/>
    </row>
    <row r="300" ht="14.25" customHeight="1">
      <c r="A300" s="250"/>
      <c r="B300" s="250"/>
      <c r="C300" s="250"/>
      <c r="D300" s="250"/>
      <c r="E300" s="250"/>
      <c r="F300" s="250"/>
      <c r="G300" s="250"/>
      <c r="H300" s="250"/>
      <c r="I300" s="250"/>
      <c r="J300" s="250"/>
      <c r="K300" s="250"/>
      <c r="L300" s="250"/>
      <c r="M300" s="250"/>
      <c r="N300" s="250"/>
      <c r="O300" s="250"/>
      <c r="P300" s="250"/>
      <c r="Q300" s="250"/>
      <c r="R300" s="250"/>
      <c r="S300" s="250"/>
      <c r="T300" s="250"/>
      <c r="U300" s="250"/>
      <c r="V300" s="250"/>
      <c r="W300" s="250"/>
      <c r="X300" s="250"/>
      <c r="Y300" s="250"/>
      <c r="Z300" s="250"/>
    </row>
    <row r="301" ht="14.25" customHeight="1">
      <c r="A301" s="250"/>
      <c r="B301" s="250"/>
      <c r="C301" s="250"/>
      <c r="D301" s="250"/>
      <c r="E301" s="250"/>
      <c r="F301" s="250"/>
      <c r="G301" s="250"/>
      <c r="H301" s="250"/>
      <c r="I301" s="250"/>
      <c r="J301" s="250"/>
      <c r="K301" s="250"/>
      <c r="L301" s="250"/>
      <c r="M301" s="250"/>
      <c r="N301" s="250"/>
      <c r="O301" s="250"/>
      <c r="P301" s="250"/>
      <c r="Q301" s="250"/>
      <c r="R301" s="250"/>
      <c r="S301" s="250"/>
      <c r="T301" s="250"/>
      <c r="U301" s="250"/>
      <c r="V301" s="250"/>
      <c r="W301" s="250"/>
      <c r="X301" s="250"/>
      <c r="Y301" s="250"/>
      <c r="Z301" s="250"/>
    </row>
    <row r="302" ht="14.25" customHeight="1">
      <c r="A302" s="250"/>
      <c r="B302" s="250"/>
      <c r="C302" s="250"/>
      <c r="D302" s="250"/>
      <c r="E302" s="250"/>
      <c r="F302" s="250"/>
      <c r="G302" s="250"/>
      <c r="H302" s="250"/>
      <c r="I302" s="250"/>
      <c r="J302" s="250"/>
      <c r="K302" s="250"/>
      <c r="L302" s="250"/>
      <c r="M302" s="250"/>
      <c r="N302" s="250"/>
      <c r="O302" s="250"/>
      <c r="P302" s="250"/>
      <c r="Q302" s="250"/>
      <c r="R302" s="250"/>
      <c r="S302" s="250"/>
      <c r="T302" s="250"/>
      <c r="U302" s="250"/>
      <c r="V302" s="250"/>
      <c r="W302" s="250"/>
      <c r="X302" s="250"/>
      <c r="Y302" s="250"/>
      <c r="Z302" s="250"/>
    </row>
    <row r="303" ht="14.25" customHeight="1">
      <c r="A303" s="250"/>
      <c r="B303" s="250"/>
      <c r="C303" s="250"/>
      <c r="D303" s="250"/>
      <c r="E303" s="250"/>
      <c r="F303" s="250"/>
      <c r="G303" s="250"/>
      <c r="H303" s="250"/>
      <c r="I303" s="250"/>
      <c r="J303" s="250"/>
      <c r="K303" s="250"/>
      <c r="L303" s="250"/>
      <c r="M303" s="250"/>
      <c r="N303" s="250"/>
      <c r="O303" s="250"/>
      <c r="P303" s="250"/>
      <c r="Q303" s="250"/>
      <c r="R303" s="250"/>
      <c r="S303" s="250"/>
      <c r="T303" s="250"/>
      <c r="U303" s="250"/>
      <c r="V303" s="250"/>
      <c r="W303" s="250"/>
      <c r="X303" s="250"/>
      <c r="Y303" s="250"/>
      <c r="Z303" s="250"/>
    </row>
    <row r="304" ht="14.25" customHeight="1">
      <c r="A304" s="250"/>
      <c r="B304" s="250"/>
      <c r="C304" s="250"/>
      <c r="D304" s="250"/>
      <c r="E304" s="250"/>
      <c r="F304" s="250"/>
      <c r="G304" s="250"/>
      <c r="H304" s="250"/>
      <c r="I304" s="250"/>
      <c r="J304" s="250"/>
      <c r="K304" s="250"/>
      <c r="L304" s="250"/>
      <c r="M304" s="250"/>
      <c r="N304" s="250"/>
      <c r="O304" s="250"/>
      <c r="P304" s="250"/>
      <c r="Q304" s="250"/>
      <c r="R304" s="250"/>
      <c r="S304" s="250"/>
      <c r="T304" s="250"/>
      <c r="U304" s="250"/>
      <c r="V304" s="250"/>
      <c r="W304" s="250"/>
      <c r="X304" s="250"/>
      <c r="Y304" s="250"/>
      <c r="Z304" s="250"/>
    </row>
    <row r="305" ht="14.25" customHeight="1">
      <c r="A305" s="250"/>
      <c r="B305" s="250"/>
      <c r="C305" s="250"/>
      <c r="D305" s="250"/>
      <c r="E305" s="250"/>
      <c r="F305" s="250"/>
      <c r="G305" s="250"/>
      <c r="H305" s="250"/>
      <c r="I305" s="250"/>
      <c r="J305" s="250"/>
      <c r="K305" s="250"/>
      <c r="L305" s="250"/>
      <c r="M305" s="250"/>
      <c r="N305" s="250"/>
      <c r="O305" s="250"/>
      <c r="P305" s="250"/>
      <c r="Q305" s="250"/>
      <c r="R305" s="250"/>
      <c r="S305" s="250"/>
      <c r="T305" s="250"/>
      <c r="U305" s="250"/>
      <c r="V305" s="250"/>
      <c r="W305" s="250"/>
      <c r="X305" s="250"/>
      <c r="Y305" s="250"/>
      <c r="Z305" s="250"/>
    </row>
    <row r="306" ht="14.25" customHeight="1">
      <c r="A306" s="250"/>
      <c r="B306" s="250"/>
      <c r="C306" s="250"/>
      <c r="D306" s="250"/>
      <c r="E306" s="250"/>
      <c r="F306" s="250"/>
      <c r="G306" s="250"/>
      <c r="H306" s="250"/>
      <c r="I306" s="250"/>
      <c r="J306" s="250"/>
      <c r="K306" s="250"/>
      <c r="L306" s="250"/>
      <c r="M306" s="250"/>
      <c r="N306" s="250"/>
      <c r="O306" s="250"/>
      <c r="P306" s="250"/>
      <c r="Q306" s="250"/>
      <c r="R306" s="250"/>
      <c r="S306" s="250"/>
      <c r="T306" s="250"/>
      <c r="U306" s="250"/>
      <c r="V306" s="250"/>
      <c r="W306" s="250"/>
      <c r="X306" s="250"/>
      <c r="Y306" s="250"/>
      <c r="Z306" s="250"/>
    </row>
    <row r="307" ht="14.25" customHeight="1">
      <c r="A307" s="250"/>
      <c r="B307" s="250"/>
      <c r="C307" s="250"/>
      <c r="D307" s="250"/>
      <c r="E307" s="250"/>
      <c r="F307" s="250"/>
      <c r="G307" s="250"/>
      <c r="H307" s="250"/>
      <c r="I307" s="250"/>
      <c r="J307" s="250"/>
      <c r="K307" s="250"/>
      <c r="L307" s="250"/>
      <c r="M307" s="250"/>
      <c r="N307" s="250"/>
      <c r="O307" s="250"/>
      <c r="P307" s="250"/>
      <c r="Q307" s="250"/>
      <c r="R307" s="250"/>
      <c r="S307" s="250"/>
      <c r="T307" s="250"/>
      <c r="U307" s="250"/>
      <c r="V307" s="250"/>
      <c r="W307" s="250"/>
      <c r="X307" s="250"/>
      <c r="Y307" s="250"/>
      <c r="Z307" s="250"/>
    </row>
    <row r="308" ht="14.25" customHeight="1">
      <c r="A308" s="250"/>
      <c r="B308" s="250"/>
      <c r="C308" s="250"/>
      <c r="D308" s="250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250"/>
      <c r="P308" s="250"/>
      <c r="Q308" s="250"/>
      <c r="R308" s="250"/>
      <c r="S308" s="250"/>
      <c r="T308" s="250"/>
      <c r="U308" s="250"/>
      <c r="V308" s="250"/>
      <c r="W308" s="250"/>
      <c r="X308" s="250"/>
      <c r="Y308" s="250"/>
      <c r="Z308" s="250"/>
    </row>
    <row r="309" ht="14.25" customHeight="1">
      <c r="A309" s="250"/>
      <c r="B309" s="250"/>
      <c r="C309" s="250"/>
      <c r="D309" s="250"/>
      <c r="E309" s="250"/>
      <c r="F309" s="250"/>
      <c r="G309" s="250"/>
      <c r="H309" s="250"/>
      <c r="I309" s="250"/>
      <c r="J309" s="250"/>
      <c r="K309" s="250"/>
      <c r="L309" s="250"/>
      <c r="M309" s="250"/>
      <c r="N309" s="250"/>
      <c r="O309" s="250"/>
      <c r="P309" s="250"/>
      <c r="Q309" s="250"/>
      <c r="R309" s="250"/>
      <c r="S309" s="250"/>
      <c r="T309" s="250"/>
      <c r="U309" s="250"/>
      <c r="V309" s="250"/>
      <c r="W309" s="250"/>
      <c r="X309" s="250"/>
      <c r="Y309" s="250"/>
      <c r="Z309" s="250"/>
    </row>
    <row r="310" ht="14.25" customHeight="1">
      <c r="A310" s="250"/>
      <c r="B310" s="250"/>
      <c r="C310" s="250"/>
      <c r="D310" s="250"/>
      <c r="E310" s="250"/>
      <c r="F310" s="250"/>
      <c r="G310" s="250"/>
      <c r="H310" s="250"/>
      <c r="I310" s="250"/>
      <c r="J310" s="250"/>
      <c r="K310" s="250"/>
      <c r="L310" s="250"/>
      <c r="M310" s="250"/>
      <c r="N310" s="250"/>
      <c r="O310" s="250"/>
      <c r="P310" s="250"/>
      <c r="Q310" s="250"/>
      <c r="R310" s="250"/>
      <c r="S310" s="250"/>
      <c r="T310" s="250"/>
      <c r="U310" s="250"/>
      <c r="V310" s="250"/>
      <c r="W310" s="250"/>
      <c r="X310" s="250"/>
      <c r="Y310" s="250"/>
      <c r="Z310" s="250"/>
    </row>
    <row r="311" ht="14.25" customHeight="1">
      <c r="A311" s="250"/>
      <c r="B311" s="250"/>
      <c r="C311" s="250"/>
      <c r="D311" s="250"/>
      <c r="E311" s="250"/>
      <c r="F311" s="250"/>
      <c r="G311" s="250"/>
      <c r="H311" s="250"/>
      <c r="I311" s="250"/>
      <c r="J311" s="250"/>
      <c r="K311" s="250"/>
      <c r="L311" s="250"/>
      <c r="M311" s="250"/>
      <c r="N311" s="250"/>
      <c r="O311" s="250"/>
      <c r="P311" s="250"/>
      <c r="Q311" s="250"/>
      <c r="R311" s="250"/>
      <c r="S311" s="250"/>
      <c r="T311" s="250"/>
      <c r="U311" s="250"/>
      <c r="V311" s="250"/>
      <c r="W311" s="250"/>
      <c r="X311" s="250"/>
      <c r="Y311" s="250"/>
      <c r="Z311" s="250"/>
    </row>
    <row r="312" ht="14.25" customHeight="1">
      <c r="A312" s="250"/>
      <c r="B312" s="250"/>
      <c r="C312" s="250"/>
      <c r="D312" s="250"/>
      <c r="E312" s="250"/>
      <c r="F312" s="250"/>
      <c r="G312" s="250"/>
      <c r="H312" s="250"/>
      <c r="I312" s="250"/>
      <c r="J312" s="250"/>
      <c r="K312" s="250"/>
      <c r="L312" s="250"/>
      <c r="M312" s="250"/>
      <c r="N312" s="250"/>
      <c r="O312" s="250"/>
      <c r="P312" s="250"/>
      <c r="Q312" s="250"/>
      <c r="R312" s="250"/>
      <c r="S312" s="250"/>
      <c r="T312" s="250"/>
      <c r="U312" s="250"/>
      <c r="V312" s="250"/>
      <c r="W312" s="250"/>
      <c r="X312" s="250"/>
      <c r="Y312" s="250"/>
      <c r="Z312" s="250"/>
    </row>
    <row r="313" ht="14.25" customHeight="1">
      <c r="A313" s="250"/>
      <c r="B313" s="250"/>
      <c r="C313" s="250"/>
      <c r="D313" s="250"/>
      <c r="E313" s="250"/>
      <c r="F313" s="250"/>
      <c r="G313" s="250"/>
      <c r="H313" s="250"/>
      <c r="I313" s="250"/>
      <c r="J313" s="250"/>
      <c r="K313" s="250"/>
      <c r="L313" s="250"/>
      <c r="M313" s="250"/>
      <c r="N313" s="250"/>
      <c r="O313" s="250"/>
      <c r="P313" s="250"/>
      <c r="Q313" s="250"/>
      <c r="R313" s="250"/>
      <c r="S313" s="250"/>
      <c r="T313" s="250"/>
      <c r="U313" s="250"/>
      <c r="V313" s="250"/>
      <c r="W313" s="250"/>
      <c r="X313" s="250"/>
      <c r="Y313" s="250"/>
      <c r="Z313" s="250"/>
    </row>
    <row r="314" ht="14.25" customHeight="1">
      <c r="A314" s="250"/>
      <c r="B314" s="250"/>
      <c r="C314" s="250"/>
      <c r="D314" s="250"/>
      <c r="E314" s="250"/>
      <c r="F314" s="250"/>
      <c r="G314" s="250"/>
      <c r="H314" s="250"/>
      <c r="I314" s="250"/>
      <c r="J314" s="250"/>
      <c r="K314" s="250"/>
      <c r="L314" s="250"/>
      <c r="M314" s="250"/>
      <c r="N314" s="250"/>
      <c r="O314" s="250"/>
      <c r="P314" s="250"/>
      <c r="Q314" s="250"/>
      <c r="R314" s="250"/>
      <c r="S314" s="250"/>
      <c r="T314" s="250"/>
      <c r="U314" s="250"/>
      <c r="V314" s="250"/>
      <c r="W314" s="250"/>
      <c r="X314" s="250"/>
      <c r="Y314" s="250"/>
      <c r="Z314" s="250"/>
    </row>
    <row r="315" ht="14.25" customHeight="1">
      <c r="A315" s="250"/>
      <c r="B315" s="250"/>
      <c r="C315" s="250"/>
      <c r="D315" s="250"/>
      <c r="E315" s="250"/>
      <c r="F315" s="250"/>
      <c r="G315" s="250"/>
      <c r="H315" s="250"/>
      <c r="I315" s="250"/>
      <c r="J315" s="250"/>
      <c r="K315" s="250"/>
      <c r="L315" s="250"/>
      <c r="M315" s="250"/>
      <c r="N315" s="250"/>
      <c r="O315" s="250"/>
      <c r="P315" s="250"/>
      <c r="Q315" s="250"/>
      <c r="R315" s="250"/>
      <c r="S315" s="250"/>
      <c r="T315" s="250"/>
      <c r="U315" s="250"/>
      <c r="V315" s="250"/>
      <c r="W315" s="250"/>
      <c r="X315" s="250"/>
      <c r="Y315" s="250"/>
      <c r="Z315" s="250"/>
    </row>
    <row r="316" ht="14.25" customHeight="1">
      <c r="A316" s="250"/>
      <c r="B316" s="250"/>
      <c r="C316" s="250"/>
      <c r="D316" s="250"/>
      <c r="E316" s="250"/>
      <c r="F316" s="250"/>
      <c r="G316" s="250"/>
      <c r="H316" s="250"/>
      <c r="I316" s="250"/>
      <c r="J316" s="250"/>
      <c r="K316" s="250"/>
      <c r="L316" s="250"/>
      <c r="M316" s="250"/>
      <c r="N316" s="250"/>
      <c r="O316" s="250"/>
      <c r="P316" s="250"/>
      <c r="Q316" s="250"/>
      <c r="R316" s="250"/>
      <c r="S316" s="250"/>
      <c r="T316" s="250"/>
      <c r="U316" s="250"/>
      <c r="V316" s="250"/>
      <c r="W316" s="250"/>
      <c r="X316" s="250"/>
      <c r="Y316" s="250"/>
      <c r="Z316" s="250"/>
    </row>
    <row r="317" ht="14.25" customHeight="1">
      <c r="A317" s="250"/>
      <c r="B317" s="250"/>
      <c r="C317" s="250"/>
      <c r="D317" s="250"/>
      <c r="E317" s="250"/>
      <c r="F317" s="250"/>
      <c r="G317" s="250"/>
      <c r="H317" s="250"/>
      <c r="I317" s="250"/>
      <c r="J317" s="250"/>
      <c r="K317" s="250"/>
      <c r="L317" s="250"/>
      <c r="M317" s="250"/>
      <c r="N317" s="250"/>
      <c r="O317" s="250"/>
      <c r="P317" s="250"/>
      <c r="Q317" s="250"/>
      <c r="R317" s="250"/>
      <c r="S317" s="250"/>
      <c r="T317" s="250"/>
      <c r="U317" s="250"/>
      <c r="V317" s="250"/>
      <c r="W317" s="250"/>
      <c r="X317" s="250"/>
      <c r="Y317" s="250"/>
      <c r="Z317" s="250"/>
    </row>
    <row r="318" ht="14.25" customHeight="1">
      <c r="A318" s="250"/>
      <c r="B318" s="250"/>
      <c r="C318" s="250"/>
      <c r="D318" s="250"/>
      <c r="E318" s="250"/>
      <c r="F318" s="250"/>
      <c r="G318" s="250"/>
      <c r="H318" s="250"/>
      <c r="I318" s="250"/>
      <c r="J318" s="250"/>
      <c r="K318" s="250"/>
      <c r="L318" s="250"/>
      <c r="M318" s="250"/>
      <c r="N318" s="250"/>
      <c r="O318" s="250"/>
      <c r="P318" s="250"/>
      <c r="Q318" s="250"/>
      <c r="R318" s="250"/>
      <c r="S318" s="250"/>
      <c r="T318" s="250"/>
      <c r="U318" s="250"/>
      <c r="V318" s="250"/>
      <c r="W318" s="250"/>
      <c r="X318" s="250"/>
      <c r="Y318" s="250"/>
      <c r="Z318" s="250"/>
    </row>
    <row r="319" ht="14.25" customHeight="1">
      <c r="A319" s="250"/>
      <c r="B319" s="250"/>
      <c r="C319" s="250"/>
      <c r="D319" s="250"/>
      <c r="E319" s="250"/>
      <c r="F319" s="250"/>
      <c r="G319" s="250"/>
      <c r="H319" s="250"/>
      <c r="I319" s="250"/>
      <c r="J319" s="250"/>
      <c r="K319" s="250"/>
      <c r="L319" s="250"/>
      <c r="M319" s="250"/>
      <c r="N319" s="250"/>
      <c r="O319" s="250"/>
      <c r="P319" s="250"/>
      <c r="Q319" s="250"/>
      <c r="R319" s="250"/>
      <c r="S319" s="250"/>
      <c r="T319" s="250"/>
      <c r="U319" s="250"/>
      <c r="V319" s="250"/>
      <c r="W319" s="250"/>
      <c r="X319" s="250"/>
      <c r="Y319" s="250"/>
      <c r="Z319" s="250"/>
    </row>
    <row r="320" ht="14.25" customHeight="1">
      <c r="A320" s="250"/>
      <c r="B320" s="250"/>
      <c r="C320" s="250"/>
      <c r="D320" s="250"/>
      <c r="E320" s="250"/>
      <c r="F320" s="250"/>
      <c r="G320" s="250"/>
      <c r="H320" s="250"/>
      <c r="I320" s="250"/>
      <c r="J320" s="250"/>
      <c r="K320" s="250"/>
      <c r="L320" s="250"/>
      <c r="M320" s="250"/>
      <c r="N320" s="250"/>
      <c r="O320" s="250"/>
      <c r="P320" s="250"/>
      <c r="Q320" s="250"/>
      <c r="R320" s="250"/>
      <c r="S320" s="250"/>
      <c r="T320" s="250"/>
      <c r="U320" s="250"/>
      <c r="V320" s="250"/>
      <c r="W320" s="250"/>
      <c r="X320" s="250"/>
      <c r="Y320" s="250"/>
      <c r="Z320" s="250"/>
    </row>
    <row r="321" ht="14.25" customHeight="1">
      <c r="A321" s="250"/>
      <c r="B321" s="250"/>
      <c r="C321" s="250"/>
      <c r="D321" s="250"/>
      <c r="E321" s="250"/>
      <c r="F321" s="250"/>
      <c r="G321" s="250"/>
      <c r="H321" s="250"/>
      <c r="I321" s="250"/>
      <c r="J321" s="250"/>
      <c r="K321" s="250"/>
      <c r="L321" s="250"/>
      <c r="M321" s="250"/>
      <c r="N321" s="250"/>
      <c r="O321" s="250"/>
      <c r="P321" s="250"/>
      <c r="Q321" s="250"/>
      <c r="R321" s="250"/>
      <c r="S321" s="250"/>
      <c r="T321" s="250"/>
      <c r="U321" s="250"/>
      <c r="V321" s="250"/>
      <c r="W321" s="250"/>
      <c r="X321" s="250"/>
      <c r="Y321" s="250"/>
      <c r="Z321" s="250"/>
    </row>
    <row r="322" ht="14.25" customHeight="1">
      <c r="A322" s="250"/>
      <c r="B322" s="250"/>
      <c r="C322" s="250"/>
      <c r="D322" s="250"/>
      <c r="E322" s="250"/>
      <c r="F322" s="250"/>
      <c r="G322" s="250"/>
      <c r="H322" s="250"/>
      <c r="I322" s="250"/>
      <c r="J322" s="250"/>
      <c r="K322" s="250"/>
      <c r="L322" s="250"/>
      <c r="M322" s="250"/>
      <c r="N322" s="250"/>
      <c r="O322" s="250"/>
      <c r="P322" s="250"/>
      <c r="Q322" s="250"/>
      <c r="R322" s="250"/>
      <c r="S322" s="250"/>
      <c r="T322" s="250"/>
      <c r="U322" s="250"/>
      <c r="V322" s="250"/>
      <c r="W322" s="250"/>
      <c r="X322" s="250"/>
      <c r="Y322" s="250"/>
      <c r="Z322" s="250"/>
    </row>
    <row r="323" ht="14.25" customHeight="1">
      <c r="A323" s="250"/>
      <c r="B323" s="250"/>
      <c r="C323" s="250"/>
      <c r="D323" s="250"/>
      <c r="E323" s="250"/>
      <c r="F323" s="250"/>
      <c r="G323" s="250"/>
      <c r="H323" s="250"/>
      <c r="I323" s="250"/>
      <c r="J323" s="250"/>
      <c r="K323" s="250"/>
      <c r="L323" s="250"/>
      <c r="M323" s="250"/>
      <c r="N323" s="250"/>
      <c r="O323" s="250"/>
      <c r="P323" s="250"/>
      <c r="Q323" s="250"/>
      <c r="R323" s="250"/>
      <c r="S323" s="250"/>
      <c r="T323" s="250"/>
      <c r="U323" s="250"/>
      <c r="V323" s="250"/>
      <c r="W323" s="250"/>
      <c r="X323" s="250"/>
      <c r="Y323" s="250"/>
      <c r="Z323" s="250"/>
    </row>
    <row r="324" ht="14.25" customHeight="1">
      <c r="A324" s="250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0"/>
      <c r="X324" s="250"/>
      <c r="Y324" s="250"/>
      <c r="Z324" s="250"/>
    </row>
    <row r="325" ht="14.25" customHeight="1">
      <c r="A325" s="250"/>
      <c r="B325" s="250"/>
      <c r="C325" s="250"/>
      <c r="D325" s="250"/>
      <c r="E325" s="250"/>
      <c r="F325" s="250"/>
      <c r="G325" s="250"/>
      <c r="H325" s="250"/>
      <c r="I325" s="250"/>
      <c r="J325" s="250"/>
      <c r="K325" s="250"/>
      <c r="L325" s="250"/>
      <c r="M325" s="250"/>
      <c r="N325" s="250"/>
      <c r="O325" s="250"/>
      <c r="P325" s="250"/>
      <c r="Q325" s="250"/>
      <c r="R325" s="250"/>
      <c r="S325" s="250"/>
      <c r="T325" s="250"/>
      <c r="U325" s="250"/>
      <c r="V325" s="250"/>
      <c r="W325" s="250"/>
      <c r="X325" s="250"/>
      <c r="Y325" s="250"/>
      <c r="Z325" s="250"/>
    </row>
    <row r="326" ht="14.25" customHeight="1">
      <c r="A326" s="250"/>
      <c r="B326" s="250"/>
      <c r="C326" s="250"/>
      <c r="D326" s="250"/>
      <c r="E326" s="250"/>
      <c r="F326" s="250"/>
      <c r="G326" s="250"/>
      <c r="H326" s="250"/>
      <c r="I326" s="250"/>
      <c r="J326" s="250"/>
      <c r="K326" s="250"/>
      <c r="L326" s="250"/>
      <c r="M326" s="250"/>
      <c r="N326" s="250"/>
      <c r="O326" s="250"/>
      <c r="P326" s="250"/>
      <c r="Q326" s="250"/>
      <c r="R326" s="250"/>
      <c r="S326" s="250"/>
      <c r="T326" s="250"/>
      <c r="U326" s="250"/>
      <c r="V326" s="250"/>
      <c r="W326" s="250"/>
      <c r="X326" s="250"/>
      <c r="Y326" s="250"/>
      <c r="Z326" s="250"/>
    </row>
    <row r="327" ht="14.25" customHeight="1">
      <c r="A327" s="250"/>
      <c r="B327" s="250"/>
      <c r="C327" s="250"/>
      <c r="D327" s="250"/>
      <c r="E327" s="250"/>
      <c r="F327" s="250"/>
      <c r="G327" s="250"/>
      <c r="H327" s="250"/>
      <c r="I327" s="250"/>
      <c r="J327" s="250"/>
      <c r="K327" s="250"/>
      <c r="L327" s="250"/>
      <c r="M327" s="250"/>
      <c r="N327" s="250"/>
      <c r="O327" s="250"/>
      <c r="P327" s="250"/>
      <c r="Q327" s="250"/>
      <c r="R327" s="250"/>
      <c r="S327" s="250"/>
      <c r="T327" s="250"/>
      <c r="U327" s="250"/>
      <c r="V327" s="250"/>
      <c r="W327" s="250"/>
      <c r="X327" s="250"/>
      <c r="Y327" s="250"/>
      <c r="Z327" s="250"/>
    </row>
    <row r="328" ht="14.25" customHeight="1">
      <c r="A328" s="250"/>
      <c r="B328" s="250"/>
      <c r="C328" s="250"/>
      <c r="D328" s="250"/>
      <c r="E328" s="250"/>
      <c r="F328" s="250"/>
      <c r="G328" s="250"/>
      <c r="H328" s="250"/>
      <c r="I328" s="250"/>
      <c r="J328" s="250"/>
      <c r="K328" s="250"/>
      <c r="L328" s="250"/>
      <c r="M328" s="250"/>
      <c r="N328" s="250"/>
      <c r="O328" s="250"/>
      <c r="P328" s="250"/>
      <c r="Q328" s="250"/>
      <c r="R328" s="250"/>
      <c r="S328" s="250"/>
      <c r="T328" s="250"/>
      <c r="U328" s="250"/>
      <c r="V328" s="250"/>
      <c r="W328" s="250"/>
      <c r="X328" s="250"/>
      <c r="Y328" s="250"/>
      <c r="Z328" s="250"/>
    </row>
    <row r="329" ht="14.25" customHeight="1">
      <c r="A329" s="250"/>
      <c r="B329" s="250"/>
      <c r="C329" s="250"/>
      <c r="D329" s="250"/>
      <c r="E329" s="250"/>
      <c r="F329" s="250"/>
      <c r="G329" s="250"/>
      <c r="H329" s="250"/>
      <c r="I329" s="250"/>
      <c r="J329" s="250"/>
      <c r="K329" s="250"/>
      <c r="L329" s="250"/>
      <c r="M329" s="250"/>
      <c r="N329" s="250"/>
      <c r="O329" s="250"/>
      <c r="P329" s="250"/>
      <c r="Q329" s="250"/>
      <c r="R329" s="250"/>
      <c r="S329" s="250"/>
      <c r="T329" s="250"/>
      <c r="U329" s="250"/>
      <c r="V329" s="250"/>
      <c r="W329" s="250"/>
      <c r="X329" s="250"/>
      <c r="Y329" s="250"/>
      <c r="Z329" s="250"/>
    </row>
    <row r="330" ht="14.25" customHeight="1">
      <c r="A330" s="250"/>
      <c r="B330" s="250"/>
      <c r="C330" s="250"/>
      <c r="D330" s="250"/>
      <c r="E330" s="250"/>
      <c r="F330" s="250"/>
      <c r="G330" s="250"/>
      <c r="H330" s="250"/>
      <c r="I330" s="250"/>
      <c r="J330" s="250"/>
      <c r="K330" s="250"/>
      <c r="L330" s="250"/>
      <c r="M330" s="250"/>
      <c r="N330" s="250"/>
      <c r="O330" s="250"/>
      <c r="P330" s="250"/>
      <c r="Q330" s="250"/>
      <c r="R330" s="250"/>
      <c r="S330" s="250"/>
      <c r="T330" s="250"/>
      <c r="U330" s="250"/>
      <c r="V330" s="250"/>
      <c r="W330" s="250"/>
      <c r="X330" s="250"/>
      <c r="Y330" s="250"/>
      <c r="Z330" s="250"/>
    </row>
    <row r="331" ht="14.25" customHeight="1">
      <c r="A331" s="250"/>
      <c r="B331" s="250"/>
      <c r="C331" s="250"/>
      <c r="D331" s="250"/>
      <c r="E331" s="250"/>
      <c r="F331" s="250"/>
      <c r="G331" s="250"/>
      <c r="H331" s="250"/>
      <c r="I331" s="250"/>
      <c r="J331" s="250"/>
      <c r="K331" s="250"/>
      <c r="L331" s="250"/>
      <c r="M331" s="250"/>
      <c r="N331" s="250"/>
      <c r="O331" s="250"/>
      <c r="P331" s="250"/>
      <c r="Q331" s="250"/>
      <c r="R331" s="250"/>
      <c r="S331" s="250"/>
      <c r="T331" s="250"/>
      <c r="U331" s="250"/>
      <c r="V331" s="250"/>
      <c r="W331" s="250"/>
      <c r="X331" s="250"/>
      <c r="Y331" s="250"/>
      <c r="Z331" s="250"/>
    </row>
    <row r="332" ht="14.25" customHeight="1">
      <c r="A332" s="250"/>
      <c r="B332" s="250"/>
      <c r="C332" s="250"/>
      <c r="D332" s="250"/>
      <c r="E332" s="250"/>
      <c r="F332" s="250"/>
      <c r="G332" s="250"/>
      <c r="H332" s="250"/>
      <c r="I332" s="250"/>
      <c r="J332" s="250"/>
      <c r="K332" s="250"/>
      <c r="L332" s="250"/>
      <c r="M332" s="250"/>
      <c r="N332" s="250"/>
      <c r="O332" s="250"/>
      <c r="P332" s="250"/>
      <c r="Q332" s="250"/>
      <c r="R332" s="250"/>
      <c r="S332" s="250"/>
      <c r="T332" s="250"/>
      <c r="U332" s="250"/>
      <c r="V332" s="250"/>
      <c r="W332" s="250"/>
      <c r="X332" s="250"/>
      <c r="Y332" s="250"/>
      <c r="Z332" s="250"/>
    </row>
    <row r="333" ht="14.25" customHeight="1">
      <c r="A333" s="250"/>
      <c r="B333" s="250"/>
      <c r="C333" s="250"/>
      <c r="D333" s="250"/>
      <c r="E333" s="250"/>
      <c r="F333" s="250"/>
      <c r="G333" s="250"/>
      <c r="H333" s="250"/>
      <c r="I333" s="250"/>
      <c r="J333" s="250"/>
      <c r="K333" s="250"/>
      <c r="L333" s="250"/>
      <c r="M333" s="250"/>
      <c r="N333" s="250"/>
      <c r="O333" s="250"/>
      <c r="P333" s="250"/>
      <c r="Q333" s="250"/>
      <c r="R333" s="250"/>
      <c r="S333" s="250"/>
      <c r="T333" s="250"/>
      <c r="U333" s="250"/>
      <c r="V333" s="250"/>
      <c r="W333" s="250"/>
      <c r="X333" s="250"/>
      <c r="Y333" s="250"/>
      <c r="Z333" s="250"/>
    </row>
    <row r="334" ht="14.25" customHeight="1">
      <c r="A334" s="250"/>
      <c r="B334" s="250"/>
      <c r="C334" s="250"/>
      <c r="D334" s="250"/>
      <c r="E334" s="250"/>
      <c r="F334" s="250"/>
      <c r="G334" s="250"/>
      <c r="H334" s="250"/>
      <c r="I334" s="250"/>
      <c r="J334" s="250"/>
      <c r="K334" s="250"/>
      <c r="L334" s="250"/>
      <c r="M334" s="250"/>
      <c r="N334" s="250"/>
      <c r="O334" s="250"/>
      <c r="P334" s="250"/>
      <c r="Q334" s="250"/>
      <c r="R334" s="250"/>
      <c r="S334" s="250"/>
      <c r="T334" s="250"/>
      <c r="U334" s="250"/>
      <c r="V334" s="250"/>
      <c r="W334" s="250"/>
      <c r="X334" s="250"/>
      <c r="Y334" s="250"/>
      <c r="Z334" s="250"/>
    </row>
    <row r="335" ht="14.25" customHeight="1">
      <c r="A335" s="250"/>
      <c r="B335" s="250"/>
      <c r="C335" s="250"/>
      <c r="D335" s="250"/>
      <c r="E335" s="250"/>
      <c r="F335" s="250"/>
      <c r="G335" s="250"/>
      <c r="H335" s="250"/>
      <c r="I335" s="250"/>
      <c r="J335" s="250"/>
      <c r="K335" s="250"/>
      <c r="L335" s="250"/>
      <c r="M335" s="250"/>
      <c r="N335" s="250"/>
      <c r="O335" s="250"/>
      <c r="P335" s="250"/>
      <c r="Q335" s="250"/>
      <c r="R335" s="250"/>
      <c r="S335" s="250"/>
      <c r="T335" s="250"/>
      <c r="U335" s="250"/>
      <c r="V335" s="250"/>
      <c r="W335" s="250"/>
      <c r="X335" s="250"/>
      <c r="Y335" s="250"/>
      <c r="Z335" s="250"/>
    </row>
    <row r="336" ht="14.25" customHeight="1">
      <c r="A336" s="250"/>
      <c r="B336" s="250"/>
      <c r="C336" s="250"/>
      <c r="D336" s="250"/>
      <c r="E336" s="250"/>
      <c r="F336" s="250"/>
      <c r="G336" s="250"/>
      <c r="H336" s="250"/>
      <c r="I336" s="250"/>
      <c r="J336" s="250"/>
      <c r="K336" s="250"/>
      <c r="L336" s="250"/>
      <c r="M336" s="250"/>
      <c r="N336" s="250"/>
      <c r="O336" s="250"/>
      <c r="P336" s="250"/>
      <c r="Q336" s="250"/>
      <c r="R336" s="250"/>
      <c r="S336" s="250"/>
      <c r="T336" s="250"/>
      <c r="U336" s="250"/>
      <c r="V336" s="250"/>
      <c r="W336" s="250"/>
      <c r="X336" s="250"/>
      <c r="Y336" s="250"/>
      <c r="Z336" s="250"/>
    </row>
    <row r="337" ht="14.25" customHeight="1">
      <c r="A337" s="250"/>
      <c r="B337" s="250"/>
      <c r="C337" s="250"/>
      <c r="D337" s="250"/>
      <c r="E337" s="250"/>
      <c r="F337" s="250"/>
      <c r="G337" s="250"/>
      <c r="H337" s="250"/>
      <c r="I337" s="250"/>
      <c r="J337" s="250"/>
      <c r="K337" s="250"/>
      <c r="L337" s="250"/>
      <c r="M337" s="250"/>
      <c r="N337" s="250"/>
      <c r="O337" s="250"/>
      <c r="P337" s="250"/>
      <c r="Q337" s="250"/>
      <c r="R337" s="250"/>
      <c r="S337" s="250"/>
      <c r="T337" s="250"/>
      <c r="U337" s="250"/>
      <c r="V337" s="250"/>
      <c r="W337" s="250"/>
      <c r="X337" s="250"/>
      <c r="Y337" s="250"/>
      <c r="Z337" s="250"/>
    </row>
    <row r="338" ht="14.25" customHeight="1">
      <c r="A338" s="250"/>
      <c r="B338" s="250"/>
      <c r="C338" s="250"/>
      <c r="D338" s="250"/>
      <c r="E338" s="250"/>
      <c r="F338" s="250"/>
      <c r="G338" s="250"/>
      <c r="H338" s="250"/>
      <c r="I338" s="250"/>
      <c r="J338" s="250"/>
      <c r="K338" s="250"/>
      <c r="L338" s="250"/>
      <c r="M338" s="250"/>
      <c r="N338" s="250"/>
      <c r="O338" s="250"/>
      <c r="P338" s="250"/>
      <c r="Q338" s="250"/>
      <c r="R338" s="250"/>
      <c r="S338" s="250"/>
      <c r="T338" s="250"/>
      <c r="U338" s="250"/>
      <c r="V338" s="250"/>
      <c r="W338" s="250"/>
      <c r="X338" s="250"/>
      <c r="Y338" s="250"/>
      <c r="Z338" s="250"/>
    </row>
    <row r="339" ht="14.25" customHeight="1">
      <c r="A339" s="250"/>
      <c r="B339" s="250"/>
      <c r="C339" s="250"/>
      <c r="D339" s="250"/>
      <c r="E339" s="250"/>
      <c r="F339" s="250"/>
      <c r="G339" s="250"/>
      <c r="H339" s="250"/>
      <c r="I339" s="250"/>
      <c r="J339" s="250"/>
      <c r="K339" s="250"/>
      <c r="L339" s="250"/>
      <c r="M339" s="250"/>
      <c r="N339" s="250"/>
      <c r="O339" s="250"/>
      <c r="P339" s="250"/>
      <c r="Q339" s="250"/>
      <c r="R339" s="250"/>
      <c r="S339" s="250"/>
      <c r="T339" s="250"/>
      <c r="U339" s="250"/>
      <c r="V339" s="250"/>
      <c r="W339" s="250"/>
      <c r="X339" s="250"/>
      <c r="Y339" s="250"/>
      <c r="Z339" s="250"/>
    </row>
    <row r="340" ht="14.25" customHeight="1">
      <c r="A340" s="250"/>
      <c r="B340" s="250"/>
      <c r="C340" s="250"/>
      <c r="D340" s="250"/>
      <c r="E340" s="250"/>
      <c r="F340" s="250"/>
      <c r="G340" s="250"/>
      <c r="H340" s="250"/>
      <c r="I340" s="250"/>
      <c r="J340" s="250"/>
      <c r="K340" s="250"/>
      <c r="L340" s="250"/>
      <c r="M340" s="250"/>
      <c r="N340" s="250"/>
      <c r="O340" s="250"/>
      <c r="P340" s="250"/>
      <c r="Q340" s="250"/>
      <c r="R340" s="250"/>
      <c r="S340" s="250"/>
      <c r="T340" s="250"/>
      <c r="U340" s="250"/>
      <c r="V340" s="250"/>
      <c r="W340" s="250"/>
      <c r="X340" s="250"/>
      <c r="Y340" s="250"/>
      <c r="Z340" s="250"/>
    </row>
    <row r="341" ht="14.25" customHeight="1">
      <c r="A341" s="250"/>
      <c r="B341" s="250"/>
      <c r="C341" s="250"/>
      <c r="D341" s="250"/>
      <c r="E341" s="250"/>
      <c r="F341" s="250"/>
      <c r="G341" s="250"/>
      <c r="H341" s="250"/>
      <c r="I341" s="250"/>
      <c r="J341" s="250"/>
      <c r="K341" s="250"/>
      <c r="L341" s="250"/>
      <c r="M341" s="250"/>
      <c r="N341" s="250"/>
      <c r="O341" s="250"/>
      <c r="P341" s="250"/>
      <c r="Q341" s="250"/>
      <c r="R341" s="250"/>
      <c r="S341" s="250"/>
      <c r="T341" s="250"/>
      <c r="U341" s="250"/>
      <c r="V341" s="250"/>
      <c r="W341" s="250"/>
      <c r="X341" s="250"/>
      <c r="Y341" s="250"/>
      <c r="Z341" s="250"/>
    </row>
    <row r="342" ht="14.25" customHeight="1">
      <c r="A342" s="250"/>
      <c r="B342" s="250"/>
      <c r="C342" s="250"/>
      <c r="D342" s="250"/>
      <c r="E342" s="250"/>
      <c r="F342" s="250"/>
      <c r="G342" s="250"/>
      <c r="H342" s="250"/>
      <c r="I342" s="250"/>
      <c r="J342" s="250"/>
      <c r="K342" s="250"/>
      <c r="L342" s="250"/>
      <c r="M342" s="250"/>
      <c r="N342" s="250"/>
      <c r="O342" s="250"/>
      <c r="P342" s="250"/>
      <c r="Q342" s="250"/>
      <c r="R342" s="250"/>
      <c r="S342" s="250"/>
      <c r="T342" s="250"/>
      <c r="U342" s="250"/>
      <c r="V342" s="250"/>
      <c r="W342" s="250"/>
      <c r="X342" s="250"/>
      <c r="Y342" s="250"/>
      <c r="Z342" s="250"/>
    </row>
    <row r="343" ht="14.25" customHeight="1">
      <c r="A343" s="250"/>
      <c r="B343" s="250"/>
      <c r="C343" s="250"/>
      <c r="D343" s="250"/>
      <c r="E343" s="250"/>
      <c r="F343" s="250"/>
      <c r="G343" s="250"/>
      <c r="H343" s="250"/>
      <c r="I343" s="250"/>
      <c r="J343" s="250"/>
      <c r="K343" s="250"/>
      <c r="L343" s="250"/>
      <c r="M343" s="250"/>
      <c r="N343" s="250"/>
      <c r="O343" s="250"/>
      <c r="P343" s="250"/>
      <c r="Q343" s="250"/>
      <c r="R343" s="250"/>
      <c r="S343" s="250"/>
      <c r="T343" s="250"/>
      <c r="U343" s="250"/>
      <c r="V343" s="250"/>
      <c r="W343" s="250"/>
      <c r="X343" s="250"/>
      <c r="Y343" s="250"/>
      <c r="Z343" s="250"/>
    </row>
    <row r="344" ht="14.25" customHeight="1">
      <c r="A344" s="250"/>
      <c r="B344" s="250"/>
      <c r="C344" s="250"/>
      <c r="D344" s="250"/>
      <c r="E344" s="250"/>
      <c r="F344" s="250"/>
      <c r="G344" s="250"/>
      <c r="H344" s="250"/>
      <c r="I344" s="250"/>
      <c r="J344" s="250"/>
      <c r="K344" s="250"/>
      <c r="L344" s="250"/>
      <c r="M344" s="250"/>
      <c r="N344" s="250"/>
      <c r="O344" s="250"/>
      <c r="P344" s="250"/>
      <c r="Q344" s="250"/>
      <c r="R344" s="250"/>
      <c r="S344" s="250"/>
      <c r="T344" s="250"/>
      <c r="U344" s="250"/>
      <c r="V344" s="250"/>
      <c r="W344" s="250"/>
      <c r="X344" s="250"/>
      <c r="Y344" s="250"/>
      <c r="Z344" s="250"/>
    </row>
    <row r="345" ht="14.25" customHeight="1">
      <c r="A345" s="250"/>
      <c r="B345" s="250"/>
      <c r="C345" s="250"/>
      <c r="D345" s="250"/>
      <c r="E345" s="250"/>
      <c r="F345" s="250"/>
      <c r="G345" s="250"/>
      <c r="H345" s="250"/>
      <c r="I345" s="250"/>
      <c r="J345" s="250"/>
      <c r="K345" s="250"/>
      <c r="L345" s="250"/>
      <c r="M345" s="250"/>
      <c r="N345" s="250"/>
      <c r="O345" s="250"/>
      <c r="P345" s="250"/>
      <c r="Q345" s="250"/>
      <c r="R345" s="250"/>
      <c r="S345" s="250"/>
      <c r="T345" s="250"/>
      <c r="U345" s="250"/>
      <c r="V345" s="250"/>
      <c r="W345" s="250"/>
      <c r="X345" s="250"/>
      <c r="Y345" s="250"/>
      <c r="Z345" s="250"/>
    </row>
    <row r="346" ht="14.25" customHeight="1">
      <c r="A346" s="250"/>
      <c r="B346" s="250"/>
      <c r="C346" s="250"/>
      <c r="D346" s="250"/>
      <c r="E346" s="250"/>
      <c r="F346" s="250"/>
      <c r="G346" s="250"/>
      <c r="H346" s="250"/>
      <c r="I346" s="250"/>
      <c r="J346" s="250"/>
      <c r="K346" s="250"/>
      <c r="L346" s="250"/>
      <c r="M346" s="250"/>
      <c r="N346" s="250"/>
      <c r="O346" s="250"/>
      <c r="P346" s="250"/>
      <c r="Q346" s="250"/>
      <c r="R346" s="250"/>
      <c r="S346" s="250"/>
      <c r="T346" s="250"/>
      <c r="U346" s="250"/>
      <c r="V346" s="250"/>
      <c r="W346" s="250"/>
      <c r="X346" s="250"/>
      <c r="Y346" s="250"/>
      <c r="Z346" s="250"/>
    </row>
    <row r="347" ht="14.25" customHeight="1">
      <c r="A347" s="250"/>
      <c r="B347" s="250"/>
      <c r="C347" s="250"/>
      <c r="D347" s="250"/>
      <c r="E347" s="250"/>
      <c r="F347" s="250"/>
      <c r="G347" s="250"/>
      <c r="H347" s="250"/>
      <c r="I347" s="250"/>
      <c r="J347" s="250"/>
      <c r="K347" s="250"/>
      <c r="L347" s="250"/>
      <c r="M347" s="250"/>
      <c r="N347" s="250"/>
      <c r="O347" s="250"/>
      <c r="P347" s="250"/>
      <c r="Q347" s="250"/>
      <c r="R347" s="250"/>
      <c r="S347" s="250"/>
      <c r="T347" s="250"/>
      <c r="U347" s="250"/>
      <c r="V347" s="250"/>
      <c r="W347" s="250"/>
      <c r="X347" s="250"/>
      <c r="Y347" s="250"/>
      <c r="Z347" s="250"/>
    </row>
    <row r="348" ht="14.25" customHeight="1">
      <c r="A348" s="250"/>
      <c r="B348" s="250"/>
      <c r="C348" s="250"/>
      <c r="D348" s="250"/>
      <c r="E348" s="250"/>
      <c r="F348" s="250"/>
      <c r="G348" s="250"/>
      <c r="H348" s="250"/>
      <c r="I348" s="250"/>
      <c r="J348" s="250"/>
      <c r="K348" s="250"/>
      <c r="L348" s="250"/>
      <c r="M348" s="250"/>
      <c r="N348" s="250"/>
      <c r="O348" s="250"/>
      <c r="P348" s="250"/>
      <c r="Q348" s="250"/>
      <c r="R348" s="250"/>
      <c r="S348" s="250"/>
      <c r="T348" s="250"/>
      <c r="U348" s="250"/>
      <c r="V348" s="250"/>
      <c r="W348" s="250"/>
      <c r="X348" s="250"/>
      <c r="Y348" s="250"/>
      <c r="Z348" s="250"/>
    </row>
    <row r="349" ht="14.25" customHeight="1">
      <c r="A349" s="250"/>
      <c r="B349" s="250"/>
      <c r="C349" s="250"/>
      <c r="D349" s="250"/>
      <c r="E349" s="250"/>
      <c r="F349" s="250"/>
      <c r="G349" s="250"/>
      <c r="H349" s="250"/>
      <c r="I349" s="250"/>
      <c r="J349" s="250"/>
      <c r="K349" s="250"/>
      <c r="L349" s="250"/>
      <c r="M349" s="250"/>
      <c r="N349" s="250"/>
      <c r="O349" s="250"/>
      <c r="P349" s="250"/>
      <c r="Q349" s="250"/>
      <c r="R349" s="250"/>
      <c r="S349" s="250"/>
      <c r="T349" s="250"/>
      <c r="U349" s="250"/>
      <c r="V349" s="250"/>
      <c r="W349" s="250"/>
      <c r="X349" s="250"/>
      <c r="Y349" s="250"/>
      <c r="Z349" s="250"/>
    </row>
    <row r="350" ht="14.25" customHeight="1">
      <c r="A350" s="250"/>
      <c r="B350" s="250"/>
      <c r="C350" s="250"/>
      <c r="D350" s="250"/>
      <c r="E350" s="250"/>
      <c r="F350" s="250"/>
      <c r="G350" s="250"/>
      <c r="H350" s="250"/>
      <c r="I350" s="250"/>
      <c r="J350" s="250"/>
      <c r="K350" s="250"/>
      <c r="L350" s="250"/>
      <c r="M350" s="250"/>
      <c r="N350" s="250"/>
      <c r="O350" s="250"/>
      <c r="P350" s="250"/>
      <c r="Q350" s="250"/>
      <c r="R350" s="250"/>
      <c r="S350" s="250"/>
      <c r="T350" s="250"/>
      <c r="U350" s="250"/>
      <c r="V350" s="250"/>
      <c r="W350" s="250"/>
      <c r="X350" s="250"/>
      <c r="Y350" s="250"/>
      <c r="Z350" s="250"/>
    </row>
    <row r="351" ht="14.25" customHeight="1">
      <c r="A351" s="250"/>
      <c r="B351" s="250"/>
      <c r="C351" s="250"/>
      <c r="D351" s="250"/>
      <c r="E351" s="250"/>
      <c r="F351" s="250"/>
      <c r="G351" s="250"/>
      <c r="H351" s="250"/>
      <c r="I351" s="250"/>
      <c r="J351" s="250"/>
      <c r="K351" s="250"/>
      <c r="L351" s="250"/>
      <c r="M351" s="250"/>
      <c r="N351" s="250"/>
      <c r="O351" s="250"/>
      <c r="P351" s="250"/>
      <c r="Q351" s="250"/>
      <c r="R351" s="250"/>
      <c r="S351" s="250"/>
      <c r="T351" s="250"/>
      <c r="U351" s="250"/>
      <c r="V351" s="250"/>
      <c r="W351" s="250"/>
      <c r="X351" s="250"/>
      <c r="Y351" s="250"/>
      <c r="Z351" s="250"/>
    </row>
    <row r="352" ht="14.25" customHeight="1">
      <c r="A352" s="250"/>
      <c r="B352" s="250"/>
      <c r="C352" s="250"/>
      <c r="D352" s="250"/>
      <c r="E352" s="250"/>
      <c r="F352" s="250"/>
      <c r="G352" s="250"/>
      <c r="H352" s="250"/>
      <c r="I352" s="250"/>
      <c r="J352" s="250"/>
      <c r="K352" s="250"/>
      <c r="L352" s="250"/>
      <c r="M352" s="250"/>
      <c r="N352" s="250"/>
      <c r="O352" s="250"/>
      <c r="P352" s="250"/>
      <c r="Q352" s="250"/>
      <c r="R352" s="250"/>
      <c r="S352" s="250"/>
      <c r="T352" s="250"/>
      <c r="U352" s="250"/>
      <c r="V352" s="250"/>
      <c r="W352" s="250"/>
      <c r="X352" s="250"/>
      <c r="Y352" s="250"/>
      <c r="Z352" s="250"/>
    </row>
    <row r="353" ht="14.25" customHeight="1">
      <c r="A353" s="250"/>
      <c r="B353" s="250"/>
      <c r="C353" s="250"/>
      <c r="D353" s="250"/>
      <c r="E353" s="250"/>
      <c r="F353" s="250"/>
      <c r="G353" s="250"/>
      <c r="H353" s="250"/>
      <c r="I353" s="250"/>
      <c r="J353" s="250"/>
      <c r="K353" s="250"/>
      <c r="L353" s="250"/>
      <c r="M353" s="250"/>
      <c r="N353" s="250"/>
      <c r="O353" s="250"/>
      <c r="P353" s="250"/>
      <c r="Q353" s="250"/>
      <c r="R353" s="250"/>
      <c r="S353" s="250"/>
      <c r="T353" s="250"/>
      <c r="U353" s="250"/>
      <c r="V353" s="250"/>
      <c r="W353" s="250"/>
      <c r="X353" s="250"/>
      <c r="Y353" s="250"/>
      <c r="Z353" s="250"/>
    </row>
    <row r="354" ht="14.25" customHeight="1">
      <c r="A354" s="250"/>
      <c r="B354" s="250"/>
      <c r="C354" s="250"/>
      <c r="D354" s="250"/>
      <c r="E354" s="250"/>
      <c r="F354" s="250"/>
      <c r="G354" s="250"/>
      <c r="H354" s="250"/>
      <c r="I354" s="250"/>
      <c r="J354" s="250"/>
      <c r="K354" s="250"/>
      <c r="L354" s="250"/>
      <c r="M354" s="250"/>
      <c r="N354" s="250"/>
      <c r="O354" s="250"/>
      <c r="P354" s="250"/>
      <c r="Q354" s="250"/>
      <c r="R354" s="250"/>
      <c r="S354" s="250"/>
      <c r="T354" s="250"/>
      <c r="U354" s="250"/>
      <c r="V354" s="250"/>
      <c r="W354" s="250"/>
      <c r="X354" s="250"/>
      <c r="Y354" s="250"/>
      <c r="Z354" s="250"/>
    </row>
    <row r="355" ht="14.25" customHeight="1">
      <c r="A355" s="250"/>
      <c r="B355" s="250"/>
      <c r="C355" s="250"/>
      <c r="D355" s="250"/>
      <c r="E355" s="250"/>
      <c r="F355" s="250"/>
      <c r="G355" s="250"/>
      <c r="H355" s="250"/>
      <c r="I355" s="250"/>
      <c r="J355" s="250"/>
      <c r="K355" s="250"/>
      <c r="L355" s="250"/>
      <c r="M355" s="250"/>
      <c r="N355" s="250"/>
      <c r="O355" s="250"/>
      <c r="P355" s="250"/>
      <c r="Q355" s="250"/>
      <c r="R355" s="250"/>
      <c r="S355" s="250"/>
      <c r="T355" s="250"/>
      <c r="U355" s="250"/>
      <c r="V355" s="250"/>
      <c r="W355" s="250"/>
      <c r="X355" s="250"/>
      <c r="Y355" s="250"/>
      <c r="Z355" s="250"/>
    </row>
    <row r="356" ht="14.25" customHeight="1">
      <c r="A356" s="250"/>
      <c r="B356" s="250"/>
      <c r="C356" s="250"/>
      <c r="D356" s="250"/>
      <c r="E356" s="250"/>
      <c r="F356" s="250"/>
      <c r="G356" s="250"/>
      <c r="H356" s="250"/>
      <c r="I356" s="250"/>
      <c r="J356" s="250"/>
      <c r="K356" s="250"/>
      <c r="L356" s="250"/>
      <c r="M356" s="250"/>
      <c r="N356" s="250"/>
      <c r="O356" s="250"/>
      <c r="P356" s="250"/>
      <c r="Q356" s="250"/>
      <c r="R356" s="250"/>
      <c r="S356" s="250"/>
      <c r="T356" s="250"/>
      <c r="U356" s="250"/>
      <c r="V356" s="250"/>
      <c r="W356" s="250"/>
      <c r="X356" s="250"/>
      <c r="Y356" s="250"/>
      <c r="Z356" s="250"/>
    </row>
    <row r="357" ht="14.25" customHeight="1">
      <c r="A357" s="250"/>
      <c r="B357" s="250"/>
      <c r="C357" s="250"/>
      <c r="D357" s="250"/>
      <c r="E357" s="250"/>
      <c r="F357" s="250"/>
      <c r="G357" s="250"/>
      <c r="H357" s="250"/>
      <c r="I357" s="250"/>
      <c r="J357" s="250"/>
      <c r="K357" s="250"/>
      <c r="L357" s="250"/>
      <c r="M357" s="250"/>
      <c r="N357" s="250"/>
      <c r="O357" s="250"/>
      <c r="P357" s="250"/>
      <c r="Q357" s="250"/>
      <c r="R357" s="250"/>
      <c r="S357" s="250"/>
      <c r="T357" s="250"/>
      <c r="U357" s="250"/>
      <c r="V357" s="250"/>
      <c r="W357" s="250"/>
      <c r="X357" s="250"/>
      <c r="Y357" s="250"/>
      <c r="Z357" s="250"/>
    </row>
    <row r="358" ht="14.25" customHeight="1">
      <c r="A358" s="250"/>
      <c r="B358" s="250"/>
      <c r="C358" s="250"/>
      <c r="D358" s="250"/>
      <c r="E358" s="250"/>
      <c r="F358" s="250"/>
      <c r="G358" s="250"/>
      <c r="H358" s="250"/>
      <c r="I358" s="250"/>
      <c r="J358" s="250"/>
      <c r="K358" s="250"/>
      <c r="L358" s="250"/>
      <c r="M358" s="250"/>
      <c r="N358" s="250"/>
      <c r="O358" s="250"/>
      <c r="P358" s="250"/>
      <c r="Q358" s="250"/>
      <c r="R358" s="250"/>
      <c r="S358" s="250"/>
      <c r="T358" s="250"/>
      <c r="U358" s="250"/>
      <c r="V358" s="250"/>
      <c r="W358" s="250"/>
      <c r="X358" s="250"/>
      <c r="Y358" s="250"/>
      <c r="Z358" s="250"/>
    </row>
    <row r="359" ht="14.25" customHeight="1">
      <c r="A359" s="250"/>
      <c r="B359" s="250"/>
      <c r="C359" s="250"/>
      <c r="D359" s="250"/>
      <c r="E359" s="250"/>
      <c r="F359" s="250"/>
      <c r="G359" s="250"/>
      <c r="H359" s="250"/>
      <c r="I359" s="250"/>
      <c r="J359" s="250"/>
      <c r="K359" s="250"/>
      <c r="L359" s="250"/>
      <c r="M359" s="250"/>
      <c r="N359" s="250"/>
      <c r="O359" s="250"/>
      <c r="P359" s="250"/>
      <c r="Q359" s="250"/>
      <c r="R359" s="250"/>
      <c r="S359" s="250"/>
      <c r="T359" s="250"/>
      <c r="U359" s="250"/>
      <c r="V359" s="250"/>
      <c r="W359" s="250"/>
      <c r="X359" s="250"/>
      <c r="Y359" s="250"/>
      <c r="Z359" s="250"/>
    </row>
    <row r="360" ht="14.25" customHeight="1">
      <c r="A360" s="250"/>
      <c r="B360" s="250"/>
      <c r="C360" s="250"/>
      <c r="D360" s="250"/>
      <c r="E360" s="250"/>
      <c r="F360" s="250"/>
      <c r="G360" s="250"/>
      <c r="H360" s="250"/>
      <c r="I360" s="250"/>
      <c r="J360" s="250"/>
      <c r="K360" s="250"/>
      <c r="L360" s="250"/>
      <c r="M360" s="250"/>
      <c r="N360" s="250"/>
      <c r="O360" s="250"/>
      <c r="P360" s="250"/>
      <c r="Q360" s="250"/>
      <c r="R360" s="250"/>
      <c r="S360" s="250"/>
      <c r="T360" s="250"/>
      <c r="U360" s="250"/>
      <c r="V360" s="250"/>
      <c r="W360" s="250"/>
      <c r="X360" s="250"/>
      <c r="Y360" s="250"/>
      <c r="Z360" s="250"/>
    </row>
    <row r="361" ht="14.25" customHeight="1">
      <c r="A361" s="250"/>
      <c r="B361" s="250"/>
      <c r="C361" s="250"/>
      <c r="D361" s="250"/>
      <c r="E361" s="250"/>
      <c r="F361" s="250"/>
      <c r="G361" s="250"/>
      <c r="H361" s="250"/>
      <c r="I361" s="250"/>
      <c r="J361" s="250"/>
      <c r="K361" s="250"/>
      <c r="L361" s="250"/>
      <c r="M361" s="250"/>
      <c r="N361" s="250"/>
      <c r="O361" s="250"/>
      <c r="P361" s="250"/>
      <c r="Q361" s="250"/>
      <c r="R361" s="250"/>
      <c r="S361" s="250"/>
      <c r="T361" s="250"/>
      <c r="U361" s="250"/>
      <c r="V361" s="250"/>
      <c r="W361" s="250"/>
      <c r="X361" s="250"/>
      <c r="Y361" s="250"/>
      <c r="Z361" s="250"/>
    </row>
    <row r="362" ht="14.25" customHeight="1">
      <c r="A362" s="250"/>
      <c r="B362" s="250"/>
      <c r="C362" s="250"/>
      <c r="D362" s="250"/>
      <c r="E362" s="250"/>
      <c r="F362" s="250"/>
      <c r="G362" s="250"/>
      <c r="H362" s="250"/>
      <c r="I362" s="250"/>
      <c r="J362" s="250"/>
      <c r="K362" s="250"/>
      <c r="L362" s="250"/>
      <c r="M362" s="250"/>
      <c r="N362" s="250"/>
      <c r="O362" s="250"/>
      <c r="P362" s="250"/>
      <c r="Q362" s="250"/>
      <c r="R362" s="250"/>
      <c r="S362" s="250"/>
      <c r="T362" s="250"/>
      <c r="U362" s="250"/>
      <c r="V362" s="250"/>
      <c r="W362" s="250"/>
      <c r="X362" s="250"/>
      <c r="Y362" s="250"/>
      <c r="Z362" s="250"/>
    </row>
    <row r="363" ht="14.25" customHeight="1">
      <c r="A363" s="250"/>
      <c r="B363" s="250"/>
      <c r="C363" s="250"/>
      <c r="D363" s="250"/>
      <c r="E363" s="250"/>
      <c r="F363" s="250"/>
      <c r="G363" s="250"/>
      <c r="H363" s="250"/>
      <c r="I363" s="250"/>
      <c r="J363" s="250"/>
      <c r="K363" s="250"/>
      <c r="L363" s="250"/>
      <c r="M363" s="250"/>
      <c r="N363" s="250"/>
      <c r="O363" s="250"/>
      <c r="P363" s="250"/>
      <c r="Q363" s="250"/>
      <c r="R363" s="250"/>
      <c r="S363" s="250"/>
      <c r="T363" s="250"/>
      <c r="U363" s="250"/>
      <c r="V363" s="250"/>
      <c r="W363" s="250"/>
      <c r="X363" s="250"/>
      <c r="Y363" s="250"/>
      <c r="Z363" s="250"/>
    </row>
    <row r="364" ht="14.25" customHeight="1">
      <c r="A364" s="250"/>
      <c r="B364" s="250"/>
      <c r="C364" s="250"/>
      <c r="D364" s="250"/>
      <c r="E364" s="250"/>
      <c r="F364" s="250"/>
      <c r="G364" s="250"/>
      <c r="H364" s="250"/>
      <c r="I364" s="250"/>
      <c r="J364" s="250"/>
      <c r="K364" s="250"/>
      <c r="L364" s="250"/>
      <c r="M364" s="250"/>
      <c r="N364" s="250"/>
      <c r="O364" s="250"/>
      <c r="P364" s="250"/>
      <c r="Q364" s="250"/>
      <c r="R364" s="250"/>
      <c r="S364" s="250"/>
      <c r="T364" s="250"/>
      <c r="U364" s="250"/>
      <c r="V364" s="250"/>
      <c r="W364" s="250"/>
      <c r="X364" s="250"/>
      <c r="Y364" s="250"/>
      <c r="Z364" s="250"/>
    </row>
    <row r="365" ht="14.25" customHeight="1">
      <c r="A365" s="250"/>
      <c r="B365" s="250"/>
      <c r="C365" s="250"/>
      <c r="D365" s="250"/>
      <c r="E365" s="250"/>
      <c r="F365" s="250"/>
      <c r="G365" s="250"/>
      <c r="H365" s="250"/>
      <c r="I365" s="250"/>
      <c r="J365" s="250"/>
      <c r="K365" s="250"/>
      <c r="L365" s="250"/>
      <c r="M365" s="250"/>
      <c r="N365" s="250"/>
      <c r="O365" s="250"/>
      <c r="P365" s="250"/>
      <c r="Q365" s="250"/>
      <c r="R365" s="250"/>
      <c r="S365" s="250"/>
      <c r="T365" s="250"/>
      <c r="U365" s="250"/>
      <c r="V365" s="250"/>
      <c r="W365" s="250"/>
      <c r="X365" s="250"/>
      <c r="Y365" s="250"/>
      <c r="Z365" s="250"/>
    </row>
    <row r="366" ht="14.25" customHeight="1">
      <c r="A366" s="250"/>
      <c r="B366" s="250"/>
      <c r="C366" s="250"/>
      <c r="D366" s="250"/>
      <c r="E366" s="250"/>
      <c r="F366" s="250"/>
      <c r="G366" s="250"/>
      <c r="H366" s="250"/>
      <c r="I366" s="250"/>
      <c r="J366" s="250"/>
      <c r="K366" s="250"/>
      <c r="L366" s="250"/>
      <c r="M366" s="250"/>
      <c r="N366" s="250"/>
      <c r="O366" s="250"/>
      <c r="P366" s="250"/>
      <c r="Q366" s="250"/>
      <c r="R366" s="250"/>
      <c r="S366" s="250"/>
      <c r="T366" s="250"/>
      <c r="U366" s="250"/>
      <c r="V366" s="250"/>
      <c r="W366" s="250"/>
      <c r="X366" s="250"/>
      <c r="Y366" s="250"/>
      <c r="Z366" s="250"/>
    </row>
    <row r="367" ht="14.25" customHeight="1">
      <c r="A367" s="250"/>
      <c r="B367" s="250"/>
      <c r="C367" s="250"/>
      <c r="D367" s="250"/>
      <c r="E367" s="250"/>
      <c r="F367" s="250"/>
      <c r="G367" s="250"/>
      <c r="H367" s="250"/>
      <c r="I367" s="250"/>
      <c r="J367" s="250"/>
      <c r="K367" s="250"/>
      <c r="L367" s="250"/>
      <c r="M367" s="250"/>
      <c r="N367" s="250"/>
      <c r="O367" s="250"/>
      <c r="P367" s="250"/>
      <c r="Q367" s="250"/>
      <c r="R367" s="250"/>
      <c r="S367" s="250"/>
      <c r="T367" s="250"/>
      <c r="U367" s="250"/>
      <c r="V367" s="250"/>
      <c r="W367" s="250"/>
      <c r="X367" s="250"/>
      <c r="Y367" s="250"/>
      <c r="Z367" s="250"/>
    </row>
    <row r="368" ht="14.25" customHeight="1">
      <c r="A368" s="250"/>
      <c r="B368" s="250"/>
      <c r="C368" s="250"/>
      <c r="D368" s="250"/>
      <c r="E368" s="250"/>
      <c r="F368" s="250"/>
      <c r="G368" s="250"/>
      <c r="H368" s="250"/>
      <c r="I368" s="250"/>
      <c r="J368" s="250"/>
      <c r="K368" s="250"/>
      <c r="L368" s="250"/>
      <c r="M368" s="250"/>
      <c r="N368" s="250"/>
      <c r="O368" s="250"/>
      <c r="P368" s="250"/>
      <c r="Q368" s="250"/>
      <c r="R368" s="250"/>
      <c r="S368" s="250"/>
      <c r="T368" s="250"/>
      <c r="U368" s="250"/>
      <c r="V368" s="250"/>
      <c r="W368" s="250"/>
      <c r="X368" s="250"/>
      <c r="Y368" s="250"/>
      <c r="Z368" s="250"/>
    </row>
    <row r="369" ht="14.25" customHeight="1">
      <c r="A369" s="250"/>
      <c r="B369" s="250"/>
      <c r="C369" s="250"/>
      <c r="D369" s="250"/>
      <c r="E369" s="250"/>
      <c r="F369" s="250"/>
      <c r="G369" s="250"/>
      <c r="H369" s="250"/>
      <c r="I369" s="250"/>
      <c r="J369" s="250"/>
      <c r="K369" s="250"/>
      <c r="L369" s="250"/>
      <c r="M369" s="250"/>
      <c r="N369" s="250"/>
      <c r="O369" s="250"/>
      <c r="P369" s="250"/>
      <c r="Q369" s="250"/>
      <c r="R369" s="250"/>
      <c r="S369" s="250"/>
      <c r="T369" s="250"/>
      <c r="U369" s="250"/>
      <c r="V369" s="250"/>
      <c r="W369" s="250"/>
      <c r="X369" s="250"/>
      <c r="Y369" s="250"/>
      <c r="Z369" s="250"/>
    </row>
    <row r="370" ht="14.25" customHeight="1">
      <c r="A370" s="250"/>
      <c r="B370" s="250"/>
      <c r="C370" s="250"/>
      <c r="D370" s="250"/>
      <c r="E370" s="250"/>
      <c r="F370" s="250"/>
      <c r="G370" s="250"/>
      <c r="H370" s="250"/>
      <c r="I370" s="250"/>
      <c r="J370" s="250"/>
      <c r="K370" s="250"/>
      <c r="L370" s="250"/>
      <c r="M370" s="250"/>
      <c r="N370" s="250"/>
      <c r="O370" s="250"/>
      <c r="P370" s="250"/>
      <c r="Q370" s="250"/>
      <c r="R370" s="250"/>
      <c r="S370" s="250"/>
      <c r="T370" s="250"/>
      <c r="U370" s="250"/>
      <c r="V370" s="250"/>
      <c r="W370" s="250"/>
      <c r="X370" s="250"/>
      <c r="Y370" s="250"/>
      <c r="Z370" s="250"/>
    </row>
    <row r="371" ht="14.25" customHeight="1">
      <c r="A371" s="250"/>
      <c r="B371" s="250"/>
      <c r="C371" s="250"/>
      <c r="D371" s="250"/>
      <c r="E371" s="250"/>
      <c r="F371" s="250"/>
      <c r="G371" s="250"/>
      <c r="H371" s="250"/>
      <c r="I371" s="250"/>
      <c r="J371" s="250"/>
      <c r="K371" s="250"/>
      <c r="L371" s="250"/>
      <c r="M371" s="250"/>
      <c r="N371" s="250"/>
      <c r="O371" s="250"/>
      <c r="P371" s="250"/>
      <c r="Q371" s="250"/>
      <c r="R371" s="250"/>
      <c r="S371" s="250"/>
      <c r="T371" s="250"/>
      <c r="U371" s="250"/>
      <c r="V371" s="250"/>
      <c r="W371" s="250"/>
      <c r="X371" s="250"/>
      <c r="Y371" s="250"/>
      <c r="Z371" s="250"/>
    </row>
    <row r="372" ht="14.25" customHeight="1">
      <c r="A372" s="250"/>
      <c r="B372" s="250"/>
      <c r="C372" s="250"/>
      <c r="D372" s="250"/>
      <c r="E372" s="250"/>
      <c r="F372" s="250"/>
      <c r="G372" s="250"/>
      <c r="H372" s="250"/>
      <c r="I372" s="250"/>
      <c r="J372" s="250"/>
      <c r="K372" s="250"/>
      <c r="L372" s="250"/>
      <c r="M372" s="250"/>
      <c r="N372" s="250"/>
      <c r="O372" s="250"/>
      <c r="P372" s="250"/>
      <c r="Q372" s="250"/>
      <c r="R372" s="250"/>
      <c r="S372" s="250"/>
      <c r="T372" s="250"/>
      <c r="U372" s="250"/>
      <c r="V372" s="250"/>
      <c r="W372" s="250"/>
      <c r="X372" s="250"/>
      <c r="Y372" s="250"/>
      <c r="Z372" s="250"/>
    </row>
    <row r="373" ht="14.25" customHeight="1">
      <c r="A373" s="250"/>
      <c r="B373" s="250"/>
      <c r="C373" s="250"/>
      <c r="D373" s="250"/>
      <c r="E373" s="250"/>
      <c r="F373" s="250"/>
      <c r="G373" s="250"/>
      <c r="H373" s="250"/>
      <c r="I373" s="250"/>
      <c r="J373" s="250"/>
      <c r="K373" s="250"/>
      <c r="L373" s="250"/>
      <c r="M373" s="250"/>
      <c r="N373" s="250"/>
      <c r="O373" s="250"/>
      <c r="P373" s="250"/>
      <c r="Q373" s="250"/>
      <c r="R373" s="250"/>
      <c r="S373" s="250"/>
      <c r="T373" s="250"/>
      <c r="U373" s="250"/>
      <c r="V373" s="250"/>
      <c r="W373" s="250"/>
      <c r="X373" s="250"/>
      <c r="Y373" s="250"/>
      <c r="Z373" s="250"/>
    </row>
    <row r="374" ht="14.25" customHeight="1">
      <c r="A374" s="250"/>
      <c r="B374" s="250"/>
      <c r="C374" s="250"/>
      <c r="D374" s="250"/>
      <c r="E374" s="250"/>
      <c r="F374" s="250"/>
      <c r="G374" s="250"/>
      <c r="H374" s="250"/>
      <c r="I374" s="250"/>
      <c r="J374" s="250"/>
      <c r="K374" s="250"/>
      <c r="L374" s="250"/>
      <c r="M374" s="250"/>
      <c r="N374" s="250"/>
      <c r="O374" s="250"/>
      <c r="P374" s="250"/>
      <c r="Q374" s="250"/>
      <c r="R374" s="250"/>
      <c r="S374" s="250"/>
      <c r="T374" s="250"/>
      <c r="U374" s="250"/>
      <c r="V374" s="250"/>
      <c r="W374" s="250"/>
      <c r="X374" s="250"/>
      <c r="Y374" s="250"/>
      <c r="Z374" s="250"/>
    </row>
    <row r="375" ht="14.25" customHeight="1">
      <c r="A375" s="250"/>
      <c r="B375" s="250"/>
      <c r="C375" s="250"/>
      <c r="D375" s="250"/>
      <c r="E375" s="250"/>
      <c r="F375" s="250"/>
      <c r="G375" s="250"/>
      <c r="H375" s="250"/>
      <c r="I375" s="250"/>
      <c r="J375" s="250"/>
      <c r="K375" s="250"/>
      <c r="L375" s="250"/>
      <c r="M375" s="250"/>
      <c r="N375" s="250"/>
      <c r="O375" s="250"/>
      <c r="P375" s="250"/>
      <c r="Q375" s="250"/>
      <c r="R375" s="250"/>
      <c r="S375" s="250"/>
      <c r="T375" s="250"/>
      <c r="U375" s="250"/>
      <c r="V375" s="250"/>
      <c r="W375" s="250"/>
      <c r="X375" s="250"/>
      <c r="Y375" s="250"/>
      <c r="Z375" s="250"/>
    </row>
    <row r="376" ht="14.25" customHeight="1">
      <c r="A376" s="250"/>
      <c r="B376" s="250"/>
      <c r="C376" s="250"/>
      <c r="D376" s="250"/>
      <c r="E376" s="250"/>
      <c r="F376" s="250"/>
      <c r="G376" s="250"/>
      <c r="H376" s="250"/>
      <c r="I376" s="250"/>
      <c r="J376" s="250"/>
      <c r="K376" s="250"/>
      <c r="L376" s="250"/>
      <c r="M376" s="250"/>
      <c r="N376" s="250"/>
      <c r="O376" s="250"/>
      <c r="P376" s="250"/>
      <c r="Q376" s="250"/>
      <c r="R376" s="250"/>
      <c r="S376" s="250"/>
      <c r="T376" s="250"/>
      <c r="U376" s="250"/>
      <c r="V376" s="250"/>
      <c r="W376" s="250"/>
      <c r="X376" s="250"/>
      <c r="Y376" s="250"/>
      <c r="Z376" s="250"/>
    </row>
    <row r="377" ht="14.25" customHeight="1">
      <c r="A377" s="250"/>
      <c r="B377" s="250"/>
      <c r="C377" s="250"/>
      <c r="D377" s="250"/>
      <c r="E377" s="250"/>
      <c r="F377" s="250"/>
      <c r="G377" s="250"/>
      <c r="H377" s="250"/>
      <c r="I377" s="250"/>
      <c r="J377" s="250"/>
      <c r="K377" s="250"/>
      <c r="L377" s="250"/>
      <c r="M377" s="250"/>
      <c r="N377" s="250"/>
      <c r="O377" s="250"/>
      <c r="P377" s="250"/>
      <c r="Q377" s="250"/>
      <c r="R377" s="250"/>
      <c r="S377" s="250"/>
      <c r="T377" s="250"/>
      <c r="U377" s="250"/>
      <c r="V377" s="250"/>
      <c r="W377" s="250"/>
      <c r="X377" s="250"/>
      <c r="Y377" s="250"/>
      <c r="Z377" s="250"/>
    </row>
    <row r="378" ht="14.25" customHeight="1">
      <c r="A378" s="250"/>
      <c r="B378" s="250"/>
      <c r="C378" s="250"/>
      <c r="D378" s="250"/>
      <c r="E378" s="250"/>
      <c r="F378" s="250"/>
      <c r="G378" s="250"/>
      <c r="H378" s="250"/>
      <c r="I378" s="250"/>
      <c r="J378" s="250"/>
      <c r="K378" s="250"/>
      <c r="L378" s="250"/>
      <c r="M378" s="250"/>
      <c r="N378" s="250"/>
      <c r="O378" s="250"/>
      <c r="P378" s="250"/>
      <c r="Q378" s="250"/>
      <c r="R378" s="250"/>
      <c r="S378" s="250"/>
      <c r="T378" s="250"/>
      <c r="U378" s="250"/>
      <c r="V378" s="250"/>
      <c r="W378" s="250"/>
      <c r="X378" s="250"/>
      <c r="Y378" s="250"/>
      <c r="Z378" s="250"/>
    </row>
    <row r="379" ht="14.25" customHeight="1">
      <c r="A379" s="250"/>
      <c r="B379" s="250"/>
      <c r="C379" s="250"/>
      <c r="D379" s="250"/>
      <c r="E379" s="250"/>
      <c r="F379" s="250"/>
      <c r="G379" s="250"/>
      <c r="H379" s="250"/>
      <c r="I379" s="250"/>
      <c r="J379" s="250"/>
      <c r="K379" s="250"/>
      <c r="L379" s="250"/>
      <c r="M379" s="250"/>
      <c r="N379" s="250"/>
      <c r="O379" s="250"/>
      <c r="P379" s="250"/>
      <c r="Q379" s="250"/>
      <c r="R379" s="250"/>
      <c r="S379" s="250"/>
      <c r="T379" s="250"/>
      <c r="U379" s="250"/>
      <c r="V379" s="250"/>
      <c r="W379" s="250"/>
      <c r="X379" s="250"/>
      <c r="Y379" s="250"/>
      <c r="Z379" s="250"/>
    </row>
    <row r="380" ht="14.25" customHeight="1">
      <c r="A380" s="250"/>
      <c r="B380" s="250"/>
      <c r="C380" s="250"/>
      <c r="D380" s="250"/>
      <c r="E380" s="250"/>
      <c r="F380" s="250"/>
      <c r="G380" s="250"/>
      <c r="H380" s="250"/>
      <c r="I380" s="250"/>
      <c r="J380" s="250"/>
      <c r="K380" s="250"/>
      <c r="L380" s="250"/>
      <c r="M380" s="250"/>
      <c r="N380" s="250"/>
      <c r="O380" s="250"/>
      <c r="P380" s="250"/>
      <c r="Q380" s="250"/>
      <c r="R380" s="250"/>
      <c r="S380" s="250"/>
      <c r="T380" s="250"/>
      <c r="U380" s="250"/>
      <c r="V380" s="250"/>
      <c r="W380" s="250"/>
      <c r="X380" s="250"/>
      <c r="Y380" s="250"/>
      <c r="Z380" s="250"/>
    </row>
    <row r="381" ht="14.25" customHeight="1">
      <c r="A381" s="250"/>
      <c r="B381" s="250"/>
      <c r="C381" s="250"/>
      <c r="D381" s="250"/>
      <c r="E381" s="250"/>
      <c r="F381" s="250"/>
      <c r="G381" s="250"/>
      <c r="H381" s="250"/>
      <c r="I381" s="250"/>
      <c r="J381" s="250"/>
      <c r="K381" s="250"/>
      <c r="L381" s="250"/>
      <c r="M381" s="250"/>
      <c r="N381" s="250"/>
      <c r="O381" s="250"/>
      <c r="P381" s="250"/>
      <c r="Q381" s="250"/>
      <c r="R381" s="250"/>
      <c r="S381" s="250"/>
      <c r="T381" s="250"/>
      <c r="U381" s="250"/>
      <c r="V381" s="250"/>
      <c r="W381" s="250"/>
      <c r="X381" s="250"/>
      <c r="Y381" s="250"/>
      <c r="Z381" s="250"/>
    </row>
    <row r="382" ht="14.25" customHeight="1">
      <c r="A382" s="250"/>
      <c r="B382" s="250"/>
      <c r="C382" s="250"/>
      <c r="D382" s="250"/>
      <c r="E382" s="250"/>
      <c r="F382" s="250"/>
      <c r="G382" s="250"/>
      <c r="H382" s="250"/>
      <c r="I382" s="250"/>
      <c r="J382" s="250"/>
      <c r="K382" s="250"/>
      <c r="L382" s="250"/>
      <c r="M382" s="250"/>
      <c r="N382" s="250"/>
      <c r="O382" s="250"/>
      <c r="P382" s="250"/>
      <c r="Q382" s="250"/>
      <c r="R382" s="250"/>
      <c r="S382" s="250"/>
      <c r="T382" s="250"/>
      <c r="U382" s="250"/>
      <c r="V382" s="250"/>
      <c r="W382" s="250"/>
      <c r="X382" s="250"/>
      <c r="Y382" s="250"/>
      <c r="Z382" s="250"/>
    </row>
    <row r="383" ht="14.25" customHeight="1">
      <c r="A383" s="250"/>
      <c r="B383" s="250"/>
      <c r="C383" s="250"/>
      <c r="D383" s="250"/>
      <c r="E383" s="250"/>
      <c r="F383" s="250"/>
      <c r="G383" s="250"/>
      <c r="H383" s="250"/>
      <c r="I383" s="250"/>
      <c r="J383" s="250"/>
      <c r="K383" s="250"/>
      <c r="L383" s="250"/>
      <c r="M383" s="250"/>
      <c r="N383" s="250"/>
      <c r="O383" s="250"/>
      <c r="P383" s="250"/>
      <c r="Q383" s="250"/>
      <c r="R383" s="250"/>
      <c r="S383" s="250"/>
      <c r="T383" s="250"/>
      <c r="U383" s="250"/>
      <c r="V383" s="250"/>
      <c r="W383" s="250"/>
      <c r="X383" s="250"/>
      <c r="Y383" s="250"/>
      <c r="Z383" s="250"/>
    </row>
    <row r="384" ht="14.25" customHeight="1">
      <c r="A384" s="250"/>
      <c r="B384" s="250"/>
      <c r="C384" s="250"/>
      <c r="D384" s="250"/>
      <c r="E384" s="250"/>
      <c r="F384" s="250"/>
      <c r="G384" s="250"/>
      <c r="H384" s="250"/>
      <c r="I384" s="250"/>
      <c r="J384" s="250"/>
      <c r="K384" s="250"/>
      <c r="L384" s="250"/>
      <c r="M384" s="250"/>
      <c r="N384" s="250"/>
      <c r="O384" s="250"/>
      <c r="P384" s="250"/>
      <c r="Q384" s="250"/>
      <c r="R384" s="250"/>
      <c r="S384" s="250"/>
      <c r="T384" s="250"/>
      <c r="U384" s="250"/>
      <c r="V384" s="250"/>
      <c r="W384" s="250"/>
      <c r="X384" s="250"/>
      <c r="Y384" s="250"/>
      <c r="Z384" s="250"/>
    </row>
    <row r="385" ht="14.25" customHeight="1">
      <c r="A385" s="250"/>
      <c r="B385" s="250"/>
      <c r="C385" s="250"/>
      <c r="D385" s="250"/>
      <c r="E385" s="250"/>
      <c r="F385" s="250"/>
      <c r="G385" s="250"/>
      <c r="H385" s="250"/>
      <c r="I385" s="250"/>
      <c r="J385" s="250"/>
      <c r="K385" s="250"/>
      <c r="L385" s="250"/>
      <c r="M385" s="250"/>
      <c r="N385" s="250"/>
      <c r="O385" s="250"/>
      <c r="P385" s="250"/>
      <c r="Q385" s="250"/>
      <c r="R385" s="250"/>
      <c r="S385" s="250"/>
      <c r="T385" s="250"/>
      <c r="U385" s="250"/>
      <c r="V385" s="250"/>
      <c r="W385" s="250"/>
      <c r="X385" s="250"/>
      <c r="Y385" s="250"/>
      <c r="Z385" s="250"/>
    </row>
    <row r="386" ht="14.25" customHeight="1">
      <c r="A386" s="250"/>
      <c r="B386" s="250"/>
      <c r="C386" s="250"/>
      <c r="D386" s="250"/>
      <c r="E386" s="250"/>
      <c r="F386" s="250"/>
      <c r="G386" s="250"/>
      <c r="H386" s="250"/>
      <c r="I386" s="250"/>
      <c r="J386" s="250"/>
      <c r="K386" s="250"/>
      <c r="L386" s="250"/>
      <c r="M386" s="250"/>
      <c r="N386" s="250"/>
      <c r="O386" s="250"/>
      <c r="P386" s="250"/>
      <c r="Q386" s="250"/>
      <c r="R386" s="250"/>
      <c r="S386" s="250"/>
      <c r="T386" s="250"/>
      <c r="U386" s="250"/>
      <c r="V386" s="250"/>
      <c r="W386" s="250"/>
      <c r="X386" s="250"/>
      <c r="Y386" s="250"/>
      <c r="Z386" s="250"/>
    </row>
    <row r="387" ht="14.25" customHeight="1">
      <c r="A387" s="250"/>
      <c r="B387" s="250"/>
      <c r="C387" s="250"/>
      <c r="D387" s="250"/>
      <c r="E387" s="250"/>
      <c r="F387" s="250"/>
      <c r="G387" s="250"/>
      <c r="H387" s="250"/>
      <c r="I387" s="250"/>
      <c r="J387" s="250"/>
      <c r="K387" s="250"/>
      <c r="L387" s="250"/>
      <c r="M387" s="250"/>
      <c r="N387" s="250"/>
      <c r="O387" s="250"/>
      <c r="P387" s="250"/>
      <c r="Q387" s="250"/>
      <c r="R387" s="250"/>
      <c r="S387" s="250"/>
      <c r="T387" s="250"/>
      <c r="U387" s="250"/>
      <c r="V387" s="250"/>
      <c r="W387" s="250"/>
      <c r="X387" s="250"/>
      <c r="Y387" s="250"/>
      <c r="Z387" s="250"/>
    </row>
    <row r="388" ht="14.25" customHeight="1">
      <c r="A388" s="250"/>
      <c r="B388" s="250"/>
      <c r="C388" s="250"/>
      <c r="D388" s="250"/>
      <c r="E388" s="250"/>
      <c r="F388" s="250"/>
      <c r="G388" s="250"/>
      <c r="H388" s="250"/>
      <c r="I388" s="250"/>
      <c r="J388" s="250"/>
      <c r="K388" s="250"/>
      <c r="L388" s="250"/>
      <c r="M388" s="250"/>
      <c r="N388" s="250"/>
      <c r="O388" s="250"/>
      <c r="P388" s="250"/>
      <c r="Q388" s="250"/>
      <c r="R388" s="250"/>
      <c r="S388" s="250"/>
      <c r="T388" s="250"/>
      <c r="U388" s="250"/>
      <c r="V388" s="250"/>
      <c r="W388" s="250"/>
      <c r="X388" s="250"/>
      <c r="Y388" s="250"/>
      <c r="Z388" s="250"/>
    </row>
    <row r="389" ht="14.25" customHeight="1">
      <c r="A389" s="250"/>
      <c r="B389" s="250"/>
      <c r="C389" s="250"/>
      <c r="D389" s="250"/>
      <c r="E389" s="250"/>
      <c r="F389" s="250"/>
      <c r="G389" s="250"/>
      <c r="H389" s="250"/>
      <c r="I389" s="250"/>
      <c r="J389" s="250"/>
      <c r="K389" s="250"/>
      <c r="L389" s="250"/>
      <c r="M389" s="250"/>
      <c r="N389" s="250"/>
      <c r="O389" s="250"/>
      <c r="P389" s="250"/>
      <c r="Q389" s="250"/>
      <c r="R389" s="250"/>
      <c r="S389" s="250"/>
      <c r="T389" s="250"/>
      <c r="U389" s="250"/>
      <c r="V389" s="250"/>
      <c r="W389" s="250"/>
      <c r="X389" s="250"/>
      <c r="Y389" s="250"/>
      <c r="Z389" s="250"/>
    </row>
    <row r="390" ht="14.25" customHeight="1">
      <c r="A390" s="250"/>
      <c r="B390" s="250"/>
      <c r="C390" s="250"/>
      <c r="D390" s="250"/>
      <c r="E390" s="250"/>
      <c r="F390" s="250"/>
      <c r="G390" s="250"/>
      <c r="H390" s="250"/>
      <c r="I390" s="250"/>
      <c r="J390" s="250"/>
      <c r="K390" s="250"/>
      <c r="L390" s="250"/>
      <c r="M390" s="250"/>
      <c r="N390" s="250"/>
      <c r="O390" s="250"/>
      <c r="P390" s="250"/>
      <c r="Q390" s="250"/>
      <c r="R390" s="250"/>
      <c r="S390" s="250"/>
      <c r="T390" s="250"/>
      <c r="U390" s="250"/>
      <c r="V390" s="250"/>
      <c r="W390" s="250"/>
      <c r="X390" s="250"/>
      <c r="Y390" s="250"/>
      <c r="Z390" s="250"/>
    </row>
    <row r="391" ht="14.25" customHeight="1">
      <c r="A391" s="250"/>
      <c r="B391" s="250"/>
      <c r="C391" s="250"/>
      <c r="D391" s="250"/>
      <c r="E391" s="250"/>
      <c r="F391" s="250"/>
      <c r="G391" s="250"/>
      <c r="H391" s="250"/>
      <c r="I391" s="250"/>
      <c r="J391" s="250"/>
      <c r="K391" s="250"/>
      <c r="L391" s="250"/>
      <c r="M391" s="250"/>
      <c r="N391" s="250"/>
      <c r="O391" s="250"/>
      <c r="P391" s="250"/>
      <c r="Q391" s="250"/>
      <c r="R391" s="250"/>
      <c r="S391" s="250"/>
      <c r="T391" s="250"/>
      <c r="U391" s="250"/>
      <c r="V391" s="250"/>
      <c r="W391" s="250"/>
      <c r="X391" s="250"/>
      <c r="Y391" s="250"/>
      <c r="Z391" s="250"/>
    </row>
    <row r="392" ht="14.25" customHeight="1">
      <c r="A392" s="250"/>
      <c r="B392" s="250"/>
      <c r="C392" s="250"/>
      <c r="D392" s="250"/>
      <c r="E392" s="250"/>
      <c r="F392" s="250"/>
      <c r="G392" s="250"/>
      <c r="H392" s="250"/>
      <c r="I392" s="250"/>
      <c r="J392" s="250"/>
      <c r="K392" s="250"/>
      <c r="L392" s="250"/>
      <c r="M392" s="250"/>
      <c r="N392" s="250"/>
      <c r="O392" s="250"/>
      <c r="P392" s="250"/>
      <c r="Q392" s="250"/>
      <c r="R392" s="250"/>
      <c r="S392" s="250"/>
      <c r="T392" s="250"/>
      <c r="U392" s="250"/>
      <c r="V392" s="250"/>
      <c r="W392" s="250"/>
      <c r="X392" s="250"/>
      <c r="Y392" s="250"/>
      <c r="Z392" s="250"/>
    </row>
    <row r="393" ht="14.25" customHeight="1">
      <c r="A393" s="250"/>
      <c r="B393" s="250"/>
      <c r="C393" s="250"/>
      <c r="D393" s="250"/>
      <c r="E393" s="250"/>
      <c r="F393" s="250"/>
      <c r="G393" s="250"/>
      <c r="H393" s="250"/>
      <c r="I393" s="250"/>
      <c r="J393" s="250"/>
      <c r="K393" s="250"/>
      <c r="L393" s="250"/>
      <c r="M393" s="250"/>
      <c r="N393" s="250"/>
      <c r="O393" s="250"/>
      <c r="P393" s="250"/>
      <c r="Q393" s="250"/>
      <c r="R393" s="250"/>
      <c r="S393" s="250"/>
      <c r="T393" s="250"/>
      <c r="U393" s="250"/>
      <c r="V393" s="250"/>
      <c r="W393" s="250"/>
      <c r="X393" s="250"/>
      <c r="Y393" s="250"/>
      <c r="Z393" s="250"/>
    </row>
    <row r="394" ht="14.25" customHeight="1">
      <c r="A394" s="250"/>
      <c r="B394" s="250"/>
      <c r="C394" s="250"/>
      <c r="D394" s="250"/>
      <c r="E394" s="250"/>
      <c r="F394" s="250"/>
      <c r="G394" s="250"/>
      <c r="H394" s="250"/>
      <c r="I394" s="250"/>
      <c r="J394" s="250"/>
      <c r="K394" s="250"/>
      <c r="L394" s="250"/>
      <c r="M394" s="250"/>
      <c r="N394" s="250"/>
      <c r="O394" s="250"/>
      <c r="P394" s="250"/>
      <c r="Q394" s="250"/>
      <c r="R394" s="250"/>
      <c r="S394" s="250"/>
      <c r="T394" s="250"/>
      <c r="U394" s="250"/>
      <c r="V394" s="250"/>
      <c r="W394" s="250"/>
      <c r="X394" s="250"/>
      <c r="Y394" s="250"/>
      <c r="Z394" s="250"/>
    </row>
    <row r="395" ht="14.25" customHeight="1">
      <c r="A395" s="250"/>
      <c r="B395" s="250"/>
      <c r="C395" s="250"/>
      <c r="D395" s="250"/>
      <c r="E395" s="250"/>
      <c r="F395" s="250"/>
      <c r="G395" s="250"/>
      <c r="H395" s="250"/>
      <c r="I395" s="250"/>
      <c r="J395" s="250"/>
      <c r="K395" s="250"/>
      <c r="L395" s="250"/>
      <c r="M395" s="250"/>
      <c r="N395" s="250"/>
      <c r="O395" s="250"/>
      <c r="P395" s="250"/>
      <c r="Q395" s="250"/>
      <c r="R395" s="250"/>
      <c r="S395" s="250"/>
      <c r="T395" s="250"/>
      <c r="U395" s="250"/>
      <c r="V395" s="250"/>
      <c r="W395" s="250"/>
      <c r="X395" s="250"/>
      <c r="Y395" s="250"/>
      <c r="Z395" s="250"/>
    </row>
    <row r="396" ht="14.25" customHeight="1">
      <c r="A396" s="250"/>
      <c r="B396" s="250"/>
      <c r="C396" s="250"/>
      <c r="D396" s="250"/>
      <c r="E396" s="250"/>
      <c r="F396" s="250"/>
      <c r="G396" s="250"/>
      <c r="H396" s="250"/>
      <c r="I396" s="250"/>
      <c r="J396" s="250"/>
      <c r="K396" s="250"/>
      <c r="L396" s="250"/>
      <c r="M396" s="250"/>
      <c r="N396" s="250"/>
      <c r="O396" s="250"/>
      <c r="P396" s="250"/>
      <c r="Q396" s="250"/>
      <c r="R396" s="250"/>
      <c r="S396" s="250"/>
      <c r="T396" s="250"/>
      <c r="U396" s="250"/>
      <c r="V396" s="250"/>
      <c r="W396" s="250"/>
      <c r="X396" s="250"/>
      <c r="Y396" s="250"/>
      <c r="Z396" s="250"/>
    </row>
    <row r="397" ht="14.25" customHeight="1">
      <c r="A397" s="250"/>
      <c r="B397" s="250"/>
      <c r="C397" s="250"/>
      <c r="D397" s="250"/>
      <c r="E397" s="250"/>
      <c r="F397" s="250"/>
      <c r="G397" s="250"/>
      <c r="H397" s="250"/>
      <c r="I397" s="250"/>
      <c r="J397" s="250"/>
      <c r="K397" s="250"/>
      <c r="L397" s="250"/>
      <c r="M397" s="250"/>
      <c r="N397" s="250"/>
      <c r="O397" s="250"/>
      <c r="P397" s="250"/>
      <c r="Q397" s="250"/>
      <c r="R397" s="250"/>
      <c r="S397" s="250"/>
      <c r="T397" s="250"/>
      <c r="U397" s="250"/>
      <c r="V397" s="250"/>
      <c r="W397" s="250"/>
      <c r="X397" s="250"/>
      <c r="Y397" s="250"/>
      <c r="Z397" s="250"/>
    </row>
    <row r="398" ht="14.25" customHeight="1">
      <c r="A398" s="250"/>
      <c r="B398" s="250"/>
      <c r="C398" s="250"/>
      <c r="D398" s="250"/>
      <c r="E398" s="250"/>
      <c r="F398" s="250"/>
      <c r="G398" s="250"/>
      <c r="H398" s="250"/>
      <c r="I398" s="250"/>
      <c r="J398" s="250"/>
      <c r="K398" s="250"/>
      <c r="L398" s="250"/>
      <c r="M398" s="250"/>
      <c r="N398" s="250"/>
      <c r="O398" s="250"/>
      <c r="P398" s="250"/>
      <c r="Q398" s="250"/>
      <c r="R398" s="250"/>
      <c r="S398" s="250"/>
      <c r="T398" s="250"/>
      <c r="U398" s="250"/>
      <c r="V398" s="250"/>
      <c r="W398" s="250"/>
      <c r="X398" s="250"/>
      <c r="Y398" s="250"/>
      <c r="Z398" s="250"/>
    </row>
    <row r="399" ht="14.25" customHeight="1">
      <c r="A399" s="250"/>
      <c r="B399" s="250"/>
      <c r="C399" s="250"/>
      <c r="D399" s="250"/>
      <c r="E399" s="250"/>
      <c r="F399" s="250"/>
      <c r="G399" s="250"/>
      <c r="H399" s="250"/>
      <c r="I399" s="250"/>
      <c r="J399" s="250"/>
      <c r="K399" s="250"/>
      <c r="L399" s="250"/>
      <c r="M399" s="250"/>
      <c r="N399" s="250"/>
      <c r="O399" s="250"/>
      <c r="P399" s="250"/>
      <c r="Q399" s="250"/>
      <c r="R399" s="250"/>
      <c r="S399" s="250"/>
      <c r="T399" s="250"/>
      <c r="U399" s="250"/>
      <c r="V399" s="250"/>
      <c r="W399" s="250"/>
      <c r="X399" s="250"/>
      <c r="Y399" s="250"/>
      <c r="Z399" s="250"/>
    </row>
    <row r="400" ht="14.25" customHeight="1">
      <c r="A400" s="250"/>
      <c r="B400" s="250"/>
      <c r="C400" s="250"/>
      <c r="D400" s="250"/>
      <c r="E400" s="250"/>
      <c r="F400" s="250"/>
      <c r="G400" s="250"/>
      <c r="H400" s="250"/>
      <c r="I400" s="250"/>
      <c r="J400" s="250"/>
      <c r="K400" s="250"/>
      <c r="L400" s="250"/>
      <c r="M400" s="250"/>
      <c r="N400" s="250"/>
      <c r="O400" s="250"/>
      <c r="P400" s="250"/>
      <c r="Q400" s="250"/>
      <c r="R400" s="250"/>
      <c r="S400" s="250"/>
      <c r="T400" s="250"/>
      <c r="U400" s="250"/>
      <c r="V400" s="250"/>
      <c r="W400" s="250"/>
      <c r="X400" s="250"/>
      <c r="Y400" s="250"/>
      <c r="Z400" s="250"/>
    </row>
    <row r="401" ht="14.25" customHeight="1">
      <c r="A401" s="250"/>
      <c r="B401" s="250"/>
      <c r="C401" s="250"/>
      <c r="D401" s="250"/>
      <c r="E401" s="250"/>
      <c r="F401" s="250"/>
      <c r="G401" s="250"/>
      <c r="H401" s="250"/>
      <c r="I401" s="250"/>
      <c r="J401" s="250"/>
      <c r="K401" s="250"/>
      <c r="L401" s="250"/>
      <c r="M401" s="250"/>
      <c r="N401" s="250"/>
      <c r="O401" s="250"/>
      <c r="P401" s="250"/>
      <c r="Q401" s="250"/>
      <c r="R401" s="250"/>
      <c r="S401" s="250"/>
      <c r="T401" s="250"/>
      <c r="U401" s="250"/>
      <c r="V401" s="250"/>
      <c r="W401" s="250"/>
      <c r="X401" s="250"/>
      <c r="Y401" s="250"/>
      <c r="Z401" s="250"/>
    </row>
    <row r="402" ht="14.25" customHeight="1">
      <c r="A402" s="250"/>
      <c r="B402" s="250"/>
      <c r="C402" s="250"/>
      <c r="D402" s="250"/>
      <c r="E402" s="250"/>
      <c r="F402" s="250"/>
      <c r="G402" s="250"/>
      <c r="H402" s="250"/>
      <c r="I402" s="250"/>
      <c r="J402" s="250"/>
      <c r="K402" s="250"/>
      <c r="L402" s="250"/>
      <c r="M402" s="250"/>
      <c r="N402" s="250"/>
      <c r="O402" s="250"/>
      <c r="P402" s="250"/>
      <c r="Q402" s="250"/>
      <c r="R402" s="250"/>
      <c r="S402" s="250"/>
      <c r="T402" s="250"/>
      <c r="U402" s="250"/>
      <c r="V402" s="250"/>
      <c r="W402" s="250"/>
      <c r="X402" s="250"/>
      <c r="Y402" s="250"/>
      <c r="Z402" s="250"/>
    </row>
    <row r="403" ht="14.25" customHeight="1">
      <c r="A403" s="250"/>
      <c r="B403" s="250"/>
      <c r="C403" s="250"/>
      <c r="D403" s="250"/>
      <c r="E403" s="250"/>
      <c r="F403" s="250"/>
      <c r="G403" s="250"/>
      <c r="H403" s="250"/>
      <c r="I403" s="250"/>
      <c r="J403" s="250"/>
      <c r="K403" s="250"/>
      <c r="L403" s="250"/>
      <c r="M403" s="250"/>
      <c r="N403" s="250"/>
      <c r="O403" s="250"/>
      <c r="P403" s="250"/>
      <c r="Q403" s="250"/>
      <c r="R403" s="250"/>
      <c r="S403" s="250"/>
      <c r="T403" s="250"/>
      <c r="U403" s="250"/>
      <c r="V403" s="250"/>
      <c r="W403" s="250"/>
      <c r="X403" s="250"/>
      <c r="Y403" s="250"/>
      <c r="Z403" s="250"/>
    </row>
    <row r="404" ht="14.25" customHeight="1">
      <c r="A404" s="250"/>
      <c r="B404" s="250"/>
      <c r="C404" s="250"/>
      <c r="D404" s="250"/>
      <c r="E404" s="250"/>
      <c r="F404" s="250"/>
      <c r="G404" s="250"/>
      <c r="H404" s="250"/>
      <c r="I404" s="250"/>
      <c r="J404" s="250"/>
      <c r="K404" s="250"/>
      <c r="L404" s="250"/>
      <c r="M404" s="250"/>
      <c r="N404" s="250"/>
      <c r="O404" s="250"/>
      <c r="P404" s="250"/>
      <c r="Q404" s="250"/>
      <c r="R404" s="250"/>
      <c r="S404" s="250"/>
      <c r="T404" s="250"/>
      <c r="U404" s="250"/>
      <c r="V404" s="250"/>
      <c r="W404" s="250"/>
      <c r="X404" s="250"/>
      <c r="Y404" s="250"/>
      <c r="Z404" s="250"/>
    </row>
    <row r="405" ht="14.25" customHeight="1">
      <c r="A405" s="250"/>
      <c r="B405" s="250"/>
      <c r="C405" s="250"/>
      <c r="D405" s="250"/>
      <c r="E405" s="250"/>
      <c r="F405" s="250"/>
      <c r="G405" s="250"/>
      <c r="H405" s="250"/>
      <c r="I405" s="250"/>
      <c r="J405" s="250"/>
      <c r="K405" s="250"/>
      <c r="L405" s="250"/>
      <c r="M405" s="250"/>
      <c r="N405" s="250"/>
      <c r="O405" s="250"/>
      <c r="P405" s="250"/>
      <c r="Q405" s="250"/>
      <c r="R405" s="250"/>
      <c r="S405" s="250"/>
      <c r="T405" s="250"/>
      <c r="U405" s="250"/>
      <c r="V405" s="250"/>
      <c r="W405" s="250"/>
      <c r="X405" s="250"/>
      <c r="Y405" s="250"/>
      <c r="Z405" s="250"/>
    </row>
    <row r="406" ht="14.25" customHeight="1">
      <c r="A406" s="250"/>
      <c r="B406" s="250"/>
      <c r="C406" s="250"/>
      <c r="D406" s="250"/>
      <c r="E406" s="250"/>
      <c r="F406" s="250"/>
      <c r="G406" s="250"/>
      <c r="H406" s="250"/>
      <c r="I406" s="250"/>
      <c r="J406" s="250"/>
      <c r="K406" s="250"/>
      <c r="L406" s="250"/>
      <c r="M406" s="250"/>
      <c r="N406" s="250"/>
      <c r="O406" s="250"/>
      <c r="P406" s="250"/>
      <c r="Q406" s="250"/>
      <c r="R406" s="250"/>
      <c r="S406" s="250"/>
      <c r="T406" s="250"/>
      <c r="U406" s="250"/>
      <c r="V406" s="250"/>
      <c r="W406" s="250"/>
      <c r="X406" s="250"/>
      <c r="Y406" s="250"/>
      <c r="Z406" s="250"/>
    </row>
    <row r="407" ht="14.25" customHeight="1">
      <c r="A407" s="250"/>
      <c r="B407" s="250"/>
      <c r="C407" s="250"/>
      <c r="D407" s="250"/>
      <c r="E407" s="250"/>
      <c r="F407" s="250"/>
      <c r="G407" s="250"/>
      <c r="H407" s="250"/>
      <c r="I407" s="250"/>
      <c r="J407" s="250"/>
      <c r="K407" s="250"/>
      <c r="L407" s="250"/>
      <c r="M407" s="250"/>
      <c r="N407" s="250"/>
      <c r="O407" s="250"/>
      <c r="P407" s="250"/>
      <c r="Q407" s="250"/>
      <c r="R407" s="250"/>
      <c r="S407" s="250"/>
      <c r="T407" s="250"/>
      <c r="U407" s="250"/>
      <c r="V407" s="250"/>
      <c r="W407" s="250"/>
      <c r="X407" s="250"/>
      <c r="Y407" s="250"/>
      <c r="Z407" s="250"/>
    </row>
    <row r="408" ht="14.25" customHeight="1">
      <c r="A408" s="250"/>
      <c r="B408" s="250"/>
      <c r="C408" s="250"/>
      <c r="D408" s="250"/>
      <c r="E408" s="250"/>
      <c r="F408" s="250"/>
      <c r="G408" s="250"/>
      <c r="H408" s="250"/>
      <c r="I408" s="250"/>
      <c r="J408" s="250"/>
      <c r="K408" s="250"/>
      <c r="L408" s="250"/>
      <c r="M408" s="250"/>
      <c r="N408" s="250"/>
      <c r="O408" s="250"/>
      <c r="P408" s="250"/>
      <c r="Q408" s="250"/>
      <c r="R408" s="250"/>
      <c r="S408" s="250"/>
      <c r="T408" s="250"/>
      <c r="U408" s="250"/>
      <c r="V408" s="250"/>
      <c r="W408" s="250"/>
      <c r="X408" s="250"/>
      <c r="Y408" s="250"/>
      <c r="Z408" s="250"/>
    </row>
    <row r="409" ht="14.25" customHeight="1">
      <c r="A409" s="250"/>
      <c r="B409" s="250"/>
      <c r="C409" s="250"/>
      <c r="D409" s="250"/>
      <c r="E409" s="250"/>
      <c r="F409" s="250"/>
      <c r="G409" s="250"/>
      <c r="H409" s="250"/>
      <c r="I409" s="250"/>
      <c r="J409" s="250"/>
      <c r="K409" s="250"/>
      <c r="L409" s="250"/>
      <c r="M409" s="250"/>
      <c r="N409" s="250"/>
      <c r="O409" s="250"/>
      <c r="P409" s="250"/>
      <c r="Q409" s="250"/>
      <c r="R409" s="250"/>
      <c r="S409" s="250"/>
      <c r="T409" s="250"/>
      <c r="U409" s="250"/>
      <c r="V409" s="250"/>
      <c r="W409" s="250"/>
      <c r="X409" s="250"/>
      <c r="Y409" s="250"/>
      <c r="Z409" s="250"/>
    </row>
    <row r="410" ht="14.25" customHeight="1">
      <c r="A410" s="250"/>
      <c r="B410" s="250"/>
      <c r="C410" s="250"/>
      <c r="D410" s="250"/>
      <c r="E410" s="250"/>
      <c r="F410" s="250"/>
      <c r="G410" s="250"/>
      <c r="H410" s="250"/>
      <c r="I410" s="250"/>
      <c r="J410" s="250"/>
      <c r="K410" s="250"/>
      <c r="L410" s="250"/>
      <c r="M410" s="250"/>
      <c r="N410" s="250"/>
      <c r="O410" s="250"/>
      <c r="P410" s="250"/>
      <c r="Q410" s="250"/>
      <c r="R410" s="250"/>
      <c r="S410" s="250"/>
      <c r="T410" s="250"/>
      <c r="U410" s="250"/>
      <c r="V410" s="250"/>
      <c r="W410" s="250"/>
      <c r="X410" s="250"/>
      <c r="Y410" s="250"/>
      <c r="Z410" s="250"/>
    </row>
    <row r="411" ht="14.25" customHeight="1">
      <c r="A411" s="250"/>
      <c r="B411" s="250"/>
      <c r="C411" s="250"/>
      <c r="D411" s="250"/>
      <c r="E411" s="250"/>
      <c r="F411" s="250"/>
      <c r="G411" s="250"/>
      <c r="H411" s="250"/>
      <c r="I411" s="250"/>
      <c r="J411" s="250"/>
      <c r="K411" s="250"/>
      <c r="L411" s="250"/>
      <c r="M411" s="250"/>
      <c r="N411" s="250"/>
      <c r="O411" s="250"/>
      <c r="P411" s="250"/>
      <c r="Q411" s="250"/>
      <c r="R411" s="250"/>
      <c r="S411" s="250"/>
      <c r="T411" s="250"/>
      <c r="U411" s="250"/>
      <c r="V411" s="250"/>
      <c r="W411" s="250"/>
      <c r="X411" s="250"/>
      <c r="Y411" s="250"/>
      <c r="Z411" s="250"/>
    </row>
    <row r="412" ht="14.25" customHeight="1">
      <c r="A412" s="250"/>
      <c r="B412" s="250"/>
      <c r="C412" s="250"/>
      <c r="D412" s="250"/>
      <c r="E412" s="250"/>
      <c r="F412" s="250"/>
      <c r="G412" s="250"/>
      <c r="H412" s="250"/>
      <c r="I412" s="250"/>
      <c r="J412" s="250"/>
      <c r="K412" s="250"/>
      <c r="L412" s="250"/>
      <c r="M412" s="250"/>
      <c r="N412" s="250"/>
      <c r="O412" s="250"/>
      <c r="P412" s="250"/>
      <c r="Q412" s="250"/>
      <c r="R412" s="250"/>
      <c r="S412" s="250"/>
      <c r="T412" s="250"/>
      <c r="U412" s="250"/>
      <c r="V412" s="250"/>
      <c r="W412" s="250"/>
      <c r="X412" s="250"/>
      <c r="Y412" s="250"/>
      <c r="Z412" s="250"/>
    </row>
    <row r="413" ht="14.25" customHeight="1">
      <c r="A413" s="250"/>
      <c r="B413" s="250"/>
      <c r="C413" s="250"/>
      <c r="D413" s="250"/>
      <c r="E413" s="250"/>
      <c r="F413" s="250"/>
      <c r="G413" s="250"/>
      <c r="H413" s="250"/>
      <c r="I413" s="250"/>
      <c r="J413" s="250"/>
      <c r="K413" s="250"/>
      <c r="L413" s="250"/>
      <c r="M413" s="250"/>
      <c r="N413" s="250"/>
      <c r="O413" s="250"/>
      <c r="P413" s="250"/>
      <c r="Q413" s="250"/>
      <c r="R413" s="250"/>
      <c r="S413" s="250"/>
      <c r="T413" s="250"/>
      <c r="U413" s="250"/>
      <c r="V413" s="250"/>
      <c r="W413" s="250"/>
      <c r="X413" s="250"/>
      <c r="Y413" s="250"/>
      <c r="Z413" s="250"/>
    </row>
    <row r="414" ht="14.25" customHeight="1">
      <c r="A414" s="250"/>
      <c r="B414" s="250"/>
      <c r="C414" s="250"/>
      <c r="D414" s="250"/>
      <c r="E414" s="250"/>
      <c r="F414" s="250"/>
      <c r="G414" s="250"/>
      <c r="H414" s="250"/>
      <c r="I414" s="250"/>
      <c r="J414" s="250"/>
      <c r="K414" s="250"/>
      <c r="L414" s="250"/>
      <c r="M414" s="250"/>
      <c r="N414" s="250"/>
      <c r="O414" s="250"/>
      <c r="P414" s="250"/>
      <c r="Q414" s="250"/>
      <c r="R414" s="250"/>
      <c r="S414" s="250"/>
      <c r="T414" s="250"/>
      <c r="U414" s="250"/>
      <c r="V414" s="250"/>
      <c r="W414" s="250"/>
      <c r="X414" s="250"/>
      <c r="Y414" s="250"/>
      <c r="Z414" s="250"/>
    </row>
    <row r="415" ht="14.25" customHeight="1">
      <c r="A415" s="250"/>
      <c r="B415" s="250"/>
      <c r="C415" s="250"/>
      <c r="D415" s="250"/>
      <c r="E415" s="250"/>
      <c r="F415" s="250"/>
      <c r="G415" s="250"/>
      <c r="H415" s="250"/>
      <c r="I415" s="250"/>
      <c r="J415" s="250"/>
      <c r="K415" s="250"/>
      <c r="L415" s="250"/>
      <c r="M415" s="250"/>
      <c r="N415" s="250"/>
      <c r="O415" s="250"/>
      <c r="P415" s="250"/>
      <c r="Q415" s="250"/>
      <c r="R415" s="250"/>
      <c r="S415" s="250"/>
      <c r="T415" s="250"/>
      <c r="U415" s="250"/>
      <c r="V415" s="250"/>
      <c r="W415" s="250"/>
      <c r="X415" s="250"/>
      <c r="Y415" s="250"/>
      <c r="Z415" s="250"/>
    </row>
    <row r="416" ht="14.25" customHeight="1">
      <c r="A416" s="250"/>
      <c r="B416" s="250"/>
      <c r="C416" s="250"/>
      <c r="D416" s="250"/>
      <c r="E416" s="250"/>
      <c r="F416" s="250"/>
      <c r="G416" s="250"/>
      <c r="H416" s="250"/>
      <c r="I416" s="250"/>
      <c r="J416" s="250"/>
      <c r="K416" s="250"/>
      <c r="L416" s="250"/>
      <c r="M416" s="250"/>
      <c r="N416" s="250"/>
      <c r="O416" s="250"/>
      <c r="P416" s="250"/>
      <c r="Q416" s="250"/>
      <c r="R416" s="250"/>
      <c r="S416" s="250"/>
      <c r="T416" s="250"/>
      <c r="U416" s="250"/>
      <c r="V416" s="250"/>
      <c r="W416" s="250"/>
      <c r="X416" s="250"/>
      <c r="Y416" s="250"/>
      <c r="Z416" s="250"/>
    </row>
    <row r="417" ht="14.25" customHeight="1">
      <c r="A417" s="250"/>
      <c r="B417" s="250"/>
      <c r="C417" s="250"/>
      <c r="D417" s="250"/>
      <c r="E417" s="250"/>
      <c r="F417" s="250"/>
      <c r="G417" s="250"/>
      <c r="H417" s="250"/>
      <c r="I417" s="250"/>
      <c r="J417" s="250"/>
      <c r="K417" s="250"/>
      <c r="L417" s="250"/>
      <c r="M417" s="250"/>
      <c r="N417" s="250"/>
      <c r="O417" s="250"/>
      <c r="P417" s="250"/>
      <c r="Q417" s="250"/>
      <c r="R417" s="250"/>
      <c r="S417" s="250"/>
      <c r="T417" s="250"/>
      <c r="U417" s="250"/>
      <c r="V417" s="250"/>
      <c r="W417" s="250"/>
      <c r="X417" s="250"/>
      <c r="Y417" s="250"/>
      <c r="Z417" s="250"/>
    </row>
    <row r="418" ht="14.25" customHeight="1">
      <c r="A418" s="250"/>
      <c r="B418" s="250"/>
      <c r="C418" s="250"/>
      <c r="D418" s="250"/>
      <c r="E418" s="250"/>
      <c r="F418" s="250"/>
      <c r="G418" s="250"/>
      <c r="H418" s="250"/>
      <c r="I418" s="250"/>
      <c r="J418" s="250"/>
      <c r="K418" s="250"/>
      <c r="L418" s="250"/>
      <c r="M418" s="250"/>
      <c r="N418" s="250"/>
      <c r="O418" s="250"/>
      <c r="P418" s="250"/>
      <c r="Q418" s="250"/>
      <c r="R418" s="250"/>
      <c r="S418" s="250"/>
      <c r="T418" s="250"/>
      <c r="U418" s="250"/>
      <c r="V418" s="250"/>
      <c r="W418" s="250"/>
      <c r="X418" s="250"/>
      <c r="Y418" s="250"/>
      <c r="Z418" s="250"/>
    </row>
    <row r="419" ht="14.25" customHeight="1">
      <c r="A419" s="250"/>
      <c r="B419" s="250"/>
      <c r="C419" s="250"/>
      <c r="D419" s="250"/>
      <c r="E419" s="250"/>
      <c r="F419" s="250"/>
      <c r="G419" s="250"/>
      <c r="H419" s="250"/>
      <c r="I419" s="250"/>
      <c r="J419" s="250"/>
      <c r="K419" s="250"/>
      <c r="L419" s="250"/>
      <c r="M419" s="250"/>
      <c r="N419" s="250"/>
      <c r="O419" s="250"/>
      <c r="P419" s="250"/>
      <c r="Q419" s="250"/>
      <c r="R419" s="250"/>
      <c r="S419" s="250"/>
      <c r="T419" s="250"/>
      <c r="U419" s="250"/>
      <c r="V419" s="250"/>
      <c r="W419" s="250"/>
      <c r="X419" s="250"/>
      <c r="Y419" s="250"/>
      <c r="Z419" s="250"/>
    </row>
    <row r="420" ht="14.25" customHeight="1">
      <c r="A420" s="250"/>
      <c r="B420" s="250"/>
      <c r="C420" s="250"/>
      <c r="D420" s="250"/>
      <c r="E420" s="250"/>
      <c r="F420" s="250"/>
      <c r="G420" s="250"/>
      <c r="H420" s="250"/>
      <c r="I420" s="250"/>
      <c r="J420" s="250"/>
      <c r="K420" s="250"/>
      <c r="L420" s="250"/>
      <c r="M420" s="250"/>
      <c r="N420" s="250"/>
      <c r="O420" s="250"/>
      <c r="P420" s="250"/>
      <c r="Q420" s="250"/>
      <c r="R420" s="250"/>
      <c r="S420" s="250"/>
      <c r="T420" s="250"/>
      <c r="U420" s="250"/>
      <c r="V420" s="250"/>
      <c r="W420" s="250"/>
      <c r="X420" s="250"/>
      <c r="Y420" s="250"/>
      <c r="Z420" s="250"/>
    </row>
    <row r="421" ht="14.25" customHeight="1">
      <c r="A421" s="250"/>
      <c r="B421" s="250"/>
      <c r="C421" s="250"/>
      <c r="D421" s="250"/>
      <c r="E421" s="250"/>
      <c r="F421" s="250"/>
      <c r="G421" s="250"/>
      <c r="H421" s="250"/>
      <c r="I421" s="250"/>
      <c r="J421" s="250"/>
      <c r="K421" s="250"/>
      <c r="L421" s="250"/>
      <c r="M421" s="250"/>
      <c r="N421" s="250"/>
      <c r="O421" s="250"/>
      <c r="P421" s="250"/>
      <c r="Q421" s="250"/>
      <c r="R421" s="250"/>
      <c r="S421" s="250"/>
      <c r="T421" s="250"/>
      <c r="U421" s="250"/>
      <c r="V421" s="250"/>
      <c r="W421" s="250"/>
      <c r="X421" s="250"/>
      <c r="Y421" s="250"/>
      <c r="Z421" s="250"/>
    </row>
    <row r="422" ht="14.25" customHeight="1">
      <c r="A422" s="250"/>
      <c r="B422" s="250"/>
      <c r="C422" s="250"/>
      <c r="D422" s="250"/>
      <c r="E422" s="250"/>
      <c r="F422" s="250"/>
      <c r="G422" s="250"/>
      <c r="H422" s="250"/>
      <c r="I422" s="250"/>
      <c r="J422" s="250"/>
      <c r="K422" s="250"/>
      <c r="L422" s="250"/>
      <c r="M422" s="250"/>
      <c r="N422" s="250"/>
      <c r="O422" s="250"/>
      <c r="P422" s="250"/>
      <c r="Q422" s="250"/>
      <c r="R422" s="250"/>
      <c r="S422" s="250"/>
      <c r="T422" s="250"/>
      <c r="U422" s="250"/>
      <c r="V422" s="250"/>
      <c r="W422" s="250"/>
      <c r="X422" s="250"/>
      <c r="Y422" s="250"/>
      <c r="Z422" s="250"/>
    </row>
    <row r="423" ht="14.25" customHeight="1">
      <c r="A423" s="250"/>
      <c r="B423" s="250"/>
      <c r="C423" s="250"/>
      <c r="D423" s="250"/>
      <c r="E423" s="250"/>
      <c r="F423" s="250"/>
      <c r="G423" s="250"/>
      <c r="H423" s="250"/>
      <c r="I423" s="250"/>
      <c r="J423" s="250"/>
      <c r="K423" s="250"/>
      <c r="L423" s="250"/>
      <c r="M423" s="250"/>
      <c r="N423" s="250"/>
      <c r="O423" s="250"/>
      <c r="P423" s="250"/>
      <c r="Q423" s="250"/>
      <c r="R423" s="250"/>
      <c r="S423" s="250"/>
      <c r="T423" s="250"/>
      <c r="U423" s="250"/>
      <c r="V423" s="250"/>
      <c r="W423" s="250"/>
      <c r="X423" s="250"/>
      <c r="Y423" s="250"/>
      <c r="Z423" s="250"/>
    </row>
    <row r="424" ht="14.25" customHeight="1">
      <c r="A424" s="250"/>
      <c r="B424" s="250"/>
      <c r="C424" s="250"/>
      <c r="D424" s="250"/>
      <c r="E424" s="250"/>
      <c r="F424" s="250"/>
      <c r="G424" s="250"/>
      <c r="H424" s="250"/>
      <c r="I424" s="250"/>
      <c r="J424" s="250"/>
      <c r="K424" s="250"/>
      <c r="L424" s="250"/>
      <c r="M424" s="250"/>
      <c r="N424" s="250"/>
      <c r="O424" s="250"/>
      <c r="P424" s="250"/>
      <c r="Q424" s="250"/>
      <c r="R424" s="250"/>
      <c r="S424" s="250"/>
      <c r="T424" s="250"/>
      <c r="U424" s="250"/>
      <c r="V424" s="250"/>
      <c r="W424" s="250"/>
      <c r="X424" s="250"/>
      <c r="Y424" s="250"/>
      <c r="Z424" s="250"/>
    </row>
    <row r="425" ht="14.25" customHeight="1">
      <c r="A425" s="250"/>
      <c r="B425" s="250"/>
      <c r="C425" s="250"/>
      <c r="D425" s="250"/>
      <c r="E425" s="250"/>
      <c r="F425" s="250"/>
      <c r="G425" s="250"/>
      <c r="H425" s="250"/>
      <c r="I425" s="250"/>
      <c r="J425" s="250"/>
      <c r="K425" s="250"/>
      <c r="L425" s="250"/>
      <c r="M425" s="250"/>
      <c r="N425" s="250"/>
      <c r="O425" s="250"/>
      <c r="P425" s="250"/>
      <c r="Q425" s="250"/>
      <c r="R425" s="250"/>
      <c r="S425" s="250"/>
      <c r="T425" s="250"/>
      <c r="U425" s="250"/>
      <c r="V425" s="250"/>
      <c r="W425" s="250"/>
      <c r="X425" s="250"/>
      <c r="Y425" s="250"/>
      <c r="Z425" s="250"/>
    </row>
    <row r="426" ht="14.25" customHeight="1">
      <c r="A426" s="250"/>
      <c r="B426" s="250"/>
      <c r="C426" s="250"/>
      <c r="D426" s="250"/>
      <c r="E426" s="250"/>
      <c r="F426" s="250"/>
      <c r="G426" s="250"/>
      <c r="H426" s="250"/>
      <c r="I426" s="250"/>
      <c r="J426" s="250"/>
      <c r="K426" s="250"/>
      <c r="L426" s="250"/>
      <c r="M426" s="250"/>
      <c r="N426" s="250"/>
      <c r="O426" s="250"/>
      <c r="P426" s="250"/>
      <c r="Q426" s="250"/>
      <c r="R426" s="250"/>
      <c r="S426" s="250"/>
      <c r="T426" s="250"/>
      <c r="U426" s="250"/>
      <c r="V426" s="250"/>
      <c r="W426" s="250"/>
      <c r="X426" s="250"/>
      <c r="Y426" s="250"/>
      <c r="Z426" s="250"/>
    </row>
    <row r="427" ht="14.25" customHeight="1">
      <c r="A427" s="250"/>
      <c r="B427" s="250"/>
      <c r="C427" s="250"/>
      <c r="D427" s="250"/>
      <c r="E427" s="250"/>
      <c r="F427" s="250"/>
      <c r="G427" s="250"/>
      <c r="H427" s="250"/>
      <c r="I427" s="250"/>
      <c r="J427" s="250"/>
      <c r="K427" s="250"/>
      <c r="L427" s="250"/>
      <c r="M427" s="250"/>
      <c r="N427" s="250"/>
      <c r="O427" s="250"/>
      <c r="P427" s="250"/>
      <c r="Q427" s="250"/>
      <c r="R427" s="250"/>
      <c r="S427" s="250"/>
      <c r="T427" s="250"/>
      <c r="U427" s="250"/>
      <c r="V427" s="250"/>
      <c r="W427" s="250"/>
      <c r="X427" s="250"/>
      <c r="Y427" s="250"/>
      <c r="Z427" s="250"/>
    </row>
    <row r="428" ht="14.25" customHeight="1">
      <c r="A428" s="250"/>
      <c r="B428" s="250"/>
      <c r="C428" s="250"/>
      <c r="D428" s="250"/>
      <c r="E428" s="250"/>
      <c r="F428" s="250"/>
      <c r="G428" s="250"/>
      <c r="H428" s="250"/>
      <c r="I428" s="250"/>
      <c r="J428" s="250"/>
      <c r="K428" s="250"/>
      <c r="L428" s="250"/>
      <c r="M428" s="250"/>
      <c r="N428" s="250"/>
      <c r="O428" s="250"/>
      <c r="P428" s="250"/>
      <c r="Q428" s="250"/>
      <c r="R428" s="250"/>
      <c r="S428" s="250"/>
      <c r="T428" s="250"/>
      <c r="U428" s="250"/>
      <c r="V428" s="250"/>
      <c r="W428" s="250"/>
      <c r="X428" s="250"/>
      <c r="Y428" s="250"/>
      <c r="Z428" s="250"/>
    </row>
    <row r="429" ht="14.25" customHeight="1">
      <c r="A429" s="250"/>
      <c r="B429" s="250"/>
      <c r="C429" s="250"/>
      <c r="D429" s="250"/>
      <c r="E429" s="250"/>
      <c r="F429" s="250"/>
      <c r="G429" s="250"/>
      <c r="H429" s="250"/>
      <c r="I429" s="250"/>
      <c r="J429" s="250"/>
      <c r="K429" s="250"/>
      <c r="L429" s="250"/>
      <c r="M429" s="250"/>
      <c r="N429" s="250"/>
      <c r="O429" s="250"/>
      <c r="P429" s="250"/>
      <c r="Q429" s="250"/>
      <c r="R429" s="250"/>
      <c r="S429" s="250"/>
      <c r="T429" s="250"/>
      <c r="U429" s="250"/>
      <c r="V429" s="250"/>
      <c r="W429" s="250"/>
      <c r="X429" s="250"/>
      <c r="Y429" s="250"/>
      <c r="Z429" s="250"/>
    </row>
    <row r="430" ht="14.25" customHeight="1">
      <c r="A430" s="250"/>
      <c r="B430" s="250"/>
      <c r="C430" s="250"/>
      <c r="D430" s="250"/>
      <c r="E430" s="250"/>
      <c r="F430" s="250"/>
      <c r="G430" s="250"/>
      <c r="H430" s="250"/>
      <c r="I430" s="250"/>
      <c r="J430" s="250"/>
      <c r="K430" s="250"/>
      <c r="L430" s="250"/>
      <c r="M430" s="250"/>
      <c r="N430" s="250"/>
      <c r="O430" s="250"/>
      <c r="P430" s="250"/>
      <c r="Q430" s="250"/>
      <c r="R430" s="250"/>
      <c r="S430" s="250"/>
      <c r="T430" s="250"/>
      <c r="U430" s="250"/>
      <c r="V430" s="250"/>
      <c r="W430" s="250"/>
      <c r="X430" s="250"/>
      <c r="Y430" s="250"/>
      <c r="Z430" s="250"/>
    </row>
    <row r="431" ht="14.25" customHeight="1">
      <c r="A431" s="250"/>
      <c r="B431" s="250"/>
      <c r="C431" s="250"/>
      <c r="D431" s="250"/>
      <c r="E431" s="250"/>
      <c r="F431" s="250"/>
      <c r="G431" s="250"/>
      <c r="H431" s="250"/>
      <c r="I431" s="250"/>
      <c r="J431" s="250"/>
      <c r="K431" s="250"/>
      <c r="L431" s="250"/>
      <c r="M431" s="250"/>
      <c r="N431" s="250"/>
      <c r="O431" s="250"/>
      <c r="P431" s="250"/>
      <c r="Q431" s="250"/>
      <c r="R431" s="250"/>
      <c r="S431" s="250"/>
      <c r="T431" s="250"/>
      <c r="U431" s="250"/>
      <c r="V431" s="250"/>
      <c r="W431" s="250"/>
      <c r="X431" s="250"/>
      <c r="Y431" s="250"/>
      <c r="Z431" s="250"/>
    </row>
    <row r="432" ht="14.25" customHeight="1">
      <c r="A432" s="250"/>
      <c r="B432" s="250"/>
      <c r="C432" s="250"/>
      <c r="D432" s="250"/>
      <c r="E432" s="250"/>
      <c r="F432" s="250"/>
      <c r="G432" s="250"/>
      <c r="H432" s="250"/>
      <c r="I432" s="250"/>
      <c r="J432" s="250"/>
      <c r="K432" s="250"/>
      <c r="L432" s="250"/>
      <c r="M432" s="250"/>
      <c r="N432" s="250"/>
      <c r="O432" s="250"/>
      <c r="P432" s="250"/>
      <c r="Q432" s="250"/>
      <c r="R432" s="250"/>
      <c r="S432" s="250"/>
      <c r="T432" s="250"/>
      <c r="U432" s="250"/>
      <c r="V432" s="250"/>
      <c r="W432" s="250"/>
      <c r="X432" s="250"/>
      <c r="Y432" s="250"/>
      <c r="Z432" s="250"/>
    </row>
    <row r="433" ht="14.25" customHeight="1">
      <c r="A433" s="250"/>
      <c r="B433" s="250"/>
      <c r="C433" s="250"/>
      <c r="D433" s="250"/>
      <c r="E433" s="250"/>
      <c r="F433" s="250"/>
      <c r="G433" s="250"/>
      <c r="H433" s="250"/>
      <c r="I433" s="250"/>
      <c r="J433" s="250"/>
      <c r="K433" s="250"/>
      <c r="L433" s="250"/>
      <c r="M433" s="250"/>
      <c r="N433" s="250"/>
      <c r="O433" s="250"/>
      <c r="P433" s="250"/>
      <c r="Q433" s="250"/>
      <c r="R433" s="250"/>
      <c r="S433" s="250"/>
      <c r="T433" s="250"/>
      <c r="U433" s="250"/>
      <c r="V433" s="250"/>
      <c r="W433" s="250"/>
      <c r="X433" s="250"/>
      <c r="Y433" s="250"/>
      <c r="Z433" s="250"/>
    </row>
    <row r="434" ht="14.25" customHeight="1">
      <c r="A434" s="250"/>
      <c r="B434" s="250"/>
      <c r="C434" s="250"/>
      <c r="D434" s="250"/>
      <c r="E434" s="250"/>
      <c r="F434" s="250"/>
      <c r="G434" s="250"/>
      <c r="H434" s="250"/>
      <c r="I434" s="250"/>
      <c r="J434" s="250"/>
      <c r="K434" s="250"/>
      <c r="L434" s="250"/>
      <c r="M434" s="250"/>
      <c r="N434" s="250"/>
      <c r="O434" s="250"/>
      <c r="P434" s="250"/>
      <c r="Q434" s="250"/>
      <c r="R434" s="250"/>
      <c r="S434" s="250"/>
      <c r="T434" s="250"/>
      <c r="U434" s="250"/>
      <c r="V434" s="250"/>
      <c r="W434" s="250"/>
      <c r="X434" s="250"/>
      <c r="Y434" s="250"/>
      <c r="Z434" s="250"/>
    </row>
    <row r="435" ht="14.25" customHeight="1">
      <c r="A435" s="250"/>
      <c r="B435" s="250"/>
      <c r="C435" s="250"/>
      <c r="D435" s="250"/>
      <c r="E435" s="250"/>
      <c r="F435" s="250"/>
      <c r="G435" s="250"/>
      <c r="H435" s="250"/>
      <c r="I435" s="250"/>
      <c r="J435" s="250"/>
      <c r="K435" s="250"/>
      <c r="L435" s="250"/>
      <c r="M435" s="250"/>
      <c r="N435" s="250"/>
      <c r="O435" s="250"/>
      <c r="P435" s="250"/>
      <c r="Q435" s="250"/>
      <c r="R435" s="250"/>
      <c r="S435" s="250"/>
      <c r="T435" s="250"/>
      <c r="U435" s="250"/>
      <c r="V435" s="250"/>
      <c r="W435" s="250"/>
      <c r="X435" s="250"/>
      <c r="Y435" s="250"/>
      <c r="Z435" s="250"/>
    </row>
    <row r="436" ht="14.25" customHeight="1">
      <c r="A436" s="250"/>
      <c r="B436" s="250"/>
      <c r="C436" s="250"/>
      <c r="D436" s="250"/>
      <c r="E436" s="250"/>
      <c r="F436" s="250"/>
      <c r="G436" s="250"/>
      <c r="H436" s="250"/>
      <c r="I436" s="250"/>
      <c r="J436" s="250"/>
      <c r="K436" s="250"/>
      <c r="L436" s="250"/>
      <c r="M436" s="250"/>
      <c r="N436" s="250"/>
      <c r="O436" s="250"/>
      <c r="P436" s="250"/>
      <c r="Q436" s="250"/>
      <c r="R436" s="250"/>
      <c r="S436" s="250"/>
      <c r="T436" s="250"/>
      <c r="U436" s="250"/>
      <c r="V436" s="250"/>
      <c r="W436" s="250"/>
      <c r="X436" s="250"/>
      <c r="Y436" s="250"/>
      <c r="Z436" s="250"/>
    </row>
    <row r="437" ht="14.25" customHeight="1">
      <c r="A437" s="250"/>
      <c r="B437" s="250"/>
      <c r="C437" s="250"/>
      <c r="D437" s="250"/>
      <c r="E437" s="250"/>
      <c r="F437" s="250"/>
      <c r="G437" s="250"/>
      <c r="H437" s="250"/>
      <c r="I437" s="250"/>
      <c r="J437" s="250"/>
      <c r="K437" s="250"/>
      <c r="L437" s="250"/>
      <c r="M437" s="250"/>
      <c r="N437" s="250"/>
      <c r="O437" s="250"/>
      <c r="P437" s="250"/>
      <c r="Q437" s="250"/>
      <c r="R437" s="250"/>
      <c r="S437" s="250"/>
      <c r="T437" s="250"/>
      <c r="U437" s="250"/>
      <c r="V437" s="250"/>
      <c r="W437" s="250"/>
      <c r="X437" s="250"/>
      <c r="Y437" s="250"/>
      <c r="Z437" s="250"/>
    </row>
    <row r="438" ht="14.25" customHeight="1">
      <c r="A438" s="250"/>
      <c r="B438" s="250"/>
      <c r="C438" s="250"/>
      <c r="D438" s="250"/>
      <c r="E438" s="250"/>
      <c r="F438" s="250"/>
      <c r="G438" s="250"/>
      <c r="H438" s="250"/>
      <c r="I438" s="250"/>
      <c r="J438" s="250"/>
      <c r="K438" s="250"/>
      <c r="L438" s="250"/>
      <c r="M438" s="250"/>
      <c r="N438" s="250"/>
      <c r="O438" s="250"/>
      <c r="P438" s="250"/>
      <c r="Q438" s="250"/>
      <c r="R438" s="250"/>
      <c r="S438" s="250"/>
      <c r="T438" s="250"/>
      <c r="U438" s="250"/>
      <c r="V438" s="250"/>
      <c r="W438" s="250"/>
      <c r="X438" s="250"/>
      <c r="Y438" s="250"/>
      <c r="Z438" s="250"/>
    </row>
    <row r="439" ht="14.25" customHeight="1">
      <c r="A439" s="250"/>
      <c r="B439" s="250"/>
      <c r="C439" s="250"/>
      <c r="D439" s="250"/>
      <c r="E439" s="250"/>
      <c r="F439" s="250"/>
      <c r="G439" s="250"/>
      <c r="H439" s="250"/>
      <c r="I439" s="250"/>
      <c r="J439" s="250"/>
      <c r="K439" s="250"/>
      <c r="L439" s="250"/>
      <c r="M439" s="250"/>
      <c r="N439" s="250"/>
      <c r="O439" s="250"/>
      <c r="P439" s="250"/>
      <c r="Q439" s="250"/>
      <c r="R439" s="250"/>
      <c r="S439" s="250"/>
      <c r="T439" s="250"/>
      <c r="U439" s="250"/>
      <c r="V439" s="250"/>
      <c r="W439" s="250"/>
      <c r="X439" s="250"/>
      <c r="Y439" s="250"/>
      <c r="Z439" s="250"/>
    </row>
    <row r="440" ht="14.25" customHeight="1">
      <c r="A440" s="250"/>
      <c r="B440" s="250"/>
      <c r="C440" s="250"/>
      <c r="D440" s="250"/>
      <c r="E440" s="250"/>
      <c r="F440" s="250"/>
      <c r="G440" s="250"/>
      <c r="H440" s="250"/>
      <c r="I440" s="250"/>
      <c r="J440" s="250"/>
      <c r="K440" s="250"/>
      <c r="L440" s="250"/>
      <c r="M440" s="250"/>
      <c r="N440" s="250"/>
      <c r="O440" s="250"/>
      <c r="P440" s="250"/>
      <c r="Q440" s="250"/>
      <c r="R440" s="250"/>
      <c r="S440" s="250"/>
      <c r="T440" s="250"/>
      <c r="U440" s="250"/>
      <c r="V440" s="250"/>
      <c r="W440" s="250"/>
      <c r="X440" s="250"/>
      <c r="Y440" s="250"/>
      <c r="Z440" s="250"/>
    </row>
    <row r="441" ht="14.25" customHeight="1">
      <c r="A441" s="250"/>
      <c r="B441" s="250"/>
      <c r="C441" s="250"/>
      <c r="D441" s="250"/>
      <c r="E441" s="250"/>
      <c r="F441" s="250"/>
      <c r="G441" s="250"/>
      <c r="H441" s="250"/>
      <c r="I441" s="250"/>
      <c r="J441" s="250"/>
      <c r="K441" s="250"/>
      <c r="L441" s="250"/>
      <c r="M441" s="250"/>
      <c r="N441" s="250"/>
      <c r="O441" s="250"/>
      <c r="P441" s="250"/>
      <c r="Q441" s="250"/>
      <c r="R441" s="250"/>
      <c r="S441" s="250"/>
      <c r="T441" s="250"/>
      <c r="U441" s="250"/>
      <c r="V441" s="250"/>
      <c r="W441" s="250"/>
      <c r="X441" s="250"/>
      <c r="Y441" s="250"/>
      <c r="Z441" s="250"/>
    </row>
    <row r="442" ht="14.25" customHeight="1">
      <c r="A442" s="250"/>
      <c r="B442" s="250"/>
      <c r="C442" s="250"/>
      <c r="D442" s="250"/>
      <c r="E442" s="250"/>
      <c r="F442" s="250"/>
      <c r="G442" s="250"/>
      <c r="H442" s="250"/>
      <c r="I442" s="250"/>
      <c r="J442" s="250"/>
      <c r="K442" s="250"/>
      <c r="L442" s="250"/>
      <c r="M442" s="250"/>
      <c r="N442" s="250"/>
      <c r="O442" s="250"/>
      <c r="P442" s="250"/>
      <c r="Q442" s="250"/>
      <c r="R442" s="250"/>
      <c r="S442" s="250"/>
      <c r="T442" s="250"/>
      <c r="U442" s="250"/>
      <c r="V442" s="250"/>
      <c r="W442" s="250"/>
      <c r="X442" s="250"/>
      <c r="Y442" s="250"/>
      <c r="Z442" s="250"/>
    </row>
    <row r="443" ht="14.25" customHeight="1">
      <c r="A443" s="250"/>
      <c r="B443" s="250"/>
      <c r="C443" s="250"/>
      <c r="D443" s="250"/>
      <c r="E443" s="250"/>
      <c r="F443" s="250"/>
      <c r="G443" s="250"/>
      <c r="H443" s="250"/>
      <c r="I443" s="250"/>
      <c r="J443" s="250"/>
      <c r="K443" s="250"/>
      <c r="L443" s="250"/>
      <c r="M443" s="250"/>
      <c r="N443" s="250"/>
      <c r="O443" s="250"/>
      <c r="P443" s="250"/>
      <c r="Q443" s="250"/>
      <c r="R443" s="250"/>
      <c r="S443" s="250"/>
      <c r="T443" s="250"/>
      <c r="U443" s="250"/>
      <c r="V443" s="250"/>
      <c r="W443" s="250"/>
      <c r="X443" s="250"/>
      <c r="Y443" s="250"/>
      <c r="Z443" s="250"/>
    </row>
    <row r="444" ht="14.25" customHeight="1">
      <c r="A444" s="250"/>
      <c r="B444" s="250"/>
      <c r="C444" s="250"/>
      <c r="D444" s="250"/>
      <c r="E444" s="250"/>
      <c r="F444" s="250"/>
      <c r="G444" s="250"/>
      <c r="H444" s="250"/>
      <c r="I444" s="250"/>
      <c r="J444" s="250"/>
      <c r="K444" s="250"/>
      <c r="L444" s="250"/>
      <c r="M444" s="250"/>
      <c r="N444" s="250"/>
      <c r="O444" s="250"/>
      <c r="P444" s="250"/>
      <c r="Q444" s="250"/>
      <c r="R444" s="250"/>
      <c r="S444" s="250"/>
      <c r="T444" s="250"/>
      <c r="U444" s="250"/>
      <c r="V444" s="250"/>
      <c r="W444" s="250"/>
      <c r="X444" s="250"/>
      <c r="Y444" s="250"/>
      <c r="Z444" s="250"/>
    </row>
    <row r="445" ht="14.25" customHeight="1">
      <c r="A445" s="250"/>
      <c r="B445" s="250"/>
      <c r="C445" s="250"/>
      <c r="D445" s="250"/>
      <c r="E445" s="250"/>
      <c r="F445" s="250"/>
      <c r="G445" s="250"/>
      <c r="H445" s="250"/>
      <c r="I445" s="250"/>
      <c r="J445" s="250"/>
      <c r="K445" s="250"/>
      <c r="L445" s="250"/>
      <c r="M445" s="250"/>
      <c r="N445" s="250"/>
      <c r="O445" s="250"/>
      <c r="P445" s="250"/>
      <c r="Q445" s="250"/>
      <c r="R445" s="250"/>
      <c r="S445" s="250"/>
      <c r="T445" s="250"/>
      <c r="U445" s="250"/>
      <c r="V445" s="250"/>
      <c r="W445" s="250"/>
      <c r="X445" s="250"/>
      <c r="Y445" s="250"/>
      <c r="Z445" s="250"/>
    </row>
    <row r="446" ht="14.25" customHeight="1">
      <c r="A446" s="250"/>
      <c r="B446" s="250"/>
      <c r="C446" s="250"/>
      <c r="D446" s="250"/>
      <c r="E446" s="250"/>
      <c r="F446" s="250"/>
      <c r="G446" s="250"/>
      <c r="H446" s="250"/>
      <c r="I446" s="250"/>
      <c r="J446" s="250"/>
      <c r="K446" s="250"/>
      <c r="L446" s="250"/>
      <c r="M446" s="250"/>
      <c r="N446" s="250"/>
      <c r="O446" s="250"/>
      <c r="P446" s="250"/>
      <c r="Q446" s="250"/>
      <c r="R446" s="250"/>
      <c r="S446" s="250"/>
      <c r="T446" s="250"/>
      <c r="U446" s="250"/>
      <c r="V446" s="250"/>
      <c r="W446" s="250"/>
      <c r="X446" s="250"/>
      <c r="Y446" s="250"/>
      <c r="Z446" s="250"/>
    </row>
    <row r="447" ht="14.25" customHeight="1">
      <c r="A447" s="250"/>
      <c r="B447" s="250"/>
      <c r="C447" s="250"/>
      <c r="D447" s="250"/>
      <c r="E447" s="250"/>
      <c r="F447" s="250"/>
      <c r="G447" s="250"/>
      <c r="H447" s="250"/>
      <c r="I447" s="250"/>
      <c r="J447" s="250"/>
      <c r="K447" s="250"/>
      <c r="L447" s="250"/>
      <c r="M447" s="250"/>
      <c r="N447" s="250"/>
      <c r="O447" s="250"/>
      <c r="P447" s="250"/>
      <c r="Q447" s="250"/>
      <c r="R447" s="250"/>
      <c r="S447" s="250"/>
      <c r="T447" s="250"/>
      <c r="U447" s="250"/>
      <c r="V447" s="250"/>
      <c r="W447" s="250"/>
      <c r="X447" s="250"/>
      <c r="Y447" s="250"/>
      <c r="Z447" s="250"/>
    </row>
    <row r="448" ht="14.25" customHeight="1">
      <c r="A448" s="250"/>
      <c r="B448" s="250"/>
      <c r="C448" s="250"/>
      <c r="D448" s="250"/>
      <c r="E448" s="250"/>
      <c r="F448" s="250"/>
      <c r="G448" s="250"/>
      <c r="H448" s="250"/>
      <c r="I448" s="250"/>
      <c r="J448" s="250"/>
      <c r="K448" s="250"/>
      <c r="L448" s="250"/>
      <c r="M448" s="250"/>
      <c r="N448" s="250"/>
      <c r="O448" s="250"/>
      <c r="P448" s="250"/>
      <c r="Q448" s="250"/>
      <c r="R448" s="250"/>
      <c r="S448" s="250"/>
      <c r="T448" s="250"/>
      <c r="U448" s="250"/>
      <c r="V448" s="250"/>
      <c r="W448" s="250"/>
      <c r="X448" s="250"/>
      <c r="Y448" s="250"/>
      <c r="Z448" s="250"/>
    </row>
    <row r="449" ht="14.25" customHeight="1">
      <c r="A449" s="250"/>
      <c r="B449" s="250"/>
      <c r="C449" s="250"/>
      <c r="D449" s="250"/>
      <c r="E449" s="250"/>
      <c r="F449" s="250"/>
      <c r="G449" s="250"/>
      <c r="H449" s="250"/>
      <c r="I449" s="250"/>
      <c r="J449" s="250"/>
      <c r="K449" s="250"/>
      <c r="L449" s="250"/>
      <c r="M449" s="250"/>
      <c r="N449" s="250"/>
      <c r="O449" s="250"/>
      <c r="P449" s="250"/>
      <c r="Q449" s="250"/>
      <c r="R449" s="250"/>
      <c r="S449" s="250"/>
      <c r="T449" s="250"/>
      <c r="U449" s="250"/>
      <c r="V449" s="250"/>
      <c r="W449" s="250"/>
      <c r="X449" s="250"/>
      <c r="Y449" s="250"/>
      <c r="Z449" s="250"/>
    </row>
    <row r="450" ht="14.25" customHeight="1">
      <c r="A450" s="250"/>
      <c r="B450" s="250"/>
      <c r="C450" s="250"/>
      <c r="D450" s="250"/>
      <c r="E450" s="250"/>
      <c r="F450" s="250"/>
      <c r="G450" s="250"/>
      <c r="H450" s="250"/>
      <c r="I450" s="250"/>
      <c r="J450" s="250"/>
      <c r="K450" s="250"/>
      <c r="L450" s="250"/>
      <c r="M450" s="250"/>
      <c r="N450" s="250"/>
      <c r="O450" s="250"/>
      <c r="P450" s="250"/>
      <c r="Q450" s="250"/>
      <c r="R450" s="250"/>
      <c r="S450" s="250"/>
      <c r="T450" s="250"/>
      <c r="U450" s="250"/>
      <c r="V450" s="250"/>
      <c r="W450" s="250"/>
      <c r="X450" s="250"/>
      <c r="Y450" s="250"/>
      <c r="Z450" s="250"/>
    </row>
    <row r="451" ht="14.25" customHeight="1">
      <c r="A451" s="250"/>
      <c r="B451" s="250"/>
      <c r="C451" s="250"/>
      <c r="D451" s="250"/>
      <c r="E451" s="250"/>
      <c r="F451" s="250"/>
      <c r="G451" s="250"/>
      <c r="H451" s="250"/>
      <c r="I451" s="250"/>
      <c r="J451" s="250"/>
      <c r="K451" s="250"/>
      <c r="L451" s="250"/>
      <c r="M451" s="250"/>
      <c r="N451" s="250"/>
      <c r="O451" s="250"/>
      <c r="P451" s="250"/>
      <c r="Q451" s="250"/>
      <c r="R451" s="250"/>
      <c r="S451" s="250"/>
      <c r="T451" s="250"/>
      <c r="U451" s="250"/>
      <c r="V451" s="250"/>
      <c r="W451" s="250"/>
      <c r="X451" s="250"/>
      <c r="Y451" s="250"/>
      <c r="Z451" s="250"/>
    </row>
    <row r="452" ht="14.25" customHeight="1">
      <c r="A452" s="250"/>
      <c r="B452" s="250"/>
      <c r="C452" s="250"/>
      <c r="D452" s="250"/>
      <c r="E452" s="250"/>
      <c r="F452" s="250"/>
      <c r="G452" s="250"/>
      <c r="H452" s="250"/>
      <c r="I452" s="250"/>
      <c r="J452" s="250"/>
      <c r="K452" s="250"/>
      <c r="L452" s="250"/>
      <c r="M452" s="250"/>
      <c r="N452" s="250"/>
      <c r="O452" s="250"/>
      <c r="P452" s="250"/>
      <c r="Q452" s="250"/>
      <c r="R452" s="250"/>
      <c r="S452" s="250"/>
      <c r="T452" s="250"/>
      <c r="U452" s="250"/>
      <c r="V452" s="250"/>
      <c r="W452" s="250"/>
      <c r="X452" s="250"/>
      <c r="Y452" s="250"/>
      <c r="Z452" s="250"/>
    </row>
    <row r="453" ht="14.25" customHeight="1">
      <c r="A453" s="250"/>
      <c r="B453" s="250"/>
      <c r="C453" s="250"/>
      <c r="D453" s="250"/>
      <c r="E453" s="250"/>
      <c r="F453" s="250"/>
      <c r="G453" s="250"/>
      <c r="H453" s="250"/>
      <c r="I453" s="250"/>
      <c r="J453" s="250"/>
      <c r="K453" s="250"/>
      <c r="L453" s="250"/>
      <c r="M453" s="250"/>
      <c r="N453" s="250"/>
      <c r="O453" s="250"/>
      <c r="P453" s="250"/>
      <c r="Q453" s="250"/>
      <c r="R453" s="250"/>
      <c r="S453" s="250"/>
      <c r="T453" s="250"/>
      <c r="U453" s="250"/>
      <c r="V453" s="250"/>
      <c r="W453" s="250"/>
      <c r="X453" s="250"/>
      <c r="Y453" s="250"/>
      <c r="Z453" s="250"/>
    </row>
    <row r="454" ht="14.25" customHeight="1">
      <c r="A454" s="250"/>
      <c r="B454" s="250"/>
      <c r="C454" s="250"/>
      <c r="D454" s="250"/>
      <c r="E454" s="250"/>
      <c r="F454" s="250"/>
      <c r="G454" s="250"/>
      <c r="H454" s="250"/>
      <c r="I454" s="250"/>
      <c r="J454" s="250"/>
      <c r="K454" s="250"/>
      <c r="L454" s="250"/>
      <c r="M454" s="250"/>
      <c r="N454" s="250"/>
      <c r="O454" s="250"/>
      <c r="P454" s="250"/>
      <c r="Q454" s="250"/>
      <c r="R454" s="250"/>
      <c r="S454" s="250"/>
      <c r="T454" s="250"/>
      <c r="U454" s="250"/>
      <c r="V454" s="250"/>
      <c r="W454" s="250"/>
      <c r="X454" s="250"/>
      <c r="Y454" s="250"/>
      <c r="Z454" s="250"/>
    </row>
    <row r="455" ht="14.25" customHeight="1">
      <c r="A455" s="250"/>
      <c r="B455" s="250"/>
      <c r="C455" s="250"/>
      <c r="D455" s="250"/>
      <c r="E455" s="250"/>
      <c r="F455" s="250"/>
      <c r="G455" s="250"/>
      <c r="H455" s="250"/>
      <c r="I455" s="250"/>
      <c r="J455" s="250"/>
      <c r="K455" s="250"/>
      <c r="L455" s="250"/>
      <c r="M455" s="250"/>
      <c r="N455" s="250"/>
      <c r="O455" s="250"/>
      <c r="P455" s="250"/>
      <c r="Q455" s="250"/>
      <c r="R455" s="250"/>
      <c r="S455" s="250"/>
      <c r="T455" s="250"/>
      <c r="U455" s="250"/>
      <c r="V455" s="250"/>
      <c r="W455" s="250"/>
      <c r="X455" s="250"/>
      <c r="Y455" s="250"/>
      <c r="Z455" s="250"/>
    </row>
    <row r="456" ht="14.25" customHeight="1">
      <c r="A456" s="250"/>
      <c r="B456" s="250"/>
      <c r="C456" s="250"/>
      <c r="D456" s="250"/>
      <c r="E456" s="250"/>
      <c r="F456" s="250"/>
      <c r="G456" s="250"/>
      <c r="H456" s="250"/>
      <c r="I456" s="250"/>
      <c r="J456" s="250"/>
      <c r="K456" s="250"/>
      <c r="L456" s="250"/>
      <c r="M456" s="250"/>
      <c r="N456" s="250"/>
      <c r="O456" s="250"/>
      <c r="P456" s="250"/>
      <c r="Q456" s="250"/>
      <c r="R456" s="250"/>
      <c r="S456" s="250"/>
      <c r="T456" s="250"/>
      <c r="U456" s="250"/>
      <c r="V456" s="250"/>
      <c r="W456" s="250"/>
      <c r="X456" s="250"/>
      <c r="Y456" s="250"/>
      <c r="Z456" s="250"/>
    </row>
    <row r="457" ht="14.25" customHeight="1">
      <c r="A457" s="250"/>
      <c r="B457" s="250"/>
      <c r="C457" s="250"/>
      <c r="D457" s="250"/>
      <c r="E457" s="250"/>
      <c r="F457" s="250"/>
      <c r="G457" s="250"/>
      <c r="H457" s="250"/>
      <c r="I457" s="250"/>
      <c r="J457" s="250"/>
      <c r="K457" s="250"/>
      <c r="L457" s="250"/>
      <c r="M457" s="250"/>
      <c r="N457" s="250"/>
      <c r="O457" s="250"/>
      <c r="P457" s="250"/>
      <c r="Q457" s="250"/>
      <c r="R457" s="250"/>
      <c r="S457" s="250"/>
      <c r="T457" s="250"/>
      <c r="U457" s="250"/>
      <c r="V457" s="250"/>
      <c r="W457" s="250"/>
      <c r="X457" s="250"/>
      <c r="Y457" s="250"/>
      <c r="Z457" s="250"/>
    </row>
    <row r="458" ht="14.25" customHeight="1">
      <c r="A458" s="250"/>
      <c r="B458" s="250"/>
      <c r="C458" s="250"/>
      <c r="D458" s="250"/>
      <c r="E458" s="250"/>
      <c r="F458" s="250"/>
      <c r="G458" s="250"/>
      <c r="H458" s="250"/>
      <c r="I458" s="250"/>
      <c r="J458" s="250"/>
      <c r="K458" s="250"/>
      <c r="L458" s="250"/>
      <c r="M458" s="250"/>
      <c r="N458" s="250"/>
      <c r="O458" s="250"/>
      <c r="P458" s="250"/>
      <c r="Q458" s="250"/>
      <c r="R458" s="250"/>
      <c r="S458" s="250"/>
      <c r="T458" s="250"/>
      <c r="U458" s="250"/>
      <c r="V458" s="250"/>
      <c r="W458" s="250"/>
      <c r="X458" s="250"/>
      <c r="Y458" s="250"/>
      <c r="Z458" s="250"/>
    </row>
    <row r="459" ht="14.25" customHeight="1">
      <c r="A459" s="250"/>
      <c r="B459" s="250"/>
      <c r="C459" s="250"/>
      <c r="D459" s="250"/>
      <c r="E459" s="250"/>
      <c r="F459" s="250"/>
      <c r="G459" s="250"/>
      <c r="H459" s="250"/>
      <c r="I459" s="250"/>
      <c r="J459" s="250"/>
      <c r="K459" s="250"/>
      <c r="L459" s="250"/>
      <c r="M459" s="250"/>
      <c r="N459" s="250"/>
      <c r="O459" s="250"/>
      <c r="P459" s="250"/>
      <c r="Q459" s="250"/>
      <c r="R459" s="250"/>
      <c r="S459" s="250"/>
      <c r="T459" s="250"/>
      <c r="U459" s="250"/>
      <c r="V459" s="250"/>
      <c r="W459" s="250"/>
      <c r="X459" s="250"/>
      <c r="Y459" s="250"/>
      <c r="Z459" s="250"/>
    </row>
    <row r="460" ht="14.25" customHeight="1">
      <c r="A460" s="250"/>
      <c r="B460" s="250"/>
      <c r="C460" s="250"/>
      <c r="D460" s="250"/>
      <c r="E460" s="250"/>
      <c r="F460" s="250"/>
      <c r="G460" s="250"/>
      <c r="H460" s="250"/>
      <c r="I460" s="250"/>
      <c r="J460" s="250"/>
      <c r="K460" s="250"/>
      <c r="L460" s="250"/>
      <c r="M460" s="250"/>
      <c r="N460" s="250"/>
      <c r="O460" s="250"/>
      <c r="P460" s="250"/>
      <c r="Q460" s="250"/>
      <c r="R460" s="250"/>
      <c r="S460" s="250"/>
      <c r="T460" s="250"/>
      <c r="U460" s="250"/>
      <c r="V460" s="250"/>
      <c r="W460" s="250"/>
      <c r="X460" s="250"/>
      <c r="Y460" s="250"/>
      <c r="Z460" s="250"/>
    </row>
    <row r="461" ht="14.25" customHeight="1">
      <c r="A461" s="250"/>
      <c r="B461" s="250"/>
      <c r="C461" s="250"/>
      <c r="D461" s="250"/>
      <c r="E461" s="250"/>
      <c r="F461" s="250"/>
      <c r="G461" s="250"/>
      <c r="H461" s="250"/>
      <c r="I461" s="250"/>
      <c r="J461" s="250"/>
      <c r="K461" s="250"/>
      <c r="L461" s="250"/>
      <c r="M461" s="250"/>
      <c r="N461" s="250"/>
      <c r="O461" s="250"/>
      <c r="P461" s="250"/>
      <c r="Q461" s="250"/>
      <c r="R461" s="250"/>
      <c r="S461" s="250"/>
      <c r="T461" s="250"/>
      <c r="U461" s="250"/>
      <c r="V461" s="250"/>
      <c r="W461" s="250"/>
      <c r="X461" s="250"/>
      <c r="Y461" s="250"/>
      <c r="Z461" s="250"/>
    </row>
    <row r="462" ht="14.25" customHeight="1">
      <c r="A462" s="250"/>
      <c r="B462" s="250"/>
      <c r="C462" s="250"/>
      <c r="D462" s="250"/>
      <c r="E462" s="250"/>
      <c r="F462" s="250"/>
      <c r="G462" s="250"/>
      <c r="H462" s="250"/>
      <c r="I462" s="250"/>
      <c r="J462" s="250"/>
      <c r="K462" s="250"/>
      <c r="L462" s="250"/>
      <c r="M462" s="250"/>
      <c r="N462" s="250"/>
      <c r="O462" s="250"/>
      <c r="P462" s="250"/>
      <c r="Q462" s="250"/>
      <c r="R462" s="250"/>
      <c r="S462" s="250"/>
      <c r="T462" s="250"/>
      <c r="U462" s="250"/>
      <c r="V462" s="250"/>
      <c r="W462" s="250"/>
      <c r="X462" s="250"/>
      <c r="Y462" s="250"/>
      <c r="Z462" s="250"/>
    </row>
    <row r="463" ht="14.25" customHeight="1">
      <c r="A463" s="250"/>
      <c r="B463" s="250"/>
      <c r="C463" s="250"/>
      <c r="D463" s="250"/>
      <c r="E463" s="250"/>
      <c r="F463" s="250"/>
      <c r="G463" s="250"/>
      <c r="H463" s="250"/>
      <c r="I463" s="250"/>
      <c r="J463" s="250"/>
      <c r="K463" s="250"/>
      <c r="L463" s="250"/>
      <c r="M463" s="250"/>
      <c r="N463" s="250"/>
      <c r="O463" s="250"/>
      <c r="P463" s="250"/>
      <c r="Q463" s="250"/>
      <c r="R463" s="250"/>
      <c r="S463" s="250"/>
      <c r="T463" s="250"/>
      <c r="U463" s="250"/>
      <c r="V463" s="250"/>
      <c r="W463" s="250"/>
      <c r="X463" s="250"/>
      <c r="Y463" s="250"/>
      <c r="Z463" s="250"/>
    </row>
    <row r="464" ht="14.25" customHeight="1">
      <c r="A464" s="250"/>
      <c r="B464" s="250"/>
      <c r="C464" s="250"/>
      <c r="D464" s="250"/>
      <c r="E464" s="250"/>
      <c r="F464" s="250"/>
      <c r="G464" s="250"/>
      <c r="H464" s="250"/>
      <c r="I464" s="250"/>
      <c r="J464" s="250"/>
      <c r="K464" s="250"/>
      <c r="L464" s="250"/>
      <c r="M464" s="250"/>
      <c r="N464" s="250"/>
      <c r="O464" s="250"/>
      <c r="P464" s="250"/>
      <c r="Q464" s="250"/>
      <c r="R464" s="250"/>
      <c r="S464" s="250"/>
      <c r="T464" s="250"/>
      <c r="U464" s="250"/>
      <c r="V464" s="250"/>
      <c r="W464" s="250"/>
      <c r="X464" s="250"/>
      <c r="Y464" s="250"/>
      <c r="Z464" s="250"/>
    </row>
    <row r="465" ht="14.25" customHeight="1">
      <c r="A465" s="250"/>
      <c r="B465" s="250"/>
      <c r="C465" s="250"/>
      <c r="D465" s="250"/>
      <c r="E465" s="250"/>
      <c r="F465" s="250"/>
      <c r="G465" s="250"/>
      <c r="H465" s="250"/>
      <c r="I465" s="250"/>
      <c r="J465" s="250"/>
      <c r="K465" s="250"/>
      <c r="L465" s="250"/>
      <c r="M465" s="250"/>
      <c r="N465" s="250"/>
      <c r="O465" s="250"/>
      <c r="P465" s="250"/>
      <c r="Q465" s="250"/>
      <c r="R465" s="250"/>
      <c r="S465" s="250"/>
      <c r="T465" s="250"/>
      <c r="U465" s="250"/>
      <c r="V465" s="250"/>
      <c r="W465" s="250"/>
      <c r="X465" s="250"/>
      <c r="Y465" s="250"/>
      <c r="Z465" s="250"/>
    </row>
    <row r="466" ht="14.25" customHeight="1">
      <c r="A466" s="250"/>
      <c r="B466" s="250"/>
      <c r="C466" s="250"/>
      <c r="D466" s="250"/>
      <c r="E466" s="250"/>
      <c r="F466" s="250"/>
      <c r="G466" s="250"/>
      <c r="H466" s="250"/>
      <c r="I466" s="250"/>
      <c r="J466" s="250"/>
      <c r="K466" s="250"/>
      <c r="L466" s="250"/>
      <c r="M466" s="250"/>
      <c r="N466" s="250"/>
      <c r="O466" s="250"/>
      <c r="P466" s="250"/>
      <c r="Q466" s="250"/>
      <c r="R466" s="250"/>
      <c r="S466" s="250"/>
      <c r="T466" s="250"/>
      <c r="U466" s="250"/>
      <c r="V466" s="250"/>
      <c r="W466" s="250"/>
      <c r="X466" s="250"/>
      <c r="Y466" s="250"/>
      <c r="Z466" s="250"/>
    </row>
    <row r="467" ht="14.25" customHeight="1">
      <c r="A467" s="250"/>
      <c r="B467" s="250"/>
      <c r="C467" s="250"/>
      <c r="D467" s="250"/>
      <c r="E467" s="250"/>
      <c r="F467" s="250"/>
      <c r="G467" s="250"/>
      <c r="H467" s="250"/>
      <c r="I467" s="250"/>
      <c r="J467" s="250"/>
      <c r="K467" s="250"/>
      <c r="L467" s="250"/>
      <c r="M467" s="250"/>
      <c r="N467" s="250"/>
      <c r="O467" s="250"/>
      <c r="P467" s="250"/>
      <c r="Q467" s="250"/>
      <c r="R467" s="250"/>
      <c r="S467" s="250"/>
      <c r="T467" s="250"/>
      <c r="U467" s="250"/>
      <c r="V467" s="250"/>
      <c r="W467" s="250"/>
      <c r="X467" s="250"/>
      <c r="Y467" s="250"/>
      <c r="Z467" s="250"/>
    </row>
    <row r="468" ht="14.25" customHeight="1">
      <c r="A468" s="250"/>
      <c r="B468" s="250"/>
      <c r="C468" s="250"/>
      <c r="D468" s="250"/>
      <c r="E468" s="250"/>
      <c r="F468" s="250"/>
      <c r="G468" s="250"/>
      <c r="H468" s="250"/>
      <c r="I468" s="250"/>
      <c r="J468" s="250"/>
      <c r="K468" s="250"/>
      <c r="L468" s="250"/>
      <c r="M468" s="250"/>
      <c r="N468" s="250"/>
      <c r="O468" s="250"/>
      <c r="P468" s="250"/>
      <c r="Q468" s="250"/>
      <c r="R468" s="250"/>
      <c r="S468" s="250"/>
      <c r="T468" s="250"/>
      <c r="U468" s="250"/>
      <c r="V468" s="250"/>
      <c r="W468" s="250"/>
      <c r="X468" s="250"/>
      <c r="Y468" s="250"/>
      <c r="Z468" s="250"/>
    </row>
    <row r="469" ht="14.25" customHeight="1">
      <c r="A469" s="250"/>
      <c r="B469" s="250"/>
      <c r="C469" s="250"/>
      <c r="D469" s="250"/>
      <c r="E469" s="250"/>
      <c r="F469" s="250"/>
      <c r="G469" s="250"/>
      <c r="H469" s="250"/>
      <c r="I469" s="250"/>
      <c r="J469" s="250"/>
      <c r="K469" s="250"/>
      <c r="L469" s="250"/>
      <c r="M469" s="250"/>
      <c r="N469" s="250"/>
      <c r="O469" s="250"/>
      <c r="P469" s="250"/>
      <c r="Q469" s="250"/>
      <c r="R469" s="250"/>
      <c r="S469" s="250"/>
      <c r="T469" s="250"/>
      <c r="U469" s="250"/>
      <c r="V469" s="250"/>
      <c r="W469" s="250"/>
      <c r="X469" s="250"/>
      <c r="Y469" s="250"/>
      <c r="Z469" s="250"/>
    </row>
    <row r="470" ht="14.25" customHeight="1">
      <c r="A470" s="250"/>
      <c r="B470" s="250"/>
      <c r="C470" s="250"/>
      <c r="D470" s="250"/>
      <c r="E470" s="250"/>
      <c r="F470" s="250"/>
      <c r="G470" s="250"/>
      <c r="H470" s="250"/>
      <c r="I470" s="250"/>
      <c r="J470" s="250"/>
      <c r="K470" s="250"/>
      <c r="L470" s="250"/>
      <c r="M470" s="250"/>
      <c r="N470" s="250"/>
      <c r="O470" s="250"/>
      <c r="P470" s="250"/>
      <c r="Q470" s="250"/>
      <c r="R470" s="250"/>
      <c r="S470" s="250"/>
      <c r="T470" s="250"/>
      <c r="U470" s="250"/>
      <c r="V470" s="250"/>
      <c r="W470" s="250"/>
      <c r="X470" s="250"/>
      <c r="Y470" s="250"/>
      <c r="Z470" s="250"/>
    </row>
    <row r="471" ht="14.25" customHeight="1">
      <c r="A471" s="250"/>
      <c r="B471" s="250"/>
      <c r="C471" s="250"/>
      <c r="D471" s="250"/>
      <c r="E471" s="250"/>
      <c r="F471" s="250"/>
      <c r="G471" s="250"/>
      <c r="H471" s="250"/>
      <c r="I471" s="250"/>
      <c r="J471" s="250"/>
      <c r="K471" s="250"/>
      <c r="L471" s="250"/>
      <c r="M471" s="250"/>
      <c r="N471" s="250"/>
      <c r="O471" s="250"/>
      <c r="P471" s="250"/>
      <c r="Q471" s="250"/>
      <c r="R471" s="250"/>
      <c r="S471" s="250"/>
      <c r="T471" s="250"/>
      <c r="U471" s="250"/>
      <c r="V471" s="250"/>
      <c r="W471" s="250"/>
      <c r="X471" s="250"/>
      <c r="Y471" s="250"/>
      <c r="Z471" s="250"/>
    </row>
    <row r="472" ht="14.25" customHeight="1">
      <c r="A472" s="250"/>
      <c r="B472" s="250"/>
      <c r="C472" s="250"/>
      <c r="D472" s="250"/>
      <c r="E472" s="250"/>
      <c r="F472" s="250"/>
      <c r="G472" s="250"/>
      <c r="H472" s="250"/>
      <c r="I472" s="250"/>
      <c r="J472" s="250"/>
      <c r="K472" s="250"/>
      <c r="L472" s="250"/>
      <c r="M472" s="250"/>
      <c r="N472" s="250"/>
      <c r="O472" s="250"/>
      <c r="P472" s="250"/>
      <c r="Q472" s="250"/>
      <c r="R472" s="250"/>
      <c r="S472" s="250"/>
      <c r="T472" s="250"/>
      <c r="U472" s="250"/>
      <c r="V472" s="250"/>
      <c r="W472" s="250"/>
      <c r="X472" s="250"/>
      <c r="Y472" s="250"/>
      <c r="Z472" s="250"/>
    </row>
    <row r="473" ht="14.25" customHeight="1">
      <c r="A473" s="250"/>
      <c r="B473" s="250"/>
      <c r="C473" s="250"/>
      <c r="D473" s="250"/>
      <c r="E473" s="250"/>
      <c r="F473" s="250"/>
      <c r="G473" s="250"/>
      <c r="H473" s="250"/>
      <c r="I473" s="250"/>
      <c r="J473" s="250"/>
      <c r="K473" s="250"/>
      <c r="L473" s="250"/>
      <c r="M473" s="250"/>
      <c r="N473" s="250"/>
      <c r="O473" s="250"/>
      <c r="P473" s="250"/>
      <c r="Q473" s="250"/>
      <c r="R473" s="250"/>
      <c r="S473" s="250"/>
      <c r="T473" s="250"/>
      <c r="U473" s="250"/>
      <c r="V473" s="250"/>
      <c r="W473" s="250"/>
      <c r="X473" s="250"/>
      <c r="Y473" s="250"/>
      <c r="Z473" s="250"/>
    </row>
    <row r="474" ht="14.25" customHeight="1">
      <c r="A474" s="250"/>
      <c r="B474" s="250"/>
      <c r="C474" s="250"/>
      <c r="D474" s="250"/>
      <c r="E474" s="250"/>
      <c r="F474" s="250"/>
      <c r="G474" s="250"/>
      <c r="H474" s="250"/>
      <c r="I474" s="250"/>
      <c r="J474" s="250"/>
      <c r="K474" s="250"/>
      <c r="L474" s="250"/>
      <c r="M474" s="250"/>
      <c r="N474" s="250"/>
      <c r="O474" s="250"/>
      <c r="P474" s="250"/>
      <c r="Q474" s="250"/>
      <c r="R474" s="250"/>
      <c r="S474" s="250"/>
      <c r="T474" s="250"/>
      <c r="U474" s="250"/>
      <c r="V474" s="250"/>
      <c r="W474" s="250"/>
      <c r="X474" s="250"/>
      <c r="Y474" s="250"/>
      <c r="Z474" s="250"/>
    </row>
    <row r="475" ht="14.25" customHeight="1">
      <c r="A475" s="250"/>
      <c r="B475" s="250"/>
      <c r="C475" s="250"/>
      <c r="D475" s="250"/>
      <c r="E475" s="250"/>
      <c r="F475" s="250"/>
      <c r="G475" s="250"/>
      <c r="H475" s="250"/>
      <c r="I475" s="250"/>
      <c r="J475" s="250"/>
      <c r="K475" s="250"/>
      <c r="L475" s="250"/>
      <c r="M475" s="250"/>
      <c r="N475" s="250"/>
      <c r="O475" s="250"/>
      <c r="P475" s="250"/>
      <c r="Q475" s="250"/>
      <c r="R475" s="250"/>
      <c r="S475" s="250"/>
      <c r="T475" s="250"/>
      <c r="U475" s="250"/>
      <c r="V475" s="250"/>
      <c r="W475" s="250"/>
      <c r="X475" s="250"/>
      <c r="Y475" s="250"/>
      <c r="Z475" s="250"/>
    </row>
    <row r="476" ht="14.25" customHeight="1">
      <c r="A476" s="250"/>
      <c r="B476" s="250"/>
      <c r="C476" s="250"/>
      <c r="D476" s="250"/>
      <c r="E476" s="250"/>
      <c r="F476" s="250"/>
      <c r="G476" s="250"/>
      <c r="H476" s="250"/>
      <c r="I476" s="250"/>
      <c r="J476" s="250"/>
      <c r="K476" s="250"/>
      <c r="L476" s="250"/>
      <c r="M476" s="250"/>
      <c r="N476" s="250"/>
      <c r="O476" s="250"/>
      <c r="P476" s="250"/>
      <c r="Q476" s="250"/>
      <c r="R476" s="250"/>
      <c r="S476" s="250"/>
      <c r="T476" s="250"/>
      <c r="U476" s="250"/>
      <c r="V476" s="250"/>
      <c r="W476" s="250"/>
      <c r="X476" s="250"/>
      <c r="Y476" s="250"/>
      <c r="Z476" s="250"/>
    </row>
    <row r="477" ht="14.25" customHeight="1">
      <c r="A477" s="250"/>
      <c r="B477" s="250"/>
      <c r="C477" s="250"/>
      <c r="D477" s="250"/>
      <c r="E477" s="250"/>
      <c r="F477" s="250"/>
      <c r="G477" s="250"/>
      <c r="H477" s="250"/>
      <c r="I477" s="250"/>
      <c r="J477" s="250"/>
      <c r="K477" s="250"/>
      <c r="L477" s="250"/>
      <c r="M477" s="250"/>
      <c r="N477" s="250"/>
      <c r="O477" s="250"/>
      <c r="P477" s="250"/>
      <c r="Q477" s="250"/>
      <c r="R477" s="250"/>
      <c r="S477" s="250"/>
      <c r="T477" s="250"/>
      <c r="U477" s="250"/>
      <c r="V477" s="250"/>
      <c r="W477" s="250"/>
      <c r="X477" s="250"/>
      <c r="Y477" s="250"/>
      <c r="Z477" s="250"/>
    </row>
    <row r="478" ht="14.25" customHeight="1">
      <c r="A478" s="250"/>
      <c r="B478" s="250"/>
      <c r="C478" s="250"/>
      <c r="D478" s="250"/>
      <c r="E478" s="250"/>
      <c r="F478" s="250"/>
      <c r="G478" s="250"/>
      <c r="H478" s="250"/>
      <c r="I478" s="250"/>
      <c r="J478" s="250"/>
      <c r="K478" s="250"/>
      <c r="L478" s="250"/>
      <c r="M478" s="250"/>
      <c r="N478" s="250"/>
      <c r="O478" s="250"/>
      <c r="P478" s="250"/>
      <c r="Q478" s="250"/>
      <c r="R478" s="250"/>
      <c r="S478" s="250"/>
      <c r="T478" s="250"/>
      <c r="U478" s="250"/>
      <c r="V478" s="250"/>
      <c r="W478" s="250"/>
      <c r="X478" s="250"/>
      <c r="Y478" s="250"/>
      <c r="Z478" s="250"/>
    </row>
    <row r="479" ht="14.25" customHeight="1">
      <c r="A479" s="250"/>
      <c r="B479" s="250"/>
      <c r="C479" s="250"/>
      <c r="D479" s="250"/>
      <c r="E479" s="250"/>
      <c r="F479" s="250"/>
      <c r="G479" s="250"/>
      <c r="H479" s="250"/>
      <c r="I479" s="250"/>
      <c r="J479" s="250"/>
      <c r="K479" s="250"/>
      <c r="L479" s="250"/>
      <c r="M479" s="250"/>
      <c r="N479" s="250"/>
      <c r="O479" s="250"/>
      <c r="P479" s="250"/>
      <c r="Q479" s="250"/>
      <c r="R479" s="250"/>
      <c r="S479" s="250"/>
      <c r="T479" s="250"/>
      <c r="U479" s="250"/>
      <c r="V479" s="250"/>
      <c r="W479" s="250"/>
      <c r="X479" s="250"/>
      <c r="Y479" s="250"/>
      <c r="Z479" s="250"/>
    </row>
    <row r="480" ht="14.25" customHeight="1">
      <c r="A480" s="250"/>
      <c r="B480" s="250"/>
      <c r="C480" s="250"/>
      <c r="D480" s="250"/>
      <c r="E480" s="250"/>
      <c r="F480" s="250"/>
      <c r="G480" s="250"/>
      <c r="H480" s="250"/>
      <c r="I480" s="250"/>
      <c r="J480" s="250"/>
      <c r="K480" s="250"/>
      <c r="L480" s="250"/>
      <c r="M480" s="250"/>
      <c r="N480" s="250"/>
      <c r="O480" s="250"/>
      <c r="P480" s="250"/>
      <c r="Q480" s="250"/>
      <c r="R480" s="250"/>
      <c r="S480" s="250"/>
      <c r="T480" s="250"/>
      <c r="U480" s="250"/>
      <c r="V480" s="250"/>
      <c r="W480" s="250"/>
      <c r="X480" s="250"/>
      <c r="Y480" s="250"/>
      <c r="Z480" s="250"/>
    </row>
    <row r="481" ht="14.25" customHeight="1">
      <c r="A481" s="250"/>
      <c r="B481" s="250"/>
      <c r="C481" s="250"/>
      <c r="D481" s="250"/>
      <c r="E481" s="250"/>
      <c r="F481" s="250"/>
      <c r="G481" s="250"/>
      <c r="H481" s="250"/>
      <c r="I481" s="250"/>
      <c r="J481" s="250"/>
      <c r="K481" s="250"/>
      <c r="L481" s="250"/>
      <c r="M481" s="250"/>
      <c r="N481" s="250"/>
      <c r="O481" s="250"/>
      <c r="P481" s="250"/>
      <c r="Q481" s="250"/>
      <c r="R481" s="250"/>
      <c r="S481" s="250"/>
      <c r="T481" s="250"/>
      <c r="U481" s="250"/>
      <c r="V481" s="250"/>
      <c r="W481" s="250"/>
      <c r="X481" s="250"/>
      <c r="Y481" s="250"/>
      <c r="Z481" s="250"/>
    </row>
    <row r="482" ht="14.25" customHeight="1">
      <c r="A482" s="250"/>
      <c r="B482" s="250"/>
      <c r="C482" s="250"/>
      <c r="D482" s="250"/>
      <c r="E482" s="250"/>
      <c r="F482" s="250"/>
      <c r="G482" s="250"/>
      <c r="H482" s="250"/>
      <c r="I482" s="250"/>
      <c r="J482" s="250"/>
      <c r="K482" s="250"/>
      <c r="L482" s="250"/>
      <c r="M482" s="250"/>
      <c r="N482" s="250"/>
      <c r="O482" s="250"/>
      <c r="P482" s="250"/>
      <c r="Q482" s="250"/>
      <c r="R482" s="250"/>
      <c r="S482" s="250"/>
      <c r="T482" s="250"/>
      <c r="U482" s="250"/>
      <c r="V482" s="250"/>
      <c r="W482" s="250"/>
      <c r="X482" s="250"/>
      <c r="Y482" s="250"/>
      <c r="Z482" s="250"/>
    </row>
    <row r="483" ht="14.25" customHeight="1">
      <c r="A483" s="250"/>
      <c r="B483" s="250"/>
      <c r="C483" s="250"/>
      <c r="D483" s="250"/>
      <c r="E483" s="250"/>
      <c r="F483" s="250"/>
      <c r="G483" s="250"/>
      <c r="H483" s="250"/>
      <c r="I483" s="250"/>
      <c r="J483" s="250"/>
      <c r="K483" s="250"/>
      <c r="L483" s="250"/>
      <c r="M483" s="250"/>
      <c r="N483" s="250"/>
      <c r="O483" s="250"/>
      <c r="P483" s="250"/>
      <c r="Q483" s="250"/>
      <c r="R483" s="250"/>
      <c r="S483" s="250"/>
      <c r="T483" s="250"/>
      <c r="U483" s="250"/>
      <c r="V483" s="250"/>
      <c r="W483" s="250"/>
      <c r="X483" s="250"/>
      <c r="Y483" s="250"/>
      <c r="Z483" s="250"/>
    </row>
    <row r="484" ht="14.25" customHeight="1">
      <c r="A484" s="250"/>
      <c r="B484" s="250"/>
      <c r="C484" s="250"/>
      <c r="D484" s="250"/>
      <c r="E484" s="250"/>
      <c r="F484" s="250"/>
      <c r="G484" s="250"/>
      <c r="H484" s="250"/>
      <c r="I484" s="250"/>
      <c r="J484" s="250"/>
      <c r="K484" s="250"/>
      <c r="L484" s="250"/>
      <c r="M484" s="250"/>
      <c r="N484" s="250"/>
      <c r="O484" s="250"/>
      <c r="P484" s="250"/>
      <c r="Q484" s="250"/>
      <c r="R484" s="250"/>
      <c r="S484" s="250"/>
      <c r="T484" s="250"/>
      <c r="U484" s="250"/>
      <c r="V484" s="250"/>
      <c r="W484" s="250"/>
      <c r="X484" s="250"/>
      <c r="Y484" s="250"/>
      <c r="Z484" s="250"/>
    </row>
    <row r="485" ht="14.25" customHeight="1">
      <c r="A485" s="250"/>
      <c r="B485" s="250"/>
      <c r="C485" s="250"/>
      <c r="D485" s="250"/>
      <c r="E485" s="250"/>
      <c r="F485" s="250"/>
      <c r="G485" s="250"/>
      <c r="H485" s="250"/>
      <c r="I485" s="250"/>
      <c r="J485" s="250"/>
      <c r="K485" s="250"/>
      <c r="L485" s="250"/>
      <c r="M485" s="250"/>
      <c r="N485" s="250"/>
      <c r="O485" s="250"/>
      <c r="P485" s="250"/>
      <c r="Q485" s="250"/>
      <c r="R485" s="250"/>
      <c r="S485" s="250"/>
      <c r="T485" s="250"/>
      <c r="U485" s="250"/>
      <c r="V485" s="250"/>
      <c r="W485" s="250"/>
      <c r="X485" s="250"/>
      <c r="Y485" s="250"/>
      <c r="Z485" s="250"/>
    </row>
    <row r="486" ht="14.25" customHeight="1">
      <c r="A486" s="250"/>
      <c r="B486" s="250"/>
      <c r="C486" s="250"/>
      <c r="D486" s="250"/>
      <c r="E486" s="250"/>
      <c r="F486" s="250"/>
      <c r="G486" s="250"/>
      <c r="H486" s="250"/>
      <c r="I486" s="250"/>
      <c r="J486" s="250"/>
      <c r="K486" s="250"/>
      <c r="L486" s="250"/>
      <c r="M486" s="250"/>
      <c r="N486" s="250"/>
      <c r="O486" s="250"/>
      <c r="P486" s="250"/>
      <c r="Q486" s="250"/>
      <c r="R486" s="250"/>
      <c r="S486" s="250"/>
      <c r="T486" s="250"/>
      <c r="U486" s="250"/>
      <c r="V486" s="250"/>
      <c r="W486" s="250"/>
      <c r="X486" s="250"/>
      <c r="Y486" s="250"/>
      <c r="Z486" s="250"/>
    </row>
    <row r="487" ht="14.25" customHeight="1">
      <c r="A487" s="250"/>
      <c r="B487" s="250"/>
      <c r="C487" s="250"/>
      <c r="D487" s="250"/>
      <c r="E487" s="250"/>
      <c r="F487" s="250"/>
      <c r="G487" s="250"/>
      <c r="H487" s="250"/>
      <c r="I487" s="250"/>
      <c r="J487" s="250"/>
      <c r="K487" s="250"/>
      <c r="L487" s="250"/>
      <c r="M487" s="250"/>
      <c r="N487" s="250"/>
      <c r="O487" s="250"/>
      <c r="P487" s="250"/>
      <c r="Q487" s="250"/>
      <c r="R487" s="250"/>
      <c r="S487" s="250"/>
      <c r="T487" s="250"/>
      <c r="U487" s="250"/>
      <c r="V487" s="250"/>
      <c r="W487" s="250"/>
      <c r="X487" s="250"/>
      <c r="Y487" s="250"/>
      <c r="Z487" s="250"/>
    </row>
    <row r="488" ht="14.25" customHeight="1">
      <c r="A488" s="250"/>
      <c r="B488" s="250"/>
      <c r="C488" s="250"/>
      <c r="D488" s="250"/>
      <c r="E488" s="250"/>
      <c r="F488" s="250"/>
      <c r="G488" s="250"/>
      <c r="H488" s="250"/>
      <c r="I488" s="250"/>
      <c r="J488" s="250"/>
      <c r="K488" s="250"/>
      <c r="L488" s="250"/>
      <c r="M488" s="250"/>
      <c r="N488" s="250"/>
      <c r="O488" s="250"/>
      <c r="P488" s="250"/>
      <c r="Q488" s="250"/>
      <c r="R488" s="250"/>
      <c r="S488" s="250"/>
      <c r="T488" s="250"/>
      <c r="U488" s="250"/>
      <c r="V488" s="250"/>
      <c r="W488" s="250"/>
      <c r="X488" s="250"/>
      <c r="Y488" s="250"/>
      <c r="Z488" s="250"/>
    </row>
    <row r="489" ht="14.25" customHeight="1">
      <c r="A489" s="250"/>
      <c r="B489" s="250"/>
      <c r="C489" s="250"/>
      <c r="D489" s="250"/>
      <c r="E489" s="250"/>
      <c r="F489" s="250"/>
      <c r="G489" s="250"/>
      <c r="H489" s="250"/>
      <c r="I489" s="250"/>
      <c r="J489" s="250"/>
      <c r="K489" s="250"/>
      <c r="L489" s="250"/>
      <c r="M489" s="250"/>
      <c r="N489" s="250"/>
      <c r="O489" s="250"/>
      <c r="P489" s="250"/>
      <c r="Q489" s="250"/>
      <c r="R489" s="250"/>
      <c r="S489" s="250"/>
      <c r="T489" s="250"/>
      <c r="U489" s="250"/>
      <c r="V489" s="250"/>
      <c r="W489" s="250"/>
      <c r="X489" s="250"/>
      <c r="Y489" s="250"/>
      <c r="Z489" s="250"/>
    </row>
    <row r="490" ht="14.25" customHeight="1">
      <c r="A490" s="250"/>
      <c r="B490" s="250"/>
      <c r="C490" s="250"/>
      <c r="D490" s="250"/>
      <c r="E490" s="250"/>
      <c r="F490" s="250"/>
      <c r="G490" s="250"/>
      <c r="H490" s="250"/>
      <c r="I490" s="250"/>
      <c r="J490" s="250"/>
      <c r="K490" s="250"/>
      <c r="L490" s="250"/>
      <c r="M490" s="250"/>
      <c r="N490" s="250"/>
      <c r="O490" s="250"/>
      <c r="P490" s="250"/>
      <c r="Q490" s="250"/>
      <c r="R490" s="250"/>
      <c r="S490" s="250"/>
      <c r="T490" s="250"/>
      <c r="U490" s="250"/>
      <c r="V490" s="250"/>
      <c r="W490" s="250"/>
      <c r="X490" s="250"/>
      <c r="Y490" s="250"/>
      <c r="Z490" s="250"/>
    </row>
    <row r="491" ht="14.25" customHeight="1">
      <c r="A491" s="250"/>
      <c r="B491" s="250"/>
      <c r="C491" s="250"/>
      <c r="D491" s="250"/>
      <c r="E491" s="250"/>
      <c r="F491" s="250"/>
      <c r="G491" s="250"/>
      <c r="H491" s="250"/>
      <c r="I491" s="250"/>
      <c r="J491" s="250"/>
      <c r="K491" s="250"/>
      <c r="L491" s="250"/>
      <c r="M491" s="250"/>
      <c r="N491" s="250"/>
      <c r="O491" s="250"/>
      <c r="P491" s="250"/>
      <c r="Q491" s="250"/>
      <c r="R491" s="250"/>
      <c r="S491" s="250"/>
      <c r="T491" s="250"/>
      <c r="U491" s="250"/>
      <c r="V491" s="250"/>
      <c r="W491" s="250"/>
      <c r="X491" s="250"/>
      <c r="Y491" s="250"/>
      <c r="Z491" s="250"/>
    </row>
    <row r="492" ht="14.25" customHeight="1">
      <c r="A492" s="250"/>
      <c r="B492" s="250"/>
      <c r="C492" s="250"/>
      <c r="D492" s="250"/>
      <c r="E492" s="250"/>
      <c r="F492" s="250"/>
      <c r="G492" s="250"/>
      <c r="H492" s="250"/>
      <c r="I492" s="250"/>
      <c r="J492" s="250"/>
      <c r="K492" s="250"/>
      <c r="L492" s="250"/>
      <c r="M492" s="250"/>
      <c r="N492" s="250"/>
      <c r="O492" s="250"/>
      <c r="P492" s="250"/>
      <c r="Q492" s="250"/>
      <c r="R492" s="250"/>
      <c r="S492" s="250"/>
      <c r="T492" s="250"/>
      <c r="U492" s="250"/>
      <c r="V492" s="250"/>
      <c r="W492" s="250"/>
      <c r="X492" s="250"/>
      <c r="Y492" s="250"/>
      <c r="Z492" s="250"/>
    </row>
    <row r="493" ht="14.25" customHeight="1">
      <c r="A493" s="250"/>
      <c r="B493" s="250"/>
      <c r="C493" s="250"/>
      <c r="D493" s="250"/>
      <c r="E493" s="250"/>
      <c r="F493" s="250"/>
      <c r="G493" s="250"/>
      <c r="H493" s="250"/>
      <c r="I493" s="250"/>
      <c r="J493" s="250"/>
      <c r="K493" s="250"/>
      <c r="L493" s="250"/>
      <c r="M493" s="250"/>
      <c r="N493" s="250"/>
      <c r="O493" s="250"/>
      <c r="P493" s="250"/>
      <c r="Q493" s="250"/>
      <c r="R493" s="250"/>
      <c r="S493" s="250"/>
      <c r="T493" s="250"/>
      <c r="U493" s="250"/>
      <c r="V493" s="250"/>
      <c r="W493" s="250"/>
      <c r="X493" s="250"/>
      <c r="Y493" s="250"/>
      <c r="Z493" s="250"/>
    </row>
    <row r="494" ht="14.25" customHeight="1">
      <c r="A494" s="250"/>
      <c r="B494" s="250"/>
      <c r="C494" s="250"/>
      <c r="D494" s="250"/>
      <c r="E494" s="250"/>
      <c r="F494" s="250"/>
      <c r="G494" s="250"/>
      <c r="H494" s="250"/>
      <c r="I494" s="250"/>
      <c r="J494" s="250"/>
      <c r="K494" s="250"/>
      <c r="L494" s="250"/>
      <c r="M494" s="250"/>
      <c r="N494" s="250"/>
      <c r="O494" s="250"/>
      <c r="P494" s="250"/>
      <c r="Q494" s="250"/>
      <c r="R494" s="250"/>
      <c r="S494" s="250"/>
      <c r="T494" s="250"/>
      <c r="U494" s="250"/>
      <c r="V494" s="250"/>
      <c r="W494" s="250"/>
      <c r="X494" s="250"/>
      <c r="Y494" s="250"/>
      <c r="Z494" s="250"/>
    </row>
    <row r="495" ht="14.25" customHeight="1">
      <c r="A495" s="250"/>
      <c r="B495" s="250"/>
      <c r="C495" s="250"/>
      <c r="D495" s="250"/>
      <c r="E495" s="250"/>
      <c r="F495" s="250"/>
      <c r="G495" s="250"/>
      <c r="H495" s="250"/>
      <c r="I495" s="250"/>
      <c r="J495" s="250"/>
      <c r="K495" s="250"/>
      <c r="L495" s="250"/>
      <c r="M495" s="250"/>
      <c r="N495" s="250"/>
      <c r="O495" s="250"/>
      <c r="P495" s="250"/>
      <c r="Q495" s="250"/>
      <c r="R495" s="250"/>
      <c r="S495" s="250"/>
      <c r="T495" s="250"/>
      <c r="U495" s="250"/>
      <c r="V495" s="250"/>
      <c r="W495" s="250"/>
      <c r="X495" s="250"/>
      <c r="Y495" s="250"/>
      <c r="Z495" s="250"/>
    </row>
    <row r="496" ht="14.25" customHeight="1">
      <c r="A496" s="250"/>
      <c r="B496" s="250"/>
      <c r="C496" s="250"/>
      <c r="D496" s="250"/>
      <c r="E496" s="250"/>
      <c r="F496" s="250"/>
      <c r="G496" s="250"/>
      <c r="H496" s="250"/>
      <c r="I496" s="250"/>
      <c r="J496" s="250"/>
      <c r="K496" s="250"/>
      <c r="L496" s="250"/>
      <c r="M496" s="250"/>
      <c r="N496" s="250"/>
      <c r="O496" s="250"/>
      <c r="P496" s="250"/>
      <c r="Q496" s="250"/>
      <c r="R496" s="250"/>
      <c r="S496" s="250"/>
      <c r="T496" s="250"/>
      <c r="U496" s="250"/>
      <c r="V496" s="250"/>
      <c r="W496" s="250"/>
      <c r="X496" s="250"/>
      <c r="Y496" s="250"/>
      <c r="Z496" s="250"/>
    </row>
    <row r="497" ht="14.25" customHeight="1">
      <c r="A497" s="250"/>
      <c r="B497" s="250"/>
      <c r="C497" s="250"/>
      <c r="D497" s="250"/>
      <c r="E497" s="250"/>
      <c r="F497" s="250"/>
      <c r="G497" s="250"/>
      <c r="H497" s="250"/>
      <c r="I497" s="250"/>
      <c r="J497" s="250"/>
      <c r="K497" s="250"/>
      <c r="L497" s="250"/>
      <c r="M497" s="250"/>
      <c r="N497" s="250"/>
      <c r="O497" s="250"/>
      <c r="P497" s="250"/>
      <c r="Q497" s="250"/>
      <c r="R497" s="250"/>
      <c r="S497" s="250"/>
      <c r="T497" s="250"/>
      <c r="U497" s="250"/>
      <c r="V497" s="250"/>
      <c r="W497" s="250"/>
      <c r="X497" s="250"/>
      <c r="Y497" s="250"/>
      <c r="Z497" s="250"/>
    </row>
    <row r="498" ht="14.25" customHeight="1">
      <c r="A498" s="250"/>
      <c r="B498" s="250"/>
      <c r="C498" s="250"/>
      <c r="D498" s="250"/>
      <c r="E498" s="250"/>
      <c r="F498" s="250"/>
      <c r="G498" s="250"/>
      <c r="H498" s="250"/>
      <c r="I498" s="250"/>
      <c r="J498" s="250"/>
      <c r="K498" s="250"/>
      <c r="L498" s="250"/>
      <c r="M498" s="250"/>
      <c r="N498" s="250"/>
      <c r="O498" s="250"/>
      <c r="P498" s="250"/>
      <c r="Q498" s="250"/>
      <c r="R498" s="250"/>
      <c r="S498" s="250"/>
      <c r="T498" s="250"/>
      <c r="U498" s="250"/>
      <c r="V498" s="250"/>
      <c r="W498" s="250"/>
      <c r="X498" s="250"/>
      <c r="Y498" s="250"/>
      <c r="Z498" s="250"/>
    </row>
    <row r="499" ht="14.25" customHeight="1">
      <c r="A499" s="250"/>
      <c r="B499" s="250"/>
      <c r="C499" s="250"/>
      <c r="D499" s="250"/>
      <c r="E499" s="250"/>
      <c r="F499" s="250"/>
      <c r="G499" s="250"/>
      <c r="H499" s="250"/>
      <c r="I499" s="250"/>
      <c r="J499" s="250"/>
      <c r="K499" s="250"/>
      <c r="L499" s="250"/>
      <c r="M499" s="250"/>
      <c r="N499" s="250"/>
      <c r="O499" s="250"/>
      <c r="P499" s="250"/>
      <c r="Q499" s="250"/>
      <c r="R499" s="250"/>
      <c r="S499" s="250"/>
      <c r="T499" s="250"/>
      <c r="U499" s="250"/>
      <c r="V499" s="250"/>
      <c r="W499" s="250"/>
      <c r="X499" s="250"/>
      <c r="Y499" s="250"/>
      <c r="Z499" s="250"/>
    </row>
    <row r="500" ht="14.25" customHeight="1">
      <c r="A500" s="250"/>
      <c r="B500" s="250"/>
      <c r="C500" s="250"/>
      <c r="D500" s="250"/>
      <c r="E500" s="250"/>
      <c r="F500" s="250"/>
      <c r="G500" s="250"/>
      <c r="H500" s="250"/>
      <c r="I500" s="250"/>
      <c r="J500" s="250"/>
      <c r="K500" s="250"/>
      <c r="L500" s="250"/>
      <c r="M500" s="250"/>
      <c r="N500" s="250"/>
      <c r="O500" s="250"/>
      <c r="P500" s="250"/>
      <c r="Q500" s="250"/>
      <c r="R500" s="250"/>
      <c r="S500" s="250"/>
      <c r="T500" s="250"/>
      <c r="U500" s="250"/>
      <c r="V500" s="250"/>
      <c r="W500" s="250"/>
      <c r="X500" s="250"/>
      <c r="Y500" s="250"/>
      <c r="Z500" s="250"/>
    </row>
    <row r="501" ht="14.25" customHeight="1">
      <c r="A501" s="250"/>
      <c r="B501" s="250"/>
      <c r="C501" s="250"/>
      <c r="D501" s="250"/>
      <c r="E501" s="250"/>
      <c r="F501" s="250"/>
      <c r="G501" s="250"/>
      <c r="H501" s="250"/>
      <c r="I501" s="250"/>
      <c r="J501" s="250"/>
      <c r="K501" s="250"/>
      <c r="L501" s="250"/>
      <c r="M501" s="250"/>
      <c r="N501" s="250"/>
      <c r="O501" s="250"/>
      <c r="P501" s="250"/>
      <c r="Q501" s="250"/>
      <c r="R501" s="250"/>
      <c r="S501" s="250"/>
      <c r="T501" s="250"/>
      <c r="U501" s="250"/>
      <c r="V501" s="250"/>
      <c r="W501" s="250"/>
      <c r="X501" s="250"/>
      <c r="Y501" s="250"/>
      <c r="Z501" s="250"/>
    </row>
    <row r="502" ht="14.25" customHeight="1">
      <c r="A502" s="250"/>
      <c r="B502" s="250"/>
      <c r="C502" s="250"/>
      <c r="D502" s="250"/>
      <c r="E502" s="250"/>
      <c r="F502" s="250"/>
      <c r="G502" s="250"/>
      <c r="H502" s="250"/>
      <c r="I502" s="250"/>
      <c r="J502" s="250"/>
      <c r="K502" s="250"/>
      <c r="L502" s="250"/>
      <c r="M502" s="250"/>
      <c r="N502" s="250"/>
      <c r="O502" s="250"/>
      <c r="P502" s="250"/>
      <c r="Q502" s="250"/>
      <c r="R502" s="250"/>
      <c r="S502" s="250"/>
      <c r="T502" s="250"/>
      <c r="U502" s="250"/>
      <c r="V502" s="250"/>
      <c r="W502" s="250"/>
      <c r="X502" s="250"/>
      <c r="Y502" s="250"/>
      <c r="Z502" s="250"/>
    </row>
    <row r="503" ht="14.25" customHeight="1">
      <c r="A503" s="250"/>
      <c r="B503" s="250"/>
      <c r="C503" s="250"/>
      <c r="D503" s="250"/>
      <c r="E503" s="250"/>
      <c r="F503" s="250"/>
      <c r="G503" s="250"/>
      <c r="H503" s="250"/>
      <c r="I503" s="250"/>
      <c r="J503" s="250"/>
      <c r="K503" s="250"/>
      <c r="L503" s="250"/>
      <c r="M503" s="250"/>
      <c r="N503" s="250"/>
      <c r="O503" s="250"/>
      <c r="P503" s="250"/>
      <c r="Q503" s="250"/>
      <c r="R503" s="250"/>
      <c r="S503" s="250"/>
      <c r="T503" s="250"/>
      <c r="U503" s="250"/>
      <c r="V503" s="250"/>
      <c r="W503" s="250"/>
      <c r="X503" s="250"/>
      <c r="Y503" s="250"/>
      <c r="Z503" s="250"/>
    </row>
    <row r="504" ht="14.25" customHeight="1">
      <c r="A504" s="250"/>
      <c r="B504" s="250"/>
      <c r="C504" s="250"/>
      <c r="D504" s="250"/>
      <c r="E504" s="250"/>
      <c r="F504" s="250"/>
      <c r="G504" s="250"/>
      <c r="H504" s="250"/>
      <c r="I504" s="250"/>
      <c r="J504" s="250"/>
      <c r="K504" s="250"/>
      <c r="L504" s="250"/>
      <c r="M504" s="250"/>
      <c r="N504" s="250"/>
      <c r="O504" s="250"/>
      <c r="P504" s="250"/>
      <c r="Q504" s="250"/>
      <c r="R504" s="250"/>
      <c r="S504" s="250"/>
      <c r="T504" s="250"/>
      <c r="U504" s="250"/>
      <c r="V504" s="250"/>
      <c r="W504" s="250"/>
      <c r="X504" s="250"/>
      <c r="Y504" s="250"/>
      <c r="Z504" s="250"/>
    </row>
    <row r="505" ht="14.25" customHeight="1">
      <c r="A505" s="250"/>
      <c r="B505" s="250"/>
      <c r="C505" s="250"/>
      <c r="D505" s="250"/>
      <c r="E505" s="250"/>
      <c r="F505" s="250"/>
      <c r="G505" s="250"/>
      <c r="H505" s="250"/>
      <c r="I505" s="250"/>
      <c r="J505" s="250"/>
      <c r="K505" s="250"/>
      <c r="L505" s="250"/>
      <c r="M505" s="250"/>
      <c r="N505" s="250"/>
      <c r="O505" s="250"/>
      <c r="P505" s="250"/>
      <c r="Q505" s="250"/>
      <c r="R505" s="250"/>
      <c r="S505" s="250"/>
      <c r="T505" s="250"/>
      <c r="U505" s="250"/>
      <c r="V505" s="250"/>
      <c r="W505" s="250"/>
      <c r="X505" s="250"/>
      <c r="Y505" s="250"/>
      <c r="Z505" s="250"/>
    </row>
    <row r="506" ht="14.25" customHeight="1">
      <c r="A506" s="250"/>
      <c r="B506" s="250"/>
      <c r="C506" s="250"/>
      <c r="D506" s="250"/>
      <c r="E506" s="250"/>
      <c r="F506" s="250"/>
      <c r="G506" s="250"/>
      <c r="H506" s="250"/>
      <c r="I506" s="250"/>
      <c r="J506" s="250"/>
      <c r="K506" s="250"/>
      <c r="L506" s="250"/>
      <c r="M506" s="250"/>
      <c r="N506" s="250"/>
      <c r="O506" s="250"/>
      <c r="P506" s="250"/>
      <c r="Q506" s="250"/>
      <c r="R506" s="250"/>
      <c r="S506" s="250"/>
      <c r="T506" s="250"/>
      <c r="U506" s="250"/>
      <c r="V506" s="250"/>
      <c r="W506" s="250"/>
      <c r="X506" s="250"/>
      <c r="Y506" s="250"/>
      <c r="Z506" s="250"/>
    </row>
    <row r="507" ht="14.25" customHeight="1">
      <c r="A507" s="250"/>
      <c r="B507" s="250"/>
      <c r="C507" s="250"/>
      <c r="D507" s="250"/>
      <c r="E507" s="250"/>
      <c r="F507" s="250"/>
      <c r="G507" s="250"/>
      <c r="H507" s="250"/>
      <c r="I507" s="250"/>
      <c r="J507" s="250"/>
      <c r="K507" s="250"/>
      <c r="L507" s="250"/>
      <c r="M507" s="250"/>
      <c r="N507" s="250"/>
      <c r="O507" s="250"/>
      <c r="P507" s="250"/>
      <c r="Q507" s="250"/>
      <c r="R507" s="250"/>
      <c r="S507" s="250"/>
      <c r="T507" s="250"/>
      <c r="U507" s="250"/>
      <c r="V507" s="250"/>
      <c r="W507" s="250"/>
      <c r="X507" s="250"/>
      <c r="Y507" s="250"/>
      <c r="Z507" s="250"/>
    </row>
    <row r="508" ht="14.25" customHeight="1">
      <c r="A508" s="250"/>
      <c r="B508" s="250"/>
      <c r="C508" s="250"/>
      <c r="D508" s="250"/>
      <c r="E508" s="250"/>
      <c r="F508" s="250"/>
      <c r="G508" s="250"/>
      <c r="H508" s="250"/>
      <c r="I508" s="250"/>
      <c r="J508" s="250"/>
      <c r="K508" s="250"/>
      <c r="L508" s="250"/>
      <c r="M508" s="250"/>
      <c r="N508" s="250"/>
      <c r="O508" s="250"/>
      <c r="P508" s="250"/>
      <c r="Q508" s="250"/>
      <c r="R508" s="250"/>
      <c r="S508" s="250"/>
      <c r="T508" s="250"/>
      <c r="U508" s="250"/>
      <c r="V508" s="250"/>
      <c r="W508" s="250"/>
      <c r="X508" s="250"/>
      <c r="Y508" s="250"/>
      <c r="Z508" s="250"/>
    </row>
    <row r="509" ht="14.25" customHeight="1">
      <c r="A509" s="250"/>
      <c r="B509" s="250"/>
      <c r="C509" s="250"/>
      <c r="D509" s="250"/>
      <c r="E509" s="250"/>
      <c r="F509" s="250"/>
      <c r="G509" s="250"/>
      <c r="H509" s="250"/>
      <c r="I509" s="250"/>
      <c r="J509" s="250"/>
      <c r="K509" s="250"/>
      <c r="L509" s="250"/>
      <c r="M509" s="250"/>
      <c r="N509" s="250"/>
      <c r="O509" s="250"/>
      <c r="P509" s="250"/>
      <c r="Q509" s="250"/>
      <c r="R509" s="250"/>
      <c r="S509" s="250"/>
      <c r="T509" s="250"/>
      <c r="U509" s="250"/>
      <c r="V509" s="250"/>
      <c r="W509" s="250"/>
      <c r="X509" s="250"/>
      <c r="Y509" s="250"/>
      <c r="Z509" s="250"/>
    </row>
    <row r="510" ht="14.25" customHeight="1">
      <c r="A510" s="250"/>
      <c r="B510" s="250"/>
      <c r="C510" s="250"/>
      <c r="D510" s="250"/>
      <c r="E510" s="250"/>
      <c r="F510" s="250"/>
      <c r="G510" s="250"/>
      <c r="H510" s="250"/>
      <c r="I510" s="250"/>
      <c r="J510" s="250"/>
      <c r="K510" s="250"/>
      <c r="L510" s="250"/>
      <c r="M510" s="250"/>
      <c r="N510" s="250"/>
      <c r="O510" s="250"/>
      <c r="P510" s="250"/>
      <c r="Q510" s="250"/>
      <c r="R510" s="250"/>
      <c r="S510" s="250"/>
      <c r="T510" s="250"/>
      <c r="U510" s="250"/>
      <c r="V510" s="250"/>
      <c r="W510" s="250"/>
      <c r="X510" s="250"/>
      <c r="Y510" s="250"/>
      <c r="Z510" s="250"/>
    </row>
    <row r="511" ht="14.25" customHeight="1">
      <c r="A511" s="250"/>
      <c r="B511" s="250"/>
      <c r="C511" s="250"/>
      <c r="D511" s="250"/>
      <c r="E511" s="250"/>
      <c r="F511" s="250"/>
      <c r="G511" s="250"/>
      <c r="H511" s="250"/>
      <c r="I511" s="250"/>
      <c r="J511" s="250"/>
      <c r="K511" s="250"/>
      <c r="L511" s="250"/>
      <c r="M511" s="250"/>
      <c r="N511" s="250"/>
      <c r="O511" s="250"/>
      <c r="P511" s="250"/>
      <c r="Q511" s="250"/>
      <c r="R511" s="250"/>
      <c r="S511" s="250"/>
      <c r="T511" s="250"/>
      <c r="U511" s="250"/>
      <c r="V511" s="250"/>
      <c r="W511" s="250"/>
      <c r="X511" s="250"/>
      <c r="Y511" s="250"/>
      <c r="Z511" s="250"/>
    </row>
    <row r="512" ht="14.25" customHeight="1">
      <c r="A512" s="250"/>
      <c r="B512" s="250"/>
      <c r="C512" s="250"/>
      <c r="D512" s="250"/>
      <c r="E512" s="250"/>
      <c r="F512" s="250"/>
      <c r="G512" s="250"/>
      <c r="H512" s="250"/>
      <c r="I512" s="250"/>
      <c r="J512" s="250"/>
      <c r="K512" s="250"/>
      <c r="L512" s="250"/>
      <c r="M512" s="250"/>
      <c r="N512" s="250"/>
      <c r="O512" s="250"/>
      <c r="P512" s="250"/>
      <c r="Q512" s="250"/>
      <c r="R512" s="250"/>
      <c r="S512" s="250"/>
      <c r="T512" s="250"/>
      <c r="U512" s="250"/>
      <c r="V512" s="250"/>
      <c r="W512" s="250"/>
      <c r="X512" s="250"/>
      <c r="Y512" s="250"/>
      <c r="Z512" s="250"/>
    </row>
    <row r="513" ht="14.25" customHeight="1">
      <c r="A513" s="250"/>
      <c r="B513" s="250"/>
      <c r="C513" s="250"/>
      <c r="D513" s="250"/>
      <c r="E513" s="250"/>
      <c r="F513" s="250"/>
      <c r="G513" s="250"/>
      <c r="H513" s="250"/>
      <c r="I513" s="250"/>
      <c r="J513" s="250"/>
      <c r="K513" s="250"/>
      <c r="L513" s="250"/>
      <c r="M513" s="250"/>
      <c r="N513" s="250"/>
      <c r="O513" s="250"/>
      <c r="P513" s="250"/>
      <c r="Q513" s="250"/>
      <c r="R513" s="250"/>
      <c r="S513" s="250"/>
      <c r="T513" s="250"/>
      <c r="U513" s="250"/>
      <c r="V513" s="250"/>
      <c r="W513" s="250"/>
      <c r="X513" s="250"/>
      <c r="Y513" s="250"/>
      <c r="Z513" s="250"/>
    </row>
    <row r="514" ht="14.25" customHeight="1">
      <c r="A514" s="250"/>
      <c r="B514" s="250"/>
      <c r="C514" s="250"/>
      <c r="D514" s="250"/>
      <c r="E514" s="250"/>
      <c r="F514" s="250"/>
      <c r="G514" s="250"/>
      <c r="H514" s="250"/>
      <c r="I514" s="250"/>
      <c r="J514" s="250"/>
      <c r="K514" s="250"/>
      <c r="L514" s="250"/>
      <c r="M514" s="250"/>
      <c r="N514" s="250"/>
      <c r="O514" s="250"/>
      <c r="P514" s="250"/>
      <c r="Q514" s="250"/>
      <c r="R514" s="250"/>
      <c r="S514" s="250"/>
      <c r="T514" s="250"/>
      <c r="U514" s="250"/>
      <c r="V514" s="250"/>
      <c r="W514" s="250"/>
      <c r="X514" s="250"/>
      <c r="Y514" s="250"/>
      <c r="Z514" s="250"/>
    </row>
    <row r="515" ht="14.25" customHeight="1">
      <c r="A515" s="250"/>
      <c r="B515" s="250"/>
      <c r="C515" s="250"/>
      <c r="D515" s="250"/>
      <c r="E515" s="250"/>
      <c r="F515" s="250"/>
      <c r="G515" s="250"/>
      <c r="H515" s="250"/>
      <c r="I515" s="250"/>
      <c r="J515" s="250"/>
      <c r="K515" s="250"/>
      <c r="L515" s="250"/>
      <c r="M515" s="250"/>
      <c r="N515" s="250"/>
      <c r="O515" s="250"/>
      <c r="P515" s="250"/>
      <c r="Q515" s="250"/>
      <c r="R515" s="250"/>
      <c r="S515" s="250"/>
      <c r="T515" s="250"/>
      <c r="U515" s="250"/>
      <c r="V515" s="250"/>
      <c r="W515" s="250"/>
      <c r="X515" s="250"/>
      <c r="Y515" s="250"/>
      <c r="Z515" s="250"/>
    </row>
    <row r="516" ht="14.25" customHeight="1">
      <c r="A516" s="250"/>
      <c r="B516" s="250"/>
      <c r="C516" s="250"/>
      <c r="D516" s="250"/>
      <c r="E516" s="250"/>
      <c r="F516" s="250"/>
      <c r="G516" s="250"/>
      <c r="H516" s="250"/>
      <c r="I516" s="250"/>
      <c r="J516" s="250"/>
      <c r="K516" s="250"/>
      <c r="L516" s="250"/>
      <c r="M516" s="250"/>
      <c r="N516" s="250"/>
      <c r="O516" s="250"/>
      <c r="P516" s="250"/>
      <c r="Q516" s="250"/>
      <c r="R516" s="250"/>
      <c r="S516" s="250"/>
      <c r="T516" s="250"/>
      <c r="U516" s="250"/>
      <c r="V516" s="250"/>
      <c r="W516" s="250"/>
      <c r="X516" s="250"/>
      <c r="Y516" s="250"/>
      <c r="Z516" s="250"/>
    </row>
    <row r="517" ht="14.25" customHeight="1">
      <c r="A517" s="250"/>
      <c r="B517" s="250"/>
      <c r="C517" s="250"/>
      <c r="D517" s="250"/>
      <c r="E517" s="250"/>
      <c r="F517" s="250"/>
      <c r="G517" s="250"/>
      <c r="H517" s="250"/>
      <c r="I517" s="250"/>
      <c r="J517" s="250"/>
      <c r="K517" s="250"/>
      <c r="L517" s="250"/>
      <c r="M517" s="250"/>
      <c r="N517" s="250"/>
      <c r="O517" s="250"/>
      <c r="P517" s="250"/>
      <c r="Q517" s="250"/>
      <c r="R517" s="250"/>
      <c r="S517" s="250"/>
      <c r="T517" s="250"/>
      <c r="U517" s="250"/>
      <c r="V517" s="250"/>
      <c r="W517" s="250"/>
      <c r="X517" s="250"/>
      <c r="Y517" s="250"/>
      <c r="Z517" s="250"/>
    </row>
    <row r="518" ht="14.25" customHeight="1">
      <c r="A518" s="250"/>
      <c r="B518" s="250"/>
      <c r="C518" s="250"/>
      <c r="D518" s="250"/>
      <c r="E518" s="250"/>
      <c r="F518" s="250"/>
      <c r="G518" s="250"/>
      <c r="H518" s="250"/>
      <c r="I518" s="250"/>
      <c r="J518" s="250"/>
      <c r="K518" s="250"/>
      <c r="L518" s="250"/>
      <c r="M518" s="250"/>
      <c r="N518" s="250"/>
      <c r="O518" s="250"/>
      <c r="P518" s="250"/>
      <c r="Q518" s="250"/>
      <c r="R518" s="250"/>
      <c r="S518" s="250"/>
      <c r="T518" s="250"/>
      <c r="U518" s="250"/>
      <c r="V518" s="250"/>
      <c r="W518" s="250"/>
      <c r="X518" s="250"/>
      <c r="Y518" s="250"/>
      <c r="Z518" s="250"/>
    </row>
    <row r="519" ht="14.25" customHeight="1">
      <c r="A519" s="250"/>
      <c r="B519" s="250"/>
      <c r="C519" s="250"/>
      <c r="D519" s="250"/>
      <c r="E519" s="250"/>
      <c r="F519" s="250"/>
      <c r="G519" s="250"/>
      <c r="H519" s="250"/>
      <c r="I519" s="250"/>
      <c r="J519" s="250"/>
      <c r="K519" s="250"/>
      <c r="L519" s="250"/>
      <c r="M519" s="250"/>
      <c r="N519" s="250"/>
      <c r="O519" s="250"/>
      <c r="P519" s="250"/>
      <c r="Q519" s="250"/>
      <c r="R519" s="250"/>
      <c r="S519" s="250"/>
      <c r="T519" s="250"/>
      <c r="U519" s="250"/>
      <c r="V519" s="250"/>
      <c r="W519" s="250"/>
      <c r="X519" s="250"/>
      <c r="Y519" s="250"/>
      <c r="Z519" s="250"/>
    </row>
    <row r="520" ht="14.25" customHeight="1">
      <c r="A520" s="250"/>
      <c r="B520" s="250"/>
      <c r="C520" s="250"/>
      <c r="D520" s="250"/>
      <c r="E520" s="250"/>
      <c r="F520" s="250"/>
      <c r="G520" s="250"/>
      <c r="H520" s="250"/>
      <c r="I520" s="250"/>
      <c r="J520" s="250"/>
      <c r="K520" s="250"/>
      <c r="L520" s="250"/>
      <c r="M520" s="250"/>
      <c r="N520" s="250"/>
      <c r="O520" s="250"/>
      <c r="P520" s="250"/>
      <c r="Q520" s="250"/>
      <c r="R520" s="250"/>
      <c r="S520" s="250"/>
      <c r="T520" s="250"/>
      <c r="U520" s="250"/>
      <c r="V520" s="250"/>
      <c r="W520" s="250"/>
      <c r="X520" s="250"/>
      <c r="Y520" s="250"/>
      <c r="Z520" s="250"/>
    </row>
    <row r="521" ht="14.25" customHeight="1">
      <c r="A521" s="250"/>
      <c r="B521" s="250"/>
      <c r="C521" s="250"/>
      <c r="D521" s="250"/>
      <c r="E521" s="250"/>
      <c r="F521" s="250"/>
      <c r="G521" s="250"/>
      <c r="H521" s="250"/>
      <c r="I521" s="250"/>
      <c r="J521" s="250"/>
      <c r="K521" s="250"/>
      <c r="L521" s="250"/>
      <c r="M521" s="250"/>
      <c r="N521" s="250"/>
      <c r="O521" s="250"/>
      <c r="P521" s="250"/>
      <c r="Q521" s="250"/>
      <c r="R521" s="250"/>
      <c r="S521" s="250"/>
      <c r="T521" s="250"/>
      <c r="U521" s="250"/>
      <c r="V521" s="250"/>
      <c r="W521" s="250"/>
      <c r="X521" s="250"/>
      <c r="Y521" s="250"/>
      <c r="Z521" s="250"/>
    </row>
    <row r="522" ht="14.25" customHeight="1">
      <c r="A522" s="250"/>
      <c r="B522" s="250"/>
      <c r="C522" s="250"/>
      <c r="D522" s="250"/>
      <c r="E522" s="250"/>
      <c r="F522" s="250"/>
      <c r="G522" s="250"/>
      <c r="H522" s="250"/>
      <c r="I522" s="250"/>
      <c r="J522" s="250"/>
      <c r="K522" s="250"/>
      <c r="L522" s="250"/>
      <c r="M522" s="250"/>
      <c r="N522" s="250"/>
      <c r="O522" s="250"/>
      <c r="P522" s="250"/>
      <c r="Q522" s="250"/>
      <c r="R522" s="250"/>
      <c r="S522" s="250"/>
      <c r="T522" s="250"/>
      <c r="U522" s="250"/>
      <c r="V522" s="250"/>
      <c r="W522" s="250"/>
      <c r="X522" s="250"/>
      <c r="Y522" s="250"/>
      <c r="Z522" s="250"/>
    </row>
    <row r="523" ht="14.25" customHeight="1">
      <c r="A523" s="250"/>
      <c r="B523" s="250"/>
      <c r="C523" s="250"/>
      <c r="D523" s="250"/>
      <c r="E523" s="250"/>
      <c r="F523" s="250"/>
      <c r="G523" s="250"/>
      <c r="H523" s="250"/>
      <c r="I523" s="250"/>
      <c r="J523" s="250"/>
      <c r="K523" s="250"/>
      <c r="L523" s="250"/>
      <c r="M523" s="250"/>
      <c r="N523" s="250"/>
      <c r="O523" s="250"/>
      <c r="P523" s="250"/>
      <c r="Q523" s="250"/>
      <c r="R523" s="250"/>
      <c r="S523" s="250"/>
      <c r="T523" s="250"/>
      <c r="U523" s="250"/>
      <c r="V523" s="250"/>
      <c r="W523" s="250"/>
      <c r="X523" s="250"/>
      <c r="Y523" s="250"/>
      <c r="Z523" s="250"/>
    </row>
    <row r="524" ht="14.25" customHeight="1">
      <c r="A524" s="250"/>
      <c r="B524" s="250"/>
      <c r="C524" s="250"/>
      <c r="D524" s="250"/>
      <c r="E524" s="250"/>
      <c r="F524" s="250"/>
      <c r="G524" s="250"/>
      <c r="H524" s="250"/>
      <c r="I524" s="250"/>
      <c r="J524" s="250"/>
      <c r="K524" s="250"/>
      <c r="L524" s="250"/>
      <c r="M524" s="250"/>
      <c r="N524" s="250"/>
      <c r="O524" s="250"/>
      <c r="P524" s="250"/>
      <c r="Q524" s="250"/>
      <c r="R524" s="250"/>
      <c r="S524" s="250"/>
      <c r="T524" s="250"/>
      <c r="U524" s="250"/>
      <c r="V524" s="250"/>
      <c r="W524" s="250"/>
      <c r="X524" s="250"/>
      <c r="Y524" s="250"/>
      <c r="Z524" s="250"/>
    </row>
    <row r="525" ht="14.25" customHeight="1">
      <c r="A525" s="250"/>
      <c r="B525" s="250"/>
      <c r="C525" s="250"/>
      <c r="D525" s="250"/>
      <c r="E525" s="250"/>
      <c r="F525" s="250"/>
      <c r="G525" s="250"/>
      <c r="H525" s="250"/>
      <c r="I525" s="250"/>
      <c r="J525" s="250"/>
      <c r="K525" s="250"/>
      <c r="L525" s="250"/>
      <c r="M525" s="250"/>
      <c r="N525" s="250"/>
      <c r="O525" s="250"/>
      <c r="P525" s="250"/>
      <c r="Q525" s="250"/>
      <c r="R525" s="250"/>
      <c r="S525" s="250"/>
      <c r="T525" s="250"/>
      <c r="U525" s="250"/>
      <c r="V525" s="250"/>
      <c r="W525" s="250"/>
      <c r="X525" s="250"/>
      <c r="Y525" s="250"/>
      <c r="Z525" s="250"/>
    </row>
    <row r="526" ht="14.25" customHeight="1">
      <c r="A526" s="250"/>
      <c r="B526" s="250"/>
      <c r="C526" s="250"/>
      <c r="D526" s="250"/>
      <c r="E526" s="250"/>
      <c r="F526" s="250"/>
      <c r="G526" s="250"/>
      <c r="H526" s="250"/>
      <c r="I526" s="250"/>
      <c r="J526" s="250"/>
      <c r="K526" s="250"/>
      <c r="L526" s="250"/>
      <c r="M526" s="250"/>
      <c r="N526" s="250"/>
      <c r="O526" s="250"/>
      <c r="P526" s="250"/>
      <c r="Q526" s="250"/>
      <c r="R526" s="250"/>
      <c r="S526" s="250"/>
      <c r="T526" s="250"/>
      <c r="U526" s="250"/>
      <c r="V526" s="250"/>
      <c r="W526" s="250"/>
      <c r="X526" s="250"/>
      <c r="Y526" s="250"/>
      <c r="Z526" s="250"/>
    </row>
    <row r="527" ht="14.25" customHeight="1">
      <c r="A527" s="250"/>
      <c r="B527" s="250"/>
      <c r="C527" s="250"/>
      <c r="D527" s="250"/>
      <c r="E527" s="250"/>
      <c r="F527" s="250"/>
      <c r="G527" s="250"/>
      <c r="H527" s="250"/>
      <c r="I527" s="250"/>
      <c r="J527" s="250"/>
      <c r="K527" s="250"/>
      <c r="L527" s="250"/>
      <c r="M527" s="250"/>
      <c r="N527" s="250"/>
      <c r="O527" s="250"/>
      <c r="P527" s="250"/>
      <c r="Q527" s="250"/>
      <c r="R527" s="250"/>
      <c r="S527" s="250"/>
      <c r="T527" s="250"/>
      <c r="U527" s="250"/>
      <c r="V527" s="250"/>
      <c r="W527" s="250"/>
      <c r="X527" s="250"/>
      <c r="Y527" s="250"/>
      <c r="Z527" s="250"/>
    </row>
    <row r="528" ht="14.25" customHeight="1">
      <c r="A528" s="250"/>
      <c r="B528" s="250"/>
      <c r="C528" s="250"/>
      <c r="D528" s="250"/>
      <c r="E528" s="250"/>
      <c r="F528" s="250"/>
      <c r="G528" s="250"/>
      <c r="H528" s="250"/>
      <c r="I528" s="250"/>
      <c r="J528" s="250"/>
      <c r="K528" s="250"/>
      <c r="L528" s="250"/>
      <c r="M528" s="250"/>
      <c r="N528" s="250"/>
      <c r="O528" s="250"/>
      <c r="P528" s="250"/>
      <c r="Q528" s="250"/>
      <c r="R528" s="250"/>
      <c r="S528" s="250"/>
      <c r="T528" s="250"/>
      <c r="U528" s="250"/>
      <c r="V528" s="250"/>
      <c r="W528" s="250"/>
      <c r="X528" s="250"/>
      <c r="Y528" s="250"/>
      <c r="Z528" s="250"/>
    </row>
    <row r="529" ht="14.25" customHeight="1">
      <c r="A529" s="250"/>
      <c r="B529" s="250"/>
      <c r="C529" s="250"/>
      <c r="D529" s="250"/>
      <c r="E529" s="250"/>
      <c r="F529" s="250"/>
      <c r="G529" s="250"/>
      <c r="H529" s="250"/>
      <c r="I529" s="250"/>
      <c r="J529" s="250"/>
      <c r="K529" s="250"/>
      <c r="L529" s="250"/>
      <c r="M529" s="250"/>
      <c r="N529" s="250"/>
      <c r="O529" s="250"/>
      <c r="P529" s="250"/>
      <c r="Q529" s="250"/>
      <c r="R529" s="250"/>
      <c r="S529" s="250"/>
      <c r="T529" s="250"/>
      <c r="U529" s="250"/>
      <c r="V529" s="250"/>
      <c r="W529" s="250"/>
      <c r="X529" s="250"/>
      <c r="Y529" s="250"/>
      <c r="Z529" s="250"/>
    </row>
    <row r="530" ht="14.25" customHeight="1">
      <c r="A530" s="250"/>
      <c r="B530" s="250"/>
      <c r="C530" s="250"/>
      <c r="D530" s="250"/>
      <c r="E530" s="250"/>
      <c r="F530" s="250"/>
      <c r="G530" s="250"/>
      <c r="H530" s="250"/>
      <c r="I530" s="250"/>
      <c r="J530" s="250"/>
      <c r="K530" s="250"/>
      <c r="L530" s="250"/>
      <c r="M530" s="250"/>
      <c r="N530" s="250"/>
      <c r="O530" s="250"/>
      <c r="P530" s="250"/>
      <c r="Q530" s="250"/>
      <c r="R530" s="250"/>
      <c r="S530" s="250"/>
      <c r="T530" s="250"/>
      <c r="U530" s="250"/>
      <c r="V530" s="250"/>
      <c r="W530" s="250"/>
      <c r="X530" s="250"/>
      <c r="Y530" s="250"/>
      <c r="Z530" s="250"/>
    </row>
    <row r="531" ht="14.25" customHeight="1">
      <c r="A531" s="250"/>
      <c r="B531" s="250"/>
      <c r="C531" s="250"/>
      <c r="D531" s="250"/>
      <c r="E531" s="250"/>
      <c r="F531" s="250"/>
      <c r="G531" s="250"/>
      <c r="H531" s="250"/>
      <c r="I531" s="250"/>
      <c r="J531" s="250"/>
      <c r="K531" s="250"/>
      <c r="L531" s="250"/>
      <c r="M531" s="250"/>
      <c r="N531" s="250"/>
      <c r="O531" s="250"/>
      <c r="P531" s="250"/>
      <c r="Q531" s="250"/>
      <c r="R531" s="250"/>
      <c r="S531" s="250"/>
      <c r="T531" s="250"/>
      <c r="U531" s="250"/>
      <c r="V531" s="250"/>
      <c r="W531" s="250"/>
      <c r="X531" s="250"/>
      <c r="Y531" s="250"/>
      <c r="Z531" s="250"/>
    </row>
    <row r="532" ht="14.25" customHeight="1">
      <c r="A532" s="250"/>
      <c r="B532" s="250"/>
      <c r="C532" s="250"/>
      <c r="D532" s="250"/>
      <c r="E532" s="250"/>
      <c r="F532" s="250"/>
      <c r="G532" s="250"/>
      <c r="H532" s="250"/>
      <c r="I532" s="250"/>
      <c r="J532" s="250"/>
      <c r="K532" s="250"/>
      <c r="L532" s="250"/>
      <c r="M532" s="250"/>
      <c r="N532" s="250"/>
      <c r="O532" s="250"/>
      <c r="P532" s="250"/>
      <c r="Q532" s="250"/>
      <c r="R532" s="250"/>
      <c r="S532" s="250"/>
      <c r="T532" s="250"/>
      <c r="U532" s="250"/>
      <c r="V532" s="250"/>
      <c r="W532" s="250"/>
      <c r="X532" s="250"/>
      <c r="Y532" s="250"/>
      <c r="Z532" s="250"/>
    </row>
    <row r="533" ht="14.25" customHeight="1">
      <c r="A533" s="250"/>
      <c r="B533" s="250"/>
      <c r="C533" s="250"/>
      <c r="D533" s="250"/>
      <c r="E533" s="250"/>
      <c r="F533" s="250"/>
      <c r="G533" s="250"/>
      <c r="H533" s="250"/>
      <c r="I533" s="250"/>
      <c r="J533" s="250"/>
      <c r="K533" s="250"/>
      <c r="L533" s="250"/>
      <c r="M533" s="250"/>
      <c r="N533" s="250"/>
      <c r="O533" s="250"/>
      <c r="P533" s="250"/>
      <c r="Q533" s="250"/>
      <c r="R533" s="250"/>
      <c r="S533" s="250"/>
      <c r="T533" s="250"/>
      <c r="U533" s="250"/>
      <c r="V533" s="250"/>
      <c r="W533" s="250"/>
      <c r="X533" s="250"/>
      <c r="Y533" s="250"/>
      <c r="Z533" s="250"/>
    </row>
    <row r="534" ht="14.25" customHeight="1">
      <c r="A534" s="250"/>
      <c r="B534" s="250"/>
      <c r="C534" s="250"/>
      <c r="D534" s="250"/>
      <c r="E534" s="250"/>
      <c r="F534" s="250"/>
      <c r="G534" s="250"/>
      <c r="H534" s="250"/>
      <c r="I534" s="250"/>
      <c r="J534" s="250"/>
      <c r="K534" s="250"/>
      <c r="L534" s="250"/>
      <c r="M534" s="250"/>
      <c r="N534" s="250"/>
      <c r="O534" s="250"/>
      <c r="P534" s="250"/>
      <c r="Q534" s="250"/>
      <c r="R534" s="250"/>
      <c r="S534" s="250"/>
      <c r="T534" s="250"/>
      <c r="U534" s="250"/>
      <c r="V534" s="250"/>
      <c r="W534" s="250"/>
      <c r="X534" s="250"/>
      <c r="Y534" s="250"/>
      <c r="Z534" s="250"/>
    </row>
    <row r="535" ht="14.25" customHeight="1">
      <c r="A535" s="250"/>
      <c r="B535" s="250"/>
      <c r="C535" s="250"/>
      <c r="D535" s="250"/>
      <c r="E535" s="250"/>
      <c r="F535" s="250"/>
      <c r="G535" s="250"/>
      <c r="H535" s="250"/>
      <c r="I535" s="250"/>
      <c r="J535" s="250"/>
      <c r="K535" s="250"/>
      <c r="L535" s="250"/>
      <c r="M535" s="250"/>
      <c r="N535" s="250"/>
      <c r="O535" s="250"/>
      <c r="P535" s="250"/>
      <c r="Q535" s="250"/>
      <c r="R535" s="250"/>
      <c r="S535" s="250"/>
      <c r="T535" s="250"/>
      <c r="U535" s="250"/>
      <c r="V535" s="250"/>
      <c r="W535" s="250"/>
      <c r="X535" s="250"/>
      <c r="Y535" s="250"/>
      <c r="Z535" s="250"/>
    </row>
    <row r="536" ht="14.25" customHeight="1">
      <c r="A536" s="250"/>
      <c r="B536" s="250"/>
      <c r="C536" s="250"/>
      <c r="D536" s="250"/>
      <c r="E536" s="250"/>
      <c r="F536" s="250"/>
      <c r="G536" s="250"/>
      <c r="H536" s="250"/>
      <c r="I536" s="250"/>
      <c r="J536" s="250"/>
      <c r="K536" s="250"/>
      <c r="L536" s="250"/>
      <c r="M536" s="250"/>
      <c r="N536" s="250"/>
      <c r="O536" s="250"/>
      <c r="P536" s="250"/>
      <c r="Q536" s="250"/>
      <c r="R536" s="250"/>
      <c r="S536" s="250"/>
      <c r="T536" s="250"/>
      <c r="U536" s="250"/>
      <c r="V536" s="250"/>
      <c r="W536" s="250"/>
      <c r="X536" s="250"/>
      <c r="Y536" s="250"/>
      <c r="Z536" s="250"/>
    </row>
    <row r="537" ht="14.25" customHeight="1">
      <c r="A537" s="250"/>
      <c r="B537" s="250"/>
      <c r="C537" s="250"/>
      <c r="D537" s="250"/>
      <c r="E537" s="250"/>
      <c r="F537" s="250"/>
      <c r="G537" s="250"/>
      <c r="H537" s="250"/>
      <c r="I537" s="250"/>
      <c r="J537" s="250"/>
      <c r="K537" s="250"/>
      <c r="L537" s="250"/>
      <c r="M537" s="250"/>
      <c r="N537" s="250"/>
      <c r="O537" s="250"/>
      <c r="P537" s="250"/>
      <c r="Q537" s="250"/>
      <c r="R537" s="250"/>
      <c r="S537" s="250"/>
      <c r="T537" s="250"/>
      <c r="U537" s="250"/>
      <c r="V537" s="250"/>
      <c r="W537" s="250"/>
      <c r="X537" s="250"/>
      <c r="Y537" s="250"/>
      <c r="Z537" s="250"/>
    </row>
    <row r="538" ht="14.25" customHeight="1">
      <c r="A538" s="250"/>
      <c r="B538" s="250"/>
      <c r="C538" s="250"/>
      <c r="D538" s="250"/>
      <c r="E538" s="250"/>
      <c r="F538" s="250"/>
      <c r="G538" s="250"/>
      <c r="H538" s="250"/>
      <c r="I538" s="250"/>
      <c r="J538" s="250"/>
      <c r="K538" s="250"/>
      <c r="L538" s="250"/>
      <c r="M538" s="250"/>
      <c r="N538" s="250"/>
      <c r="O538" s="250"/>
      <c r="P538" s="250"/>
      <c r="Q538" s="250"/>
      <c r="R538" s="250"/>
      <c r="S538" s="250"/>
      <c r="T538" s="250"/>
      <c r="U538" s="250"/>
      <c r="V538" s="250"/>
      <c r="W538" s="250"/>
      <c r="X538" s="250"/>
      <c r="Y538" s="250"/>
      <c r="Z538" s="250"/>
    </row>
    <row r="539" ht="14.25" customHeight="1">
      <c r="A539" s="250"/>
      <c r="B539" s="250"/>
      <c r="C539" s="250"/>
      <c r="D539" s="250"/>
      <c r="E539" s="250"/>
      <c r="F539" s="250"/>
      <c r="G539" s="250"/>
      <c r="H539" s="250"/>
      <c r="I539" s="250"/>
      <c r="J539" s="250"/>
      <c r="K539" s="250"/>
      <c r="L539" s="250"/>
      <c r="M539" s="250"/>
      <c r="N539" s="250"/>
      <c r="O539" s="250"/>
      <c r="P539" s="250"/>
      <c r="Q539" s="250"/>
      <c r="R539" s="250"/>
      <c r="S539" s="250"/>
      <c r="T539" s="250"/>
      <c r="U539" s="250"/>
      <c r="V539" s="250"/>
      <c r="W539" s="250"/>
      <c r="X539" s="250"/>
      <c r="Y539" s="250"/>
      <c r="Z539" s="250"/>
    </row>
    <row r="540" ht="14.25" customHeight="1">
      <c r="A540" s="250"/>
      <c r="B540" s="250"/>
      <c r="C540" s="250"/>
      <c r="D540" s="250"/>
      <c r="E540" s="250"/>
      <c r="F540" s="250"/>
      <c r="G540" s="250"/>
      <c r="H540" s="250"/>
      <c r="I540" s="250"/>
      <c r="J540" s="250"/>
      <c r="K540" s="250"/>
      <c r="L540" s="250"/>
      <c r="M540" s="250"/>
      <c r="N540" s="250"/>
      <c r="O540" s="250"/>
      <c r="P540" s="250"/>
      <c r="Q540" s="250"/>
      <c r="R540" s="250"/>
      <c r="S540" s="250"/>
      <c r="T540" s="250"/>
      <c r="U540" s="250"/>
      <c r="V540" s="250"/>
      <c r="W540" s="250"/>
      <c r="X540" s="250"/>
      <c r="Y540" s="250"/>
      <c r="Z540" s="250"/>
    </row>
    <row r="541" ht="14.25" customHeight="1">
      <c r="A541" s="250"/>
      <c r="B541" s="250"/>
      <c r="C541" s="250"/>
      <c r="D541" s="250"/>
      <c r="E541" s="250"/>
      <c r="F541" s="250"/>
      <c r="G541" s="250"/>
      <c r="H541" s="250"/>
      <c r="I541" s="250"/>
      <c r="J541" s="250"/>
      <c r="K541" s="250"/>
      <c r="L541" s="250"/>
      <c r="M541" s="250"/>
      <c r="N541" s="250"/>
      <c r="O541" s="250"/>
      <c r="P541" s="250"/>
      <c r="Q541" s="250"/>
      <c r="R541" s="250"/>
      <c r="S541" s="250"/>
      <c r="T541" s="250"/>
      <c r="U541" s="250"/>
      <c r="V541" s="250"/>
      <c r="W541" s="250"/>
      <c r="X541" s="250"/>
      <c r="Y541" s="250"/>
      <c r="Z541" s="250"/>
    </row>
    <row r="542" ht="14.25" customHeight="1">
      <c r="A542" s="250"/>
      <c r="B542" s="250"/>
      <c r="C542" s="250"/>
      <c r="D542" s="250"/>
      <c r="E542" s="250"/>
      <c r="F542" s="250"/>
      <c r="G542" s="250"/>
      <c r="H542" s="250"/>
      <c r="I542" s="250"/>
      <c r="J542" s="250"/>
      <c r="K542" s="250"/>
      <c r="L542" s="250"/>
      <c r="M542" s="250"/>
      <c r="N542" s="250"/>
      <c r="O542" s="250"/>
      <c r="P542" s="250"/>
      <c r="Q542" s="250"/>
      <c r="R542" s="250"/>
      <c r="S542" s="250"/>
      <c r="T542" s="250"/>
      <c r="U542" s="250"/>
      <c r="V542" s="250"/>
      <c r="W542" s="250"/>
      <c r="X542" s="250"/>
      <c r="Y542" s="250"/>
      <c r="Z542" s="250"/>
    </row>
    <row r="543" ht="14.25" customHeight="1">
      <c r="A543" s="250"/>
      <c r="B543" s="250"/>
      <c r="C543" s="250"/>
      <c r="D543" s="250"/>
      <c r="E543" s="250"/>
      <c r="F543" s="250"/>
      <c r="G543" s="250"/>
      <c r="H543" s="250"/>
      <c r="I543" s="250"/>
      <c r="J543" s="250"/>
      <c r="K543" s="250"/>
      <c r="L543" s="250"/>
      <c r="M543" s="250"/>
      <c r="N543" s="250"/>
      <c r="O543" s="250"/>
      <c r="P543" s="250"/>
      <c r="Q543" s="250"/>
      <c r="R543" s="250"/>
      <c r="S543" s="250"/>
      <c r="T543" s="250"/>
      <c r="U543" s="250"/>
      <c r="V543" s="250"/>
      <c r="W543" s="250"/>
      <c r="X543" s="250"/>
      <c r="Y543" s="250"/>
      <c r="Z543" s="250"/>
    </row>
    <row r="544" ht="14.25" customHeight="1">
      <c r="A544" s="250"/>
      <c r="B544" s="250"/>
      <c r="C544" s="250"/>
      <c r="D544" s="250"/>
      <c r="E544" s="250"/>
      <c r="F544" s="250"/>
      <c r="G544" s="250"/>
      <c r="H544" s="250"/>
      <c r="I544" s="250"/>
      <c r="J544" s="250"/>
      <c r="K544" s="250"/>
      <c r="L544" s="250"/>
      <c r="M544" s="250"/>
      <c r="N544" s="250"/>
      <c r="O544" s="250"/>
      <c r="P544" s="250"/>
      <c r="Q544" s="250"/>
      <c r="R544" s="250"/>
      <c r="S544" s="250"/>
      <c r="T544" s="250"/>
      <c r="U544" s="250"/>
      <c r="V544" s="250"/>
      <c r="W544" s="250"/>
      <c r="X544" s="250"/>
      <c r="Y544" s="250"/>
      <c r="Z544" s="250"/>
    </row>
    <row r="545" ht="14.25" customHeight="1">
      <c r="A545" s="250"/>
      <c r="B545" s="250"/>
      <c r="C545" s="250"/>
      <c r="D545" s="250"/>
      <c r="E545" s="250"/>
      <c r="F545" s="250"/>
      <c r="G545" s="250"/>
      <c r="H545" s="250"/>
      <c r="I545" s="250"/>
      <c r="J545" s="250"/>
      <c r="K545" s="250"/>
      <c r="L545" s="250"/>
      <c r="M545" s="250"/>
      <c r="N545" s="250"/>
      <c r="O545" s="250"/>
      <c r="P545" s="250"/>
      <c r="Q545" s="250"/>
      <c r="R545" s="250"/>
      <c r="S545" s="250"/>
      <c r="T545" s="250"/>
      <c r="U545" s="250"/>
      <c r="V545" s="250"/>
      <c r="W545" s="250"/>
      <c r="X545" s="250"/>
      <c r="Y545" s="250"/>
      <c r="Z545" s="250"/>
    </row>
    <row r="546" ht="14.25" customHeight="1">
      <c r="A546" s="250"/>
      <c r="B546" s="250"/>
      <c r="C546" s="250"/>
      <c r="D546" s="250"/>
      <c r="E546" s="250"/>
      <c r="F546" s="250"/>
      <c r="G546" s="250"/>
      <c r="H546" s="250"/>
      <c r="I546" s="250"/>
      <c r="J546" s="250"/>
      <c r="K546" s="250"/>
      <c r="L546" s="250"/>
      <c r="M546" s="250"/>
      <c r="N546" s="250"/>
      <c r="O546" s="250"/>
      <c r="P546" s="250"/>
      <c r="Q546" s="250"/>
      <c r="R546" s="250"/>
      <c r="S546" s="250"/>
      <c r="T546" s="250"/>
      <c r="U546" s="250"/>
      <c r="V546" s="250"/>
      <c r="W546" s="250"/>
      <c r="X546" s="250"/>
      <c r="Y546" s="250"/>
      <c r="Z546" s="250"/>
    </row>
    <row r="547" ht="14.25" customHeight="1">
      <c r="A547" s="250"/>
      <c r="B547" s="250"/>
      <c r="C547" s="250"/>
      <c r="D547" s="250"/>
      <c r="E547" s="250"/>
      <c r="F547" s="250"/>
      <c r="G547" s="250"/>
      <c r="H547" s="250"/>
      <c r="I547" s="250"/>
      <c r="J547" s="250"/>
      <c r="K547" s="250"/>
      <c r="L547" s="250"/>
      <c r="M547" s="250"/>
      <c r="N547" s="250"/>
      <c r="O547" s="250"/>
      <c r="P547" s="250"/>
      <c r="Q547" s="250"/>
      <c r="R547" s="250"/>
      <c r="S547" s="250"/>
      <c r="T547" s="250"/>
      <c r="U547" s="250"/>
      <c r="V547" s="250"/>
      <c r="W547" s="250"/>
      <c r="X547" s="250"/>
      <c r="Y547" s="250"/>
      <c r="Z547" s="250"/>
    </row>
    <row r="548" ht="14.25" customHeight="1">
      <c r="A548" s="250"/>
      <c r="B548" s="250"/>
      <c r="C548" s="250"/>
      <c r="D548" s="250"/>
      <c r="E548" s="250"/>
      <c r="F548" s="250"/>
      <c r="G548" s="250"/>
      <c r="H548" s="250"/>
      <c r="I548" s="250"/>
      <c r="J548" s="250"/>
      <c r="K548" s="250"/>
      <c r="L548" s="250"/>
      <c r="M548" s="250"/>
      <c r="N548" s="250"/>
      <c r="O548" s="250"/>
      <c r="P548" s="250"/>
      <c r="Q548" s="250"/>
      <c r="R548" s="250"/>
      <c r="S548" s="250"/>
      <c r="T548" s="250"/>
      <c r="U548" s="250"/>
      <c r="V548" s="250"/>
      <c r="W548" s="250"/>
      <c r="X548" s="250"/>
      <c r="Y548" s="250"/>
      <c r="Z548" s="250"/>
    </row>
    <row r="549" ht="14.25" customHeight="1">
      <c r="A549" s="250"/>
      <c r="B549" s="250"/>
      <c r="C549" s="250"/>
      <c r="D549" s="250"/>
      <c r="E549" s="250"/>
      <c r="F549" s="250"/>
      <c r="G549" s="250"/>
      <c r="H549" s="250"/>
      <c r="I549" s="250"/>
      <c r="J549" s="250"/>
      <c r="K549" s="250"/>
      <c r="L549" s="250"/>
      <c r="M549" s="250"/>
      <c r="N549" s="250"/>
      <c r="O549" s="250"/>
      <c r="P549" s="250"/>
      <c r="Q549" s="250"/>
      <c r="R549" s="250"/>
      <c r="S549" s="250"/>
      <c r="T549" s="250"/>
      <c r="U549" s="250"/>
      <c r="V549" s="250"/>
      <c r="W549" s="250"/>
      <c r="X549" s="250"/>
      <c r="Y549" s="250"/>
      <c r="Z549" s="250"/>
    </row>
    <row r="550" ht="14.25" customHeight="1">
      <c r="A550" s="250"/>
      <c r="B550" s="250"/>
      <c r="C550" s="250"/>
      <c r="D550" s="250"/>
      <c r="E550" s="250"/>
      <c r="F550" s="250"/>
      <c r="G550" s="250"/>
      <c r="H550" s="250"/>
      <c r="I550" s="250"/>
      <c r="J550" s="250"/>
      <c r="K550" s="250"/>
      <c r="L550" s="250"/>
      <c r="M550" s="250"/>
      <c r="N550" s="250"/>
      <c r="O550" s="250"/>
      <c r="P550" s="250"/>
      <c r="Q550" s="250"/>
      <c r="R550" s="250"/>
      <c r="S550" s="250"/>
      <c r="T550" s="250"/>
      <c r="U550" s="250"/>
      <c r="V550" s="250"/>
      <c r="W550" s="250"/>
      <c r="X550" s="250"/>
      <c r="Y550" s="250"/>
      <c r="Z550" s="250"/>
    </row>
    <row r="551" ht="14.25" customHeight="1">
      <c r="A551" s="250"/>
      <c r="B551" s="250"/>
      <c r="C551" s="250"/>
      <c r="D551" s="250"/>
      <c r="E551" s="250"/>
      <c r="F551" s="250"/>
      <c r="G551" s="250"/>
      <c r="H551" s="250"/>
      <c r="I551" s="250"/>
      <c r="J551" s="250"/>
      <c r="K551" s="250"/>
      <c r="L551" s="250"/>
      <c r="M551" s="250"/>
      <c r="N551" s="250"/>
      <c r="O551" s="250"/>
      <c r="P551" s="250"/>
      <c r="Q551" s="250"/>
      <c r="R551" s="250"/>
      <c r="S551" s="250"/>
      <c r="T551" s="250"/>
      <c r="U551" s="250"/>
      <c r="V551" s="250"/>
      <c r="W551" s="250"/>
      <c r="X551" s="250"/>
      <c r="Y551" s="250"/>
      <c r="Z551" s="250"/>
    </row>
    <row r="552" ht="14.25" customHeight="1">
      <c r="A552" s="250"/>
      <c r="B552" s="250"/>
      <c r="C552" s="250"/>
      <c r="D552" s="250"/>
      <c r="E552" s="250"/>
      <c r="F552" s="250"/>
      <c r="G552" s="250"/>
      <c r="H552" s="250"/>
      <c r="I552" s="250"/>
      <c r="J552" s="250"/>
      <c r="K552" s="250"/>
      <c r="L552" s="250"/>
      <c r="M552" s="250"/>
      <c r="N552" s="250"/>
      <c r="O552" s="250"/>
      <c r="P552" s="250"/>
      <c r="Q552" s="250"/>
      <c r="R552" s="250"/>
      <c r="S552" s="250"/>
      <c r="T552" s="250"/>
      <c r="U552" s="250"/>
      <c r="V552" s="250"/>
      <c r="W552" s="250"/>
      <c r="X552" s="250"/>
      <c r="Y552" s="250"/>
      <c r="Z552" s="250"/>
    </row>
    <row r="553" ht="14.25" customHeight="1">
      <c r="A553" s="250"/>
      <c r="B553" s="250"/>
      <c r="C553" s="250"/>
      <c r="D553" s="250"/>
      <c r="E553" s="250"/>
      <c r="F553" s="250"/>
      <c r="G553" s="250"/>
      <c r="H553" s="250"/>
      <c r="I553" s="250"/>
      <c r="J553" s="250"/>
      <c r="K553" s="250"/>
      <c r="L553" s="250"/>
      <c r="M553" s="250"/>
      <c r="N553" s="250"/>
      <c r="O553" s="250"/>
      <c r="P553" s="250"/>
      <c r="Q553" s="250"/>
      <c r="R553" s="250"/>
      <c r="S553" s="250"/>
      <c r="T553" s="250"/>
      <c r="U553" s="250"/>
      <c r="V553" s="250"/>
      <c r="W553" s="250"/>
      <c r="X553" s="250"/>
      <c r="Y553" s="250"/>
      <c r="Z553" s="250"/>
    </row>
    <row r="554" ht="14.25" customHeight="1">
      <c r="A554" s="250"/>
      <c r="B554" s="250"/>
      <c r="C554" s="250"/>
      <c r="D554" s="250"/>
      <c r="E554" s="250"/>
      <c r="F554" s="250"/>
      <c r="G554" s="250"/>
      <c r="H554" s="250"/>
      <c r="I554" s="250"/>
      <c r="J554" s="250"/>
      <c r="K554" s="250"/>
      <c r="L554" s="250"/>
      <c r="M554" s="250"/>
      <c r="N554" s="250"/>
      <c r="O554" s="250"/>
      <c r="P554" s="250"/>
      <c r="Q554" s="250"/>
      <c r="R554" s="250"/>
      <c r="S554" s="250"/>
      <c r="T554" s="250"/>
      <c r="U554" s="250"/>
      <c r="V554" s="250"/>
      <c r="W554" s="250"/>
      <c r="X554" s="250"/>
      <c r="Y554" s="250"/>
      <c r="Z554" s="250"/>
    </row>
    <row r="555" ht="14.25" customHeight="1">
      <c r="A555" s="250"/>
      <c r="B555" s="250"/>
      <c r="C555" s="250"/>
      <c r="D555" s="250"/>
      <c r="E555" s="250"/>
      <c r="F555" s="250"/>
      <c r="G555" s="250"/>
      <c r="H555" s="250"/>
      <c r="I555" s="250"/>
      <c r="J555" s="250"/>
      <c r="K555" s="250"/>
      <c r="L555" s="250"/>
      <c r="M555" s="250"/>
      <c r="N555" s="250"/>
      <c r="O555" s="250"/>
      <c r="P555" s="250"/>
      <c r="Q555" s="250"/>
      <c r="R555" s="250"/>
      <c r="S555" s="250"/>
      <c r="T555" s="250"/>
      <c r="U555" s="250"/>
      <c r="V555" s="250"/>
      <c r="W555" s="250"/>
      <c r="X555" s="250"/>
      <c r="Y555" s="250"/>
      <c r="Z555" s="250"/>
    </row>
    <row r="556" ht="14.25" customHeight="1">
      <c r="A556" s="250"/>
      <c r="B556" s="250"/>
      <c r="C556" s="250"/>
      <c r="D556" s="250"/>
      <c r="E556" s="250"/>
      <c r="F556" s="250"/>
      <c r="G556" s="250"/>
      <c r="H556" s="250"/>
      <c r="I556" s="250"/>
      <c r="J556" s="250"/>
      <c r="K556" s="250"/>
      <c r="L556" s="250"/>
      <c r="M556" s="250"/>
      <c r="N556" s="250"/>
      <c r="O556" s="250"/>
      <c r="P556" s="250"/>
      <c r="Q556" s="250"/>
      <c r="R556" s="250"/>
      <c r="S556" s="250"/>
      <c r="T556" s="250"/>
      <c r="U556" s="250"/>
      <c r="V556" s="250"/>
      <c r="W556" s="250"/>
      <c r="X556" s="250"/>
      <c r="Y556" s="250"/>
      <c r="Z556" s="250"/>
    </row>
    <row r="557" ht="14.25" customHeight="1">
      <c r="A557" s="250"/>
      <c r="B557" s="250"/>
      <c r="C557" s="250"/>
      <c r="D557" s="250"/>
      <c r="E557" s="250"/>
      <c r="F557" s="250"/>
      <c r="G557" s="250"/>
      <c r="H557" s="250"/>
      <c r="I557" s="250"/>
      <c r="J557" s="250"/>
      <c r="K557" s="250"/>
      <c r="L557" s="250"/>
      <c r="M557" s="250"/>
      <c r="N557" s="250"/>
      <c r="O557" s="250"/>
      <c r="P557" s="250"/>
      <c r="Q557" s="250"/>
      <c r="R557" s="250"/>
      <c r="S557" s="250"/>
      <c r="T557" s="250"/>
      <c r="U557" s="250"/>
      <c r="V557" s="250"/>
      <c r="W557" s="250"/>
      <c r="X557" s="250"/>
      <c r="Y557" s="250"/>
      <c r="Z557" s="250"/>
    </row>
    <row r="558" ht="14.25" customHeight="1">
      <c r="A558" s="250"/>
      <c r="B558" s="250"/>
      <c r="C558" s="250"/>
      <c r="D558" s="250"/>
      <c r="E558" s="250"/>
      <c r="F558" s="250"/>
      <c r="G558" s="250"/>
      <c r="H558" s="250"/>
      <c r="I558" s="250"/>
      <c r="J558" s="250"/>
      <c r="K558" s="250"/>
      <c r="L558" s="250"/>
      <c r="M558" s="250"/>
      <c r="N558" s="250"/>
      <c r="O558" s="250"/>
      <c r="P558" s="250"/>
      <c r="Q558" s="250"/>
      <c r="R558" s="250"/>
      <c r="S558" s="250"/>
      <c r="T558" s="250"/>
      <c r="U558" s="250"/>
      <c r="V558" s="250"/>
      <c r="W558" s="250"/>
      <c r="X558" s="250"/>
      <c r="Y558" s="250"/>
      <c r="Z558" s="250"/>
    </row>
    <row r="559" ht="14.25" customHeight="1">
      <c r="A559" s="250"/>
      <c r="B559" s="250"/>
      <c r="C559" s="250"/>
      <c r="D559" s="250"/>
      <c r="E559" s="250"/>
      <c r="F559" s="250"/>
      <c r="G559" s="250"/>
      <c r="H559" s="250"/>
      <c r="I559" s="250"/>
      <c r="J559" s="250"/>
      <c r="K559" s="250"/>
      <c r="L559" s="250"/>
      <c r="M559" s="250"/>
      <c r="N559" s="250"/>
      <c r="O559" s="250"/>
      <c r="P559" s="250"/>
      <c r="Q559" s="250"/>
      <c r="R559" s="250"/>
      <c r="S559" s="250"/>
      <c r="T559" s="250"/>
      <c r="U559" s="250"/>
      <c r="V559" s="250"/>
      <c r="W559" s="250"/>
      <c r="X559" s="250"/>
      <c r="Y559" s="250"/>
      <c r="Z559" s="250"/>
    </row>
    <row r="560" ht="14.25" customHeight="1">
      <c r="A560" s="250"/>
      <c r="B560" s="250"/>
      <c r="C560" s="250"/>
      <c r="D560" s="250"/>
      <c r="E560" s="250"/>
      <c r="F560" s="250"/>
      <c r="G560" s="250"/>
      <c r="H560" s="250"/>
      <c r="I560" s="250"/>
      <c r="J560" s="250"/>
      <c r="K560" s="250"/>
      <c r="L560" s="250"/>
      <c r="M560" s="250"/>
      <c r="N560" s="250"/>
      <c r="O560" s="250"/>
      <c r="P560" s="250"/>
      <c r="Q560" s="250"/>
      <c r="R560" s="250"/>
      <c r="S560" s="250"/>
      <c r="T560" s="250"/>
      <c r="U560" s="250"/>
      <c r="V560" s="250"/>
      <c r="W560" s="250"/>
      <c r="X560" s="250"/>
      <c r="Y560" s="250"/>
      <c r="Z560" s="250"/>
    </row>
    <row r="561" ht="14.25" customHeight="1">
      <c r="A561" s="250"/>
      <c r="B561" s="250"/>
      <c r="C561" s="250"/>
      <c r="D561" s="250"/>
      <c r="E561" s="250"/>
      <c r="F561" s="250"/>
      <c r="G561" s="250"/>
      <c r="H561" s="250"/>
      <c r="I561" s="250"/>
      <c r="J561" s="250"/>
      <c r="K561" s="250"/>
      <c r="L561" s="250"/>
      <c r="M561" s="250"/>
      <c r="N561" s="250"/>
      <c r="O561" s="250"/>
      <c r="P561" s="250"/>
      <c r="Q561" s="250"/>
      <c r="R561" s="250"/>
      <c r="S561" s="250"/>
      <c r="T561" s="250"/>
      <c r="U561" s="250"/>
      <c r="V561" s="250"/>
      <c r="W561" s="250"/>
      <c r="X561" s="250"/>
      <c r="Y561" s="250"/>
      <c r="Z561" s="250"/>
    </row>
    <row r="562" ht="14.25" customHeight="1">
      <c r="A562" s="250"/>
      <c r="B562" s="250"/>
      <c r="C562" s="250"/>
      <c r="D562" s="250"/>
      <c r="E562" s="250"/>
      <c r="F562" s="250"/>
      <c r="G562" s="250"/>
      <c r="H562" s="250"/>
      <c r="I562" s="250"/>
      <c r="J562" s="250"/>
      <c r="K562" s="250"/>
      <c r="L562" s="250"/>
      <c r="M562" s="250"/>
      <c r="N562" s="250"/>
      <c r="O562" s="250"/>
      <c r="P562" s="250"/>
      <c r="Q562" s="250"/>
      <c r="R562" s="250"/>
      <c r="S562" s="250"/>
      <c r="T562" s="250"/>
      <c r="U562" s="250"/>
      <c r="V562" s="250"/>
      <c r="W562" s="250"/>
      <c r="X562" s="250"/>
      <c r="Y562" s="250"/>
      <c r="Z562" s="250"/>
    </row>
    <row r="563" ht="14.25" customHeight="1">
      <c r="A563" s="250"/>
      <c r="B563" s="250"/>
      <c r="C563" s="250"/>
      <c r="D563" s="250"/>
      <c r="E563" s="250"/>
      <c r="F563" s="250"/>
      <c r="G563" s="250"/>
      <c r="H563" s="250"/>
      <c r="I563" s="250"/>
      <c r="J563" s="250"/>
      <c r="K563" s="250"/>
      <c r="L563" s="250"/>
      <c r="M563" s="250"/>
      <c r="N563" s="250"/>
      <c r="O563" s="250"/>
      <c r="P563" s="250"/>
      <c r="Q563" s="250"/>
      <c r="R563" s="250"/>
      <c r="S563" s="250"/>
      <c r="T563" s="250"/>
      <c r="U563" s="250"/>
      <c r="V563" s="250"/>
      <c r="W563" s="250"/>
      <c r="X563" s="250"/>
      <c r="Y563" s="250"/>
      <c r="Z563" s="250"/>
    </row>
    <row r="564" ht="14.25" customHeight="1">
      <c r="A564" s="250"/>
      <c r="B564" s="250"/>
      <c r="C564" s="250"/>
      <c r="D564" s="250"/>
      <c r="E564" s="250"/>
      <c r="F564" s="250"/>
      <c r="G564" s="250"/>
      <c r="H564" s="250"/>
      <c r="I564" s="250"/>
      <c r="J564" s="250"/>
      <c r="K564" s="250"/>
      <c r="L564" s="250"/>
      <c r="M564" s="250"/>
      <c r="N564" s="250"/>
      <c r="O564" s="250"/>
      <c r="P564" s="250"/>
      <c r="Q564" s="250"/>
      <c r="R564" s="250"/>
      <c r="S564" s="250"/>
      <c r="T564" s="250"/>
      <c r="U564" s="250"/>
      <c r="V564" s="250"/>
      <c r="W564" s="250"/>
      <c r="X564" s="250"/>
      <c r="Y564" s="250"/>
      <c r="Z564" s="250"/>
    </row>
    <row r="565" ht="14.25" customHeight="1">
      <c r="A565" s="250"/>
      <c r="B565" s="250"/>
      <c r="C565" s="250"/>
      <c r="D565" s="250"/>
      <c r="E565" s="250"/>
      <c r="F565" s="250"/>
      <c r="G565" s="250"/>
      <c r="H565" s="250"/>
      <c r="I565" s="250"/>
      <c r="J565" s="250"/>
      <c r="K565" s="250"/>
      <c r="L565" s="250"/>
      <c r="M565" s="250"/>
      <c r="N565" s="250"/>
      <c r="O565" s="250"/>
      <c r="P565" s="250"/>
      <c r="Q565" s="250"/>
      <c r="R565" s="250"/>
      <c r="S565" s="250"/>
      <c r="T565" s="250"/>
      <c r="U565" s="250"/>
      <c r="V565" s="250"/>
      <c r="W565" s="250"/>
      <c r="X565" s="250"/>
      <c r="Y565" s="250"/>
      <c r="Z565" s="250"/>
    </row>
    <row r="566" ht="14.25" customHeight="1">
      <c r="A566" s="250"/>
      <c r="B566" s="250"/>
      <c r="C566" s="250"/>
      <c r="D566" s="250"/>
      <c r="E566" s="250"/>
      <c r="F566" s="250"/>
      <c r="G566" s="250"/>
      <c r="H566" s="250"/>
      <c r="I566" s="250"/>
      <c r="J566" s="250"/>
      <c r="K566" s="250"/>
      <c r="L566" s="250"/>
      <c r="M566" s="250"/>
      <c r="N566" s="250"/>
      <c r="O566" s="250"/>
      <c r="P566" s="250"/>
      <c r="Q566" s="250"/>
      <c r="R566" s="250"/>
      <c r="S566" s="250"/>
      <c r="T566" s="250"/>
      <c r="U566" s="250"/>
      <c r="V566" s="250"/>
      <c r="W566" s="250"/>
      <c r="X566" s="250"/>
      <c r="Y566" s="250"/>
      <c r="Z566" s="250"/>
    </row>
    <row r="567" ht="14.25" customHeight="1">
      <c r="A567" s="250"/>
      <c r="B567" s="250"/>
      <c r="C567" s="250"/>
      <c r="D567" s="250"/>
      <c r="E567" s="250"/>
      <c r="F567" s="250"/>
      <c r="G567" s="250"/>
      <c r="H567" s="250"/>
      <c r="I567" s="250"/>
      <c r="J567" s="250"/>
      <c r="K567" s="250"/>
      <c r="L567" s="250"/>
      <c r="M567" s="250"/>
      <c r="N567" s="250"/>
      <c r="O567" s="250"/>
      <c r="P567" s="250"/>
      <c r="Q567" s="250"/>
      <c r="R567" s="250"/>
      <c r="S567" s="250"/>
      <c r="T567" s="250"/>
      <c r="U567" s="250"/>
      <c r="V567" s="250"/>
      <c r="W567" s="250"/>
      <c r="X567" s="250"/>
      <c r="Y567" s="250"/>
      <c r="Z567" s="250"/>
    </row>
    <row r="568" ht="14.25" customHeight="1">
      <c r="A568" s="250"/>
      <c r="B568" s="250"/>
      <c r="C568" s="250"/>
      <c r="D568" s="250"/>
      <c r="E568" s="250"/>
      <c r="F568" s="250"/>
      <c r="G568" s="250"/>
      <c r="H568" s="250"/>
      <c r="I568" s="250"/>
      <c r="J568" s="250"/>
      <c r="K568" s="250"/>
      <c r="L568" s="250"/>
      <c r="M568" s="250"/>
      <c r="N568" s="250"/>
      <c r="O568" s="250"/>
      <c r="P568" s="250"/>
      <c r="Q568" s="250"/>
      <c r="R568" s="250"/>
      <c r="S568" s="250"/>
      <c r="T568" s="250"/>
      <c r="U568" s="250"/>
      <c r="V568" s="250"/>
      <c r="W568" s="250"/>
      <c r="X568" s="250"/>
      <c r="Y568" s="250"/>
      <c r="Z568" s="250"/>
    </row>
    <row r="569" ht="14.25" customHeight="1">
      <c r="A569" s="250"/>
      <c r="B569" s="250"/>
      <c r="C569" s="250"/>
      <c r="D569" s="250"/>
      <c r="E569" s="250"/>
      <c r="F569" s="250"/>
      <c r="G569" s="250"/>
      <c r="H569" s="250"/>
      <c r="I569" s="250"/>
      <c r="J569" s="250"/>
      <c r="K569" s="250"/>
      <c r="L569" s="250"/>
      <c r="M569" s="250"/>
      <c r="N569" s="250"/>
      <c r="O569" s="250"/>
      <c r="P569" s="250"/>
      <c r="Q569" s="250"/>
      <c r="R569" s="250"/>
      <c r="S569" s="250"/>
      <c r="T569" s="250"/>
      <c r="U569" s="250"/>
      <c r="V569" s="250"/>
      <c r="W569" s="250"/>
      <c r="X569" s="250"/>
      <c r="Y569" s="250"/>
      <c r="Z569" s="250"/>
    </row>
    <row r="570" ht="14.25" customHeight="1">
      <c r="A570" s="250"/>
      <c r="B570" s="250"/>
      <c r="C570" s="250"/>
      <c r="D570" s="250"/>
      <c r="E570" s="250"/>
      <c r="F570" s="250"/>
      <c r="G570" s="250"/>
      <c r="H570" s="250"/>
      <c r="I570" s="250"/>
      <c r="J570" s="250"/>
      <c r="K570" s="250"/>
      <c r="L570" s="250"/>
      <c r="M570" s="250"/>
      <c r="N570" s="250"/>
      <c r="O570" s="250"/>
      <c r="P570" s="250"/>
      <c r="Q570" s="250"/>
      <c r="R570" s="250"/>
      <c r="S570" s="250"/>
      <c r="T570" s="250"/>
      <c r="U570" s="250"/>
      <c r="V570" s="250"/>
      <c r="W570" s="250"/>
      <c r="X570" s="250"/>
      <c r="Y570" s="250"/>
      <c r="Z570" s="250"/>
    </row>
    <row r="571" ht="14.25" customHeight="1">
      <c r="A571" s="250"/>
      <c r="B571" s="250"/>
      <c r="C571" s="250"/>
      <c r="D571" s="250"/>
      <c r="E571" s="250"/>
      <c r="F571" s="250"/>
      <c r="G571" s="250"/>
      <c r="H571" s="250"/>
      <c r="I571" s="250"/>
      <c r="J571" s="250"/>
      <c r="K571" s="250"/>
      <c r="L571" s="250"/>
      <c r="M571" s="250"/>
      <c r="N571" s="250"/>
      <c r="O571" s="250"/>
      <c r="P571" s="250"/>
      <c r="Q571" s="250"/>
      <c r="R571" s="250"/>
      <c r="S571" s="250"/>
      <c r="T571" s="250"/>
      <c r="U571" s="250"/>
      <c r="V571" s="250"/>
      <c r="W571" s="250"/>
      <c r="X571" s="250"/>
      <c r="Y571" s="250"/>
      <c r="Z571" s="250"/>
    </row>
    <row r="572" ht="14.25" customHeight="1">
      <c r="A572" s="250"/>
      <c r="B572" s="250"/>
      <c r="C572" s="250"/>
      <c r="D572" s="250"/>
      <c r="E572" s="250"/>
      <c r="F572" s="250"/>
      <c r="G572" s="250"/>
      <c r="H572" s="250"/>
      <c r="I572" s="250"/>
      <c r="J572" s="250"/>
      <c r="K572" s="250"/>
      <c r="L572" s="250"/>
      <c r="M572" s="250"/>
      <c r="N572" s="250"/>
      <c r="O572" s="250"/>
      <c r="P572" s="250"/>
      <c r="Q572" s="250"/>
      <c r="R572" s="250"/>
      <c r="S572" s="250"/>
      <c r="T572" s="250"/>
      <c r="U572" s="250"/>
      <c r="V572" s="250"/>
      <c r="W572" s="250"/>
      <c r="X572" s="250"/>
      <c r="Y572" s="250"/>
      <c r="Z572" s="250"/>
    </row>
    <row r="573" ht="14.25" customHeight="1">
      <c r="A573" s="250"/>
      <c r="B573" s="250"/>
      <c r="C573" s="250"/>
      <c r="D573" s="250"/>
      <c r="E573" s="250"/>
      <c r="F573" s="250"/>
      <c r="G573" s="250"/>
      <c r="H573" s="250"/>
      <c r="I573" s="250"/>
      <c r="J573" s="250"/>
      <c r="K573" s="250"/>
      <c r="L573" s="250"/>
      <c r="M573" s="250"/>
      <c r="N573" s="250"/>
      <c r="O573" s="250"/>
      <c r="P573" s="250"/>
      <c r="Q573" s="250"/>
      <c r="R573" s="250"/>
      <c r="S573" s="250"/>
      <c r="T573" s="250"/>
      <c r="U573" s="250"/>
      <c r="V573" s="250"/>
      <c r="W573" s="250"/>
      <c r="X573" s="250"/>
      <c r="Y573" s="250"/>
      <c r="Z573" s="250"/>
    </row>
    <row r="574" ht="14.25" customHeight="1">
      <c r="A574" s="250"/>
      <c r="B574" s="250"/>
      <c r="C574" s="250"/>
      <c r="D574" s="250"/>
      <c r="E574" s="250"/>
      <c r="F574" s="250"/>
      <c r="G574" s="250"/>
      <c r="H574" s="250"/>
      <c r="I574" s="250"/>
      <c r="J574" s="250"/>
      <c r="K574" s="250"/>
      <c r="L574" s="250"/>
      <c r="M574" s="250"/>
      <c r="N574" s="250"/>
      <c r="O574" s="250"/>
      <c r="P574" s="250"/>
      <c r="Q574" s="250"/>
      <c r="R574" s="250"/>
      <c r="S574" s="250"/>
      <c r="T574" s="250"/>
      <c r="U574" s="250"/>
      <c r="V574" s="250"/>
      <c r="W574" s="250"/>
      <c r="X574" s="250"/>
      <c r="Y574" s="250"/>
      <c r="Z574" s="250"/>
    </row>
    <row r="575" ht="14.25" customHeight="1">
      <c r="A575" s="250"/>
      <c r="B575" s="250"/>
      <c r="C575" s="250"/>
      <c r="D575" s="250"/>
      <c r="E575" s="250"/>
      <c r="F575" s="250"/>
      <c r="G575" s="250"/>
      <c r="H575" s="250"/>
      <c r="I575" s="250"/>
      <c r="J575" s="250"/>
      <c r="K575" s="250"/>
      <c r="L575" s="250"/>
      <c r="M575" s="250"/>
      <c r="N575" s="250"/>
      <c r="O575" s="250"/>
      <c r="P575" s="250"/>
      <c r="Q575" s="250"/>
      <c r="R575" s="250"/>
      <c r="S575" s="250"/>
      <c r="T575" s="250"/>
      <c r="U575" s="250"/>
      <c r="V575" s="250"/>
      <c r="W575" s="250"/>
      <c r="X575" s="250"/>
      <c r="Y575" s="250"/>
      <c r="Z575" s="250"/>
    </row>
    <row r="576" ht="14.25" customHeight="1">
      <c r="A576" s="250"/>
      <c r="B576" s="250"/>
      <c r="C576" s="250"/>
      <c r="D576" s="250"/>
      <c r="E576" s="250"/>
      <c r="F576" s="250"/>
      <c r="G576" s="250"/>
      <c r="H576" s="250"/>
      <c r="I576" s="250"/>
      <c r="J576" s="250"/>
      <c r="K576" s="250"/>
      <c r="L576" s="250"/>
      <c r="M576" s="250"/>
      <c r="N576" s="250"/>
      <c r="O576" s="250"/>
      <c r="P576" s="250"/>
      <c r="Q576" s="250"/>
      <c r="R576" s="250"/>
      <c r="S576" s="250"/>
      <c r="T576" s="250"/>
      <c r="U576" s="250"/>
      <c r="V576" s="250"/>
      <c r="W576" s="250"/>
      <c r="X576" s="250"/>
      <c r="Y576" s="250"/>
      <c r="Z576" s="250"/>
    </row>
    <row r="577" ht="14.25" customHeight="1">
      <c r="A577" s="250"/>
      <c r="B577" s="250"/>
      <c r="C577" s="250"/>
      <c r="D577" s="250"/>
      <c r="E577" s="250"/>
      <c r="F577" s="250"/>
      <c r="G577" s="250"/>
      <c r="H577" s="250"/>
      <c r="I577" s="250"/>
      <c r="J577" s="250"/>
      <c r="K577" s="250"/>
      <c r="L577" s="250"/>
      <c r="M577" s="250"/>
      <c r="N577" s="250"/>
      <c r="O577" s="250"/>
      <c r="P577" s="250"/>
      <c r="Q577" s="250"/>
      <c r="R577" s="250"/>
      <c r="S577" s="250"/>
      <c r="T577" s="250"/>
      <c r="U577" s="250"/>
      <c r="V577" s="250"/>
      <c r="W577" s="250"/>
      <c r="X577" s="250"/>
      <c r="Y577" s="250"/>
      <c r="Z577" s="250"/>
    </row>
    <row r="578" ht="14.25" customHeight="1">
      <c r="A578" s="250"/>
      <c r="B578" s="250"/>
      <c r="C578" s="250"/>
      <c r="D578" s="250"/>
      <c r="E578" s="250"/>
      <c r="F578" s="250"/>
      <c r="G578" s="250"/>
      <c r="H578" s="250"/>
      <c r="I578" s="250"/>
      <c r="J578" s="250"/>
      <c r="K578" s="250"/>
      <c r="L578" s="250"/>
      <c r="M578" s="250"/>
      <c r="N578" s="250"/>
      <c r="O578" s="250"/>
      <c r="P578" s="250"/>
      <c r="Q578" s="250"/>
      <c r="R578" s="250"/>
      <c r="S578" s="250"/>
      <c r="T578" s="250"/>
      <c r="U578" s="250"/>
      <c r="V578" s="250"/>
      <c r="W578" s="250"/>
      <c r="X578" s="250"/>
      <c r="Y578" s="250"/>
      <c r="Z578" s="250"/>
    </row>
    <row r="579" ht="14.25" customHeight="1">
      <c r="A579" s="250"/>
      <c r="B579" s="250"/>
      <c r="C579" s="250"/>
      <c r="D579" s="250"/>
      <c r="E579" s="250"/>
      <c r="F579" s="250"/>
      <c r="G579" s="250"/>
      <c r="H579" s="250"/>
      <c r="I579" s="250"/>
      <c r="J579" s="250"/>
      <c r="K579" s="250"/>
      <c r="L579" s="250"/>
      <c r="M579" s="250"/>
      <c r="N579" s="250"/>
      <c r="O579" s="250"/>
      <c r="P579" s="250"/>
      <c r="Q579" s="250"/>
      <c r="R579" s="250"/>
      <c r="S579" s="250"/>
      <c r="T579" s="250"/>
      <c r="U579" s="250"/>
      <c r="V579" s="250"/>
      <c r="W579" s="250"/>
      <c r="X579" s="250"/>
      <c r="Y579" s="250"/>
      <c r="Z579" s="250"/>
    </row>
    <row r="580" ht="14.25" customHeight="1">
      <c r="A580" s="250"/>
      <c r="B580" s="250"/>
      <c r="C580" s="250"/>
      <c r="D580" s="250"/>
      <c r="E580" s="250"/>
      <c r="F580" s="250"/>
      <c r="G580" s="250"/>
      <c r="H580" s="250"/>
      <c r="I580" s="250"/>
      <c r="J580" s="250"/>
      <c r="K580" s="250"/>
      <c r="L580" s="250"/>
      <c r="M580" s="250"/>
      <c r="N580" s="250"/>
      <c r="O580" s="250"/>
      <c r="P580" s="250"/>
      <c r="Q580" s="250"/>
      <c r="R580" s="250"/>
      <c r="S580" s="250"/>
      <c r="T580" s="250"/>
      <c r="U580" s="250"/>
      <c r="V580" s="250"/>
      <c r="W580" s="250"/>
      <c r="X580" s="250"/>
      <c r="Y580" s="250"/>
      <c r="Z580" s="250"/>
    </row>
    <row r="581" ht="14.25" customHeight="1">
      <c r="A581" s="250"/>
      <c r="B581" s="250"/>
      <c r="C581" s="250"/>
      <c r="D581" s="250"/>
      <c r="E581" s="250"/>
      <c r="F581" s="250"/>
      <c r="G581" s="250"/>
      <c r="H581" s="250"/>
      <c r="I581" s="250"/>
      <c r="J581" s="250"/>
      <c r="K581" s="250"/>
      <c r="L581" s="250"/>
      <c r="M581" s="250"/>
      <c r="N581" s="250"/>
      <c r="O581" s="250"/>
      <c r="P581" s="250"/>
      <c r="Q581" s="250"/>
      <c r="R581" s="250"/>
      <c r="S581" s="250"/>
      <c r="T581" s="250"/>
      <c r="U581" s="250"/>
      <c r="V581" s="250"/>
      <c r="W581" s="250"/>
      <c r="X581" s="250"/>
      <c r="Y581" s="250"/>
      <c r="Z581" s="250"/>
    </row>
    <row r="582" ht="14.25" customHeight="1">
      <c r="A582" s="250"/>
      <c r="B582" s="250"/>
      <c r="C582" s="250"/>
      <c r="D582" s="250"/>
      <c r="E582" s="250"/>
      <c r="F582" s="250"/>
      <c r="G582" s="250"/>
      <c r="H582" s="250"/>
      <c r="I582" s="250"/>
      <c r="J582" s="250"/>
      <c r="K582" s="250"/>
      <c r="L582" s="250"/>
      <c r="M582" s="250"/>
      <c r="N582" s="250"/>
      <c r="O582" s="250"/>
      <c r="P582" s="250"/>
      <c r="Q582" s="250"/>
      <c r="R582" s="250"/>
      <c r="S582" s="250"/>
      <c r="T582" s="250"/>
      <c r="U582" s="250"/>
      <c r="V582" s="250"/>
      <c r="W582" s="250"/>
      <c r="X582" s="250"/>
      <c r="Y582" s="250"/>
      <c r="Z582" s="250"/>
    </row>
    <row r="583" ht="14.25" customHeight="1">
      <c r="A583" s="250"/>
      <c r="B583" s="250"/>
      <c r="C583" s="250"/>
      <c r="D583" s="250"/>
      <c r="E583" s="250"/>
      <c r="F583" s="250"/>
      <c r="G583" s="250"/>
      <c r="H583" s="250"/>
      <c r="I583" s="250"/>
      <c r="J583" s="250"/>
      <c r="K583" s="250"/>
      <c r="L583" s="250"/>
      <c r="M583" s="250"/>
      <c r="N583" s="250"/>
      <c r="O583" s="250"/>
      <c r="P583" s="250"/>
      <c r="Q583" s="250"/>
      <c r="R583" s="250"/>
      <c r="S583" s="250"/>
      <c r="T583" s="250"/>
      <c r="U583" s="250"/>
      <c r="V583" s="250"/>
      <c r="W583" s="250"/>
      <c r="X583" s="250"/>
      <c r="Y583" s="250"/>
      <c r="Z583" s="250"/>
    </row>
    <row r="584" ht="14.25" customHeight="1">
      <c r="A584" s="250"/>
      <c r="B584" s="250"/>
      <c r="C584" s="250"/>
      <c r="D584" s="250"/>
      <c r="E584" s="250"/>
      <c r="F584" s="250"/>
      <c r="G584" s="250"/>
      <c r="H584" s="250"/>
      <c r="I584" s="250"/>
      <c r="J584" s="250"/>
      <c r="K584" s="250"/>
      <c r="L584" s="250"/>
      <c r="M584" s="250"/>
      <c r="N584" s="250"/>
      <c r="O584" s="250"/>
      <c r="P584" s="250"/>
      <c r="Q584" s="250"/>
      <c r="R584" s="250"/>
      <c r="S584" s="250"/>
      <c r="T584" s="250"/>
      <c r="U584" s="250"/>
      <c r="V584" s="250"/>
      <c r="W584" s="250"/>
      <c r="X584" s="250"/>
      <c r="Y584" s="250"/>
      <c r="Z584" s="250"/>
    </row>
    <row r="585" ht="14.25" customHeight="1">
      <c r="A585" s="250"/>
      <c r="B585" s="250"/>
      <c r="C585" s="250"/>
      <c r="D585" s="250"/>
      <c r="E585" s="250"/>
      <c r="F585" s="250"/>
      <c r="G585" s="250"/>
      <c r="H585" s="250"/>
      <c r="I585" s="250"/>
      <c r="J585" s="250"/>
      <c r="K585" s="250"/>
      <c r="L585" s="250"/>
      <c r="M585" s="250"/>
      <c r="N585" s="250"/>
      <c r="O585" s="250"/>
      <c r="P585" s="250"/>
      <c r="Q585" s="250"/>
      <c r="R585" s="250"/>
      <c r="S585" s="250"/>
      <c r="T585" s="250"/>
      <c r="U585" s="250"/>
      <c r="V585" s="250"/>
      <c r="W585" s="250"/>
      <c r="X585" s="250"/>
      <c r="Y585" s="250"/>
      <c r="Z585" s="250"/>
    </row>
    <row r="586" ht="14.25" customHeight="1">
      <c r="A586" s="250"/>
      <c r="B586" s="250"/>
      <c r="C586" s="250"/>
      <c r="D586" s="250"/>
      <c r="E586" s="250"/>
      <c r="F586" s="250"/>
      <c r="G586" s="250"/>
      <c r="H586" s="250"/>
      <c r="I586" s="250"/>
      <c r="J586" s="250"/>
      <c r="K586" s="250"/>
      <c r="L586" s="250"/>
      <c r="M586" s="250"/>
      <c r="N586" s="250"/>
      <c r="O586" s="250"/>
      <c r="P586" s="250"/>
      <c r="Q586" s="250"/>
      <c r="R586" s="250"/>
      <c r="S586" s="250"/>
      <c r="T586" s="250"/>
      <c r="U586" s="250"/>
      <c r="V586" s="250"/>
      <c r="W586" s="250"/>
      <c r="X586" s="250"/>
      <c r="Y586" s="250"/>
      <c r="Z586" s="250"/>
    </row>
    <row r="587" ht="14.25" customHeight="1">
      <c r="A587" s="250"/>
      <c r="B587" s="250"/>
      <c r="C587" s="250"/>
      <c r="D587" s="250"/>
      <c r="E587" s="250"/>
      <c r="F587" s="250"/>
      <c r="G587" s="250"/>
      <c r="H587" s="250"/>
      <c r="I587" s="250"/>
      <c r="J587" s="250"/>
      <c r="K587" s="250"/>
      <c r="L587" s="250"/>
      <c r="M587" s="250"/>
      <c r="N587" s="250"/>
      <c r="O587" s="250"/>
      <c r="P587" s="250"/>
      <c r="Q587" s="250"/>
      <c r="R587" s="250"/>
      <c r="S587" s="250"/>
      <c r="T587" s="250"/>
      <c r="U587" s="250"/>
      <c r="V587" s="250"/>
      <c r="W587" s="250"/>
      <c r="X587" s="250"/>
      <c r="Y587" s="250"/>
      <c r="Z587" s="250"/>
    </row>
    <row r="588" ht="14.25" customHeight="1">
      <c r="A588" s="250"/>
      <c r="B588" s="250"/>
      <c r="C588" s="250"/>
      <c r="D588" s="250"/>
      <c r="E588" s="250"/>
      <c r="F588" s="250"/>
      <c r="G588" s="250"/>
      <c r="H588" s="250"/>
      <c r="I588" s="250"/>
      <c r="J588" s="250"/>
      <c r="K588" s="250"/>
      <c r="L588" s="250"/>
      <c r="M588" s="250"/>
      <c r="N588" s="250"/>
      <c r="O588" s="250"/>
      <c r="P588" s="250"/>
      <c r="Q588" s="250"/>
      <c r="R588" s="250"/>
      <c r="S588" s="250"/>
      <c r="T588" s="250"/>
      <c r="U588" s="250"/>
      <c r="V588" s="250"/>
      <c r="W588" s="250"/>
      <c r="X588" s="250"/>
      <c r="Y588" s="250"/>
      <c r="Z588" s="250"/>
    </row>
    <row r="589" ht="14.25" customHeight="1">
      <c r="A589" s="250"/>
      <c r="B589" s="250"/>
      <c r="C589" s="250"/>
      <c r="D589" s="250"/>
      <c r="E589" s="250"/>
      <c r="F589" s="250"/>
      <c r="G589" s="250"/>
      <c r="H589" s="250"/>
      <c r="I589" s="250"/>
      <c r="J589" s="250"/>
      <c r="K589" s="250"/>
      <c r="L589" s="250"/>
      <c r="M589" s="250"/>
      <c r="N589" s="250"/>
      <c r="O589" s="250"/>
      <c r="P589" s="250"/>
      <c r="Q589" s="250"/>
      <c r="R589" s="250"/>
      <c r="S589" s="250"/>
      <c r="T589" s="250"/>
      <c r="U589" s="250"/>
      <c r="V589" s="250"/>
      <c r="W589" s="250"/>
      <c r="X589" s="250"/>
      <c r="Y589" s="250"/>
      <c r="Z589" s="250"/>
    </row>
    <row r="590" ht="14.25" customHeight="1">
      <c r="A590" s="250"/>
      <c r="B590" s="250"/>
      <c r="C590" s="250"/>
      <c r="D590" s="250"/>
      <c r="E590" s="250"/>
      <c r="F590" s="250"/>
      <c r="G590" s="250"/>
      <c r="H590" s="250"/>
      <c r="I590" s="250"/>
      <c r="J590" s="250"/>
      <c r="K590" s="250"/>
      <c r="L590" s="250"/>
      <c r="M590" s="250"/>
      <c r="N590" s="250"/>
      <c r="O590" s="250"/>
      <c r="P590" s="250"/>
      <c r="Q590" s="250"/>
      <c r="R590" s="250"/>
      <c r="S590" s="250"/>
      <c r="T590" s="250"/>
      <c r="U590" s="250"/>
      <c r="V590" s="250"/>
      <c r="W590" s="250"/>
      <c r="X590" s="250"/>
      <c r="Y590" s="250"/>
      <c r="Z590" s="250"/>
    </row>
    <row r="591" ht="14.25" customHeight="1">
      <c r="A591" s="250"/>
      <c r="B591" s="250"/>
      <c r="C591" s="250"/>
      <c r="D591" s="250"/>
      <c r="E591" s="250"/>
      <c r="F591" s="250"/>
      <c r="G591" s="250"/>
      <c r="H591" s="250"/>
      <c r="I591" s="250"/>
      <c r="J591" s="250"/>
      <c r="K591" s="250"/>
      <c r="L591" s="250"/>
      <c r="M591" s="250"/>
      <c r="N591" s="250"/>
      <c r="O591" s="250"/>
      <c r="P591" s="250"/>
      <c r="Q591" s="250"/>
      <c r="R591" s="250"/>
      <c r="S591" s="250"/>
      <c r="T591" s="250"/>
      <c r="U591" s="250"/>
      <c r="V591" s="250"/>
      <c r="W591" s="250"/>
      <c r="X591" s="250"/>
      <c r="Y591" s="250"/>
      <c r="Z591" s="250"/>
    </row>
    <row r="592" ht="14.25" customHeight="1">
      <c r="A592" s="250"/>
      <c r="B592" s="250"/>
      <c r="C592" s="250"/>
      <c r="D592" s="250"/>
      <c r="E592" s="250"/>
      <c r="F592" s="250"/>
      <c r="G592" s="250"/>
      <c r="H592" s="250"/>
      <c r="I592" s="250"/>
      <c r="J592" s="250"/>
      <c r="K592" s="250"/>
      <c r="L592" s="250"/>
      <c r="M592" s="250"/>
      <c r="N592" s="250"/>
      <c r="O592" s="250"/>
      <c r="P592" s="250"/>
      <c r="Q592" s="250"/>
      <c r="R592" s="250"/>
      <c r="S592" s="250"/>
      <c r="T592" s="250"/>
      <c r="U592" s="250"/>
      <c r="V592" s="250"/>
      <c r="W592" s="250"/>
      <c r="X592" s="250"/>
      <c r="Y592" s="250"/>
      <c r="Z592" s="250"/>
    </row>
    <row r="593" ht="14.25" customHeight="1">
      <c r="A593" s="250"/>
      <c r="B593" s="250"/>
      <c r="C593" s="250"/>
      <c r="D593" s="250"/>
      <c r="E593" s="250"/>
      <c r="F593" s="250"/>
      <c r="G593" s="250"/>
      <c r="H593" s="250"/>
      <c r="I593" s="250"/>
      <c r="J593" s="250"/>
      <c r="K593" s="250"/>
      <c r="L593" s="250"/>
      <c r="M593" s="250"/>
      <c r="N593" s="250"/>
      <c r="O593" s="250"/>
      <c r="P593" s="250"/>
      <c r="Q593" s="250"/>
      <c r="R593" s="250"/>
      <c r="S593" s="250"/>
      <c r="T593" s="250"/>
      <c r="U593" s="250"/>
      <c r="V593" s="250"/>
      <c r="W593" s="250"/>
      <c r="X593" s="250"/>
      <c r="Y593" s="250"/>
      <c r="Z593" s="250"/>
    </row>
    <row r="594" ht="14.25" customHeight="1">
      <c r="A594" s="250"/>
      <c r="B594" s="250"/>
      <c r="C594" s="250"/>
      <c r="D594" s="250"/>
      <c r="E594" s="250"/>
      <c r="F594" s="250"/>
      <c r="G594" s="250"/>
      <c r="H594" s="250"/>
      <c r="I594" s="250"/>
      <c r="J594" s="250"/>
      <c r="K594" s="250"/>
      <c r="L594" s="250"/>
      <c r="M594" s="250"/>
      <c r="N594" s="250"/>
      <c r="O594" s="250"/>
      <c r="P594" s="250"/>
      <c r="Q594" s="250"/>
      <c r="R594" s="250"/>
      <c r="S594" s="250"/>
      <c r="T594" s="250"/>
      <c r="U594" s="250"/>
      <c r="V594" s="250"/>
      <c r="W594" s="250"/>
      <c r="X594" s="250"/>
      <c r="Y594" s="250"/>
      <c r="Z594" s="250"/>
    </row>
    <row r="595" ht="14.25" customHeight="1">
      <c r="A595" s="250"/>
      <c r="B595" s="250"/>
      <c r="C595" s="250"/>
      <c r="D595" s="250"/>
      <c r="E595" s="250"/>
      <c r="F595" s="250"/>
      <c r="G595" s="250"/>
      <c r="H595" s="250"/>
      <c r="I595" s="250"/>
      <c r="J595" s="250"/>
      <c r="K595" s="250"/>
      <c r="L595" s="250"/>
      <c r="M595" s="250"/>
      <c r="N595" s="250"/>
      <c r="O595" s="250"/>
      <c r="P595" s="250"/>
      <c r="Q595" s="250"/>
      <c r="R595" s="250"/>
      <c r="S595" s="250"/>
      <c r="T595" s="250"/>
      <c r="U595" s="250"/>
      <c r="V595" s="250"/>
      <c r="W595" s="250"/>
      <c r="X595" s="250"/>
      <c r="Y595" s="250"/>
      <c r="Z595" s="250"/>
    </row>
    <row r="596" ht="14.25" customHeight="1">
      <c r="A596" s="250"/>
      <c r="B596" s="250"/>
      <c r="C596" s="250"/>
      <c r="D596" s="250"/>
      <c r="E596" s="250"/>
      <c r="F596" s="250"/>
      <c r="G596" s="250"/>
      <c r="H596" s="250"/>
      <c r="I596" s="250"/>
      <c r="J596" s="250"/>
      <c r="K596" s="250"/>
      <c r="L596" s="250"/>
      <c r="M596" s="250"/>
      <c r="N596" s="250"/>
      <c r="O596" s="250"/>
      <c r="P596" s="250"/>
      <c r="Q596" s="250"/>
      <c r="R596" s="250"/>
      <c r="S596" s="250"/>
      <c r="T596" s="250"/>
      <c r="U596" s="250"/>
      <c r="V596" s="250"/>
      <c r="W596" s="250"/>
      <c r="X596" s="250"/>
      <c r="Y596" s="250"/>
      <c r="Z596" s="250"/>
    </row>
    <row r="597" ht="14.25" customHeight="1">
      <c r="A597" s="250"/>
      <c r="B597" s="250"/>
      <c r="C597" s="250"/>
      <c r="D597" s="250"/>
      <c r="E597" s="250"/>
      <c r="F597" s="250"/>
      <c r="G597" s="250"/>
      <c r="H597" s="250"/>
      <c r="I597" s="250"/>
      <c r="J597" s="250"/>
      <c r="K597" s="250"/>
      <c r="L597" s="250"/>
      <c r="M597" s="250"/>
      <c r="N597" s="250"/>
      <c r="O597" s="250"/>
      <c r="P597" s="250"/>
      <c r="Q597" s="250"/>
      <c r="R597" s="250"/>
      <c r="S597" s="250"/>
      <c r="T597" s="250"/>
      <c r="U597" s="250"/>
      <c r="V597" s="250"/>
      <c r="W597" s="250"/>
      <c r="X597" s="250"/>
      <c r="Y597" s="250"/>
      <c r="Z597" s="250"/>
    </row>
    <row r="598" ht="14.25" customHeight="1">
      <c r="A598" s="250"/>
      <c r="B598" s="250"/>
      <c r="C598" s="250"/>
      <c r="D598" s="250"/>
      <c r="E598" s="250"/>
      <c r="F598" s="250"/>
      <c r="G598" s="250"/>
      <c r="H598" s="250"/>
      <c r="I598" s="250"/>
      <c r="J598" s="250"/>
      <c r="K598" s="250"/>
      <c r="L598" s="250"/>
      <c r="M598" s="250"/>
      <c r="N598" s="250"/>
      <c r="O598" s="250"/>
      <c r="P598" s="250"/>
      <c r="Q598" s="250"/>
      <c r="R598" s="250"/>
      <c r="S598" s="250"/>
      <c r="T598" s="250"/>
      <c r="U598" s="250"/>
      <c r="V598" s="250"/>
      <c r="W598" s="250"/>
      <c r="X598" s="250"/>
      <c r="Y598" s="250"/>
      <c r="Z598" s="250"/>
    </row>
    <row r="599" ht="14.25" customHeight="1">
      <c r="A599" s="250"/>
      <c r="B599" s="250"/>
      <c r="C599" s="250"/>
      <c r="D599" s="250"/>
      <c r="E599" s="250"/>
      <c r="F599" s="250"/>
      <c r="G599" s="250"/>
      <c r="H599" s="250"/>
      <c r="I599" s="250"/>
      <c r="J599" s="250"/>
      <c r="K599" s="250"/>
      <c r="L599" s="250"/>
      <c r="M599" s="250"/>
      <c r="N599" s="250"/>
      <c r="O599" s="250"/>
      <c r="P599" s="250"/>
      <c r="Q599" s="250"/>
      <c r="R599" s="250"/>
      <c r="S599" s="250"/>
      <c r="T599" s="250"/>
      <c r="U599" s="250"/>
      <c r="V599" s="250"/>
      <c r="W599" s="250"/>
      <c r="X599" s="250"/>
      <c r="Y599" s="250"/>
      <c r="Z599" s="250"/>
    </row>
    <row r="600" ht="14.25" customHeight="1">
      <c r="A600" s="250"/>
      <c r="B600" s="250"/>
      <c r="C600" s="250"/>
      <c r="D600" s="250"/>
      <c r="E600" s="250"/>
      <c r="F600" s="250"/>
      <c r="G600" s="250"/>
      <c r="H600" s="250"/>
      <c r="I600" s="250"/>
      <c r="J600" s="250"/>
      <c r="K600" s="250"/>
      <c r="L600" s="250"/>
      <c r="M600" s="250"/>
      <c r="N600" s="250"/>
      <c r="O600" s="250"/>
      <c r="P600" s="250"/>
      <c r="Q600" s="250"/>
      <c r="R600" s="250"/>
      <c r="S600" s="250"/>
      <c r="T600" s="250"/>
      <c r="U600" s="250"/>
      <c r="V600" s="250"/>
      <c r="W600" s="250"/>
      <c r="X600" s="250"/>
      <c r="Y600" s="250"/>
      <c r="Z600" s="250"/>
    </row>
    <row r="601" ht="14.25" customHeight="1">
      <c r="A601" s="250"/>
      <c r="B601" s="250"/>
      <c r="C601" s="250"/>
      <c r="D601" s="250"/>
      <c r="E601" s="250"/>
      <c r="F601" s="250"/>
      <c r="G601" s="250"/>
      <c r="H601" s="250"/>
      <c r="I601" s="250"/>
      <c r="J601" s="250"/>
      <c r="K601" s="250"/>
      <c r="L601" s="250"/>
      <c r="M601" s="250"/>
      <c r="N601" s="250"/>
      <c r="O601" s="250"/>
      <c r="P601" s="250"/>
      <c r="Q601" s="250"/>
      <c r="R601" s="250"/>
      <c r="S601" s="250"/>
      <c r="T601" s="250"/>
      <c r="U601" s="250"/>
      <c r="V601" s="250"/>
      <c r="W601" s="250"/>
      <c r="X601" s="250"/>
      <c r="Y601" s="250"/>
      <c r="Z601" s="250"/>
    </row>
    <row r="602" ht="14.25" customHeight="1">
      <c r="A602" s="250"/>
      <c r="B602" s="250"/>
      <c r="C602" s="250"/>
      <c r="D602" s="250"/>
      <c r="E602" s="250"/>
      <c r="F602" s="250"/>
      <c r="G602" s="250"/>
      <c r="H602" s="250"/>
      <c r="I602" s="250"/>
      <c r="J602" s="250"/>
      <c r="K602" s="250"/>
      <c r="L602" s="250"/>
      <c r="M602" s="250"/>
      <c r="N602" s="250"/>
      <c r="O602" s="250"/>
      <c r="P602" s="250"/>
      <c r="Q602" s="250"/>
      <c r="R602" s="250"/>
      <c r="S602" s="250"/>
      <c r="T602" s="250"/>
      <c r="U602" s="250"/>
      <c r="V602" s="250"/>
      <c r="W602" s="250"/>
      <c r="X602" s="250"/>
      <c r="Y602" s="250"/>
      <c r="Z602" s="250"/>
    </row>
    <row r="603" ht="14.25" customHeight="1">
      <c r="A603" s="250"/>
      <c r="B603" s="250"/>
      <c r="C603" s="250"/>
      <c r="D603" s="250"/>
      <c r="E603" s="250"/>
      <c r="F603" s="250"/>
      <c r="G603" s="250"/>
      <c r="H603" s="250"/>
      <c r="I603" s="250"/>
      <c r="J603" s="250"/>
      <c r="K603" s="250"/>
      <c r="L603" s="250"/>
      <c r="M603" s="250"/>
      <c r="N603" s="250"/>
      <c r="O603" s="250"/>
      <c r="P603" s="250"/>
      <c r="Q603" s="250"/>
      <c r="R603" s="250"/>
      <c r="S603" s="250"/>
      <c r="T603" s="250"/>
      <c r="U603" s="250"/>
      <c r="V603" s="250"/>
      <c r="W603" s="250"/>
      <c r="X603" s="250"/>
      <c r="Y603" s="250"/>
      <c r="Z603" s="250"/>
    </row>
    <row r="604" ht="14.25" customHeight="1">
      <c r="A604" s="250"/>
      <c r="B604" s="250"/>
      <c r="C604" s="250"/>
      <c r="D604" s="250"/>
      <c r="E604" s="250"/>
      <c r="F604" s="250"/>
      <c r="G604" s="250"/>
      <c r="H604" s="250"/>
      <c r="I604" s="250"/>
      <c r="J604" s="250"/>
      <c r="K604" s="250"/>
      <c r="L604" s="250"/>
      <c r="M604" s="250"/>
      <c r="N604" s="250"/>
      <c r="O604" s="250"/>
      <c r="P604" s="250"/>
      <c r="Q604" s="250"/>
      <c r="R604" s="250"/>
      <c r="S604" s="250"/>
      <c r="T604" s="250"/>
      <c r="U604" s="250"/>
      <c r="V604" s="250"/>
      <c r="W604" s="250"/>
      <c r="X604" s="250"/>
      <c r="Y604" s="250"/>
      <c r="Z604" s="250"/>
    </row>
    <row r="605" ht="14.25" customHeight="1">
      <c r="A605" s="250"/>
      <c r="B605" s="250"/>
      <c r="C605" s="250"/>
      <c r="D605" s="250"/>
      <c r="E605" s="250"/>
      <c r="F605" s="250"/>
      <c r="G605" s="250"/>
      <c r="H605" s="250"/>
      <c r="I605" s="250"/>
      <c r="J605" s="250"/>
      <c r="K605" s="250"/>
      <c r="L605" s="250"/>
      <c r="M605" s="250"/>
      <c r="N605" s="250"/>
      <c r="O605" s="250"/>
      <c r="P605" s="250"/>
      <c r="Q605" s="250"/>
      <c r="R605" s="250"/>
      <c r="S605" s="250"/>
      <c r="T605" s="250"/>
      <c r="U605" s="250"/>
      <c r="V605" s="250"/>
      <c r="W605" s="250"/>
      <c r="X605" s="250"/>
      <c r="Y605" s="250"/>
      <c r="Z605" s="250"/>
    </row>
    <row r="606" ht="14.25" customHeight="1">
      <c r="A606" s="250"/>
      <c r="B606" s="250"/>
      <c r="C606" s="250"/>
      <c r="D606" s="250"/>
      <c r="E606" s="250"/>
      <c r="F606" s="250"/>
      <c r="G606" s="250"/>
      <c r="H606" s="250"/>
      <c r="I606" s="250"/>
      <c r="J606" s="250"/>
      <c r="K606" s="250"/>
      <c r="L606" s="250"/>
      <c r="M606" s="250"/>
      <c r="N606" s="250"/>
      <c r="O606" s="250"/>
      <c r="P606" s="250"/>
      <c r="Q606" s="250"/>
      <c r="R606" s="250"/>
      <c r="S606" s="250"/>
      <c r="T606" s="250"/>
      <c r="U606" s="250"/>
      <c r="V606" s="250"/>
      <c r="W606" s="250"/>
      <c r="X606" s="250"/>
      <c r="Y606" s="250"/>
      <c r="Z606" s="250"/>
    </row>
    <row r="607" ht="14.25" customHeight="1">
      <c r="A607" s="250"/>
      <c r="B607" s="250"/>
      <c r="C607" s="250"/>
      <c r="D607" s="250"/>
      <c r="E607" s="250"/>
      <c r="F607" s="250"/>
      <c r="G607" s="250"/>
      <c r="H607" s="250"/>
      <c r="I607" s="250"/>
      <c r="J607" s="250"/>
      <c r="K607" s="250"/>
      <c r="L607" s="250"/>
      <c r="M607" s="250"/>
      <c r="N607" s="250"/>
      <c r="O607" s="250"/>
      <c r="P607" s="250"/>
      <c r="Q607" s="250"/>
      <c r="R607" s="250"/>
      <c r="S607" s="250"/>
      <c r="T607" s="250"/>
      <c r="U607" s="250"/>
      <c r="V607" s="250"/>
      <c r="W607" s="250"/>
      <c r="X607" s="250"/>
      <c r="Y607" s="250"/>
      <c r="Z607" s="250"/>
    </row>
    <row r="608" ht="14.25" customHeight="1">
      <c r="A608" s="250"/>
      <c r="B608" s="250"/>
      <c r="C608" s="250"/>
      <c r="D608" s="250"/>
      <c r="E608" s="250"/>
      <c r="F608" s="250"/>
      <c r="G608" s="250"/>
      <c r="H608" s="250"/>
      <c r="I608" s="250"/>
      <c r="J608" s="250"/>
      <c r="K608" s="250"/>
      <c r="L608" s="250"/>
      <c r="M608" s="250"/>
      <c r="N608" s="250"/>
      <c r="O608" s="250"/>
      <c r="P608" s="250"/>
      <c r="Q608" s="250"/>
      <c r="R608" s="250"/>
      <c r="S608" s="250"/>
      <c r="T608" s="250"/>
      <c r="U608" s="250"/>
      <c r="V608" s="250"/>
      <c r="W608" s="250"/>
      <c r="X608" s="250"/>
      <c r="Y608" s="250"/>
      <c r="Z608" s="250"/>
    </row>
    <row r="609" ht="14.25" customHeight="1">
      <c r="A609" s="250"/>
      <c r="B609" s="250"/>
      <c r="C609" s="250"/>
      <c r="D609" s="250"/>
      <c r="E609" s="250"/>
      <c r="F609" s="250"/>
      <c r="G609" s="250"/>
      <c r="H609" s="250"/>
      <c r="I609" s="250"/>
      <c r="J609" s="250"/>
      <c r="K609" s="250"/>
      <c r="L609" s="250"/>
      <c r="M609" s="250"/>
      <c r="N609" s="250"/>
      <c r="O609" s="250"/>
      <c r="P609" s="250"/>
      <c r="Q609" s="250"/>
      <c r="R609" s="250"/>
      <c r="S609" s="250"/>
      <c r="T609" s="250"/>
      <c r="U609" s="250"/>
      <c r="V609" s="250"/>
      <c r="W609" s="250"/>
      <c r="X609" s="250"/>
      <c r="Y609" s="250"/>
      <c r="Z609" s="250"/>
    </row>
    <row r="610" ht="14.25" customHeight="1">
      <c r="A610" s="250"/>
      <c r="B610" s="250"/>
      <c r="C610" s="250"/>
      <c r="D610" s="250"/>
      <c r="E610" s="250"/>
      <c r="F610" s="250"/>
      <c r="G610" s="250"/>
      <c r="H610" s="250"/>
      <c r="I610" s="250"/>
      <c r="J610" s="250"/>
      <c r="K610" s="250"/>
      <c r="L610" s="250"/>
      <c r="M610" s="250"/>
      <c r="N610" s="250"/>
      <c r="O610" s="250"/>
      <c r="P610" s="250"/>
      <c r="Q610" s="250"/>
      <c r="R610" s="250"/>
      <c r="S610" s="250"/>
      <c r="T610" s="250"/>
      <c r="U610" s="250"/>
      <c r="V610" s="250"/>
      <c r="W610" s="250"/>
      <c r="X610" s="250"/>
      <c r="Y610" s="250"/>
      <c r="Z610" s="250"/>
    </row>
    <row r="611" ht="14.25" customHeight="1">
      <c r="A611" s="250"/>
      <c r="B611" s="250"/>
      <c r="C611" s="250"/>
      <c r="D611" s="250"/>
      <c r="E611" s="250"/>
      <c r="F611" s="250"/>
      <c r="G611" s="250"/>
      <c r="H611" s="250"/>
      <c r="I611" s="250"/>
      <c r="J611" s="250"/>
      <c r="K611" s="250"/>
      <c r="L611" s="250"/>
      <c r="M611" s="250"/>
      <c r="N611" s="250"/>
      <c r="O611" s="250"/>
      <c r="P611" s="250"/>
      <c r="Q611" s="250"/>
      <c r="R611" s="250"/>
      <c r="S611" s="250"/>
      <c r="T611" s="250"/>
      <c r="U611" s="250"/>
      <c r="V611" s="250"/>
      <c r="W611" s="250"/>
      <c r="X611" s="250"/>
      <c r="Y611" s="250"/>
      <c r="Z611" s="250"/>
    </row>
    <row r="612" ht="14.25" customHeight="1">
      <c r="A612" s="250"/>
      <c r="B612" s="250"/>
      <c r="C612" s="250"/>
      <c r="D612" s="250"/>
      <c r="E612" s="250"/>
      <c r="F612" s="250"/>
      <c r="G612" s="250"/>
      <c r="H612" s="250"/>
      <c r="I612" s="250"/>
      <c r="J612" s="250"/>
      <c r="K612" s="250"/>
      <c r="L612" s="250"/>
      <c r="M612" s="250"/>
      <c r="N612" s="250"/>
      <c r="O612" s="250"/>
      <c r="P612" s="250"/>
      <c r="Q612" s="250"/>
      <c r="R612" s="250"/>
      <c r="S612" s="250"/>
      <c r="T612" s="250"/>
      <c r="U612" s="250"/>
      <c r="V612" s="250"/>
      <c r="W612" s="250"/>
      <c r="X612" s="250"/>
      <c r="Y612" s="250"/>
      <c r="Z612" s="250"/>
    </row>
    <row r="613" ht="14.25" customHeight="1">
      <c r="A613" s="250"/>
      <c r="B613" s="250"/>
      <c r="C613" s="250"/>
      <c r="D613" s="250"/>
      <c r="E613" s="250"/>
      <c r="F613" s="250"/>
      <c r="G613" s="250"/>
      <c r="H613" s="250"/>
      <c r="I613" s="250"/>
      <c r="J613" s="250"/>
      <c r="K613" s="250"/>
      <c r="L613" s="250"/>
      <c r="M613" s="250"/>
      <c r="N613" s="250"/>
      <c r="O613" s="250"/>
      <c r="P613" s="250"/>
      <c r="Q613" s="250"/>
      <c r="R613" s="250"/>
      <c r="S613" s="250"/>
      <c r="T613" s="250"/>
      <c r="U613" s="250"/>
      <c r="V613" s="250"/>
      <c r="W613" s="250"/>
      <c r="X613" s="250"/>
      <c r="Y613" s="250"/>
      <c r="Z613" s="250"/>
    </row>
    <row r="614" ht="14.25" customHeight="1">
      <c r="A614" s="250"/>
      <c r="B614" s="250"/>
      <c r="C614" s="250"/>
      <c r="D614" s="250"/>
      <c r="E614" s="250"/>
      <c r="F614" s="250"/>
      <c r="G614" s="250"/>
      <c r="H614" s="250"/>
      <c r="I614" s="250"/>
      <c r="J614" s="250"/>
      <c r="K614" s="250"/>
      <c r="L614" s="250"/>
      <c r="M614" s="250"/>
      <c r="N614" s="250"/>
      <c r="O614" s="250"/>
      <c r="P614" s="250"/>
      <c r="Q614" s="250"/>
      <c r="R614" s="250"/>
      <c r="S614" s="250"/>
      <c r="T614" s="250"/>
      <c r="U614" s="250"/>
      <c r="V614" s="250"/>
      <c r="W614" s="250"/>
      <c r="X614" s="250"/>
      <c r="Y614" s="250"/>
      <c r="Z614" s="250"/>
    </row>
    <row r="615" ht="14.25" customHeight="1">
      <c r="A615" s="250"/>
      <c r="B615" s="250"/>
      <c r="C615" s="250"/>
      <c r="D615" s="250"/>
      <c r="E615" s="250"/>
      <c r="F615" s="250"/>
      <c r="G615" s="250"/>
      <c r="H615" s="250"/>
      <c r="I615" s="250"/>
      <c r="J615" s="250"/>
      <c r="K615" s="250"/>
      <c r="L615" s="250"/>
      <c r="M615" s="250"/>
      <c r="N615" s="250"/>
      <c r="O615" s="250"/>
      <c r="P615" s="250"/>
      <c r="Q615" s="250"/>
      <c r="R615" s="250"/>
      <c r="S615" s="250"/>
      <c r="T615" s="250"/>
      <c r="U615" s="250"/>
      <c r="V615" s="250"/>
      <c r="W615" s="250"/>
      <c r="X615" s="250"/>
      <c r="Y615" s="250"/>
      <c r="Z615" s="250"/>
    </row>
    <row r="616" ht="14.25" customHeight="1">
      <c r="A616" s="250"/>
      <c r="B616" s="250"/>
      <c r="C616" s="250"/>
      <c r="D616" s="250"/>
      <c r="E616" s="250"/>
      <c r="F616" s="250"/>
      <c r="G616" s="250"/>
      <c r="H616" s="250"/>
      <c r="I616" s="250"/>
      <c r="J616" s="250"/>
      <c r="K616" s="250"/>
      <c r="L616" s="250"/>
      <c r="M616" s="250"/>
      <c r="N616" s="250"/>
      <c r="O616" s="250"/>
      <c r="P616" s="250"/>
      <c r="Q616" s="250"/>
      <c r="R616" s="250"/>
      <c r="S616" s="250"/>
      <c r="T616" s="250"/>
      <c r="U616" s="250"/>
      <c r="V616" s="250"/>
      <c r="W616" s="250"/>
      <c r="X616" s="250"/>
      <c r="Y616" s="250"/>
      <c r="Z616" s="250"/>
    </row>
    <row r="617" ht="14.25" customHeight="1">
      <c r="A617" s="250"/>
      <c r="B617" s="250"/>
      <c r="C617" s="250"/>
      <c r="D617" s="250"/>
      <c r="E617" s="250"/>
      <c r="F617" s="250"/>
      <c r="G617" s="250"/>
      <c r="H617" s="250"/>
      <c r="I617" s="250"/>
      <c r="J617" s="250"/>
      <c r="K617" s="250"/>
      <c r="L617" s="250"/>
      <c r="M617" s="250"/>
      <c r="N617" s="250"/>
      <c r="O617" s="250"/>
      <c r="P617" s="250"/>
      <c r="Q617" s="250"/>
      <c r="R617" s="250"/>
      <c r="S617" s="250"/>
      <c r="T617" s="250"/>
      <c r="U617" s="250"/>
      <c r="V617" s="250"/>
      <c r="W617" s="250"/>
      <c r="X617" s="250"/>
      <c r="Y617" s="250"/>
      <c r="Z617" s="250"/>
    </row>
    <row r="618" ht="14.25" customHeight="1">
      <c r="A618" s="250"/>
      <c r="B618" s="250"/>
      <c r="C618" s="250"/>
      <c r="D618" s="250"/>
      <c r="E618" s="250"/>
      <c r="F618" s="250"/>
      <c r="G618" s="250"/>
      <c r="H618" s="250"/>
      <c r="I618" s="250"/>
      <c r="J618" s="250"/>
      <c r="K618" s="250"/>
      <c r="L618" s="250"/>
      <c r="M618" s="250"/>
      <c r="N618" s="250"/>
      <c r="O618" s="250"/>
      <c r="P618" s="250"/>
      <c r="Q618" s="250"/>
      <c r="R618" s="250"/>
      <c r="S618" s="250"/>
      <c r="T618" s="250"/>
      <c r="U618" s="250"/>
      <c r="V618" s="250"/>
      <c r="W618" s="250"/>
      <c r="X618" s="250"/>
      <c r="Y618" s="250"/>
      <c r="Z618" s="250"/>
    </row>
    <row r="619" ht="14.25" customHeight="1">
      <c r="A619" s="250"/>
      <c r="B619" s="250"/>
      <c r="C619" s="250"/>
      <c r="D619" s="250"/>
      <c r="E619" s="250"/>
      <c r="F619" s="250"/>
      <c r="G619" s="250"/>
      <c r="H619" s="250"/>
      <c r="I619" s="250"/>
      <c r="J619" s="250"/>
      <c r="K619" s="250"/>
      <c r="L619" s="250"/>
      <c r="M619" s="250"/>
      <c r="N619" s="250"/>
      <c r="O619" s="250"/>
      <c r="P619" s="250"/>
      <c r="Q619" s="250"/>
      <c r="R619" s="250"/>
      <c r="S619" s="250"/>
      <c r="T619" s="250"/>
      <c r="U619" s="250"/>
      <c r="V619" s="250"/>
      <c r="W619" s="250"/>
      <c r="X619" s="250"/>
      <c r="Y619" s="250"/>
      <c r="Z619" s="250"/>
    </row>
    <row r="620" ht="14.25" customHeight="1">
      <c r="A620" s="250"/>
      <c r="B620" s="250"/>
      <c r="C620" s="250"/>
      <c r="D620" s="250"/>
      <c r="E620" s="250"/>
      <c r="F620" s="250"/>
      <c r="G620" s="250"/>
      <c r="H620" s="250"/>
      <c r="I620" s="250"/>
      <c r="J620" s="250"/>
      <c r="K620" s="250"/>
      <c r="L620" s="250"/>
      <c r="M620" s="250"/>
      <c r="N620" s="250"/>
      <c r="O620" s="250"/>
      <c r="P620" s="250"/>
      <c r="Q620" s="250"/>
      <c r="R620" s="250"/>
      <c r="S620" s="250"/>
      <c r="T620" s="250"/>
      <c r="U620" s="250"/>
      <c r="V620" s="250"/>
      <c r="W620" s="250"/>
      <c r="X620" s="250"/>
      <c r="Y620" s="250"/>
      <c r="Z620" s="250"/>
    </row>
    <row r="621" ht="14.25" customHeight="1">
      <c r="A621" s="250"/>
      <c r="B621" s="250"/>
      <c r="C621" s="250"/>
      <c r="D621" s="250"/>
      <c r="E621" s="250"/>
      <c r="F621" s="250"/>
      <c r="G621" s="250"/>
      <c r="H621" s="250"/>
      <c r="I621" s="250"/>
      <c r="J621" s="250"/>
      <c r="K621" s="250"/>
      <c r="L621" s="250"/>
      <c r="M621" s="250"/>
      <c r="N621" s="250"/>
      <c r="O621" s="250"/>
      <c r="P621" s="250"/>
      <c r="Q621" s="250"/>
      <c r="R621" s="250"/>
      <c r="S621" s="250"/>
      <c r="T621" s="250"/>
      <c r="U621" s="250"/>
      <c r="V621" s="250"/>
      <c r="W621" s="250"/>
      <c r="X621" s="250"/>
      <c r="Y621" s="250"/>
      <c r="Z621" s="250"/>
    </row>
    <row r="622" ht="14.25" customHeight="1">
      <c r="A622" s="250"/>
      <c r="B622" s="250"/>
      <c r="C622" s="250"/>
      <c r="D622" s="250"/>
      <c r="E622" s="250"/>
      <c r="F622" s="250"/>
      <c r="G622" s="250"/>
      <c r="H622" s="250"/>
      <c r="I622" s="250"/>
      <c r="J622" s="250"/>
      <c r="K622" s="250"/>
      <c r="L622" s="250"/>
      <c r="M622" s="250"/>
      <c r="N622" s="250"/>
      <c r="O622" s="250"/>
      <c r="P622" s="250"/>
      <c r="Q622" s="250"/>
      <c r="R622" s="250"/>
      <c r="S622" s="250"/>
      <c r="T622" s="250"/>
      <c r="U622" s="250"/>
      <c r="V622" s="250"/>
      <c r="W622" s="250"/>
      <c r="X622" s="250"/>
      <c r="Y622" s="250"/>
      <c r="Z622" s="250"/>
    </row>
    <row r="623" ht="14.25" customHeight="1">
      <c r="A623" s="250"/>
      <c r="B623" s="250"/>
      <c r="C623" s="250"/>
      <c r="D623" s="250"/>
      <c r="E623" s="250"/>
      <c r="F623" s="250"/>
      <c r="G623" s="250"/>
      <c r="H623" s="250"/>
      <c r="I623" s="250"/>
      <c r="J623" s="250"/>
      <c r="K623" s="250"/>
      <c r="L623" s="250"/>
      <c r="M623" s="250"/>
      <c r="N623" s="250"/>
      <c r="O623" s="250"/>
      <c r="P623" s="250"/>
      <c r="Q623" s="250"/>
      <c r="R623" s="250"/>
      <c r="S623" s="250"/>
      <c r="T623" s="250"/>
      <c r="U623" s="250"/>
      <c r="V623" s="250"/>
      <c r="W623" s="250"/>
      <c r="X623" s="250"/>
      <c r="Y623" s="250"/>
      <c r="Z623" s="250"/>
    </row>
    <row r="624" ht="14.25" customHeight="1">
      <c r="A624" s="250"/>
      <c r="B624" s="250"/>
      <c r="C624" s="250"/>
      <c r="D624" s="250"/>
      <c r="E624" s="250"/>
      <c r="F624" s="250"/>
      <c r="G624" s="250"/>
      <c r="H624" s="250"/>
      <c r="I624" s="250"/>
      <c r="J624" s="250"/>
      <c r="K624" s="250"/>
      <c r="L624" s="250"/>
      <c r="M624" s="250"/>
      <c r="N624" s="250"/>
      <c r="O624" s="250"/>
      <c r="P624" s="250"/>
      <c r="Q624" s="250"/>
      <c r="R624" s="250"/>
      <c r="S624" s="250"/>
      <c r="T624" s="250"/>
      <c r="U624" s="250"/>
      <c r="V624" s="250"/>
      <c r="W624" s="250"/>
      <c r="X624" s="250"/>
      <c r="Y624" s="250"/>
      <c r="Z624" s="250"/>
    </row>
    <row r="625" ht="14.25" customHeight="1">
      <c r="A625" s="250"/>
      <c r="B625" s="250"/>
      <c r="C625" s="250"/>
      <c r="D625" s="250"/>
      <c r="E625" s="250"/>
      <c r="F625" s="250"/>
      <c r="G625" s="250"/>
      <c r="H625" s="250"/>
      <c r="I625" s="250"/>
      <c r="J625" s="250"/>
      <c r="K625" s="250"/>
      <c r="L625" s="250"/>
      <c r="M625" s="250"/>
      <c r="N625" s="250"/>
      <c r="O625" s="250"/>
      <c r="P625" s="250"/>
      <c r="Q625" s="250"/>
      <c r="R625" s="250"/>
      <c r="S625" s="250"/>
      <c r="T625" s="250"/>
      <c r="U625" s="250"/>
      <c r="V625" s="250"/>
      <c r="W625" s="250"/>
      <c r="X625" s="250"/>
      <c r="Y625" s="250"/>
      <c r="Z625" s="250"/>
    </row>
    <row r="626" ht="14.25" customHeight="1">
      <c r="A626" s="250"/>
      <c r="B626" s="250"/>
      <c r="C626" s="250"/>
      <c r="D626" s="250"/>
      <c r="E626" s="250"/>
      <c r="F626" s="250"/>
      <c r="G626" s="250"/>
      <c r="H626" s="250"/>
      <c r="I626" s="250"/>
      <c r="J626" s="250"/>
      <c r="K626" s="250"/>
      <c r="L626" s="250"/>
      <c r="M626" s="250"/>
      <c r="N626" s="250"/>
      <c r="O626" s="250"/>
      <c r="P626" s="250"/>
      <c r="Q626" s="250"/>
      <c r="R626" s="250"/>
      <c r="S626" s="250"/>
      <c r="T626" s="250"/>
      <c r="U626" s="250"/>
      <c r="V626" s="250"/>
      <c r="W626" s="250"/>
      <c r="X626" s="250"/>
      <c r="Y626" s="250"/>
      <c r="Z626" s="250"/>
    </row>
    <row r="627" ht="14.25" customHeight="1">
      <c r="A627" s="250"/>
      <c r="B627" s="250"/>
      <c r="C627" s="250"/>
      <c r="D627" s="250"/>
      <c r="E627" s="250"/>
      <c r="F627" s="250"/>
      <c r="G627" s="250"/>
      <c r="H627" s="250"/>
      <c r="I627" s="250"/>
      <c r="J627" s="250"/>
      <c r="K627" s="250"/>
      <c r="L627" s="250"/>
      <c r="M627" s="250"/>
      <c r="N627" s="250"/>
      <c r="O627" s="250"/>
      <c r="P627" s="250"/>
      <c r="Q627" s="250"/>
      <c r="R627" s="250"/>
      <c r="S627" s="250"/>
      <c r="T627" s="250"/>
      <c r="U627" s="250"/>
      <c r="V627" s="250"/>
      <c r="W627" s="250"/>
      <c r="X627" s="250"/>
      <c r="Y627" s="250"/>
      <c r="Z627" s="250"/>
    </row>
    <row r="628" ht="14.25" customHeight="1">
      <c r="A628" s="250"/>
      <c r="B628" s="250"/>
      <c r="C628" s="250"/>
      <c r="D628" s="250"/>
      <c r="E628" s="250"/>
      <c r="F628" s="250"/>
      <c r="G628" s="250"/>
      <c r="H628" s="250"/>
      <c r="I628" s="250"/>
      <c r="J628" s="250"/>
      <c r="K628" s="250"/>
      <c r="L628" s="250"/>
      <c r="M628" s="250"/>
      <c r="N628" s="250"/>
      <c r="O628" s="250"/>
      <c r="P628" s="250"/>
      <c r="Q628" s="250"/>
      <c r="R628" s="250"/>
      <c r="S628" s="250"/>
      <c r="T628" s="250"/>
      <c r="U628" s="250"/>
      <c r="V628" s="250"/>
      <c r="W628" s="250"/>
      <c r="X628" s="250"/>
      <c r="Y628" s="250"/>
      <c r="Z628" s="250"/>
    </row>
    <row r="629" ht="14.25" customHeight="1">
      <c r="A629" s="250"/>
      <c r="B629" s="250"/>
      <c r="C629" s="250"/>
      <c r="D629" s="250"/>
      <c r="E629" s="250"/>
      <c r="F629" s="250"/>
      <c r="G629" s="250"/>
      <c r="H629" s="250"/>
      <c r="I629" s="250"/>
      <c r="J629" s="250"/>
      <c r="K629" s="250"/>
      <c r="L629" s="250"/>
      <c r="M629" s="250"/>
      <c r="N629" s="250"/>
      <c r="O629" s="250"/>
      <c r="P629" s="250"/>
      <c r="Q629" s="250"/>
      <c r="R629" s="250"/>
      <c r="S629" s="250"/>
      <c r="T629" s="250"/>
      <c r="U629" s="250"/>
      <c r="V629" s="250"/>
      <c r="W629" s="250"/>
      <c r="X629" s="250"/>
      <c r="Y629" s="250"/>
      <c r="Z629" s="250"/>
    </row>
    <row r="630" ht="14.25" customHeight="1">
      <c r="A630" s="250"/>
      <c r="B630" s="250"/>
      <c r="C630" s="250"/>
      <c r="D630" s="250"/>
      <c r="E630" s="250"/>
      <c r="F630" s="250"/>
      <c r="G630" s="250"/>
      <c r="H630" s="250"/>
      <c r="I630" s="250"/>
      <c r="J630" s="250"/>
      <c r="K630" s="250"/>
      <c r="L630" s="250"/>
      <c r="M630" s="250"/>
      <c r="N630" s="250"/>
      <c r="O630" s="250"/>
      <c r="P630" s="250"/>
      <c r="Q630" s="250"/>
      <c r="R630" s="250"/>
      <c r="S630" s="250"/>
      <c r="T630" s="250"/>
      <c r="U630" s="250"/>
      <c r="V630" s="250"/>
      <c r="W630" s="250"/>
      <c r="X630" s="250"/>
      <c r="Y630" s="250"/>
      <c r="Z630" s="250"/>
    </row>
    <row r="631" ht="14.25" customHeight="1">
      <c r="A631" s="250"/>
      <c r="B631" s="250"/>
      <c r="C631" s="250"/>
      <c r="D631" s="250"/>
      <c r="E631" s="250"/>
      <c r="F631" s="250"/>
      <c r="G631" s="250"/>
      <c r="H631" s="250"/>
      <c r="I631" s="250"/>
      <c r="J631" s="250"/>
      <c r="K631" s="250"/>
      <c r="L631" s="250"/>
      <c r="M631" s="250"/>
      <c r="N631" s="250"/>
      <c r="O631" s="250"/>
      <c r="P631" s="250"/>
      <c r="Q631" s="250"/>
      <c r="R631" s="250"/>
      <c r="S631" s="250"/>
      <c r="T631" s="250"/>
      <c r="U631" s="250"/>
      <c r="V631" s="250"/>
      <c r="W631" s="250"/>
      <c r="X631" s="250"/>
      <c r="Y631" s="250"/>
      <c r="Z631" s="250"/>
    </row>
    <row r="632" ht="14.25" customHeight="1">
      <c r="A632" s="250"/>
      <c r="B632" s="250"/>
      <c r="C632" s="250"/>
      <c r="D632" s="250"/>
      <c r="E632" s="250"/>
      <c r="F632" s="250"/>
      <c r="G632" s="250"/>
      <c r="H632" s="250"/>
      <c r="I632" s="250"/>
      <c r="J632" s="250"/>
      <c r="K632" s="250"/>
      <c r="L632" s="250"/>
      <c r="M632" s="250"/>
      <c r="N632" s="250"/>
      <c r="O632" s="250"/>
      <c r="P632" s="250"/>
      <c r="Q632" s="250"/>
      <c r="R632" s="250"/>
      <c r="S632" s="250"/>
      <c r="T632" s="250"/>
      <c r="U632" s="250"/>
      <c r="V632" s="250"/>
      <c r="W632" s="250"/>
      <c r="X632" s="250"/>
      <c r="Y632" s="250"/>
      <c r="Z632" s="250"/>
    </row>
    <row r="633" ht="14.25" customHeight="1">
      <c r="A633" s="250"/>
      <c r="B633" s="250"/>
      <c r="C633" s="250"/>
      <c r="D633" s="250"/>
      <c r="E633" s="250"/>
      <c r="F633" s="250"/>
      <c r="G633" s="250"/>
      <c r="H633" s="250"/>
      <c r="I633" s="250"/>
      <c r="J633" s="250"/>
      <c r="K633" s="250"/>
      <c r="L633" s="250"/>
      <c r="M633" s="250"/>
      <c r="N633" s="250"/>
      <c r="O633" s="250"/>
      <c r="P633" s="250"/>
      <c r="Q633" s="250"/>
      <c r="R633" s="250"/>
      <c r="S633" s="250"/>
      <c r="T633" s="250"/>
      <c r="U633" s="250"/>
      <c r="V633" s="250"/>
      <c r="W633" s="250"/>
      <c r="X633" s="250"/>
      <c r="Y633" s="250"/>
      <c r="Z633" s="250"/>
    </row>
    <row r="634" ht="14.25" customHeight="1">
      <c r="A634" s="250"/>
      <c r="B634" s="250"/>
      <c r="C634" s="250"/>
      <c r="D634" s="250"/>
      <c r="E634" s="250"/>
      <c r="F634" s="250"/>
      <c r="G634" s="250"/>
      <c r="H634" s="250"/>
      <c r="I634" s="250"/>
      <c r="J634" s="250"/>
      <c r="K634" s="250"/>
      <c r="L634" s="250"/>
      <c r="M634" s="250"/>
      <c r="N634" s="250"/>
      <c r="O634" s="250"/>
      <c r="P634" s="250"/>
      <c r="Q634" s="250"/>
      <c r="R634" s="250"/>
      <c r="S634" s="250"/>
      <c r="T634" s="250"/>
      <c r="U634" s="250"/>
      <c r="V634" s="250"/>
      <c r="W634" s="250"/>
      <c r="X634" s="250"/>
      <c r="Y634" s="250"/>
      <c r="Z634" s="250"/>
    </row>
    <row r="635" ht="14.25" customHeight="1">
      <c r="A635" s="250"/>
      <c r="B635" s="250"/>
      <c r="C635" s="250"/>
      <c r="D635" s="250"/>
      <c r="E635" s="250"/>
      <c r="F635" s="250"/>
      <c r="G635" s="250"/>
      <c r="H635" s="250"/>
      <c r="I635" s="250"/>
      <c r="J635" s="250"/>
      <c r="K635" s="250"/>
      <c r="L635" s="250"/>
      <c r="M635" s="250"/>
      <c r="N635" s="250"/>
      <c r="O635" s="250"/>
      <c r="P635" s="250"/>
      <c r="Q635" s="250"/>
      <c r="R635" s="250"/>
      <c r="S635" s="250"/>
      <c r="T635" s="250"/>
      <c r="U635" s="250"/>
      <c r="V635" s="250"/>
      <c r="W635" s="250"/>
      <c r="X635" s="250"/>
      <c r="Y635" s="250"/>
      <c r="Z635" s="250"/>
    </row>
    <row r="636" ht="14.25" customHeight="1">
      <c r="A636" s="250"/>
      <c r="B636" s="250"/>
      <c r="C636" s="250"/>
      <c r="D636" s="250"/>
      <c r="E636" s="250"/>
      <c r="F636" s="250"/>
      <c r="G636" s="250"/>
      <c r="H636" s="250"/>
      <c r="I636" s="250"/>
      <c r="J636" s="250"/>
      <c r="K636" s="250"/>
      <c r="L636" s="250"/>
      <c r="M636" s="250"/>
      <c r="N636" s="250"/>
      <c r="O636" s="250"/>
      <c r="P636" s="250"/>
      <c r="Q636" s="250"/>
      <c r="R636" s="250"/>
      <c r="S636" s="250"/>
      <c r="T636" s="250"/>
      <c r="U636" s="250"/>
      <c r="V636" s="250"/>
      <c r="W636" s="250"/>
      <c r="X636" s="250"/>
      <c r="Y636" s="250"/>
      <c r="Z636" s="250"/>
    </row>
    <row r="637" ht="14.25" customHeight="1">
      <c r="A637" s="250"/>
      <c r="B637" s="250"/>
      <c r="C637" s="250"/>
      <c r="D637" s="250"/>
      <c r="E637" s="250"/>
      <c r="F637" s="250"/>
      <c r="G637" s="250"/>
      <c r="H637" s="250"/>
      <c r="I637" s="250"/>
      <c r="J637" s="250"/>
      <c r="K637" s="250"/>
      <c r="L637" s="250"/>
      <c r="M637" s="250"/>
      <c r="N637" s="250"/>
      <c r="O637" s="250"/>
      <c r="P637" s="250"/>
      <c r="Q637" s="250"/>
      <c r="R637" s="250"/>
      <c r="S637" s="250"/>
      <c r="T637" s="250"/>
      <c r="U637" s="250"/>
      <c r="V637" s="250"/>
      <c r="W637" s="250"/>
      <c r="X637" s="250"/>
      <c r="Y637" s="250"/>
      <c r="Z637" s="250"/>
    </row>
    <row r="638" ht="14.25" customHeight="1">
      <c r="A638" s="250"/>
      <c r="B638" s="250"/>
      <c r="C638" s="250"/>
      <c r="D638" s="250"/>
      <c r="E638" s="250"/>
      <c r="F638" s="250"/>
      <c r="G638" s="250"/>
      <c r="H638" s="250"/>
      <c r="I638" s="250"/>
      <c r="J638" s="250"/>
      <c r="K638" s="250"/>
      <c r="L638" s="250"/>
      <c r="M638" s="250"/>
      <c r="N638" s="250"/>
      <c r="O638" s="250"/>
      <c r="P638" s="250"/>
      <c r="Q638" s="250"/>
      <c r="R638" s="250"/>
      <c r="S638" s="250"/>
      <c r="T638" s="250"/>
      <c r="U638" s="250"/>
      <c r="V638" s="250"/>
      <c r="W638" s="250"/>
      <c r="X638" s="250"/>
      <c r="Y638" s="250"/>
      <c r="Z638" s="250"/>
    </row>
    <row r="639" ht="14.25" customHeight="1">
      <c r="A639" s="250"/>
      <c r="B639" s="250"/>
      <c r="C639" s="250"/>
      <c r="D639" s="250"/>
      <c r="E639" s="250"/>
      <c r="F639" s="250"/>
      <c r="G639" s="250"/>
      <c r="H639" s="250"/>
      <c r="I639" s="250"/>
      <c r="J639" s="250"/>
      <c r="K639" s="250"/>
      <c r="L639" s="250"/>
      <c r="M639" s="250"/>
      <c r="N639" s="250"/>
      <c r="O639" s="250"/>
      <c r="P639" s="250"/>
      <c r="Q639" s="250"/>
      <c r="R639" s="250"/>
      <c r="S639" s="250"/>
      <c r="T639" s="250"/>
      <c r="U639" s="250"/>
      <c r="V639" s="250"/>
      <c r="W639" s="250"/>
      <c r="X639" s="250"/>
      <c r="Y639" s="250"/>
      <c r="Z639" s="250"/>
    </row>
    <row r="640" ht="14.25" customHeight="1">
      <c r="A640" s="250"/>
      <c r="B640" s="250"/>
      <c r="C640" s="250"/>
      <c r="D640" s="250"/>
      <c r="E640" s="250"/>
      <c r="F640" s="250"/>
      <c r="G640" s="250"/>
      <c r="H640" s="250"/>
      <c r="I640" s="250"/>
      <c r="J640" s="250"/>
      <c r="K640" s="250"/>
      <c r="L640" s="250"/>
      <c r="M640" s="250"/>
      <c r="N640" s="250"/>
      <c r="O640" s="250"/>
      <c r="P640" s="250"/>
      <c r="Q640" s="250"/>
      <c r="R640" s="250"/>
      <c r="S640" s="250"/>
      <c r="T640" s="250"/>
      <c r="U640" s="250"/>
      <c r="V640" s="250"/>
      <c r="W640" s="250"/>
      <c r="X640" s="250"/>
      <c r="Y640" s="250"/>
      <c r="Z640" s="250"/>
    </row>
    <row r="641" ht="14.25" customHeight="1">
      <c r="A641" s="250"/>
      <c r="B641" s="250"/>
      <c r="C641" s="250"/>
      <c r="D641" s="250"/>
      <c r="E641" s="250"/>
      <c r="F641" s="250"/>
      <c r="G641" s="250"/>
      <c r="H641" s="250"/>
      <c r="I641" s="250"/>
      <c r="J641" s="250"/>
      <c r="K641" s="250"/>
      <c r="L641" s="250"/>
      <c r="M641" s="250"/>
      <c r="N641" s="250"/>
      <c r="O641" s="250"/>
      <c r="P641" s="250"/>
      <c r="Q641" s="250"/>
      <c r="R641" s="250"/>
      <c r="S641" s="250"/>
      <c r="T641" s="250"/>
      <c r="U641" s="250"/>
      <c r="V641" s="250"/>
      <c r="W641" s="250"/>
      <c r="X641" s="250"/>
      <c r="Y641" s="250"/>
      <c r="Z641" s="250"/>
    </row>
    <row r="642" ht="14.25" customHeight="1">
      <c r="A642" s="250"/>
      <c r="B642" s="250"/>
      <c r="C642" s="250"/>
      <c r="D642" s="250"/>
      <c r="E642" s="250"/>
      <c r="F642" s="250"/>
      <c r="G642" s="250"/>
      <c r="H642" s="250"/>
      <c r="I642" s="250"/>
      <c r="J642" s="250"/>
      <c r="K642" s="250"/>
      <c r="L642" s="250"/>
      <c r="M642" s="250"/>
      <c r="N642" s="250"/>
      <c r="O642" s="250"/>
      <c r="P642" s="250"/>
      <c r="Q642" s="250"/>
      <c r="R642" s="250"/>
      <c r="S642" s="250"/>
      <c r="T642" s="250"/>
      <c r="U642" s="250"/>
      <c r="V642" s="250"/>
      <c r="W642" s="250"/>
      <c r="X642" s="250"/>
      <c r="Y642" s="250"/>
      <c r="Z642" s="250"/>
    </row>
    <row r="643" ht="14.25" customHeight="1">
      <c r="A643" s="250"/>
      <c r="B643" s="250"/>
      <c r="C643" s="250"/>
      <c r="D643" s="250"/>
      <c r="E643" s="250"/>
      <c r="F643" s="250"/>
      <c r="G643" s="250"/>
      <c r="H643" s="250"/>
      <c r="I643" s="250"/>
      <c r="J643" s="250"/>
      <c r="K643" s="250"/>
      <c r="L643" s="250"/>
      <c r="M643" s="250"/>
      <c r="N643" s="250"/>
      <c r="O643" s="250"/>
      <c r="P643" s="250"/>
      <c r="Q643" s="250"/>
      <c r="R643" s="250"/>
      <c r="S643" s="250"/>
      <c r="T643" s="250"/>
      <c r="U643" s="250"/>
      <c r="V643" s="250"/>
      <c r="W643" s="250"/>
      <c r="X643" s="250"/>
      <c r="Y643" s="250"/>
      <c r="Z643" s="250"/>
    </row>
    <row r="644" ht="14.25" customHeight="1">
      <c r="A644" s="250"/>
      <c r="B644" s="250"/>
      <c r="C644" s="250"/>
      <c r="D644" s="250"/>
      <c r="E644" s="250"/>
      <c r="F644" s="250"/>
      <c r="G644" s="250"/>
      <c r="H644" s="250"/>
      <c r="I644" s="250"/>
      <c r="J644" s="250"/>
      <c r="K644" s="250"/>
      <c r="L644" s="250"/>
      <c r="M644" s="250"/>
      <c r="N644" s="250"/>
      <c r="O644" s="250"/>
      <c r="P644" s="250"/>
      <c r="Q644" s="250"/>
      <c r="R644" s="250"/>
      <c r="S644" s="250"/>
      <c r="T644" s="250"/>
      <c r="U644" s="250"/>
      <c r="V644" s="250"/>
      <c r="W644" s="250"/>
      <c r="X644" s="250"/>
      <c r="Y644" s="250"/>
      <c r="Z644" s="250"/>
    </row>
    <row r="645" ht="14.25" customHeight="1">
      <c r="A645" s="250"/>
      <c r="B645" s="250"/>
      <c r="C645" s="250"/>
      <c r="D645" s="250"/>
      <c r="E645" s="250"/>
      <c r="F645" s="250"/>
      <c r="G645" s="250"/>
      <c r="H645" s="250"/>
      <c r="I645" s="250"/>
      <c r="J645" s="250"/>
      <c r="K645" s="250"/>
      <c r="L645" s="250"/>
      <c r="M645" s="250"/>
      <c r="N645" s="250"/>
      <c r="O645" s="250"/>
      <c r="P645" s="250"/>
      <c r="Q645" s="250"/>
      <c r="R645" s="250"/>
      <c r="S645" s="250"/>
      <c r="T645" s="250"/>
      <c r="U645" s="250"/>
      <c r="V645" s="250"/>
      <c r="W645" s="250"/>
      <c r="X645" s="250"/>
      <c r="Y645" s="250"/>
      <c r="Z645" s="250"/>
    </row>
    <row r="646" ht="14.25" customHeight="1">
      <c r="A646" s="250"/>
      <c r="B646" s="250"/>
      <c r="C646" s="250"/>
      <c r="D646" s="250"/>
      <c r="E646" s="250"/>
      <c r="F646" s="250"/>
      <c r="G646" s="250"/>
      <c r="H646" s="250"/>
      <c r="I646" s="250"/>
      <c r="J646" s="250"/>
      <c r="K646" s="250"/>
      <c r="L646" s="250"/>
      <c r="M646" s="250"/>
      <c r="N646" s="250"/>
      <c r="O646" s="250"/>
      <c r="P646" s="250"/>
      <c r="Q646" s="250"/>
      <c r="R646" s="250"/>
      <c r="S646" s="250"/>
      <c r="T646" s="250"/>
      <c r="U646" s="250"/>
      <c r="V646" s="250"/>
      <c r="W646" s="250"/>
      <c r="X646" s="250"/>
      <c r="Y646" s="250"/>
      <c r="Z646" s="250"/>
    </row>
    <row r="647" ht="14.25" customHeight="1">
      <c r="A647" s="250"/>
      <c r="B647" s="250"/>
      <c r="C647" s="250"/>
      <c r="D647" s="250"/>
      <c r="E647" s="250"/>
      <c r="F647" s="250"/>
      <c r="G647" s="250"/>
      <c r="H647" s="250"/>
      <c r="I647" s="250"/>
      <c r="J647" s="250"/>
      <c r="K647" s="250"/>
      <c r="L647" s="250"/>
      <c r="M647" s="250"/>
      <c r="N647" s="250"/>
      <c r="O647" s="250"/>
      <c r="P647" s="250"/>
      <c r="Q647" s="250"/>
      <c r="R647" s="250"/>
      <c r="S647" s="250"/>
      <c r="T647" s="250"/>
      <c r="U647" s="250"/>
      <c r="V647" s="250"/>
      <c r="W647" s="250"/>
      <c r="X647" s="250"/>
      <c r="Y647" s="250"/>
      <c r="Z647" s="250"/>
    </row>
    <row r="648" ht="14.25" customHeight="1">
      <c r="A648" s="250"/>
      <c r="B648" s="250"/>
      <c r="C648" s="250"/>
      <c r="D648" s="250"/>
      <c r="E648" s="250"/>
      <c r="F648" s="250"/>
      <c r="G648" s="250"/>
      <c r="H648" s="250"/>
      <c r="I648" s="250"/>
      <c r="J648" s="250"/>
      <c r="K648" s="250"/>
      <c r="L648" s="250"/>
      <c r="M648" s="250"/>
      <c r="N648" s="250"/>
      <c r="O648" s="250"/>
      <c r="P648" s="250"/>
      <c r="Q648" s="250"/>
      <c r="R648" s="250"/>
      <c r="S648" s="250"/>
      <c r="T648" s="250"/>
      <c r="U648" s="250"/>
      <c r="V648" s="250"/>
      <c r="W648" s="250"/>
      <c r="X648" s="250"/>
      <c r="Y648" s="250"/>
      <c r="Z648" s="250"/>
    </row>
    <row r="649" ht="14.25" customHeight="1">
      <c r="A649" s="250"/>
      <c r="B649" s="250"/>
      <c r="C649" s="250"/>
      <c r="D649" s="250"/>
      <c r="E649" s="250"/>
      <c r="F649" s="250"/>
      <c r="G649" s="250"/>
      <c r="H649" s="250"/>
      <c r="I649" s="250"/>
      <c r="J649" s="250"/>
      <c r="K649" s="250"/>
      <c r="L649" s="250"/>
      <c r="M649" s="250"/>
      <c r="N649" s="250"/>
      <c r="O649" s="250"/>
      <c r="P649" s="250"/>
      <c r="Q649" s="250"/>
      <c r="R649" s="250"/>
      <c r="S649" s="250"/>
      <c r="T649" s="250"/>
      <c r="U649" s="250"/>
      <c r="V649" s="250"/>
      <c r="W649" s="250"/>
      <c r="X649" s="250"/>
      <c r="Y649" s="250"/>
      <c r="Z649" s="250"/>
    </row>
    <row r="650" ht="14.25" customHeight="1">
      <c r="A650" s="250"/>
      <c r="B650" s="250"/>
      <c r="C650" s="250"/>
      <c r="D650" s="250"/>
      <c r="E650" s="250"/>
      <c r="F650" s="250"/>
      <c r="G650" s="250"/>
      <c r="H650" s="250"/>
      <c r="I650" s="250"/>
      <c r="J650" s="250"/>
      <c r="K650" s="250"/>
      <c r="L650" s="250"/>
      <c r="M650" s="250"/>
      <c r="N650" s="250"/>
      <c r="O650" s="250"/>
      <c r="P650" s="250"/>
      <c r="Q650" s="250"/>
      <c r="R650" s="250"/>
      <c r="S650" s="250"/>
      <c r="T650" s="250"/>
      <c r="U650" s="250"/>
      <c r="V650" s="250"/>
      <c r="W650" s="250"/>
      <c r="X650" s="250"/>
      <c r="Y650" s="250"/>
      <c r="Z650" s="250"/>
    </row>
    <row r="651" ht="14.25" customHeight="1">
      <c r="A651" s="250"/>
      <c r="B651" s="250"/>
      <c r="C651" s="250"/>
      <c r="D651" s="250"/>
      <c r="E651" s="250"/>
      <c r="F651" s="250"/>
      <c r="G651" s="250"/>
      <c r="H651" s="250"/>
      <c r="I651" s="250"/>
      <c r="J651" s="250"/>
      <c r="K651" s="250"/>
      <c r="L651" s="250"/>
      <c r="M651" s="250"/>
      <c r="N651" s="250"/>
      <c r="O651" s="250"/>
      <c r="P651" s="250"/>
      <c r="Q651" s="250"/>
      <c r="R651" s="250"/>
      <c r="S651" s="250"/>
      <c r="T651" s="250"/>
      <c r="U651" s="250"/>
      <c r="V651" s="250"/>
      <c r="W651" s="250"/>
      <c r="X651" s="250"/>
      <c r="Y651" s="250"/>
      <c r="Z651" s="250"/>
    </row>
    <row r="652" ht="14.25" customHeight="1">
      <c r="A652" s="250"/>
      <c r="B652" s="250"/>
      <c r="C652" s="250"/>
      <c r="D652" s="250"/>
      <c r="E652" s="250"/>
      <c r="F652" s="250"/>
      <c r="G652" s="250"/>
      <c r="H652" s="250"/>
      <c r="I652" s="250"/>
      <c r="J652" s="250"/>
      <c r="K652" s="250"/>
      <c r="L652" s="250"/>
      <c r="M652" s="250"/>
      <c r="N652" s="250"/>
      <c r="O652" s="250"/>
      <c r="P652" s="250"/>
      <c r="Q652" s="250"/>
      <c r="R652" s="250"/>
      <c r="S652" s="250"/>
      <c r="T652" s="250"/>
      <c r="U652" s="250"/>
      <c r="V652" s="250"/>
      <c r="W652" s="250"/>
      <c r="X652" s="250"/>
      <c r="Y652" s="250"/>
      <c r="Z652" s="250"/>
    </row>
    <row r="653" ht="14.25" customHeight="1">
      <c r="A653" s="250"/>
      <c r="B653" s="250"/>
      <c r="C653" s="250"/>
      <c r="D653" s="250"/>
      <c r="E653" s="250"/>
      <c r="F653" s="250"/>
      <c r="G653" s="250"/>
      <c r="H653" s="250"/>
      <c r="I653" s="250"/>
      <c r="J653" s="250"/>
      <c r="K653" s="250"/>
      <c r="L653" s="250"/>
      <c r="M653" s="250"/>
      <c r="N653" s="250"/>
      <c r="O653" s="250"/>
      <c r="P653" s="250"/>
      <c r="Q653" s="250"/>
      <c r="R653" s="250"/>
      <c r="S653" s="250"/>
      <c r="T653" s="250"/>
      <c r="U653" s="250"/>
      <c r="V653" s="250"/>
      <c r="W653" s="250"/>
      <c r="X653" s="250"/>
      <c r="Y653" s="250"/>
      <c r="Z653" s="250"/>
    </row>
    <row r="654" ht="14.25" customHeight="1">
      <c r="A654" s="250"/>
      <c r="B654" s="250"/>
      <c r="C654" s="250"/>
      <c r="D654" s="250"/>
      <c r="E654" s="250"/>
      <c r="F654" s="250"/>
      <c r="G654" s="250"/>
      <c r="H654" s="250"/>
      <c r="I654" s="250"/>
      <c r="J654" s="250"/>
      <c r="K654" s="250"/>
      <c r="L654" s="250"/>
      <c r="M654" s="250"/>
      <c r="N654" s="250"/>
      <c r="O654" s="250"/>
      <c r="P654" s="250"/>
      <c r="Q654" s="250"/>
      <c r="R654" s="250"/>
      <c r="S654" s="250"/>
      <c r="T654" s="250"/>
      <c r="U654" s="250"/>
      <c r="V654" s="250"/>
      <c r="W654" s="250"/>
      <c r="X654" s="250"/>
      <c r="Y654" s="250"/>
      <c r="Z654" s="250"/>
    </row>
    <row r="655" ht="14.25" customHeight="1">
      <c r="A655" s="250"/>
      <c r="B655" s="250"/>
      <c r="C655" s="250"/>
      <c r="D655" s="250"/>
      <c r="E655" s="250"/>
      <c r="F655" s="250"/>
      <c r="G655" s="250"/>
      <c r="H655" s="250"/>
      <c r="I655" s="250"/>
      <c r="J655" s="250"/>
      <c r="K655" s="250"/>
      <c r="L655" s="250"/>
      <c r="M655" s="250"/>
      <c r="N655" s="250"/>
      <c r="O655" s="250"/>
      <c r="P655" s="250"/>
      <c r="Q655" s="250"/>
      <c r="R655" s="250"/>
      <c r="S655" s="250"/>
      <c r="T655" s="250"/>
      <c r="U655" s="250"/>
      <c r="V655" s="250"/>
      <c r="W655" s="250"/>
      <c r="X655" s="250"/>
      <c r="Y655" s="250"/>
      <c r="Z655" s="250"/>
    </row>
    <row r="656" ht="14.25" customHeight="1">
      <c r="A656" s="250"/>
      <c r="B656" s="250"/>
      <c r="C656" s="250"/>
      <c r="D656" s="250"/>
      <c r="E656" s="250"/>
      <c r="F656" s="250"/>
      <c r="G656" s="250"/>
      <c r="H656" s="250"/>
      <c r="I656" s="250"/>
      <c r="J656" s="250"/>
      <c r="K656" s="250"/>
      <c r="L656" s="250"/>
      <c r="M656" s="250"/>
      <c r="N656" s="250"/>
      <c r="O656" s="250"/>
      <c r="P656" s="250"/>
      <c r="Q656" s="250"/>
      <c r="R656" s="250"/>
      <c r="S656" s="250"/>
      <c r="T656" s="250"/>
      <c r="U656" s="250"/>
      <c r="V656" s="250"/>
      <c r="W656" s="250"/>
      <c r="X656" s="250"/>
      <c r="Y656" s="250"/>
      <c r="Z656" s="250"/>
    </row>
    <row r="657" ht="14.25" customHeight="1">
      <c r="A657" s="250"/>
      <c r="B657" s="250"/>
      <c r="C657" s="250"/>
      <c r="D657" s="250"/>
      <c r="E657" s="250"/>
      <c r="F657" s="250"/>
      <c r="G657" s="250"/>
      <c r="H657" s="250"/>
      <c r="I657" s="250"/>
      <c r="J657" s="250"/>
      <c r="K657" s="250"/>
      <c r="L657" s="250"/>
      <c r="M657" s="250"/>
      <c r="N657" s="250"/>
      <c r="O657" s="250"/>
      <c r="P657" s="250"/>
      <c r="Q657" s="250"/>
      <c r="R657" s="250"/>
      <c r="S657" s="250"/>
      <c r="T657" s="250"/>
      <c r="U657" s="250"/>
      <c r="V657" s="250"/>
      <c r="W657" s="250"/>
      <c r="X657" s="250"/>
      <c r="Y657" s="250"/>
      <c r="Z657" s="250"/>
    </row>
    <row r="658" ht="14.25" customHeight="1">
      <c r="A658" s="250"/>
      <c r="B658" s="250"/>
      <c r="C658" s="250"/>
      <c r="D658" s="250"/>
      <c r="E658" s="250"/>
      <c r="F658" s="250"/>
      <c r="G658" s="250"/>
      <c r="H658" s="250"/>
      <c r="I658" s="250"/>
      <c r="J658" s="250"/>
      <c r="K658" s="250"/>
      <c r="L658" s="250"/>
      <c r="M658" s="250"/>
      <c r="N658" s="250"/>
      <c r="O658" s="250"/>
      <c r="P658" s="250"/>
      <c r="Q658" s="250"/>
      <c r="R658" s="250"/>
      <c r="S658" s="250"/>
      <c r="T658" s="250"/>
      <c r="U658" s="250"/>
      <c r="V658" s="250"/>
      <c r="W658" s="250"/>
      <c r="X658" s="250"/>
      <c r="Y658" s="250"/>
      <c r="Z658" s="250"/>
    </row>
    <row r="659" ht="14.25" customHeight="1">
      <c r="A659" s="250"/>
      <c r="B659" s="250"/>
      <c r="C659" s="250"/>
      <c r="D659" s="250"/>
      <c r="E659" s="250"/>
      <c r="F659" s="250"/>
      <c r="G659" s="250"/>
      <c r="H659" s="250"/>
      <c r="I659" s="250"/>
      <c r="J659" s="250"/>
      <c r="K659" s="250"/>
      <c r="L659" s="250"/>
      <c r="M659" s="250"/>
      <c r="N659" s="250"/>
      <c r="O659" s="250"/>
      <c r="P659" s="250"/>
      <c r="Q659" s="250"/>
      <c r="R659" s="250"/>
      <c r="S659" s="250"/>
      <c r="T659" s="250"/>
      <c r="U659" s="250"/>
      <c r="V659" s="250"/>
      <c r="W659" s="250"/>
      <c r="X659" s="250"/>
      <c r="Y659" s="250"/>
      <c r="Z659" s="250"/>
    </row>
    <row r="660" ht="14.25" customHeight="1">
      <c r="A660" s="250"/>
      <c r="B660" s="250"/>
      <c r="C660" s="250"/>
      <c r="D660" s="250"/>
      <c r="E660" s="250"/>
      <c r="F660" s="250"/>
      <c r="G660" s="250"/>
      <c r="H660" s="250"/>
      <c r="I660" s="250"/>
      <c r="J660" s="250"/>
      <c r="K660" s="250"/>
      <c r="L660" s="250"/>
      <c r="M660" s="250"/>
      <c r="N660" s="250"/>
      <c r="O660" s="250"/>
      <c r="P660" s="250"/>
      <c r="Q660" s="250"/>
      <c r="R660" s="250"/>
      <c r="S660" s="250"/>
      <c r="T660" s="250"/>
      <c r="U660" s="250"/>
      <c r="V660" s="250"/>
      <c r="W660" s="250"/>
      <c r="X660" s="250"/>
      <c r="Y660" s="250"/>
      <c r="Z660" s="250"/>
    </row>
    <row r="661" ht="14.25" customHeight="1">
      <c r="A661" s="250"/>
      <c r="B661" s="250"/>
      <c r="C661" s="250"/>
      <c r="D661" s="250"/>
      <c r="E661" s="250"/>
      <c r="F661" s="250"/>
      <c r="G661" s="250"/>
      <c r="H661" s="250"/>
      <c r="I661" s="250"/>
      <c r="J661" s="250"/>
      <c r="K661" s="250"/>
      <c r="L661" s="250"/>
      <c r="M661" s="250"/>
      <c r="N661" s="250"/>
      <c r="O661" s="250"/>
      <c r="P661" s="250"/>
      <c r="Q661" s="250"/>
      <c r="R661" s="250"/>
      <c r="S661" s="250"/>
      <c r="T661" s="250"/>
      <c r="U661" s="250"/>
      <c r="V661" s="250"/>
      <c r="W661" s="250"/>
      <c r="X661" s="250"/>
      <c r="Y661" s="250"/>
      <c r="Z661" s="250"/>
    </row>
    <row r="662" ht="14.25" customHeight="1">
      <c r="A662" s="250"/>
      <c r="B662" s="250"/>
      <c r="C662" s="250"/>
      <c r="D662" s="250"/>
      <c r="E662" s="250"/>
      <c r="F662" s="250"/>
      <c r="G662" s="250"/>
      <c r="H662" s="250"/>
      <c r="I662" s="250"/>
      <c r="J662" s="250"/>
      <c r="K662" s="250"/>
      <c r="L662" s="250"/>
      <c r="M662" s="250"/>
      <c r="N662" s="250"/>
      <c r="O662" s="250"/>
      <c r="P662" s="250"/>
      <c r="Q662" s="250"/>
      <c r="R662" s="250"/>
      <c r="S662" s="250"/>
      <c r="T662" s="250"/>
      <c r="U662" s="250"/>
      <c r="V662" s="250"/>
      <c r="W662" s="250"/>
      <c r="X662" s="250"/>
      <c r="Y662" s="250"/>
      <c r="Z662" s="250"/>
    </row>
    <row r="663" ht="14.25" customHeight="1">
      <c r="A663" s="250"/>
      <c r="B663" s="250"/>
      <c r="C663" s="250"/>
      <c r="D663" s="250"/>
      <c r="E663" s="250"/>
      <c r="F663" s="250"/>
      <c r="G663" s="250"/>
      <c r="H663" s="250"/>
      <c r="I663" s="250"/>
      <c r="J663" s="250"/>
      <c r="K663" s="250"/>
      <c r="L663" s="250"/>
      <c r="M663" s="250"/>
      <c r="N663" s="250"/>
      <c r="O663" s="250"/>
      <c r="P663" s="250"/>
      <c r="Q663" s="250"/>
      <c r="R663" s="250"/>
      <c r="S663" s="250"/>
      <c r="T663" s="250"/>
      <c r="U663" s="250"/>
      <c r="V663" s="250"/>
      <c r="W663" s="250"/>
      <c r="X663" s="250"/>
      <c r="Y663" s="250"/>
      <c r="Z663" s="250"/>
    </row>
    <row r="664" ht="14.25" customHeight="1">
      <c r="A664" s="250"/>
      <c r="B664" s="250"/>
      <c r="C664" s="250"/>
      <c r="D664" s="250"/>
      <c r="E664" s="250"/>
      <c r="F664" s="250"/>
      <c r="G664" s="250"/>
      <c r="H664" s="250"/>
      <c r="I664" s="250"/>
      <c r="J664" s="250"/>
      <c r="K664" s="250"/>
      <c r="L664" s="250"/>
      <c r="M664" s="250"/>
      <c r="N664" s="250"/>
      <c r="O664" s="250"/>
      <c r="P664" s="250"/>
      <c r="Q664" s="250"/>
      <c r="R664" s="250"/>
      <c r="S664" s="250"/>
      <c r="T664" s="250"/>
      <c r="U664" s="250"/>
      <c r="V664" s="250"/>
      <c r="W664" s="250"/>
      <c r="X664" s="250"/>
      <c r="Y664" s="250"/>
      <c r="Z664" s="250"/>
    </row>
    <row r="665" ht="14.25" customHeight="1">
      <c r="A665" s="250"/>
      <c r="B665" s="250"/>
      <c r="C665" s="250"/>
      <c r="D665" s="250"/>
      <c r="E665" s="250"/>
      <c r="F665" s="250"/>
      <c r="G665" s="250"/>
      <c r="H665" s="250"/>
      <c r="I665" s="250"/>
      <c r="J665" s="250"/>
      <c r="K665" s="250"/>
      <c r="L665" s="250"/>
      <c r="M665" s="250"/>
      <c r="N665" s="250"/>
      <c r="O665" s="250"/>
      <c r="P665" s="250"/>
      <c r="Q665" s="250"/>
      <c r="R665" s="250"/>
      <c r="S665" s="250"/>
      <c r="T665" s="250"/>
      <c r="U665" s="250"/>
      <c r="V665" s="250"/>
      <c r="W665" s="250"/>
      <c r="X665" s="250"/>
      <c r="Y665" s="250"/>
      <c r="Z665" s="250"/>
    </row>
    <row r="666" ht="14.25" customHeight="1">
      <c r="A666" s="250"/>
      <c r="B666" s="250"/>
      <c r="C666" s="250"/>
      <c r="D666" s="250"/>
      <c r="E666" s="250"/>
      <c r="F666" s="250"/>
      <c r="G666" s="250"/>
      <c r="H666" s="250"/>
      <c r="I666" s="250"/>
      <c r="J666" s="250"/>
      <c r="K666" s="250"/>
      <c r="L666" s="250"/>
      <c r="M666" s="250"/>
      <c r="N666" s="250"/>
      <c r="O666" s="250"/>
      <c r="P666" s="250"/>
      <c r="Q666" s="250"/>
      <c r="R666" s="250"/>
      <c r="S666" s="250"/>
      <c r="T666" s="250"/>
      <c r="U666" s="250"/>
      <c r="V666" s="250"/>
      <c r="W666" s="250"/>
      <c r="X666" s="250"/>
      <c r="Y666" s="250"/>
      <c r="Z666" s="250"/>
    </row>
    <row r="667" ht="14.25" customHeight="1">
      <c r="A667" s="250"/>
      <c r="B667" s="250"/>
      <c r="C667" s="250"/>
      <c r="D667" s="250"/>
      <c r="E667" s="250"/>
      <c r="F667" s="250"/>
      <c r="G667" s="250"/>
      <c r="H667" s="250"/>
      <c r="I667" s="250"/>
      <c r="J667" s="250"/>
      <c r="K667" s="250"/>
      <c r="L667" s="250"/>
      <c r="M667" s="250"/>
      <c r="N667" s="250"/>
      <c r="O667" s="250"/>
      <c r="P667" s="250"/>
      <c r="Q667" s="250"/>
      <c r="R667" s="250"/>
      <c r="S667" s="250"/>
      <c r="T667" s="250"/>
      <c r="U667" s="250"/>
      <c r="V667" s="250"/>
      <c r="W667" s="250"/>
      <c r="X667" s="250"/>
      <c r="Y667" s="250"/>
      <c r="Z667" s="250"/>
    </row>
    <row r="668" ht="14.25" customHeight="1">
      <c r="A668" s="250"/>
      <c r="B668" s="250"/>
      <c r="C668" s="250"/>
      <c r="D668" s="250"/>
      <c r="E668" s="250"/>
      <c r="F668" s="250"/>
      <c r="G668" s="250"/>
      <c r="H668" s="250"/>
      <c r="I668" s="250"/>
      <c r="J668" s="250"/>
      <c r="K668" s="250"/>
      <c r="L668" s="250"/>
      <c r="M668" s="250"/>
      <c r="N668" s="250"/>
      <c r="O668" s="250"/>
      <c r="P668" s="250"/>
      <c r="Q668" s="250"/>
      <c r="R668" s="250"/>
      <c r="S668" s="250"/>
      <c r="T668" s="250"/>
      <c r="U668" s="250"/>
      <c r="V668" s="250"/>
      <c r="W668" s="250"/>
      <c r="X668" s="250"/>
      <c r="Y668" s="250"/>
      <c r="Z668" s="250"/>
    </row>
    <row r="669" ht="14.25" customHeight="1">
      <c r="A669" s="250"/>
      <c r="B669" s="250"/>
      <c r="C669" s="250"/>
      <c r="D669" s="250"/>
      <c r="E669" s="250"/>
      <c r="F669" s="250"/>
      <c r="G669" s="250"/>
      <c r="H669" s="250"/>
      <c r="I669" s="250"/>
      <c r="J669" s="250"/>
      <c r="K669" s="250"/>
      <c r="L669" s="250"/>
      <c r="M669" s="250"/>
      <c r="N669" s="250"/>
      <c r="O669" s="250"/>
      <c r="P669" s="250"/>
      <c r="Q669" s="250"/>
      <c r="R669" s="250"/>
      <c r="S669" s="250"/>
      <c r="T669" s="250"/>
      <c r="U669" s="250"/>
      <c r="V669" s="250"/>
      <c r="W669" s="250"/>
      <c r="X669" s="250"/>
      <c r="Y669" s="250"/>
      <c r="Z669" s="250"/>
    </row>
    <row r="670" ht="14.25" customHeight="1">
      <c r="A670" s="250"/>
      <c r="B670" s="250"/>
      <c r="C670" s="250"/>
      <c r="D670" s="250"/>
      <c r="E670" s="250"/>
      <c r="F670" s="250"/>
      <c r="G670" s="250"/>
      <c r="H670" s="250"/>
      <c r="I670" s="250"/>
      <c r="J670" s="250"/>
      <c r="K670" s="250"/>
      <c r="L670" s="250"/>
      <c r="M670" s="250"/>
      <c r="N670" s="250"/>
      <c r="O670" s="250"/>
      <c r="P670" s="250"/>
      <c r="Q670" s="250"/>
      <c r="R670" s="250"/>
      <c r="S670" s="250"/>
      <c r="T670" s="250"/>
      <c r="U670" s="250"/>
      <c r="V670" s="250"/>
      <c r="W670" s="250"/>
      <c r="X670" s="250"/>
      <c r="Y670" s="250"/>
      <c r="Z670" s="250"/>
    </row>
    <row r="671" ht="14.25" customHeight="1">
      <c r="A671" s="250"/>
      <c r="B671" s="250"/>
      <c r="C671" s="250"/>
      <c r="D671" s="250"/>
      <c r="E671" s="250"/>
      <c r="F671" s="250"/>
      <c r="G671" s="250"/>
      <c r="H671" s="250"/>
      <c r="I671" s="250"/>
      <c r="J671" s="250"/>
      <c r="K671" s="250"/>
      <c r="L671" s="250"/>
      <c r="M671" s="250"/>
      <c r="N671" s="250"/>
      <c r="O671" s="250"/>
      <c r="P671" s="250"/>
      <c r="Q671" s="250"/>
      <c r="R671" s="250"/>
      <c r="S671" s="250"/>
      <c r="T671" s="250"/>
      <c r="U671" s="250"/>
      <c r="V671" s="250"/>
      <c r="W671" s="250"/>
      <c r="X671" s="250"/>
      <c r="Y671" s="250"/>
      <c r="Z671" s="250"/>
    </row>
    <row r="672" ht="14.25" customHeight="1">
      <c r="A672" s="250"/>
      <c r="B672" s="250"/>
      <c r="C672" s="250"/>
      <c r="D672" s="250"/>
      <c r="E672" s="250"/>
      <c r="F672" s="250"/>
      <c r="G672" s="250"/>
      <c r="H672" s="250"/>
      <c r="I672" s="250"/>
      <c r="J672" s="250"/>
      <c r="K672" s="250"/>
      <c r="L672" s="250"/>
      <c r="M672" s="250"/>
      <c r="N672" s="250"/>
      <c r="O672" s="250"/>
      <c r="P672" s="250"/>
      <c r="Q672" s="250"/>
      <c r="R672" s="250"/>
      <c r="S672" s="250"/>
      <c r="T672" s="250"/>
      <c r="U672" s="250"/>
      <c r="V672" s="250"/>
      <c r="W672" s="250"/>
      <c r="X672" s="250"/>
      <c r="Y672" s="250"/>
      <c r="Z672" s="250"/>
    </row>
    <row r="673" ht="14.25" customHeight="1">
      <c r="A673" s="250"/>
      <c r="B673" s="250"/>
      <c r="C673" s="250"/>
      <c r="D673" s="250"/>
      <c r="E673" s="250"/>
      <c r="F673" s="250"/>
      <c r="G673" s="250"/>
      <c r="H673" s="250"/>
      <c r="I673" s="250"/>
      <c r="J673" s="250"/>
      <c r="K673" s="250"/>
      <c r="L673" s="250"/>
      <c r="M673" s="250"/>
      <c r="N673" s="250"/>
      <c r="O673" s="250"/>
      <c r="P673" s="250"/>
      <c r="Q673" s="250"/>
      <c r="R673" s="250"/>
      <c r="S673" s="250"/>
      <c r="T673" s="250"/>
      <c r="U673" s="250"/>
      <c r="V673" s="250"/>
      <c r="W673" s="250"/>
      <c r="X673" s="250"/>
      <c r="Y673" s="250"/>
      <c r="Z673" s="250"/>
    </row>
    <row r="674" ht="14.25" customHeight="1">
      <c r="A674" s="250"/>
      <c r="B674" s="250"/>
      <c r="C674" s="250"/>
      <c r="D674" s="250"/>
      <c r="E674" s="250"/>
      <c r="F674" s="250"/>
      <c r="G674" s="250"/>
      <c r="H674" s="250"/>
      <c r="I674" s="250"/>
      <c r="J674" s="250"/>
      <c r="K674" s="250"/>
      <c r="L674" s="250"/>
      <c r="M674" s="250"/>
      <c r="N674" s="250"/>
      <c r="O674" s="250"/>
      <c r="P674" s="250"/>
      <c r="Q674" s="250"/>
      <c r="R674" s="250"/>
      <c r="S674" s="250"/>
      <c r="T674" s="250"/>
      <c r="U674" s="250"/>
      <c r="V674" s="250"/>
      <c r="W674" s="250"/>
      <c r="X674" s="250"/>
      <c r="Y674" s="250"/>
      <c r="Z674" s="250"/>
    </row>
    <row r="675" ht="14.25" customHeight="1">
      <c r="A675" s="250"/>
      <c r="B675" s="250"/>
      <c r="C675" s="250"/>
      <c r="D675" s="250"/>
      <c r="E675" s="250"/>
      <c r="F675" s="250"/>
      <c r="G675" s="250"/>
      <c r="H675" s="250"/>
      <c r="I675" s="250"/>
      <c r="J675" s="250"/>
      <c r="K675" s="250"/>
      <c r="L675" s="250"/>
      <c r="M675" s="250"/>
      <c r="N675" s="250"/>
      <c r="O675" s="250"/>
      <c r="P675" s="250"/>
      <c r="Q675" s="250"/>
      <c r="R675" s="250"/>
      <c r="S675" s="250"/>
      <c r="T675" s="250"/>
      <c r="U675" s="250"/>
      <c r="V675" s="250"/>
      <c r="W675" s="250"/>
      <c r="X675" s="250"/>
      <c r="Y675" s="250"/>
      <c r="Z675" s="250"/>
    </row>
    <row r="676" ht="14.25" customHeight="1">
      <c r="A676" s="250"/>
      <c r="B676" s="250"/>
      <c r="C676" s="250"/>
      <c r="D676" s="250"/>
      <c r="E676" s="250"/>
      <c r="F676" s="250"/>
      <c r="G676" s="250"/>
      <c r="H676" s="250"/>
      <c r="I676" s="250"/>
      <c r="J676" s="250"/>
      <c r="K676" s="250"/>
      <c r="L676" s="250"/>
      <c r="M676" s="250"/>
      <c r="N676" s="250"/>
      <c r="O676" s="250"/>
      <c r="P676" s="250"/>
      <c r="Q676" s="250"/>
      <c r="R676" s="250"/>
      <c r="S676" s="250"/>
      <c r="T676" s="250"/>
      <c r="U676" s="250"/>
      <c r="V676" s="250"/>
      <c r="W676" s="250"/>
      <c r="X676" s="250"/>
      <c r="Y676" s="250"/>
      <c r="Z676" s="250"/>
    </row>
    <row r="677" ht="14.25" customHeight="1">
      <c r="A677" s="250"/>
      <c r="B677" s="250"/>
      <c r="C677" s="250"/>
      <c r="D677" s="250"/>
      <c r="E677" s="250"/>
      <c r="F677" s="250"/>
      <c r="G677" s="250"/>
      <c r="H677" s="250"/>
      <c r="I677" s="250"/>
      <c r="J677" s="250"/>
      <c r="K677" s="250"/>
      <c r="L677" s="250"/>
      <c r="M677" s="250"/>
      <c r="N677" s="250"/>
      <c r="O677" s="250"/>
      <c r="P677" s="250"/>
      <c r="Q677" s="250"/>
      <c r="R677" s="250"/>
      <c r="S677" s="250"/>
      <c r="T677" s="250"/>
      <c r="U677" s="250"/>
      <c r="V677" s="250"/>
      <c r="W677" s="250"/>
      <c r="X677" s="250"/>
      <c r="Y677" s="250"/>
      <c r="Z677" s="250"/>
    </row>
    <row r="678" ht="14.25" customHeight="1">
      <c r="A678" s="250"/>
      <c r="B678" s="250"/>
      <c r="C678" s="250"/>
      <c r="D678" s="250"/>
      <c r="E678" s="250"/>
      <c r="F678" s="250"/>
      <c r="G678" s="250"/>
      <c r="H678" s="250"/>
      <c r="I678" s="250"/>
      <c r="J678" s="250"/>
      <c r="K678" s="250"/>
      <c r="L678" s="250"/>
      <c r="M678" s="250"/>
      <c r="N678" s="250"/>
      <c r="O678" s="250"/>
      <c r="P678" s="250"/>
      <c r="Q678" s="250"/>
      <c r="R678" s="250"/>
      <c r="S678" s="250"/>
      <c r="T678" s="250"/>
      <c r="U678" s="250"/>
      <c r="V678" s="250"/>
      <c r="W678" s="250"/>
      <c r="X678" s="250"/>
      <c r="Y678" s="250"/>
      <c r="Z678" s="250"/>
    </row>
    <row r="679" ht="14.25" customHeight="1">
      <c r="A679" s="250"/>
      <c r="B679" s="250"/>
      <c r="C679" s="250"/>
      <c r="D679" s="250"/>
      <c r="E679" s="250"/>
      <c r="F679" s="250"/>
      <c r="G679" s="250"/>
      <c r="H679" s="250"/>
      <c r="I679" s="250"/>
      <c r="J679" s="250"/>
      <c r="K679" s="250"/>
      <c r="L679" s="250"/>
      <c r="M679" s="250"/>
      <c r="N679" s="250"/>
      <c r="O679" s="250"/>
      <c r="P679" s="250"/>
      <c r="Q679" s="250"/>
      <c r="R679" s="250"/>
      <c r="S679" s="250"/>
      <c r="T679" s="250"/>
      <c r="U679" s="250"/>
      <c r="V679" s="250"/>
      <c r="W679" s="250"/>
      <c r="X679" s="250"/>
      <c r="Y679" s="250"/>
      <c r="Z679" s="250"/>
    </row>
    <row r="680" ht="14.25" customHeight="1">
      <c r="A680" s="250"/>
      <c r="B680" s="250"/>
      <c r="C680" s="250"/>
      <c r="D680" s="250"/>
      <c r="E680" s="250"/>
      <c r="F680" s="250"/>
      <c r="G680" s="250"/>
      <c r="H680" s="250"/>
      <c r="I680" s="250"/>
      <c r="J680" s="250"/>
      <c r="K680" s="250"/>
      <c r="L680" s="250"/>
      <c r="M680" s="250"/>
      <c r="N680" s="250"/>
      <c r="O680" s="250"/>
      <c r="P680" s="250"/>
      <c r="Q680" s="250"/>
      <c r="R680" s="250"/>
      <c r="S680" s="250"/>
      <c r="T680" s="250"/>
      <c r="U680" s="250"/>
      <c r="V680" s="250"/>
      <c r="W680" s="250"/>
      <c r="X680" s="250"/>
      <c r="Y680" s="250"/>
      <c r="Z680" s="250"/>
    </row>
    <row r="681" ht="14.25" customHeight="1">
      <c r="A681" s="250"/>
      <c r="B681" s="250"/>
      <c r="C681" s="250"/>
      <c r="D681" s="250"/>
      <c r="E681" s="250"/>
      <c r="F681" s="250"/>
      <c r="G681" s="250"/>
      <c r="H681" s="250"/>
      <c r="I681" s="250"/>
      <c r="J681" s="250"/>
      <c r="K681" s="250"/>
      <c r="L681" s="250"/>
      <c r="M681" s="250"/>
      <c r="N681" s="250"/>
      <c r="O681" s="250"/>
      <c r="P681" s="250"/>
      <c r="Q681" s="250"/>
      <c r="R681" s="250"/>
      <c r="S681" s="250"/>
      <c r="T681" s="250"/>
      <c r="U681" s="250"/>
      <c r="V681" s="250"/>
      <c r="W681" s="250"/>
      <c r="X681" s="250"/>
      <c r="Y681" s="250"/>
      <c r="Z681" s="250"/>
    </row>
    <row r="682" ht="14.25" customHeight="1">
      <c r="A682" s="250"/>
      <c r="B682" s="250"/>
      <c r="C682" s="250"/>
      <c r="D682" s="250"/>
      <c r="E682" s="250"/>
      <c r="F682" s="250"/>
      <c r="G682" s="250"/>
      <c r="H682" s="250"/>
      <c r="I682" s="250"/>
      <c r="J682" s="250"/>
      <c r="K682" s="250"/>
      <c r="L682" s="250"/>
      <c r="M682" s="250"/>
      <c r="N682" s="250"/>
      <c r="O682" s="250"/>
      <c r="P682" s="250"/>
      <c r="Q682" s="250"/>
      <c r="R682" s="250"/>
      <c r="S682" s="250"/>
      <c r="T682" s="250"/>
      <c r="U682" s="250"/>
      <c r="V682" s="250"/>
      <c r="W682" s="250"/>
      <c r="X682" s="250"/>
      <c r="Y682" s="250"/>
      <c r="Z682" s="250"/>
    </row>
    <row r="683" ht="14.25" customHeight="1">
      <c r="A683" s="250"/>
      <c r="B683" s="250"/>
      <c r="C683" s="250"/>
      <c r="D683" s="250"/>
      <c r="E683" s="250"/>
      <c r="F683" s="250"/>
      <c r="G683" s="250"/>
      <c r="H683" s="250"/>
      <c r="I683" s="250"/>
      <c r="J683" s="250"/>
      <c r="K683" s="250"/>
      <c r="L683" s="250"/>
      <c r="M683" s="250"/>
      <c r="N683" s="250"/>
      <c r="O683" s="250"/>
      <c r="P683" s="250"/>
      <c r="Q683" s="250"/>
      <c r="R683" s="250"/>
      <c r="S683" s="250"/>
      <c r="T683" s="250"/>
      <c r="U683" s="250"/>
      <c r="V683" s="250"/>
      <c r="W683" s="250"/>
      <c r="X683" s="250"/>
      <c r="Y683" s="250"/>
      <c r="Z683" s="250"/>
    </row>
    <row r="684" ht="14.25" customHeight="1">
      <c r="A684" s="250"/>
      <c r="B684" s="250"/>
      <c r="C684" s="250"/>
      <c r="D684" s="250"/>
      <c r="E684" s="250"/>
      <c r="F684" s="250"/>
      <c r="G684" s="250"/>
      <c r="H684" s="250"/>
      <c r="I684" s="250"/>
      <c r="J684" s="250"/>
      <c r="K684" s="250"/>
      <c r="L684" s="250"/>
      <c r="M684" s="250"/>
      <c r="N684" s="250"/>
      <c r="O684" s="250"/>
      <c r="P684" s="250"/>
      <c r="Q684" s="250"/>
      <c r="R684" s="250"/>
      <c r="S684" s="250"/>
      <c r="T684" s="250"/>
      <c r="U684" s="250"/>
      <c r="V684" s="250"/>
      <c r="W684" s="250"/>
      <c r="X684" s="250"/>
      <c r="Y684" s="250"/>
      <c r="Z684" s="250"/>
    </row>
    <row r="685" ht="14.25" customHeight="1">
      <c r="A685" s="250"/>
      <c r="B685" s="250"/>
      <c r="C685" s="250"/>
      <c r="D685" s="250"/>
      <c r="E685" s="250"/>
      <c r="F685" s="250"/>
      <c r="G685" s="250"/>
      <c r="H685" s="250"/>
      <c r="I685" s="250"/>
      <c r="J685" s="250"/>
      <c r="K685" s="250"/>
      <c r="L685" s="250"/>
      <c r="M685" s="250"/>
      <c r="N685" s="250"/>
      <c r="O685" s="250"/>
      <c r="P685" s="250"/>
      <c r="Q685" s="250"/>
      <c r="R685" s="250"/>
      <c r="S685" s="250"/>
      <c r="T685" s="250"/>
      <c r="U685" s="250"/>
      <c r="V685" s="250"/>
      <c r="W685" s="250"/>
      <c r="X685" s="250"/>
      <c r="Y685" s="250"/>
      <c r="Z685" s="250"/>
    </row>
    <row r="686" ht="14.25" customHeight="1">
      <c r="A686" s="250"/>
      <c r="B686" s="250"/>
      <c r="C686" s="250"/>
      <c r="D686" s="250"/>
      <c r="E686" s="250"/>
      <c r="F686" s="250"/>
      <c r="G686" s="250"/>
      <c r="H686" s="250"/>
      <c r="I686" s="250"/>
      <c r="J686" s="250"/>
      <c r="K686" s="250"/>
      <c r="L686" s="250"/>
      <c r="M686" s="250"/>
      <c r="N686" s="250"/>
      <c r="O686" s="250"/>
      <c r="P686" s="250"/>
      <c r="Q686" s="250"/>
      <c r="R686" s="250"/>
      <c r="S686" s="250"/>
      <c r="T686" s="250"/>
      <c r="U686" s="250"/>
      <c r="V686" s="250"/>
      <c r="W686" s="250"/>
      <c r="X686" s="250"/>
      <c r="Y686" s="250"/>
      <c r="Z686" s="250"/>
    </row>
    <row r="687" ht="14.25" customHeight="1">
      <c r="A687" s="250"/>
      <c r="B687" s="250"/>
      <c r="C687" s="250"/>
      <c r="D687" s="250"/>
      <c r="E687" s="250"/>
      <c r="F687" s="250"/>
      <c r="G687" s="250"/>
      <c r="H687" s="250"/>
      <c r="I687" s="250"/>
      <c r="J687" s="250"/>
      <c r="K687" s="250"/>
      <c r="L687" s="250"/>
      <c r="M687" s="250"/>
      <c r="N687" s="250"/>
      <c r="O687" s="250"/>
      <c r="P687" s="250"/>
      <c r="Q687" s="250"/>
      <c r="R687" s="250"/>
      <c r="S687" s="250"/>
      <c r="T687" s="250"/>
      <c r="U687" s="250"/>
      <c r="V687" s="250"/>
      <c r="W687" s="250"/>
      <c r="X687" s="250"/>
      <c r="Y687" s="250"/>
      <c r="Z687" s="250"/>
    </row>
    <row r="688" ht="14.25" customHeight="1">
      <c r="A688" s="250"/>
      <c r="B688" s="250"/>
      <c r="C688" s="250"/>
      <c r="D688" s="250"/>
      <c r="E688" s="250"/>
      <c r="F688" s="250"/>
      <c r="G688" s="250"/>
      <c r="H688" s="250"/>
      <c r="I688" s="250"/>
      <c r="J688" s="250"/>
      <c r="K688" s="250"/>
      <c r="L688" s="250"/>
      <c r="M688" s="250"/>
      <c r="N688" s="250"/>
      <c r="O688" s="250"/>
      <c r="P688" s="250"/>
      <c r="Q688" s="250"/>
      <c r="R688" s="250"/>
      <c r="S688" s="250"/>
      <c r="T688" s="250"/>
      <c r="U688" s="250"/>
      <c r="V688" s="250"/>
      <c r="W688" s="250"/>
      <c r="X688" s="250"/>
      <c r="Y688" s="250"/>
      <c r="Z688" s="250"/>
    </row>
    <row r="689" ht="14.25" customHeight="1">
      <c r="A689" s="250"/>
      <c r="B689" s="250"/>
      <c r="C689" s="250"/>
      <c r="D689" s="250"/>
      <c r="E689" s="250"/>
      <c r="F689" s="250"/>
      <c r="G689" s="250"/>
      <c r="H689" s="250"/>
      <c r="I689" s="250"/>
      <c r="J689" s="250"/>
      <c r="K689" s="250"/>
      <c r="L689" s="250"/>
      <c r="M689" s="250"/>
      <c r="N689" s="250"/>
      <c r="O689" s="250"/>
      <c r="P689" s="250"/>
      <c r="Q689" s="250"/>
      <c r="R689" s="250"/>
      <c r="S689" s="250"/>
      <c r="T689" s="250"/>
      <c r="U689" s="250"/>
      <c r="V689" s="250"/>
      <c r="W689" s="250"/>
      <c r="X689" s="250"/>
      <c r="Y689" s="250"/>
      <c r="Z689" s="250"/>
    </row>
    <row r="690" ht="14.25" customHeight="1">
      <c r="A690" s="250"/>
      <c r="B690" s="250"/>
      <c r="C690" s="250"/>
      <c r="D690" s="250"/>
      <c r="E690" s="250"/>
      <c r="F690" s="250"/>
      <c r="G690" s="250"/>
      <c r="H690" s="250"/>
      <c r="I690" s="250"/>
      <c r="J690" s="250"/>
      <c r="K690" s="250"/>
      <c r="L690" s="250"/>
      <c r="M690" s="250"/>
      <c r="N690" s="250"/>
      <c r="O690" s="250"/>
      <c r="P690" s="250"/>
      <c r="Q690" s="250"/>
      <c r="R690" s="250"/>
      <c r="S690" s="250"/>
      <c r="T690" s="250"/>
      <c r="U690" s="250"/>
      <c r="V690" s="250"/>
      <c r="W690" s="250"/>
      <c r="X690" s="250"/>
      <c r="Y690" s="250"/>
      <c r="Z690" s="250"/>
    </row>
    <row r="691" ht="14.25" customHeight="1">
      <c r="A691" s="250"/>
      <c r="B691" s="250"/>
      <c r="C691" s="250"/>
      <c r="D691" s="250"/>
      <c r="E691" s="250"/>
      <c r="F691" s="250"/>
      <c r="G691" s="250"/>
      <c r="H691" s="250"/>
      <c r="I691" s="250"/>
      <c r="J691" s="250"/>
      <c r="K691" s="250"/>
      <c r="L691" s="250"/>
      <c r="M691" s="250"/>
      <c r="N691" s="250"/>
      <c r="O691" s="250"/>
      <c r="P691" s="250"/>
      <c r="Q691" s="250"/>
      <c r="R691" s="250"/>
      <c r="S691" s="250"/>
      <c r="T691" s="250"/>
      <c r="U691" s="250"/>
      <c r="V691" s="250"/>
      <c r="W691" s="250"/>
      <c r="X691" s="250"/>
      <c r="Y691" s="250"/>
      <c r="Z691" s="250"/>
    </row>
    <row r="692" ht="14.25" customHeight="1">
      <c r="A692" s="250"/>
      <c r="B692" s="250"/>
      <c r="C692" s="250"/>
      <c r="D692" s="250"/>
      <c r="E692" s="250"/>
      <c r="F692" s="250"/>
      <c r="G692" s="250"/>
      <c r="H692" s="250"/>
      <c r="I692" s="250"/>
      <c r="J692" s="250"/>
      <c r="K692" s="250"/>
      <c r="L692" s="250"/>
      <c r="M692" s="250"/>
      <c r="N692" s="250"/>
      <c r="O692" s="250"/>
      <c r="P692" s="250"/>
      <c r="Q692" s="250"/>
      <c r="R692" s="250"/>
      <c r="S692" s="250"/>
      <c r="T692" s="250"/>
      <c r="U692" s="250"/>
      <c r="V692" s="250"/>
      <c r="W692" s="250"/>
      <c r="X692" s="250"/>
      <c r="Y692" s="250"/>
      <c r="Z692" s="250"/>
    </row>
    <row r="693" ht="14.25" customHeight="1">
      <c r="A693" s="250"/>
      <c r="B693" s="250"/>
      <c r="C693" s="250"/>
      <c r="D693" s="250"/>
      <c r="E693" s="250"/>
      <c r="F693" s="250"/>
      <c r="G693" s="250"/>
      <c r="H693" s="250"/>
      <c r="I693" s="250"/>
      <c r="J693" s="250"/>
      <c r="K693" s="250"/>
      <c r="L693" s="250"/>
      <c r="M693" s="250"/>
      <c r="N693" s="250"/>
      <c r="O693" s="250"/>
      <c r="P693" s="250"/>
      <c r="Q693" s="250"/>
      <c r="R693" s="250"/>
      <c r="S693" s="250"/>
      <c r="T693" s="250"/>
      <c r="U693" s="250"/>
      <c r="V693" s="250"/>
      <c r="W693" s="250"/>
      <c r="X693" s="250"/>
      <c r="Y693" s="250"/>
      <c r="Z693" s="250"/>
    </row>
    <row r="694" ht="14.25" customHeight="1">
      <c r="A694" s="250"/>
      <c r="B694" s="250"/>
      <c r="C694" s="250"/>
      <c r="D694" s="250"/>
      <c r="E694" s="250"/>
      <c r="F694" s="250"/>
      <c r="G694" s="250"/>
      <c r="H694" s="250"/>
      <c r="I694" s="250"/>
      <c r="J694" s="250"/>
      <c r="K694" s="250"/>
      <c r="L694" s="250"/>
      <c r="M694" s="250"/>
      <c r="N694" s="250"/>
      <c r="O694" s="250"/>
      <c r="P694" s="250"/>
      <c r="Q694" s="250"/>
      <c r="R694" s="250"/>
      <c r="S694" s="250"/>
      <c r="T694" s="250"/>
      <c r="U694" s="250"/>
      <c r="V694" s="250"/>
      <c r="W694" s="250"/>
      <c r="X694" s="250"/>
      <c r="Y694" s="250"/>
      <c r="Z694" s="250"/>
    </row>
    <row r="695" ht="14.25" customHeight="1">
      <c r="A695" s="250"/>
      <c r="B695" s="250"/>
      <c r="C695" s="250"/>
      <c r="D695" s="250"/>
      <c r="E695" s="250"/>
      <c r="F695" s="250"/>
      <c r="G695" s="250"/>
      <c r="H695" s="250"/>
      <c r="I695" s="250"/>
      <c r="J695" s="250"/>
      <c r="K695" s="250"/>
      <c r="L695" s="250"/>
      <c r="M695" s="250"/>
      <c r="N695" s="250"/>
      <c r="O695" s="250"/>
      <c r="P695" s="250"/>
      <c r="Q695" s="250"/>
      <c r="R695" s="250"/>
      <c r="S695" s="250"/>
      <c r="T695" s="250"/>
      <c r="U695" s="250"/>
      <c r="V695" s="250"/>
      <c r="W695" s="250"/>
      <c r="X695" s="250"/>
      <c r="Y695" s="250"/>
      <c r="Z695" s="250"/>
    </row>
    <row r="696" ht="14.25" customHeight="1">
      <c r="A696" s="250"/>
      <c r="B696" s="250"/>
      <c r="C696" s="250"/>
      <c r="D696" s="250"/>
      <c r="E696" s="250"/>
      <c r="F696" s="250"/>
      <c r="G696" s="250"/>
      <c r="H696" s="250"/>
      <c r="I696" s="250"/>
      <c r="J696" s="250"/>
      <c r="K696" s="250"/>
      <c r="L696" s="250"/>
      <c r="M696" s="250"/>
      <c r="N696" s="250"/>
      <c r="O696" s="250"/>
      <c r="P696" s="250"/>
      <c r="Q696" s="250"/>
      <c r="R696" s="250"/>
      <c r="S696" s="250"/>
      <c r="T696" s="250"/>
      <c r="U696" s="250"/>
      <c r="V696" s="250"/>
      <c r="W696" s="250"/>
      <c r="X696" s="250"/>
      <c r="Y696" s="250"/>
      <c r="Z696" s="250"/>
    </row>
    <row r="697" ht="14.25" customHeight="1">
      <c r="A697" s="250"/>
      <c r="B697" s="250"/>
      <c r="C697" s="250"/>
      <c r="D697" s="250"/>
      <c r="E697" s="250"/>
      <c r="F697" s="250"/>
      <c r="G697" s="250"/>
      <c r="H697" s="250"/>
      <c r="I697" s="250"/>
      <c r="J697" s="250"/>
      <c r="K697" s="250"/>
      <c r="L697" s="250"/>
      <c r="M697" s="250"/>
      <c r="N697" s="250"/>
      <c r="O697" s="250"/>
      <c r="P697" s="250"/>
      <c r="Q697" s="250"/>
      <c r="R697" s="250"/>
      <c r="S697" s="250"/>
      <c r="T697" s="250"/>
      <c r="U697" s="250"/>
      <c r="V697" s="250"/>
      <c r="W697" s="250"/>
      <c r="X697" s="250"/>
      <c r="Y697" s="250"/>
      <c r="Z697" s="250"/>
    </row>
    <row r="698" ht="14.25" customHeight="1">
      <c r="A698" s="250"/>
      <c r="B698" s="250"/>
      <c r="C698" s="250"/>
      <c r="D698" s="250"/>
      <c r="E698" s="250"/>
      <c r="F698" s="250"/>
      <c r="G698" s="250"/>
      <c r="H698" s="250"/>
      <c r="I698" s="250"/>
      <c r="J698" s="250"/>
      <c r="K698" s="250"/>
      <c r="L698" s="250"/>
      <c r="M698" s="250"/>
      <c r="N698" s="250"/>
      <c r="O698" s="250"/>
      <c r="P698" s="250"/>
      <c r="Q698" s="250"/>
      <c r="R698" s="250"/>
      <c r="S698" s="250"/>
      <c r="T698" s="250"/>
      <c r="U698" s="250"/>
      <c r="V698" s="250"/>
      <c r="W698" s="250"/>
      <c r="X698" s="250"/>
      <c r="Y698" s="250"/>
      <c r="Z698" s="250"/>
    </row>
    <row r="699" ht="14.25" customHeight="1">
      <c r="A699" s="250"/>
      <c r="B699" s="250"/>
      <c r="C699" s="250"/>
      <c r="D699" s="250"/>
      <c r="E699" s="250"/>
      <c r="F699" s="250"/>
      <c r="G699" s="250"/>
      <c r="H699" s="250"/>
      <c r="I699" s="250"/>
      <c r="J699" s="250"/>
      <c r="K699" s="250"/>
      <c r="L699" s="250"/>
      <c r="M699" s="250"/>
      <c r="N699" s="250"/>
      <c r="O699" s="250"/>
      <c r="P699" s="250"/>
      <c r="Q699" s="250"/>
      <c r="R699" s="250"/>
      <c r="S699" s="250"/>
      <c r="T699" s="250"/>
      <c r="U699" s="250"/>
      <c r="V699" s="250"/>
      <c r="W699" s="250"/>
      <c r="X699" s="250"/>
      <c r="Y699" s="250"/>
      <c r="Z699" s="250"/>
    </row>
    <row r="700" ht="14.25" customHeight="1">
      <c r="A700" s="250"/>
      <c r="B700" s="250"/>
      <c r="C700" s="250"/>
      <c r="D700" s="250"/>
      <c r="E700" s="250"/>
      <c r="F700" s="250"/>
      <c r="G700" s="250"/>
      <c r="H700" s="250"/>
      <c r="I700" s="250"/>
      <c r="J700" s="250"/>
      <c r="K700" s="250"/>
      <c r="L700" s="250"/>
      <c r="M700" s="250"/>
      <c r="N700" s="250"/>
      <c r="O700" s="250"/>
      <c r="P700" s="250"/>
      <c r="Q700" s="250"/>
      <c r="R700" s="250"/>
      <c r="S700" s="250"/>
      <c r="T700" s="250"/>
      <c r="U700" s="250"/>
      <c r="V700" s="250"/>
      <c r="W700" s="250"/>
      <c r="X700" s="250"/>
      <c r="Y700" s="250"/>
      <c r="Z700" s="250"/>
    </row>
    <row r="701" ht="14.25" customHeight="1">
      <c r="A701" s="250"/>
      <c r="B701" s="250"/>
      <c r="C701" s="250"/>
      <c r="D701" s="250"/>
      <c r="E701" s="250"/>
      <c r="F701" s="250"/>
      <c r="G701" s="250"/>
      <c r="H701" s="250"/>
      <c r="I701" s="250"/>
      <c r="J701" s="250"/>
      <c r="K701" s="250"/>
      <c r="L701" s="250"/>
      <c r="M701" s="250"/>
      <c r="N701" s="250"/>
      <c r="O701" s="250"/>
      <c r="P701" s="250"/>
      <c r="Q701" s="250"/>
      <c r="R701" s="250"/>
      <c r="S701" s="250"/>
      <c r="T701" s="250"/>
      <c r="U701" s="250"/>
      <c r="V701" s="250"/>
      <c r="W701" s="250"/>
      <c r="X701" s="250"/>
      <c r="Y701" s="250"/>
      <c r="Z701" s="250"/>
    </row>
    <row r="702" ht="14.25" customHeight="1">
      <c r="A702" s="250"/>
      <c r="B702" s="250"/>
      <c r="C702" s="250"/>
      <c r="D702" s="250"/>
      <c r="E702" s="250"/>
      <c r="F702" s="250"/>
      <c r="G702" s="250"/>
      <c r="H702" s="250"/>
      <c r="I702" s="250"/>
      <c r="J702" s="250"/>
      <c r="K702" s="250"/>
      <c r="L702" s="250"/>
      <c r="M702" s="250"/>
      <c r="N702" s="250"/>
      <c r="O702" s="250"/>
      <c r="P702" s="250"/>
      <c r="Q702" s="250"/>
      <c r="R702" s="250"/>
      <c r="S702" s="250"/>
      <c r="T702" s="250"/>
      <c r="U702" s="250"/>
      <c r="V702" s="250"/>
      <c r="W702" s="250"/>
      <c r="X702" s="250"/>
      <c r="Y702" s="250"/>
      <c r="Z702" s="250"/>
    </row>
    <row r="703" ht="14.25" customHeight="1">
      <c r="A703" s="250"/>
      <c r="B703" s="250"/>
      <c r="C703" s="250"/>
      <c r="D703" s="250"/>
      <c r="E703" s="250"/>
      <c r="F703" s="250"/>
      <c r="G703" s="250"/>
      <c r="H703" s="250"/>
      <c r="I703" s="250"/>
      <c r="J703" s="250"/>
      <c r="K703" s="250"/>
      <c r="L703" s="250"/>
      <c r="M703" s="250"/>
      <c r="N703" s="250"/>
      <c r="O703" s="250"/>
      <c r="P703" s="250"/>
      <c r="Q703" s="250"/>
      <c r="R703" s="250"/>
      <c r="S703" s="250"/>
      <c r="T703" s="250"/>
      <c r="U703" s="250"/>
      <c r="V703" s="250"/>
      <c r="W703" s="250"/>
      <c r="X703" s="250"/>
      <c r="Y703" s="250"/>
      <c r="Z703" s="250"/>
    </row>
    <row r="704" ht="14.25" customHeight="1">
      <c r="A704" s="250"/>
      <c r="B704" s="250"/>
      <c r="C704" s="250"/>
      <c r="D704" s="250"/>
      <c r="E704" s="250"/>
      <c r="F704" s="250"/>
      <c r="G704" s="250"/>
      <c r="H704" s="250"/>
      <c r="I704" s="250"/>
      <c r="J704" s="250"/>
      <c r="K704" s="250"/>
      <c r="L704" s="250"/>
      <c r="M704" s="250"/>
      <c r="N704" s="250"/>
      <c r="O704" s="250"/>
      <c r="P704" s="250"/>
      <c r="Q704" s="250"/>
      <c r="R704" s="250"/>
      <c r="S704" s="250"/>
      <c r="T704" s="250"/>
      <c r="U704" s="250"/>
      <c r="V704" s="250"/>
      <c r="W704" s="250"/>
      <c r="X704" s="250"/>
      <c r="Y704" s="250"/>
      <c r="Z704" s="250"/>
    </row>
    <row r="705" ht="14.25" customHeight="1">
      <c r="A705" s="250"/>
      <c r="B705" s="250"/>
      <c r="C705" s="250"/>
      <c r="D705" s="250"/>
      <c r="E705" s="250"/>
      <c r="F705" s="250"/>
      <c r="G705" s="250"/>
      <c r="H705" s="250"/>
      <c r="I705" s="250"/>
      <c r="J705" s="250"/>
      <c r="K705" s="250"/>
      <c r="L705" s="250"/>
      <c r="M705" s="250"/>
      <c r="N705" s="250"/>
      <c r="O705" s="250"/>
      <c r="P705" s="250"/>
      <c r="Q705" s="250"/>
      <c r="R705" s="250"/>
      <c r="S705" s="250"/>
      <c r="T705" s="250"/>
      <c r="U705" s="250"/>
      <c r="V705" s="250"/>
      <c r="W705" s="250"/>
      <c r="X705" s="250"/>
      <c r="Y705" s="250"/>
      <c r="Z705" s="250"/>
    </row>
    <row r="706" ht="14.25" customHeight="1">
      <c r="A706" s="250"/>
      <c r="B706" s="250"/>
      <c r="C706" s="250"/>
      <c r="D706" s="250"/>
      <c r="E706" s="250"/>
      <c r="F706" s="250"/>
      <c r="G706" s="250"/>
      <c r="H706" s="250"/>
      <c r="I706" s="250"/>
      <c r="J706" s="250"/>
      <c r="K706" s="250"/>
      <c r="L706" s="250"/>
      <c r="M706" s="250"/>
      <c r="N706" s="250"/>
      <c r="O706" s="250"/>
      <c r="P706" s="250"/>
      <c r="Q706" s="250"/>
      <c r="R706" s="250"/>
      <c r="S706" s="250"/>
      <c r="T706" s="250"/>
      <c r="U706" s="250"/>
      <c r="V706" s="250"/>
      <c r="W706" s="250"/>
      <c r="X706" s="250"/>
      <c r="Y706" s="250"/>
      <c r="Z706" s="250"/>
    </row>
    <row r="707" ht="14.25" customHeight="1">
      <c r="A707" s="250"/>
      <c r="B707" s="250"/>
      <c r="C707" s="250"/>
      <c r="D707" s="250"/>
      <c r="E707" s="250"/>
      <c r="F707" s="250"/>
      <c r="G707" s="250"/>
      <c r="H707" s="250"/>
      <c r="I707" s="250"/>
      <c r="J707" s="250"/>
      <c r="K707" s="250"/>
      <c r="L707" s="250"/>
      <c r="M707" s="250"/>
      <c r="N707" s="250"/>
      <c r="O707" s="250"/>
      <c r="P707" s="250"/>
      <c r="Q707" s="250"/>
      <c r="R707" s="250"/>
      <c r="S707" s="250"/>
      <c r="T707" s="250"/>
      <c r="U707" s="250"/>
      <c r="V707" s="250"/>
      <c r="W707" s="250"/>
      <c r="X707" s="250"/>
      <c r="Y707" s="250"/>
      <c r="Z707" s="250"/>
    </row>
    <row r="708" ht="14.25" customHeight="1">
      <c r="A708" s="250"/>
      <c r="B708" s="250"/>
      <c r="C708" s="250"/>
      <c r="D708" s="250"/>
      <c r="E708" s="250"/>
      <c r="F708" s="250"/>
      <c r="G708" s="250"/>
      <c r="H708" s="250"/>
      <c r="I708" s="250"/>
      <c r="J708" s="250"/>
      <c r="K708" s="250"/>
      <c r="L708" s="250"/>
      <c r="M708" s="250"/>
      <c r="N708" s="250"/>
      <c r="O708" s="250"/>
      <c r="P708" s="250"/>
      <c r="Q708" s="250"/>
      <c r="R708" s="250"/>
      <c r="S708" s="250"/>
      <c r="T708" s="250"/>
      <c r="U708" s="250"/>
      <c r="V708" s="250"/>
      <c r="W708" s="250"/>
      <c r="X708" s="250"/>
      <c r="Y708" s="250"/>
      <c r="Z708" s="250"/>
    </row>
    <row r="709" ht="14.25" customHeight="1">
      <c r="A709" s="250"/>
      <c r="B709" s="250"/>
      <c r="C709" s="250"/>
      <c r="D709" s="250"/>
      <c r="E709" s="250"/>
      <c r="F709" s="250"/>
      <c r="G709" s="250"/>
      <c r="H709" s="250"/>
      <c r="I709" s="250"/>
      <c r="J709" s="250"/>
      <c r="K709" s="250"/>
      <c r="L709" s="250"/>
      <c r="M709" s="250"/>
      <c r="N709" s="250"/>
      <c r="O709" s="250"/>
      <c r="P709" s="250"/>
      <c r="Q709" s="250"/>
      <c r="R709" s="250"/>
      <c r="S709" s="250"/>
      <c r="T709" s="250"/>
      <c r="U709" s="250"/>
      <c r="V709" s="250"/>
      <c r="W709" s="250"/>
      <c r="X709" s="250"/>
      <c r="Y709" s="250"/>
      <c r="Z709" s="250"/>
    </row>
    <row r="710" ht="14.25" customHeight="1">
      <c r="A710" s="250"/>
      <c r="B710" s="250"/>
      <c r="C710" s="250"/>
      <c r="D710" s="250"/>
      <c r="E710" s="250"/>
      <c r="F710" s="250"/>
      <c r="G710" s="250"/>
      <c r="H710" s="250"/>
      <c r="I710" s="250"/>
      <c r="J710" s="250"/>
      <c r="K710" s="250"/>
      <c r="L710" s="250"/>
      <c r="M710" s="250"/>
      <c r="N710" s="250"/>
      <c r="O710" s="250"/>
      <c r="P710" s="250"/>
      <c r="Q710" s="250"/>
      <c r="R710" s="250"/>
      <c r="S710" s="250"/>
      <c r="T710" s="250"/>
      <c r="U710" s="250"/>
      <c r="V710" s="250"/>
      <c r="W710" s="250"/>
      <c r="X710" s="250"/>
      <c r="Y710" s="250"/>
      <c r="Z710" s="250"/>
    </row>
    <row r="711" ht="14.25" customHeight="1">
      <c r="A711" s="250"/>
      <c r="B711" s="250"/>
      <c r="C711" s="250"/>
      <c r="D711" s="250"/>
      <c r="E711" s="250"/>
      <c r="F711" s="250"/>
      <c r="G711" s="250"/>
      <c r="H711" s="250"/>
      <c r="I711" s="250"/>
      <c r="J711" s="250"/>
      <c r="K711" s="250"/>
      <c r="L711" s="250"/>
      <c r="M711" s="250"/>
      <c r="N711" s="250"/>
      <c r="O711" s="250"/>
      <c r="P711" s="250"/>
      <c r="Q711" s="250"/>
      <c r="R711" s="250"/>
      <c r="S711" s="250"/>
      <c r="T711" s="250"/>
      <c r="U711" s="250"/>
      <c r="V711" s="250"/>
      <c r="W711" s="250"/>
      <c r="X711" s="250"/>
      <c r="Y711" s="250"/>
      <c r="Z711" s="250"/>
    </row>
    <row r="712" ht="14.25" customHeight="1">
      <c r="A712" s="250"/>
      <c r="B712" s="250"/>
      <c r="C712" s="250"/>
      <c r="D712" s="250"/>
      <c r="E712" s="250"/>
      <c r="F712" s="250"/>
      <c r="G712" s="250"/>
      <c r="H712" s="250"/>
      <c r="I712" s="250"/>
      <c r="J712" s="250"/>
      <c r="K712" s="250"/>
      <c r="L712" s="250"/>
      <c r="M712" s="250"/>
      <c r="N712" s="250"/>
      <c r="O712" s="250"/>
      <c r="P712" s="250"/>
      <c r="Q712" s="250"/>
      <c r="R712" s="250"/>
      <c r="S712" s="250"/>
      <c r="T712" s="250"/>
      <c r="U712" s="250"/>
      <c r="V712" s="250"/>
      <c r="W712" s="250"/>
      <c r="X712" s="250"/>
      <c r="Y712" s="250"/>
      <c r="Z712" s="250"/>
    </row>
    <row r="713" ht="14.25" customHeight="1">
      <c r="A713" s="250"/>
      <c r="B713" s="250"/>
      <c r="C713" s="250"/>
      <c r="D713" s="250"/>
      <c r="E713" s="250"/>
      <c r="F713" s="250"/>
      <c r="G713" s="250"/>
      <c r="H713" s="250"/>
      <c r="I713" s="250"/>
      <c r="J713" s="250"/>
      <c r="K713" s="250"/>
      <c r="L713" s="250"/>
      <c r="M713" s="250"/>
      <c r="N713" s="250"/>
      <c r="O713" s="250"/>
      <c r="P713" s="250"/>
      <c r="Q713" s="250"/>
      <c r="R713" s="250"/>
      <c r="S713" s="250"/>
      <c r="T713" s="250"/>
      <c r="U713" s="250"/>
      <c r="V713" s="250"/>
      <c r="W713" s="250"/>
      <c r="X713" s="250"/>
      <c r="Y713" s="250"/>
      <c r="Z713" s="250"/>
    </row>
    <row r="714" ht="14.25" customHeight="1">
      <c r="A714" s="250"/>
      <c r="B714" s="250"/>
      <c r="C714" s="250"/>
      <c r="D714" s="250"/>
      <c r="E714" s="250"/>
      <c r="F714" s="250"/>
      <c r="G714" s="250"/>
      <c r="H714" s="250"/>
      <c r="I714" s="250"/>
      <c r="J714" s="250"/>
      <c r="K714" s="250"/>
      <c r="L714" s="250"/>
      <c r="M714" s="250"/>
      <c r="N714" s="250"/>
      <c r="O714" s="250"/>
      <c r="P714" s="250"/>
      <c r="Q714" s="250"/>
      <c r="R714" s="250"/>
      <c r="S714" s="250"/>
      <c r="T714" s="250"/>
      <c r="U714" s="250"/>
      <c r="V714" s="250"/>
      <c r="W714" s="250"/>
      <c r="X714" s="250"/>
      <c r="Y714" s="250"/>
      <c r="Z714" s="250"/>
    </row>
    <row r="715" ht="14.25" customHeight="1">
      <c r="A715" s="250"/>
      <c r="B715" s="250"/>
      <c r="C715" s="250"/>
      <c r="D715" s="250"/>
      <c r="E715" s="250"/>
      <c r="F715" s="250"/>
      <c r="G715" s="250"/>
      <c r="H715" s="250"/>
      <c r="I715" s="250"/>
      <c r="J715" s="250"/>
      <c r="K715" s="250"/>
      <c r="L715" s="250"/>
      <c r="M715" s="250"/>
      <c r="N715" s="250"/>
      <c r="O715" s="250"/>
      <c r="P715" s="250"/>
      <c r="Q715" s="250"/>
      <c r="R715" s="250"/>
      <c r="S715" s="250"/>
      <c r="T715" s="250"/>
      <c r="U715" s="250"/>
      <c r="V715" s="250"/>
      <c r="W715" s="250"/>
      <c r="X715" s="250"/>
      <c r="Y715" s="250"/>
      <c r="Z715" s="250"/>
    </row>
    <row r="716" ht="14.25" customHeight="1">
      <c r="A716" s="250"/>
      <c r="B716" s="250"/>
      <c r="C716" s="250"/>
      <c r="D716" s="250"/>
      <c r="E716" s="250"/>
      <c r="F716" s="250"/>
      <c r="G716" s="250"/>
      <c r="H716" s="250"/>
      <c r="I716" s="250"/>
      <c r="J716" s="250"/>
      <c r="K716" s="250"/>
      <c r="L716" s="250"/>
      <c r="M716" s="250"/>
      <c r="N716" s="250"/>
      <c r="O716" s="250"/>
      <c r="P716" s="250"/>
      <c r="Q716" s="250"/>
      <c r="R716" s="250"/>
      <c r="S716" s="250"/>
      <c r="T716" s="250"/>
      <c r="U716" s="250"/>
      <c r="V716" s="250"/>
      <c r="W716" s="250"/>
      <c r="X716" s="250"/>
      <c r="Y716" s="250"/>
      <c r="Z716" s="250"/>
    </row>
    <row r="717" ht="14.25" customHeight="1">
      <c r="A717" s="250"/>
      <c r="B717" s="250"/>
      <c r="C717" s="250"/>
      <c r="D717" s="250"/>
      <c r="E717" s="250"/>
      <c r="F717" s="250"/>
      <c r="G717" s="250"/>
      <c r="H717" s="250"/>
      <c r="I717" s="250"/>
      <c r="J717" s="250"/>
      <c r="K717" s="250"/>
      <c r="L717" s="250"/>
      <c r="M717" s="250"/>
      <c r="N717" s="250"/>
      <c r="O717" s="250"/>
      <c r="P717" s="250"/>
      <c r="Q717" s="250"/>
      <c r="R717" s="250"/>
      <c r="S717" s="250"/>
      <c r="T717" s="250"/>
      <c r="U717" s="250"/>
      <c r="V717" s="250"/>
      <c r="W717" s="250"/>
      <c r="X717" s="250"/>
      <c r="Y717" s="250"/>
      <c r="Z717" s="250"/>
    </row>
    <row r="718" ht="14.25" customHeight="1">
      <c r="A718" s="250"/>
      <c r="B718" s="250"/>
      <c r="C718" s="250"/>
      <c r="D718" s="250"/>
      <c r="E718" s="250"/>
      <c r="F718" s="250"/>
      <c r="G718" s="250"/>
      <c r="H718" s="250"/>
      <c r="I718" s="250"/>
      <c r="J718" s="250"/>
      <c r="K718" s="250"/>
      <c r="L718" s="250"/>
      <c r="M718" s="250"/>
      <c r="N718" s="250"/>
      <c r="O718" s="250"/>
      <c r="P718" s="250"/>
      <c r="Q718" s="250"/>
      <c r="R718" s="250"/>
      <c r="S718" s="250"/>
      <c r="T718" s="250"/>
      <c r="U718" s="250"/>
      <c r="V718" s="250"/>
      <c r="W718" s="250"/>
      <c r="X718" s="250"/>
      <c r="Y718" s="250"/>
      <c r="Z718" s="250"/>
    </row>
    <row r="719" ht="14.25" customHeight="1">
      <c r="A719" s="250"/>
      <c r="B719" s="250"/>
      <c r="C719" s="250"/>
      <c r="D719" s="250"/>
      <c r="E719" s="250"/>
      <c r="F719" s="250"/>
      <c r="G719" s="250"/>
      <c r="H719" s="250"/>
      <c r="I719" s="250"/>
      <c r="J719" s="250"/>
      <c r="K719" s="250"/>
      <c r="L719" s="250"/>
      <c r="M719" s="250"/>
      <c r="N719" s="250"/>
      <c r="O719" s="250"/>
      <c r="P719" s="250"/>
      <c r="Q719" s="250"/>
      <c r="R719" s="250"/>
      <c r="S719" s="250"/>
      <c r="T719" s="250"/>
      <c r="U719" s="250"/>
      <c r="V719" s="250"/>
      <c r="W719" s="250"/>
      <c r="X719" s="250"/>
      <c r="Y719" s="250"/>
      <c r="Z719" s="250"/>
    </row>
    <row r="720" ht="14.25" customHeight="1">
      <c r="A720" s="250"/>
      <c r="B720" s="250"/>
      <c r="C720" s="250"/>
      <c r="D720" s="250"/>
      <c r="E720" s="250"/>
      <c r="F720" s="250"/>
      <c r="G720" s="250"/>
      <c r="H720" s="250"/>
      <c r="I720" s="250"/>
      <c r="J720" s="250"/>
      <c r="K720" s="250"/>
      <c r="L720" s="250"/>
      <c r="M720" s="250"/>
      <c r="N720" s="250"/>
      <c r="O720" s="250"/>
      <c r="P720" s="250"/>
      <c r="Q720" s="250"/>
      <c r="R720" s="250"/>
      <c r="S720" s="250"/>
      <c r="T720" s="250"/>
      <c r="U720" s="250"/>
      <c r="V720" s="250"/>
      <c r="W720" s="250"/>
      <c r="X720" s="250"/>
      <c r="Y720" s="250"/>
      <c r="Z720" s="250"/>
    </row>
    <row r="721" ht="14.25" customHeight="1">
      <c r="A721" s="250"/>
      <c r="B721" s="250"/>
      <c r="C721" s="250"/>
      <c r="D721" s="250"/>
      <c r="E721" s="250"/>
      <c r="F721" s="250"/>
      <c r="G721" s="250"/>
      <c r="H721" s="250"/>
      <c r="I721" s="250"/>
      <c r="J721" s="250"/>
      <c r="K721" s="250"/>
      <c r="L721" s="250"/>
      <c r="M721" s="250"/>
      <c r="N721" s="250"/>
      <c r="O721" s="250"/>
      <c r="P721" s="250"/>
      <c r="Q721" s="250"/>
      <c r="R721" s="250"/>
      <c r="S721" s="250"/>
      <c r="T721" s="250"/>
      <c r="U721" s="250"/>
      <c r="V721" s="250"/>
      <c r="W721" s="250"/>
      <c r="X721" s="250"/>
      <c r="Y721" s="250"/>
      <c r="Z721" s="250"/>
    </row>
    <row r="722" ht="14.25" customHeight="1">
      <c r="A722" s="250"/>
      <c r="B722" s="250"/>
      <c r="C722" s="250"/>
      <c r="D722" s="250"/>
      <c r="E722" s="250"/>
      <c r="F722" s="250"/>
      <c r="G722" s="250"/>
      <c r="H722" s="250"/>
      <c r="I722" s="250"/>
      <c r="J722" s="250"/>
      <c r="K722" s="250"/>
      <c r="L722" s="250"/>
      <c r="M722" s="250"/>
      <c r="N722" s="250"/>
      <c r="O722" s="250"/>
      <c r="P722" s="250"/>
      <c r="Q722" s="250"/>
      <c r="R722" s="250"/>
      <c r="S722" s="250"/>
      <c r="T722" s="250"/>
      <c r="U722" s="250"/>
      <c r="V722" s="250"/>
      <c r="W722" s="250"/>
      <c r="X722" s="250"/>
      <c r="Y722" s="250"/>
      <c r="Z722" s="250"/>
    </row>
    <row r="723" ht="14.25" customHeight="1">
      <c r="A723" s="250"/>
      <c r="B723" s="250"/>
      <c r="C723" s="250"/>
      <c r="D723" s="250"/>
      <c r="E723" s="250"/>
      <c r="F723" s="250"/>
      <c r="G723" s="250"/>
      <c r="H723" s="250"/>
      <c r="I723" s="250"/>
      <c r="J723" s="250"/>
      <c r="K723" s="250"/>
      <c r="L723" s="250"/>
      <c r="M723" s="250"/>
      <c r="N723" s="250"/>
      <c r="O723" s="250"/>
      <c r="P723" s="250"/>
      <c r="Q723" s="250"/>
      <c r="R723" s="250"/>
      <c r="S723" s="250"/>
      <c r="T723" s="250"/>
      <c r="U723" s="250"/>
      <c r="V723" s="250"/>
      <c r="W723" s="250"/>
      <c r="X723" s="250"/>
      <c r="Y723" s="250"/>
      <c r="Z723" s="250"/>
    </row>
    <row r="724" ht="14.25" customHeight="1">
      <c r="A724" s="250"/>
      <c r="B724" s="250"/>
      <c r="C724" s="250"/>
      <c r="D724" s="250"/>
      <c r="E724" s="250"/>
      <c r="F724" s="250"/>
      <c r="G724" s="250"/>
      <c r="H724" s="250"/>
      <c r="I724" s="250"/>
      <c r="J724" s="250"/>
      <c r="K724" s="250"/>
      <c r="L724" s="250"/>
      <c r="M724" s="250"/>
      <c r="N724" s="250"/>
      <c r="O724" s="250"/>
      <c r="P724" s="250"/>
      <c r="Q724" s="250"/>
      <c r="R724" s="250"/>
      <c r="S724" s="250"/>
      <c r="T724" s="250"/>
      <c r="U724" s="250"/>
      <c r="V724" s="250"/>
      <c r="W724" s="250"/>
      <c r="X724" s="250"/>
      <c r="Y724" s="250"/>
      <c r="Z724" s="250"/>
    </row>
    <row r="725" ht="14.25" customHeight="1">
      <c r="A725" s="250"/>
      <c r="B725" s="250"/>
      <c r="C725" s="250"/>
      <c r="D725" s="250"/>
      <c r="E725" s="250"/>
      <c r="F725" s="250"/>
      <c r="G725" s="250"/>
      <c r="H725" s="250"/>
      <c r="I725" s="250"/>
      <c r="J725" s="250"/>
      <c r="K725" s="250"/>
      <c r="L725" s="250"/>
      <c r="M725" s="250"/>
      <c r="N725" s="250"/>
      <c r="O725" s="250"/>
      <c r="P725" s="250"/>
      <c r="Q725" s="250"/>
      <c r="R725" s="250"/>
      <c r="S725" s="250"/>
      <c r="T725" s="250"/>
      <c r="U725" s="250"/>
      <c r="V725" s="250"/>
      <c r="W725" s="250"/>
      <c r="X725" s="250"/>
      <c r="Y725" s="250"/>
      <c r="Z725" s="250"/>
    </row>
    <row r="726" ht="14.25" customHeight="1">
      <c r="A726" s="250"/>
      <c r="B726" s="250"/>
      <c r="C726" s="250"/>
      <c r="D726" s="250"/>
      <c r="E726" s="250"/>
      <c r="F726" s="250"/>
      <c r="G726" s="250"/>
      <c r="H726" s="250"/>
      <c r="I726" s="250"/>
      <c r="J726" s="250"/>
      <c r="K726" s="250"/>
      <c r="L726" s="250"/>
      <c r="M726" s="250"/>
      <c r="N726" s="250"/>
      <c r="O726" s="250"/>
      <c r="P726" s="250"/>
      <c r="Q726" s="250"/>
      <c r="R726" s="250"/>
      <c r="S726" s="250"/>
      <c r="T726" s="250"/>
      <c r="U726" s="250"/>
      <c r="V726" s="250"/>
      <c r="W726" s="250"/>
      <c r="X726" s="250"/>
      <c r="Y726" s="250"/>
      <c r="Z726" s="250"/>
    </row>
    <row r="727" ht="14.25" customHeight="1">
      <c r="A727" s="250"/>
      <c r="B727" s="250"/>
      <c r="C727" s="250"/>
      <c r="D727" s="250"/>
      <c r="E727" s="250"/>
      <c r="F727" s="250"/>
      <c r="G727" s="250"/>
      <c r="H727" s="250"/>
      <c r="I727" s="250"/>
      <c r="J727" s="250"/>
      <c r="K727" s="250"/>
      <c r="L727" s="250"/>
      <c r="M727" s="250"/>
      <c r="N727" s="250"/>
      <c r="O727" s="250"/>
      <c r="P727" s="250"/>
      <c r="Q727" s="250"/>
      <c r="R727" s="250"/>
      <c r="S727" s="250"/>
      <c r="T727" s="250"/>
      <c r="U727" s="250"/>
      <c r="V727" s="250"/>
      <c r="W727" s="250"/>
      <c r="X727" s="250"/>
      <c r="Y727" s="250"/>
      <c r="Z727" s="250"/>
    </row>
    <row r="728" ht="14.25" customHeight="1">
      <c r="A728" s="250"/>
      <c r="B728" s="250"/>
      <c r="C728" s="250"/>
      <c r="D728" s="250"/>
      <c r="E728" s="250"/>
      <c r="F728" s="250"/>
      <c r="G728" s="250"/>
      <c r="H728" s="250"/>
      <c r="I728" s="250"/>
      <c r="J728" s="250"/>
      <c r="K728" s="250"/>
      <c r="L728" s="250"/>
      <c r="M728" s="250"/>
      <c r="N728" s="250"/>
      <c r="O728" s="250"/>
      <c r="P728" s="250"/>
      <c r="Q728" s="250"/>
      <c r="R728" s="250"/>
      <c r="S728" s="250"/>
      <c r="T728" s="250"/>
      <c r="U728" s="250"/>
      <c r="V728" s="250"/>
      <c r="W728" s="250"/>
      <c r="X728" s="250"/>
      <c r="Y728" s="250"/>
      <c r="Z728" s="250"/>
    </row>
    <row r="729" ht="14.25" customHeight="1">
      <c r="A729" s="250"/>
      <c r="B729" s="250"/>
      <c r="C729" s="250"/>
      <c r="D729" s="250"/>
      <c r="E729" s="250"/>
      <c r="F729" s="250"/>
      <c r="G729" s="250"/>
      <c r="H729" s="250"/>
      <c r="I729" s="250"/>
      <c r="J729" s="250"/>
      <c r="K729" s="250"/>
      <c r="L729" s="250"/>
      <c r="M729" s="250"/>
      <c r="N729" s="250"/>
      <c r="O729" s="250"/>
      <c r="P729" s="250"/>
      <c r="Q729" s="250"/>
      <c r="R729" s="250"/>
      <c r="S729" s="250"/>
      <c r="T729" s="250"/>
      <c r="U729" s="250"/>
      <c r="V729" s="250"/>
      <c r="W729" s="250"/>
      <c r="X729" s="250"/>
      <c r="Y729" s="250"/>
      <c r="Z729" s="250"/>
    </row>
    <row r="730" ht="14.25" customHeight="1">
      <c r="A730" s="250"/>
      <c r="B730" s="250"/>
      <c r="C730" s="250"/>
      <c r="D730" s="250"/>
      <c r="E730" s="250"/>
      <c r="F730" s="250"/>
      <c r="G730" s="250"/>
      <c r="H730" s="250"/>
      <c r="I730" s="250"/>
      <c r="J730" s="250"/>
      <c r="K730" s="250"/>
      <c r="L730" s="250"/>
      <c r="M730" s="250"/>
      <c r="N730" s="250"/>
      <c r="O730" s="250"/>
      <c r="P730" s="250"/>
      <c r="Q730" s="250"/>
      <c r="R730" s="250"/>
      <c r="S730" s="250"/>
      <c r="T730" s="250"/>
      <c r="U730" s="250"/>
      <c r="V730" s="250"/>
      <c r="W730" s="250"/>
      <c r="X730" s="250"/>
      <c r="Y730" s="250"/>
      <c r="Z730" s="250"/>
    </row>
    <row r="731" ht="14.25" customHeight="1">
      <c r="A731" s="250"/>
      <c r="B731" s="250"/>
      <c r="C731" s="250"/>
      <c r="D731" s="250"/>
      <c r="E731" s="250"/>
      <c r="F731" s="250"/>
      <c r="G731" s="250"/>
      <c r="H731" s="250"/>
      <c r="I731" s="250"/>
      <c r="J731" s="250"/>
      <c r="K731" s="250"/>
      <c r="L731" s="250"/>
      <c r="M731" s="250"/>
      <c r="N731" s="250"/>
      <c r="O731" s="250"/>
      <c r="P731" s="250"/>
      <c r="Q731" s="250"/>
      <c r="R731" s="250"/>
      <c r="S731" s="250"/>
      <c r="T731" s="250"/>
      <c r="U731" s="250"/>
      <c r="V731" s="250"/>
      <c r="W731" s="250"/>
      <c r="X731" s="250"/>
      <c r="Y731" s="250"/>
      <c r="Z731" s="250"/>
    </row>
    <row r="732" ht="14.25" customHeight="1">
      <c r="A732" s="250"/>
      <c r="B732" s="250"/>
      <c r="C732" s="250"/>
      <c r="D732" s="250"/>
      <c r="E732" s="250"/>
      <c r="F732" s="250"/>
      <c r="G732" s="250"/>
      <c r="H732" s="250"/>
      <c r="I732" s="250"/>
      <c r="J732" s="250"/>
      <c r="K732" s="250"/>
      <c r="L732" s="250"/>
      <c r="M732" s="250"/>
      <c r="N732" s="250"/>
      <c r="O732" s="250"/>
      <c r="P732" s="250"/>
      <c r="Q732" s="250"/>
      <c r="R732" s="250"/>
      <c r="S732" s="250"/>
      <c r="T732" s="250"/>
      <c r="U732" s="250"/>
      <c r="V732" s="250"/>
      <c r="W732" s="250"/>
      <c r="X732" s="250"/>
      <c r="Y732" s="250"/>
      <c r="Z732" s="250"/>
    </row>
    <row r="733" ht="14.25" customHeight="1">
      <c r="A733" s="250"/>
      <c r="B733" s="250"/>
      <c r="C733" s="250"/>
      <c r="D733" s="250"/>
      <c r="E733" s="250"/>
      <c r="F733" s="250"/>
      <c r="G733" s="250"/>
      <c r="H733" s="250"/>
      <c r="I733" s="250"/>
      <c r="J733" s="250"/>
      <c r="K733" s="250"/>
      <c r="L733" s="250"/>
      <c r="M733" s="250"/>
      <c r="N733" s="250"/>
      <c r="O733" s="250"/>
      <c r="P733" s="250"/>
      <c r="Q733" s="250"/>
      <c r="R733" s="250"/>
      <c r="S733" s="250"/>
      <c r="T733" s="250"/>
      <c r="U733" s="250"/>
      <c r="V733" s="250"/>
      <c r="W733" s="250"/>
      <c r="X733" s="250"/>
      <c r="Y733" s="250"/>
      <c r="Z733" s="250"/>
    </row>
    <row r="734" ht="14.25" customHeight="1">
      <c r="A734" s="250"/>
      <c r="B734" s="250"/>
      <c r="C734" s="250"/>
      <c r="D734" s="250"/>
      <c r="E734" s="250"/>
      <c r="F734" s="250"/>
      <c r="G734" s="250"/>
      <c r="H734" s="250"/>
      <c r="I734" s="250"/>
      <c r="J734" s="250"/>
      <c r="K734" s="250"/>
      <c r="L734" s="250"/>
      <c r="M734" s="250"/>
      <c r="N734" s="250"/>
      <c r="O734" s="250"/>
      <c r="P734" s="250"/>
      <c r="Q734" s="250"/>
      <c r="R734" s="250"/>
      <c r="S734" s="250"/>
      <c r="T734" s="250"/>
      <c r="U734" s="250"/>
      <c r="V734" s="250"/>
      <c r="W734" s="250"/>
      <c r="X734" s="250"/>
      <c r="Y734" s="250"/>
      <c r="Z734" s="250"/>
    </row>
    <row r="735" ht="14.25" customHeight="1">
      <c r="A735" s="250"/>
      <c r="B735" s="250"/>
      <c r="C735" s="250"/>
      <c r="D735" s="250"/>
      <c r="E735" s="250"/>
      <c r="F735" s="250"/>
      <c r="G735" s="250"/>
      <c r="H735" s="250"/>
      <c r="I735" s="250"/>
      <c r="J735" s="250"/>
      <c r="K735" s="250"/>
      <c r="L735" s="250"/>
      <c r="M735" s="250"/>
      <c r="N735" s="250"/>
      <c r="O735" s="250"/>
      <c r="P735" s="250"/>
      <c r="Q735" s="250"/>
      <c r="R735" s="250"/>
      <c r="S735" s="250"/>
      <c r="T735" s="250"/>
      <c r="U735" s="250"/>
      <c r="V735" s="250"/>
      <c r="W735" s="250"/>
      <c r="X735" s="250"/>
      <c r="Y735" s="250"/>
      <c r="Z735" s="250"/>
    </row>
    <row r="736" ht="14.25" customHeight="1">
      <c r="A736" s="250"/>
      <c r="B736" s="250"/>
      <c r="C736" s="250"/>
      <c r="D736" s="250"/>
      <c r="E736" s="250"/>
      <c r="F736" s="250"/>
      <c r="G736" s="250"/>
      <c r="H736" s="250"/>
      <c r="I736" s="250"/>
      <c r="J736" s="250"/>
      <c r="K736" s="250"/>
      <c r="L736" s="250"/>
      <c r="M736" s="250"/>
      <c r="N736" s="250"/>
      <c r="O736" s="250"/>
      <c r="P736" s="250"/>
      <c r="Q736" s="250"/>
      <c r="R736" s="250"/>
      <c r="S736" s="250"/>
      <c r="T736" s="250"/>
      <c r="U736" s="250"/>
      <c r="V736" s="250"/>
      <c r="W736" s="250"/>
      <c r="X736" s="250"/>
      <c r="Y736" s="250"/>
      <c r="Z736" s="250"/>
    </row>
    <row r="737" ht="14.25" customHeight="1">
      <c r="A737" s="250"/>
      <c r="B737" s="250"/>
      <c r="C737" s="250"/>
      <c r="D737" s="250"/>
      <c r="E737" s="250"/>
      <c r="F737" s="250"/>
      <c r="G737" s="250"/>
      <c r="H737" s="250"/>
      <c r="I737" s="250"/>
      <c r="J737" s="250"/>
      <c r="K737" s="250"/>
      <c r="L737" s="250"/>
      <c r="M737" s="250"/>
      <c r="N737" s="250"/>
      <c r="O737" s="250"/>
      <c r="P737" s="250"/>
      <c r="Q737" s="250"/>
      <c r="R737" s="250"/>
      <c r="S737" s="250"/>
      <c r="T737" s="250"/>
      <c r="U737" s="250"/>
      <c r="V737" s="250"/>
      <c r="W737" s="250"/>
      <c r="X737" s="250"/>
      <c r="Y737" s="250"/>
      <c r="Z737" s="250"/>
    </row>
    <row r="738" ht="14.25" customHeight="1">
      <c r="A738" s="250"/>
      <c r="B738" s="250"/>
      <c r="C738" s="250"/>
      <c r="D738" s="250"/>
      <c r="E738" s="250"/>
      <c r="F738" s="250"/>
      <c r="G738" s="250"/>
      <c r="H738" s="250"/>
      <c r="I738" s="250"/>
      <c r="J738" s="250"/>
      <c r="K738" s="250"/>
      <c r="L738" s="250"/>
      <c r="M738" s="250"/>
      <c r="N738" s="250"/>
      <c r="O738" s="250"/>
      <c r="P738" s="250"/>
      <c r="Q738" s="250"/>
      <c r="R738" s="250"/>
      <c r="S738" s="250"/>
      <c r="T738" s="250"/>
      <c r="U738" s="250"/>
      <c r="V738" s="250"/>
      <c r="W738" s="250"/>
      <c r="X738" s="250"/>
      <c r="Y738" s="250"/>
      <c r="Z738" s="250"/>
    </row>
    <row r="739" ht="14.25" customHeight="1">
      <c r="A739" s="250"/>
      <c r="B739" s="250"/>
      <c r="C739" s="250"/>
      <c r="D739" s="250"/>
      <c r="E739" s="250"/>
      <c r="F739" s="250"/>
      <c r="G739" s="250"/>
      <c r="H739" s="250"/>
      <c r="I739" s="250"/>
      <c r="J739" s="250"/>
      <c r="K739" s="250"/>
      <c r="L739" s="250"/>
      <c r="M739" s="250"/>
      <c r="N739" s="250"/>
      <c r="O739" s="250"/>
      <c r="P739" s="250"/>
      <c r="Q739" s="250"/>
      <c r="R739" s="250"/>
      <c r="S739" s="250"/>
      <c r="T739" s="250"/>
      <c r="U739" s="250"/>
      <c r="V739" s="250"/>
      <c r="W739" s="250"/>
      <c r="X739" s="250"/>
      <c r="Y739" s="250"/>
      <c r="Z739" s="250"/>
    </row>
    <row r="740" ht="14.25" customHeight="1">
      <c r="A740" s="250"/>
      <c r="B740" s="250"/>
      <c r="C740" s="250"/>
      <c r="D740" s="250"/>
      <c r="E740" s="250"/>
      <c r="F740" s="250"/>
      <c r="G740" s="250"/>
      <c r="H740" s="250"/>
      <c r="I740" s="250"/>
      <c r="J740" s="250"/>
      <c r="K740" s="250"/>
      <c r="L740" s="250"/>
      <c r="M740" s="250"/>
      <c r="N740" s="250"/>
      <c r="O740" s="250"/>
      <c r="P740" s="250"/>
      <c r="Q740" s="250"/>
      <c r="R740" s="250"/>
      <c r="S740" s="250"/>
      <c r="T740" s="250"/>
      <c r="U740" s="250"/>
      <c r="V740" s="250"/>
      <c r="W740" s="250"/>
      <c r="X740" s="250"/>
      <c r="Y740" s="250"/>
      <c r="Z740" s="250"/>
    </row>
    <row r="741" ht="14.25" customHeight="1">
      <c r="A741" s="250"/>
      <c r="B741" s="250"/>
      <c r="C741" s="250"/>
      <c r="D741" s="250"/>
      <c r="E741" s="250"/>
      <c r="F741" s="250"/>
      <c r="G741" s="250"/>
      <c r="H741" s="250"/>
      <c r="I741" s="250"/>
      <c r="J741" s="250"/>
      <c r="K741" s="250"/>
      <c r="L741" s="250"/>
      <c r="M741" s="250"/>
      <c r="N741" s="250"/>
      <c r="O741" s="250"/>
      <c r="P741" s="250"/>
      <c r="Q741" s="250"/>
      <c r="R741" s="250"/>
      <c r="S741" s="250"/>
      <c r="T741" s="250"/>
      <c r="U741" s="250"/>
      <c r="V741" s="250"/>
      <c r="W741" s="250"/>
      <c r="X741" s="250"/>
      <c r="Y741" s="250"/>
      <c r="Z741" s="250"/>
    </row>
    <row r="742" ht="14.25" customHeight="1">
      <c r="A742" s="250"/>
      <c r="B742" s="250"/>
      <c r="C742" s="250"/>
      <c r="D742" s="250"/>
      <c r="E742" s="250"/>
      <c r="F742" s="250"/>
      <c r="G742" s="250"/>
      <c r="H742" s="250"/>
      <c r="I742" s="250"/>
      <c r="J742" s="250"/>
      <c r="K742" s="250"/>
      <c r="L742" s="250"/>
      <c r="M742" s="250"/>
      <c r="N742" s="250"/>
      <c r="O742" s="250"/>
      <c r="P742" s="250"/>
      <c r="Q742" s="250"/>
      <c r="R742" s="250"/>
      <c r="S742" s="250"/>
      <c r="T742" s="250"/>
      <c r="U742" s="250"/>
      <c r="V742" s="250"/>
      <c r="W742" s="250"/>
      <c r="X742" s="250"/>
      <c r="Y742" s="250"/>
      <c r="Z742" s="250"/>
    </row>
    <row r="743" ht="14.25" customHeight="1">
      <c r="A743" s="250"/>
      <c r="B743" s="250"/>
      <c r="C743" s="250"/>
      <c r="D743" s="250"/>
      <c r="E743" s="250"/>
      <c r="F743" s="250"/>
      <c r="G743" s="250"/>
      <c r="H743" s="250"/>
      <c r="I743" s="250"/>
      <c r="J743" s="250"/>
      <c r="K743" s="250"/>
      <c r="L743" s="250"/>
      <c r="M743" s="250"/>
      <c r="N743" s="250"/>
      <c r="O743" s="250"/>
      <c r="P743" s="250"/>
      <c r="Q743" s="250"/>
      <c r="R743" s="250"/>
      <c r="S743" s="250"/>
      <c r="T743" s="250"/>
      <c r="U743" s="250"/>
      <c r="V743" s="250"/>
      <c r="W743" s="250"/>
      <c r="X743" s="250"/>
      <c r="Y743" s="250"/>
      <c r="Z743" s="250"/>
    </row>
    <row r="744" ht="14.25" customHeight="1">
      <c r="A744" s="250"/>
      <c r="B744" s="250"/>
      <c r="C744" s="250"/>
      <c r="D744" s="250"/>
      <c r="E744" s="250"/>
      <c r="F744" s="250"/>
      <c r="G744" s="250"/>
      <c r="H744" s="250"/>
      <c r="I744" s="250"/>
      <c r="J744" s="250"/>
      <c r="K744" s="250"/>
      <c r="L744" s="250"/>
      <c r="M744" s="250"/>
      <c r="N744" s="250"/>
      <c r="O744" s="250"/>
      <c r="P744" s="250"/>
      <c r="Q744" s="250"/>
      <c r="R744" s="250"/>
      <c r="S744" s="250"/>
      <c r="T744" s="250"/>
      <c r="U744" s="250"/>
      <c r="V744" s="250"/>
      <c r="W744" s="250"/>
      <c r="X744" s="250"/>
      <c r="Y744" s="250"/>
      <c r="Z744" s="250"/>
    </row>
    <row r="745" ht="14.25" customHeight="1">
      <c r="A745" s="250"/>
      <c r="B745" s="250"/>
      <c r="C745" s="250"/>
      <c r="D745" s="250"/>
      <c r="E745" s="250"/>
      <c r="F745" s="250"/>
      <c r="G745" s="250"/>
      <c r="H745" s="250"/>
      <c r="I745" s="250"/>
      <c r="J745" s="250"/>
      <c r="K745" s="250"/>
      <c r="L745" s="250"/>
      <c r="M745" s="250"/>
      <c r="N745" s="250"/>
      <c r="O745" s="250"/>
      <c r="P745" s="250"/>
      <c r="Q745" s="250"/>
      <c r="R745" s="250"/>
      <c r="S745" s="250"/>
      <c r="T745" s="250"/>
      <c r="U745" s="250"/>
      <c r="V745" s="250"/>
      <c r="W745" s="250"/>
      <c r="X745" s="250"/>
      <c r="Y745" s="250"/>
      <c r="Z745" s="250"/>
    </row>
    <row r="746" ht="14.25" customHeight="1">
      <c r="A746" s="250"/>
      <c r="B746" s="250"/>
      <c r="C746" s="250"/>
      <c r="D746" s="250"/>
      <c r="E746" s="250"/>
      <c r="F746" s="250"/>
      <c r="G746" s="250"/>
      <c r="H746" s="250"/>
      <c r="I746" s="250"/>
      <c r="J746" s="250"/>
      <c r="K746" s="250"/>
      <c r="L746" s="250"/>
      <c r="M746" s="250"/>
      <c r="N746" s="250"/>
      <c r="O746" s="250"/>
      <c r="P746" s="250"/>
      <c r="Q746" s="250"/>
      <c r="R746" s="250"/>
      <c r="S746" s="250"/>
      <c r="T746" s="250"/>
      <c r="U746" s="250"/>
      <c r="V746" s="250"/>
      <c r="W746" s="250"/>
      <c r="X746" s="250"/>
      <c r="Y746" s="250"/>
      <c r="Z746" s="250"/>
    </row>
    <row r="747" ht="14.25" customHeight="1">
      <c r="A747" s="250"/>
      <c r="B747" s="250"/>
      <c r="C747" s="250"/>
      <c r="D747" s="250"/>
      <c r="E747" s="250"/>
      <c r="F747" s="250"/>
      <c r="G747" s="250"/>
      <c r="H747" s="250"/>
      <c r="I747" s="250"/>
      <c r="J747" s="250"/>
      <c r="K747" s="250"/>
      <c r="L747" s="250"/>
      <c r="M747" s="250"/>
      <c r="N747" s="250"/>
      <c r="O747" s="250"/>
      <c r="P747" s="250"/>
      <c r="Q747" s="250"/>
      <c r="R747" s="250"/>
      <c r="S747" s="250"/>
      <c r="T747" s="250"/>
      <c r="U747" s="250"/>
      <c r="V747" s="250"/>
      <c r="W747" s="250"/>
      <c r="X747" s="250"/>
      <c r="Y747" s="250"/>
      <c r="Z747" s="250"/>
    </row>
    <row r="748" ht="14.25" customHeight="1">
      <c r="A748" s="250"/>
      <c r="B748" s="250"/>
      <c r="C748" s="250"/>
      <c r="D748" s="250"/>
      <c r="E748" s="250"/>
      <c r="F748" s="250"/>
      <c r="G748" s="250"/>
      <c r="H748" s="250"/>
      <c r="I748" s="250"/>
      <c r="J748" s="250"/>
      <c r="K748" s="250"/>
      <c r="L748" s="250"/>
      <c r="M748" s="250"/>
      <c r="N748" s="250"/>
      <c r="O748" s="250"/>
      <c r="P748" s="250"/>
      <c r="Q748" s="250"/>
      <c r="R748" s="250"/>
      <c r="S748" s="250"/>
      <c r="T748" s="250"/>
      <c r="U748" s="250"/>
      <c r="V748" s="250"/>
      <c r="W748" s="250"/>
      <c r="X748" s="250"/>
      <c r="Y748" s="250"/>
      <c r="Z748" s="250"/>
    </row>
    <row r="749" ht="14.25" customHeight="1">
      <c r="A749" s="250"/>
      <c r="B749" s="250"/>
      <c r="C749" s="250"/>
      <c r="D749" s="250"/>
      <c r="E749" s="250"/>
      <c r="F749" s="250"/>
      <c r="G749" s="250"/>
      <c r="H749" s="250"/>
      <c r="I749" s="250"/>
      <c r="J749" s="250"/>
      <c r="K749" s="250"/>
      <c r="L749" s="250"/>
      <c r="M749" s="250"/>
      <c r="N749" s="250"/>
      <c r="O749" s="250"/>
      <c r="P749" s="250"/>
      <c r="Q749" s="250"/>
      <c r="R749" s="250"/>
      <c r="S749" s="250"/>
      <c r="T749" s="250"/>
      <c r="U749" s="250"/>
      <c r="V749" s="250"/>
      <c r="W749" s="250"/>
      <c r="X749" s="250"/>
      <c r="Y749" s="250"/>
      <c r="Z749" s="250"/>
    </row>
    <row r="750" ht="14.25" customHeight="1">
      <c r="A750" s="250"/>
      <c r="B750" s="250"/>
      <c r="C750" s="250"/>
      <c r="D750" s="250"/>
      <c r="E750" s="250"/>
      <c r="F750" s="250"/>
      <c r="G750" s="250"/>
      <c r="H750" s="250"/>
      <c r="I750" s="250"/>
      <c r="J750" s="250"/>
      <c r="K750" s="250"/>
      <c r="L750" s="250"/>
      <c r="M750" s="250"/>
      <c r="N750" s="250"/>
      <c r="O750" s="250"/>
      <c r="P750" s="250"/>
      <c r="Q750" s="250"/>
      <c r="R750" s="250"/>
      <c r="S750" s="250"/>
      <c r="T750" s="250"/>
      <c r="U750" s="250"/>
      <c r="V750" s="250"/>
      <c r="W750" s="250"/>
      <c r="X750" s="250"/>
      <c r="Y750" s="250"/>
      <c r="Z750" s="250"/>
    </row>
    <row r="751" ht="14.25" customHeight="1">
      <c r="A751" s="250"/>
      <c r="B751" s="250"/>
      <c r="C751" s="250"/>
      <c r="D751" s="250"/>
      <c r="E751" s="250"/>
      <c r="F751" s="250"/>
      <c r="G751" s="250"/>
      <c r="H751" s="250"/>
      <c r="I751" s="250"/>
      <c r="J751" s="250"/>
      <c r="K751" s="250"/>
      <c r="L751" s="250"/>
      <c r="M751" s="250"/>
      <c r="N751" s="250"/>
      <c r="O751" s="250"/>
      <c r="P751" s="250"/>
      <c r="Q751" s="250"/>
      <c r="R751" s="250"/>
      <c r="S751" s="250"/>
      <c r="T751" s="250"/>
      <c r="U751" s="250"/>
      <c r="V751" s="250"/>
      <c r="W751" s="250"/>
      <c r="X751" s="250"/>
      <c r="Y751" s="250"/>
      <c r="Z751" s="250"/>
    </row>
    <row r="752" ht="14.25" customHeight="1">
      <c r="A752" s="250"/>
      <c r="B752" s="250"/>
      <c r="C752" s="250"/>
      <c r="D752" s="250"/>
      <c r="E752" s="250"/>
      <c r="F752" s="250"/>
      <c r="G752" s="250"/>
      <c r="H752" s="250"/>
      <c r="I752" s="250"/>
      <c r="J752" s="250"/>
      <c r="K752" s="250"/>
      <c r="L752" s="250"/>
      <c r="M752" s="250"/>
      <c r="N752" s="250"/>
      <c r="O752" s="250"/>
      <c r="P752" s="250"/>
      <c r="Q752" s="250"/>
      <c r="R752" s="250"/>
      <c r="S752" s="250"/>
      <c r="T752" s="250"/>
      <c r="U752" s="250"/>
      <c r="V752" s="250"/>
      <c r="W752" s="250"/>
      <c r="X752" s="250"/>
      <c r="Y752" s="250"/>
      <c r="Z752" s="250"/>
    </row>
    <row r="753" ht="14.25" customHeight="1">
      <c r="A753" s="250"/>
      <c r="B753" s="250"/>
      <c r="C753" s="250"/>
      <c r="D753" s="250"/>
      <c r="E753" s="250"/>
      <c r="F753" s="250"/>
      <c r="G753" s="250"/>
      <c r="H753" s="250"/>
      <c r="I753" s="250"/>
      <c r="J753" s="250"/>
      <c r="K753" s="250"/>
      <c r="L753" s="250"/>
      <c r="M753" s="250"/>
      <c r="N753" s="250"/>
      <c r="O753" s="250"/>
      <c r="P753" s="250"/>
      <c r="Q753" s="250"/>
      <c r="R753" s="250"/>
      <c r="S753" s="250"/>
      <c r="T753" s="250"/>
      <c r="U753" s="250"/>
      <c r="V753" s="250"/>
      <c r="W753" s="250"/>
      <c r="X753" s="250"/>
      <c r="Y753" s="250"/>
      <c r="Z753" s="250"/>
    </row>
    <row r="754" ht="14.25" customHeight="1">
      <c r="A754" s="250"/>
      <c r="B754" s="250"/>
      <c r="C754" s="250"/>
      <c r="D754" s="250"/>
      <c r="E754" s="250"/>
      <c r="F754" s="250"/>
      <c r="G754" s="250"/>
      <c r="H754" s="250"/>
      <c r="I754" s="250"/>
      <c r="J754" s="250"/>
      <c r="K754" s="250"/>
      <c r="L754" s="250"/>
      <c r="M754" s="250"/>
      <c r="N754" s="250"/>
      <c r="O754" s="250"/>
      <c r="P754" s="250"/>
      <c r="Q754" s="250"/>
      <c r="R754" s="250"/>
      <c r="S754" s="250"/>
      <c r="T754" s="250"/>
      <c r="U754" s="250"/>
      <c r="V754" s="250"/>
      <c r="W754" s="250"/>
      <c r="X754" s="250"/>
      <c r="Y754" s="250"/>
      <c r="Z754" s="250"/>
    </row>
    <row r="755" ht="14.25" customHeight="1">
      <c r="A755" s="250"/>
      <c r="B755" s="250"/>
      <c r="C755" s="250"/>
      <c r="D755" s="250"/>
      <c r="E755" s="250"/>
      <c r="F755" s="250"/>
      <c r="G755" s="250"/>
      <c r="H755" s="250"/>
      <c r="I755" s="250"/>
      <c r="J755" s="250"/>
      <c r="K755" s="250"/>
      <c r="L755" s="250"/>
      <c r="M755" s="250"/>
      <c r="N755" s="250"/>
      <c r="O755" s="250"/>
      <c r="P755" s="250"/>
      <c r="Q755" s="250"/>
      <c r="R755" s="250"/>
      <c r="S755" s="250"/>
      <c r="T755" s="250"/>
      <c r="U755" s="250"/>
      <c r="V755" s="250"/>
      <c r="W755" s="250"/>
      <c r="X755" s="250"/>
      <c r="Y755" s="250"/>
      <c r="Z755" s="250"/>
    </row>
    <row r="756" ht="14.25" customHeight="1">
      <c r="A756" s="250"/>
      <c r="B756" s="250"/>
      <c r="C756" s="250"/>
      <c r="D756" s="250"/>
      <c r="E756" s="250"/>
      <c r="F756" s="250"/>
      <c r="G756" s="250"/>
      <c r="H756" s="250"/>
      <c r="I756" s="250"/>
      <c r="J756" s="250"/>
      <c r="K756" s="250"/>
      <c r="L756" s="250"/>
      <c r="M756" s="250"/>
      <c r="N756" s="250"/>
      <c r="O756" s="250"/>
      <c r="P756" s="250"/>
      <c r="Q756" s="250"/>
      <c r="R756" s="250"/>
      <c r="S756" s="250"/>
      <c r="T756" s="250"/>
      <c r="U756" s="250"/>
      <c r="V756" s="250"/>
      <c r="W756" s="250"/>
      <c r="X756" s="250"/>
      <c r="Y756" s="250"/>
      <c r="Z756" s="250"/>
    </row>
    <row r="757" ht="14.25" customHeight="1">
      <c r="A757" s="250"/>
      <c r="B757" s="250"/>
      <c r="C757" s="250"/>
      <c r="D757" s="250"/>
      <c r="E757" s="250"/>
      <c r="F757" s="250"/>
      <c r="G757" s="250"/>
      <c r="H757" s="250"/>
      <c r="I757" s="250"/>
      <c r="J757" s="250"/>
      <c r="K757" s="250"/>
      <c r="L757" s="250"/>
      <c r="M757" s="250"/>
      <c r="N757" s="250"/>
      <c r="O757" s="250"/>
      <c r="P757" s="250"/>
      <c r="Q757" s="250"/>
      <c r="R757" s="250"/>
      <c r="S757" s="250"/>
      <c r="T757" s="250"/>
      <c r="U757" s="250"/>
      <c r="V757" s="250"/>
      <c r="W757" s="250"/>
      <c r="X757" s="250"/>
      <c r="Y757" s="250"/>
      <c r="Z757" s="250"/>
    </row>
    <row r="758" ht="14.25" customHeight="1">
      <c r="A758" s="250"/>
      <c r="B758" s="250"/>
      <c r="C758" s="250"/>
      <c r="D758" s="250"/>
      <c r="E758" s="250"/>
      <c r="F758" s="250"/>
      <c r="G758" s="250"/>
      <c r="H758" s="250"/>
      <c r="I758" s="250"/>
      <c r="J758" s="250"/>
      <c r="K758" s="250"/>
      <c r="L758" s="250"/>
      <c r="M758" s="250"/>
      <c r="N758" s="250"/>
      <c r="O758" s="250"/>
      <c r="P758" s="250"/>
      <c r="Q758" s="250"/>
      <c r="R758" s="250"/>
      <c r="S758" s="250"/>
      <c r="T758" s="250"/>
      <c r="U758" s="250"/>
      <c r="V758" s="250"/>
      <c r="W758" s="250"/>
      <c r="X758" s="250"/>
      <c r="Y758" s="250"/>
      <c r="Z758" s="250"/>
    </row>
    <row r="759" ht="14.25" customHeight="1">
      <c r="A759" s="250"/>
      <c r="B759" s="250"/>
      <c r="C759" s="250"/>
      <c r="D759" s="250"/>
      <c r="E759" s="250"/>
      <c r="F759" s="250"/>
      <c r="G759" s="250"/>
      <c r="H759" s="250"/>
      <c r="I759" s="250"/>
      <c r="J759" s="250"/>
      <c r="K759" s="250"/>
      <c r="L759" s="250"/>
      <c r="M759" s="250"/>
      <c r="N759" s="250"/>
      <c r="O759" s="250"/>
      <c r="P759" s="250"/>
      <c r="Q759" s="250"/>
      <c r="R759" s="250"/>
      <c r="S759" s="250"/>
      <c r="T759" s="250"/>
      <c r="U759" s="250"/>
      <c r="V759" s="250"/>
      <c r="W759" s="250"/>
      <c r="X759" s="250"/>
      <c r="Y759" s="250"/>
      <c r="Z759" s="250"/>
    </row>
    <row r="760" ht="14.25" customHeight="1">
      <c r="A760" s="250"/>
      <c r="B760" s="250"/>
      <c r="C760" s="250"/>
      <c r="D760" s="250"/>
      <c r="E760" s="250"/>
      <c r="F760" s="250"/>
      <c r="G760" s="250"/>
      <c r="H760" s="250"/>
      <c r="I760" s="250"/>
      <c r="J760" s="250"/>
      <c r="K760" s="250"/>
      <c r="L760" s="250"/>
      <c r="M760" s="250"/>
      <c r="N760" s="250"/>
      <c r="O760" s="250"/>
      <c r="P760" s="250"/>
      <c r="Q760" s="250"/>
      <c r="R760" s="250"/>
      <c r="S760" s="250"/>
      <c r="T760" s="250"/>
      <c r="U760" s="250"/>
      <c r="V760" s="250"/>
      <c r="W760" s="250"/>
      <c r="X760" s="250"/>
      <c r="Y760" s="250"/>
      <c r="Z760" s="250"/>
    </row>
    <row r="761" ht="14.25" customHeight="1">
      <c r="A761" s="250"/>
      <c r="B761" s="250"/>
      <c r="C761" s="250"/>
      <c r="D761" s="250"/>
      <c r="E761" s="250"/>
      <c r="F761" s="250"/>
      <c r="G761" s="250"/>
      <c r="H761" s="250"/>
      <c r="I761" s="250"/>
      <c r="J761" s="250"/>
      <c r="K761" s="250"/>
      <c r="L761" s="250"/>
      <c r="M761" s="250"/>
      <c r="N761" s="250"/>
      <c r="O761" s="250"/>
      <c r="P761" s="250"/>
      <c r="Q761" s="250"/>
      <c r="R761" s="250"/>
      <c r="S761" s="250"/>
      <c r="T761" s="250"/>
      <c r="U761" s="250"/>
      <c r="V761" s="250"/>
      <c r="W761" s="250"/>
      <c r="X761" s="250"/>
      <c r="Y761" s="250"/>
      <c r="Z761" s="250"/>
    </row>
    <row r="762" ht="14.25" customHeight="1">
      <c r="A762" s="250"/>
      <c r="B762" s="250"/>
      <c r="C762" s="250"/>
      <c r="D762" s="250"/>
      <c r="E762" s="250"/>
      <c r="F762" s="250"/>
      <c r="G762" s="250"/>
      <c r="H762" s="250"/>
      <c r="I762" s="250"/>
      <c r="J762" s="250"/>
      <c r="K762" s="250"/>
      <c r="L762" s="250"/>
      <c r="M762" s="250"/>
      <c r="N762" s="250"/>
      <c r="O762" s="250"/>
      <c r="P762" s="250"/>
      <c r="Q762" s="250"/>
      <c r="R762" s="250"/>
      <c r="S762" s="250"/>
      <c r="T762" s="250"/>
      <c r="U762" s="250"/>
      <c r="V762" s="250"/>
      <c r="W762" s="250"/>
      <c r="X762" s="250"/>
      <c r="Y762" s="250"/>
      <c r="Z762" s="250"/>
    </row>
    <row r="763" ht="14.25" customHeight="1">
      <c r="A763" s="250"/>
      <c r="B763" s="250"/>
      <c r="C763" s="250"/>
      <c r="D763" s="250"/>
      <c r="E763" s="250"/>
      <c r="F763" s="250"/>
      <c r="G763" s="250"/>
      <c r="H763" s="250"/>
      <c r="I763" s="250"/>
      <c r="J763" s="250"/>
      <c r="K763" s="250"/>
      <c r="L763" s="250"/>
      <c r="M763" s="250"/>
      <c r="N763" s="250"/>
      <c r="O763" s="250"/>
      <c r="P763" s="250"/>
      <c r="Q763" s="250"/>
      <c r="R763" s="250"/>
      <c r="S763" s="250"/>
      <c r="T763" s="250"/>
      <c r="U763" s="250"/>
      <c r="V763" s="250"/>
      <c r="W763" s="250"/>
      <c r="X763" s="250"/>
      <c r="Y763" s="250"/>
      <c r="Z763" s="250"/>
    </row>
    <row r="764" ht="14.25" customHeight="1">
      <c r="A764" s="250"/>
      <c r="B764" s="250"/>
      <c r="C764" s="250"/>
      <c r="D764" s="250"/>
      <c r="E764" s="250"/>
      <c r="F764" s="250"/>
      <c r="G764" s="250"/>
      <c r="H764" s="250"/>
      <c r="I764" s="250"/>
      <c r="J764" s="250"/>
      <c r="K764" s="250"/>
      <c r="L764" s="250"/>
      <c r="M764" s="250"/>
      <c r="N764" s="250"/>
      <c r="O764" s="250"/>
      <c r="P764" s="250"/>
      <c r="Q764" s="250"/>
      <c r="R764" s="250"/>
      <c r="S764" s="250"/>
      <c r="T764" s="250"/>
      <c r="U764" s="250"/>
      <c r="V764" s="250"/>
      <c r="W764" s="250"/>
      <c r="X764" s="250"/>
      <c r="Y764" s="250"/>
      <c r="Z764" s="250"/>
    </row>
    <row r="765" ht="14.25" customHeight="1">
      <c r="A765" s="250"/>
      <c r="B765" s="250"/>
      <c r="C765" s="250"/>
      <c r="D765" s="250"/>
      <c r="E765" s="250"/>
      <c r="F765" s="250"/>
      <c r="G765" s="250"/>
      <c r="H765" s="250"/>
      <c r="I765" s="250"/>
      <c r="J765" s="250"/>
      <c r="K765" s="250"/>
      <c r="L765" s="250"/>
      <c r="M765" s="250"/>
      <c r="N765" s="250"/>
      <c r="O765" s="250"/>
      <c r="P765" s="250"/>
      <c r="Q765" s="250"/>
      <c r="R765" s="250"/>
      <c r="S765" s="250"/>
      <c r="T765" s="250"/>
      <c r="U765" s="250"/>
      <c r="V765" s="250"/>
      <c r="W765" s="250"/>
      <c r="X765" s="250"/>
      <c r="Y765" s="250"/>
      <c r="Z765" s="250"/>
    </row>
    <row r="766" ht="14.25" customHeight="1">
      <c r="A766" s="250"/>
      <c r="B766" s="250"/>
      <c r="C766" s="250"/>
      <c r="D766" s="250"/>
      <c r="E766" s="250"/>
      <c r="F766" s="250"/>
      <c r="G766" s="250"/>
      <c r="H766" s="250"/>
      <c r="I766" s="250"/>
      <c r="J766" s="250"/>
      <c r="K766" s="250"/>
      <c r="L766" s="250"/>
      <c r="M766" s="250"/>
      <c r="N766" s="250"/>
      <c r="O766" s="250"/>
      <c r="P766" s="250"/>
      <c r="Q766" s="250"/>
      <c r="R766" s="250"/>
      <c r="S766" s="250"/>
      <c r="T766" s="250"/>
      <c r="U766" s="250"/>
      <c r="V766" s="250"/>
      <c r="W766" s="250"/>
      <c r="X766" s="250"/>
      <c r="Y766" s="250"/>
      <c r="Z766" s="250"/>
    </row>
    <row r="767" ht="14.25" customHeight="1">
      <c r="A767" s="250"/>
      <c r="B767" s="250"/>
      <c r="C767" s="250"/>
      <c r="D767" s="250"/>
      <c r="E767" s="250"/>
      <c r="F767" s="250"/>
      <c r="G767" s="250"/>
      <c r="H767" s="250"/>
      <c r="I767" s="250"/>
      <c r="J767" s="250"/>
      <c r="K767" s="250"/>
      <c r="L767" s="250"/>
      <c r="M767" s="250"/>
      <c r="N767" s="250"/>
      <c r="O767" s="250"/>
      <c r="P767" s="250"/>
      <c r="Q767" s="250"/>
      <c r="R767" s="250"/>
      <c r="S767" s="250"/>
      <c r="T767" s="250"/>
      <c r="U767" s="250"/>
      <c r="V767" s="250"/>
      <c r="W767" s="250"/>
      <c r="X767" s="250"/>
      <c r="Y767" s="250"/>
      <c r="Z767" s="250"/>
    </row>
    <row r="768" ht="14.25" customHeight="1">
      <c r="A768" s="250"/>
      <c r="B768" s="250"/>
      <c r="C768" s="250"/>
      <c r="D768" s="250"/>
      <c r="E768" s="250"/>
      <c r="F768" s="250"/>
      <c r="G768" s="250"/>
      <c r="H768" s="250"/>
      <c r="I768" s="250"/>
      <c r="J768" s="250"/>
      <c r="K768" s="250"/>
      <c r="L768" s="250"/>
      <c r="M768" s="250"/>
      <c r="N768" s="250"/>
      <c r="O768" s="250"/>
      <c r="P768" s="250"/>
      <c r="Q768" s="250"/>
      <c r="R768" s="250"/>
      <c r="S768" s="250"/>
      <c r="T768" s="250"/>
      <c r="U768" s="250"/>
      <c r="V768" s="250"/>
      <c r="W768" s="250"/>
      <c r="X768" s="250"/>
      <c r="Y768" s="250"/>
      <c r="Z768" s="250"/>
    </row>
    <row r="769" ht="14.25" customHeight="1">
      <c r="A769" s="250"/>
      <c r="B769" s="250"/>
      <c r="C769" s="250"/>
      <c r="D769" s="250"/>
      <c r="E769" s="250"/>
      <c r="F769" s="250"/>
      <c r="G769" s="250"/>
      <c r="H769" s="250"/>
      <c r="I769" s="250"/>
      <c r="J769" s="250"/>
      <c r="K769" s="250"/>
      <c r="L769" s="250"/>
      <c r="M769" s="250"/>
      <c r="N769" s="250"/>
      <c r="O769" s="250"/>
      <c r="P769" s="250"/>
      <c r="Q769" s="250"/>
      <c r="R769" s="250"/>
      <c r="S769" s="250"/>
      <c r="T769" s="250"/>
      <c r="U769" s="250"/>
      <c r="V769" s="250"/>
      <c r="W769" s="250"/>
      <c r="X769" s="250"/>
      <c r="Y769" s="250"/>
      <c r="Z769" s="250"/>
    </row>
    <row r="770" ht="14.25" customHeight="1">
      <c r="A770" s="250"/>
      <c r="B770" s="250"/>
      <c r="C770" s="250"/>
      <c r="D770" s="250"/>
      <c r="E770" s="250"/>
      <c r="F770" s="250"/>
      <c r="G770" s="250"/>
      <c r="H770" s="250"/>
      <c r="I770" s="250"/>
      <c r="J770" s="250"/>
      <c r="K770" s="250"/>
      <c r="L770" s="250"/>
      <c r="M770" s="250"/>
      <c r="N770" s="250"/>
      <c r="O770" s="250"/>
      <c r="P770" s="250"/>
      <c r="Q770" s="250"/>
      <c r="R770" s="250"/>
      <c r="S770" s="250"/>
      <c r="T770" s="250"/>
      <c r="U770" s="250"/>
      <c r="V770" s="250"/>
      <c r="W770" s="250"/>
      <c r="X770" s="250"/>
      <c r="Y770" s="250"/>
      <c r="Z770" s="250"/>
    </row>
    <row r="771" ht="14.25" customHeight="1">
      <c r="A771" s="250"/>
      <c r="B771" s="250"/>
      <c r="C771" s="250"/>
      <c r="D771" s="250"/>
      <c r="E771" s="250"/>
      <c r="F771" s="250"/>
      <c r="G771" s="250"/>
      <c r="H771" s="250"/>
      <c r="I771" s="250"/>
      <c r="J771" s="250"/>
      <c r="K771" s="250"/>
      <c r="L771" s="250"/>
      <c r="M771" s="250"/>
      <c r="N771" s="250"/>
      <c r="O771" s="250"/>
      <c r="P771" s="250"/>
      <c r="Q771" s="250"/>
      <c r="R771" s="250"/>
      <c r="S771" s="250"/>
      <c r="T771" s="250"/>
      <c r="U771" s="250"/>
      <c r="V771" s="250"/>
      <c r="W771" s="250"/>
      <c r="X771" s="250"/>
      <c r="Y771" s="250"/>
      <c r="Z771" s="250"/>
    </row>
    <row r="772" ht="14.25" customHeight="1">
      <c r="A772" s="250"/>
      <c r="B772" s="250"/>
      <c r="C772" s="250"/>
      <c r="D772" s="250"/>
      <c r="E772" s="250"/>
      <c r="F772" s="250"/>
      <c r="G772" s="250"/>
      <c r="H772" s="250"/>
      <c r="I772" s="250"/>
      <c r="J772" s="250"/>
      <c r="K772" s="250"/>
      <c r="L772" s="250"/>
      <c r="M772" s="250"/>
      <c r="N772" s="250"/>
      <c r="O772" s="250"/>
      <c r="P772" s="250"/>
      <c r="Q772" s="250"/>
      <c r="R772" s="250"/>
      <c r="S772" s="250"/>
      <c r="T772" s="250"/>
      <c r="U772" s="250"/>
      <c r="V772" s="250"/>
      <c r="W772" s="250"/>
      <c r="X772" s="250"/>
      <c r="Y772" s="250"/>
      <c r="Z772" s="250"/>
    </row>
    <row r="773" ht="14.25" customHeight="1">
      <c r="A773" s="250"/>
      <c r="B773" s="250"/>
      <c r="C773" s="250"/>
      <c r="D773" s="250"/>
      <c r="E773" s="250"/>
      <c r="F773" s="250"/>
      <c r="G773" s="250"/>
      <c r="H773" s="250"/>
      <c r="I773" s="250"/>
      <c r="J773" s="250"/>
      <c r="K773" s="250"/>
      <c r="L773" s="250"/>
      <c r="M773" s="250"/>
      <c r="N773" s="250"/>
      <c r="O773" s="250"/>
      <c r="P773" s="250"/>
      <c r="Q773" s="250"/>
      <c r="R773" s="250"/>
      <c r="S773" s="250"/>
      <c r="T773" s="250"/>
      <c r="U773" s="250"/>
      <c r="V773" s="250"/>
      <c r="W773" s="250"/>
      <c r="X773" s="250"/>
      <c r="Y773" s="250"/>
      <c r="Z773" s="250"/>
    </row>
    <row r="774" ht="14.25" customHeight="1">
      <c r="A774" s="250"/>
      <c r="B774" s="250"/>
      <c r="C774" s="250"/>
      <c r="D774" s="250"/>
      <c r="E774" s="250"/>
      <c r="F774" s="250"/>
      <c r="G774" s="250"/>
      <c r="H774" s="250"/>
      <c r="I774" s="250"/>
      <c r="J774" s="250"/>
      <c r="K774" s="250"/>
      <c r="L774" s="250"/>
      <c r="M774" s="250"/>
      <c r="N774" s="250"/>
      <c r="O774" s="250"/>
      <c r="P774" s="250"/>
      <c r="Q774" s="250"/>
      <c r="R774" s="250"/>
      <c r="S774" s="250"/>
      <c r="T774" s="250"/>
      <c r="U774" s="250"/>
      <c r="V774" s="250"/>
      <c r="W774" s="250"/>
      <c r="X774" s="250"/>
      <c r="Y774" s="250"/>
      <c r="Z774" s="250"/>
    </row>
    <row r="775" ht="14.25" customHeight="1">
      <c r="A775" s="250"/>
      <c r="B775" s="250"/>
      <c r="C775" s="250"/>
      <c r="D775" s="250"/>
      <c r="E775" s="250"/>
      <c r="F775" s="250"/>
      <c r="G775" s="250"/>
      <c r="H775" s="250"/>
      <c r="I775" s="250"/>
      <c r="J775" s="250"/>
      <c r="K775" s="250"/>
      <c r="L775" s="250"/>
      <c r="M775" s="250"/>
      <c r="N775" s="250"/>
      <c r="O775" s="250"/>
      <c r="P775" s="250"/>
      <c r="Q775" s="250"/>
      <c r="R775" s="250"/>
      <c r="S775" s="250"/>
      <c r="T775" s="250"/>
      <c r="U775" s="250"/>
      <c r="V775" s="250"/>
      <c r="W775" s="250"/>
      <c r="X775" s="250"/>
      <c r="Y775" s="250"/>
      <c r="Z775" s="250"/>
    </row>
    <row r="776" ht="14.25" customHeight="1">
      <c r="A776" s="250"/>
      <c r="B776" s="250"/>
      <c r="C776" s="250"/>
      <c r="D776" s="250"/>
      <c r="E776" s="250"/>
      <c r="F776" s="250"/>
      <c r="G776" s="250"/>
      <c r="H776" s="250"/>
      <c r="I776" s="250"/>
      <c r="J776" s="250"/>
      <c r="K776" s="250"/>
      <c r="L776" s="250"/>
      <c r="M776" s="250"/>
      <c r="N776" s="250"/>
      <c r="O776" s="250"/>
      <c r="P776" s="250"/>
      <c r="Q776" s="250"/>
      <c r="R776" s="250"/>
      <c r="S776" s="250"/>
      <c r="T776" s="250"/>
      <c r="U776" s="250"/>
      <c r="V776" s="250"/>
      <c r="W776" s="250"/>
      <c r="X776" s="250"/>
      <c r="Y776" s="250"/>
      <c r="Z776" s="250"/>
    </row>
    <row r="777" ht="14.25" customHeight="1">
      <c r="A777" s="250"/>
      <c r="B777" s="250"/>
      <c r="C777" s="250"/>
      <c r="D777" s="250"/>
      <c r="E777" s="250"/>
      <c r="F777" s="250"/>
      <c r="G777" s="250"/>
      <c r="H777" s="250"/>
      <c r="I777" s="250"/>
      <c r="J777" s="250"/>
      <c r="K777" s="250"/>
      <c r="L777" s="250"/>
      <c r="M777" s="250"/>
      <c r="N777" s="250"/>
      <c r="O777" s="250"/>
      <c r="P777" s="250"/>
      <c r="Q777" s="250"/>
      <c r="R777" s="250"/>
      <c r="S777" s="250"/>
      <c r="T777" s="250"/>
      <c r="U777" s="250"/>
      <c r="V777" s="250"/>
      <c r="W777" s="250"/>
      <c r="X777" s="250"/>
      <c r="Y777" s="250"/>
      <c r="Z777" s="250"/>
    </row>
    <row r="778" ht="14.25" customHeight="1">
      <c r="A778" s="250"/>
      <c r="B778" s="250"/>
      <c r="C778" s="250"/>
      <c r="D778" s="250"/>
      <c r="E778" s="250"/>
      <c r="F778" s="250"/>
      <c r="G778" s="250"/>
      <c r="H778" s="250"/>
      <c r="I778" s="250"/>
      <c r="J778" s="250"/>
      <c r="K778" s="250"/>
      <c r="L778" s="250"/>
      <c r="M778" s="250"/>
      <c r="N778" s="250"/>
      <c r="O778" s="250"/>
      <c r="P778" s="250"/>
      <c r="Q778" s="250"/>
      <c r="R778" s="250"/>
      <c r="S778" s="250"/>
      <c r="T778" s="250"/>
      <c r="U778" s="250"/>
      <c r="V778" s="250"/>
      <c r="W778" s="250"/>
      <c r="X778" s="250"/>
      <c r="Y778" s="250"/>
      <c r="Z778" s="250"/>
    </row>
    <row r="779" ht="14.25" customHeight="1">
      <c r="A779" s="250"/>
      <c r="B779" s="250"/>
      <c r="C779" s="250"/>
      <c r="D779" s="250"/>
      <c r="E779" s="250"/>
      <c r="F779" s="250"/>
      <c r="G779" s="250"/>
      <c r="H779" s="250"/>
      <c r="I779" s="250"/>
      <c r="J779" s="250"/>
      <c r="K779" s="250"/>
      <c r="L779" s="250"/>
      <c r="M779" s="250"/>
      <c r="N779" s="250"/>
      <c r="O779" s="250"/>
      <c r="P779" s="250"/>
      <c r="Q779" s="250"/>
      <c r="R779" s="250"/>
      <c r="S779" s="250"/>
      <c r="T779" s="250"/>
      <c r="U779" s="250"/>
      <c r="V779" s="250"/>
      <c r="W779" s="250"/>
      <c r="X779" s="250"/>
      <c r="Y779" s="250"/>
      <c r="Z779" s="250"/>
    </row>
    <row r="780" ht="14.25" customHeight="1">
      <c r="A780" s="250"/>
      <c r="B780" s="250"/>
      <c r="C780" s="250"/>
      <c r="D780" s="250"/>
      <c r="E780" s="250"/>
      <c r="F780" s="250"/>
      <c r="G780" s="250"/>
      <c r="H780" s="250"/>
      <c r="I780" s="250"/>
      <c r="J780" s="250"/>
      <c r="K780" s="250"/>
      <c r="L780" s="250"/>
      <c r="M780" s="250"/>
      <c r="N780" s="250"/>
      <c r="O780" s="250"/>
      <c r="P780" s="250"/>
      <c r="Q780" s="250"/>
      <c r="R780" s="250"/>
      <c r="S780" s="250"/>
      <c r="T780" s="250"/>
      <c r="U780" s="250"/>
      <c r="V780" s="250"/>
      <c r="W780" s="250"/>
      <c r="X780" s="250"/>
      <c r="Y780" s="250"/>
      <c r="Z780" s="250"/>
    </row>
    <row r="781" ht="14.25" customHeight="1">
      <c r="A781" s="250"/>
      <c r="B781" s="250"/>
      <c r="C781" s="250"/>
      <c r="D781" s="250"/>
      <c r="E781" s="250"/>
      <c r="F781" s="250"/>
      <c r="G781" s="250"/>
      <c r="H781" s="250"/>
      <c r="I781" s="250"/>
      <c r="J781" s="250"/>
      <c r="K781" s="250"/>
      <c r="L781" s="250"/>
      <c r="M781" s="250"/>
      <c r="N781" s="250"/>
      <c r="O781" s="250"/>
      <c r="P781" s="250"/>
      <c r="Q781" s="250"/>
      <c r="R781" s="250"/>
      <c r="S781" s="250"/>
      <c r="T781" s="250"/>
      <c r="U781" s="250"/>
      <c r="V781" s="250"/>
      <c r="W781" s="250"/>
      <c r="X781" s="250"/>
      <c r="Y781" s="250"/>
      <c r="Z781" s="250"/>
    </row>
    <row r="782" ht="14.25" customHeight="1">
      <c r="A782" s="250"/>
      <c r="B782" s="250"/>
      <c r="C782" s="250"/>
      <c r="D782" s="250"/>
      <c r="E782" s="250"/>
      <c r="F782" s="250"/>
      <c r="G782" s="250"/>
      <c r="H782" s="250"/>
      <c r="I782" s="250"/>
      <c r="J782" s="250"/>
      <c r="K782" s="250"/>
      <c r="L782" s="250"/>
      <c r="M782" s="250"/>
      <c r="N782" s="250"/>
      <c r="O782" s="250"/>
      <c r="P782" s="250"/>
      <c r="Q782" s="250"/>
      <c r="R782" s="250"/>
      <c r="S782" s="250"/>
      <c r="T782" s="250"/>
      <c r="U782" s="250"/>
      <c r="V782" s="250"/>
      <c r="W782" s="250"/>
      <c r="X782" s="250"/>
      <c r="Y782" s="250"/>
      <c r="Z782" s="250"/>
    </row>
    <row r="783" ht="14.25" customHeight="1">
      <c r="A783" s="250"/>
      <c r="B783" s="250"/>
      <c r="C783" s="250"/>
      <c r="D783" s="250"/>
      <c r="E783" s="250"/>
      <c r="F783" s="250"/>
      <c r="G783" s="250"/>
      <c r="H783" s="250"/>
      <c r="I783" s="250"/>
      <c r="J783" s="250"/>
      <c r="K783" s="250"/>
      <c r="L783" s="250"/>
      <c r="M783" s="250"/>
      <c r="N783" s="250"/>
      <c r="O783" s="250"/>
      <c r="P783" s="250"/>
      <c r="Q783" s="250"/>
      <c r="R783" s="250"/>
      <c r="S783" s="250"/>
      <c r="T783" s="250"/>
      <c r="U783" s="250"/>
      <c r="V783" s="250"/>
      <c r="W783" s="250"/>
      <c r="X783" s="250"/>
      <c r="Y783" s="250"/>
      <c r="Z783" s="250"/>
    </row>
    <row r="784" ht="14.25" customHeight="1">
      <c r="A784" s="250"/>
      <c r="B784" s="250"/>
      <c r="C784" s="250"/>
      <c r="D784" s="250"/>
      <c r="E784" s="250"/>
      <c r="F784" s="250"/>
      <c r="G784" s="250"/>
      <c r="H784" s="250"/>
      <c r="I784" s="250"/>
      <c r="J784" s="250"/>
      <c r="K784" s="250"/>
      <c r="L784" s="250"/>
      <c r="M784" s="250"/>
      <c r="N784" s="250"/>
      <c r="O784" s="250"/>
      <c r="P784" s="250"/>
      <c r="Q784" s="250"/>
      <c r="R784" s="250"/>
      <c r="S784" s="250"/>
      <c r="T784" s="250"/>
      <c r="U784" s="250"/>
      <c r="V784" s="250"/>
      <c r="W784" s="250"/>
      <c r="X784" s="250"/>
      <c r="Y784" s="250"/>
      <c r="Z784" s="250"/>
    </row>
    <row r="785" ht="14.25" customHeight="1">
      <c r="A785" s="250"/>
      <c r="B785" s="250"/>
      <c r="C785" s="250"/>
      <c r="D785" s="250"/>
      <c r="E785" s="250"/>
      <c r="F785" s="250"/>
      <c r="G785" s="250"/>
      <c r="H785" s="250"/>
      <c r="I785" s="250"/>
      <c r="J785" s="250"/>
      <c r="K785" s="250"/>
      <c r="L785" s="250"/>
      <c r="M785" s="250"/>
      <c r="N785" s="250"/>
      <c r="O785" s="250"/>
      <c r="P785" s="250"/>
      <c r="Q785" s="250"/>
      <c r="R785" s="250"/>
      <c r="S785" s="250"/>
      <c r="T785" s="250"/>
      <c r="U785" s="250"/>
      <c r="V785" s="250"/>
      <c r="W785" s="250"/>
      <c r="X785" s="250"/>
      <c r="Y785" s="250"/>
      <c r="Z785" s="250"/>
    </row>
    <row r="786" ht="14.25" customHeight="1">
      <c r="A786" s="250"/>
      <c r="B786" s="250"/>
      <c r="C786" s="250"/>
      <c r="D786" s="250"/>
      <c r="E786" s="250"/>
      <c r="F786" s="250"/>
      <c r="G786" s="250"/>
      <c r="H786" s="250"/>
      <c r="I786" s="250"/>
      <c r="J786" s="250"/>
      <c r="K786" s="250"/>
      <c r="L786" s="250"/>
      <c r="M786" s="250"/>
      <c r="N786" s="250"/>
      <c r="O786" s="250"/>
      <c r="P786" s="250"/>
      <c r="Q786" s="250"/>
      <c r="R786" s="250"/>
      <c r="S786" s="250"/>
      <c r="T786" s="250"/>
      <c r="U786" s="250"/>
      <c r="V786" s="250"/>
      <c r="W786" s="250"/>
      <c r="X786" s="250"/>
      <c r="Y786" s="250"/>
      <c r="Z786" s="250"/>
    </row>
    <row r="787" ht="14.25" customHeight="1">
      <c r="A787" s="250"/>
      <c r="B787" s="250"/>
      <c r="C787" s="250"/>
      <c r="D787" s="250"/>
      <c r="E787" s="250"/>
      <c r="F787" s="250"/>
      <c r="G787" s="250"/>
      <c r="H787" s="250"/>
      <c r="I787" s="250"/>
      <c r="J787" s="250"/>
      <c r="K787" s="250"/>
      <c r="L787" s="250"/>
      <c r="M787" s="250"/>
      <c r="N787" s="250"/>
      <c r="O787" s="250"/>
      <c r="P787" s="250"/>
      <c r="Q787" s="250"/>
      <c r="R787" s="250"/>
      <c r="S787" s="250"/>
      <c r="T787" s="250"/>
      <c r="U787" s="250"/>
      <c r="V787" s="250"/>
      <c r="W787" s="250"/>
      <c r="X787" s="250"/>
      <c r="Y787" s="250"/>
      <c r="Z787" s="250"/>
    </row>
    <row r="788" ht="14.25" customHeight="1">
      <c r="A788" s="250"/>
      <c r="B788" s="250"/>
      <c r="C788" s="250"/>
      <c r="D788" s="250"/>
      <c r="E788" s="250"/>
      <c r="F788" s="250"/>
      <c r="G788" s="250"/>
      <c r="H788" s="250"/>
      <c r="I788" s="250"/>
      <c r="J788" s="250"/>
      <c r="K788" s="250"/>
      <c r="L788" s="250"/>
      <c r="M788" s="250"/>
      <c r="N788" s="250"/>
      <c r="O788" s="250"/>
      <c r="P788" s="250"/>
      <c r="Q788" s="250"/>
      <c r="R788" s="250"/>
      <c r="S788" s="250"/>
      <c r="T788" s="250"/>
      <c r="U788" s="250"/>
      <c r="V788" s="250"/>
      <c r="W788" s="250"/>
      <c r="X788" s="250"/>
      <c r="Y788" s="250"/>
      <c r="Z788" s="250"/>
    </row>
    <row r="789" ht="14.25" customHeight="1">
      <c r="A789" s="250"/>
      <c r="B789" s="250"/>
      <c r="C789" s="250"/>
      <c r="D789" s="250"/>
      <c r="E789" s="250"/>
      <c r="F789" s="250"/>
      <c r="G789" s="250"/>
      <c r="H789" s="250"/>
      <c r="I789" s="250"/>
      <c r="J789" s="250"/>
      <c r="K789" s="250"/>
      <c r="L789" s="250"/>
      <c r="M789" s="250"/>
      <c r="N789" s="250"/>
      <c r="O789" s="250"/>
      <c r="P789" s="250"/>
      <c r="Q789" s="250"/>
      <c r="R789" s="250"/>
      <c r="S789" s="250"/>
      <c r="T789" s="250"/>
      <c r="U789" s="250"/>
      <c r="V789" s="250"/>
      <c r="W789" s="250"/>
      <c r="X789" s="250"/>
      <c r="Y789" s="250"/>
      <c r="Z789" s="250"/>
    </row>
    <row r="790" ht="14.25" customHeight="1">
      <c r="A790" s="250"/>
      <c r="B790" s="250"/>
      <c r="C790" s="250"/>
      <c r="D790" s="250"/>
      <c r="E790" s="250"/>
      <c r="F790" s="250"/>
      <c r="G790" s="250"/>
      <c r="H790" s="250"/>
      <c r="I790" s="250"/>
      <c r="J790" s="250"/>
      <c r="K790" s="250"/>
      <c r="L790" s="250"/>
      <c r="M790" s="250"/>
      <c r="N790" s="250"/>
      <c r="O790" s="250"/>
      <c r="P790" s="250"/>
      <c r="Q790" s="250"/>
      <c r="R790" s="250"/>
      <c r="S790" s="250"/>
      <c r="T790" s="250"/>
      <c r="U790" s="250"/>
      <c r="V790" s="250"/>
      <c r="W790" s="250"/>
      <c r="X790" s="250"/>
      <c r="Y790" s="250"/>
      <c r="Z790" s="250"/>
    </row>
    <row r="791" ht="14.25" customHeight="1">
      <c r="A791" s="250"/>
      <c r="B791" s="250"/>
      <c r="C791" s="250"/>
      <c r="D791" s="250"/>
      <c r="E791" s="250"/>
      <c r="F791" s="250"/>
      <c r="G791" s="250"/>
      <c r="H791" s="250"/>
      <c r="I791" s="250"/>
      <c r="J791" s="250"/>
      <c r="K791" s="250"/>
      <c r="L791" s="250"/>
      <c r="M791" s="250"/>
      <c r="N791" s="250"/>
      <c r="O791" s="250"/>
      <c r="P791" s="250"/>
      <c r="Q791" s="250"/>
      <c r="R791" s="250"/>
      <c r="S791" s="250"/>
      <c r="T791" s="250"/>
      <c r="U791" s="250"/>
      <c r="V791" s="250"/>
      <c r="W791" s="250"/>
      <c r="X791" s="250"/>
      <c r="Y791" s="250"/>
      <c r="Z791" s="250"/>
    </row>
    <row r="792" ht="14.25" customHeight="1">
      <c r="A792" s="250"/>
      <c r="B792" s="250"/>
      <c r="C792" s="250"/>
      <c r="D792" s="250"/>
      <c r="E792" s="250"/>
      <c r="F792" s="250"/>
      <c r="G792" s="250"/>
      <c r="H792" s="250"/>
      <c r="I792" s="250"/>
      <c r="J792" s="250"/>
      <c r="K792" s="250"/>
      <c r="L792" s="250"/>
      <c r="M792" s="250"/>
      <c r="N792" s="250"/>
      <c r="O792" s="250"/>
      <c r="P792" s="250"/>
      <c r="Q792" s="250"/>
      <c r="R792" s="250"/>
      <c r="S792" s="250"/>
      <c r="T792" s="250"/>
      <c r="U792" s="250"/>
      <c r="V792" s="250"/>
      <c r="W792" s="250"/>
      <c r="X792" s="250"/>
      <c r="Y792" s="250"/>
      <c r="Z792" s="250"/>
    </row>
    <row r="793" ht="14.25" customHeight="1">
      <c r="A793" s="250"/>
      <c r="B793" s="250"/>
      <c r="C793" s="250"/>
      <c r="D793" s="250"/>
      <c r="E793" s="250"/>
      <c r="F793" s="250"/>
      <c r="G793" s="250"/>
      <c r="H793" s="250"/>
      <c r="I793" s="250"/>
      <c r="J793" s="250"/>
      <c r="K793" s="250"/>
      <c r="L793" s="250"/>
      <c r="M793" s="250"/>
      <c r="N793" s="250"/>
      <c r="O793" s="250"/>
      <c r="P793" s="250"/>
      <c r="Q793" s="250"/>
      <c r="R793" s="250"/>
      <c r="S793" s="250"/>
      <c r="T793" s="250"/>
      <c r="U793" s="250"/>
      <c r="V793" s="250"/>
      <c r="W793" s="250"/>
      <c r="X793" s="250"/>
      <c r="Y793" s="250"/>
      <c r="Z793" s="250"/>
    </row>
    <row r="794" ht="14.25" customHeight="1">
      <c r="A794" s="250"/>
      <c r="B794" s="250"/>
      <c r="C794" s="250"/>
      <c r="D794" s="250"/>
      <c r="E794" s="250"/>
      <c r="F794" s="250"/>
      <c r="G794" s="250"/>
      <c r="H794" s="250"/>
      <c r="I794" s="250"/>
      <c r="J794" s="250"/>
      <c r="K794" s="250"/>
      <c r="L794" s="250"/>
      <c r="M794" s="250"/>
      <c r="N794" s="250"/>
      <c r="O794" s="250"/>
      <c r="P794" s="250"/>
      <c r="Q794" s="250"/>
      <c r="R794" s="250"/>
      <c r="S794" s="250"/>
      <c r="T794" s="250"/>
      <c r="U794" s="250"/>
      <c r="V794" s="250"/>
      <c r="W794" s="250"/>
      <c r="X794" s="250"/>
      <c r="Y794" s="250"/>
      <c r="Z794" s="250"/>
    </row>
    <row r="795" ht="14.25" customHeight="1">
      <c r="A795" s="250"/>
      <c r="B795" s="250"/>
      <c r="C795" s="250"/>
      <c r="D795" s="250"/>
      <c r="E795" s="250"/>
      <c r="F795" s="250"/>
      <c r="G795" s="250"/>
      <c r="H795" s="250"/>
      <c r="I795" s="250"/>
      <c r="J795" s="250"/>
      <c r="K795" s="250"/>
      <c r="L795" s="250"/>
      <c r="M795" s="250"/>
      <c r="N795" s="250"/>
      <c r="O795" s="250"/>
      <c r="P795" s="250"/>
      <c r="Q795" s="250"/>
      <c r="R795" s="250"/>
      <c r="S795" s="250"/>
      <c r="T795" s="250"/>
      <c r="U795" s="250"/>
      <c r="V795" s="250"/>
      <c r="W795" s="250"/>
      <c r="X795" s="250"/>
      <c r="Y795" s="250"/>
      <c r="Z795" s="250"/>
    </row>
    <row r="796" ht="14.25" customHeight="1">
      <c r="A796" s="250"/>
      <c r="B796" s="250"/>
      <c r="C796" s="250"/>
      <c r="D796" s="250"/>
      <c r="E796" s="250"/>
      <c r="F796" s="250"/>
      <c r="G796" s="250"/>
      <c r="H796" s="250"/>
      <c r="I796" s="250"/>
      <c r="J796" s="250"/>
      <c r="K796" s="250"/>
      <c r="L796" s="250"/>
      <c r="M796" s="250"/>
      <c r="N796" s="250"/>
      <c r="O796" s="250"/>
      <c r="P796" s="250"/>
      <c r="Q796" s="250"/>
      <c r="R796" s="250"/>
      <c r="S796" s="250"/>
      <c r="T796" s="250"/>
      <c r="U796" s="250"/>
      <c r="V796" s="250"/>
      <c r="W796" s="250"/>
      <c r="X796" s="250"/>
      <c r="Y796" s="250"/>
      <c r="Z796" s="250"/>
    </row>
    <row r="797" ht="14.25" customHeight="1">
      <c r="A797" s="250"/>
      <c r="B797" s="250"/>
      <c r="C797" s="250"/>
      <c r="D797" s="250"/>
      <c r="E797" s="250"/>
      <c r="F797" s="250"/>
      <c r="G797" s="250"/>
      <c r="H797" s="250"/>
      <c r="I797" s="250"/>
      <c r="J797" s="250"/>
      <c r="K797" s="250"/>
      <c r="L797" s="250"/>
      <c r="M797" s="250"/>
      <c r="N797" s="250"/>
      <c r="O797" s="250"/>
      <c r="P797" s="250"/>
      <c r="Q797" s="250"/>
      <c r="R797" s="250"/>
      <c r="S797" s="250"/>
      <c r="T797" s="250"/>
      <c r="U797" s="250"/>
      <c r="V797" s="250"/>
      <c r="W797" s="250"/>
      <c r="X797" s="250"/>
      <c r="Y797" s="250"/>
      <c r="Z797" s="250"/>
    </row>
    <row r="798" ht="14.25" customHeight="1">
      <c r="A798" s="250"/>
      <c r="B798" s="250"/>
      <c r="C798" s="250"/>
      <c r="D798" s="250"/>
      <c r="E798" s="250"/>
      <c r="F798" s="250"/>
      <c r="G798" s="250"/>
      <c r="H798" s="250"/>
      <c r="I798" s="250"/>
      <c r="J798" s="250"/>
      <c r="K798" s="250"/>
      <c r="L798" s="250"/>
      <c r="M798" s="250"/>
      <c r="N798" s="250"/>
      <c r="O798" s="250"/>
      <c r="P798" s="250"/>
      <c r="Q798" s="250"/>
      <c r="R798" s="250"/>
      <c r="S798" s="250"/>
      <c r="T798" s="250"/>
      <c r="U798" s="250"/>
      <c r="V798" s="250"/>
      <c r="W798" s="250"/>
      <c r="X798" s="250"/>
      <c r="Y798" s="250"/>
      <c r="Z798" s="250"/>
    </row>
    <row r="799" ht="14.25" customHeight="1">
      <c r="A799" s="250"/>
      <c r="B799" s="250"/>
      <c r="C799" s="250"/>
      <c r="D799" s="250"/>
      <c r="E799" s="250"/>
      <c r="F799" s="250"/>
      <c r="G799" s="250"/>
      <c r="H799" s="250"/>
      <c r="I799" s="250"/>
      <c r="J799" s="250"/>
      <c r="K799" s="250"/>
      <c r="L799" s="250"/>
      <c r="M799" s="250"/>
      <c r="N799" s="250"/>
      <c r="O799" s="250"/>
      <c r="P799" s="250"/>
      <c r="Q799" s="250"/>
      <c r="R799" s="250"/>
      <c r="S799" s="250"/>
      <c r="T799" s="250"/>
      <c r="U799" s="250"/>
      <c r="V799" s="250"/>
      <c r="W799" s="250"/>
      <c r="X799" s="250"/>
      <c r="Y799" s="250"/>
      <c r="Z799" s="250"/>
    </row>
    <row r="800" ht="14.25" customHeight="1">
      <c r="A800" s="250"/>
      <c r="B800" s="250"/>
      <c r="C800" s="250"/>
      <c r="D800" s="250"/>
      <c r="E800" s="250"/>
      <c r="F800" s="250"/>
      <c r="G800" s="250"/>
      <c r="H800" s="250"/>
      <c r="I800" s="250"/>
      <c r="J800" s="250"/>
      <c r="K800" s="250"/>
      <c r="L800" s="250"/>
      <c r="M800" s="250"/>
      <c r="N800" s="250"/>
      <c r="O800" s="250"/>
      <c r="P800" s="250"/>
      <c r="Q800" s="250"/>
      <c r="R800" s="250"/>
      <c r="S800" s="250"/>
      <c r="T800" s="250"/>
      <c r="U800" s="250"/>
      <c r="V800" s="250"/>
      <c r="W800" s="250"/>
      <c r="X800" s="250"/>
      <c r="Y800" s="250"/>
      <c r="Z800" s="250"/>
    </row>
    <row r="801" ht="14.25" customHeight="1">
      <c r="A801" s="250"/>
      <c r="B801" s="250"/>
      <c r="C801" s="250"/>
      <c r="D801" s="250"/>
      <c r="E801" s="250"/>
      <c r="F801" s="250"/>
      <c r="G801" s="250"/>
      <c r="H801" s="250"/>
      <c r="I801" s="250"/>
      <c r="J801" s="250"/>
      <c r="K801" s="250"/>
      <c r="L801" s="250"/>
      <c r="M801" s="250"/>
      <c r="N801" s="250"/>
      <c r="O801" s="250"/>
      <c r="P801" s="250"/>
      <c r="Q801" s="250"/>
      <c r="R801" s="250"/>
      <c r="S801" s="250"/>
      <c r="T801" s="250"/>
      <c r="U801" s="250"/>
      <c r="V801" s="250"/>
      <c r="W801" s="250"/>
      <c r="X801" s="250"/>
      <c r="Y801" s="250"/>
      <c r="Z801" s="250"/>
    </row>
    <row r="802" ht="14.25" customHeight="1">
      <c r="A802" s="250"/>
      <c r="B802" s="250"/>
      <c r="C802" s="250"/>
      <c r="D802" s="250"/>
      <c r="E802" s="250"/>
      <c r="F802" s="250"/>
      <c r="G802" s="250"/>
      <c r="H802" s="250"/>
      <c r="I802" s="250"/>
      <c r="J802" s="250"/>
      <c r="K802" s="250"/>
      <c r="L802" s="250"/>
      <c r="M802" s="250"/>
      <c r="N802" s="250"/>
      <c r="O802" s="250"/>
      <c r="P802" s="250"/>
      <c r="Q802" s="250"/>
      <c r="R802" s="250"/>
      <c r="S802" s="250"/>
      <c r="T802" s="250"/>
      <c r="U802" s="250"/>
      <c r="V802" s="250"/>
      <c r="W802" s="250"/>
      <c r="X802" s="250"/>
      <c r="Y802" s="250"/>
      <c r="Z802" s="250"/>
    </row>
    <row r="803" ht="14.25" customHeight="1">
      <c r="A803" s="250"/>
      <c r="B803" s="250"/>
      <c r="C803" s="250"/>
      <c r="D803" s="250"/>
      <c r="E803" s="250"/>
      <c r="F803" s="250"/>
      <c r="G803" s="250"/>
      <c r="H803" s="250"/>
      <c r="I803" s="250"/>
      <c r="J803" s="250"/>
      <c r="K803" s="250"/>
      <c r="L803" s="250"/>
      <c r="M803" s="250"/>
      <c r="N803" s="250"/>
      <c r="O803" s="250"/>
      <c r="P803" s="250"/>
      <c r="Q803" s="250"/>
      <c r="R803" s="250"/>
      <c r="S803" s="250"/>
      <c r="T803" s="250"/>
      <c r="U803" s="250"/>
      <c r="V803" s="250"/>
      <c r="W803" s="250"/>
      <c r="X803" s="250"/>
      <c r="Y803" s="250"/>
      <c r="Z803" s="250"/>
    </row>
    <row r="804" ht="14.25" customHeight="1">
      <c r="A804" s="250"/>
      <c r="B804" s="250"/>
      <c r="C804" s="250"/>
      <c r="D804" s="250"/>
      <c r="E804" s="250"/>
      <c r="F804" s="250"/>
      <c r="G804" s="250"/>
      <c r="H804" s="250"/>
      <c r="I804" s="250"/>
      <c r="J804" s="250"/>
      <c r="K804" s="250"/>
      <c r="L804" s="250"/>
      <c r="M804" s="250"/>
      <c r="N804" s="250"/>
      <c r="O804" s="250"/>
      <c r="P804" s="250"/>
      <c r="Q804" s="250"/>
      <c r="R804" s="250"/>
      <c r="S804" s="250"/>
      <c r="T804" s="250"/>
      <c r="U804" s="250"/>
      <c r="V804" s="250"/>
      <c r="W804" s="250"/>
      <c r="X804" s="250"/>
      <c r="Y804" s="250"/>
      <c r="Z804" s="250"/>
    </row>
    <row r="805" ht="14.25" customHeight="1">
      <c r="A805" s="250"/>
      <c r="B805" s="250"/>
      <c r="C805" s="250"/>
      <c r="D805" s="250"/>
      <c r="E805" s="250"/>
      <c r="F805" s="250"/>
      <c r="G805" s="250"/>
      <c r="H805" s="250"/>
      <c r="I805" s="250"/>
      <c r="J805" s="250"/>
      <c r="K805" s="250"/>
      <c r="L805" s="250"/>
      <c r="M805" s="250"/>
      <c r="N805" s="250"/>
      <c r="O805" s="250"/>
      <c r="P805" s="250"/>
      <c r="Q805" s="250"/>
      <c r="R805" s="250"/>
      <c r="S805" s="250"/>
      <c r="T805" s="250"/>
      <c r="U805" s="250"/>
      <c r="V805" s="250"/>
      <c r="W805" s="250"/>
      <c r="X805" s="250"/>
      <c r="Y805" s="250"/>
      <c r="Z805" s="250"/>
    </row>
    <row r="806" ht="14.25" customHeight="1">
      <c r="A806" s="250"/>
      <c r="B806" s="250"/>
      <c r="C806" s="250"/>
      <c r="D806" s="250"/>
      <c r="E806" s="250"/>
      <c r="F806" s="250"/>
      <c r="G806" s="250"/>
      <c r="H806" s="250"/>
      <c r="I806" s="250"/>
      <c r="J806" s="250"/>
      <c r="K806" s="250"/>
      <c r="L806" s="250"/>
      <c r="M806" s="250"/>
      <c r="N806" s="250"/>
      <c r="O806" s="250"/>
      <c r="P806" s="250"/>
      <c r="Q806" s="250"/>
      <c r="R806" s="250"/>
      <c r="S806" s="250"/>
      <c r="T806" s="250"/>
      <c r="U806" s="250"/>
      <c r="V806" s="250"/>
      <c r="W806" s="250"/>
      <c r="X806" s="250"/>
      <c r="Y806" s="250"/>
      <c r="Z806" s="250"/>
    </row>
    <row r="807" ht="14.25" customHeight="1">
      <c r="A807" s="250"/>
      <c r="B807" s="250"/>
      <c r="C807" s="250"/>
      <c r="D807" s="250"/>
      <c r="E807" s="250"/>
      <c r="F807" s="250"/>
      <c r="G807" s="250"/>
      <c r="H807" s="250"/>
      <c r="I807" s="250"/>
      <c r="J807" s="250"/>
      <c r="K807" s="250"/>
      <c r="L807" s="250"/>
      <c r="M807" s="250"/>
      <c r="N807" s="250"/>
      <c r="O807" s="250"/>
      <c r="P807" s="250"/>
      <c r="Q807" s="250"/>
      <c r="R807" s="250"/>
      <c r="S807" s="250"/>
      <c r="T807" s="250"/>
      <c r="U807" s="250"/>
      <c r="V807" s="250"/>
      <c r="W807" s="250"/>
      <c r="X807" s="250"/>
      <c r="Y807" s="250"/>
      <c r="Z807" s="250"/>
    </row>
    <row r="808" ht="14.25" customHeight="1">
      <c r="A808" s="250"/>
      <c r="B808" s="250"/>
      <c r="C808" s="250"/>
      <c r="D808" s="250"/>
      <c r="E808" s="250"/>
      <c r="F808" s="250"/>
      <c r="G808" s="250"/>
      <c r="H808" s="250"/>
      <c r="I808" s="250"/>
      <c r="J808" s="250"/>
      <c r="K808" s="250"/>
      <c r="L808" s="250"/>
      <c r="M808" s="250"/>
      <c r="N808" s="250"/>
      <c r="O808" s="250"/>
      <c r="P808" s="250"/>
      <c r="Q808" s="250"/>
      <c r="R808" s="250"/>
      <c r="S808" s="250"/>
      <c r="T808" s="250"/>
      <c r="U808" s="250"/>
      <c r="V808" s="250"/>
      <c r="W808" s="250"/>
      <c r="X808" s="250"/>
      <c r="Y808" s="250"/>
      <c r="Z808" s="250"/>
    </row>
    <row r="809" ht="14.25" customHeight="1">
      <c r="A809" s="250"/>
      <c r="B809" s="250"/>
      <c r="C809" s="250"/>
      <c r="D809" s="250"/>
      <c r="E809" s="250"/>
      <c r="F809" s="250"/>
      <c r="G809" s="250"/>
      <c r="H809" s="250"/>
      <c r="I809" s="250"/>
      <c r="J809" s="250"/>
      <c r="K809" s="250"/>
      <c r="L809" s="250"/>
      <c r="M809" s="250"/>
      <c r="N809" s="250"/>
      <c r="O809" s="250"/>
      <c r="P809" s="250"/>
      <c r="Q809" s="250"/>
      <c r="R809" s="250"/>
      <c r="S809" s="250"/>
      <c r="T809" s="250"/>
      <c r="U809" s="250"/>
      <c r="V809" s="250"/>
      <c r="W809" s="250"/>
      <c r="X809" s="250"/>
      <c r="Y809" s="250"/>
      <c r="Z809" s="250"/>
    </row>
    <row r="810" ht="14.25" customHeight="1">
      <c r="A810" s="250"/>
      <c r="B810" s="250"/>
      <c r="C810" s="250"/>
      <c r="D810" s="250"/>
      <c r="E810" s="250"/>
      <c r="F810" s="250"/>
      <c r="G810" s="250"/>
      <c r="H810" s="250"/>
      <c r="I810" s="250"/>
      <c r="J810" s="250"/>
      <c r="K810" s="250"/>
      <c r="L810" s="250"/>
      <c r="M810" s="250"/>
      <c r="N810" s="250"/>
      <c r="O810" s="250"/>
      <c r="P810" s="250"/>
      <c r="Q810" s="250"/>
      <c r="R810" s="250"/>
      <c r="S810" s="250"/>
      <c r="T810" s="250"/>
      <c r="U810" s="250"/>
      <c r="V810" s="250"/>
      <c r="W810" s="250"/>
      <c r="X810" s="250"/>
      <c r="Y810" s="250"/>
      <c r="Z810" s="250"/>
    </row>
    <row r="811" ht="14.25" customHeight="1">
      <c r="A811" s="250"/>
      <c r="B811" s="250"/>
      <c r="C811" s="250"/>
      <c r="D811" s="250"/>
      <c r="E811" s="250"/>
      <c r="F811" s="250"/>
      <c r="G811" s="250"/>
      <c r="H811" s="250"/>
      <c r="I811" s="250"/>
      <c r="J811" s="250"/>
      <c r="K811" s="250"/>
      <c r="L811" s="250"/>
      <c r="M811" s="250"/>
      <c r="N811" s="250"/>
      <c r="O811" s="250"/>
      <c r="P811" s="250"/>
      <c r="Q811" s="250"/>
      <c r="R811" s="250"/>
      <c r="S811" s="250"/>
      <c r="T811" s="250"/>
      <c r="U811" s="250"/>
      <c r="V811" s="250"/>
      <c r="W811" s="250"/>
      <c r="X811" s="250"/>
      <c r="Y811" s="250"/>
      <c r="Z811" s="250"/>
    </row>
    <row r="812" ht="14.25" customHeight="1">
      <c r="A812" s="250"/>
      <c r="B812" s="250"/>
      <c r="C812" s="250"/>
      <c r="D812" s="250"/>
      <c r="E812" s="250"/>
      <c r="F812" s="250"/>
      <c r="G812" s="250"/>
      <c r="H812" s="250"/>
      <c r="I812" s="250"/>
      <c r="J812" s="250"/>
      <c r="K812" s="250"/>
      <c r="L812" s="250"/>
      <c r="M812" s="250"/>
      <c r="N812" s="250"/>
      <c r="O812" s="250"/>
      <c r="P812" s="250"/>
      <c r="Q812" s="250"/>
      <c r="R812" s="250"/>
      <c r="S812" s="250"/>
      <c r="T812" s="250"/>
      <c r="U812" s="250"/>
      <c r="V812" s="250"/>
      <c r="W812" s="250"/>
      <c r="X812" s="250"/>
      <c r="Y812" s="250"/>
      <c r="Z812" s="250"/>
    </row>
    <row r="813" ht="14.25" customHeight="1">
      <c r="A813" s="250"/>
      <c r="B813" s="250"/>
      <c r="C813" s="250"/>
      <c r="D813" s="250"/>
      <c r="E813" s="250"/>
      <c r="F813" s="250"/>
      <c r="G813" s="250"/>
      <c r="H813" s="250"/>
      <c r="I813" s="250"/>
      <c r="J813" s="250"/>
      <c r="K813" s="250"/>
      <c r="L813" s="250"/>
      <c r="M813" s="250"/>
      <c r="N813" s="250"/>
      <c r="O813" s="250"/>
      <c r="P813" s="250"/>
      <c r="Q813" s="250"/>
      <c r="R813" s="250"/>
      <c r="S813" s="250"/>
      <c r="T813" s="250"/>
      <c r="U813" s="250"/>
      <c r="V813" s="250"/>
      <c r="W813" s="250"/>
      <c r="X813" s="250"/>
      <c r="Y813" s="250"/>
      <c r="Z813" s="250"/>
    </row>
    <row r="814" ht="14.25" customHeight="1">
      <c r="A814" s="250"/>
      <c r="B814" s="250"/>
      <c r="C814" s="250"/>
      <c r="D814" s="250"/>
      <c r="E814" s="250"/>
      <c r="F814" s="250"/>
      <c r="G814" s="250"/>
      <c r="H814" s="250"/>
      <c r="I814" s="250"/>
      <c r="J814" s="250"/>
      <c r="K814" s="250"/>
      <c r="L814" s="250"/>
      <c r="M814" s="250"/>
      <c r="N814" s="250"/>
      <c r="O814" s="250"/>
      <c r="P814" s="250"/>
      <c r="Q814" s="250"/>
      <c r="R814" s="250"/>
      <c r="S814" s="250"/>
      <c r="T814" s="250"/>
      <c r="U814" s="250"/>
      <c r="V814" s="250"/>
      <c r="W814" s="250"/>
      <c r="X814" s="250"/>
      <c r="Y814" s="250"/>
      <c r="Z814" s="250"/>
    </row>
    <row r="815" ht="14.25" customHeight="1">
      <c r="A815" s="250"/>
      <c r="B815" s="250"/>
      <c r="C815" s="250"/>
      <c r="D815" s="250"/>
      <c r="E815" s="250"/>
      <c r="F815" s="250"/>
      <c r="G815" s="250"/>
      <c r="H815" s="250"/>
      <c r="I815" s="250"/>
      <c r="J815" s="250"/>
      <c r="K815" s="250"/>
      <c r="L815" s="250"/>
      <c r="M815" s="250"/>
      <c r="N815" s="250"/>
      <c r="O815" s="250"/>
      <c r="P815" s="250"/>
      <c r="Q815" s="250"/>
      <c r="R815" s="250"/>
      <c r="S815" s="250"/>
      <c r="T815" s="250"/>
      <c r="U815" s="250"/>
      <c r="V815" s="250"/>
      <c r="W815" s="250"/>
      <c r="X815" s="250"/>
      <c r="Y815" s="250"/>
      <c r="Z815" s="250"/>
    </row>
    <row r="816" ht="14.25" customHeight="1">
      <c r="A816" s="250"/>
      <c r="B816" s="250"/>
      <c r="C816" s="250"/>
      <c r="D816" s="250"/>
      <c r="E816" s="250"/>
      <c r="F816" s="250"/>
      <c r="G816" s="250"/>
      <c r="H816" s="250"/>
      <c r="I816" s="250"/>
      <c r="J816" s="250"/>
      <c r="K816" s="250"/>
      <c r="L816" s="250"/>
      <c r="M816" s="250"/>
      <c r="N816" s="250"/>
      <c r="O816" s="250"/>
      <c r="P816" s="250"/>
      <c r="Q816" s="250"/>
      <c r="R816" s="250"/>
      <c r="S816" s="250"/>
      <c r="T816" s="250"/>
      <c r="U816" s="250"/>
      <c r="V816" s="250"/>
      <c r="W816" s="250"/>
      <c r="X816" s="250"/>
      <c r="Y816" s="250"/>
      <c r="Z816" s="250"/>
    </row>
    <row r="817" ht="14.25" customHeight="1">
      <c r="A817" s="250"/>
      <c r="B817" s="250"/>
      <c r="C817" s="250"/>
      <c r="D817" s="250"/>
      <c r="E817" s="250"/>
      <c r="F817" s="250"/>
      <c r="G817" s="250"/>
      <c r="H817" s="250"/>
      <c r="I817" s="250"/>
      <c r="J817" s="250"/>
      <c r="K817" s="250"/>
      <c r="L817" s="250"/>
      <c r="M817" s="250"/>
      <c r="N817" s="250"/>
      <c r="O817" s="250"/>
      <c r="P817" s="250"/>
      <c r="Q817" s="250"/>
      <c r="R817" s="250"/>
      <c r="S817" s="250"/>
      <c r="T817" s="250"/>
      <c r="U817" s="250"/>
      <c r="V817" s="250"/>
      <c r="W817" s="250"/>
      <c r="X817" s="250"/>
      <c r="Y817" s="250"/>
      <c r="Z817" s="250"/>
    </row>
    <row r="818" ht="14.25" customHeight="1">
      <c r="A818" s="250"/>
      <c r="B818" s="250"/>
      <c r="C818" s="250"/>
      <c r="D818" s="250"/>
      <c r="E818" s="250"/>
      <c r="F818" s="250"/>
      <c r="G818" s="250"/>
      <c r="H818" s="250"/>
      <c r="I818" s="250"/>
      <c r="J818" s="250"/>
      <c r="K818" s="250"/>
      <c r="L818" s="250"/>
      <c r="M818" s="250"/>
      <c r="N818" s="250"/>
      <c r="O818" s="250"/>
      <c r="P818" s="250"/>
      <c r="Q818" s="250"/>
      <c r="R818" s="250"/>
      <c r="S818" s="250"/>
      <c r="T818" s="250"/>
      <c r="U818" s="250"/>
      <c r="V818" s="250"/>
      <c r="W818" s="250"/>
      <c r="X818" s="250"/>
      <c r="Y818" s="250"/>
      <c r="Z818" s="250"/>
    </row>
    <row r="819" ht="14.25" customHeight="1">
      <c r="A819" s="250"/>
      <c r="B819" s="250"/>
      <c r="C819" s="250"/>
      <c r="D819" s="250"/>
      <c r="E819" s="250"/>
      <c r="F819" s="250"/>
      <c r="G819" s="250"/>
      <c r="H819" s="250"/>
      <c r="I819" s="250"/>
      <c r="J819" s="250"/>
      <c r="K819" s="250"/>
      <c r="L819" s="250"/>
      <c r="M819" s="250"/>
      <c r="N819" s="250"/>
      <c r="O819" s="250"/>
      <c r="P819" s="250"/>
      <c r="Q819" s="250"/>
      <c r="R819" s="250"/>
      <c r="S819" s="250"/>
      <c r="T819" s="250"/>
      <c r="U819" s="250"/>
      <c r="V819" s="250"/>
      <c r="W819" s="250"/>
      <c r="X819" s="250"/>
      <c r="Y819" s="250"/>
      <c r="Z819" s="250"/>
    </row>
    <row r="820" ht="14.25" customHeight="1">
      <c r="A820" s="250"/>
      <c r="B820" s="250"/>
      <c r="C820" s="250"/>
      <c r="D820" s="250"/>
      <c r="E820" s="250"/>
      <c r="F820" s="250"/>
      <c r="G820" s="250"/>
      <c r="H820" s="250"/>
      <c r="I820" s="250"/>
      <c r="J820" s="250"/>
      <c r="K820" s="250"/>
      <c r="L820" s="250"/>
      <c r="M820" s="250"/>
      <c r="N820" s="250"/>
      <c r="O820" s="250"/>
      <c r="P820" s="250"/>
      <c r="Q820" s="250"/>
      <c r="R820" s="250"/>
      <c r="S820" s="250"/>
      <c r="T820" s="250"/>
      <c r="U820" s="250"/>
      <c r="V820" s="250"/>
      <c r="W820" s="250"/>
      <c r="X820" s="250"/>
      <c r="Y820" s="250"/>
      <c r="Z820" s="250"/>
    </row>
    <row r="821" ht="14.25" customHeight="1">
      <c r="A821" s="250"/>
      <c r="B821" s="250"/>
      <c r="C821" s="250"/>
      <c r="D821" s="250"/>
      <c r="E821" s="250"/>
      <c r="F821" s="250"/>
      <c r="G821" s="250"/>
      <c r="H821" s="250"/>
      <c r="I821" s="250"/>
      <c r="J821" s="250"/>
      <c r="K821" s="250"/>
      <c r="L821" s="250"/>
      <c r="M821" s="250"/>
      <c r="N821" s="250"/>
      <c r="O821" s="250"/>
      <c r="P821" s="250"/>
      <c r="Q821" s="250"/>
      <c r="R821" s="250"/>
      <c r="S821" s="250"/>
      <c r="T821" s="250"/>
      <c r="U821" s="250"/>
      <c r="V821" s="250"/>
      <c r="W821" s="250"/>
      <c r="X821" s="250"/>
      <c r="Y821" s="250"/>
      <c r="Z821" s="250"/>
    </row>
    <row r="822" ht="14.25" customHeight="1">
      <c r="A822" s="250"/>
      <c r="B822" s="250"/>
      <c r="C822" s="250"/>
      <c r="D822" s="250"/>
      <c r="E822" s="250"/>
      <c r="F822" s="250"/>
      <c r="G822" s="250"/>
      <c r="H822" s="250"/>
      <c r="I822" s="250"/>
      <c r="J822" s="250"/>
      <c r="K822" s="250"/>
      <c r="L822" s="250"/>
      <c r="M822" s="250"/>
      <c r="N822" s="250"/>
      <c r="O822" s="250"/>
      <c r="P822" s="250"/>
      <c r="Q822" s="250"/>
      <c r="R822" s="250"/>
      <c r="S822" s="250"/>
      <c r="T822" s="250"/>
      <c r="U822" s="250"/>
      <c r="V822" s="250"/>
      <c r="W822" s="250"/>
      <c r="X822" s="250"/>
      <c r="Y822" s="250"/>
      <c r="Z822" s="250"/>
    </row>
    <row r="823" ht="14.25" customHeight="1">
      <c r="A823" s="250"/>
      <c r="B823" s="250"/>
      <c r="C823" s="250"/>
      <c r="D823" s="250"/>
      <c r="E823" s="250"/>
      <c r="F823" s="250"/>
      <c r="G823" s="250"/>
      <c r="H823" s="250"/>
      <c r="I823" s="250"/>
      <c r="J823" s="250"/>
      <c r="K823" s="250"/>
      <c r="L823" s="250"/>
      <c r="M823" s="250"/>
      <c r="N823" s="250"/>
      <c r="O823" s="250"/>
      <c r="P823" s="250"/>
      <c r="Q823" s="250"/>
      <c r="R823" s="250"/>
      <c r="S823" s="250"/>
      <c r="T823" s="250"/>
      <c r="U823" s="250"/>
      <c r="V823" s="250"/>
      <c r="W823" s="250"/>
      <c r="X823" s="250"/>
      <c r="Y823" s="250"/>
      <c r="Z823" s="250"/>
    </row>
    <row r="824" ht="14.25" customHeight="1">
      <c r="A824" s="250"/>
      <c r="B824" s="250"/>
      <c r="C824" s="250"/>
      <c r="D824" s="250"/>
      <c r="E824" s="250"/>
      <c r="F824" s="250"/>
      <c r="G824" s="250"/>
      <c r="H824" s="250"/>
      <c r="I824" s="250"/>
      <c r="J824" s="250"/>
      <c r="K824" s="250"/>
      <c r="L824" s="250"/>
      <c r="M824" s="250"/>
      <c r="N824" s="250"/>
      <c r="O824" s="250"/>
      <c r="P824" s="250"/>
      <c r="Q824" s="250"/>
      <c r="R824" s="250"/>
      <c r="S824" s="250"/>
      <c r="T824" s="250"/>
      <c r="U824" s="250"/>
      <c r="V824" s="250"/>
      <c r="W824" s="250"/>
      <c r="X824" s="250"/>
      <c r="Y824" s="250"/>
      <c r="Z824" s="250"/>
    </row>
    <row r="825" ht="14.25" customHeight="1">
      <c r="A825" s="250"/>
      <c r="B825" s="250"/>
      <c r="C825" s="250"/>
      <c r="D825" s="250"/>
      <c r="E825" s="250"/>
      <c r="F825" s="250"/>
      <c r="G825" s="250"/>
      <c r="H825" s="250"/>
      <c r="I825" s="250"/>
      <c r="J825" s="250"/>
      <c r="K825" s="250"/>
      <c r="L825" s="250"/>
      <c r="M825" s="250"/>
      <c r="N825" s="250"/>
      <c r="O825" s="250"/>
      <c r="P825" s="250"/>
      <c r="Q825" s="250"/>
      <c r="R825" s="250"/>
      <c r="S825" s="250"/>
      <c r="T825" s="250"/>
      <c r="U825" s="250"/>
      <c r="V825" s="250"/>
      <c r="W825" s="250"/>
      <c r="X825" s="250"/>
      <c r="Y825" s="250"/>
      <c r="Z825" s="250"/>
    </row>
    <row r="826" ht="14.25" customHeight="1">
      <c r="A826" s="250"/>
      <c r="B826" s="250"/>
      <c r="C826" s="250"/>
      <c r="D826" s="250"/>
      <c r="E826" s="250"/>
      <c r="F826" s="250"/>
      <c r="G826" s="250"/>
      <c r="H826" s="250"/>
      <c r="I826" s="250"/>
      <c r="J826" s="250"/>
      <c r="K826" s="250"/>
      <c r="L826" s="250"/>
      <c r="M826" s="250"/>
      <c r="N826" s="250"/>
      <c r="O826" s="250"/>
      <c r="P826" s="250"/>
      <c r="Q826" s="250"/>
      <c r="R826" s="250"/>
      <c r="S826" s="250"/>
      <c r="T826" s="250"/>
      <c r="U826" s="250"/>
      <c r="V826" s="250"/>
      <c r="W826" s="250"/>
      <c r="X826" s="250"/>
      <c r="Y826" s="250"/>
      <c r="Z826" s="250"/>
    </row>
    <row r="827" ht="14.25" customHeight="1">
      <c r="A827" s="250"/>
      <c r="B827" s="250"/>
      <c r="C827" s="250"/>
      <c r="D827" s="250"/>
      <c r="E827" s="250"/>
      <c r="F827" s="250"/>
      <c r="G827" s="250"/>
      <c r="H827" s="250"/>
      <c r="I827" s="250"/>
      <c r="J827" s="250"/>
      <c r="K827" s="250"/>
      <c r="L827" s="250"/>
      <c r="M827" s="250"/>
      <c r="N827" s="250"/>
      <c r="O827" s="250"/>
      <c r="P827" s="250"/>
      <c r="Q827" s="250"/>
      <c r="R827" s="250"/>
      <c r="S827" s="250"/>
      <c r="T827" s="250"/>
      <c r="U827" s="250"/>
      <c r="V827" s="250"/>
      <c r="W827" s="250"/>
      <c r="X827" s="250"/>
      <c r="Y827" s="250"/>
      <c r="Z827" s="250"/>
    </row>
    <row r="828" ht="14.25" customHeight="1">
      <c r="A828" s="250"/>
      <c r="B828" s="250"/>
      <c r="C828" s="250"/>
      <c r="D828" s="250"/>
      <c r="E828" s="250"/>
      <c r="F828" s="250"/>
      <c r="G828" s="250"/>
      <c r="H828" s="250"/>
      <c r="I828" s="250"/>
      <c r="J828" s="250"/>
      <c r="K828" s="250"/>
      <c r="L828" s="250"/>
      <c r="M828" s="250"/>
      <c r="N828" s="250"/>
      <c r="O828" s="250"/>
      <c r="P828" s="250"/>
      <c r="Q828" s="250"/>
      <c r="R828" s="250"/>
      <c r="S828" s="250"/>
      <c r="T828" s="250"/>
      <c r="U828" s="250"/>
      <c r="V828" s="250"/>
      <c r="W828" s="250"/>
      <c r="X828" s="250"/>
      <c r="Y828" s="250"/>
      <c r="Z828" s="250"/>
    </row>
    <row r="829" ht="14.25" customHeight="1">
      <c r="A829" s="250"/>
      <c r="B829" s="250"/>
      <c r="C829" s="250"/>
      <c r="D829" s="250"/>
      <c r="E829" s="250"/>
      <c r="F829" s="250"/>
      <c r="G829" s="250"/>
      <c r="H829" s="250"/>
      <c r="I829" s="250"/>
      <c r="J829" s="250"/>
      <c r="K829" s="250"/>
      <c r="L829" s="250"/>
      <c r="M829" s="250"/>
      <c r="N829" s="250"/>
      <c r="O829" s="250"/>
      <c r="P829" s="250"/>
      <c r="Q829" s="250"/>
      <c r="R829" s="250"/>
      <c r="S829" s="250"/>
      <c r="T829" s="250"/>
      <c r="U829" s="250"/>
      <c r="V829" s="250"/>
      <c r="W829" s="250"/>
      <c r="X829" s="250"/>
      <c r="Y829" s="250"/>
      <c r="Z829" s="250"/>
    </row>
    <row r="830" ht="14.25" customHeight="1">
      <c r="A830" s="250"/>
      <c r="B830" s="250"/>
      <c r="C830" s="250"/>
      <c r="D830" s="250"/>
      <c r="E830" s="250"/>
      <c r="F830" s="250"/>
      <c r="G830" s="250"/>
      <c r="H830" s="250"/>
      <c r="I830" s="250"/>
      <c r="J830" s="250"/>
      <c r="K830" s="250"/>
      <c r="L830" s="250"/>
      <c r="M830" s="250"/>
      <c r="N830" s="250"/>
      <c r="O830" s="250"/>
      <c r="P830" s="250"/>
      <c r="Q830" s="250"/>
      <c r="R830" s="250"/>
      <c r="S830" s="250"/>
      <c r="T830" s="250"/>
      <c r="U830" s="250"/>
      <c r="V830" s="250"/>
      <c r="W830" s="250"/>
      <c r="X830" s="250"/>
      <c r="Y830" s="250"/>
      <c r="Z830" s="250"/>
    </row>
    <row r="831" ht="14.25" customHeight="1">
      <c r="A831" s="250"/>
      <c r="B831" s="250"/>
      <c r="C831" s="250"/>
      <c r="D831" s="250"/>
      <c r="E831" s="250"/>
      <c r="F831" s="250"/>
      <c r="G831" s="250"/>
      <c r="H831" s="250"/>
      <c r="I831" s="250"/>
      <c r="J831" s="250"/>
      <c r="K831" s="250"/>
      <c r="L831" s="250"/>
      <c r="M831" s="250"/>
      <c r="N831" s="250"/>
      <c r="O831" s="250"/>
      <c r="P831" s="250"/>
      <c r="Q831" s="250"/>
      <c r="R831" s="250"/>
      <c r="S831" s="250"/>
      <c r="T831" s="250"/>
      <c r="U831" s="250"/>
      <c r="V831" s="250"/>
      <c r="W831" s="250"/>
      <c r="X831" s="250"/>
      <c r="Y831" s="250"/>
      <c r="Z831" s="250"/>
    </row>
    <row r="832" ht="14.25" customHeight="1">
      <c r="A832" s="250"/>
      <c r="B832" s="250"/>
      <c r="C832" s="250"/>
      <c r="D832" s="250"/>
      <c r="E832" s="250"/>
      <c r="F832" s="250"/>
      <c r="G832" s="250"/>
      <c r="H832" s="250"/>
      <c r="I832" s="250"/>
      <c r="J832" s="250"/>
      <c r="K832" s="250"/>
      <c r="L832" s="250"/>
      <c r="M832" s="250"/>
      <c r="N832" s="250"/>
      <c r="O832" s="250"/>
      <c r="P832" s="250"/>
      <c r="Q832" s="250"/>
      <c r="R832" s="250"/>
      <c r="S832" s="250"/>
      <c r="T832" s="250"/>
      <c r="U832" s="250"/>
      <c r="V832" s="250"/>
      <c r="W832" s="250"/>
      <c r="X832" s="250"/>
      <c r="Y832" s="250"/>
      <c r="Z832" s="250"/>
    </row>
    <row r="833" ht="14.25" customHeight="1">
      <c r="A833" s="250"/>
      <c r="B833" s="250"/>
      <c r="C833" s="250"/>
      <c r="D833" s="250"/>
      <c r="E833" s="250"/>
      <c r="F833" s="250"/>
      <c r="G833" s="250"/>
      <c r="H833" s="250"/>
      <c r="I833" s="250"/>
      <c r="J833" s="250"/>
      <c r="K833" s="250"/>
      <c r="L833" s="250"/>
      <c r="M833" s="250"/>
      <c r="N833" s="250"/>
      <c r="O833" s="250"/>
      <c r="P833" s="250"/>
      <c r="Q833" s="250"/>
      <c r="R833" s="250"/>
      <c r="S833" s="250"/>
      <c r="T833" s="250"/>
      <c r="U833" s="250"/>
      <c r="V833" s="250"/>
      <c r="W833" s="250"/>
      <c r="X833" s="250"/>
      <c r="Y833" s="250"/>
      <c r="Z833" s="250"/>
    </row>
    <row r="834" ht="14.25" customHeight="1">
      <c r="A834" s="250"/>
      <c r="B834" s="250"/>
      <c r="C834" s="250"/>
      <c r="D834" s="250"/>
      <c r="E834" s="250"/>
      <c r="F834" s="250"/>
      <c r="G834" s="250"/>
      <c r="H834" s="250"/>
      <c r="I834" s="250"/>
      <c r="J834" s="250"/>
      <c r="K834" s="250"/>
      <c r="L834" s="250"/>
      <c r="M834" s="250"/>
      <c r="N834" s="250"/>
      <c r="O834" s="250"/>
      <c r="P834" s="250"/>
      <c r="Q834" s="250"/>
      <c r="R834" s="250"/>
      <c r="S834" s="250"/>
      <c r="T834" s="250"/>
      <c r="U834" s="250"/>
      <c r="V834" s="250"/>
      <c r="W834" s="250"/>
      <c r="X834" s="250"/>
      <c r="Y834" s="250"/>
      <c r="Z834" s="250"/>
    </row>
    <row r="835" ht="14.25" customHeight="1">
      <c r="A835" s="250"/>
      <c r="B835" s="250"/>
      <c r="C835" s="250"/>
      <c r="D835" s="250"/>
      <c r="E835" s="250"/>
      <c r="F835" s="250"/>
      <c r="G835" s="250"/>
      <c r="H835" s="250"/>
      <c r="I835" s="250"/>
      <c r="J835" s="250"/>
      <c r="K835" s="250"/>
      <c r="L835" s="250"/>
      <c r="M835" s="250"/>
      <c r="N835" s="250"/>
      <c r="O835" s="250"/>
      <c r="P835" s="250"/>
      <c r="Q835" s="250"/>
      <c r="R835" s="250"/>
      <c r="S835" s="250"/>
      <c r="T835" s="250"/>
      <c r="U835" s="250"/>
      <c r="V835" s="250"/>
      <c r="W835" s="250"/>
      <c r="X835" s="250"/>
      <c r="Y835" s="250"/>
      <c r="Z835" s="250"/>
    </row>
    <row r="836" ht="14.25" customHeight="1">
      <c r="A836" s="250"/>
      <c r="B836" s="250"/>
      <c r="C836" s="250"/>
      <c r="D836" s="250"/>
      <c r="E836" s="250"/>
      <c r="F836" s="250"/>
      <c r="G836" s="250"/>
      <c r="H836" s="250"/>
      <c r="I836" s="250"/>
      <c r="J836" s="250"/>
      <c r="K836" s="250"/>
      <c r="L836" s="250"/>
      <c r="M836" s="250"/>
      <c r="N836" s="250"/>
      <c r="O836" s="250"/>
      <c r="P836" s="250"/>
      <c r="Q836" s="250"/>
      <c r="R836" s="250"/>
      <c r="S836" s="250"/>
      <c r="T836" s="250"/>
      <c r="U836" s="250"/>
      <c r="V836" s="250"/>
      <c r="W836" s="250"/>
      <c r="X836" s="250"/>
      <c r="Y836" s="250"/>
      <c r="Z836" s="250"/>
    </row>
    <row r="837" ht="14.25" customHeight="1">
      <c r="A837" s="250"/>
      <c r="B837" s="250"/>
      <c r="C837" s="250"/>
      <c r="D837" s="250"/>
      <c r="E837" s="250"/>
      <c r="F837" s="250"/>
      <c r="G837" s="250"/>
      <c r="H837" s="250"/>
      <c r="I837" s="250"/>
      <c r="J837" s="250"/>
      <c r="K837" s="250"/>
      <c r="L837" s="250"/>
      <c r="M837" s="250"/>
      <c r="N837" s="250"/>
      <c r="O837" s="250"/>
      <c r="P837" s="250"/>
      <c r="Q837" s="250"/>
      <c r="R837" s="250"/>
      <c r="S837" s="250"/>
      <c r="T837" s="250"/>
      <c r="U837" s="250"/>
      <c r="V837" s="250"/>
      <c r="W837" s="250"/>
      <c r="X837" s="250"/>
      <c r="Y837" s="250"/>
      <c r="Z837" s="250"/>
    </row>
    <row r="838" ht="14.25" customHeight="1">
      <c r="A838" s="250"/>
      <c r="B838" s="250"/>
      <c r="C838" s="250"/>
      <c r="D838" s="250"/>
      <c r="E838" s="250"/>
      <c r="F838" s="250"/>
      <c r="G838" s="250"/>
      <c r="H838" s="250"/>
      <c r="I838" s="250"/>
      <c r="J838" s="250"/>
      <c r="K838" s="250"/>
      <c r="L838" s="250"/>
      <c r="M838" s="250"/>
      <c r="N838" s="250"/>
      <c r="O838" s="250"/>
      <c r="P838" s="250"/>
      <c r="Q838" s="250"/>
      <c r="R838" s="250"/>
      <c r="S838" s="250"/>
      <c r="T838" s="250"/>
      <c r="U838" s="250"/>
      <c r="V838" s="250"/>
      <c r="W838" s="250"/>
      <c r="X838" s="250"/>
      <c r="Y838" s="250"/>
      <c r="Z838" s="250"/>
    </row>
    <row r="839" ht="14.25" customHeight="1">
      <c r="A839" s="250"/>
      <c r="B839" s="250"/>
      <c r="C839" s="250"/>
      <c r="D839" s="250"/>
      <c r="E839" s="250"/>
      <c r="F839" s="250"/>
      <c r="G839" s="250"/>
      <c r="H839" s="250"/>
      <c r="I839" s="250"/>
      <c r="J839" s="250"/>
      <c r="K839" s="250"/>
      <c r="L839" s="250"/>
      <c r="M839" s="250"/>
      <c r="N839" s="250"/>
      <c r="O839" s="250"/>
      <c r="P839" s="250"/>
      <c r="Q839" s="250"/>
      <c r="R839" s="250"/>
      <c r="S839" s="250"/>
      <c r="T839" s="250"/>
      <c r="U839" s="250"/>
      <c r="V839" s="250"/>
      <c r="W839" s="250"/>
      <c r="X839" s="250"/>
      <c r="Y839" s="250"/>
      <c r="Z839" s="250"/>
    </row>
    <row r="840" ht="14.25" customHeight="1">
      <c r="A840" s="250"/>
      <c r="B840" s="250"/>
      <c r="C840" s="250"/>
      <c r="D840" s="250"/>
      <c r="E840" s="250"/>
      <c r="F840" s="250"/>
      <c r="G840" s="250"/>
      <c r="H840" s="250"/>
      <c r="I840" s="250"/>
      <c r="J840" s="250"/>
      <c r="K840" s="250"/>
      <c r="L840" s="250"/>
      <c r="M840" s="250"/>
      <c r="N840" s="250"/>
      <c r="O840" s="250"/>
      <c r="P840" s="250"/>
      <c r="Q840" s="250"/>
      <c r="R840" s="250"/>
      <c r="S840" s="250"/>
      <c r="T840" s="250"/>
      <c r="U840" s="250"/>
      <c r="V840" s="250"/>
      <c r="W840" s="250"/>
      <c r="X840" s="250"/>
      <c r="Y840" s="250"/>
      <c r="Z840" s="250"/>
    </row>
    <row r="841" ht="14.25" customHeight="1">
      <c r="A841" s="250"/>
      <c r="B841" s="250"/>
      <c r="C841" s="250"/>
      <c r="D841" s="250"/>
      <c r="E841" s="250"/>
      <c r="F841" s="250"/>
      <c r="G841" s="250"/>
      <c r="H841" s="250"/>
      <c r="I841" s="250"/>
      <c r="J841" s="250"/>
      <c r="K841" s="250"/>
      <c r="L841" s="250"/>
      <c r="M841" s="250"/>
      <c r="N841" s="250"/>
      <c r="O841" s="250"/>
      <c r="P841" s="250"/>
      <c r="Q841" s="250"/>
      <c r="R841" s="250"/>
      <c r="S841" s="250"/>
      <c r="T841" s="250"/>
      <c r="U841" s="250"/>
      <c r="V841" s="250"/>
      <c r="W841" s="250"/>
      <c r="X841" s="250"/>
      <c r="Y841" s="250"/>
      <c r="Z841" s="250"/>
    </row>
    <row r="842" ht="14.25" customHeight="1">
      <c r="A842" s="250"/>
      <c r="B842" s="250"/>
      <c r="C842" s="250"/>
      <c r="D842" s="250"/>
      <c r="E842" s="250"/>
      <c r="F842" s="250"/>
      <c r="G842" s="250"/>
      <c r="H842" s="250"/>
      <c r="I842" s="250"/>
      <c r="J842" s="250"/>
      <c r="K842" s="250"/>
      <c r="L842" s="250"/>
      <c r="M842" s="250"/>
      <c r="N842" s="250"/>
      <c r="O842" s="250"/>
      <c r="P842" s="250"/>
      <c r="Q842" s="250"/>
      <c r="R842" s="250"/>
      <c r="S842" s="250"/>
      <c r="T842" s="250"/>
      <c r="U842" s="250"/>
      <c r="V842" s="250"/>
      <c r="W842" s="250"/>
      <c r="X842" s="250"/>
      <c r="Y842" s="250"/>
      <c r="Z842" s="250"/>
    </row>
    <row r="843" ht="14.25" customHeight="1">
      <c r="A843" s="250"/>
      <c r="B843" s="250"/>
      <c r="C843" s="250"/>
      <c r="D843" s="250"/>
      <c r="E843" s="250"/>
      <c r="F843" s="250"/>
      <c r="G843" s="250"/>
      <c r="H843" s="250"/>
      <c r="I843" s="250"/>
      <c r="J843" s="250"/>
      <c r="K843" s="250"/>
      <c r="L843" s="250"/>
      <c r="M843" s="250"/>
      <c r="N843" s="250"/>
      <c r="O843" s="250"/>
      <c r="P843" s="250"/>
      <c r="Q843" s="250"/>
      <c r="R843" s="250"/>
      <c r="S843" s="250"/>
      <c r="T843" s="250"/>
      <c r="U843" s="250"/>
      <c r="V843" s="250"/>
      <c r="W843" s="250"/>
      <c r="X843" s="250"/>
      <c r="Y843" s="250"/>
      <c r="Z843" s="250"/>
    </row>
    <row r="844" ht="14.25" customHeight="1">
      <c r="A844" s="250"/>
      <c r="B844" s="250"/>
      <c r="C844" s="250"/>
      <c r="D844" s="250"/>
      <c r="E844" s="250"/>
      <c r="F844" s="250"/>
      <c r="G844" s="250"/>
      <c r="H844" s="250"/>
      <c r="I844" s="250"/>
      <c r="J844" s="250"/>
      <c r="K844" s="250"/>
      <c r="L844" s="250"/>
      <c r="M844" s="250"/>
      <c r="N844" s="250"/>
      <c r="O844" s="250"/>
      <c r="P844" s="250"/>
      <c r="Q844" s="250"/>
      <c r="R844" s="250"/>
      <c r="S844" s="250"/>
      <c r="T844" s="250"/>
      <c r="U844" s="250"/>
      <c r="V844" s="250"/>
      <c r="W844" s="250"/>
      <c r="X844" s="250"/>
      <c r="Y844" s="250"/>
      <c r="Z844" s="250"/>
    </row>
    <row r="845" ht="14.25" customHeight="1">
      <c r="A845" s="250"/>
      <c r="B845" s="250"/>
      <c r="C845" s="250"/>
      <c r="D845" s="250"/>
      <c r="E845" s="250"/>
      <c r="F845" s="250"/>
      <c r="G845" s="250"/>
      <c r="H845" s="250"/>
      <c r="I845" s="250"/>
      <c r="J845" s="250"/>
      <c r="K845" s="250"/>
      <c r="L845" s="250"/>
      <c r="M845" s="250"/>
      <c r="N845" s="250"/>
      <c r="O845" s="250"/>
      <c r="P845" s="250"/>
      <c r="Q845" s="250"/>
      <c r="R845" s="250"/>
      <c r="S845" s="250"/>
      <c r="T845" s="250"/>
      <c r="U845" s="250"/>
      <c r="V845" s="250"/>
      <c r="W845" s="250"/>
      <c r="X845" s="250"/>
      <c r="Y845" s="250"/>
      <c r="Z845" s="250"/>
    </row>
    <row r="846" ht="14.25" customHeight="1">
      <c r="A846" s="250"/>
      <c r="B846" s="250"/>
      <c r="C846" s="250"/>
      <c r="D846" s="250"/>
      <c r="E846" s="250"/>
      <c r="F846" s="250"/>
      <c r="G846" s="250"/>
      <c r="H846" s="250"/>
      <c r="I846" s="250"/>
      <c r="J846" s="250"/>
      <c r="K846" s="250"/>
      <c r="L846" s="250"/>
      <c r="M846" s="250"/>
      <c r="N846" s="250"/>
      <c r="O846" s="250"/>
      <c r="P846" s="250"/>
      <c r="Q846" s="250"/>
      <c r="R846" s="250"/>
      <c r="S846" s="250"/>
      <c r="T846" s="250"/>
      <c r="U846" s="250"/>
      <c r="V846" s="250"/>
      <c r="W846" s="250"/>
      <c r="X846" s="250"/>
      <c r="Y846" s="250"/>
      <c r="Z846" s="250"/>
    </row>
    <row r="847" ht="14.25" customHeight="1">
      <c r="A847" s="250"/>
      <c r="B847" s="250"/>
      <c r="C847" s="250"/>
      <c r="D847" s="250"/>
      <c r="E847" s="250"/>
      <c r="F847" s="250"/>
      <c r="G847" s="250"/>
      <c r="H847" s="250"/>
      <c r="I847" s="250"/>
      <c r="J847" s="250"/>
      <c r="K847" s="250"/>
      <c r="L847" s="250"/>
      <c r="M847" s="250"/>
      <c r="N847" s="250"/>
      <c r="O847" s="250"/>
      <c r="P847" s="250"/>
      <c r="Q847" s="250"/>
      <c r="R847" s="250"/>
      <c r="S847" s="250"/>
      <c r="T847" s="250"/>
      <c r="U847" s="250"/>
      <c r="V847" s="250"/>
      <c r="W847" s="250"/>
      <c r="X847" s="250"/>
      <c r="Y847" s="250"/>
      <c r="Z847" s="250"/>
    </row>
    <row r="848" ht="14.25" customHeight="1">
      <c r="A848" s="250"/>
      <c r="B848" s="250"/>
      <c r="C848" s="250"/>
      <c r="D848" s="250"/>
      <c r="E848" s="250"/>
      <c r="F848" s="250"/>
      <c r="G848" s="250"/>
      <c r="H848" s="250"/>
      <c r="I848" s="250"/>
      <c r="J848" s="250"/>
      <c r="K848" s="250"/>
      <c r="L848" s="250"/>
      <c r="M848" s="250"/>
      <c r="N848" s="250"/>
      <c r="O848" s="250"/>
      <c r="P848" s="250"/>
      <c r="Q848" s="250"/>
      <c r="R848" s="250"/>
      <c r="S848" s="250"/>
      <c r="T848" s="250"/>
      <c r="U848" s="250"/>
      <c r="V848" s="250"/>
      <c r="W848" s="250"/>
      <c r="X848" s="250"/>
      <c r="Y848" s="250"/>
      <c r="Z848" s="250"/>
    </row>
    <row r="849" ht="14.25" customHeight="1">
      <c r="A849" s="250"/>
      <c r="B849" s="250"/>
      <c r="C849" s="250"/>
      <c r="D849" s="250"/>
      <c r="E849" s="250"/>
      <c r="F849" s="250"/>
      <c r="G849" s="250"/>
      <c r="H849" s="250"/>
      <c r="I849" s="250"/>
      <c r="J849" s="250"/>
      <c r="K849" s="250"/>
      <c r="L849" s="250"/>
      <c r="M849" s="250"/>
      <c r="N849" s="250"/>
      <c r="O849" s="250"/>
      <c r="P849" s="250"/>
      <c r="Q849" s="250"/>
      <c r="R849" s="250"/>
      <c r="S849" s="250"/>
      <c r="T849" s="250"/>
      <c r="U849" s="250"/>
      <c r="V849" s="250"/>
      <c r="W849" s="250"/>
      <c r="X849" s="250"/>
      <c r="Y849" s="250"/>
      <c r="Z849" s="250"/>
    </row>
    <row r="850" ht="14.25" customHeight="1">
      <c r="A850" s="250"/>
      <c r="B850" s="250"/>
      <c r="C850" s="250"/>
      <c r="D850" s="250"/>
      <c r="E850" s="250"/>
      <c r="F850" s="250"/>
      <c r="G850" s="250"/>
      <c r="H850" s="250"/>
      <c r="I850" s="250"/>
      <c r="J850" s="250"/>
      <c r="K850" s="250"/>
      <c r="L850" s="250"/>
      <c r="M850" s="250"/>
      <c r="N850" s="250"/>
      <c r="O850" s="250"/>
      <c r="P850" s="250"/>
      <c r="Q850" s="250"/>
      <c r="R850" s="250"/>
      <c r="S850" s="250"/>
      <c r="T850" s="250"/>
      <c r="U850" s="250"/>
      <c r="V850" s="250"/>
      <c r="W850" s="250"/>
      <c r="X850" s="250"/>
      <c r="Y850" s="250"/>
      <c r="Z850" s="250"/>
    </row>
    <row r="851" ht="14.25" customHeight="1">
      <c r="A851" s="250"/>
      <c r="B851" s="250"/>
      <c r="C851" s="250"/>
      <c r="D851" s="250"/>
      <c r="E851" s="250"/>
      <c r="F851" s="250"/>
      <c r="G851" s="250"/>
      <c r="H851" s="250"/>
      <c r="I851" s="250"/>
      <c r="J851" s="250"/>
      <c r="K851" s="250"/>
      <c r="L851" s="250"/>
      <c r="M851" s="250"/>
      <c r="N851" s="250"/>
      <c r="O851" s="250"/>
      <c r="P851" s="250"/>
      <c r="Q851" s="250"/>
      <c r="R851" s="250"/>
      <c r="S851" s="250"/>
      <c r="T851" s="250"/>
      <c r="U851" s="250"/>
      <c r="V851" s="250"/>
      <c r="W851" s="250"/>
      <c r="X851" s="250"/>
      <c r="Y851" s="250"/>
      <c r="Z851" s="250"/>
    </row>
    <row r="852" ht="14.25" customHeight="1">
      <c r="A852" s="250"/>
      <c r="B852" s="250"/>
      <c r="C852" s="250"/>
      <c r="D852" s="250"/>
      <c r="E852" s="250"/>
      <c r="F852" s="250"/>
      <c r="G852" s="250"/>
      <c r="H852" s="250"/>
      <c r="I852" s="250"/>
      <c r="J852" s="250"/>
      <c r="K852" s="250"/>
      <c r="L852" s="250"/>
      <c r="M852" s="250"/>
      <c r="N852" s="250"/>
      <c r="O852" s="250"/>
      <c r="P852" s="250"/>
      <c r="Q852" s="250"/>
      <c r="R852" s="250"/>
      <c r="S852" s="250"/>
      <c r="T852" s="250"/>
      <c r="U852" s="250"/>
      <c r="V852" s="250"/>
      <c r="W852" s="250"/>
      <c r="X852" s="250"/>
      <c r="Y852" s="250"/>
      <c r="Z852" s="250"/>
    </row>
    <row r="853" ht="14.25" customHeight="1">
      <c r="A853" s="250"/>
      <c r="B853" s="250"/>
      <c r="C853" s="250"/>
      <c r="D853" s="250"/>
      <c r="E853" s="250"/>
      <c r="F853" s="250"/>
      <c r="G853" s="250"/>
      <c r="H853" s="250"/>
      <c r="I853" s="250"/>
      <c r="J853" s="250"/>
      <c r="K853" s="250"/>
      <c r="L853" s="250"/>
      <c r="M853" s="250"/>
      <c r="N853" s="250"/>
      <c r="O853" s="250"/>
      <c r="P853" s="250"/>
      <c r="Q853" s="250"/>
      <c r="R853" s="250"/>
      <c r="S853" s="250"/>
      <c r="T853" s="250"/>
      <c r="U853" s="250"/>
      <c r="V853" s="250"/>
      <c r="W853" s="250"/>
      <c r="X853" s="250"/>
      <c r="Y853" s="250"/>
      <c r="Z853" s="250"/>
    </row>
    <row r="854" ht="14.25" customHeight="1">
      <c r="A854" s="250"/>
      <c r="B854" s="250"/>
      <c r="C854" s="250"/>
      <c r="D854" s="250"/>
      <c r="E854" s="250"/>
      <c r="F854" s="250"/>
      <c r="G854" s="250"/>
      <c r="H854" s="250"/>
      <c r="I854" s="250"/>
      <c r="J854" s="250"/>
      <c r="K854" s="250"/>
      <c r="L854" s="250"/>
      <c r="M854" s="250"/>
      <c r="N854" s="250"/>
      <c r="O854" s="250"/>
      <c r="P854" s="250"/>
      <c r="Q854" s="250"/>
      <c r="R854" s="250"/>
      <c r="S854" s="250"/>
      <c r="T854" s="250"/>
      <c r="U854" s="250"/>
      <c r="V854" s="250"/>
      <c r="W854" s="250"/>
      <c r="X854" s="250"/>
      <c r="Y854" s="250"/>
      <c r="Z854" s="250"/>
    </row>
    <row r="855" ht="14.25" customHeight="1">
      <c r="A855" s="250"/>
      <c r="B855" s="250"/>
      <c r="C855" s="250"/>
      <c r="D855" s="250"/>
      <c r="E855" s="250"/>
      <c r="F855" s="250"/>
      <c r="G855" s="250"/>
      <c r="H855" s="250"/>
      <c r="I855" s="250"/>
      <c r="J855" s="250"/>
      <c r="K855" s="250"/>
      <c r="L855" s="250"/>
      <c r="M855" s="250"/>
      <c r="N855" s="250"/>
      <c r="O855" s="250"/>
      <c r="P855" s="250"/>
      <c r="Q855" s="250"/>
      <c r="R855" s="250"/>
      <c r="S855" s="250"/>
      <c r="T855" s="250"/>
      <c r="U855" s="250"/>
      <c r="V855" s="250"/>
      <c r="W855" s="250"/>
      <c r="X855" s="250"/>
      <c r="Y855" s="250"/>
      <c r="Z855" s="250"/>
    </row>
    <row r="856" ht="14.25" customHeight="1">
      <c r="A856" s="250"/>
      <c r="B856" s="250"/>
      <c r="C856" s="250"/>
      <c r="D856" s="250"/>
      <c r="E856" s="250"/>
      <c r="F856" s="250"/>
      <c r="G856" s="250"/>
      <c r="H856" s="250"/>
      <c r="I856" s="250"/>
      <c r="J856" s="250"/>
      <c r="K856" s="250"/>
      <c r="L856" s="250"/>
      <c r="M856" s="250"/>
      <c r="N856" s="250"/>
      <c r="O856" s="250"/>
      <c r="P856" s="250"/>
      <c r="Q856" s="250"/>
      <c r="R856" s="250"/>
      <c r="S856" s="250"/>
      <c r="T856" s="250"/>
      <c r="U856" s="250"/>
      <c r="V856" s="250"/>
      <c r="W856" s="250"/>
      <c r="X856" s="250"/>
      <c r="Y856" s="250"/>
      <c r="Z856" s="250"/>
    </row>
    <row r="857" ht="14.25" customHeight="1">
      <c r="A857" s="250"/>
      <c r="B857" s="250"/>
      <c r="C857" s="250"/>
      <c r="D857" s="250"/>
      <c r="E857" s="250"/>
      <c r="F857" s="250"/>
      <c r="G857" s="250"/>
      <c r="H857" s="250"/>
      <c r="I857" s="250"/>
      <c r="J857" s="250"/>
      <c r="K857" s="250"/>
      <c r="L857" s="250"/>
      <c r="M857" s="250"/>
      <c r="N857" s="250"/>
      <c r="O857" s="250"/>
      <c r="P857" s="250"/>
      <c r="Q857" s="250"/>
      <c r="R857" s="250"/>
      <c r="S857" s="250"/>
      <c r="T857" s="250"/>
      <c r="U857" s="250"/>
      <c r="V857" s="250"/>
      <c r="W857" s="250"/>
      <c r="X857" s="250"/>
      <c r="Y857" s="250"/>
      <c r="Z857" s="250"/>
    </row>
    <row r="858" ht="14.25" customHeight="1">
      <c r="A858" s="250"/>
      <c r="B858" s="250"/>
      <c r="C858" s="250"/>
      <c r="D858" s="250"/>
      <c r="E858" s="250"/>
      <c r="F858" s="250"/>
      <c r="G858" s="250"/>
      <c r="H858" s="250"/>
      <c r="I858" s="250"/>
      <c r="J858" s="250"/>
      <c r="K858" s="250"/>
      <c r="L858" s="250"/>
      <c r="M858" s="250"/>
      <c r="N858" s="250"/>
      <c r="O858" s="250"/>
      <c r="P858" s="250"/>
      <c r="Q858" s="250"/>
      <c r="R858" s="250"/>
      <c r="S858" s="250"/>
      <c r="T858" s="250"/>
      <c r="U858" s="250"/>
      <c r="V858" s="250"/>
      <c r="W858" s="250"/>
      <c r="X858" s="250"/>
      <c r="Y858" s="250"/>
      <c r="Z858" s="250"/>
    </row>
    <row r="859" ht="14.25" customHeight="1">
      <c r="A859" s="250"/>
      <c r="B859" s="250"/>
      <c r="C859" s="250"/>
      <c r="D859" s="250"/>
      <c r="E859" s="250"/>
      <c r="F859" s="250"/>
      <c r="G859" s="250"/>
      <c r="H859" s="250"/>
      <c r="I859" s="250"/>
      <c r="J859" s="250"/>
      <c r="K859" s="250"/>
      <c r="L859" s="250"/>
      <c r="M859" s="250"/>
      <c r="N859" s="250"/>
      <c r="O859" s="250"/>
      <c r="P859" s="250"/>
      <c r="Q859" s="250"/>
      <c r="R859" s="250"/>
      <c r="S859" s="250"/>
      <c r="T859" s="250"/>
      <c r="U859" s="250"/>
      <c r="V859" s="250"/>
      <c r="W859" s="250"/>
      <c r="X859" s="250"/>
      <c r="Y859" s="250"/>
      <c r="Z859" s="250"/>
    </row>
    <row r="860" ht="14.25" customHeight="1">
      <c r="A860" s="250"/>
      <c r="B860" s="250"/>
      <c r="C860" s="250"/>
      <c r="D860" s="250"/>
      <c r="E860" s="250"/>
      <c r="F860" s="250"/>
      <c r="G860" s="250"/>
      <c r="H860" s="250"/>
      <c r="I860" s="250"/>
      <c r="J860" s="250"/>
      <c r="K860" s="250"/>
      <c r="L860" s="250"/>
      <c r="M860" s="250"/>
      <c r="N860" s="250"/>
      <c r="O860" s="250"/>
      <c r="P860" s="250"/>
      <c r="Q860" s="250"/>
      <c r="R860" s="250"/>
      <c r="S860" s="250"/>
      <c r="T860" s="250"/>
      <c r="U860" s="250"/>
      <c r="V860" s="250"/>
      <c r="W860" s="250"/>
      <c r="X860" s="250"/>
      <c r="Y860" s="250"/>
      <c r="Z860" s="250"/>
    </row>
    <row r="861" ht="14.25" customHeight="1">
      <c r="A861" s="250"/>
      <c r="B861" s="250"/>
      <c r="C861" s="250"/>
      <c r="D861" s="250"/>
      <c r="E861" s="250"/>
      <c r="F861" s="250"/>
      <c r="G861" s="250"/>
      <c r="H861" s="250"/>
      <c r="I861" s="250"/>
      <c r="J861" s="250"/>
      <c r="K861" s="250"/>
      <c r="L861" s="250"/>
      <c r="M861" s="250"/>
      <c r="N861" s="250"/>
      <c r="O861" s="250"/>
      <c r="P861" s="250"/>
      <c r="Q861" s="250"/>
      <c r="R861" s="250"/>
      <c r="S861" s="250"/>
      <c r="T861" s="250"/>
      <c r="U861" s="250"/>
      <c r="V861" s="250"/>
      <c r="W861" s="250"/>
      <c r="X861" s="250"/>
      <c r="Y861" s="250"/>
      <c r="Z861" s="250"/>
    </row>
    <row r="862" ht="14.25" customHeight="1">
      <c r="A862" s="250"/>
      <c r="B862" s="250"/>
      <c r="C862" s="250"/>
      <c r="D862" s="250"/>
      <c r="E862" s="250"/>
      <c r="F862" s="250"/>
      <c r="G862" s="250"/>
      <c r="H862" s="250"/>
      <c r="I862" s="250"/>
      <c r="J862" s="250"/>
      <c r="K862" s="250"/>
      <c r="L862" s="250"/>
      <c r="M862" s="250"/>
      <c r="N862" s="250"/>
      <c r="O862" s="250"/>
      <c r="P862" s="250"/>
      <c r="Q862" s="250"/>
      <c r="R862" s="250"/>
      <c r="S862" s="250"/>
      <c r="T862" s="250"/>
      <c r="U862" s="250"/>
      <c r="V862" s="250"/>
      <c r="W862" s="250"/>
      <c r="X862" s="250"/>
      <c r="Y862" s="250"/>
      <c r="Z862" s="250"/>
    </row>
    <row r="863" ht="14.25" customHeight="1">
      <c r="A863" s="250"/>
      <c r="B863" s="250"/>
      <c r="C863" s="250"/>
      <c r="D863" s="250"/>
      <c r="E863" s="250"/>
      <c r="F863" s="250"/>
      <c r="G863" s="250"/>
      <c r="H863" s="250"/>
      <c r="I863" s="250"/>
      <c r="J863" s="250"/>
      <c r="K863" s="250"/>
      <c r="L863" s="250"/>
      <c r="M863" s="250"/>
      <c r="N863" s="250"/>
      <c r="O863" s="250"/>
      <c r="P863" s="250"/>
      <c r="Q863" s="250"/>
      <c r="R863" s="250"/>
      <c r="S863" s="250"/>
      <c r="T863" s="250"/>
      <c r="U863" s="250"/>
      <c r="V863" s="250"/>
      <c r="W863" s="250"/>
      <c r="X863" s="250"/>
      <c r="Y863" s="250"/>
      <c r="Z863" s="250"/>
    </row>
    <row r="864" ht="14.25" customHeight="1">
      <c r="A864" s="250"/>
      <c r="B864" s="250"/>
      <c r="C864" s="250"/>
      <c r="D864" s="250"/>
      <c r="E864" s="250"/>
      <c r="F864" s="250"/>
      <c r="G864" s="250"/>
      <c r="H864" s="250"/>
      <c r="I864" s="250"/>
      <c r="J864" s="250"/>
      <c r="K864" s="250"/>
      <c r="L864" s="250"/>
      <c r="M864" s="250"/>
      <c r="N864" s="250"/>
      <c r="O864" s="250"/>
      <c r="P864" s="250"/>
      <c r="Q864" s="250"/>
      <c r="R864" s="250"/>
      <c r="S864" s="250"/>
      <c r="T864" s="250"/>
      <c r="U864" s="250"/>
      <c r="V864" s="250"/>
      <c r="W864" s="250"/>
      <c r="X864" s="250"/>
      <c r="Y864" s="250"/>
      <c r="Z864" s="250"/>
    </row>
    <row r="865" ht="14.25" customHeight="1">
      <c r="A865" s="250"/>
      <c r="B865" s="250"/>
      <c r="C865" s="250"/>
      <c r="D865" s="250"/>
      <c r="E865" s="250"/>
      <c r="F865" s="250"/>
      <c r="G865" s="250"/>
      <c r="H865" s="250"/>
      <c r="I865" s="250"/>
      <c r="J865" s="250"/>
      <c r="K865" s="250"/>
      <c r="L865" s="250"/>
      <c r="M865" s="250"/>
      <c r="N865" s="250"/>
      <c r="O865" s="250"/>
      <c r="P865" s="250"/>
      <c r="Q865" s="250"/>
      <c r="R865" s="250"/>
      <c r="S865" s="250"/>
      <c r="T865" s="250"/>
      <c r="U865" s="250"/>
      <c r="V865" s="250"/>
      <c r="W865" s="250"/>
      <c r="X865" s="250"/>
      <c r="Y865" s="250"/>
      <c r="Z865" s="250"/>
    </row>
    <row r="866" ht="14.25" customHeight="1">
      <c r="A866" s="250"/>
      <c r="B866" s="250"/>
      <c r="C866" s="250"/>
      <c r="D866" s="250"/>
      <c r="E866" s="250"/>
      <c r="F866" s="250"/>
      <c r="G866" s="250"/>
      <c r="H866" s="250"/>
      <c r="I866" s="250"/>
      <c r="J866" s="250"/>
      <c r="K866" s="250"/>
      <c r="L866" s="250"/>
      <c r="M866" s="250"/>
      <c r="N866" s="250"/>
      <c r="O866" s="250"/>
      <c r="P866" s="250"/>
      <c r="Q866" s="250"/>
      <c r="R866" s="250"/>
      <c r="S866" s="250"/>
      <c r="T866" s="250"/>
      <c r="U866" s="250"/>
      <c r="V866" s="250"/>
      <c r="W866" s="250"/>
      <c r="X866" s="250"/>
      <c r="Y866" s="250"/>
      <c r="Z866" s="250"/>
    </row>
    <row r="867" ht="14.25" customHeight="1">
      <c r="A867" s="250"/>
      <c r="B867" s="250"/>
      <c r="C867" s="250"/>
      <c r="D867" s="250"/>
      <c r="E867" s="250"/>
      <c r="F867" s="250"/>
      <c r="G867" s="250"/>
      <c r="H867" s="250"/>
      <c r="I867" s="250"/>
      <c r="J867" s="250"/>
      <c r="K867" s="250"/>
      <c r="L867" s="250"/>
      <c r="M867" s="250"/>
      <c r="N867" s="250"/>
      <c r="O867" s="250"/>
      <c r="P867" s="250"/>
      <c r="Q867" s="250"/>
      <c r="R867" s="250"/>
      <c r="S867" s="250"/>
      <c r="T867" s="250"/>
      <c r="U867" s="250"/>
      <c r="V867" s="250"/>
      <c r="W867" s="250"/>
      <c r="X867" s="250"/>
      <c r="Y867" s="250"/>
      <c r="Z867" s="250"/>
    </row>
    <row r="868" ht="14.25" customHeight="1">
      <c r="A868" s="250"/>
      <c r="B868" s="250"/>
      <c r="C868" s="250"/>
      <c r="D868" s="250"/>
      <c r="E868" s="250"/>
      <c r="F868" s="250"/>
      <c r="G868" s="250"/>
      <c r="H868" s="250"/>
      <c r="I868" s="250"/>
      <c r="J868" s="250"/>
      <c r="K868" s="250"/>
      <c r="L868" s="250"/>
      <c r="M868" s="250"/>
      <c r="N868" s="250"/>
      <c r="O868" s="250"/>
      <c r="P868" s="250"/>
      <c r="Q868" s="250"/>
      <c r="R868" s="250"/>
      <c r="S868" s="250"/>
      <c r="T868" s="250"/>
      <c r="U868" s="250"/>
      <c r="V868" s="250"/>
      <c r="W868" s="250"/>
      <c r="X868" s="250"/>
      <c r="Y868" s="250"/>
      <c r="Z868" s="250"/>
    </row>
    <row r="869" ht="14.25" customHeight="1">
      <c r="A869" s="250"/>
      <c r="B869" s="250"/>
      <c r="C869" s="250"/>
      <c r="D869" s="250"/>
      <c r="E869" s="250"/>
      <c r="F869" s="250"/>
      <c r="G869" s="250"/>
      <c r="H869" s="250"/>
      <c r="I869" s="250"/>
      <c r="J869" s="250"/>
      <c r="K869" s="250"/>
      <c r="L869" s="250"/>
      <c r="M869" s="250"/>
      <c r="N869" s="250"/>
      <c r="O869" s="250"/>
      <c r="P869" s="250"/>
      <c r="Q869" s="250"/>
      <c r="R869" s="250"/>
      <c r="S869" s="250"/>
      <c r="T869" s="250"/>
      <c r="U869" s="250"/>
      <c r="V869" s="250"/>
      <c r="W869" s="250"/>
      <c r="X869" s="250"/>
      <c r="Y869" s="250"/>
      <c r="Z869" s="250"/>
    </row>
    <row r="870" ht="14.25" customHeight="1">
      <c r="A870" s="250"/>
      <c r="B870" s="250"/>
      <c r="C870" s="250"/>
      <c r="D870" s="250"/>
      <c r="E870" s="250"/>
      <c r="F870" s="250"/>
      <c r="G870" s="250"/>
      <c r="H870" s="250"/>
      <c r="I870" s="250"/>
      <c r="J870" s="250"/>
      <c r="K870" s="250"/>
      <c r="L870" s="250"/>
      <c r="M870" s="250"/>
      <c r="N870" s="250"/>
      <c r="O870" s="250"/>
      <c r="P870" s="250"/>
      <c r="Q870" s="250"/>
      <c r="R870" s="250"/>
      <c r="S870" s="250"/>
      <c r="T870" s="250"/>
      <c r="U870" s="250"/>
      <c r="V870" s="250"/>
      <c r="W870" s="250"/>
      <c r="X870" s="250"/>
      <c r="Y870" s="250"/>
      <c r="Z870" s="250"/>
    </row>
    <row r="871" ht="14.25" customHeight="1">
      <c r="A871" s="250"/>
      <c r="B871" s="250"/>
      <c r="C871" s="250"/>
      <c r="D871" s="250"/>
      <c r="E871" s="250"/>
      <c r="F871" s="250"/>
      <c r="G871" s="250"/>
      <c r="H871" s="250"/>
      <c r="I871" s="250"/>
      <c r="J871" s="250"/>
      <c r="K871" s="250"/>
      <c r="L871" s="250"/>
      <c r="M871" s="250"/>
      <c r="N871" s="250"/>
      <c r="O871" s="250"/>
      <c r="P871" s="250"/>
      <c r="Q871" s="250"/>
      <c r="R871" s="250"/>
      <c r="S871" s="250"/>
      <c r="T871" s="250"/>
      <c r="U871" s="250"/>
      <c r="V871" s="250"/>
      <c r="W871" s="250"/>
      <c r="X871" s="250"/>
      <c r="Y871" s="250"/>
      <c r="Z871" s="250"/>
    </row>
    <row r="872" ht="14.25" customHeight="1">
      <c r="A872" s="250"/>
      <c r="B872" s="250"/>
      <c r="C872" s="250"/>
      <c r="D872" s="250"/>
      <c r="E872" s="250"/>
      <c r="F872" s="250"/>
      <c r="G872" s="250"/>
      <c r="H872" s="250"/>
      <c r="I872" s="250"/>
      <c r="J872" s="250"/>
      <c r="K872" s="250"/>
      <c r="L872" s="250"/>
      <c r="M872" s="250"/>
      <c r="N872" s="250"/>
      <c r="O872" s="250"/>
      <c r="P872" s="250"/>
      <c r="Q872" s="250"/>
      <c r="R872" s="250"/>
      <c r="S872" s="250"/>
      <c r="T872" s="250"/>
      <c r="U872" s="250"/>
      <c r="V872" s="250"/>
      <c r="W872" s="250"/>
      <c r="X872" s="250"/>
      <c r="Y872" s="250"/>
      <c r="Z872" s="250"/>
    </row>
    <row r="873" ht="14.25" customHeight="1">
      <c r="A873" s="250"/>
      <c r="B873" s="250"/>
      <c r="C873" s="250"/>
      <c r="D873" s="250"/>
      <c r="E873" s="250"/>
      <c r="F873" s="250"/>
      <c r="G873" s="250"/>
      <c r="H873" s="250"/>
      <c r="I873" s="250"/>
      <c r="J873" s="250"/>
      <c r="K873" s="250"/>
      <c r="L873" s="250"/>
      <c r="M873" s="250"/>
      <c r="N873" s="250"/>
      <c r="O873" s="250"/>
      <c r="P873" s="250"/>
      <c r="Q873" s="250"/>
      <c r="R873" s="250"/>
      <c r="S873" s="250"/>
      <c r="T873" s="250"/>
      <c r="U873" s="250"/>
      <c r="V873" s="250"/>
      <c r="W873" s="250"/>
      <c r="X873" s="250"/>
      <c r="Y873" s="250"/>
      <c r="Z873" s="250"/>
    </row>
    <row r="874" ht="14.25" customHeight="1">
      <c r="A874" s="250"/>
      <c r="B874" s="250"/>
      <c r="C874" s="250"/>
      <c r="D874" s="250"/>
      <c r="E874" s="250"/>
      <c r="F874" s="250"/>
      <c r="G874" s="250"/>
      <c r="H874" s="250"/>
      <c r="I874" s="250"/>
      <c r="J874" s="250"/>
      <c r="K874" s="250"/>
      <c r="L874" s="250"/>
      <c r="M874" s="250"/>
      <c r="N874" s="250"/>
      <c r="O874" s="250"/>
      <c r="P874" s="250"/>
      <c r="Q874" s="250"/>
      <c r="R874" s="250"/>
      <c r="S874" s="250"/>
      <c r="T874" s="250"/>
      <c r="U874" s="250"/>
      <c r="V874" s="250"/>
      <c r="W874" s="250"/>
      <c r="X874" s="250"/>
      <c r="Y874" s="250"/>
      <c r="Z874" s="250"/>
    </row>
    <row r="875" ht="14.25" customHeight="1">
      <c r="A875" s="250"/>
      <c r="B875" s="250"/>
      <c r="C875" s="250"/>
      <c r="D875" s="250"/>
      <c r="E875" s="250"/>
      <c r="F875" s="250"/>
      <c r="G875" s="250"/>
      <c r="H875" s="250"/>
      <c r="I875" s="250"/>
      <c r="J875" s="250"/>
      <c r="K875" s="250"/>
      <c r="L875" s="250"/>
      <c r="M875" s="250"/>
      <c r="N875" s="250"/>
      <c r="O875" s="250"/>
      <c r="P875" s="250"/>
      <c r="Q875" s="250"/>
      <c r="R875" s="250"/>
      <c r="S875" s="250"/>
      <c r="T875" s="250"/>
      <c r="U875" s="250"/>
      <c r="V875" s="250"/>
      <c r="W875" s="250"/>
      <c r="X875" s="250"/>
      <c r="Y875" s="250"/>
      <c r="Z875" s="250"/>
    </row>
    <row r="876" ht="14.25" customHeight="1">
      <c r="A876" s="250"/>
      <c r="B876" s="250"/>
      <c r="C876" s="250"/>
      <c r="D876" s="250"/>
      <c r="E876" s="250"/>
      <c r="F876" s="250"/>
      <c r="G876" s="250"/>
      <c r="H876" s="250"/>
      <c r="I876" s="250"/>
      <c r="J876" s="250"/>
      <c r="K876" s="250"/>
      <c r="L876" s="250"/>
      <c r="M876" s="250"/>
      <c r="N876" s="250"/>
      <c r="O876" s="250"/>
      <c r="P876" s="250"/>
      <c r="Q876" s="250"/>
      <c r="R876" s="250"/>
      <c r="S876" s="250"/>
      <c r="T876" s="250"/>
      <c r="U876" s="250"/>
      <c r="V876" s="250"/>
      <c r="W876" s="250"/>
      <c r="X876" s="250"/>
      <c r="Y876" s="250"/>
      <c r="Z876" s="250"/>
    </row>
    <row r="877" ht="14.25" customHeight="1">
      <c r="A877" s="250"/>
      <c r="B877" s="250"/>
      <c r="C877" s="250"/>
      <c r="D877" s="250"/>
      <c r="E877" s="250"/>
      <c r="F877" s="250"/>
      <c r="G877" s="250"/>
      <c r="H877" s="250"/>
      <c r="I877" s="250"/>
      <c r="J877" s="250"/>
      <c r="K877" s="250"/>
      <c r="L877" s="250"/>
      <c r="M877" s="250"/>
      <c r="N877" s="250"/>
      <c r="O877" s="250"/>
      <c r="P877" s="250"/>
      <c r="Q877" s="250"/>
      <c r="R877" s="250"/>
      <c r="S877" s="250"/>
      <c r="T877" s="250"/>
      <c r="U877" s="250"/>
      <c r="V877" s="250"/>
      <c r="W877" s="250"/>
      <c r="X877" s="250"/>
      <c r="Y877" s="250"/>
      <c r="Z877" s="250"/>
    </row>
    <row r="878" ht="14.25" customHeight="1">
      <c r="A878" s="250"/>
      <c r="B878" s="250"/>
      <c r="C878" s="250"/>
      <c r="D878" s="250"/>
      <c r="E878" s="250"/>
      <c r="F878" s="250"/>
      <c r="G878" s="250"/>
      <c r="H878" s="250"/>
      <c r="I878" s="250"/>
      <c r="J878" s="250"/>
      <c r="K878" s="250"/>
      <c r="L878" s="250"/>
      <c r="M878" s="250"/>
      <c r="N878" s="250"/>
      <c r="O878" s="250"/>
      <c r="P878" s="250"/>
      <c r="Q878" s="250"/>
      <c r="R878" s="250"/>
      <c r="S878" s="250"/>
      <c r="T878" s="250"/>
      <c r="U878" s="250"/>
      <c r="V878" s="250"/>
      <c r="W878" s="250"/>
      <c r="X878" s="250"/>
      <c r="Y878" s="250"/>
      <c r="Z878" s="250"/>
    </row>
    <row r="879" ht="14.25" customHeight="1">
      <c r="A879" s="250"/>
      <c r="B879" s="250"/>
      <c r="C879" s="250"/>
      <c r="D879" s="250"/>
      <c r="E879" s="250"/>
      <c r="F879" s="250"/>
      <c r="G879" s="250"/>
      <c r="H879" s="250"/>
      <c r="I879" s="250"/>
      <c r="J879" s="250"/>
      <c r="K879" s="250"/>
      <c r="L879" s="250"/>
      <c r="M879" s="250"/>
      <c r="N879" s="250"/>
      <c r="O879" s="250"/>
      <c r="P879" s="250"/>
      <c r="Q879" s="250"/>
      <c r="R879" s="250"/>
      <c r="S879" s="250"/>
      <c r="T879" s="250"/>
      <c r="U879" s="250"/>
      <c r="V879" s="250"/>
      <c r="W879" s="250"/>
      <c r="X879" s="250"/>
      <c r="Y879" s="250"/>
      <c r="Z879" s="250"/>
    </row>
    <row r="880" ht="14.25" customHeight="1">
      <c r="A880" s="250"/>
      <c r="B880" s="250"/>
      <c r="C880" s="250"/>
      <c r="D880" s="250"/>
      <c r="E880" s="250"/>
      <c r="F880" s="250"/>
      <c r="G880" s="250"/>
      <c r="H880" s="250"/>
      <c r="I880" s="250"/>
      <c r="J880" s="250"/>
      <c r="K880" s="250"/>
      <c r="L880" s="250"/>
      <c r="M880" s="250"/>
      <c r="N880" s="250"/>
      <c r="O880" s="250"/>
      <c r="P880" s="250"/>
      <c r="Q880" s="250"/>
      <c r="R880" s="250"/>
      <c r="S880" s="250"/>
      <c r="T880" s="250"/>
      <c r="U880" s="250"/>
      <c r="V880" s="250"/>
      <c r="W880" s="250"/>
      <c r="X880" s="250"/>
      <c r="Y880" s="250"/>
      <c r="Z880" s="250"/>
    </row>
    <row r="881" ht="14.25" customHeight="1">
      <c r="A881" s="250"/>
      <c r="B881" s="250"/>
      <c r="C881" s="250"/>
      <c r="D881" s="250"/>
      <c r="E881" s="250"/>
      <c r="F881" s="250"/>
      <c r="G881" s="250"/>
      <c r="H881" s="250"/>
      <c r="I881" s="250"/>
      <c r="J881" s="250"/>
      <c r="K881" s="250"/>
      <c r="L881" s="250"/>
      <c r="M881" s="250"/>
      <c r="N881" s="250"/>
      <c r="O881" s="250"/>
      <c r="P881" s="250"/>
      <c r="Q881" s="250"/>
      <c r="R881" s="250"/>
      <c r="S881" s="250"/>
      <c r="T881" s="250"/>
      <c r="U881" s="250"/>
      <c r="V881" s="250"/>
      <c r="W881" s="250"/>
      <c r="X881" s="250"/>
      <c r="Y881" s="250"/>
      <c r="Z881" s="250"/>
    </row>
    <row r="882" ht="14.25" customHeight="1">
      <c r="A882" s="250"/>
      <c r="B882" s="250"/>
      <c r="C882" s="250"/>
      <c r="D882" s="250"/>
      <c r="E882" s="250"/>
      <c r="F882" s="250"/>
      <c r="G882" s="250"/>
      <c r="H882" s="250"/>
      <c r="I882" s="250"/>
      <c r="J882" s="250"/>
      <c r="K882" s="250"/>
      <c r="L882" s="250"/>
      <c r="M882" s="250"/>
      <c r="N882" s="250"/>
      <c r="O882" s="250"/>
      <c r="P882" s="250"/>
      <c r="Q882" s="250"/>
      <c r="R882" s="250"/>
      <c r="S882" s="250"/>
      <c r="T882" s="250"/>
      <c r="U882" s="250"/>
      <c r="V882" s="250"/>
      <c r="W882" s="250"/>
      <c r="X882" s="250"/>
      <c r="Y882" s="250"/>
      <c r="Z882" s="250"/>
    </row>
    <row r="883" ht="14.25" customHeight="1">
      <c r="A883" s="250"/>
      <c r="B883" s="250"/>
      <c r="C883" s="250"/>
      <c r="D883" s="250"/>
      <c r="E883" s="250"/>
      <c r="F883" s="250"/>
      <c r="G883" s="250"/>
      <c r="H883" s="250"/>
      <c r="I883" s="250"/>
      <c r="J883" s="250"/>
      <c r="K883" s="250"/>
      <c r="L883" s="250"/>
      <c r="M883" s="250"/>
      <c r="N883" s="250"/>
      <c r="O883" s="250"/>
      <c r="P883" s="250"/>
      <c r="Q883" s="250"/>
      <c r="R883" s="250"/>
      <c r="S883" s="250"/>
      <c r="T883" s="250"/>
      <c r="U883" s="250"/>
      <c r="V883" s="250"/>
      <c r="W883" s="250"/>
      <c r="X883" s="250"/>
      <c r="Y883" s="250"/>
      <c r="Z883" s="250"/>
    </row>
    <row r="884" ht="14.25" customHeight="1">
      <c r="A884" s="250"/>
      <c r="B884" s="250"/>
      <c r="C884" s="250"/>
      <c r="D884" s="250"/>
      <c r="E884" s="250"/>
      <c r="F884" s="250"/>
      <c r="G884" s="250"/>
      <c r="H884" s="250"/>
      <c r="I884" s="250"/>
      <c r="J884" s="250"/>
      <c r="K884" s="250"/>
      <c r="L884" s="250"/>
      <c r="M884" s="250"/>
      <c r="N884" s="250"/>
      <c r="O884" s="250"/>
      <c r="P884" s="250"/>
      <c r="Q884" s="250"/>
      <c r="R884" s="250"/>
      <c r="S884" s="250"/>
      <c r="T884" s="250"/>
      <c r="U884" s="250"/>
      <c r="V884" s="250"/>
      <c r="W884" s="250"/>
      <c r="X884" s="250"/>
      <c r="Y884" s="250"/>
      <c r="Z884" s="250"/>
    </row>
    <row r="885" ht="14.25" customHeight="1">
      <c r="A885" s="250"/>
      <c r="B885" s="250"/>
      <c r="C885" s="250"/>
      <c r="D885" s="250"/>
      <c r="E885" s="250"/>
      <c r="F885" s="250"/>
      <c r="G885" s="250"/>
      <c r="H885" s="250"/>
      <c r="I885" s="250"/>
      <c r="J885" s="250"/>
      <c r="K885" s="250"/>
      <c r="L885" s="250"/>
      <c r="M885" s="250"/>
      <c r="N885" s="250"/>
      <c r="O885" s="250"/>
      <c r="P885" s="250"/>
      <c r="Q885" s="250"/>
      <c r="R885" s="250"/>
      <c r="S885" s="250"/>
      <c r="T885" s="250"/>
      <c r="U885" s="250"/>
      <c r="V885" s="250"/>
      <c r="W885" s="250"/>
      <c r="X885" s="250"/>
      <c r="Y885" s="250"/>
      <c r="Z885" s="250"/>
    </row>
    <row r="886" ht="14.25" customHeight="1">
      <c r="A886" s="250"/>
      <c r="B886" s="250"/>
      <c r="C886" s="250"/>
      <c r="D886" s="250"/>
      <c r="E886" s="250"/>
      <c r="F886" s="250"/>
      <c r="G886" s="250"/>
      <c r="H886" s="250"/>
      <c r="I886" s="250"/>
      <c r="J886" s="250"/>
      <c r="K886" s="250"/>
      <c r="L886" s="250"/>
      <c r="M886" s="250"/>
      <c r="N886" s="250"/>
      <c r="O886" s="250"/>
      <c r="P886" s="250"/>
      <c r="Q886" s="250"/>
      <c r="R886" s="250"/>
      <c r="S886" s="250"/>
      <c r="T886" s="250"/>
      <c r="U886" s="250"/>
      <c r="V886" s="250"/>
      <c r="W886" s="250"/>
      <c r="X886" s="250"/>
      <c r="Y886" s="250"/>
      <c r="Z886" s="250"/>
    </row>
    <row r="887" ht="14.25" customHeight="1">
      <c r="A887" s="250"/>
      <c r="B887" s="250"/>
      <c r="C887" s="250"/>
      <c r="D887" s="250"/>
      <c r="E887" s="250"/>
      <c r="F887" s="250"/>
      <c r="G887" s="250"/>
      <c r="H887" s="250"/>
      <c r="I887" s="250"/>
      <c r="J887" s="250"/>
      <c r="K887" s="250"/>
      <c r="L887" s="250"/>
      <c r="M887" s="250"/>
      <c r="N887" s="250"/>
      <c r="O887" s="250"/>
      <c r="P887" s="250"/>
      <c r="Q887" s="250"/>
      <c r="R887" s="250"/>
      <c r="S887" s="250"/>
      <c r="T887" s="250"/>
      <c r="U887" s="250"/>
      <c r="V887" s="250"/>
      <c r="W887" s="250"/>
      <c r="X887" s="250"/>
      <c r="Y887" s="250"/>
      <c r="Z887" s="250"/>
    </row>
    <row r="888" ht="14.25" customHeight="1">
      <c r="A888" s="250"/>
      <c r="B888" s="250"/>
      <c r="C888" s="250"/>
      <c r="D888" s="250"/>
      <c r="E888" s="250"/>
      <c r="F888" s="250"/>
      <c r="G888" s="250"/>
      <c r="H888" s="250"/>
      <c r="I888" s="250"/>
      <c r="J888" s="250"/>
      <c r="K888" s="250"/>
      <c r="L888" s="250"/>
      <c r="M888" s="250"/>
      <c r="N888" s="250"/>
      <c r="O888" s="250"/>
      <c r="P888" s="250"/>
      <c r="Q888" s="250"/>
      <c r="R888" s="250"/>
      <c r="S888" s="250"/>
      <c r="T888" s="250"/>
      <c r="U888" s="250"/>
      <c r="V888" s="250"/>
      <c r="W888" s="250"/>
      <c r="X888" s="250"/>
      <c r="Y888" s="250"/>
      <c r="Z888" s="250"/>
    </row>
    <row r="889" ht="14.25" customHeight="1">
      <c r="A889" s="250"/>
      <c r="B889" s="250"/>
      <c r="C889" s="250"/>
      <c r="D889" s="250"/>
      <c r="E889" s="250"/>
      <c r="F889" s="250"/>
      <c r="G889" s="250"/>
      <c r="H889" s="250"/>
      <c r="I889" s="250"/>
      <c r="J889" s="250"/>
      <c r="K889" s="250"/>
      <c r="L889" s="250"/>
      <c r="M889" s="250"/>
      <c r="N889" s="250"/>
      <c r="O889" s="250"/>
      <c r="P889" s="250"/>
      <c r="Q889" s="250"/>
      <c r="R889" s="250"/>
      <c r="S889" s="250"/>
      <c r="T889" s="250"/>
      <c r="U889" s="250"/>
      <c r="V889" s="250"/>
      <c r="W889" s="250"/>
      <c r="X889" s="250"/>
      <c r="Y889" s="250"/>
      <c r="Z889" s="250"/>
    </row>
    <row r="890" ht="14.25" customHeight="1">
      <c r="A890" s="250"/>
      <c r="B890" s="250"/>
      <c r="C890" s="250"/>
      <c r="D890" s="250"/>
      <c r="E890" s="250"/>
      <c r="F890" s="250"/>
      <c r="G890" s="250"/>
      <c r="H890" s="250"/>
      <c r="I890" s="250"/>
      <c r="J890" s="250"/>
      <c r="K890" s="250"/>
      <c r="L890" s="250"/>
      <c r="M890" s="250"/>
      <c r="N890" s="250"/>
      <c r="O890" s="250"/>
      <c r="P890" s="250"/>
      <c r="Q890" s="250"/>
      <c r="R890" s="250"/>
      <c r="S890" s="250"/>
      <c r="T890" s="250"/>
      <c r="U890" s="250"/>
      <c r="V890" s="250"/>
      <c r="W890" s="250"/>
      <c r="X890" s="250"/>
      <c r="Y890" s="250"/>
      <c r="Z890" s="250"/>
    </row>
    <row r="891" ht="14.25" customHeight="1">
      <c r="A891" s="250"/>
      <c r="B891" s="250"/>
      <c r="C891" s="250"/>
      <c r="D891" s="250"/>
      <c r="E891" s="250"/>
      <c r="F891" s="250"/>
      <c r="G891" s="250"/>
      <c r="H891" s="250"/>
      <c r="I891" s="250"/>
      <c r="J891" s="250"/>
      <c r="K891" s="250"/>
      <c r="L891" s="250"/>
      <c r="M891" s="250"/>
      <c r="N891" s="250"/>
      <c r="O891" s="250"/>
      <c r="P891" s="250"/>
      <c r="Q891" s="250"/>
      <c r="R891" s="250"/>
      <c r="S891" s="250"/>
      <c r="T891" s="250"/>
      <c r="U891" s="250"/>
      <c r="V891" s="250"/>
      <c r="W891" s="250"/>
      <c r="X891" s="250"/>
      <c r="Y891" s="250"/>
      <c r="Z891" s="250"/>
    </row>
    <row r="892" ht="14.25" customHeight="1">
      <c r="A892" s="250"/>
      <c r="B892" s="250"/>
      <c r="C892" s="250"/>
      <c r="D892" s="250"/>
      <c r="E892" s="250"/>
      <c r="F892" s="250"/>
      <c r="G892" s="250"/>
      <c r="H892" s="250"/>
      <c r="I892" s="250"/>
      <c r="J892" s="250"/>
      <c r="K892" s="250"/>
      <c r="L892" s="250"/>
      <c r="M892" s="250"/>
      <c r="N892" s="250"/>
      <c r="O892" s="250"/>
      <c r="P892" s="250"/>
      <c r="Q892" s="250"/>
      <c r="R892" s="250"/>
      <c r="S892" s="250"/>
      <c r="T892" s="250"/>
      <c r="U892" s="250"/>
      <c r="V892" s="250"/>
      <c r="W892" s="250"/>
      <c r="X892" s="250"/>
      <c r="Y892" s="250"/>
      <c r="Z892" s="250"/>
    </row>
    <row r="893" ht="14.25" customHeight="1">
      <c r="A893" s="250"/>
      <c r="B893" s="250"/>
      <c r="C893" s="250"/>
      <c r="D893" s="250"/>
      <c r="E893" s="250"/>
      <c r="F893" s="250"/>
      <c r="G893" s="250"/>
      <c r="H893" s="250"/>
      <c r="I893" s="250"/>
      <c r="J893" s="250"/>
      <c r="K893" s="250"/>
      <c r="L893" s="250"/>
      <c r="M893" s="250"/>
      <c r="N893" s="250"/>
      <c r="O893" s="250"/>
      <c r="P893" s="250"/>
      <c r="Q893" s="250"/>
      <c r="R893" s="250"/>
      <c r="S893" s="250"/>
      <c r="T893" s="250"/>
      <c r="U893" s="250"/>
      <c r="V893" s="250"/>
      <c r="W893" s="250"/>
      <c r="X893" s="250"/>
      <c r="Y893" s="250"/>
      <c r="Z893" s="250"/>
    </row>
    <row r="894" ht="14.25" customHeight="1">
      <c r="A894" s="250"/>
      <c r="B894" s="250"/>
      <c r="C894" s="250"/>
      <c r="D894" s="250"/>
      <c r="E894" s="250"/>
      <c r="F894" s="250"/>
      <c r="G894" s="250"/>
      <c r="H894" s="250"/>
      <c r="I894" s="250"/>
      <c r="J894" s="250"/>
      <c r="K894" s="250"/>
      <c r="L894" s="250"/>
      <c r="M894" s="250"/>
      <c r="N894" s="250"/>
      <c r="O894" s="250"/>
      <c r="P894" s="250"/>
      <c r="Q894" s="250"/>
      <c r="R894" s="250"/>
      <c r="S894" s="250"/>
      <c r="T894" s="250"/>
      <c r="U894" s="250"/>
      <c r="V894" s="250"/>
      <c r="W894" s="250"/>
      <c r="X894" s="250"/>
      <c r="Y894" s="250"/>
      <c r="Z894" s="250"/>
    </row>
    <row r="895" ht="14.25" customHeight="1">
      <c r="A895" s="250"/>
      <c r="B895" s="250"/>
      <c r="C895" s="250"/>
      <c r="D895" s="250"/>
      <c r="E895" s="250"/>
      <c r="F895" s="250"/>
      <c r="G895" s="250"/>
      <c r="H895" s="250"/>
      <c r="I895" s="250"/>
      <c r="J895" s="250"/>
      <c r="K895" s="250"/>
      <c r="L895" s="250"/>
      <c r="M895" s="250"/>
      <c r="N895" s="250"/>
      <c r="O895" s="250"/>
      <c r="P895" s="250"/>
      <c r="Q895" s="250"/>
      <c r="R895" s="250"/>
      <c r="S895" s="250"/>
      <c r="T895" s="250"/>
      <c r="U895" s="250"/>
      <c r="V895" s="250"/>
      <c r="W895" s="250"/>
      <c r="X895" s="250"/>
      <c r="Y895" s="250"/>
      <c r="Z895" s="250"/>
    </row>
    <row r="896" ht="14.25" customHeight="1">
      <c r="A896" s="250"/>
      <c r="B896" s="250"/>
      <c r="C896" s="250"/>
      <c r="D896" s="250"/>
      <c r="E896" s="250"/>
      <c r="F896" s="250"/>
      <c r="G896" s="250"/>
      <c r="H896" s="250"/>
      <c r="I896" s="250"/>
      <c r="J896" s="250"/>
      <c r="K896" s="250"/>
      <c r="L896" s="250"/>
      <c r="M896" s="250"/>
      <c r="N896" s="250"/>
      <c r="O896" s="250"/>
      <c r="P896" s="250"/>
      <c r="Q896" s="250"/>
      <c r="R896" s="250"/>
      <c r="S896" s="250"/>
      <c r="T896" s="250"/>
      <c r="U896" s="250"/>
      <c r="V896" s="250"/>
      <c r="W896" s="250"/>
      <c r="X896" s="250"/>
      <c r="Y896" s="250"/>
      <c r="Z896" s="250"/>
    </row>
    <row r="897" ht="14.25" customHeight="1">
      <c r="A897" s="250"/>
      <c r="B897" s="250"/>
      <c r="C897" s="250"/>
      <c r="D897" s="250"/>
      <c r="E897" s="250"/>
      <c r="F897" s="250"/>
      <c r="G897" s="250"/>
      <c r="H897" s="250"/>
      <c r="I897" s="250"/>
      <c r="J897" s="250"/>
      <c r="K897" s="250"/>
      <c r="L897" s="250"/>
      <c r="M897" s="250"/>
      <c r="N897" s="250"/>
      <c r="O897" s="250"/>
      <c r="P897" s="250"/>
      <c r="Q897" s="250"/>
      <c r="R897" s="250"/>
      <c r="S897" s="250"/>
      <c r="T897" s="250"/>
      <c r="U897" s="250"/>
      <c r="V897" s="250"/>
      <c r="W897" s="250"/>
      <c r="X897" s="250"/>
      <c r="Y897" s="250"/>
      <c r="Z897" s="250"/>
    </row>
    <row r="898" ht="14.25" customHeight="1">
      <c r="A898" s="250"/>
      <c r="B898" s="250"/>
      <c r="C898" s="250"/>
      <c r="D898" s="250"/>
      <c r="E898" s="250"/>
      <c r="F898" s="250"/>
      <c r="G898" s="250"/>
      <c r="H898" s="250"/>
      <c r="I898" s="250"/>
      <c r="J898" s="250"/>
      <c r="K898" s="250"/>
      <c r="L898" s="250"/>
      <c r="M898" s="250"/>
      <c r="N898" s="250"/>
      <c r="O898" s="250"/>
      <c r="P898" s="250"/>
      <c r="Q898" s="250"/>
      <c r="R898" s="250"/>
      <c r="S898" s="250"/>
      <c r="T898" s="250"/>
      <c r="U898" s="250"/>
      <c r="V898" s="250"/>
      <c r="W898" s="250"/>
      <c r="X898" s="250"/>
      <c r="Y898" s="250"/>
      <c r="Z898" s="250"/>
    </row>
    <row r="899" ht="14.25" customHeight="1">
      <c r="A899" s="250"/>
      <c r="B899" s="250"/>
      <c r="C899" s="250"/>
      <c r="D899" s="250"/>
      <c r="E899" s="250"/>
      <c r="F899" s="250"/>
      <c r="G899" s="250"/>
      <c r="H899" s="250"/>
      <c r="I899" s="250"/>
      <c r="J899" s="250"/>
      <c r="K899" s="250"/>
      <c r="L899" s="250"/>
      <c r="M899" s="250"/>
      <c r="N899" s="250"/>
      <c r="O899" s="250"/>
      <c r="P899" s="250"/>
      <c r="Q899" s="250"/>
      <c r="R899" s="250"/>
      <c r="S899" s="250"/>
      <c r="T899" s="250"/>
      <c r="U899" s="250"/>
      <c r="V899" s="250"/>
      <c r="W899" s="250"/>
      <c r="X899" s="250"/>
      <c r="Y899" s="250"/>
      <c r="Z899" s="250"/>
    </row>
    <row r="900" ht="14.25" customHeight="1">
      <c r="A900" s="250"/>
      <c r="B900" s="250"/>
      <c r="C900" s="250"/>
      <c r="D900" s="250"/>
      <c r="E900" s="250"/>
      <c r="F900" s="250"/>
      <c r="G900" s="250"/>
      <c r="H900" s="250"/>
      <c r="I900" s="250"/>
      <c r="J900" s="250"/>
      <c r="K900" s="250"/>
      <c r="L900" s="250"/>
      <c r="M900" s="250"/>
      <c r="N900" s="250"/>
      <c r="O900" s="250"/>
      <c r="P900" s="250"/>
      <c r="Q900" s="250"/>
      <c r="R900" s="250"/>
      <c r="S900" s="250"/>
      <c r="T900" s="250"/>
      <c r="U900" s="250"/>
      <c r="V900" s="250"/>
      <c r="W900" s="250"/>
      <c r="X900" s="250"/>
      <c r="Y900" s="250"/>
      <c r="Z900" s="250"/>
    </row>
    <row r="901" ht="14.25" customHeight="1">
      <c r="A901" s="250"/>
      <c r="B901" s="250"/>
      <c r="C901" s="250"/>
      <c r="D901" s="250"/>
      <c r="E901" s="250"/>
      <c r="F901" s="250"/>
      <c r="G901" s="250"/>
      <c r="H901" s="250"/>
      <c r="I901" s="250"/>
      <c r="J901" s="250"/>
      <c r="K901" s="250"/>
      <c r="L901" s="250"/>
      <c r="M901" s="250"/>
      <c r="N901" s="250"/>
      <c r="O901" s="250"/>
      <c r="P901" s="250"/>
      <c r="Q901" s="250"/>
      <c r="R901" s="250"/>
      <c r="S901" s="250"/>
      <c r="T901" s="250"/>
      <c r="U901" s="250"/>
      <c r="V901" s="250"/>
      <c r="W901" s="250"/>
      <c r="X901" s="250"/>
      <c r="Y901" s="250"/>
      <c r="Z901" s="250"/>
    </row>
    <row r="902" ht="14.25" customHeight="1">
      <c r="A902" s="250"/>
      <c r="B902" s="250"/>
      <c r="C902" s="250"/>
      <c r="D902" s="250"/>
      <c r="E902" s="250"/>
      <c r="F902" s="250"/>
      <c r="G902" s="250"/>
      <c r="H902" s="250"/>
      <c r="I902" s="250"/>
      <c r="J902" s="250"/>
      <c r="K902" s="250"/>
      <c r="L902" s="250"/>
      <c r="M902" s="250"/>
      <c r="N902" s="250"/>
      <c r="O902" s="250"/>
      <c r="P902" s="250"/>
      <c r="Q902" s="250"/>
      <c r="R902" s="250"/>
      <c r="S902" s="250"/>
      <c r="T902" s="250"/>
      <c r="U902" s="250"/>
      <c r="V902" s="250"/>
      <c r="W902" s="250"/>
      <c r="X902" s="250"/>
      <c r="Y902" s="250"/>
      <c r="Z902" s="250"/>
    </row>
    <row r="903" ht="14.25" customHeight="1">
      <c r="A903" s="250"/>
      <c r="B903" s="250"/>
      <c r="C903" s="250"/>
      <c r="D903" s="250"/>
      <c r="E903" s="250"/>
      <c r="F903" s="250"/>
      <c r="G903" s="250"/>
      <c r="H903" s="250"/>
      <c r="I903" s="250"/>
      <c r="J903" s="250"/>
      <c r="K903" s="250"/>
      <c r="L903" s="250"/>
      <c r="M903" s="250"/>
      <c r="N903" s="250"/>
      <c r="O903" s="250"/>
      <c r="P903" s="250"/>
      <c r="Q903" s="250"/>
      <c r="R903" s="250"/>
      <c r="S903" s="250"/>
      <c r="T903" s="250"/>
      <c r="U903" s="250"/>
      <c r="V903" s="250"/>
      <c r="W903" s="250"/>
      <c r="X903" s="250"/>
      <c r="Y903" s="250"/>
      <c r="Z903" s="250"/>
    </row>
    <row r="904" ht="14.25" customHeight="1">
      <c r="A904" s="250"/>
      <c r="B904" s="250"/>
      <c r="C904" s="250"/>
      <c r="D904" s="250"/>
      <c r="E904" s="250"/>
      <c r="F904" s="250"/>
      <c r="G904" s="250"/>
      <c r="H904" s="250"/>
      <c r="I904" s="250"/>
      <c r="J904" s="250"/>
      <c r="K904" s="250"/>
      <c r="L904" s="250"/>
      <c r="M904" s="250"/>
      <c r="N904" s="250"/>
      <c r="O904" s="250"/>
      <c r="P904" s="250"/>
      <c r="Q904" s="250"/>
      <c r="R904" s="250"/>
      <c r="S904" s="250"/>
      <c r="T904" s="250"/>
      <c r="U904" s="250"/>
      <c r="V904" s="250"/>
      <c r="W904" s="250"/>
      <c r="X904" s="250"/>
      <c r="Y904" s="250"/>
      <c r="Z904" s="250"/>
    </row>
    <row r="905" ht="14.25" customHeight="1">
      <c r="A905" s="250"/>
      <c r="B905" s="250"/>
      <c r="C905" s="250"/>
      <c r="D905" s="250"/>
      <c r="E905" s="250"/>
      <c r="F905" s="250"/>
      <c r="G905" s="250"/>
      <c r="H905" s="250"/>
      <c r="I905" s="250"/>
      <c r="J905" s="250"/>
      <c r="K905" s="250"/>
      <c r="L905" s="250"/>
      <c r="M905" s="250"/>
      <c r="N905" s="250"/>
      <c r="O905" s="250"/>
      <c r="P905" s="250"/>
      <c r="Q905" s="250"/>
      <c r="R905" s="250"/>
      <c r="S905" s="250"/>
      <c r="T905" s="250"/>
      <c r="U905" s="250"/>
      <c r="V905" s="250"/>
      <c r="W905" s="250"/>
      <c r="X905" s="250"/>
      <c r="Y905" s="250"/>
      <c r="Z905" s="250"/>
    </row>
    <row r="906" ht="14.25" customHeight="1">
      <c r="A906" s="250"/>
      <c r="B906" s="250"/>
      <c r="C906" s="250"/>
      <c r="D906" s="250"/>
      <c r="E906" s="250"/>
      <c r="F906" s="250"/>
      <c r="G906" s="250"/>
      <c r="H906" s="250"/>
      <c r="I906" s="250"/>
      <c r="J906" s="250"/>
      <c r="K906" s="250"/>
      <c r="L906" s="250"/>
      <c r="M906" s="250"/>
      <c r="N906" s="250"/>
      <c r="O906" s="250"/>
      <c r="P906" s="250"/>
      <c r="Q906" s="250"/>
      <c r="R906" s="250"/>
      <c r="S906" s="250"/>
      <c r="T906" s="250"/>
      <c r="U906" s="250"/>
      <c r="V906" s="250"/>
      <c r="W906" s="250"/>
      <c r="X906" s="250"/>
      <c r="Y906" s="250"/>
      <c r="Z906" s="250"/>
    </row>
    <row r="907" ht="14.25" customHeight="1">
      <c r="A907" s="250"/>
      <c r="B907" s="250"/>
      <c r="C907" s="250"/>
      <c r="D907" s="250"/>
      <c r="E907" s="250"/>
      <c r="F907" s="250"/>
      <c r="G907" s="250"/>
      <c r="H907" s="250"/>
      <c r="I907" s="250"/>
      <c r="J907" s="250"/>
      <c r="K907" s="250"/>
      <c r="L907" s="250"/>
      <c r="M907" s="250"/>
      <c r="N907" s="250"/>
      <c r="O907" s="250"/>
      <c r="P907" s="250"/>
      <c r="Q907" s="250"/>
      <c r="R907" s="250"/>
      <c r="S907" s="250"/>
      <c r="T907" s="250"/>
      <c r="U907" s="250"/>
      <c r="V907" s="250"/>
      <c r="W907" s="250"/>
      <c r="X907" s="250"/>
      <c r="Y907" s="250"/>
      <c r="Z907" s="250"/>
    </row>
    <row r="908" ht="14.25" customHeight="1">
      <c r="A908" s="250"/>
      <c r="B908" s="250"/>
      <c r="C908" s="250"/>
      <c r="D908" s="250"/>
      <c r="E908" s="250"/>
      <c r="F908" s="250"/>
      <c r="G908" s="250"/>
      <c r="H908" s="250"/>
      <c r="I908" s="250"/>
      <c r="J908" s="250"/>
      <c r="K908" s="250"/>
      <c r="L908" s="250"/>
      <c r="M908" s="250"/>
      <c r="N908" s="250"/>
      <c r="O908" s="250"/>
      <c r="P908" s="250"/>
      <c r="Q908" s="250"/>
      <c r="R908" s="250"/>
      <c r="S908" s="250"/>
      <c r="T908" s="250"/>
      <c r="U908" s="250"/>
      <c r="V908" s="250"/>
      <c r="W908" s="250"/>
      <c r="X908" s="250"/>
      <c r="Y908" s="250"/>
      <c r="Z908" s="250"/>
    </row>
    <row r="909" ht="14.25" customHeight="1">
      <c r="A909" s="250"/>
      <c r="B909" s="250"/>
      <c r="C909" s="250"/>
      <c r="D909" s="250"/>
      <c r="E909" s="250"/>
      <c r="F909" s="250"/>
      <c r="G909" s="250"/>
      <c r="H909" s="250"/>
      <c r="I909" s="250"/>
      <c r="J909" s="250"/>
      <c r="K909" s="250"/>
      <c r="L909" s="250"/>
      <c r="M909" s="250"/>
      <c r="N909" s="250"/>
      <c r="O909" s="250"/>
      <c r="P909" s="250"/>
      <c r="Q909" s="250"/>
      <c r="R909" s="250"/>
      <c r="S909" s="250"/>
      <c r="T909" s="250"/>
      <c r="U909" s="250"/>
      <c r="V909" s="250"/>
      <c r="W909" s="250"/>
      <c r="X909" s="250"/>
      <c r="Y909" s="250"/>
      <c r="Z909" s="250"/>
    </row>
    <row r="910" ht="14.25" customHeight="1">
      <c r="A910" s="250"/>
      <c r="B910" s="250"/>
      <c r="C910" s="250"/>
      <c r="D910" s="250"/>
      <c r="E910" s="250"/>
      <c r="F910" s="250"/>
      <c r="G910" s="250"/>
      <c r="H910" s="250"/>
      <c r="I910" s="250"/>
      <c r="J910" s="250"/>
      <c r="K910" s="250"/>
      <c r="L910" s="250"/>
      <c r="M910" s="250"/>
      <c r="N910" s="250"/>
      <c r="O910" s="250"/>
      <c r="P910" s="250"/>
      <c r="Q910" s="250"/>
      <c r="R910" s="250"/>
      <c r="S910" s="250"/>
      <c r="T910" s="250"/>
      <c r="U910" s="250"/>
      <c r="V910" s="250"/>
      <c r="W910" s="250"/>
      <c r="X910" s="250"/>
      <c r="Y910" s="250"/>
      <c r="Z910" s="250"/>
    </row>
    <row r="911" ht="14.25" customHeight="1">
      <c r="A911" s="250"/>
      <c r="B911" s="250"/>
      <c r="C911" s="250"/>
      <c r="D911" s="250"/>
      <c r="E911" s="250"/>
      <c r="F911" s="250"/>
      <c r="G911" s="250"/>
      <c r="H911" s="250"/>
      <c r="I911" s="250"/>
      <c r="J911" s="250"/>
      <c r="K911" s="250"/>
      <c r="L911" s="250"/>
      <c r="M911" s="250"/>
      <c r="N911" s="250"/>
      <c r="O911" s="250"/>
      <c r="P911" s="250"/>
      <c r="Q911" s="250"/>
      <c r="R911" s="250"/>
      <c r="S911" s="250"/>
      <c r="T911" s="250"/>
      <c r="U911" s="250"/>
      <c r="V911" s="250"/>
      <c r="W911" s="250"/>
      <c r="X911" s="250"/>
      <c r="Y911" s="250"/>
      <c r="Z911" s="250"/>
    </row>
    <row r="912" ht="14.25" customHeight="1">
      <c r="A912" s="250"/>
      <c r="B912" s="250"/>
      <c r="C912" s="250"/>
      <c r="D912" s="250"/>
      <c r="E912" s="250"/>
      <c r="F912" s="250"/>
      <c r="G912" s="250"/>
      <c r="H912" s="250"/>
      <c r="I912" s="250"/>
      <c r="J912" s="250"/>
      <c r="K912" s="250"/>
      <c r="L912" s="250"/>
      <c r="M912" s="250"/>
      <c r="N912" s="250"/>
      <c r="O912" s="250"/>
      <c r="P912" s="250"/>
      <c r="Q912" s="250"/>
      <c r="R912" s="250"/>
      <c r="S912" s="250"/>
      <c r="T912" s="250"/>
      <c r="U912" s="250"/>
      <c r="V912" s="250"/>
      <c r="W912" s="250"/>
      <c r="X912" s="250"/>
      <c r="Y912" s="250"/>
      <c r="Z912" s="250"/>
    </row>
    <row r="913" ht="14.25" customHeight="1">
      <c r="A913" s="250"/>
      <c r="B913" s="250"/>
      <c r="C913" s="250"/>
      <c r="D913" s="250"/>
      <c r="E913" s="250"/>
      <c r="F913" s="250"/>
      <c r="G913" s="250"/>
      <c r="H913" s="250"/>
      <c r="I913" s="250"/>
      <c r="J913" s="250"/>
      <c r="K913" s="250"/>
      <c r="L913" s="250"/>
      <c r="M913" s="250"/>
      <c r="N913" s="250"/>
      <c r="O913" s="250"/>
      <c r="P913" s="250"/>
      <c r="Q913" s="250"/>
      <c r="R913" s="250"/>
      <c r="S913" s="250"/>
      <c r="T913" s="250"/>
      <c r="U913" s="250"/>
      <c r="V913" s="250"/>
      <c r="W913" s="250"/>
      <c r="X913" s="250"/>
      <c r="Y913" s="250"/>
      <c r="Z913" s="250"/>
    </row>
    <row r="914" ht="14.25" customHeight="1">
      <c r="A914" s="250"/>
      <c r="B914" s="250"/>
      <c r="C914" s="250"/>
      <c r="D914" s="250"/>
      <c r="E914" s="250"/>
      <c r="F914" s="250"/>
      <c r="G914" s="250"/>
      <c r="H914" s="250"/>
      <c r="I914" s="250"/>
      <c r="J914" s="250"/>
      <c r="K914" s="250"/>
      <c r="L914" s="250"/>
      <c r="M914" s="250"/>
      <c r="N914" s="250"/>
      <c r="O914" s="250"/>
      <c r="P914" s="250"/>
      <c r="Q914" s="250"/>
      <c r="R914" s="250"/>
      <c r="S914" s="250"/>
      <c r="T914" s="250"/>
      <c r="U914" s="250"/>
      <c r="V914" s="250"/>
      <c r="W914" s="250"/>
      <c r="X914" s="250"/>
      <c r="Y914" s="250"/>
      <c r="Z914" s="250"/>
    </row>
    <row r="915" ht="14.25" customHeight="1">
      <c r="A915" s="250"/>
      <c r="B915" s="250"/>
      <c r="C915" s="250"/>
      <c r="D915" s="250"/>
      <c r="E915" s="250"/>
      <c r="F915" s="250"/>
      <c r="G915" s="250"/>
      <c r="H915" s="250"/>
      <c r="I915" s="250"/>
      <c r="J915" s="250"/>
      <c r="K915" s="250"/>
      <c r="L915" s="250"/>
      <c r="M915" s="250"/>
      <c r="N915" s="250"/>
      <c r="O915" s="250"/>
      <c r="P915" s="250"/>
      <c r="Q915" s="250"/>
      <c r="R915" s="250"/>
      <c r="S915" s="250"/>
      <c r="T915" s="250"/>
      <c r="U915" s="250"/>
      <c r="V915" s="250"/>
      <c r="W915" s="250"/>
      <c r="X915" s="250"/>
      <c r="Y915" s="250"/>
      <c r="Z915" s="250"/>
    </row>
    <row r="916" ht="14.25" customHeight="1">
      <c r="A916" s="250"/>
      <c r="B916" s="250"/>
      <c r="C916" s="250"/>
      <c r="D916" s="250"/>
      <c r="E916" s="250"/>
      <c r="F916" s="250"/>
      <c r="G916" s="250"/>
      <c r="H916" s="250"/>
      <c r="I916" s="250"/>
      <c r="J916" s="250"/>
      <c r="K916" s="250"/>
      <c r="L916" s="250"/>
      <c r="M916" s="250"/>
      <c r="N916" s="250"/>
      <c r="O916" s="250"/>
      <c r="P916" s="250"/>
      <c r="Q916" s="250"/>
      <c r="R916" s="250"/>
      <c r="S916" s="250"/>
      <c r="T916" s="250"/>
      <c r="U916" s="250"/>
      <c r="V916" s="250"/>
      <c r="W916" s="250"/>
      <c r="X916" s="250"/>
      <c r="Y916" s="250"/>
      <c r="Z916" s="250"/>
    </row>
    <row r="917" ht="14.25" customHeight="1">
      <c r="A917" s="250"/>
      <c r="B917" s="250"/>
      <c r="C917" s="250"/>
      <c r="D917" s="250"/>
      <c r="E917" s="250"/>
      <c r="F917" s="250"/>
      <c r="G917" s="250"/>
      <c r="H917" s="250"/>
      <c r="I917" s="250"/>
      <c r="J917" s="250"/>
      <c r="K917" s="250"/>
      <c r="L917" s="250"/>
      <c r="M917" s="250"/>
      <c r="N917" s="250"/>
      <c r="O917" s="250"/>
      <c r="P917" s="250"/>
      <c r="Q917" s="250"/>
      <c r="R917" s="250"/>
      <c r="S917" s="250"/>
      <c r="T917" s="250"/>
      <c r="U917" s="250"/>
      <c r="V917" s="250"/>
      <c r="W917" s="250"/>
      <c r="X917" s="250"/>
      <c r="Y917" s="250"/>
      <c r="Z917" s="250"/>
    </row>
    <row r="918" ht="14.25" customHeight="1">
      <c r="A918" s="250"/>
      <c r="B918" s="250"/>
      <c r="C918" s="250"/>
      <c r="D918" s="250"/>
      <c r="E918" s="250"/>
      <c r="F918" s="250"/>
      <c r="G918" s="250"/>
      <c r="H918" s="250"/>
      <c r="I918" s="250"/>
      <c r="J918" s="250"/>
      <c r="K918" s="250"/>
      <c r="L918" s="250"/>
      <c r="M918" s="250"/>
      <c r="N918" s="250"/>
      <c r="O918" s="250"/>
      <c r="P918" s="250"/>
      <c r="Q918" s="250"/>
      <c r="R918" s="250"/>
      <c r="S918" s="250"/>
      <c r="T918" s="250"/>
      <c r="U918" s="250"/>
      <c r="V918" s="250"/>
      <c r="W918" s="250"/>
      <c r="X918" s="250"/>
      <c r="Y918" s="250"/>
      <c r="Z918" s="250"/>
    </row>
    <row r="919" ht="14.25" customHeight="1">
      <c r="A919" s="250"/>
      <c r="B919" s="250"/>
      <c r="C919" s="250"/>
      <c r="D919" s="250"/>
      <c r="E919" s="250"/>
      <c r="F919" s="250"/>
      <c r="G919" s="250"/>
      <c r="H919" s="250"/>
      <c r="I919" s="250"/>
      <c r="J919" s="250"/>
      <c r="K919" s="250"/>
      <c r="L919" s="250"/>
      <c r="M919" s="250"/>
      <c r="N919" s="250"/>
      <c r="O919" s="250"/>
      <c r="P919" s="250"/>
      <c r="Q919" s="250"/>
      <c r="R919" s="250"/>
      <c r="S919" s="250"/>
      <c r="T919" s="250"/>
      <c r="U919" s="250"/>
      <c r="V919" s="250"/>
      <c r="W919" s="250"/>
      <c r="X919" s="250"/>
      <c r="Y919" s="250"/>
      <c r="Z919" s="250"/>
    </row>
    <row r="920" ht="14.25" customHeight="1">
      <c r="A920" s="250"/>
      <c r="B920" s="250"/>
      <c r="C920" s="250"/>
      <c r="D920" s="250"/>
      <c r="E920" s="250"/>
      <c r="F920" s="250"/>
      <c r="G920" s="250"/>
      <c r="H920" s="250"/>
      <c r="I920" s="250"/>
      <c r="J920" s="250"/>
      <c r="K920" s="250"/>
      <c r="L920" s="250"/>
      <c r="M920" s="250"/>
      <c r="N920" s="250"/>
      <c r="O920" s="250"/>
      <c r="P920" s="250"/>
      <c r="Q920" s="250"/>
      <c r="R920" s="250"/>
      <c r="S920" s="250"/>
      <c r="T920" s="250"/>
      <c r="U920" s="250"/>
      <c r="V920" s="250"/>
      <c r="W920" s="250"/>
      <c r="X920" s="250"/>
      <c r="Y920" s="250"/>
      <c r="Z920" s="250"/>
    </row>
    <row r="921" ht="14.25" customHeight="1">
      <c r="A921" s="250"/>
      <c r="B921" s="250"/>
      <c r="C921" s="250"/>
      <c r="D921" s="250"/>
      <c r="E921" s="250"/>
      <c r="F921" s="250"/>
      <c r="G921" s="250"/>
      <c r="H921" s="250"/>
      <c r="I921" s="250"/>
      <c r="J921" s="250"/>
      <c r="K921" s="250"/>
      <c r="L921" s="250"/>
      <c r="M921" s="250"/>
      <c r="N921" s="250"/>
      <c r="O921" s="250"/>
      <c r="P921" s="250"/>
      <c r="Q921" s="250"/>
      <c r="R921" s="250"/>
      <c r="S921" s="250"/>
      <c r="T921" s="250"/>
      <c r="U921" s="250"/>
      <c r="V921" s="250"/>
      <c r="W921" s="250"/>
      <c r="X921" s="250"/>
      <c r="Y921" s="250"/>
      <c r="Z921" s="250"/>
    </row>
    <row r="922" ht="14.25" customHeight="1">
      <c r="A922" s="250"/>
      <c r="B922" s="250"/>
      <c r="C922" s="250"/>
      <c r="D922" s="250"/>
      <c r="E922" s="250"/>
      <c r="F922" s="250"/>
      <c r="G922" s="250"/>
      <c r="H922" s="250"/>
      <c r="I922" s="250"/>
      <c r="J922" s="250"/>
      <c r="K922" s="250"/>
      <c r="L922" s="250"/>
      <c r="M922" s="250"/>
      <c r="N922" s="250"/>
      <c r="O922" s="250"/>
      <c r="P922" s="250"/>
      <c r="Q922" s="250"/>
      <c r="R922" s="250"/>
      <c r="S922" s="250"/>
      <c r="T922" s="250"/>
      <c r="U922" s="250"/>
      <c r="V922" s="250"/>
      <c r="W922" s="250"/>
      <c r="X922" s="250"/>
      <c r="Y922" s="250"/>
      <c r="Z922" s="250"/>
    </row>
    <row r="923" ht="14.25" customHeight="1">
      <c r="A923" s="250"/>
      <c r="B923" s="250"/>
      <c r="C923" s="250"/>
      <c r="D923" s="250"/>
      <c r="E923" s="250"/>
      <c r="F923" s="250"/>
      <c r="G923" s="250"/>
      <c r="H923" s="250"/>
      <c r="I923" s="250"/>
      <c r="J923" s="250"/>
      <c r="K923" s="250"/>
      <c r="L923" s="250"/>
      <c r="M923" s="250"/>
      <c r="N923" s="250"/>
      <c r="O923" s="250"/>
      <c r="P923" s="250"/>
      <c r="Q923" s="250"/>
      <c r="R923" s="250"/>
      <c r="S923" s="250"/>
      <c r="T923" s="250"/>
      <c r="U923" s="250"/>
      <c r="V923" s="250"/>
      <c r="W923" s="250"/>
      <c r="X923" s="250"/>
      <c r="Y923" s="250"/>
      <c r="Z923" s="250"/>
    </row>
    <row r="924" ht="14.25" customHeight="1">
      <c r="A924" s="250"/>
      <c r="B924" s="250"/>
      <c r="C924" s="250"/>
      <c r="D924" s="250"/>
      <c r="E924" s="250"/>
      <c r="F924" s="250"/>
      <c r="G924" s="250"/>
      <c r="H924" s="250"/>
      <c r="I924" s="250"/>
      <c r="J924" s="250"/>
      <c r="K924" s="250"/>
      <c r="L924" s="250"/>
      <c r="M924" s="250"/>
      <c r="N924" s="250"/>
      <c r="O924" s="250"/>
      <c r="P924" s="250"/>
      <c r="Q924" s="250"/>
      <c r="R924" s="250"/>
      <c r="S924" s="250"/>
      <c r="T924" s="250"/>
      <c r="U924" s="250"/>
      <c r="V924" s="250"/>
      <c r="W924" s="250"/>
      <c r="X924" s="250"/>
      <c r="Y924" s="250"/>
      <c r="Z924" s="250"/>
    </row>
    <row r="925" ht="14.25" customHeight="1">
      <c r="A925" s="250"/>
      <c r="B925" s="250"/>
      <c r="C925" s="250"/>
      <c r="D925" s="250"/>
      <c r="E925" s="250"/>
      <c r="F925" s="250"/>
      <c r="G925" s="250"/>
      <c r="H925" s="250"/>
      <c r="I925" s="250"/>
      <c r="J925" s="250"/>
      <c r="K925" s="250"/>
      <c r="L925" s="250"/>
      <c r="M925" s="250"/>
      <c r="N925" s="250"/>
      <c r="O925" s="250"/>
      <c r="P925" s="250"/>
      <c r="Q925" s="250"/>
      <c r="R925" s="250"/>
      <c r="S925" s="250"/>
      <c r="T925" s="250"/>
      <c r="U925" s="250"/>
      <c r="V925" s="250"/>
      <c r="W925" s="250"/>
      <c r="X925" s="250"/>
      <c r="Y925" s="250"/>
      <c r="Z925" s="250"/>
    </row>
    <row r="926" ht="14.25" customHeight="1">
      <c r="A926" s="250"/>
      <c r="B926" s="250"/>
      <c r="C926" s="250"/>
      <c r="D926" s="250"/>
      <c r="E926" s="250"/>
      <c r="F926" s="250"/>
      <c r="G926" s="250"/>
      <c r="H926" s="250"/>
      <c r="I926" s="250"/>
      <c r="J926" s="250"/>
      <c r="K926" s="250"/>
      <c r="L926" s="250"/>
      <c r="M926" s="250"/>
      <c r="N926" s="250"/>
      <c r="O926" s="250"/>
      <c r="P926" s="250"/>
      <c r="Q926" s="250"/>
      <c r="R926" s="250"/>
      <c r="S926" s="250"/>
      <c r="T926" s="250"/>
      <c r="U926" s="250"/>
      <c r="V926" s="250"/>
      <c r="W926" s="250"/>
      <c r="X926" s="250"/>
      <c r="Y926" s="250"/>
      <c r="Z926" s="250"/>
    </row>
    <row r="927" ht="14.25" customHeight="1">
      <c r="A927" s="250"/>
      <c r="B927" s="250"/>
      <c r="C927" s="250"/>
      <c r="D927" s="250"/>
      <c r="E927" s="250"/>
      <c r="F927" s="250"/>
      <c r="G927" s="250"/>
      <c r="H927" s="250"/>
      <c r="I927" s="250"/>
      <c r="J927" s="250"/>
      <c r="K927" s="250"/>
      <c r="L927" s="250"/>
      <c r="M927" s="250"/>
      <c r="N927" s="250"/>
      <c r="O927" s="250"/>
      <c r="P927" s="250"/>
      <c r="Q927" s="250"/>
      <c r="R927" s="250"/>
      <c r="S927" s="250"/>
      <c r="T927" s="250"/>
      <c r="U927" s="250"/>
      <c r="V927" s="250"/>
      <c r="W927" s="250"/>
      <c r="X927" s="250"/>
      <c r="Y927" s="250"/>
      <c r="Z927" s="250"/>
    </row>
    <row r="928" ht="14.25" customHeight="1">
      <c r="A928" s="250"/>
      <c r="B928" s="250"/>
      <c r="C928" s="250"/>
      <c r="D928" s="250"/>
      <c r="E928" s="250"/>
      <c r="F928" s="250"/>
      <c r="G928" s="250"/>
      <c r="H928" s="250"/>
      <c r="I928" s="250"/>
      <c r="J928" s="250"/>
      <c r="K928" s="250"/>
      <c r="L928" s="250"/>
      <c r="M928" s="250"/>
      <c r="N928" s="250"/>
      <c r="O928" s="250"/>
      <c r="P928" s="250"/>
      <c r="Q928" s="250"/>
      <c r="R928" s="250"/>
      <c r="S928" s="250"/>
      <c r="T928" s="250"/>
      <c r="U928" s="250"/>
      <c r="V928" s="250"/>
      <c r="W928" s="250"/>
      <c r="X928" s="250"/>
      <c r="Y928" s="250"/>
      <c r="Z928" s="250"/>
    </row>
    <row r="929" ht="14.25" customHeight="1">
      <c r="A929" s="250"/>
      <c r="B929" s="250"/>
      <c r="C929" s="250"/>
      <c r="D929" s="250"/>
      <c r="E929" s="250"/>
      <c r="F929" s="250"/>
      <c r="G929" s="250"/>
      <c r="H929" s="250"/>
      <c r="I929" s="250"/>
      <c r="J929" s="250"/>
      <c r="K929" s="250"/>
      <c r="L929" s="250"/>
      <c r="M929" s="250"/>
      <c r="N929" s="250"/>
      <c r="O929" s="250"/>
      <c r="P929" s="250"/>
      <c r="Q929" s="250"/>
      <c r="R929" s="250"/>
      <c r="S929" s="250"/>
      <c r="T929" s="250"/>
      <c r="U929" s="250"/>
      <c r="V929" s="250"/>
      <c r="W929" s="250"/>
      <c r="X929" s="250"/>
      <c r="Y929" s="250"/>
      <c r="Z929" s="250"/>
    </row>
    <row r="930" ht="14.25" customHeight="1">
      <c r="A930" s="250"/>
      <c r="B930" s="250"/>
      <c r="C930" s="250"/>
      <c r="D930" s="250"/>
      <c r="E930" s="250"/>
      <c r="F930" s="250"/>
      <c r="G930" s="250"/>
      <c r="H930" s="250"/>
      <c r="I930" s="250"/>
      <c r="J930" s="250"/>
      <c r="K930" s="250"/>
      <c r="L930" s="250"/>
      <c r="M930" s="250"/>
      <c r="N930" s="250"/>
      <c r="O930" s="250"/>
      <c r="P930" s="250"/>
      <c r="Q930" s="250"/>
      <c r="R930" s="250"/>
      <c r="S930" s="250"/>
      <c r="T930" s="250"/>
      <c r="U930" s="250"/>
      <c r="V930" s="250"/>
      <c r="W930" s="250"/>
      <c r="X930" s="250"/>
      <c r="Y930" s="250"/>
      <c r="Z930" s="250"/>
    </row>
    <row r="931" ht="14.25" customHeight="1">
      <c r="A931" s="250"/>
      <c r="B931" s="250"/>
      <c r="C931" s="250"/>
      <c r="D931" s="250"/>
      <c r="E931" s="250"/>
      <c r="F931" s="250"/>
      <c r="G931" s="250"/>
      <c r="H931" s="250"/>
      <c r="I931" s="250"/>
      <c r="J931" s="250"/>
      <c r="K931" s="250"/>
      <c r="L931" s="250"/>
      <c r="M931" s="250"/>
      <c r="N931" s="250"/>
      <c r="O931" s="250"/>
      <c r="P931" s="250"/>
      <c r="Q931" s="250"/>
      <c r="R931" s="250"/>
      <c r="S931" s="250"/>
      <c r="T931" s="250"/>
      <c r="U931" s="250"/>
      <c r="V931" s="250"/>
      <c r="W931" s="250"/>
      <c r="X931" s="250"/>
      <c r="Y931" s="250"/>
      <c r="Z931" s="250"/>
    </row>
    <row r="932" ht="14.25" customHeight="1">
      <c r="A932" s="250"/>
      <c r="B932" s="250"/>
      <c r="C932" s="250"/>
      <c r="D932" s="250"/>
      <c r="E932" s="250"/>
      <c r="F932" s="250"/>
      <c r="G932" s="250"/>
      <c r="H932" s="250"/>
      <c r="I932" s="250"/>
      <c r="J932" s="250"/>
      <c r="K932" s="250"/>
      <c r="L932" s="250"/>
      <c r="M932" s="250"/>
      <c r="N932" s="250"/>
      <c r="O932" s="250"/>
      <c r="P932" s="250"/>
      <c r="Q932" s="250"/>
      <c r="R932" s="250"/>
      <c r="S932" s="250"/>
      <c r="T932" s="250"/>
      <c r="U932" s="250"/>
      <c r="V932" s="250"/>
      <c r="W932" s="250"/>
      <c r="X932" s="250"/>
      <c r="Y932" s="250"/>
      <c r="Z932" s="250"/>
    </row>
    <row r="933" ht="14.25" customHeight="1">
      <c r="A933" s="250"/>
      <c r="B933" s="250"/>
      <c r="C933" s="250"/>
      <c r="D933" s="250"/>
      <c r="E933" s="250"/>
      <c r="F933" s="250"/>
      <c r="G933" s="250"/>
      <c r="H933" s="250"/>
      <c r="I933" s="250"/>
      <c r="J933" s="250"/>
      <c r="K933" s="250"/>
      <c r="L933" s="250"/>
      <c r="M933" s="250"/>
      <c r="N933" s="250"/>
      <c r="O933" s="250"/>
      <c r="P933" s="250"/>
      <c r="Q933" s="250"/>
      <c r="R933" s="250"/>
      <c r="S933" s="250"/>
      <c r="T933" s="250"/>
      <c r="U933" s="250"/>
      <c r="V933" s="250"/>
      <c r="W933" s="250"/>
      <c r="X933" s="250"/>
      <c r="Y933" s="250"/>
      <c r="Z933" s="250"/>
    </row>
    <row r="934" ht="14.25" customHeight="1">
      <c r="A934" s="250"/>
      <c r="B934" s="250"/>
      <c r="C934" s="250"/>
      <c r="D934" s="250"/>
      <c r="E934" s="250"/>
      <c r="F934" s="250"/>
      <c r="G934" s="250"/>
      <c r="H934" s="250"/>
      <c r="I934" s="250"/>
      <c r="J934" s="250"/>
      <c r="K934" s="250"/>
      <c r="L934" s="250"/>
      <c r="M934" s="250"/>
      <c r="N934" s="250"/>
      <c r="O934" s="250"/>
      <c r="P934" s="250"/>
      <c r="Q934" s="250"/>
      <c r="R934" s="250"/>
      <c r="S934" s="250"/>
      <c r="T934" s="250"/>
      <c r="U934" s="250"/>
      <c r="V934" s="250"/>
      <c r="W934" s="250"/>
      <c r="X934" s="250"/>
      <c r="Y934" s="250"/>
      <c r="Z934" s="250"/>
    </row>
    <row r="935" ht="14.25" customHeight="1">
      <c r="A935" s="250"/>
      <c r="B935" s="250"/>
      <c r="C935" s="250"/>
      <c r="D935" s="250"/>
      <c r="E935" s="250"/>
      <c r="F935" s="250"/>
      <c r="G935" s="250"/>
      <c r="H935" s="250"/>
      <c r="I935" s="250"/>
      <c r="J935" s="250"/>
      <c r="K935" s="250"/>
      <c r="L935" s="250"/>
      <c r="M935" s="250"/>
      <c r="N935" s="250"/>
      <c r="O935" s="250"/>
      <c r="P935" s="250"/>
      <c r="Q935" s="250"/>
      <c r="R935" s="250"/>
      <c r="S935" s="250"/>
      <c r="T935" s="250"/>
      <c r="U935" s="250"/>
      <c r="V935" s="250"/>
      <c r="W935" s="250"/>
      <c r="X935" s="250"/>
      <c r="Y935" s="250"/>
      <c r="Z935" s="250"/>
    </row>
    <row r="936" ht="14.25" customHeight="1">
      <c r="A936" s="250"/>
      <c r="B936" s="250"/>
      <c r="C936" s="250"/>
      <c r="D936" s="250"/>
      <c r="E936" s="250"/>
      <c r="F936" s="250"/>
      <c r="G936" s="250"/>
      <c r="H936" s="250"/>
      <c r="I936" s="250"/>
      <c r="J936" s="250"/>
      <c r="K936" s="250"/>
      <c r="L936" s="250"/>
      <c r="M936" s="250"/>
      <c r="N936" s="250"/>
      <c r="O936" s="250"/>
      <c r="P936" s="250"/>
      <c r="Q936" s="250"/>
      <c r="R936" s="250"/>
      <c r="S936" s="250"/>
      <c r="T936" s="250"/>
      <c r="U936" s="250"/>
      <c r="V936" s="250"/>
      <c r="W936" s="250"/>
      <c r="X936" s="250"/>
      <c r="Y936" s="250"/>
      <c r="Z936" s="250"/>
    </row>
    <row r="937" ht="14.25" customHeight="1">
      <c r="A937" s="250"/>
      <c r="B937" s="250"/>
      <c r="C937" s="250"/>
      <c r="D937" s="250"/>
      <c r="E937" s="250"/>
      <c r="F937" s="250"/>
      <c r="G937" s="250"/>
      <c r="H937" s="250"/>
      <c r="I937" s="250"/>
      <c r="J937" s="250"/>
      <c r="K937" s="250"/>
      <c r="L937" s="250"/>
      <c r="M937" s="250"/>
      <c r="N937" s="250"/>
      <c r="O937" s="250"/>
      <c r="P937" s="250"/>
      <c r="Q937" s="250"/>
      <c r="R937" s="250"/>
      <c r="S937" s="250"/>
      <c r="T937" s="250"/>
      <c r="U937" s="250"/>
      <c r="V937" s="250"/>
      <c r="W937" s="250"/>
      <c r="X937" s="250"/>
      <c r="Y937" s="250"/>
      <c r="Z937" s="250"/>
    </row>
    <row r="938" ht="14.25" customHeight="1">
      <c r="A938" s="250"/>
      <c r="B938" s="250"/>
      <c r="C938" s="250"/>
      <c r="D938" s="250"/>
      <c r="E938" s="250"/>
      <c r="F938" s="250"/>
      <c r="G938" s="250"/>
      <c r="H938" s="250"/>
      <c r="I938" s="250"/>
      <c r="J938" s="250"/>
      <c r="K938" s="250"/>
      <c r="L938" s="250"/>
      <c r="M938" s="250"/>
      <c r="N938" s="250"/>
      <c r="O938" s="250"/>
      <c r="P938" s="250"/>
      <c r="Q938" s="250"/>
      <c r="R938" s="250"/>
      <c r="S938" s="250"/>
      <c r="T938" s="250"/>
      <c r="U938" s="250"/>
      <c r="V938" s="250"/>
      <c r="W938" s="250"/>
      <c r="X938" s="250"/>
      <c r="Y938" s="250"/>
      <c r="Z938" s="250"/>
    </row>
    <row r="939" ht="14.25" customHeight="1">
      <c r="A939" s="250"/>
      <c r="B939" s="250"/>
      <c r="C939" s="250"/>
      <c r="D939" s="250"/>
      <c r="E939" s="250"/>
      <c r="F939" s="250"/>
      <c r="G939" s="250"/>
      <c r="H939" s="250"/>
      <c r="I939" s="250"/>
      <c r="J939" s="250"/>
      <c r="K939" s="250"/>
      <c r="L939" s="250"/>
      <c r="M939" s="250"/>
      <c r="N939" s="250"/>
      <c r="O939" s="250"/>
      <c r="P939" s="250"/>
      <c r="Q939" s="250"/>
      <c r="R939" s="250"/>
      <c r="S939" s="250"/>
      <c r="T939" s="250"/>
      <c r="U939" s="250"/>
      <c r="V939" s="250"/>
      <c r="W939" s="250"/>
      <c r="X939" s="250"/>
      <c r="Y939" s="250"/>
      <c r="Z939" s="250"/>
    </row>
    <row r="940" ht="14.25" customHeight="1">
      <c r="A940" s="250"/>
      <c r="B940" s="250"/>
      <c r="C940" s="250"/>
      <c r="D940" s="250"/>
      <c r="E940" s="250"/>
      <c r="F940" s="250"/>
      <c r="G940" s="250"/>
      <c r="H940" s="250"/>
      <c r="I940" s="250"/>
      <c r="J940" s="250"/>
      <c r="K940" s="250"/>
      <c r="L940" s="250"/>
      <c r="M940" s="250"/>
      <c r="N940" s="250"/>
      <c r="O940" s="250"/>
      <c r="P940" s="250"/>
      <c r="Q940" s="250"/>
      <c r="R940" s="250"/>
      <c r="S940" s="250"/>
      <c r="T940" s="250"/>
      <c r="U940" s="250"/>
      <c r="V940" s="250"/>
      <c r="W940" s="250"/>
      <c r="X940" s="250"/>
      <c r="Y940" s="250"/>
      <c r="Z940" s="250"/>
    </row>
    <row r="941" ht="14.25" customHeight="1">
      <c r="A941" s="250"/>
      <c r="B941" s="250"/>
      <c r="C941" s="250"/>
      <c r="D941" s="250"/>
      <c r="E941" s="250"/>
      <c r="F941" s="250"/>
      <c r="G941" s="250"/>
      <c r="H941" s="250"/>
      <c r="I941" s="250"/>
      <c r="J941" s="250"/>
      <c r="K941" s="250"/>
      <c r="L941" s="250"/>
      <c r="M941" s="250"/>
      <c r="N941" s="250"/>
      <c r="O941" s="250"/>
      <c r="P941" s="250"/>
      <c r="Q941" s="250"/>
      <c r="R941" s="250"/>
      <c r="S941" s="250"/>
      <c r="T941" s="250"/>
      <c r="U941" s="250"/>
      <c r="V941" s="250"/>
      <c r="W941" s="250"/>
      <c r="X941" s="250"/>
      <c r="Y941" s="250"/>
      <c r="Z941" s="250"/>
    </row>
    <row r="942" ht="14.25" customHeight="1">
      <c r="A942" s="250"/>
      <c r="B942" s="250"/>
      <c r="C942" s="250"/>
      <c r="D942" s="250"/>
      <c r="E942" s="250"/>
      <c r="F942" s="250"/>
      <c r="G942" s="250"/>
      <c r="H942" s="250"/>
      <c r="I942" s="250"/>
      <c r="J942" s="250"/>
      <c r="K942" s="250"/>
      <c r="L942" s="250"/>
      <c r="M942" s="250"/>
      <c r="N942" s="250"/>
      <c r="O942" s="250"/>
      <c r="P942" s="250"/>
      <c r="Q942" s="250"/>
      <c r="R942" s="250"/>
      <c r="S942" s="250"/>
      <c r="T942" s="250"/>
      <c r="U942" s="250"/>
      <c r="V942" s="250"/>
      <c r="W942" s="250"/>
      <c r="X942" s="250"/>
      <c r="Y942" s="250"/>
      <c r="Z942" s="250"/>
    </row>
    <row r="943" ht="14.25" customHeight="1">
      <c r="A943" s="250"/>
      <c r="B943" s="250"/>
      <c r="C943" s="250"/>
      <c r="D943" s="250"/>
      <c r="E943" s="250"/>
      <c r="F943" s="250"/>
      <c r="G943" s="250"/>
      <c r="H943" s="250"/>
      <c r="I943" s="250"/>
      <c r="J943" s="250"/>
      <c r="K943" s="250"/>
      <c r="L943" s="250"/>
      <c r="M943" s="250"/>
      <c r="N943" s="250"/>
      <c r="O943" s="250"/>
      <c r="P943" s="250"/>
      <c r="Q943" s="250"/>
      <c r="R943" s="250"/>
      <c r="S943" s="250"/>
      <c r="T943" s="250"/>
      <c r="U943" s="250"/>
      <c r="V943" s="250"/>
      <c r="W943" s="250"/>
      <c r="X943" s="250"/>
      <c r="Y943" s="250"/>
      <c r="Z943" s="250"/>
    </row>
    <row r="944" ht="14.25" customHeight="1">
      <c r="A944" s="250"/>
      <c r="B944" s="250"/>
      <c r="C944" s="250"/>
      <c r="D944" s="250"/>
      <c r="E944" s="250"/>
      <c r="F944" s="250"/>
      <c r="G944" s="250"/>
      <c r="H944" s="250"/>
      <c r="I944" s="250"/>
      <c r="J944" s="250"/>
      <c r="K944" s="250"/>
      <c r="L944" s="250"/>
      <c r="M944" s="250"/>
      <c r="N944" s="250"/>
      <c r="O944" s="250"/>
      <c r="P944" s="250"/>
      <c r="Q944" s="250"/>
      <c r="R944" s="250"/>
      <c r="S944" s="250"/>
      <c r="T944" s="250"/>
      <c r="U944" s="250"/>
      <c r="V944" s="250"/>
      <c r="W944" s="250"/>
      <c r="X944" s="250"/>
      <c r="Y944" s="250"/>
      <c r="Z944" s="250"/>
    </row>
    <row r="945" ht="14.25" customHeight="1">
      <c r="A945" s="250"/>
      <c r="B945" s="250"/>
      <c r="C945" s="250"/>
      <c r="D945" s="250"/>
      <c r="E945" s="250"/>
      <c r="F945" s="250"/>
      <c r="G945" s="250"/>
      <c r="H945" s="250"/>
      <c r="I945" s="250"/>
      <c r="J945" s="250"/>
      <c r="K945" s="250"/>
      <c r="L945" s="250"/>
      <c r="M945" s="250"/>
      <c r="N945" s="250"/>
      <c r="O945" s="250"/>
      <c r="P945" s="250"/>
      <c r="Q945" s="250"/>
      <c r="R945" s="250"/>
      <c r="S945" s="250"/>
      <c r="T945" s="250"/>
      <c r="U945" s="250"/>
      <c r="V945" s="250"/>
      <c r="W945" s="250"/>
      <c r="X945" s="250"/>
      <c r="Y945" s="250"/>
      <c r="Z945" s="250"/>
    </row>
    <row r="946" ht="14.25" customHeight="1">
      <c r="A946" s="250"/>
      <c r="B946" s="250"/>
      <c r="C946" s="250"/>
      <c r="D946" s="250"/>
      <c r="E946" s="250"/>
      <c r="F946" s="250"/>
      <c r="G946" s="250"/>
      <c r="H946" s="250"/>
      <c r="I946" s="250"/>
      <c r="J946" s="250"/>
      <c r="K946" s="250"/>
      <c r="L946" s="250"/>
      <c r="M946" s="250"/>
      <c r="N946" s="250"/>
      <c r="O946" s="250"/>
      <c r="P946" s="250"/>
      <c r="Q946" s="250"/>
      <c r="R946" s="250"/>
      <c r="S946" s="250"/>
      <c r="T946" s="250"/>
      <c r="U946" s="250"/>
      <c r="V946" s="250"/>
      <c r="W946" s="250"/>
      <c r="X946" s="250"/>
      <c r="Y946" s="250"/>
      <c r="Z946" s="250"/>
    </row>
    <row r="947" ht="14.25" customHeight="1">
      <c r="A947" s="250"/>
      <c r="B947" s="250"/>
      <c r="C947" s="250"/>
      <c r="D947" s="250"/>
      <c r="E947" s="250"/>
      <c r="F947" s="250"/>
      <c r="G947" s="250"/>
      <c r="H947" s="250"/>
      <c r="I947" s="250"/>
      <c r="J947" s="250"/>
      <c r="K947" s="250"/>
      <c r="L947" s="250"/>
      <c r="M947" s="250"/>
      <c r="N947" s="250"/>
      <c r="O947" s="250"/>
      <c r="P947" s="250"/>
      <c r="Q947" s="250"/>
      <c r="R947" s="250"/>
      <c r="S947" s="250"/>
      <c r="T947" s="250"/>
      <c r="U947" s="250"/>
      <c r="V947" s="250"/>
      <c r="W947" s="250"/>
      <c r="X947" s="250"/>
      <c r="Y947" s="250"/>
      <c r="Z947" s="250"/>
    </row>
    <row r="948" ht="14.25" customHeight="1">
      <c r="A948" s="250"/>
      <c r="B948" s="250"/>
      <c r="C948" s="250"/>
      <c r="D948" s="250"/>
      <c r="E948" s="250"/>
      <c r="F948" s="250"/>
      <c r="G948" s="250"/>
      <c r="H948" s="250"/>
      <c r="I948" s="250"/>
      <c r="J948" s="250"/>
      <c r="K948" s="250"/>
      <c r="L948" s="250"/>
      <c r="M948" s="250"/>
      <c r="N948" s="250"/>
      <c r="O948" s="250"/>
      <c r="P948" s="250"/>
      <c r="Q948" s="250"/>
      <c r="R948" s="250"/>
      <c r="S948" s="250"/>
      <c r="T948" s="250"/>
      <c r="U948" s="250"/>
      <c r="V948" s="250"/>
      <c r="W948" s="250"/>
      <c r="X948" s="250"/>
      <c r="Y948" s="250"/>
      <c r="Z948" s="250"/>
    </row>
    <row r="949" ht="14.25" customHeight="1">
      <c r="A949" s="250"/>
      <c r="B949" s="250"/>
      <c r="C949" s="250"/>
      <c r="D949" s="250"/>
      <c r="E949" s="250"/>
      <c r="F949" s="250"/>
      <c r="G949" s="250"/>
      <c r="H949" s="250"/>
      <c r="I949" s="250"/>
      <c r="J949" s="250"/>
      <c r="K949" s="250"/>
      <c r="L949" s="250"/>
      <c r="M949" s="250"/>
      <c r="N949" s="250"/>
      <c r="O949" s="250"/>
      <c r="P949" s="250"/>
      <c r="Q949" s="250"/>
      <c r="R949" s="250"/>
      <c r="S949" s="250"/>
      <c r="T949" s="250"/>
      <c r="U949" s="250"/>
      <c r="V949" s="250"/>
      <c r="W949" s="250"/>
      <c r="X949" s="250"/>
      <c r="Y949" s="250"/>
      <c r="Z949" s="250"/>
    </row>
    <row r="950" ht="14.25" customHeight="1">
      <c r="A950" s="250"/>
      <c r="B950" s="250"/>
      <c r="C950" s="250"/>
      <c r="D950" s="250"/>
      <c r="E950" s="250"/>
      <c r="F950" s="250"/>
      <c r="G950" s="250"/>
      <c r="H950" s="250"/>
      <c r="I950" s="250"/>
      <c r="J950" s="250"/>
      <c r="K950" s="250"/>
      <c r="L950" s="250"/>
      <c r="M950" s="250"/>
      <c r="N950" s="250"/>
      <c r="O950" s="250"/>
      <c r="P950" s="250"/>
      <c r="Q950" s="250"/>
      <c r="R950" s="250"/>
      <c r="S950" s="250"/>
      <c r="T950" s="250"/>
      <c r="U950" s="250"/>
      <c r="V950" s="250"/>
      <c r="W950" s="250"/>
      <c r="X950" s="250"/>
      <c r="Y950" s="250"/>
      <c r="Z950" s="250"/>
    </row>
    <row r="951" ht="14.25" customHeight="1">
      <c r="A951" s="250"/>
      <c r="B951" s="250"/>
      <c r="C951" s="250"/>
      <c r="D951" s="250"/>
      <c r="E951" s="250"/>
      <c r="F951" s="250"/>
      <c r="G951" s="250"/>
      <c r="H951" s="250"/>
      <c r="I951" s="250"/>
      <c r="J951" s="250"/>
      <c r="K951" s="250"/>
      <c r="L951" s="250"/>
      <c r="M951" s="250"/>
      <c r="N951" s="250"/>
      <c r="O951" s="250"/>
      <c r="P951" s="250"/>
      <c r="Q951" s="250"/>
      <c r="R951" s="250"/>
      <c r="S951" s="250"/>
      <c r="T951" s="250"/>
      <c r="U951" s="250"/>
      <c r="V951" s="250"/>
      <c r="W951" s="250"/>
      <c r="X951" s="250"/>
      <c r="Y951" s="250"/>
      <c r="Z951" s="250"/>
    </row>
    <row r="952" ht="14.25" customHeight="1">
      <c r="A952" s="250"/>
      <c r="B952" s="250"/>
      <c r="C952" s="250"/>
      <c r="D952" s="250"/>
      <c r="E952" s="250"/>
      <c r="F952" s="250"/>
      <c r="G952" s="250"/>
      <c r="H952" s="250"/>
      <c r="I952" s="250"/>
      <c r="J952" s="250"/>
      <c r="K952" s="250"/>
      <c r="L952" s="250"/>
      <c r="M952" s="250"/>
      <c r="N952" s="250"/>
      <c r="O952" s="250"/>
      <c r="P952" s="250"/>
      <c r="Q952" s="250"/>
      <c r="R952" s="250"/>
      <c r="S952" s="250"/>
      <c r="T952" s="250"/>
      <c r="U952" s="250"/>
      <c r="V952" s="250"/>
      <c r="W952" s="250"/>
      <c r="X952" s="250"/>
      <c r="Y952" s="250"/>
      <c r="Z952" s="250"/>
    </row>
    <row r="953" ht="14.25" customHeight="1">
      <c r="A953" s="250"/>
      <c r="B953" s="250"/>
      <c r="C953" s="250"/>
      <c r="D953" s="250"/>
      <c r="E953" s="250"/>
      <c r="F953" s="250"/>
      <c r="G953" s="250"/>
      <c r="H953" s="250"/>
      <c r="I953" s="250"/>
      <c r="J953" s="250"/>
      <c r="K953" s="250"/>
      <c r="L953" s="250"/>
      <c r="M953" s="250"/>
      <c r="N953" s="250"/>
      <c r="O953" s="250"/>
      <c r="P953" s="250"/>
      <c r="Q953" s="250"/>
      <c r="R953" s="250"/>
      <c r="S953" s="250"/>
      <c r="T953" s="250"/>
      <c r="U953" s="250"/>
      <c r="V953" s="250"/>
      <c r="W953" s="250"/>
      <c r="X953" s="250"/>
      <c r="Y953" s="250"/>
      <c r="Z953" s="250"/>
    </row>
    <row r="954" ht="14.25" customHeight="1">
      <c r="A954" s="250"/>
      <c r="B954" s="250"/>
      <c r="C954" s="250"/>
      <c r="D954" s="250"/>
      <c r="E954" s="250"/>
      <c r="F954" s="250"/>
      <c r="G954" s="250"/>
      <c r="H954" s="250"/>
      <c r="I954" s="250"/>
      <c r="J954" s="250"/>
      <c r="K954" s="250"/>
      <c r="L954" s="250"/>
      <c r="M954" s="250"/>
      <c r="N954" s="250"/>
      <c r="O954" s="250"/>
      <c r="P954" s="250"/>
      <c r="Q954" s="250"/>
      <c r="R954" s="250"/>
      <c r="S954" s="250"/>
      <c r="T954" s="250"/>
      <c r="U954" s="250"/>
      <c r="V954" s="250"/>
      <c r="W954" s="250"/>
      <c r="X954" s="250"/>
      <c r="Y954" s="250"/>
      <c r="Z954" s="250"/>
    </row>
    <row r="955" ht="14.25" customHeight="1">
      <c r="A955" s="250"/>
      <c r="B955" s="250"/>
      <c r="C955" s="250"/>
      <c r="D955" s="250"/>
      <c r="E955" s="250"/>
      <c r="F955" s="250"/>
      <c r="G955" s="250"/>
      <c r="H955" s="250"/>
      <c r="I955" s="250"/>
      <c r="J955" s="250"/>
      <c r="K955" s="250"/>
      <c r="L955" s="250"/>
      <c r="M955" s="250"/>
      <c r="N955" s="250"/>
      <c r="O955" s="250"/>
      <c r="P955" s="250"/>
      <c r="Q955" s="250"/>
      <c r="R955" s="250"/>
      <c r="S955" s="250"/>
      <c r="T955" s="250"/>
      <c r="U955" s="250"/>
      <c r="V955" s="250"/>
      <c r="W955" s="250"/>
      <c r="X955" s="250"/>
      <c r="Y955" s="250"/>
      <c r="Z955" s="250"/>
    </row>
    <row r="956" ht="14.25" customHeight="1">
      <c r="A956" s="250"/>
      <c r="B956" s="250"/>
      <c r="C956" s="250"/>
      <c r="D956" s="250"/>
      <c r="E956" s="250"/>
      <c r="F956" s="250"/>
      <c r="G956" s="250"/>
      <c r="H956" s="250"/>
      <c r="I956" s="250"/>
      <c r="J956" s="250"/>
      <c r="K956" s="250"/>
      <c r="L956" s="250"/>
      <c r="M956" s="250"/>
      <c r="N956" s="250"/>
      <c r="O956" s="250"/>
      <c r="P956" s="250"/>
      <c r="Q956" s="250"/>
      <c r="R956" s="250"/>
      <c r="S956" s="250"/>
      <c r="T956" s="250"/>
      <c r="U956" s="250"/>
      <c r="V956" s="250"/>
      <c r="W956" s="250"/>
      <c r="X956" s="250"/>
      <c r="Y956" s="250"/>
      <c r="Z956" s="250"/>
    </row>
    <row r="957" ht="14.25" customHeight="1">
      <c r="A957" s="250"/>
      <c r="B957" s="250"/>
      <c r="C957" s="250"/>
      <c r="D957" s="250"/>
      <c r="E957" s="250"/>
      <c r="F957" s="250"/>
      <c r="G957" s="250"/>
      <c r="H957" s="250"/>
      <c r="I957" s="250"/>
      <c r="J957" s="250"/>
      <c r="K957" s="250"/>
      <c r="L957" s="250"/>
      <c r="M957" s="250"/>
      <c r="N957" s="250"/>
      <c r="O957" s="250"/>
      <c r="P957" s="250"/>
      <c r="Q957" s="250"/>
      <c r="R957" s="250"/>
      <c r="S957" s="250"/>
      <c r="T957" s="250"/>
      <c r="U957" s="250"/>
      <c r="V957" s="250"/>
      <c r="W957" s="250"/>
      <c r="X957" s="250"/>
      <c r="Y957" s="250"/>
      <c r="Z957" s="250"/>
    </row>
    <row r="958" ht="14.25" customHeight="1">
      <c r="A958" s="250"/>
      <c r="B958" s="250"/>
      <c r="C958" s="250"/>
      <c r="D958" s="250"/>
      <c r="E958" s="250"/>
      <c r="F958" s="250"/>
      <c r="G958" s="250"/>
      <c r="H958" s="250"/>
      <c r="I958" s="250"/>
      <c r="J958" s="250"/>
      <c r="K958" s="250"/>
      <c r="L958" s="250"/>
      <c r="M958" s="250"/>
      <c r="N958" s="250"/>
      <c r="O958" s="250"/>
      <c r="P958" s="250"/>
      <c r="Q958" s="250"/>
      <c r="R958" s="250"/>
      <c r="S958" s="250"/>
      <c r="T958" s="250"/>
      <c r="U958" s="250"/>
      <c r="V958" s="250"/>
      <c r="W958" s="250"/>
      <c r="X958" s="250"/>
      <c r="Y958" s="250"/>
      <c r="Z958" s="250"/>
    </row>
    <row r="959" ht="14.25" customHeight="1">
      <c r="A959" s="250"/>
      <c r="B959" s="250"/>
      <c r="C959" s="250"/>
      <c r="D959" s="250"/>
      <c r="E959" s="250"/>
      <c r="F959" s="250"/>
      <c r="G959" s="250"/>
      <c r="H959" s="250"/>
      <c r="I959" s="250"/>
      <c r="J959" s="250"/>
      <c r="K959" s="250"/>
      <c r="L959" s="250"/>
      <c r="M959" s="250"/>
      <c r="N959" s="250"/>
      <c r="O959" s="250"/>
      <c r="P959" s="250"/>
      <c r="Q959" s="250"/>
      <c r="R959" s="250"/>
      <c r="S959" s="250"/>
      <c r="T959" s="250"/>
      <c r="U959" s="250"/>
      <c r="V959" s="250"/>
      <c r="W959" s="250"/>
      <c r="X959" s="250"/>
      <c r="Y959" s="250"/>
      <c r="Z959" s="250"/>
    </row>
    <row r="960" ht="14.25" customHeight="1">
      <c r="A960" s="250"/>
      <c r="B960" s="250"/>
      <c r="C960" s="250"/>
      <c r="D960" s="250"/>
      <c r="E960" s="250"/>
      <c r="F960" s="250"/>
      <c r="G960" s="250"/>
      <c r="H960" s="250"/>
      <c r="I960" s="250"/>
      <c r="J960" s="250"/>
      <c r="K960" s="250"/>
      <c r="L960" s="250"/>
      <c r="M960" s="250"/>
      <c r="N960" s="250"/>
      <c r="O960" s="250"/>
      <c r="P960" s="250"/>
      <c r="Q960" s="250"/>
      <c r="R960" s="250"/>
      <c r="S960" s="250"/>
      <c r="T960" s="250"/>
      <c r="U960" s="250"/>
      <c r="V960" s="250"/>
      <c r="W960" s="250"/>
      <c r="X960" s="250"/>
      <c r="Y960" s="250"/>
      <c r="Z960" s="250"/>
    </row>
    <row r="961" ht="14.25" customHeight="1">
      <c r="A961" s="250"/>
      <c r="B961" s="250"/>
      <c r="C961" s="250"/>
      <c r="D961" s="250"/>
      <c r="E961" s="250"/>
      <c r="F961" s="250"/>
      <c r="G961" s="250"/>
      <c r="H961" s="250"/>
      <c r="I961" s="250"/>
      <c r="J961" s="250"/>
      <c r="K961" s="250"/>
      <c r="L961" s="250"/>
      <c r="M961" s="250"/>
      <c r="N961" s="250"/>
      <c r="O961" s="250"/>
      <c r="P961" s="250"/>
      <c r="Q961" s="250"/>
      <c r="R961" s="250"/>
      <c r="S961" s="250"/>
      <c r="T961" s="250"/>
      <c r="U961" s="250"/>
      <c r="V961" s="250"/>
      <c r="W961" s="250"/>
      <c r="X961" s="250"/>
      <c r="Y961" s="250"/>
      <c r="Z961" s="250"/>
    </row>
    <row r="962" ht="14.25" customHeight="1">
      <c r="A962" s="250"/>
      <c r="B962" s="250"/>
      <c r="C962" s="250"/>
      <c r="D962" s="250"/>
      <c r="E962" s="250"/>
      <c r="F962" s="250"/>
      <c r="G962" s="250"/>
      <c r="H962" s="250"/>
      <c r="I962" s="250"/>
      <c r="J962" s="250"/>
      <c r="K962" s="250"/>
      <c r="L962" s="250"/>
      <c r="M962" s="250"/>
      <c r="N962" s="250"/>
      <c r="O962" s="250"/>
      <c r="P962" s="250"/>
      <c r="Q962" s="250"/>
      <c r="R962" s="250"/>
      <c r="S962" s="250"/>
      <c r="T962" s="250"/>
      <c r="U962" s="250"/>
      <c r="V962" s="250"/>
      <c r="W962" s="250"/>
      <c r="X962" s="250"/>
      <c r="Y962" s="250"/>
      <c r="Z962" s="250"/>
    </row>
    <row r="963" ht="14.25" customHeight="1">
      <c r="A963" s="250"/>
      <c r="B963" s="250"/>
      <c r="C963" s="250"/>
      <c r="D963" s="250"/>
      <c r="E963" s="250"/>
      <c r="F963" s="250"/>
      <c r="G963" s="250"/>
      <c r="H963" s="250"/>
      <c r="I963" s="250"/>
      <c r="J963" s="250"/>
      <c r="K963" s="250"/>
      <c r="L963" s="250"/>
      <c r="M963" s="250"/>
      <c r="N963" s="250"/>
      <c r="O963" s="250"/>
      <c r="P963" s="250"/>
      <c r="Q963" s="250"/>
      <c r="R963" s="250"/>
      <c r="S963" s="250"/>
      <c r="T963" s="250"/>
      <c r="U963" s="250"/>
      <c r="V963" s="250"/>
      <c r="W963" s="250"/>
      <c r="X963" s="250"/>
      <c r="Y963" s="250"/>
      <c r="Z963" s="250"/>
    </row>
    <row r="964" ht="14.25" customHeight="1">
      <c r="A964" s="250"/>
      <c r="B964" s="250"/>
      <c r="C964" s="250"/>
      <c r="D964" s="250"/>
      <c r="E964" s="250"/>
      <c r="F964" s="250"/>
      <c r="G964" s="250"/>
      <c r="H964" s="250"/>
      <c r="I964" s="250"/>
      <c r="J964" s="250"/>
      <c r="K964" s="250"/>
      <c r="L964" s="250"/>
      <c r="M964" s="250"/>
      <c r="N964" s="250"/>
      <c r="O964" s="250"/>
      <c r="P964" s="250"/>
      <c r="Q964" s="250"/>
      <c r="R964" s="250"/>
      <c r="S964" s="250"/>
      <c r="T964" s="250"/>
      <c r="U964" s="250"/>
      <c r="V964" s="250"/>
      <c r="W964" s="250"/>
      <c r="X964" s="250"/>
      <c r="Y964" s="250"/>
      <c r="Z964" s="250"/>
    </row>
    <row r="965" ht="14.25" customHeight="1">
      <c r="A965" s="250"/>
      <c r="B965" s="250"/>
      <c r="C965" s="250"/>
      <c r="D965" s="250"/>
      <c r="E965" s="250"/>
      <c r="F965" s="250"/>
      <c r="G965" s="250"/>
      <c r="H965" s="250"/>
      <c r="I965" s="250"/>
      <c r="J965" s="250"/>
      <c r="K965" s="250"/>
      <c r="L965" s="250"/>
      <c r="M965" s="250"/>
      <c r="N965" s="250"/>
      <c r="O965" s="250"/>
      <c r="P965" s="250"/>
      <c r="Q965" s="250"/>
      <c r="R965" s="250"/>
      <c r="S965" s="250"/>
      <c r="T965" s="250"/>
      <c r="U965" s="250"/>
      <c r="V965" s="250"/>
      <c r="W965" s="250"/>
      <c r="X965" s="250"/>
      <c r="Y965" s="250"/>
      <c r="Z965" s="250"/>
    </row>
    <row r="966" ht="14.25" customHeight="1">
      <c r="A966" s="250"/>
      <c r="B966" s="250"/>
      <c r="C966" s="250"/>
      <c r="D966" s="250"/>
      <c r="E966" s="250"/>
      <c r="F966" s="250"/>
      <c r="G966" s="250"/>
      <c r="H966" s="250"/>
      <c r="I966" s="250"/>
      <c r="J966" s="250"/>
      <c r="K966" s="250"/>
      <c r="L966" s="250"/>
      <c r="M966" s="250"/>
      <c r="N966" s="250"/>
      <c r="O966" s="250"/>
      <c r="P966" s="250"/>
      <c r="Q966" s="250"/>
      <c r="R966" s="250"/>
      <c r="S966" s="250"/>
      <c r="T966" s="250"/>
      <c r="U966" s="250"/>
      <c r="V966" s="250"/>
      <c r="W966" s="250"/>
      <c r="X966" s="250"/>
      <c r="Y966" s="250"/>
      <c r="Z966" s="250"/>
    </row>
    <row r="967" ht="14.25" customHeight="1">
      <c r="A967" s="250"/>
      <c r="B967" s="250"/>
      <c r="C967" s="250"/>
      <c r="D967" s="250"/>
      <c r="E967" s="250"/>
      <c r="F967" s="250"/>
      <c r="G967" s="250"/>
      <c r="H967" s="250"/>
      <c r="I967" s="250"/>
      <c r="J967" s="250"/>
      <c r="K967" s="250"/>
      <c r="L967" s="250"/>
      <c r="M967" s="250"/>
      <c r="N967" s="250"/>
      <c r="O967" s="250"/>
      <c r="P967" s="250"/>
      <c r="Q967" s="250"/>
      <c r="R967" s="250"/>
      <c r="S967" s="250"/>
      <c r="T967" s="250"/>
      <c r="U967" s="250"/>
      <c r="V967" s="250"/>
      <c r="W967" s="250"/>
      <c r="X967" s="250"/>
      <c r="Y967" s="250"/>
      <c r="Z967" s="250"/>
    </row>
    <row r="968" ht="14.25" customHeight="1">
      <c r="A968" s="250"/>
      <c r="B968" s="250"/>
      <c r="C968" s="250"/>
      <c r="D968" s="250"/>
      <c r="E968" s="250"/>
      <c r="F968" s="250"/>
      <c r="G968" s="250"/>
      <c r="H968" s="250"/>
      <c r="I968" s="250"/>
      <c r="J968" s="250"/>
      <c r="K968" s="250"/>
      <c r="L968" s="250"/>
      <c r="M968" s="250"/>
      <c r="N968" s="250"/>
      <c r="O968" s="250"/>
      <c r="P968" s="250"/>
      <c r="Q968" s="250"/>
      <c r="R968" s="250"/>
      <c r="S968" s="250"/>
      <c r="T968" s="250"/>
      <c r="U968" s="250"/>
      <c r="V968" s="250"/>
      <c r="W968" s="250"/>
      <c r="X968" s="250"/>
      <c r="Y968" s="250"/>
      <c r="Z968" s="250"/>
    </row>
    <row r="969" ht="14.25" customHeight="1">
      <c r="A969" s="250"/>
      <c r="B969" s="250"/>
      <c r="C969" s="250"/>
      <c r="D969" s="250"/>
      <c r="E969" s="250"/>
      <c r="F969" s="250"/>
      <c r="G969" s="250"/>
      <c r="H969" s="250"/>
      <c r="I969" s="250"/>
      <c r="J969" s="250"/>
      <c r="K969" s="250"/>
      <c r="L969" s="250"/>
      <c r="M969" s="250"/>
      <c r="N969" s="250"/>
      <c r="O969" s="250"/>
      <c r="P969" s="250"/>
      <c r="Q969" s="250"/>
      <c r="R969" s="250"/>
      <c r="S969" s="250"/>
      <c r="T969" s="250"/>
      <c r="U969" s="250"/>
      <c r="V969" s="250"/>
      <c r="W969" s="250"/>
      <c r="X969" s="250"/>
      <c r="Y969" s="250"/>
      <c r="Z969" s="250"/>
    </row>
    <row r="970" ht="14.25" customHeight="1">
      <c r="A970" s="250"/>
      <c r="B970" s="250"/>
      <c r="C970" s="250"/>
      <c r="D970" s="250"/>
      <c r="E970" s="250"/>
      <c r="F970" s="250"/>
      <c r="G970" s="250"/>
      <c r="H970" s="250"/>
      <c r="I970" s="250"/>
      <c r="J970" s="250"/>
      <c r="K970" s="250"/>
      <c r="L970" s="250"/>
      <c r="M970" s="250"/>
      <c r="N970" s="250"/>
      <c r="O970" s="250"/>
      <c r="P970" s="250"/>
      <c r="Q970" s="250"/>
      <c r="R970" s="250"/>
      <c r="S970" s="250"/>
      <c r="T970" s="250"/>
      <c r="U970" s="250"/>
      <c r="V970" s="250"/>
      <c r="W970" s="250"/>
      <c r="X970" s="250"/>
      <c r="Y970" s="250"/>
      <c r="Z970" s="250"/>
    </row>
    <row r="971" ht="14.25" customHeight="1">
      <c r="A971" s="250"/>
      <c r="B971" s="250"/>
      <c r="C971" s="250"/>
      <c r="D971" s="250"/>
      <c r="E971" s="250"/>
      <c r="F971" s="250"/>
      <c r="G971" s="250"/>
      <c r="H971" s="250"/>
      <c r="I971" s="250"/>
      <c r="J971" s="250"/>
      <c r="K971" s="250"/>
      <c r="L971" s="250"/>
      <c r="M971" s="250"/>
      <c r="N971" s="250"/>
      <c r="O971" s="250"/>
      <c r="P971" s="250"/>
      <c r="Q971" s="250"/>
      <c r="R971" s="250"/>
      <c r="S971" s="250"/>
      <c r="T971" s="250"/>
      <c r="U971" s="250"/>
      <c r="V971" s="250"/>
      <c r="W971" s="250"/>
      <c r="X971" s="250"/>
      <c r="Y971" s="250"/>
      <c r="Z971" s="250"/>
    </row>
    <row r="972" ht="14.25" customHeight="1">
      <c r="A972" s="250"/>
      <c r="B972" s="250"/>
      <c r="C972" s="250"/>
      <c r="D972" s="250"/>
      <c r="E972" s="250"/>
      <c r="F972" s="250"/>
      <c r="G972" s="250"/>
      <c r="H972" s="250"/>
      <c r="I972" s="250"/>
      <c r="J972" s="250"/>
      <c r="K972" s="250"/>
      <c r="L972" s="250"/>
      <c r="M972" s="250"/>
      <c r="N972" s="250"/>
      <c r="O972" s="250"/>
      <c r="P972" s="250"/>
      <c r="Q972" s="250"/>
      <c r="R972" s="250"/>
      <c r="S972" s="250"/>
      <c r="T972" s="250"/>
      <c r="U972" s="250"/>
      <c r="V972" s="250"/>
      <c r="W972" s="250"/>
      <c r="X972" s="250"/>
      <c r="Y972" s="250"/>
      <c r="Z972" s="250"/>
    </row>
    <row r="973" ht="14.25" customHeight="1">
      <c r="A973" s="250"/>
      <c r="B973" s="250"/>
      <c r="C973" s="250"/>
      <c r="D973" s="250"/>
      <c r="E973" s="250"/>
      <c r="F973" s="250"/>
      <c r="G973" s="250"/>
      <c r="H973" s="250"/>
      <c r="I973" s="250"/>
      <c r="J973" s="250"/>
      <c r="K973" s="250"/>
      <c r="L973" s="250"/>
      <c r="M973" s="250"/>
      <c r="N973" s="250"/>
      <c r="O973" s="250"/>
      <c r="P973" s="250"/>
      <c r="Q973" s="250"/>
      <c r="R973" s="250"/>
      <c r="S973" s="250"/>
      <c r="T973" s="250"/>
      <c r="U973" s="250"/>
      <c r="V973" s="250"/>
      <c r="W973" s="250"/>
      <c r="X973" s="250"/>
      <c r="Y973" s="250"/>
      <c r="Z973" s="250"/>
    </row>
    <row r="974" ht="14.25" customHeight="1">
      <c r="A974" s="250"/>
      <c r="B974" s="250"/>
      <c r="C974" s="250"/>
      <c r="D974" s="250"/>
      <c r="E974" s="250"/>
      <c r="F974" s="250"/>
      <c r="G974" s="250"/>
      <c r="H974" s="250"/>
      <c r="I974" s="250"/>
      <c r="J974" s="250"/>
      <c r="K974" s="250"/>
      <c r="L974" s="250"/>
      <c r="M974" s="250"/>
      <c r="N974" s="250"/>
      <c r="O974" s="250"/>
      <c r="P974" s="250"/>
      <c r="Q974" s="250"/>
      <c r="R974" s="250"/>
      <c r="S974" s="250"/>
      <c r="T974" s="250"/>
      <c r="U974" s="250"/>
      <c r="V974" s="250"/>
      <c r="W974" s="250"/>
      <c r="X974" s="250"/>
      <c r="Y974" s="250"/>
      <c r="Z974" s="250"/>
    </row>
    <row r="975" ht="14.25" customHeight="1">
      <c r="A975" s="250"/>
      <c r="B975" s="250"/>
      <c r="C975" s="250"/>
      <c r="D975" s="250"/>
      <c r="E975" s="250"/>
      <c r="F975" s="250"/>
      <c r="G975" s="250"/>
      <c r="H975" s="250"/>
      <c r="I975" s="250"/>
      <c r="J975" s="250"/>
      <c r="K975" s="250"/>
      <c r="L975" s="250"/>
      <c r="M975" s="250"/>
      <c r="N975" s="250"/>
      <c r="O975" s="250"/>
      <c r="P975" s="250"/>
      <c r="Q975" s="250"/>
      <c r="R975" s="250"/>
      <c r="S975" s="250"/>
      <c r="T975" s="250"/>
      <c r="U975" s="250"/>
      <c r="V975" s="250"/>
      <c r="W975" s="250"/>
      <c r="X975" s="250"/>
      <c r="Y975" s="250"/>
      <c r="Z975" s="250"/>
    </row>
    <row r="976" ht="14.25" customHeight="1">
      <c r="A976" s="250"/>
      <c r="B976" s="250"/>
      <c r="C976" s="250"/>
      <c r="D976" s="250"/>
      <c r="E976" s="250"/>
      <c r="F976" s="250"/>
      <c r="G976" s="250"/>
      <c r="H976" s="250"/>
      <c r="I976" s="250"/>
      <c r="J976" s="250"/>
      <c r="K976" s="250"/>
      <c r="L976" s="250"/>
      <c r="M976" s="250"/>
      <c r="N976" s="250"/>
      <c r="O976" s="250"/>
      <c r="P976" s="250"/>
      <c r="Q976" s="250"/>
      <c r="R976" s="250"/>
      <c r="S976" s="250"/>
      <c r="T976" s="250"/>
      <c r="U976" s="250"/>
      <c r="V976" s="250"/>
      <c r="W976" s="250"/>
      <c r="X976" s="250"/>
      <c r="Y976" s="250"/>
      <c r="Z976" s="250"/>
    </row>
    <row r="977" ht="14.25" customHeight="1">
      <c r="A977" s="250"/>
      <c r="B977" s="250"/>
      <c r="C977" s="250"/>
      <c r="D977" s="250"/>
      <c r="E977" s="250"/>
      <c r="F977" s="250"/>
      <c r="G977" s="250"/>
      <c r="H977" s="250"/>
      <c r="I977" s="250"/>
      <c r="J977" s="250"/>
      <c r="K977" s="250"/>
      <c r="L977" s="250"/>
      <c r="M977" s="250"/>
      <c r="N977" s="250"/>
      <c r="O977" s="250"/>
      <c r="P977" s="250"/>
      <c r="Q977" s="250"/>
      <c r="R977" s="250"/>
      <c r="S977" s="250"/>
      <c r="T977" s="250"/>
      <c r="U977" s="250"/>
      <c r="V977" s="250"/>
      <c r="W977" s="250"/>
      <c r="X977" s="250"/>
      <c r="Y977" s="250"/>
      <c r="Z977" s="250"/>
    </row>
    <row r="978" ht="14.25" customHeight="1">
      <c r="A978" s="250"/>
      <c r="B978" s="250"/>
      <c r="C978" s="250"/>
      <c r="D978" s="250"/>
      <c r="E978" s="250"/>
      <c r="F978" s="250"/>
      <c r="G978" s="250"/>
      <c r="H978" s="250"/>
      <c r="I978" s="250"/>
      <c r="J978" s="250"/>
      <c r="K978" s="250"/>
      <c r="L978" s="250"/>
      <c r="M978" s="250"/>
      <c r="N978" s="250"/>
      <c r="O978" s="250"/>
      <c r="P978" s="250"/>
      <c r="Q978" s="250"/>
      <c r="R978" s="250"/>
      <c r="S978" s="250"/>
      <c r="T978" s="250"/>
      <c r="U978" s="250"/>
      <c r="V978" s="250"/>
      <c r="W978" s="250"/>
      <c r="X978" s="250"/>
      <c r="Y978" s="250"/>
      <c r="Z978" s="250"/>
    </row>
    <row r="979" ht="14.25" customHeight="1">
      <c r="A979" s="250"/>
      <c r="B979" s="250"/>
      <c r="C979" s="250"/>
      <c r="D979" s="250"/>
      <c r="E979" s="250"/>
      <c r="F979" s="250"/>
      <c r="G979" s="250"/>
      <c r="H979" s="250"/>
      <c r="I979" s="250"/>
      <c r="J979" s="250"/>
      <c r="K979" s="250"/>
      <c r="L979" s="250"/>
      <c r="M979" s="250"/>
      <c r="N979" s="250"/>
      <c r="O979" s="250"/>
      <c r="P979" s="250"/>
      <c r="Q979" s="250"/>
      <c r="R979" s="250"/>
      <c r="S979" s="250"/>
      <c r="T979" s="250"/>
      <c r="U979" s="250"/>
      <c r="V979" s="250"/>
      <c r="W979" s="250"/>
      <c r="X979" s="250"/>
      <c r="Y979" s="250"/>
      <c r="Z979" s="250"/>
    </row>
    <row r="980" ht="14.25" customHeight="1">
      <c r="A980" s="250"/>
      <c r="B980" s="250"/>
      <c r="C980" s="250"/>
      <c r="D980" s="250"/>
      <c r="E980" s="250"/>
      <c r="F980" s="250"/>
      <c r="G980" s="250"/>
      <c r="H980" s="250"/>
      <c r="I980" s="250"/>
      <c r="J980" s="250"/>
      <c r="K980" s="250"/>
      <c r="L980" s="250"/>
      <c r="M980" s="250"/>
      <c r="N980" s="250"/>
      <c r="O980" s="250"/>
      <c r="P980" s="250"/>
      <c r="Q980" s="250"/>
      <c r="R980" s="250"/>
      <c r="S980" s="250"/>
      <c r="T980" s="250"/>
      <c r="U980" s="250"/>
      <c r="V980" s="250"/>
      <c r="W980" s="250"/>
      <c r="X980" s="250"/>
      <c r="Y980" s="250"/>
      <c r="Z980" s="250"/>
    </row>
    <row r="981" ht="14.25" customHeight="1">
      <c r="A981" s="250"/>
      <c r="B981" s="250"/>
      <c r="C981" s="250"/>
      <c r="D981" s="250"/>
      <c r="E981" s="250"/>
      <c r="F981" s="250"/>
      <c r="G981" s="250"/>
      <c r="H981" s="250"/>
      <c r="I981" s="250"/>
      <c r="J981" s="250"/>
      <c r="K981" s="250"/>
      <c r="L981" s="250"/>
      <c r="M981" s="250"/>
      <c r="N981" s="250"/>
      <c r="O981" s="250"/>
      <c r="P981" s="250"/>
      <c r="Q981" s="250"/>
      <c r="R981" s="250"/>
      <c r="S981" s="250"/>
      <c r="T981" s="250"/>
      <c r="U981" s="250"/>
      <c r="V981" s="250"/>
      <c r="W981" s="250"/>
      <c r="X981" s="250"/>
      <c r="Y981" s="250"/>
      <c r="Z981" s="250"/>
    </row>
    <row r="982" ht="14.25" customHeight="1">
      <c r="A982" s="250"/>
      <c r="B982" s="250"/>
      <c r="C982" s="250"/>
      <c r="D982" s="250"/>
      <c r="E982" s="250"/>
      <c r="F982" s="250"/>
      <c r="G982" s="250"/>
      <c r="H982" s="250"/>
      <c r="I982" s="250"/>
      <c r="J982" s="250"/>
      <c r="K982" s="250"/>
      <c r="L982" s="250"/>
      <c r="M982" s="250"/>
      <c r="N982" s="250"/>
      <c r="O982" s="250"/>
      <c r="P982" s="250"/>
      <c r="Q982" s="250"/>
      <c r="R982" s="250"/>
      <c r="S982" s="250"/>
      <c r="T982" s="250"/>
      <c r="U982" s="250"/>
      <c r="V982" s="250"/>
      <c r="W982" s="250"/>
      <c r="X982" s="250"/>
      <c r="Y982" s="250"/>
      <c r="Z982" s="250"/>
    </row>
    <row r="983" ht="14.25" customHeight="1">
      <c r="A983" s="250"/>
      <c r="B983" s="250"/>
      <c r="C983" s="250"/>
      <c r="D983" s="250"/>
      <c r="E983" s="250"/>
      <c r="F983" s="250"/>
      <c r="G983" s="250"/>
      <c r="H983" s="250"/>
      <c r="I983" s="250"/>
      <c r="J983" s="250"/>
      <c r="K983" s="250"/>
      <c r="L983" s="250"/>
      <c r="M983" s="250"/>
      <c r="N983" s="250"/>
      <c r="O983" s="250"/>
      <c r="P983" s="250"/>
      <c r="Q983" s="250"/>
      <c r="R983" s="250"/>
      <c r="S983" s="250"/>
      <c r="T983" s="250"/>
      <c r="U983" s="250"/>
      <c r="V983" s="250"/>
      <c r="W983" s="250"/>
      <c r="X983" s="250"/>
      <c r="Y983" s="250"/>
      <c r="Z983" s="250"/>
    </row>
    <row r="984" ht="14.25" customHeight="1">
      <c r="A984" s="250"/>
      <c r="B984" s="250"/>
      <c r="C984" s="250"/>
      <c r="D984" s="250"/>
      <c r="E984" s="250"/>
      <c r="F984" s="250"/>
      <c r="G984" s="250"/>
      <c r="H984" s="250"/>
      <c r="I984" s="250"/>
      <c r="J984" s="250"/>
      <c r="K984" s="250"/>
      <c r="L984" s="250"/>
      <c r="M984" s="250"/>
      <c r="N984" s="250"/>
      <c r="O984" s="250"/>
      <c r="P984" s="250"/>
      <c r="Q984" s="250"/>
      <c r="R984" s="250"/>
      <c r="S984" s="250"/>
      <c r="T984" s="250"/>
      <c r="U984" s="250"/>
      <c r="V984" s="250"/>
      <c r="W984" s="250"/>
      <c r="X984" s="250"/>
      <c r="Y984" s="250"/>
      <c r="Z984" s="250"/>
    </row>
    <row r="985" ht="14.25" customHeight="1">
      <c r="A985" s="250"/>
      <c r="B985" s="250"/>
      <c r="C985" s="250"/>
      <c r="D985" s="250"/>
      <c r="E985" s="250"/>
      <c r="F985" s="250"/>
      <c r="G985" s="250"/>
      <c r="H985" s="250"/>
      <c r="I985" s="250"/>
      <c r="J985" s="250"/>
      <c r="K985" s="250"/>
      <c r="L985" s="250"/>
      <c r="M985" s="250"/>
      <c r="N985" s="250"/>
      <c r="O985" s="250"/>
      <c r="P985" s="250"/>
      <c r="Q985" s="250"/>
      <c r="R985" s="250"/>
      <c r="S985" s="250"/>
      <c r="T985" s="250"/>
      <c r="U985" s="250"/>
      <c r="V985" s="250"/>
      <c r="W985" s="250"/>
      <c r="X985" s="250"/>
      <c r="Y985" s="250"/>
      <c r="Z985" s="250"/>
    </row>
    <row r="986" ht="14.25" customHeight="1">
      <c r="A986" s="250"/>
      <c r="B986" s="250"/>
      <c r="C986" s="250"/>
      <c r="D986" s="250"/>
      <c r="E986" s="250"/>
      <c r="F986" s="250"/>
      <c r="G986" s="250"/>
      <c r="H986" s="250"/>
      <c r="I986" s="250"/>
      <c r="J986" s="250"/>
      <c r="K986" s="250"/>
      <c r="L986" s="250"/>
      <c r="M986" s="250"/>
      <c r="N986" s="250"/>
      <c r="O986" s="250"/>
      <c r="P986" s="250"/>
      <c r="Q986" s="250"/>
      <c r="R986" s="250"/>
      <c r="S986" s="250"/>
      <c r="T986" s="250"/>
      <c r="U986" s="250"/>
      <c r="V986" s="250"/>
      <c r="W986" s="250"/>
      <c r="X986" s="250"/>
      <c r="Y986" s="250"/>
      <c r="Z986" s="250"/>
    </row>
    <row r="987" ht="14.25" customHeight="1">
      <c r="A987" s="250"/>
      <c r="B987" s="250"/>
      <c r="C987" s="250"/>
      <c r="D987" s="250"/>
      <c r="E987" s="250"/>
      <c r="F987" s="250"/>
      <c r="G987" s="250"/>
      <c r="H987" s="250"/>
      <c r="I987" s="250"/>
      <c r="J987" s="250"/>
      <c r="K987" s="250"/>
      <c r="L987" s="250"/>
      <c r="M987" s="250"/>
      <c r="N987" s="250"/>
      <c r="O987" s="250"/>
      <c r="P987" s="250"/>
      <c r="Q987" s="250"/>
      <c r="R987" s="250"/>
      <c r="S987" s="250"/>
      <c r="T987" s="250"/>
      <c r="U987" s="250"/>
      <c r="V987" s="250"/>
      <c r="W987" s="250"/>
      <c r="X987" s="250"/>
      <c r="Y987" s="250"/>
      <c r="Z987" s="250"/>
    </row>
    <row r="988" ht="14.25" customHeight="1">
      <c r="A988" s="250"/>
      <c r="B988" s="250"/>
      <c r="C988" s="250"/>
      <c r="D988" s="250"/>
      <c r="E988" s="250"/>
      <c r="F988" s="250"/>
      <c r="G988" s="250"/>
      <c r="H988" s="250"/>
      <c r="I988" s="250"/>
      <c r="J988" s="250"/>
      <c r="K988" s="250"/>
      <c r="L988" s="250"/>
      <c r="M988" s="250"/>
      <c r="N988" s="250"/>
      <c r="O988" s="250"/>
      <c r="P988" s="250"/>
      <c r="Q988" s="250"/>
      <c r="R988" s="250"/>
      <c r="S988" s="250"/>
      <c r="T988" s="250"/>
      <c r="U988" s="250"/>
      <c r="V988" s="250"/>
      <c r="W988" s="250"/>
      <c r="X988" s="250"/>
      <c r="Y988" s="250"/>
      <c r="Z988" s="250"/>
    </row>
    <row r="989" ht="14.25" customHeight="1">
      <c r="A989" s="250"/>
      <c r="B989" s="250"/>
      <c r="C989" s="250"/>
      <c r="D989" s="250"/>
      <c r="E989" s="250"/>
      <c r="F989" s="250"/>
      <c r="G989" s="250"/>
      <c r="H989" s="250"/>
      <c r="I989" s="250"/>
      <c r="J989" s="250"/>
      <c r="K989" s="250"/>
      <c r="L989" s="250"/>
      <c r="M989" s="250"/>
      <c r="N989" s="250"/>
      <c r="O989" s="250"/>
      <c r="P989" s="250"/>
      <c r="Q989" s="250"/>
      <c r="R989" s="250"/>
      <c r="S989" s="250"/>
      <c r="T989" s="250"/>
      <c r="U989" s="250"/>
      <c r="V989" s="250"/>
      <c r="W989" s="250"/>
      <c r="X989" s="250"/>
      <c r="Y989" s="250"/>
      <c r="Z989" s="250"/>
    </row>
    <row r="990" ht="14.25" customHeight="1">
      <c r="A990" s="250"/>
      <c r="B990" s="250"/>
      <c r="C990" s="250"/>
      <c r="D990" s="250"/>
      <c r="E990" s="250"/>
      <c r="F990" s="250"/>
      <c r="G990" s="250"/>
      <c r="H990" s="250"/>
      <c r="I990" s="250"/>
      <c r="J990" s="250"/>
      <c r="K990" s="250"/>
      <c r="L990" s="250"/>
      <c r="M990" s="250"/>
      <c r="N990" s="250"/>
      <c r="O990" s="250"/>
      <c r="P990" s="250"/>
      <c r="Q990" s="250"/>
      <c r="R990" s="250"/>
      <c r="S990" s="250"/>
      <c r="T990" s="250"/>
      <c r="U990" s="250"/>
      <c r="V990" s="250"/>
      <c r="W990" s="250"/>
      <c r="X990" s="250"/>
      <c r="Y990" s="250"/>
      <c r="Z990" s="250"/>
    </row>
    <row r="991" ht="14.25" customHeight="1">
      <c r="A991" s="250"/>
      <c r="B991" s="250"/>
      <c r="C991" s="250"/>
      <c r="D991" s="250"/>
      <c r="E991" s="250"/>
      <c r="F991" s="250"/>
      <c r="G991" s="250"/>
      <c r="H991" s="250"/>
      <c r="I991" s="250"/>
      <c r="J991" s="250"/>
      <c r="K991" s="250"/>
      <c r="L991" s="250"/>
      <c r="M991" s="250"/>
      <c r="N991" s="250"/>
      <c r="O991" s="250"/>
      <c r="P991" s="250"/>
      <c r="Q991" s="250"/>
      <c r="R991" s="250"/>
      <c r="S991" s="250"/>
      <c r="T991" s="250"/>
      <c r="U991" s="250"/>
      <c r="V991" s="250"/>
      <c r="W991" s="250"/>
      <c r="X991" s="250"/>
      <c r="Y991" s="250"/>
      <c r="Z991" s="250"/>
    </row>
    <row r="992" ht="14.25" customHeight="1">
      <c r="A992" s="250"/>
      <c r="B992" s="250"/>
      <c r="C992" s="250"/>
      <c r="D992" s="250"/>
      <c r="E992" s="250"/>
      <c r="F992" s="250"/>
      <c r="G992" s="250"/>
      <c r="H992" s="250"/>
      <c r="I992" s="250"/>
      <c r="J992" s="250"/>
      <c r="K992" s="250"/>
      <c r="L992" s="250"/>
      <c r="M992" s="250"/>
      <c r="N992" s="250"/>
      <c r="O992" s="250"/>
      <c r="P992" s="250"/>
      <c r="Q992" s="250"/>
      <c r="R992" s="250"/>
      <c r="S992" s="250"/>
      <c r="T992" s="250"/>
      <c r="U992" s="250"/>
      <c r="V992" s="250"/>
      <c r="W992" s="250"/>
      <c r="X992" s="250"/>
      <c r="Y992" s="250"/>
      <c r="Z992" s="250"/>
    </row>
    <row r="993" ht="14.25" customHeight="1">
      <c r="A993" s="250"/>
      <c r="B993" s="250"/>
      <c r="C993" s="250"/>
      <c r="D993" s="250"/>
      <c r="E993" s="250"/>
      <c r="F993" s="250"/>
      <c r="G993" s="250"/>
      <c r="H993" s="250"/>
      <c r="I993" s="250"/>
      <c r="J993" s="250"/>
      <c r="K993" s="250"/>
      <c r="L993" s="250"/>
      <c r="M993" s="250"/>
      <c r="N993" s="250"/>
      <c r="O993" s="250"/>
      <c r="P993" s="250"/>
      <c r="Q993" s="250"/>
      <c r="R993" s="250"/>
      <c r="S993" s="250"/>
      <c r="T993" s="250"/>
      <c r="U993" s="250"/>
      <c r="V993" s="250"/>
      <c r="W993" s="250"/>
      <c r="X993" s="250"/>
      <c r="Y993" s="250"/>
      <c r="Z993" s="250"/>
    </row>
    <row r="994" ht="14.25" customHeight="1">
      <c r="A994" s="250"/>
      <c r="B994" s="250"/>
      <c r="C994" s="250"/>
      <c r="D994" s="250"/>
      <c r="E994" s="250"/>
      <c r="F994" s="250"/>
      <c r="G994" s="250"/>
      <c r="H994" s="250"/>
      <c r="I994" s="250"/>
      <c r="J994" s="250"/>
      <c r="K994" s="250"/>
      <c r="L994" s="250"/>
      <c r="M994" s="250"/>
      <c r="N994" s="250"/>
      <c r="O994" s="250"/>
      <c r="P994" s="250"/>
      <c r="Q994" s="250"/>
      <c r="R994" s="250"/>
      <c r="S994" s="250"/>
      <c r="T994" s="250"/>
      <c r="U994" s="250"/>
      <c r="V994" s="250"/>
      <c r="W994" s="250"/>
      <c r="X994" s="250"/>
      <c r="Y994" s="250"/>
      <c r="Z994" s="250"/>
    </row>
    <row r="995" ht="14.25" customHeight="1">
      <c r="A995" s="250"/>
      <c r="B995" s="250"/>
      <c r="C995" s="250"/>
      <c r="D995" s="250"/>
      <c r="E995" s="250"/>
      <c r="F995" s="250"/>
      <c r="G995" s="250"/>
      <c r="H995" s="250"/>
      <c r="I995" s="250"/>
      <c r="J995" s="250"/>
      <c r="K995" s="250"/>
      <c r="L995" s="250"/>
      <c r="M995" s="250"/>
      <c r="N995" s="250"/>
      <c r="O995" s="250"/>
      <c r="P995" s="250"/>
      <c r="Q995" s="250"/>
      <c r="R995" s="250"/>
      <c r="S995" s="250"/>
      <c r="T995" s="250"/>
      <c r="U995" s="250"/>
      <c r="V995" s="250"/>
      <c r="W995" s="250"/>
      <c r="X995" s="250"/>
      <c r="Y995" s="250"/>
      <c r="Z995" s="250"/>
    </row>
    <row r="996" ht="14.25" customHeight="1">
      <c r="A996" s="250"/>
      <c r="B996" s="250"/>
      <c r="C996" s="250"/>
      <c r="D996" s="250"/>
      <c r="E996" s="250"/>
      <c r="F996" s="250"/>
      <c r="G996" s="250"/>
      <c r="H996" s="250"/>
      <c r="I996" s="250"/>
      <c r="J996" s="250"/>
      <c r="K996" s="250"/>
      <c r="L996" s="250"/>
      <c r="M996" s="250"/>
      <c r="N996" s="250"/>
      <c r="O996" s="250"/>
      <c r="P996" s="250"/>
      <c r="Q996" s="250"/>
      <c r="R996" s="250"/>
      <c r="S996" s="250"/>
      <c r="T996" s="250"/>
      <c r="U996" s="250"/>
      <c r="V996" s="250"/>
      <c r="W996" s="250"/>
      <c r="X996" s="250"/>
      <c r="Y996" s="250"/>
      <c r="Z996" s="250"/>
    </row>
    <row r="997" ht="14.25" customHeight="1">
      <c r="A997" s="250"/>
      <c r="B997" s="250"/>
      <c r="C997" s="250"/>
      <c r="D997" s="250"/>
      <c r="E997" s="250"/>
      <c r="F997" s="250"/>
      <c r="G997" s="250"/>
      <c r="H997" s="250"/>
      <c r="I997" s="250"/>
      <c r="J997" s="250"/>
      <c r="K997" s="250"/>
      <c r="L997" s="250"/>
      <c r="M997" s="250"/>
      <c r="N997" s="250"/>
      <c r="O997" s="250"/>
      <c r="P997" s="250"/>
      <c r="Q997" s="250"/>
      <c r="R997" s="250"/>
      <c r="S997" s="250"/>
      <c r="T997" s="250"/>
      <c r="U997" s="250"/>
      <c r="V997" s="250"/>
      <c r="W997" s="250"/>
      <c r="X997" s="250"/>
      <c r="Y997" s="250"/>
      <c r="Z997" s="250"/>
    </row>
    <row r="998" ht="14.25" customHeight="1">
      <c r="A998" s="250"/>
      <c r="B998" s="250"/>
      <c r="C998" s="250"/>
      <c r="D998" s="250"/>
      <c r="E998" s="250"/>
      <c r="F998" s="250"/>
      <c r="G998" s="250"/>
      <c r="H998" s="250"/>
      <c r="I998" s="250"/>
      <c r="J998" s="250"/>
      <c r="K998" s="250"/>
      <c r="L998" s="250"/>
      <c r="M998" s="250"/>
      <c r="N998" s="250"/>
      <c r="O998" s="250"/>
      <c r="P998" s="250"/>
      <c r="Q998" s="250"/>
      <c r="R998" s="250"/>
      <c r="S998" s="250"/>
      <c r="T998" s="250"/>
      <c r="U998" s="250"/>
      <c r="V998" s="250"/>
      <c r="W998" s="250"/>
      <c r="X998" s="250"/>
      <c r="Y998" s="250"/>
      <c r="Z998" s="250"/>
    </row>
    <row r="999" ht="14.25" customHeight="1">
      <c r="A999" s="250"/>
      <c r="B999" s="250"/>
      <c r="C999" s="250"/>
      <c r="D999" s="250"/>
      <c r="E999" s="250"/>
      <c r="F999" s="250"/>
      <c r="G999" s="250"/>
      <c r="H999" s="250"/>
      <c r="I999" s="250"/>
      <c r="J999" s="250"/>
      <c r="K999" s="250"/>
      <c r="L999" s="250"/>
      <c r="M999" s="250"/>
      <c r="N999" s="250"/>
      <c r="O999" s="250"/>
      <c r="P999" s="250"/>
      <c r="Q999" s="250"/>
      <c r="R999" s="250"/>
      <c r="S999" s="250"/>
      <c r="T999" s="250"/>
      <c r="U999" s="250"/>
      <c r="V999" s="250"/>
      <c r="W999" s="250"/>
      <c r="X999" s="250"/>
      <c r="Y999" s="250"/>
      <c r="Z999" s="250"/>
    </row>
    <row r="1000" ht="14.25" customHeight="1">
      <c r="A1000" s="250"/>
      <c r="B1000" s="250"/>
      <c r="C1000" s="250"/>
      <c r="D1000" s="250"/>
      <c r="E1000" s="250"/>
      <c r="F1000" s="250"/>
      <c r="G1000" s="250"/>
      <c r="H1000" s="250"/>
      <c r="I1000" s="250"/>
      <c r="J1000" s="250"/>
      <c r="K1000" s="250"/>
      <c r="L1000" s="250"/>
      <c r="M1000" s="250"/>
      <c r="N1000" s="250"/>
      <c r="O1000" s="250"/>
      <c r="P1000" s="250"/>
      <c r="Q1000" s="250"/>
      <c r="R1000" s="250"/>
      <c r="S1000" s="250"/>
      <c r="T1000" s="250"/>
      <c r="U1000" s="250"/>
      <c r="V1000" s="250"/>
      <c r="W1000" s="250"/>
      <c r="X1000" s="250"/>
      <c r="Y1000" s="250"/>
      <c r="Z1000" s="250"/>
    </row>
  </sheetData>
  <mergeCells count="26">
    <mergeCell ref="A5:I5"/>
    <mergeCell ref="A6:I6"/>
    <mergeCell ref="B9:C10"/>
    <mergeCell ref="D9:D10"/>
    <mergeCell ref="E9:I10"/>
    <mergeCell ref="D11:D12"/>
    <mergeCell ref="E11:I12"/>
    <mergeCell ref="B11:C12"/>
    <mergeCell ref="B13:C13"/>
    <mergeCell ref="C28:D28"/>
    <mergeCell ref="E28:G28"/>
    <mergeCell ref="E29:G29"/>
    <mergeCell ref="E30:G30"/>
    <mergeCell ref="E31:G31"/>
    <mergeCell ref="E39:G39"/>
    <mergeCell ref="C41:D41"/>
    <mergeCell ref="A43:I45"/>
    <mergeCell ref="A48:H49"/>
    <mergeCell ref="A51:F51"/>
    <mergeCell ref="E32:G32"/>
    <mergeCell ref="E33:G33"/>
    <mergeCell ref="E34:G34"/>
    <mergeCell ref="E35:G35"/>
    <mergeCell ref="E36:G36"/>
    <mergeCell ref="E37:G37"/>
    <mergeCell ref="E38:G38"/>
  </mergeCells>
  <printOptions horizontalCentered="1" verticalCentered="1"/>
  <pageMargins bottom="0.5118110236220472" footer="0.0" header="0.0" left="0.5905511811023623" right="0.5905511811023623" top="0.5905511811023623"/>
  <pageSetup paperSize="9" orientation="portrait"/>
  <headerFooter>
    <oddFooter>&amp;L            20601910587 - INVERMIN PAITITI S.A.C.             Otr.Las Terrazas KM.2 Otr. Quebrada El Totoral - Chala - Caraveli - Arequipa&amp;RPágina &amp;P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showGridLines="0" workbookViewId="0"/>
  </sheetViews>
  <sheetFormatPr customHeight="1" defaultColWidth="14.43" defaultRowHeight="15.0"/>
  <cols>
    <col customWidth="1" min="1" max="1" width="10.86"/>
    <col customWidth="1" min="2" max="2" width="14.43"/>
    <col customWidth="1" min="3" max="3" width="12.29"/>
    <col customWidth="1" min="4" max="4" width="13.43"/>
    <col customWidth="1" min="5" max="5" width="13.57"/>
    <col customWidth="1" min="6" max="6" width="14.14"/>
    <col customWidth="1" min="7" max="10" width="8.71"/>
    <col customWidth="1" min="11" max="11" width="11.57"/>
    <col customWidth="1" min="12" max="13" width="8.71"/>
    <col customWidth="1" min="14" max="14" width="9.57"/>
  </cols>
  <sheetData>
    <row r="1" ht="7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3"/>
      <c r="L1" s="141"/>
      <c r="M1" s="2"/>
      <c r="N1" s="2"/>
      <c r="O1" s="2"/>
      <c r="P1" s="2"/>
      <c r="Q1" s="2"/>
      <c r="R1" s="2"/>
      <c r="S1" s="2"/>
      <c r="T1" s="2"/>
      <c r="U1" s="2"/>
    </row>
    <row r="2">
      <c r="A2" s="2"/>
      <c r="B2" s="2" t="s">
        <v>1009</v>
      </c>
      <c r="C2" s="418">
        <v>110000.0</v>
      </c>
      <c r="D2" s="2"/>
      <c r="E2" s="2"/>
      <c r="F2" s="2"/>
      <c r="G2" s="2"/>
      <c r="H2" s="2"/>
      <c r="I2" s="2"/>
      <c r="J2" s="2"/>
      <c r="K2" s="3"/>
      <c r="L2" s="141"/>
      <c r="M2" s="2"/>
      <c r="N2" s="2"/>
      <c r="O2" s="2"/>
      <c r="P2" s="2"/>
      <c r="Q2" s="2"/>
      <c r="R2" s="2"/>
      <c r="S2" s="2"/>
      <c r="T2" s="2"/>
      <c r="U2" s="2"/>
    </row>
    <row r="3">
      <c r="A3" s="2"/>
      <c r="B3" s="2" t="s">
        <v>1010</v>
      </c>
      <c r="C3" s="418">
        <v>10.0</v>
      </c>
      <c r="D3" s="2"/>
      <c r="E3" s="2"/>
      <c r="F3" s="2"/>
      <c r="G3" s="2"/>
      <c r="H3" s="2"/>
      <c r="I3" s="2"/>
      <c r="J3" s="2"/>
      <c r="K3" s="3"/>
      <c r="L3" s="141"/>
      <c r="M3" s="2"/>
      <c r="N3" s="59"/>
      <c r="O3" s="2"/>
      <c r="P3" s="2"/>
      <c r="Q3" s="2"/>
      <c r="R3" s="2"/>
      <c r="S3" s="2"/>
      <c r="T3" s="2"/>
      <c r="U3" s="2"/>
    </row>
    <row r="4">
      <c r="A4" s="2"/>
      <c r="B4" s="2" t="s">
        <v>1011</v>
      </c>
      <c r="C4" s="418">
        <v>45.0</v>
      </c>
      <c r="D4" s="2"/>
      <c r="E4" s="2"/>
      <c r="F4" s="2"/>
      <c r="G4" s="2"/>
      <c r="H4" s="2"/>
      <c r="I4" s="2"/>
      <c r="J4" s="2"/>
      <c r="K4" s="3"/>
      <c r="L4" s="141"/>
      <c r="M4" s="2"/>
      <c r="N4" s="59"/>
      <c r="O4" s="2"/>
      <c r="P4" s="2"/>
      <c r="Q4" s="2"/>
      <c r="R4" s="2"/>
      <c r="S4" s="2"/>
      <c r="T4" s="2"/>
      <c r="U4" s="2"/>
    </row>
    <row r="5">
      <c r="A5" s="2"/>
      <c r="B5" s="138" t="s">
        <v>1012</v>
      </c>
      <c r="C5" s="418">
        <v>3300.0</v>
      </c>
      <c r="D5" s="2"/>
      <c r="E5" s="2"/>
      <c r="F5" s="2"/>
      <c r="G5" s="2"/>
      <c r="H5" s="2"/>
      <c r="I5" s="2"/>
      <c r="J5" s="2"/>
      <c r="K5" s="3"/>
      <c r="L5" s="141"/>
      <c r="M5" s="2"/>
      <c r="N5" s="59"/>
      <c r="O5" s="2"/>
      <c r="P5" s="2"/>
      <c r="Q5" s="2"/>
      <c r="R5" s="2"/>
      <c r="S5" s="2"/>
      <c r="T5" s="2"/>
      <c r="U5" s="2"/>
    </row>
    <row r="6">
      <c r="A6" s="2"/>
      <c r="B6" s="138" t="s">
        <v>1013</v>
      </c>
      <c r="C6" s="419">
        <v>20.0</v>
      </c>
      <c r="F6" s="2"/>
      <c r="G6" s="2"/>
      <c r="H6" s="2"/>
      <c r="I6" s="2"/>
      <c r="J6" s="2"/>
      <c r="K6" s="3"/>
      <c r="L6" s="141"/>
      <c r="M6" s="2"/>
      <c r="N6" s="59"/>
      <c r="O6" s="2"/>
      <c r="P6" s="2"/>
      <c r="Q6" s="2"/>
      <c r="R6" s="2"/>
      <c r="S6" s="2"/>
      <c r="T6" s="2"/>
      <c r="U6" s="2"/>
    </row>
    <row r="7">
      <c r="A7" s="2"/>
      <c r="B7" s="138" t="s">
        <v>1014</v>
      </c>
      <c r="C7" s="420">
        <v>1.1023</v>
      </c>
      <c r="F7" s="2"/>
      <c r="G7" s="2"/>
      <c r="H7" s="2"/>
      <c r="I7" s="2"/>
      <c r="J7" s="2"/>
      <c r="M7" s="2"/>
      <c r="N7" s="59"/>
      <c r="O7" s="2"/>
      <c r="P7" s="2"/>
      <c r="Q7" s="2"/>
      <c r="R7" s="2"/>
      <c r="S7" s="2"/>
      <c r="T7" s="2"/>
      <c r="U7" s="2"/>
    </row>
    <row r="8">
      <c r="A8" s="2"/>
      <c r="B8" s="421" t="s">
        <v>1015</v>
      </c>
      <c r="C8" s="422">
        <v>0.89</v>
      </c>
      <c r="F8" s="2"/>
      <c r="G8" s="2"/>
      <c r="H8" s="2"/>
      <c r="I8" s="2"/>
      <c r="J8" s="2"/>
      <c r="M8" s="2"/>
      <c r="N8" s="59"/>
      <c r="O8" s="2"/>
      <c r="P8" s="2"/>
      <c r="Q8" s="2"/>
      <c r="R8" s="2"/>
      <c r="S8" s="2"/>
      <c r="T8" s="2"/>
      <c r="U8" s="2"/>
    </row>
    <row r="9">
      <c r="A9" s="2"/>
      <c r="B9" s="138" t="s">
        <v>1016</v>
      </c>
      <c r="C9" s="422">
        <v>0.89</v>
      </c>
      <c r="F9" s="2"/>
      <c r="G9" s="2"/>
      <c r="H9" s="2"/>
      <c r="I9" s="2"/>
      <c r="J9" s="2"/>
      <c r="M9" s="2"/>
      <c r="N9" s="59"/>
      <c r="O9" s="2"/>
      <c r="P9" s="2"/>
      <c r="Q9" s="2"/>
      <c r="R9" s="2"/>
      <c r="S9" s="2"/>
      <c r="T9" s="2"/>
      <c r="U9" s="2"/>
    </row>
    <row r="10">
      <c r="A10" s="2"/>
      <c r="B10" s="138" t="s">
        <v>1017</v>
      </c>
      <c r="C10" s="420">
        <v>0.995</v>
      </c>
      <c r="F10" s="2"/>
      <c r="G10" s="2"/>
      <c r="H10" s="2"/>
      <c r="I10" s="2"/>
      <c r="J10" s="2"/>
      <c r="M10" s="2"/>
      <c r="N10" s="59"/>
      <c r="O10" s="2"/>
      <c r="P10" s="2"/>
      <c r="Q10" s="2"/>
      <c r="R10" s="2"/>
      <c r="S10" s="2"/>
      <c r="T10" s="2"/>
      <c r="U10" s="2"/>
    </row>
    <row r="11">
      <c r="A11" s="2"/>
      <c r="B11" s="138" t="s">
        <v>1018</v>
      </c>
      <c r="C11" s="419">
        <v>100.0</v>
      </c>
      <c r="F11" s="2"/>
      <c r="G11" s="2"/>
      <c r="H11" s="2"/>
      <c r="I11" s="2"/>
      <c r="J11" s="2"/>
      <c r="M11" s="2"/>
      <c r="N11" s="59"/>
      <c r="O11" s="2"/>
      <c r="P11" s="2"/>
      <c r="Q11" s="2"/>
      <c r="R11" s="2"/>
      <c r="S11" s="2"/>
      <c r="T11" s="2"/>
      <c r="U11" s="2"/>
    </row>
    <row r="12">
      <c r="A12" s="2"/>
      <c r="B12" s="138" t="s">
        <v>1019</v>
      </c>
      <c r="C12" s="423">
        <v>1200.0</v>
      </c>
      <c r="F12" s="2"/>
      <c r="G12" s="2"/>
      <c r="H12" s="2"/>
      <c r="I12" s="2"/>
      <c r="J12" s="2"/>
      <c r="K12" s="3"/>
      <c r="L12" s="141"/>
      <c r="M12" s="2"/>
      <c r="N12" s="59"/>
      <c r="O12" s="2"/>
      <c r="P12" s="2"/>
      <c r="Q12" s="2"/>
      <c r="R12" s="2"/>
      <c r="S12" s="2"/>
      <c r="T12" s="2"/>
      <c r="U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3"/>
      <c r="L13" s="141"/>
      <c r="M13" s="2"/>
      <c r="N13" s="59"/>
      <c r="O13" s="2"/>
      <c r="P13" s="2"/>
      <c r="Q13" s="2"/>
      <c r="R13" s="2"/>
      <c r="S13" s="2"/>
      <c r="T13" s="2"/>
      <c r="U13" s="2"/>
    </row>
    <row r="14" ht="16.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3"/>
      <c r="L14" s="141"/>
      <c r="M14" s="2"/>
      <c r="N14" s="59"/>
      <c r="O14" s="2"/>
      <c r="P14" s="2"/>
      <c r="Q14" s="2"/>
      <c r="R14" s="2"/>
      <c r="S14" s="2"/>
      <c r="T14" s="2"/>
      <c r="U14" s="2"/>
    </row>
    <row r="15">
      <c r="A15" s="2"/>
      <c r="B15" s="138" t="s">
        <v>1020</v>
      </c>
      <c r="C15" s="2" t="s">
        <v>1021</v>
      </c>
      <c r="D15" s="3" t="s">
        <v>1022</v>
      </c>
      <c r="E15" s="3" t="s">
        <v>1023</v>
      </c>
      <c r="F15" s="3" t="s">
        <v>1024</v>
      </c>
      <c r="G15" s="2"/>
      <c r="H15" s="2"/>
      <c r="I15" s="2"/>
      <c r="J15" s="2"/>
      <c r="K15" s="3"/>
      <c r="L15" s="141"/>
      <c r="M15" s="2"/>
      <c r="N15" s="59"/>
      <c r="O15" s="2"/>
      <c r="P15" s="2"/>
      <c r="Q15" s="2"/>
      <c r="R15" s="2"/>
      <c r="S15" s="2"/>
      <c r="T15" s="2"/>
      <c r="U15" s="2"/>
    </row>
    <row r="16" ht="15.75" customHeight="1">
      <c r="A16" s="2"/>
      <c r="B16" s="58" t="str">
        <f>IFERROR(__xludf.DUMMYFUNCTION("SPARKLINE(Graph!C16, {""charttype"",""line"";""color"",""#0070c0"";""empty"",""ignore"";""nan"",""convert""})"),"#REF!")</f>
        <v>#REF!</v>
      </c>
      <c r="C16" s="424" t="str">
        <f t="shared" ref="C16:C25" si="1">+D16-E16-F16</f>
        <v>#REF!</v>
      </c>
      <c r="D16" s="65" t="str">
        <f t="shared" ref="D16:D25" si="2">+C$9*B16*C$5*C$10*C$12*C$7</f>
        <v>#REF!</v>
      </c>
      <c r="E16" s="65" t="str">
        <f t="shared" ref="E16:E25" si="3">+((B16*C$8*(C$5-C$11))-(((B16*100)+80)+C$6))*C$7*C$12</f>
        <v>#REF!</v>
      </c>
      <c r="F16" s="425">
        <f t="shared" ref="F16:F25" si="4">+(C$2)+(C$3*C$12)+(C$4*C$12)</f>
        <v>176000</v>
      </c>
      <c r="G16" s="2"/>
      <c r="H16" s="2"/>
      <c r="I16" s="2"/>
      <c r="J16" s="2"/>
      <c r="K16" s="3"/>
      <c r="L16" s="141"/>
      <c r="M16" s="2"/>
      <c r="N16" s="6"/>
      <c r="O16" s="2"/>
      <c r="P16" s="2"/>
      <c r="Q16" s="2"/>
      <c r="R16" s="2"/>
      <c r="S16" s="2"/>
      <c r="T16" s="2"/>
      <c r="U16" s="2"/>
    </row>
    <row r="17" ht="16.5" customHeight="1">
      <c r="A17" s="2"/>
      <c r="B17" s="58" t="str">
        <f>IFERROR(__xludf.DUMMYFUNCTION("SPARKLINE(Graph!C17, {""charttype"",""line"";""color"",""#0070c0"";""empty"",""ignore"";""nan"",""convert""})"),"#REF!")</f>
        <v>#REF!</v>
      </c>
      <c r="C17" s="424" t="str">
        <f t="shared" si="1"/>
        <v>#REF!</v>
      </c>
      <c r="D17" s="65" t="str">
        <f t="shared" si="2"/>
        <v>#REF!</v>
      </c>
      <c r="E17" s="65" t="str">
        <f t="shared" si="3"/>
        <v>#REF!</v>
      </c>
      <c r="F17" s="425">
        <f t="shared" si="4"/>
        <v>176000</v>
      </c>
      <c r="G17" s="2"/>
      <c r="H17" s="2"/>
      <c r="I17" s="2"/>
      <c r="J17" s="2"/>
      <c r="K17" s="3"/>
      <c r="L17" s="141"/>
      <c r="M17" s="2"/>
      <c r="N17" s="6"/>
      <c r="O17" s="2"/>
      <c r="P17" s="2"/>
      <c r="Q17" s="2"/>
      <c r="R17" s="2"/>
      <c r="S17" s="2"/>
      <c r="T17" s="2"/>
      <c r="U17" s="2"/>
    </row>
    <row r="18">
      <c r="A18" s="2"/>
      <c r="B18" s="58" t="str">
        <f>IFERROR(__xludf.DUMMYFUNCTION("SPARKLINE(Graph!C18, {""charttype"",""line"";""color"",""#0070c0"";""empty"",""ignore"";""nan"",""convert""})"),"#REF!")</f>
        <v>#REF!</v>
      </c>
      <c r="C18" s="424" t="str">
        <f t="shared" si="1"/>
        <v>#REF!</v>
      </c>
      <c r="D18" s="65" t="str">
        <f t="shared" si="2"/>
        <v>#REF!</v>
      </c>
      <c r="E18" s="65" t="str">
        <f t="shared" si="3"/>
        <v>#REF!</v>
      </c>
      <c r="F18" s="425">
        <f t="shared" si="4"/>
        <v>176000</v>
      </c>
      <c r="G18" s="2"/>
      <c r="H18" s="2"/>
      <c r="I18" s="2"/>
      <c r="J18" s="2"/>
      <c r="K18" s="3"/>
      <c r="L18" s="141"/>
      <c r="M18" s="2"/>
      <c r="N18" s="6"/>
      <c r="O18" s="2"/>
      <c r="P18" s="2"/>
      <c r="Q18" s="2"/>
      <c r="R18" s="2"/>
      <c r="S18" s="2"/>
      <c r="T18" s="2"/>
      <c r="U18" s="2"/>
    </row>
    <row r="19">
      <c r="A19" s="2"/>
      <c r="B19" s="58" t="str">
        <f>IFERROR(__xludf.DUMMYFUNCTION("SPARKLINE(Graph!C19, {""charttype"",""line"";""color"",""#0070c0"";""empty"",""ignore"";""nan"",""convert""})"),"#REF!")</f>
        <v>#REF!</v>
      </c>
      <c r="C19" s="424" t="str">
        <f t="shared" si="1"/>
        <v>#REF!</v>
      </c>
      <c r="D19" s="65" t="str">
        <f t="shared" si="2"/>
        <v>#REF!</v>
      </c>
      <c r="E19" s="65" t="str">
        <f t="shared" si="3"/>
        <v>#REF!</v>
      </c>
      <c r="F19" s="425">
        <f t="shared" si="4"/>
        <v>176000</v>
      </c>
      <c r="G19" s="2"/>
      <c r="H19" s="2"/>
      <c r="I19" s="2"/>
      <c r="J19" s="2"/>
      <c r="K19" s="3"/>
      <c r="L19" s="141"/>
      <c r="M19" s="2"/>
      <c r="N19" s="6"/>
      <c r="O19" s="2"/>
      <c r="P19" s="2"/>
      <c r="Q19" s="2"/>
      <c r="R19" s="2"/>
      <c r="S19" s="2"/>
      <c r="T19" s="2"/>
      <c r="U19" s="2"/>
    </row>
    <row r="20">
      <c r="A20" s="2"/>
      <c r="B20" s="58" t="str">
        <f>IFERROR(__xludf.DUMMYFUNCTION("SPARKLINE(Graph!C20, {""charttype"",""line"";""color"",""#0070c0"";""empty"",""ignore"";""nan"",""convert""})"),"#REF!")</f>
        <v>#REF!</v>
      </c>
      <c r="C20" s="424" t="str">
        <f t="shared" si="1"/>
        <v>#REF!</v>
      </c>
      <c r="D20" s="65" t="str">
        <f t="shared" si="2"/>
        <v>#REF!</v>
      </c>
      <c r="E20" s="65" t="str">
        <f t="shared" si="3"/>
        <v>#REF!</v>
      </c>
      <c r="F20" s="425">
        <f t="shared" si="4"/>
        <v>176000</v>
      </c>
      <c r="G20" s="2"/>
      <c r="H20" s="2"/>
      <c r="I20" s="2"/>
      <c r="J20" s="2"/>
      <c r="K20" s="3"/>
      <c r="L20" s="141"/>
      <c r="M20" s="2"/>
      <c r="N20" s="6"/>
      <c r="O20" s="2"/>
      <c r="P20" s="2"/>
      <c r="Q20" s="2"/>
      <c r="R20" s="2"/>
      <c r="S20" s="2"/>
      <c r="T20" s="2"/>
      <c r="U20" s="2"/>
    </row>
    <row r="21" ht="15.75" customHeight="1">
      <c r="A21" s="2"/>
      <c r="B21" s="58" t="str">
        <f>IFERROR(__xludf.DUMMYFUNCTION("SPARKLINE(Graph!C21, {""charttype"",""line"";""color"",""#0070c0"";""empty"",""ignore"";""nan"",""convert""})"),"#REF!")</f>
        <v>#REF!</v>
      </c>
      <c r="C21" s="424" t="str">
        <f t="shared" si="1"/>
        <v>#REF!</v>
      </c>
      <c r="D21" s="65" t="str">
        <f t="shared" si="2"/>
        <v>#REF!</v>
      </c>
      <c r="E21" s="65" t="str">
        <f t="shared" si="3"/>
        <v>#REF!</v>
      </c>
      <c r="F21" s="425">
        <f t="shared" si="4"/>
        <v>176000</v>
      </c>
      <c r="G21" s="2"/>
      <c r="H21" s="2"/>
      <c r="I21" s="2"/>
      <c r="J21" s="2"/>
      <c r="K21" s="3"/>
      <c r="L21" s="141"/>
      <c r="M21" s="2"/>
      <c r="N21" s="6"/>
      <c r="O21" s="2"/>
      <c r="P21" s="2"/>
      <c r="Q21" s="2"/>
      <c r="R21" s="2"/>
      <c r="S21" s="2"/>
      <c r="T21" s="2"/>
      <c r="U21" s="2"/>
    </row>
    <row r="22" ht="16.5" customHeight="1">
      <c r="B22" s="58" t="str">
        <f>IFERROR(__xludf.DUMMYFUNCTION("SPARKLINE(Graph!C22, {""charttype"",""line"";""color"",""#0070c0"";""empty"",""ignore"";""nan"",""convert""})"),"#REF!")</f>
        <v>#REF!</v>
      </c>
      <c r="C22" s="424" t="str">
        <f t="shared" si="1"/>
        <v>#REF!</v>
      </c>
      <c r="D22" s="65" t="str">
        <f t="shared" si="2"/>
        <v>#REF!</v>
      </c>
      <c r="E22" s="65" t="str">
        <f t="shared" si="3"/>
        <v>#REF!</v>
      </c>
      <c r="F22" s="425">
        <f t="shared" si="4"/>
        <v>176000</v>
      </c>
      <c r="K22" s="3"/>
      <c r="L22" s="141"/>
      <c r="N22" s="6"/>
      <c r="O22" s="2"/>
      <c r="P22" s="2"/>
      <c r="Q22" s="2"/>
      <c r="R22" s="2"/>
      <c r="S22" s="2"/>
      <c r="T22" s="2"/>
      <c r="U22" s="2"/>
    </row>
    <row r="23" ht="15.75" customHeight="1">
      <c r="B23" s="58" t="str">
        <f>IFERROR(__xludf.DUMMYFUNCTION("SPARKLINE(Graph!C23, {""charttype"",""line"";""color"",""#0070c0"";""empty"",""ignore"";""nan"",""convert""})"),"#REF!")</f>
        <v>#REF!</v>
      </c>
      <c r="C23" s="424" t="str">
        <f t="shared" si="1"/>
        <v>#REF!</v>
      </c>
      <c r="D23" s="65" t="str">
        <f t="shared" si="2"/>
        <v>#REF!</v>
      </c>
      <c r="E23" s="65" t="str">
        <f t="shared" si="3"/>
        <v>#REF!</v>
      </c>
      <c r="F23" s="425">
        <f t="shared" si="4"/>
        <v>176000</v>
      </c>
      <c r="K23" s="3"/>
      <c r="L23" s="141"/>
      <c r="N23" s="6"/>
      <c r="O23" s="2"/>
      <c r="P23" s="2"/>
      <c r="Q23" s="2"/>
      <c r="R23" s="2"/>
      <c r="S23" s="2"/>
      <c r="T23" s="2"/>
      <c r="U23" s="2"/>
    </row>
    <row r="24" ht="15.75" customHeight="1">
      <c r="B24" s="58" t="str">
        <f>IFERROR(__xludf.DUMMYFUNCTION("SPARKLINE(Graph!C24, {""charttype"",""line"";""color"",""#0070c0"";""empty"",""ignore"";""nan"",""convert""})"),"#REF!")</f>
        <v>#REF!</v>
      </c>
      <c r="C24" s="424" t="str">
        <f t="shared" si="1"/>
        <v>#REF!</v>
      </c>
      <c r="D24" s="65" t="str">
        <f t="shared" si="2"/>
        <v>#REF!</v>
      </c>
      <c r="E24" s="65" t="str">
        <f t="shared" si="3"/>
        <v>#REF!</v>
      </c>
      <c r="F24" s="425">
        <f t="shared" si="4"/>
        <v>176000</v>
      </c>
      <c r="K24" s="3"/>
      <c r="L24" s="141"/>
      <c r="N24" s="6"/>
      <c r="O24" s="2"/>
      <c r="P24" s="2"/>
      <c r="Q24" s="2"/>
      <c r="R24" s="2"/>
      <c r="S24" s="2"/>
      <c r="T24" s="2"/>
      <c r="U24" s="2"/>
    </row>
    <row r="25" ht="15.0" customHeight="1">
      <c r="B25" s="58" t="str">
        <f>IFERROR(__xludf.DUMMYFUNCTION("SPARKLINE(Graph!C25, {""charttype"",""line"";""color"",""#0070c0"";""empty"",""ignore"";""nan"",""convert""})"),"#REF!")</f>
        <v>#REF!</v>
      </c>
      <c r="C25" s="424" t="str">
        <f t="shared" si="1"/>
        <v>#REF!</v>
      </c>
      <c r="D25" s="65" t="str">
        <f t="shared" si="2"/>
        <v>#REF!</v>
      </c>
      <c r="E25" s="65" t="str">
        <f t="shared" si="3"/>
        <v>#REF!</v>
      </c>
      <c r="F25" s="425">
        <f t="shared" si="4"/>
        <v>176000</v>
      </c>
      <c r="K25" s="3"/>
      <c r="L25" s="141"/>
      <c r="N25" s="6"/>
      <c r="O25" s="2"/>
      <c r="P25" s="2"/>
      <c r="Q25" s="2"/>
      <c r="R25" s="2"/>
      <c r="S25" s="2"/>
      <c r="T25" s="2"/>
      <c r="U25" s="2"/>
    </row>
    <row r="26" ht="15.75" customHeight="1">
      <c r="K26" s="3"/>
      <c r="L26" s="141"/>
      <c r="N26" s="6"/>
      <c r="O26" s="2"/>
      <c r="P26" s="2"/>
      <c r="Q26" s="2"/>
      <c r="R26" s="2"/>
      <c r="S26" s="2"/>
      <c r="T26" s="2"/>
      <c r="U26" s="2"/>
    </row>
    <row r="27" ht="15.75" customHeight="1">
      <c r="K27" s="3"/>
      <c r="L27" s="141"/>
      <c r="N27" s="2"/>
      <c r="O27" s="2"/>
      <c r="P27" s="2"/>
      <c r="Q27" s="2"/>
      <c r="R27" s="2"/>
      <c r="S27" s="2"/>
      <c r="T27" s="2"/>
      <c r="U27" s="2"/>
    </row>
    <row r="28" ht="15.75" customHeight="1">
      <c r="K28" s="3"/>
      <c r="L28" s="141"/>
      <c r="N28" s="2"/>
      <c r="O28" s="2"/>
      <c r="P28" s="2"/>
      <c r="Q28" s="2"/>
      <c r="R28" s="2"/>
      <c r="S28" s="2"/>
      <c r="T28" s="2"/>
      <c r="U28" s="2"/>
    </row>
    <row r="29" ht="15.75" customHeight="1">
      <c r="K29" s="3"/>
      <c r="L29" s="141"/>
      <c r="N29" s="2"/>
      <c r="O29" s="2"/>
      <c r="P29" s="2"/>
      <c r="Q29" s="2"/>
      <c r="R29" s="2"/>
      <c r="S29" s="2"/>
      <c r="T29" s="2"/>
      <c r="U29" s="2"/>
    </row>
    <row r="30" ht="15.75" customHeight="1">
      <c r="K30" s="3"/>
      <c r="L30" s="141"/>
      <c r="N30" s="2"/>
      <c r="O30" s="2"/>
      <c r="P30" s="2"/>
      <c r="Q30" s="2"/>
      <c r="R30" s="2"/>
      <c r="S30" s="2"/>
      <c r="T30" s="2"/>
      <c r="U30" s="2"/>
    </row>
    <row r="31" ht="15.75" customHeight="1">
      <c r="K31" s="3"/>
      <c r="L31" s="141"/>
      <c r="N31" s="2"/>
      <c r="O31" s="2"/>
      <c r="P31" s="2"/>
      <c r="Q31" s="2"/>
      <c r="R31" s="2"/>
      <c r="S31" s="2"/>
      <c r="T31" s="2"/>
      <c r="U31" s="2"/>
    </row>
    <row r="32" ht="15.75" customHeight="1">
      <c r="K32" s="3"/>
      <c r="L32" s="141"/>
      <c r="N32" s="2"/>
      <c r="O32" s="2"/>
      <c r="P32" s="2"/>
      <c r="Q32" s="2"/>
      <c r="R32" s="2"/>
      <c r="S32" s="2"/>
      <c r="T32" s="2"/>
      <c r="U32" s="2"/>
    </row>
    <row r="33" ht="15.75" customHeight="1">
      <c r="K33" s="3"/>
      <c r="L33" s="141"/>
      <c r="N33" s="2"/>
      <c r="O33" s="2"/>
      <c r="P33" s="2"/>
      <c r="Q33" s="2"/>
      <c r="R33" s="2"/>
      <c r="S33" s="2"/>
      <c r="T33" s="2"/>
      <c r="U33" s="2"/>
    </row>
    <row r="34" ht="15.75" customHeight="1">
      <c r="K34" s="3"/>
      <c r="L34" s="141"/>
      <c r="N34" s="2"/>
      <c r="O34" s="2"/>
      <c r="P34" s="2"/>
      <c r="Q34" s="2"/>
      <c r="R34" s="2"/>
      <c r="S34" s="2"/>
      <c r="T34" s="2"/>
      <c r="U34" s="2"/>
    </row>
    <row r="35" ht="15.75" customHeight="1">
      <c r="K35" s="3"/>
      <c r="L35" s="141"/>
      <c r="N35" s="2"/>
      <c r="O35" s="2"/>
      <c r="P35" s="2"/>
      <c r="Q35" s="2"/>
      <c r="R35" s="2"/>
      <c r="S35" s="2"/>
      <c r="T35" s="2"/>
      <c r="U35" s="2"/>
    </row>
    <row r="36" ht="15.75" customHeight="1">
      <c r="K36" s="3"/>
      <c r="L36" s="141"/>
      <c r="N36" s="2"/>
      <c r="O36" s="2"/>
      <c r="P36" s="2"/>
      <c r="Q36" s="2"/>
      <c r="R36" s="2"/>
      <c r="S36" s="2"/>
      <c r="T36" s="2"/>
      <c r="U36" s="2"/>
    </row>
    <row r="37" ht="15.75" customHeight="1">
      <c r="K37" s="3"/>
      <c r="L37" s="141"/>
      <c r="N37" s="2"/>
      <c r="O37" s="2"/>
      <c r="P37" s="2"/>
      <c r="Q37" s="2"/>
      <c r="R37" s="2"/>
      <c r="S37" s="2"/>
      <c r="T37" s="2"/>
      <c r="U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3"/>
      <c r="L38" s="141"/>
      <c r="M38" s="2"/>
      <c r="N38" s="2"/>
      <c r="O38" s="2"/>
      <c r="P38" s="2"/>
      <c r="Q38" s="2"/>
      <c r="R38" s="2"/>
      <c r="S38" s="2"/>
      <c r="T38" s="2"/>
      <c r="U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3"/>
      <c r="L39" s="141"/>
      <c r="M39" s="2"/>
      <c r="N39" s="2"/>
      <c r="O39" s="2"/>
      <c r="P39" s="2"/>
      <c r="Q39" s="2"/>
      <c r="R39" s="2"/>
      <c r="S39" s="2"/>
      <c r="T39" s="2"/>
      <c r="U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3"/>
      <c r="L40" s="141"/>
      <c r="M40" s="2"/>
      <c r="N40" s="2"/>
      <c r="O40" s="2"/>
      <c r="P40" s="2"/>
      <c r="Q40" s="2"/>
      <c r="R40" s="2"/>
      <c r="S40" s="2"/>
      <c r="T40" s="2"/>
      <c r="U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3"/>
      <c r="L41" s="141"/>
      <c r="M41" s="2"/>
      <c r="N41" s="2"/>
      <c r="O41" s="2"/>
      <c r="P41" s="2"/>
      <c r="Q41" s="2"/>
      <c r="R41" s="2"/>
      <c r="S41" s="2"/>
      <c r="T41" s="2"/>
      <c r="U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3"/>
      <c r="L42" s="141"/>
      <c r="M42" s="2"/>
      <c r="N42" s="2"/>
      <c r="O42" s="2"/>
      <c r="P42" s="2"/>
      <c r="Q42" s="2"/>
      <c r="R42" s="2"/>
      <c r="S42" s="2"/>
      <c r="T42" s="2"/>
      <c r="U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3"/>
      <c r="L43" s="141"/>
      <c r="M43" s="2"/>
      <c r="N43" s="2"/>
      <c r="O43" s="2"/>
      <c r="P43" s="2"/>
      <c r="Q43" s="2"/>
      <c r="R43" s="2"/>
      <c r="S43" s="2"/>
      <c r="T43" s="2"/>
      <c r="U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3"/>
      <c r="L44" s="141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3"/>
      <c r="L45" s="141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3"/>
      <c r="L46" s="141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3"/>
      <c r="L47" s="141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3"/>
      <c r="L48" s="141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3"/>
      <c r="L49" s="141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3"/>
      <c r="L50" s="141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3"/>
      <c r="L51" s="141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3"/>
      <c r="L52" s="141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3"/>
      <c r="L53" s="141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3"/>
      <c r="L54" s="141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3"/>
      <c r="L55" s="141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3"/>
      <c r="L56" s="141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3"/>
      <c r="L57" s="141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3"/>
      <c r="L58" s="141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3"/>
      <c r="L59" s="141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3"/>
      <c r="L60" s="141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3"/>
      <c r="L61" s="141"/>
      <c r="M61" s="2"/>
      <c r="N61" s="2"/>
      <c r="O61" s="2"/>
      <c r="P61" s="2"/>
      <c r="Q61" s="2"/>
      <c r="R61" s="2"/>
      <c r="S61" s="2"/>
      <c r="T61" s="2"/>
      <c r="U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3"/>
      <c r="L62" s="141"/>
      <c r="M62" s="2"/>
      <c r="N62" s="2"/>
      <c r="O62" s="2"/>
      <c r="P62" s="2"/>
      <c r="Q62" s="2"/>
      <c r="R62" s="2"/>
      <c r="S62" s="2"/>
      <c r="T62" s="2"/>
      <c r="U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3"/>
      <c r="L63" s="141"/>
      <c r="M63" s="2"/>
      <c r="N63" s="2"/>
      <c r="O63" s="2"/>
      <c r="P63" s="2"/>
      <c r="Q63" s="2"/>
      <c r="R63" s="2"/>
      <c r="S63" s="2"/>
      <c r="T63" s="2"/>
      <c r="U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3"/>
      <c r="L64" s="141"/>
      <c r="M64" s="2"/>
      <c r="N64" s="2"/>
      <c r="O64" s="2"/>
      <c r="P64" s="2"/>
      <c r="Q64" s="2"/>
      <c r="R64" s="2"/>
      <c r="S64" s="2"/>
      <c r="T64" s="2"/>
      <c r="U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3"/>
      <c r="L65" s="141"/>
      <c r="M65" s="2"/>
      <c r="N65" s="2"/>
      <c r="O65" s="2"/>
      <c r="P65" s="2"/>
      <c r="Q65" s="2"/>
      <c r="R65" s="2"/>
      <c r="S65" s="2"/>
      <c r="T65" s="2"/>
      <c r="U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3"/>
      <c r="L66" s="141"/>
      <c r="M66" s="2"/>
      <c r="N66" s="2"/>
      <c r="O66" s="2"/>
      <c r="P66" s="2"/>
      <c r="Q66" s="2"/>
      <c r="R66" s="2"/>
      <c r="S66" s="2"/>
      <c r="T66" s="2"/>
      <c r="U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3"/>
      <c r="L67" s="141"/>
      <c r="M67" s="2"/>
      <c r="N67" s="2"/>
      <c r="O67" s="2"/>
      <c r="P67" s="2"/>
      <c r="Q67" s="2"/>
      <c r="R67" s="2"/>
      <c r="S67" s="2"/>
      <c r="T67" s="2"/>
      <c r="U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3"/>
      <c r="L68" s="141"/>
      <c r="M68" s="2"/>
      <c r="N68" s="2"/>
      <c r="O68" s="2"/>
      <c r="P68" s="2"/>
      <c r="Q68" s="2"/>
      <c r="R68" s="2"/>
      <c r="S68" s="2"/>
      <c r="T68" s="2"/>
      <c r="U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3"/>
      <c r="L69" s="141"/>
      <c r="M69" s="2"/>
      <c r="N69" s="2"/>
      <c r="O69" s="2"/>
      <c r="P69" s="2"/>
      <c r="Q69" s="2"/>
      <c r="R69" s="2"/>
      <c r="S69" s="2"/>
      <c r="T69" s="2"/>
      <c r="U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3"/>
      <c r="L70" s="141"/>
      <c r="M70" s="2"/>
      <c r="N70" s="2"/>
      <c r="O70" s="2"/>
      <c r="P70" s="2"/>
      <c r="Q70" s="2"/>
      <c r="R70" s="2"/>
      <c r="S70" s="2"/>
      <c r="T70" s="2"/>
      <c r="U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3"/>
      <c r="L71" s="141"/>
      <c r="M71" s="2"/>
      <c r="N71" s="2"/>
      <c r="O71" s="2"/>
      <c r="P71" s="2"/>
      <c r="Q71" s="2"/>
      <c r="R71" s="2"/>
      <c r="S71" s="2"/>
      <c r="T71" s="2"/>
      <c r="U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3"/>
      <c r="L72" s="141"/>
      <c r="M72" s="2"/>
      <c r="N72" s="2"/>
      <c r="O72" s="2"/>
      <c r="P72" s="2"/>
      <c r="Q72" s="2"/>
      <c r="R72" s="2"/>
      <c r="S72" s="2"/>
      <c r="T72" s="2"/>
      <c r="U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3"/>
      <c r="L73" s="141"/>
      <c r="M73" s="2"/>
      <c r="N73" s="2"/>
      <c r="O73" s="2"/>
      <c r="P73" s="2"/>
      <c r="Q73" s="2"/>
      <c r="R73" s="2"/>
      <c r="S73" s="2"/>
      <c r="T73" s="2"/>
      <c r="U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3"/>
      <c r="L74" s="141"/>
      <c r="M74" s="2"/>
      <c r="N74" s="2"/>
      <c r="O74" s="2"/>
      <c r="P74" s="2"/>
      <c r="Q74" s="2"/>
      <c r="R74" s="2"/>
      <c r="S74" s="2"/>
      <c r="T74" s="2"/>
      <c r="U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3"/>
      <c r="L75" s="141"/>
      <c r="M75" s="2"/>
      <c r="N75" s="2"/>
      <c r="O75" s="2"/>
      <c r="P75" s="2"/>
      <c r="Q75" s="2"/>
      <c r="R75" s="2"/>
      <c r="S75" s="2"/>
      <c r="T75" s="2"/>
      <c r="U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3"/>
      <c r="L76" s="141"/>
      <c r="M76" s="2"/>
      <c r="N76" s="2"/>
      <c r="O76" s="2"/>
      <c r="P76" s="2"/>
      <c r="Q76" s="2"/>
      <c r="R76" s="2"/>
      <c r="S76" s="2"/>
      <c r="T76" s="2"/>
      <c r="U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3"/>
      <c r="L77" s="141"/>
      <c r="M77" s="2"/>
      <c r="N77" s="2"/>
      <c r="O77" s="2"/>
      <c r="P77" s="2"/>
      <c r="Q77" s="2"/>
      <c r="R77" s="2"/>
      <c r="S77" s="2"/>
      <c r="T77" s="2"/>
      <c r="U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3"/>
      <c r="L78" s="141"/>
      <c r="M78" s="2"/>
      <c r="N78" s="2"/>
      <c r="O78" s="2"/>
      <c r="P78" s="2"/>
      <c r="Q78" s="2"/>
      <c r="R78" s="2"/>
      <c r="S78" s="2"/>
      <c r="T78" s="2"/>
      <c r="U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3"/>
      <c r="L79" s="141"/>
      <c r="M79" s="2"/>
      <c r="N79" s="2"/>
      <c r="O79" s="2"/>
      <c r="P79" s="2"/>
      <c r="Q79" s="2"/>
      <c r="R79" s="2"/>
      <c r="S79" s="2"/>
      <c r="T79" s="2"/>
      <c r="U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3"/>
      <c r="L80" s="141"/>
      <c r="M80" s="2"/>
      <c r="N80" s="2"/>
      <c r="O80" s="2"/>
      <c r="P80" s="2"/>
      <c r="Q80" s="2"/>
      <c r="R80" s="2"/>
      <c r="S80" s="2"/>
      <c r="T80" s="2"/>
      <c r="U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3"/>
      <c r="L81" s="141"/>
      <c r="M81" s="2"/>
      <c r="N81" s="2"/>
      <c r="O81" s="2"/>
      <c r="P81" s="2"/>
      <c r="Q81" s="2"/>
      <c r="R81" s="2"/>
      <c r="S81" s="2"/>
      <c r="T81" s="2"/>
      <c r="U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3"/>
      <c r="L82" s="141"/>
      <c r="M82" s="2"/>
      <c r="N82" s="2"/>
      <c r="O82" s="2"/>
      <c r="P82" s="2"/>
      <c r="Q82" s="2"/>
      <c r="R82" s="2"/>
      <c r="S82" s="2"/>
      <c r="T82" s="2"/>
      <c r="U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3"/>
      <c r="L83" s="141"/>
      <c r="M83" s="2"/>
      <c r="N83" s="2"/>
      <c r="O83" s="2"/>
      <c r="P83" s="2"/>
      <c r="Q83" s="2"/>
      <c r="R83" s="2"/>
      <c r="S83" s="2"/>
      <c r="T83" s="2"/>
      <c r="U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3"/>
      <c r="L84" s="141"/>
      <c r="M84" s="2"/>
      <c r="N84" s="2"/>
      <c r="O84" s="2"/>
      <c r="P84" s="2"/>
      <c r="Q84" s="2"/>
      <c r="R84" s="2"/>
      <c r="S84" s="2"/>
      <c r="T84" s="2"/>
      <c r="U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3"/>
      <c r="L85" s="141"/>
      <c r="M85" s="2"/>
      <c r="N85" s="2"/>
      <c r="O85" s="2"/>
      <c r="P85" s="2"/>
      <c r="Q85" s="2"/>
      <c r="R85" s="2"/>
      <c r="S85" s="2"/>
      <c r="T85" s="2"/>
      <c r="U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3"/>
      <c r="L86" s="141"/>
      <c r="M86" s="2"/>
      <c r="N86" s="2"/>
      <c r="O86" s="2"/>
      <c r="P86" s="2"/>
      <c r="Q86" s="2"/>
      <c r="R86" s="2"/>
      <c r="S86" s="2"/>
      <c r="T86" s="2"/>
      <c r="U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3"/>
      <c r="L87" s="141"/>
      <c r="M87" s="2"/>
      <c r="N87" s="2"/>
      <c r="O87" s="2"/>
      <c r="P87" s="2"/>
      <c r="Q87" s="2"/>
      <c r="R87" s="2"/>
      <c r="S87" s="2"/>
      <c r="T87" s="2"/>
      <c r="U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3"/>
      <c r="L88" s="141"/>
      <c r="M88" s="2"/>
      <c r="N88" s="2"/>
      <c r="O88" s="2"/>
      <c r="P88" s="2"/>
      <c r="Q88" s="2"/>
      <c r="R88" s="2"/>
      <c r="S88" s="2"/>
      <c r="T88" s="2"/>
      <c r="U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3"/>
      <c r="L89" s="141"/>
      <c r="M89" s="2"/>
      <c r="N89" s="2"/>
      <c r="O89" s="2"/>
      <c r="P89" s="2"/>
      <c r="Q89" s="2"/>
      <c r="R89" s="2"/>
      <c r="S89" s="2"/>
      <c r="T89" s="2"/>
      <c r="U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3"/>
      <c r="L90" s="141"/>
      <c r="M90" s="2"/>
      <c r="N90" s="2"/>
      <c r="O90" s="2"/>
      <c r="P90" s="2"/>
      <c r="Q90" s="2"/>
      <c r="R90" s="2"/>
      <c r="S90" s="2"/>
      <c r="T90" s="2"/>
      <c r="U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3"/>
      <c r="L91" s="141"/>
      <c r="M91" s="2"/>
      <c r="N91" s="2"/>
      <c r="O91" s="2"/>
      <c r="P91" s="2"/>
      <c r="Q91" s="2"/>
      <c r="R91" s="2"/>
      <c r="S91" s="2"/>
      <c r="T91" s="2"/>
      <c r="U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3"/>
      <c r="L92" s="141"/>
      <c r="M92" s="2"/>
      <c r="N92" s="2"/>
      <c r="O92" s="2"/>
      <c r="P92" s="2"/>
      <c r="Q92" s="2"/>
      <c r="R92" s="2"/>
      <c r="S92" s="2"/>
      <c r="T92" s="2"/>
      <c r="U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3"/>
      <c r="L93" s="141"/>
      <c r="M93" s="2"/>
      <c r="N93" s="2"/>
      <c r="O93" s="2"/>
      <c r="P93" s="2"/>
      <c r="Q93" s="2"/>
      <c r="R93" s="2"/>
      <c r="S93" s="2"/>
      <c r="T93" s="2"/>
      <c r="U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3"/>
      <c r="L94" s="141"/>
      <c r="M94" s="2"/>
      <c r="N94" s="2"/>
      <c r="O94" s="2"/>
      <c r="P94" s="2"/>
      <c r="Q94" s="2"/>
      <c r="R94" s="2"/>
      <c r="S94" s="2"/>
      <c r="T94" s="2"/>
      <c r="U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3"/>
      <c r="L95" s="141"/>
      <c r="M95" s="2"/>
      <c r="N95" s="2"/>
      <c r="O95" s="2"/>
      <c r="P95" s="2"/>
      <c r="Q95" s="2"/>
      <c r="R95" s="2"/>
      <c r="S95" s="2"/>
      <c r="T95" s="2"/>
      <c r="U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3"/>
      <c r="L96" s="141"/>
      <c r="M96" s="2"/>
      <c r="N96" s="2"/>
      <c r="O96" s="2"/>
      <c r="P96" s="2"/>
      <c r="Q96" s="2"/>
      <c r="R96" s="2"/>
      <c r="S96" s="2"/>
      <c r="T96" s="2"/>
      <c r="U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3"/>
      <c r="L97" s="141"/>
      <c r="M97" s="2"/>
      <c r="N97" s="2"/>
      <c r="O97" s="2"/>
      <c r="P97" s="2"/>
      <c r="Q97" s="2"/>
      <c r="R97" s="2"/>
      <c r="S97" s="2"/>
      <c r="T97" s="2"/>
      <c r="U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3"/>
      <c r="L98" s="141"/>
      <c r="M98" s="2"/>
      <c r="N98" s="2"/>
      <c r="O98" s="2"/>
      <c r="P98" s="2"/>
      <c r="Q98" s="2"/>
      <c r="R98" s="2"/>
      <c r="S98" s="2"/>
      <c r="T98" s="2"/>
      <c r="U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3"/>
      <c r="L99" s="141"/>
      <c r="M99" s="2"/>
      <c r="N99" s="2"/>
      <c r="O99" s="2"/>
      <c r="P99" s="2"/>
      <c r="Q99" s="2"/>
      <c r="R99" s="2"/>
      <c r="S99" s="2"/>
      <c r="T99" s="2"/>
      <c r="U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3"/>
      <c r="L100" s="141"/>
      <c r="M100" s="2"/>
      <c r="N100" s="2"/>
      <c r="O100" s="2"/>
      <c r="P100" s="2"/>
      <c r="Q100" s="2"/>
      <c r="R100" s="2"/>
      <c r="S100" s="2"/>
      <c r="T100" s="2"/>
      <c r="U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3"/>
      <c r="L101" s="141"/>
      <c r="M101" s="2"/>
      <c r="N101" s="2"/>
      <c r="O101" s="2"/>
      <c r="P101" s="2"/>
      <c r="Q101" s="2"/>
      <c r="R101" s="2"/>
      <c r="S101" s="2"/>
      <c r="T101" s="2"/>
      <c r="U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3"/>
      <c r="L102" s="141"/>
      <c r="M102" s="2"/>
      <c r="N102" s="2"/>
      <c r="O102" s="2"/>
      <c r="P102" s="2"/>
      <c r="Q102" s="2"/>
      <c r="R102" s="2"/>
      <c r="S102" s="2"/>
      <c r="T102" s="2"/>
      <c r="U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3"/>
      <c r="L103" s="141"/>
      <c r="M103" s="2"/>
      <c r="N103" s="2"/>
      <c r="O103" s="2"/>
      <c r="P103" s="2"/>
      <c r="Q103" s="2"/>
      <c r="R103" s="2"/>
      <c r="S103" s="2"/>
      <c r="T103" s="2"/>
      <c r="U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3"/>
      <c r="L104" s="141"/>
      <c r="M104" s="2"/>
      <c r="N104" s="2"/>
      <c r="O104" s="2"/>
      <c r="P104" s="2"/>
      <c r="Q104" s="2"/>
      <c r="R104" s="2"/>
      <c r="S104" s="2"/>
      <c r="T104" s="2"/>
      <c r="U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3"/>
      <c r="L105" s="141"/>
      <c r="M105" s="2"/>
      <c r="N105" s="2"/>
      <c r="O105" s="2"/>
      <c r="P105" s="2"/>
      <c r="Q105" s="2"/>
      <c r="R105" s="2"/>
      <c r="S105" s="2"/>
      <c r="T105" s="2"/>
      <c r="U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3"/>
      <c r="L106" s="141"/>
      <c r="M106" s="2"/>
      <c r="N106" s="2"/>
      <c r="O106" s="2"/>
      <c r="P106" s="2"/>
      <c r="Q106" s="2"/>
      <c r="R106" s="2"/>
      <c r="S106" s="2"/>
      <c r="T106" s="2"/>
      <c r="U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3"/>
      <c r="L107" s="141"/>
      <c r="M107" s="2"/>
      <c r="N107" s="2"/>
      <c r="O107" s="2"/>
      <c r="P107" s="2"/>
      <c r="Q107" s="2"/>
      <c r="R107" s="2"/>
      <c r="S107" s="2"/>
      <c r="T107" s="2"/>
      <c r="U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3"/>
      <c r="L108" s="141"/>
      <c r="M108" s="2"/>
      <c r="N108" s="2"/>
      <c r="O108" s="2"/>
      <c r="P108" s="2"/>
      <c r="Q108" s="2"/>
      <c r="R108" s="2"/>
      <c r="S108" s="2"/>
      <c r="T108" s="2"/>
      <c r="U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3"/>
      <c r="L109" s="141"/>
      <c r="M109" s="2"/>
      <c r="N109" s="2"/>
      <c r="O109" s="2"/>
      <c r="P109" s="2"/>
      <c r="Q109" s="2"/>
      <c r="R109" s="2"/>
      <c r="S109" s="2"/>
      <c r="T109" s="2"/>
      <c r="U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3"/>
      <c r="L110" s="141"/>
      <c r="M110" s="2"/>
      <c r="N110" s="2"/>
      <c r="O110" s="2"/>
      <c r="P110" s="2"/>
      <c r="Q110" s="2"/>
      <c r="R110" s="2"/>
      <c r="S110" s="2"/>
      <c r="T110" s="2"/>
      <c r="U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3"/>
      <c r="L111" s="141"/>
      <c r="M111" s="2"/>
      <c r="N111" s="2"/>
      <c r="O111" s="2"/>
      <c r="P111" s="2"/>
      <c r="Q111" s="2"/>
      <c r="R111" s="2"/>
      <c r="S111" s="2"/>
      <c r="T111" s="2"/>
      <c r="U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3"/>
      <c r="L112" s="141"/>
      <c r="M112" s="2"/>
      <c r="N112" s="2"/>
      <c r="O112" s="2"/>
      <c r="P112" s="2"/>
      <c r="Q112" s="2"/>
      <c r="R112" s="2"/>
      <c r="S112" s="2"/>
      <c r="T112" s="2"/>
      <c r="U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3"/>
      <c r="L113" s="141"/>
      <c r="M113" s="2"/>
      <c r="N113" s="2"/>
      <c r="O113" s="2"/>
      <c r="P113" s="2"/>
      <c r="Q113" s="2"/>
      <c r="R113" s="2"/>
      <c r="S113" s="2"/>
      <c r="T113" s="2"/>
      <c r="U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3"/>
      <c r="L114" s="141"/>
      <c r="M114" s="2"/>
      <c r="N114" s="2"/>
      <c r="O114" s="2"/>
      <c r="P114" s="2"/>
      <c r="Q114" s="2"/>
      <c r="R114" s="2"/>
      <c r="S114" s="2"/>
      <c r="T114" s="2"/>
      <c r="U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3"/>
      <c r="L115" s="141"/>
      <c r="M115" s="2"/>
      <c r="N115" s="2"/>
      <c r="O115" s="2"/>
      <c r="P115" s="2"/>
      <c r="Q115" s="2"/>
      <c r="R115" s="2"/>
      <c r="S115" s="2"/>
      <c r="T115" s="2"/>
      <c r="U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3"/>
      <c r="L116" s="141"/>
      <c r="M116" s="2"/>
      <c r="N116" s="2"/>
      <c r="O116" s="2"/>
      <c r="P116" s="2"/>
      <c r="Q116" s="2"/>
      <c r="R116" s="2"/>
      <c r="S116" s="2"/>
      <c r="T116" s="2"/>
      <c r="U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3"/>
      <c r="L117" s="141"/>
      <c r="M117" s="2"/>
      <c r="N117" s="2"/>
      <c r="O117" s="2"/>
      <c r="P117" s="2"/>
      <c r="Q117" s="2"/>
      <c r="R117" s="2"/>
      <c r="S117" s="2"/>
      <c r="T117" s="2"/>
      <c r="U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3"/>
      <c r="L118" s="141"/>
      <c r="M118" s="2"/>
      <c r="N118" s="2"/>
      <c r="O118" s="2"/>
      <c r="P118" s="2"/>
      <c r="Q118" s="2"/>
      <c r="R118" s="2"/>
      <c r="S118" s="2"/>
      <c r="T118" s="2"/>
      <c r="U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3"/>
      <c r="L119" s="141"/>
      <c r="M119" s="2"/>
      <c r="N119" s="2"/>
      <c r="O119" s="2"/>
      <c r="P119" s="2"/>
      <c r="Q119" s="2"/>
      <c r="R119" s="2"/>
      <c r="S119" s="2"/>
      <c r="T119" s="2"/>
      <c r="U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3"/>
      <c r="L120" s="141"/>
      <c r="M120" s="2"/>
      <c r="N120" s="2"/>
      <c r="O120" s="2"/>
      <c r="P120" s="2"/>
      <c r="Q120" s="2"/>
      <c r="R120" s="2"/>
      <c r="S120" s="2"/>
      <c r="T120" s="2"/>
      <c r="U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3"/>
      <c r="L121" s="141"/>
      <c r="M121" s="2"/>
      <c r="N121" s="2"/>
      <c r="O121" s="2"/>
      <c r="P121" s="2"/>
      <c r="Q121" s="2"/>
      <c r="R121" s="2"/>
      <c r="S121" s="2"/>
      <c r="T121" s="2"/>
      <c r="U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3"/>
      <c r="L122" s="141"/>
      <c r="M122" s="2"/>
      <c r="N122" s="2"/>
      <c r="O122" s="2"/>
      <c r="P122" s="2"/>
      <c r="Q122" s="2"/>
      <c r="R122" s="2"/>
      <c r="S122" s="2"/>
      <c r="T122" s="2"/>
      <c r="U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3"/>
      <c r="L123" s="141"/>
      <c r="M123" s="2"/>
      <c r="N123" s="2"/>
      <c r="O123" s="2"/>
      <c r="P123" s="2"/>
      <c r="Q123" s="2"/>
      <c r="R123" s="2"/>
      <c r="S123" s="2"/>
      <c r="T123" s="2"/>
      <c r="U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3"/>
      <c r="L124" s="141"/>
      <c r="M124" s="2"/>
      <c r="N124" s="2"/>
      <c r="O124" s="2"/>
      <c r="P124" s="2"/>
      <c r="Q124" s="2"/>
      <c r="R124" s="2"/>
      <c r="S124" s="2"/>
      <c r="T124" s="2"/>
      <c r="U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3"/>
      <c r="L125" s="141"/>
      <c r="M125" s="2"/>
      <c r="N125" s="2"/>
      <c r="O125" s="2"/>
      <c r="P125" s="2"/>
      <c r="Q125" s="2"/>
      <c r="R125" s="2"/>
      <c r="S125" s="2"/>
      <c r="T125" s="2"/>
      <c r="U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3"/>
      <c r="L126" s="141"/>
      <c r="M126" s="2"/>
      <c r="N126" s="2"/>
      <c r="O126" s="2"/>
      <c r="P126" s="2"/>
      <c r="Q126" s="2"/>
      <c r="R126" s="2"/>
      <c r="S126" s="2"/>
      <c r="T126" s="2"/>
      <c r="U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3"/>
      <c r="L127" s="141"/>
      <c r="M127" s="2"/>
      <c r="N127" s="2"/>
      <c r="O127" s="2"/>
      <c r="P127" s="2"/>
      <c r="Q127" s="2"/>
      <c r="R127" s="2"/>
      <c r="S127" s="2"/>
      <c r="T127" s="2"/>
      <c r="U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3"/>
      <c r="L128" s="141"/>
      <c r="M128" s="2"/>
      <c r="N128" s="2"/>
      <c r="O128" s="2"/>
      <c r="P128" s="2"/>
      <c r="Q128" s="2"/>
      <c r="R128" s="2"/>
      <c r="S128" s="2"/>
      <c r="T128" s="2"/>
      <c r="U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3"/>
      <c r="L129" s="141"/>
      <c r="M129" s="2"/>
      <c r="N129" s="2"/>
      <c r="O129" s="2"/>
      <c r="P129" s="2"/>
      <c r="Q129" s="2"/>
      <c r="R129" s="2"/>
      <c r="S129" s="2"/>
      <c r="T129" s="2"/>
      <c r="U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3"/>
      <c r="L130" s="141"/>
      <c r="M130" s="2"/>
      <c r="N130" s="2"/>
      <c r="O130" s="2"/>
      <c r="P130" s="2"/>
      <c r="Q130" s="2"/>
      <c r="R130" s="2"/>
      <c r="S130" s="2"/>
      <c r="T130" s="2"/>
      <c r="U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3"/>
      <c r="L131" s="141"/>
      <c r="M131" s="2"/>
      <c r="N131" s="2"/>
      <c r="O131" s="2"/>
      <c r="P131" s="2"/>
      <c r="Q131" s="2"/>
      <c r="R131" s="2"/>
      <c r="S131" s="2"/>
      <c r="T131" s="2"/>
      <c r="U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3"/>
      <c r="L132" s="141"/>
      <c r="M132" s="2"/>
      <c r="N132" s="2"/>
      <c r="O132" s="2"/>
      <c r="P132" s="2"/>
      <c r="Q132" s="2"/>
      <c r="R132" s="2"/>
      <c r="S132" s="2"/>
      <c r="T132" s="2"/>
      <c r="U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3"/>
      <c r="L133" s="141"/>
      <c r="M133" s="2"/>
      <c r="N133" s="2"/>
      <c r="O133" s="2"/>
      <c r="P133" s="2"/>
      <c r="Q133" s="2"/>
      <c r="R133" s="2"/>
      <c r="S133" s="2"/>
      <c r="T133" s="2"/>
      <c r="U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3"/>
      <c r="L134" s="141"/>
      <c r="M134" s="2"/>
      <c r="N134" s="2"/>
      <c r="O134" s="2"/>
      <c r="P134" s="2"/>
      <c r="Q134" s="2"/>
      <c r="R134" s="2"/>
      <c r="S134" s="2"/>
      <c r="T134" s="2"/>
      <c r="U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3"/>
      <c r="L135" s="141"/>
      <c r="M135" s="2"/>
      <c r="N135" s="2"/>
      <c r="O135" s="2"/>
      <c r="P135" s="2"/>
      <c r="Q135" s="2"/>
      <c r="R135" s="2"/>
      <c r="S135" s="2"/>
      <c r="T135" s="2"/>
      <c r="U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3"/>
      <c r="L136" s="141"/>
      <c r="M136" s="2"/>
      <c r="N136" s="2"/>
      <c r="O136" s="2"/>
      <c r="P136" s="2"/>
      <c r="Q136" s="2"/>
      <c r="R136" s="2"/>
      <c r="S136" s="2"/>
      <c r="T136" s="2"/>
      <c r="U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3"/>
      <c r="L137" s="141"/>
      <c r="M137" s="2"/>
      <c r="N137" s="2"/>
      <c r="O137" s="2"/>
      <c r="P137" s="2"/>
      <c r="Q137" s="2"/>
      <c r="R137" s="2"/>
      <c r="S137" s="2"/>
      <c r="T137" s="2"/>
      <c r="U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3"/>
      <c r="L138" s="141"/>
      <c r="M138" s="2"/>
      <c r="N138" s="2"/>
      <c r="O138" s="2"/>
      <c r="P138" s="2"/>
      <c r="Q138" s="2"/>
      <c r="R138" s="2"/>
      <c r="S138" s="2"/>
      <c r="T138" s="2"/>
      <c r="U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141"/>
      <c r="M139" s="2"/>
      <c r="N139" s="2"/>
      <c r="O139" s="2"/>
      <c r="P139" s="2"/>
      <c r="Q139" s="2"/>
      <c r="R139" s="2"/>
      <c r="S139" s="2"/>
      <c r="T139" s="2"/>
      <c r="U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141"/>
      <c r="M140" s="2"/>
      <c r="N140" s="2"/>
      <c r="O140" s="2"/>
      <c r="P140" s="2"/>
      <c r="Q140" s="2"/>
      <c r="R140" s="2"/>
      <c r="S140" s="2"/>
      <c r="T140" s="2"/>
      <c r="U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141"/>
      <c r="M141" s="2"/>
      <c r="N141" s="2"/>
      <c r="O141" s="2"/>
      <c r="P141" s="2"/>
      <c r="Q141" s="2"/>
      <c r="R141" s="2"/>
      <c r="S141" s="2"/>
      <c r="T141" s="2"/>
      <c r="U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141"/>
      <c r="M142" s="2"/>
      <c r="N142" s="2"/>
      <c r="O142" s="2"/>
      <c r="P142" s="2"/>
      <c r="Q142" s="2"/>
      <c r="R142" s="2"/>
      <c r="S142" s="2"/>
      <c r="T142" s="2"/>
      <c r="U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141"/>
      <c r="M143" s="2"/>
      <c r="N143" s="2"/>
      <c r="O143" s="2"/>
      <c r="P143" s="2"/>
      <c r="Q143" s="2"/>
      <c r="R143" s="2"/>
      <c r="S143" s="2"/>
      <c r="T143" s="2"/>
      <c r="U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141"/>
      <c r="M144" s="2"/>
      <c r="N144" s="2"/>
      <c r="O144" s="2"/>
      <c r="P144" s="2"/>
      <c r="Q144" s="2"/>
      <c r="R144" s="2"/>
      <c r="S144" s="2"/>
      <c r="T144" s="2"/>
      <c r="U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141"/>
      <c r="M145" s="2"/>
      <c r="N145" s="2"/>
      <c r="O145" s="2"/>
      <c r="P145" s="2"/>
      <c r="Q145" s="2"/>
      <c r="R145" s="2"/>
      <c r="S145" s="2"/>
      <c r="T145" s="2"/>
      <c r="U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141"/>
      <c r="M146" s="2"/>
      <c r="N146" s="2"/>
      <c r="O146" s="2"/>
      <c r="P146" s="2"/>
      <c r="Q146" s="2"/>
      <c r="R146" s="2"/>
      <c r="S146" s="2"/>
      <c r="T146" s="2"/>
      <c r="U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141"/>
      <c r="M147" s="2"/>
      <c r="N147" s="2"/>
      <c r="O147" s="2"/>
      <c r="P147" s="2"/>
      <c r="Q147" s="2"/>
      <c r="R147" s="2"/>
      <c r="S147" s="2"/>
      <c r="T147" s="2"/>
      <c r="U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141"/>
      <c r="M148" s="2"/>
      <c r="N148" s="2"/>
      <c r="O148" s="2"/>
      <c r="P148" s="2"/>
      <c r="Q148" s="2"/>
      <c r="R148" s="2"/>
      <c r="S148" s="2"/>
      <c r="T148" s="2"/>
      <c r="U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141"/>
      <c r="M149" s="2"/>
      <c r="N149" s="2"/>
      <c r="O149" s="2"/>
      <c r="P149" s="2"/>
      <c r="Q149" s="2"/>
      <c r="R149" s="2"/>
      <c r="S149" s="2"/>
      <c r="T149" s="2"/>
      <c r="U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141"/>
      <c r="M150" s="2"/>
      <c r="N150" s="2"/>
      <c r="O150" s="2"/>
      <c r="P150" s="2"/>
      <c r="Q150" s="2"/>
      <c r="R150" s="2"/>
      <c r="S150" s="2"/>
      <c r="T150" s="2"/>
      <c r="U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141"/>
      <c r="M151" s="2"/>
      <c r="N151" s="2"/>
      <c r="O151" s="2"/>
      <c r="P151" s="2"/>
      <c r="Q151" s="2"/>
      <c r="R151" s="2"/>
      <c r="S151" s="2"/>
      <c r="T151" s="2"/>
      <c r="U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3"/>
      <c r="L152" s="141"/>
      <c r="M152" s="2"/>
      <c r="N152" s="2"/>
      <c r="O152" s="2"/>
      <c r="P152" s="2"/>
      <c r="Q152" s="2"/>
      <c r="R152" s="2"/>
      <c r="S152" s="2"/>
      <c r="T152" s="2"/>
      <c r="U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3"/>
      <c r="L153" s="141"/>
      <c r="M153" s="2"/>
      <c r="N153" s="2"/>
      <c r="O153" s="2"/>
      <c r="P153" s="2"/>
      <c r="Q153" s="2"/>
      <c r="R153" s="2"/>
      <c r="S153" s="2"/>
      <c r="T153" s="2"/>
      <c r="U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3"/>
      <c r="L154" s="141"/>
      <c r="M154" s="2"/>
      <c r="N154" s="2"/>
      <c r="O154" s="2"/>
      <c r="P154" s="2"/>
      <c r="Q154" s="2"/>
      <c r="R154" s="2"/>
      <c r="S154" s="2"/>
      <c r="T154" s="2"/>
      <c r="U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3"/>
      <c r="L155" s="141"/>
      <c r="M155" s="2"/>
      <c r="N155" s="2"/>
      <c r="O155" s="2"/>
      <c r="P155" s="2"/>
      <c r="Q155" s="2"/>
      <c r="R155" s="2"/>
      <c r="S155" s="2"/>
      <c r="T155" s="2"/>
      <c r="U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3"/>
      <c r="L156" s="141"/>
      <c r="M156" s="2"/>
      <c r="N156" s="2"/>
      <c r="O156" s="2"/>
      <c r="P156" s="2"/>
      <c r="Q156" s="2"/>
      <c r="R156" s="2"/>
      <c r="S156" s="2"/>
      <c r="T156" s="2"/>
      <c r="U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3"/>
      <c r="L157" s="141"/>
      <c r="M157" s="2"/>
      <c r="N157" s="2"/>
      <c r="O157" s="2"/>
      <c r="P157" s="2"/>
      <c r="Q157" s="2"/>
      <c r="R157" s="2"/>
      <c r="S157" s="2"/>
      <c r="T157" s="2"/>
      <c r="U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3"/>
      <c r="L158" s="141"/>
      <c r="M158" s="2"/>
      <c r="N158" s="2"/>
      <c r="O158" s="2"/>
      <c r="P158" s="2"/>
      <c r="Q158" s="2"/>
      <c r="R158" s="2"/>
      <c r="S158" s="2"/>
      <c r="T158" s="2"/>
      <c r="U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3"/>
      <c r="L159" s="141"/>
      <c r="M159" s="2"/>
      <c r="N159" s="2"/>
      <c r="O159" s="2"/>
      <c r="P159" s="2"/>
      <c r="Q159" s="2"/>
      <c r="R159" s="2"/>
      <c r="S159" s="2"/>
      <c r="T159" s="2"/>
      <c r="U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3"/>
      <c r="L160" s="141"/>
      <c r="M160" s="2"/>
      <c r="N160" s="2"/>
      <c r="O160" s="2"/>
      <c r="P160" s="2"/>
      <c r="Q160" s="2"/>
      <c r="R160" s="2"/>
      <c r="S160" s="2"/>
      <c r="T160" s="2"/>
      <c r="U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3"/>
      <c r="L161" s="141"/>
      <c r="M161" s="2"/>
      <c r="N161" s="2"/>
      <c r="O161" s="2"/>
      <c r="P161" s="2"/>
      <c r="Q161" s="2"/>
      <c r="R161" s="2"/>
      <c r="S161" s="2"/>
      <c r="T161" s="2"/>
      <c r="U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3"/>
      <c r="L162" s="141"/>
      <c r="M162" s="2"/>
      <c r="N162" s="2"/>
      <c r="O162" s="2"/>
      <c r="P162" s="2"/>
      <c r="Q162" s="2"/>
      <c r="R162" s="2"/>
      <c r="S162" s="2"/>
      <c r="T162" s="2"/>
      <c r="U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3"/>
      <c r="L163" s="141"/>
      <c r="M163" s="2"/>
      <c r="N163" s="2"/>
      <c r="O163" s="2"/>
      <c r="P163" s="2"/>
      <c r="Q163" s="2"/>
      <c r="R163" s="2"/>
      <c r="S163" s="2"/>
      <c r="T163" s="2"/>
      <c r="U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3"/>
      <c r="L164" s="141"/>
      <c r="M164" s="2"/>
      <c r="N164" s="2"/>
      <c r="O164" s="2"/>
      <c r="P164" s="2"/>
      <c r="Q164" s="2"/>
      <c r="R164" s="2"/>
      <c r="S164" s="2"/>
      <c r="T164" s="2"/>
      <c r="U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3"/>
      <c r="L165" s="141"/>
      <c r="M165" s="2"/>
      <c r="N165" s="2"/>
      <c r="O165" s="2"/>
      <c r="P165" s="2"/>
      <c r="Q165" s="2"/>
      <c r="R165" s="2"/>
      <c r="S165" s="2"/>
      <c r="T165" s="2"/>
      <c r="U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3"/>
      <c r="L166" s="141"/>
      <c r="M166" s="2"/>
      <c r="N166" s="2"/>
      <c r="O166" s="2"/>
      <c r="P166" s="2"/>
      <c r="Q166" s="2"/>
      <c r="R166" s="2"/>
      <c r="S166" s="2"/>
      <c r="T166" s="2"/>
      <c r="U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3"/>
      <c r="L167" s="141"/>
      <c r="M167" s="2"/>
      <c r="N167" s="2"/>
      <c r="O167" s="2"/>
      <c r="P167" s="2"/>
      <c r="Q167" s="2"/>
      <c r="R167" s="2"/>
      <c r="S167" s="2"/>
      <c r="T167" s="2"/>
      <c r="U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3"/>
      <c r="L168" s="141"/>
      <c r="M168" s="2"/>
      <c r="N168" s="2"/>
      <c r="O168" s="2"/>
      <c r="P168" s="2"/>
      <c r="Q168" s="2"/>
      <c r="R168" s="2"/>
      <c r="S168" s="2"/>
      <c r="T168" s="2"/>
      <c r="U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3"/>
      <c r="L169" s="141"/>
      <c r="M169" s="2"/>
      <c r="N169" s="2"/>
      <c r="O169" s="2"/>
      <c r="P169" s="2"/>
      <c r="Q169" s="2"/>
      <c r="R169" s="2"/>
      <c r="S169" s="2"/>
      <c r="T169" s="2"/>
      <c r="U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3"/>
      <c r="L170" s="141"/>
      <c r="M170" s="2"/>
      <c r="N170" s="2"/>
      <c r="O170" s="2"/>
      <c r="P170" s="2"/>
      <c r="Q170" s="2"/>
      <c r="R170" s="2"/>
      <c r="S170" s="2"/>
      <c r="T170" s="2"/>
      <c r="U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3"/>
      <c r="L171" s="141"/>
      <c r="M171" s="2"/>
      <c r="N171" s="2"/>
      <c r="O171" s="2"/>
      <c r="P171" s="2"/>
      <c r="Q171" s="2"/>
      <c r="R171" s="2"/>
      <c r="S171" s="2"/>
      <c r="T171" s="2"/>
      <c r="U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3"/>
      <c r="L172" s="141"/>
      <c r="M172" s="2"/>
      <c r="N172" s="2"/>
      <c r="O172" s="2"/>
      <c r="P172" s="2"/>
      <c r="Q172" s="2"/>
      <c r="R172" s="2"/>
      <c r="S172" s="2"/>
      <c r="T172" s="2"/>
      <c r="U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3"/>
      <c r="L173" s="141"/>
      <c r="M173" s="2"/>
      <c r="N173" s="2"/>
      <c r="O173" s="2"/>
      <c r="P173" s="2"/>
      <c r="Q173" s="2"/>
      <c r="R173" s="2"/>
      <c r="S173" s="2"/>
      <c r="T173" s="2"/>
      <c r="U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3"/>
      <c r="L174" s="141"/>
      <c r="M174" s="2"/>
      <c r="N174" s="2"/>
      <c r="O174" s="2"/>
      <c r="P174" s="2"/>
      <c r="Q174" s="2"/>
      <c r="R174" s="2"/>
      <c r="S174" s="2"/>
      <c r="T174" s="2"/>
      <c r="U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3"/>
      <c r="L175" s="141"/>
      <c r="M175" s="2"/>
      <c r="N175" s="2"/>
      <c r="O175" s="2"/>
      <c r="P175" s="2"/>
      <c r="Q175" s="2"/>
      <c r="R175" s="2"/>
      <c r="S175" s="2"/>
      <c r="T175" s="2"/>
      <c r="U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3"/>
      <c r="L176" s="141"/>
      <c r="M176" s="2"/>
      <c r="N176" s="2"/>
      <c r="O176" s="2"/>
      <c r="P176" s="2"/>
      <c r="Q176" s="2"/>
      <c r="R176" s="2"/>
      <c r="S176" s="2"/>
      <c r="T176" s="2"/>
      <c r="U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3"/>
      <c r="L177" s="141"/>
      <c r="M177" s="2"/>
      <c r="N177" s="2"/>
      <c r="O177" s="2"/>
      <c r="P177" s="2"/>
      <c r="Q177" s="2"/>
      <c r="R177" s="2"/>
      <c r="S177" s="2"/>
      <c r="T177" s="2"/>
      <c r="U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3"/>
      <c r="L178" s="141"/>
      <c r="M178" s="2"/>
      <c r="N178" s="2"/>
      <c r="O178" s="2"/>
      <c r="P178" s="2"/>
      <c r="Q178" s="2"/>
      <c r="R178" s="2"/>
      <c r="S178" s="2"/>
      <c r="T178" s="2"/>
      <c r="U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3"/>
      <c r="L179" s="141"/>
      <c r="M179" s="2"/>
      <c r="N179" s="2"/>
      <c r="O179" s="2"/>
      <c r="P179" s="2"/>
      <c r="Q179" s="2"/>
      <c r="R179" s="2"/>
      <c r="S179" s="2"/>
      <c r="T179" s="2"/>
      <c r="U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3"/>
      <c r="L180" s="141"/>
      <c r="M180" s="2"/>
      <c r="N180" s="2"/>
      <c r="O180" s="2"/>
      <c r="P180" s="2"/>
      <c r="Q180" s="2"/>
      <c r="R180" s="2"/>
      <c r="S180" s="2"/>
      <c r="T180" s="2"/>
      <c r="U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3"/>
      <c r="L181" s="141"/>
      <c r="M181" s="2"/>
      <c r="N181" s="2"/>
      <c r="O181" s="2"/>
      <c r="P181" s="2"/>
      <c r="Q181" s="2"/>
      <c r="R181" s="2"/>
      <c r="S181" s="2"/>
      <c r="T181" s="2"/>
      <c r="U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3"/>
      <c r="L182" s="141"/>
      <c r="M182" s="2"/>
      <c r="N182" s="2"/>
      <c r="O182" s="2"/>
      <c r="P182" s="2"/>
      <c r="Q182" s="2"/>
      <c r="R182" s="2"/>
      <c r="S182" s="2"/>
      <c r="T182" s="2"/>
      <c r="U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3"/>
      <c r="L183" s="141"/>
      <c r="M183" s="2"/>
      <c r="N183" s="2"/>
      <c r="O183" s="2"/>
      <c r="P183" s="2"/>
      <c r="Q183" s="2"/>
      <c r="R183" s="2"/>
      <c r="S183" s="2"/>
      <c r="T183" s="2"/>
      <c r="U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3"/>
      <c r="L184" s="141"/>
      <c r="M184" s="2"/>
      <c r="N184" s="2"/>
      <c r="O184" s="2"/>
      <c r="P184" s="2"/>
      <c r="Q184" s="2"/>
      <c r="R184" s="2"/>
      <c r="S184" s="2"/>
      <c r="T184" s="2"/>
      <c r="U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3"/>
      <c r="L185" s="141"/>
      <c r="M185" s="2"/>
      <c r="N185" s="2"/>
      <c r="O185" s="2"/>
      <c r="P185" s="2"/>
      <c r="Q185" s="2"/>
      <c r="R185" s="2"/>
      <c r="S185" s="2"/>
      <c r="T185" s="2"/>
      <c r="U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3"/>
      <c r="L186" s="141"/>
      <c r="M186" s="2"/>
      <c r="N186" s="2"/>
      <c r="O186" s="2"/>
      <c r="P186" s="2"/>
      <c r="Q186" s="2"/>
      <c r="R186" s="2"/>
      <c r="S186" s="2"/>
      <c r="T186" s="2"/>
      <c r="U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3"/>
      <c r="L187" s="141"/>
      <c r="M187" s="2"/>
      <c r="N187" s="2"/>
      <c r="O187" s="2"/>
      <c r="P187" s="2"/>
      <c r="Q187" s="2"/>
      <c r="R187" s="2"/>
      <c r="S187" s="2"/>
      <c r="T187" s="2"/>
      <c r="U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3"/>
      <c r="L188" s="141"/>
      <c r="M188" s="2"/>
      <c r="N188" s="2"/>
      <c r="O188" s="2"/>
      <c r="P188" s="2"/>
      <c r="Q188" s="2"/>
      <c r="R188" s="2"/>
      <c r="S188" s="2"/>
      <c r="T188" s="2"/>
      <c r="U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3"/>
      <c r="L189" s="141"/>
      <c r="M189" s="2"/>
      <c r="N189" s="2"/>
      <c r="O189" s="2"/>
      <c r="P189" s="2"/>
      <c r="Q189" s="2"/>
      <c r="R189" s="2"/>
      <c r="S189" s="2"/>
      <c r="T189" s="2"/>
      <c r="U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3"/>
      <c r="L190" s="141"/>
      <c r="M190" s="2"/>
      <c r="N190" s="2"/>
      <c r="O190" s="2"/>
      <c r="P190" s="2"/>
      <c r="Q190" s="2"/>
      <c r="R190" s="2"/>
      <c r="S190" s="2"/>
      <c r="T190" s="2"/>
      <c r="U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3"/>
      <c r="L191" s="141"/>
      <c r="M191" s="2"/>
      <c r="N191" s="2"/>
      <c r="O191" s="2"/>
      <c r="P191" s="2"/>
      <c r="Q191" s="2"/>
      <c r="R191" s="2"/>
      <c r="S191" s="2"/>
      <c r="T191" s="2"/>
      <c r="U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3"/>
      <c r="L192" s="141"/>
      <c r="M192" s="2"/>
      <c r="N192" s="2"/>
      <c r="O192" s="2"/>
      <c r="P192" s="2"/>
      <c r="Q192" s="2"/>
      <c r="R192" s="2"/>
      <c r="S192" s="2"/>
      <c r="T192" s="2"/>
      <c r="U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3"/>
      <c r="L193" s="141"/>
      <c r="M193" s="2"/>
      <c r="N193" s="2"/>
      <c r="O193" s="2"/>
      <c r="P193" s="2"/>
      <c r="Q193" s="2"/>
      <c r="R193" s="2"/>
      <c r="S193" s="2"/>
      <c r="T193" s="2"/>
      <c r="U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3"/>
      <c r="L194" s="141"/>
      <c r="M194" s="2"/>
      <c r="N194" s="2"/>
      <c r="O194" s="2"/>
      <c r="P194" s="2"/>
      <c r="Q194" s="2"/>
      <c r="R194" s="2"/>
      <c r="S194" s="2"/>
      <c r="T194" s="2"/>
      <c r="U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3"/>
      <c r="L195" s="141"/>
      <c r="M195" s="2"/>
      <c r="N195" s="2"/>
      <c r="O195" s="2"/>
      <c r="P195" s="2"/>
      <c r="Q195" s="2"/>
      <c r="R195" s="2"/>
      <c r="S195" s="2"/>
      <c r="T195" s="2"/>
      <c r="U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3"/>
      <c r="L196" s="141"/>
      <c r="M196" s="2"/>
      <c r="N196" s="2"/>
      <c r="O196" s="2"/>
      <c r="P196" s="2"/>
      <c r="Q196" s="2"/>
      <c r="R196" s="2"/>
      <c r="S196" s="2"/>
      <c r="T196" s="2"/>
      <c r="U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3"/>
      <c r="L197" s="141"/>
      <c r="M197" s="2"/>
      <c r="N197" s="2"/>
      <c r="O197" s="2"/>
      <c r="P197" s="2"/>
      <c r="Q197" s="2"/>
      <c r="R197" s="2"/>
      <c r="S197" s="2"/>
      <c r="T197" s="2"/>
      <c r="U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3"/>
      <c r="L198" s="141"/>
      <c r="M198" s="2"/>
      <c r="N198" s="2"/>
      <c r="O198" s="2"/>
      <c r="P198" s="2"/>
      <c r="Q198" s="2"/>
      <c r="R198" s="2"/>
      <c r="S198" s="2"/>
      <c r="T198" s="2"/>
      <c r="U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3"/>
      <c r="L199" s="141"/>
      <c r="M199" s="2"/>
      <c r="N199" s="2"/>
      <c r="O199" s="2"/>
      <c r="P199" s="2"/>
      <c r="Q199" s="2"/>
      <c r="R199" s="2"/>
      <c r="S199" s="2"/>
      <c r="T199" s="2"/>
      <c r="U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3"/>
      <c r="L200" s="141"/>
      <c r="M200" s="2"/>
      <c r="N200" s="2"/>
      <c r="O200" s="2"/>
      <c r="P200" s="2"/>
      <c r="Q200" s="2"/>
      <c r="R200" s="2"/>
      <c r="S200" s="2"/>
      <c r="T200" s="2"/>
      <c r="U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3"/>
      <c r="L201" s="141"/>
      <c r="M201" s="2"/>
      <c r="N201" s="2"/>
      <c r="O201" s="2"/>
      <c r="P201" s="2"/>
      <c r="Q201" s="2"/>
      <c r="R201" s="2"/>
      <c r="S201" s="2"/>
      <c r="T201" s="2"/>
      <c r="U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3"/>
      <c r="L202" s="141"/>
      <c r="M202" s="2"/>
      <c r="N202" s="2"/>
      <c r="O202" s="2"/>
      <c r="P202" s="2"/>
      <c r="Q202" s="2"/>
      <c r="R202" s="2"/>
      <c r="S202" s="2"/>
      <c r="T202" s="2"/>
      <c r="U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3"/>
      <c r="L203" s="141"/>
      <c r="M203" s="2"/>
      <c r="N203" s="2"/>
      <c r="O203" s="2"/>
      <c r="P203" s="2"/>
      <c r="Q203" s="2"/>
      <c r="R203" s="2"/>
      <c r="S203" s="2"/>
      <c r="T203" s="2"/>
      <c r="U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3"/>
      <c r="L204" s="141"/>
      <c r="M204" s="2"/>
      <c r="N204" s="2"/>
      <c r="O204" s="2"/>
      <c r="P204" s="2"/>
      <c r="Q204" s="2"/>
      <c r="R204" s="2"/>
      <c r="S204" s="2"/>
      <c r="T204" s="2"/>
      <c r="U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3"/>
      <c r="L205" s="141"/>
      <c r="M205" s="2"/>
      <c r="N205" s="2"/>
      <c r="O205" s="2"/>
      <c r="P205" s="2"/>
      <c r="Q205" s="2"/>
      <c r="R205" s="2"/>
      <c r="S205" s="2"/>
      <c r="T205" s="2"/>
      <c r="U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3"/>
      <c r="L206" s="141"/>
      <c r="M206" s="2"/>
      <c r="N206" s="2"/>
      <c r="O206" s="2"/>
      <c r="P206" s="2"/>
      <c r="Q206" s="2"/>
      <c r="R206" s="2"/>
      <c r="S206" s="2"/>
      <c r="T206" s="2"/>
      <c r="U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3"/>
      <c r="L207" s="141"/>
      <c r="M207" s="2"/>
      <c r="N207" s="2"/>
      <c r="O207" s="2"/>
      <c r="P207" s="2"/>
      <c r="Q207" s="2"/>
      <c r="R207" s="2"/>
      <c r="S207" s="2"/>
      <c r="T207" s="2"/>
      <c r="U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3"/>
      <c r="L208" s="141"/>
      <c r="M208" s="2"/>
      <c r="N208" s="2"/>
      <c r="O208" s="2"/>
      <c r="P208" s="2"/>
      <c r="Q208" s="2"/>
      <c r="R208" s="2"/>
      <c r="S208" s="2"/>
      <c r="T208" s="2"/>
      <c r="U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3"/>
      <c r="L209" s="141"/>
      <c r="M209" s="2"/>
      <c r="N209" s="2"/>
      <c r="O209" s="2"/>
      <c r="P209" s="2"/>
      <c r="Q209" s="2"/>
      <c r="R209" s="2"/>
      <c r="S209" s="2"/>
      <c r="T209" s="2"/>
      <c r="U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3"/>
      <c r="L210" s="141"/>
      <c r="M210" s="2"/>
      <c r="N210" s="2"/>
      <c r="O210" s="2"/>
      <c r="P210" s="2"/>
      <c r="Q210" s="2"/>
      <c r="R210" s="2"/>
      <c r="S210" s="2"/>
      <c r="T210" s="2"/>
      <c r="U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3"/>
      <c r="L211" s="141"/>
      <c r="M211" s="2"/>
      <c r="N211" s="2"/>
      <c r="O211" s="2"/>
      <c r="P211" s="2"/>
      <c r="Q211" s="2"/>
      <c r="R211" s="2"/>
      <c r="S211" s="2"/>
      <c r="T211" s="2"/>
      <c r="U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3"/>
      <c r="L212" s="141"/>
      <c r="M212" s="2"/>
      <c r="N212" s="2"/>
      <c r="O212" s="2"/>
      <c r="P212" s="2"/>
      <c r="Q212" s="2"/>
      <c r="R212" s="2"/>
      <c r="S212" s="2"/>
      <c r="T212" s="2"/>
      <c r="U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3"/>
      <c r="L213" s="141"/>
      <c r="M213" s="2"/>
      <c r="N213" s="2"/>
      <c r="O213" s="2"/>
      <c r="P213" s="2"/>
      <c r="Q213" s="2"/>
      <c r="R213" s="2"/>
      <c r="S213" s="2"/>
      <c r="T213" s="2"/>
      <c r="U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3"/>
      <c r="L214" s="141"/>
      <c r="M214" s="2"/>
      <c r="N214" s="2"/>
      <c r="O214" s="2"/>
      <c r="P214" s="2"/>
      <c r="Q214" s="2"/>
      <c r="R214" s="2"/>
      <c r="S214" s="2"/>
      <c r="T214" s="2"/>
      <c r="U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3"/>
      <c r="L215" s="141"/>
      <c r="M215" s="2"/>
      <c r="N215" s="2"/>
      <c r="O215" s="2"/>
      <c r="P215" s="2"/>
      <c r="Q215" s="2"/>
      <c r="R215" s="2"/>
      <c r="S215" s="2"/>
      <c r="T215" s="2"/>
      <c r="U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3"/>
      <c r="L216" s="141"/>
      <c r="M216" s="2"/>
      <c r="N216" s="2"/>
      <c r="O216" s="2"/>
      <c r="P216" s="2"/>
      <c r="Q216" s="2"/>
      <c r="R216" s="2"/>
      <c r="S216" s="2"/>
      <c r="T216" s="2"/>
      <c r="U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3"/>
      <c r="L217" s="141"/>
      <c r="M217" s="2"/>
      <c r="N217" s="2"/>
      <c r="O217" s="2"/>
      <c r="P217" s="2"/>
      <c r="Q217" s="2"/>
      <c r="R217" s="2"/>
      <c r="S217" s="2"/>
      <c r="T217" s="2"/>
      <c r="U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3"/>
      <c r="L218" s="141"/>
      <c r="M218" s="2"/>
      <c r="N218" s="2"/>
      <c r="O218" s="2"/>
      <c r="P218" s="2"/>
      <c r="Q218" s="2"/>
      <c r="R218" s="2"/>
      <c r="S218" s="2"/>
      <c r="T218" s="2"/>
      <c r="U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3"/>
      <c r="L219" s="141"/>
      <c r="M219" s="2"/>
      <c r="N219" s="2"/>
      <c r="O219" s="2"/>
      <c r="P219" s="2"/>
      <c r="Q219" s="2"/>
      <c r="R219" s="2"/>
      <c r="S219" s="2"/>
      <c r="T219" s="2"/>
      <c r="U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3"/>
      <c r="L220" s="141"/>
      <c r="M220" s="2"/>
      <c r="N220" s="2"/>
      <c r="O220" s="2"/>
      <c r="P220" s="2"/>
      <c r="Q220" s="2"/>
      <c r="R220" s="2"/>
      <c r="S220" s="2"/>
      <c r="T220" s="2"/>
      <c r="U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3"/>
      <c r="L221" s="141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3"/>
      <c r="L222" s="141"/>
      <c r="M222" s="2"/>
      <c r="N222" s="2"/>
      <c r="O222" s="2"/>
      <c r="P222" s="2"/>
      <c r="Q222" s="2"/>
      <c r="R222" s="2"/>
      <c r="S222" s="2"/>
      <c r="T222" s="2"/>
      <c r="U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3"/>
      <c r="L223" s="141"/>
      <c r="M223" s="2"/>
      <c r="N223" s="2"/>
      <c r="O223" s="2"/>
      <c r="P223" s="2"/>
      <c r="Q223" s="2"/>
      <c r="R223" s="2"/>
      <c r="S223" s="2"/>
      <c r="T223" s="2"/>
      <c r="U223" s="2"/>
    </row>
    <row r="224" ht="15.75" customHeight="1">
      <c r="K224" s="3"/>
      <c r="L224" s="141"/>
    </row>
    <row r="225" ht="15.75" customHeight="1">
      <c r="K225" s="3"/>
      <c r="L225" s="141"/>
    </row>
    <row r="226" ht="15.75" customHeight="1">
      <c r="K226" s="3"/>
      <c r="L226" s="141"/>
    </row>
    <row r="227" ht="15.75" customHeight="1">
      <c r="K227" s="3"/>
      <c r="L227" s="141"/>
    </row>
    <row r="228" ht="15.75" customHeight="1">
      <c r="K228" s="3"/>
      <c r="L228" s="141"/>
    </row>
    <row r="229" ht="15.75" customHeight="1">
      <c r="K229" s="3"/>
      <c r="L229" s="141"/>
    </row>
    <row r="230" ht="15.75" customHeight="1">
      <c r="K230" s="3"/>
      <c r="L230" s="141"/>
    </row>
    <row r="231" ht="15.75" customHeight="1">
      <c r="K231" s="3"/>
      <c r="L231" s="141"/>
    </row>
    <row r="232" ht="15.75" customHeight="1">
      <c r="K232" s="3"/>
      <c r="L232" s="141"/>
    </row>
    <row r="233" ht="15.75" customHeight="1">
      <c r="K233" s="3"/>
      <c r="L233" s="141"/>
    </row>
    <row r="234" ht="15.75" customHeight="1">
      <c r="K234" s="3"/>
      <c r="L234" s="141"/>
    </row>
    <row r="235" ht="15.75" customHeight="1">
      <c r="K235" s="3"/>
      <c r="L235" s="141"/>
    </row>
    <row r="236" ht="15.75" customHeight="1">
      <c r="K236" s="3"/>
      <c r="L236" s="141"/>
    </row>
    <row r="237" ht="15.75" customHeight="1">
      <c r="K237" s="3"/>
      <c r="L237" s="141"/>
    </row>
    <row r="238" ht="15.75" customHeight="1">
      <c r="K238" s="3"/>
      <c r="L238" s="141"/>
    </row>
    <row r="239" ht="15.75" customHeight="1">
      <c r="K239" s="3"/>
      <c r="L239" s="141"/>
    </row>
    <row r="240" ht="15.75" customHeight="1">
      <c r="K240" s="3"/>
      <c r="L240" s="141"/>
    </row>
    <row r="241" ht="15.75" customHeight="1">
      <c r="K241" s="3"/>
      <c r="L241" s="141"/>
    </row>
    <row r="242" ht="15.75" customHeight="1">
      <c r="K242" s="3"/>
      <c r="L242" s="141"/>
    </row>
    <row r="243" ht="15.75" customHeight="1">
      <c r="K243" s="3"/>
      <c r="L243" s="141"/>
    </row>
    <row r="244" ht="15.75" customHeight="1">
      <c r="K244" s="3"/>
      <c r="L244" s="141"/>
    </row>
    <row r="245" ht="15.75" customHeight="1">
      <c r="K245" s="3"/>
      <c r="L245" s="141"/>
    </row>
    <row r="246" ht="15.75" customHeight="1">
      <c r="K246" s="3"/>
      <c r="L246" s="141"/>
    </row>
    <row r="247" ht="15.75" customHeight="1">
      <c r="K247" s="3"/>
      <c r="L247" s="141"/>
    </row>
    <row r="248" ht="15.75" customHeight="1">
      <c r="K248" s="3"/>
      <c r="L248" s="141"/>
    </row>
    <row r="249" ht="15.75" customHeight="1">
      <c r="K249" s="3"/>
      <c r="L249" s="141"/>
    </row>
    <row r="250" ht="15.75" customHeight="1">
      <c r="K250" s="3"/>
      <c r="L250" s="141"/>
    </row>
    <row r="251" ht="15.75" customHeight="1">
      <c r="K251" s="3"/>
      <c r="L251" s="141"/>
    </row>
    <row r="252" ht="15.75" customHeight="1">
      <c r="K252" s="3"/>
      <c r="L252" s="141"/>
    </row>
    <row r="253" ht="15.75" customHeight="1">
      <c r="K253" s="3"/>
      <c r="L253" s="141"/>
    </row>
    <row r="254" ht="15.75" customHeight="1">
      <c r="K254" s="3"/>
      <c r="L254" s="141"/>
    </row>
    <row r="255" ht="15.75" customHeight="1">
      <c r="K255" s="3"/>
      <c r="L255" s="141"/>
    </row>
    <row r="256" ht="15.75" customHeight="1">
      <c r="K256" s="3"/>
      <c r="L256" s="141"/>
    </row>
    <row r="257" ht="15.75" customHeight="1">
      <c r="K257" s="3"/>
      <c r="L257" s="141"/>
    </row>
    <row r="258" ht="15.75" customHeight="1">
      <c r="K258" s="3"/>
      <c r="L258" s="141"/>
    </row>
    <row r="259" ht="15.75" customHeight="1">
      <c r="K259" s="3"/>
      <c r="L259" s="141"/>
    </row>
    <row r="260" ht="15.75" customHeight="1">
      <c r="K260" s="3"/>
      <c r="L260" s="141"/>
    </row>
    <row r="261" ht="15.75" customHeight="1">
      <c r="K261" s="3"/>
      <c r="L261" s="141"/>
    </row>
    <row r="262" ht="15.75" customHeight="1">
      <c r="K262" s="3"/>
      <c r="L262" s="141"/>
    </row>
    <row r="263" ht="15.75" customHeight="1">
      <c r="K263" s="3"/>
      <c r="L263" s="141"/>
    </row>
    <row r="264" ht="15.75" customHeight="1">
      <c r="K264" s="3"/>
      <c r="L264" s="141"/>
    </row>
    <row r="265" ht="15.75" customHeight="1">
      <c r="K265" s="3"/>
      <c r="L265" s="141"/>
    </row>
    <row r="266" ht="15.75" customHeight="1">
      <c r="K266" s="3"/>
      <c r="L266" s="141"/>
    </row>
    <row r="267" ht="15.75" customHeight="1">
      <c r="K267" s="3"/>
      <c r="L267" s="141"/>
    </row>
    <row r="268" ht="15.75" customHeight="1">
      <c r="K268" s="3"/>
      <c r="L268" s="141"/>
    </row>
    <row r="269" ht="15.75" customHeight="1">
      <c r="K269" s="3"/>
      <c r="L269" s="141"/>
    </row>
    <row r="270" ht="15.75" customHeight="1">
      <c r="K270" s="3"/>
      <c r="L270" s="141"/>
    </row>
    <row r="271" ht="15.75" customHeight="1">
      <c r="K271" s="3"/>
      <c r="L271" s="141"/>
    </row>
    <row r="272" ht="15.75" customHeight="1">
      <c r="K272" s="3"/>
      <c r="L272" s="141"/>
    </row>
    <row r="273" ht="15.75" customHeight="1">
      <c r="K273" s="3"/>
      <c r="L273" s="141"/>
    </row>
    <row r="274" ht="15.75" customHeight="1">
      <c r="K274" s="3"/>
      <c r="L274" s="141"/>
    </row>
    <row r="275" ht="15.75" customHeight="1">
      <c r="K275" s="3"/>
      <c r="L275" s="141"/>
    </row>
    <row r="276" ht="15.75" customHeight="1">
      <c r="K276" s="3"/>
      <c r="L276" s="141"/>
    </row>
    <row r="277" ht="15.75" customHeight="1">
      <c r="K277" s="3"/>
      <c r="L277" s="141"/>
    </row>
    <row r="278" ht="15.75" customHeight="1">
      <c r="K278" s="3"/>
      <c r="L278" s="141"/>
    </row>
    <row r="279" ht="15.75" customHeight="1">
      <c r="K279" s="3"/>
      <c r="L279" s="141"/>
    </row>
    <row r="280" ht="15.75" customHeight="1">
      <c r="K280" s="3"/>
      <c r="L280" s="141"/>
    </row>
    <row r="281" ht="15.75" customHeight="1">
      <c r="K281" s="3"/>
      <c r="L281" s="141"/>
    </row>
    <row r="282" ht="15.75" customHeight="1">
      <c r="K282" s="3"/>
      <c r="L282" s="141"/>
    </row>
    <row r="283" ht="15.75" customHeight="1">
      <c r="K283" s="3"/>
      <c r="L283" s="141"/>
    </row>
    <row r="284" ht="15.75" customHeight="1">
      <c r="K284" s="3"/>
      <c r="L284" s="141"/>
    </row>
    <row r="285" ht="15.75" customHeight="1">
      <c r="K285" s="3"/>
      <c r="L285" s="141"/>
    </row>
    <row r="286" ht="15.75" customHeight="1">
      <c r="K286" s="3"/>
      <c r="L286" s="141"/>
    </row>
    <row r="287" ht="15.75" customHeight="1">
      <c r="K287" s="3"/>
      <c r="L287" s="141"/>
    </row>
    <row r="288" ht="15.75" customHeight="1">
      <c r="K288" s="3"/>
      <c r="L288" s="141"/>
    </row>
    <row r="289" ht="15.75" customHeight="1">
      <c r="K289" s="3"/>
      <c r="L289" s="141"/>
    </row>
    <row r="290" ht="15.75" customHeight="1">
      <c r="K290" s="3"/>
      <c r="L290" s="141"/>
    </row>
    <row r="291" ht="15.75" customHeight="1">
      <c r="K291" s="3"/>
      <c r="L291" s="141"/>
    </row>
    <row r="292" ht="15.75" customHeight="1">
      <c r="K292" s="3"/>
      <c r="L292" s="141"/>
    </row>
    <row r="293" ht="15.75" customHeight="1">
      <c r="K293" s="3"/>
      <c r="L293" s="141"/>
    </row>
    <row r="294" ht="15.75" customHeight="1">
      <c r="K294" s="3"/>
      <c r="L294" s="141"/>
    </row>
    <row r="295" ht="15.75" customHeight="1">
      <c r="K295" s="3"/>
      <c r="L295" s="141"/>
    </row>
    <row r="296" ht="15.75" customHeight="1">
      <c r="K296" s="3"/>
      <c r="L296" s="141"/>
    </row>
    <row r="297" ht="15.75" customHeight="1">
      <c r="K297" s="3"/>
      <c r="L297" s="141"/>
    </row>
    <row r="298" ht="15.75" customHeight="1">
      <c r="K298" s="3"/>
      <c r="L298" s="141"/>
    </row>
    <row r="299" ht="15.75" customHeight="1">
      <c r="K299" s="3"/>
      <c r="L299" s="141"/>
    </row>
    <row r="300" ht="15.75" customHeight="1">
      <c r="K300" s="3"/>
      <c r="L300" s="141"/>
    </row>
    <row r="301" ht="15.75" customHeight="1">
      <c r="K301" s="3"/>
      <c r="L301" s="141"/>
    </row>
    <row r="302" ht="15.75" customHeight="1">
      <c r="K302" s="3"/>
      <c r="L302" s="141"/>
    </row>
    <row r="303" ht="15.75" customHeight="1">
      <c r="K303" s="3"/>
      <c r="L303" s="141"/>
    </row>
    <row r="304" ht="15.75" customHeight="1">
      <c r="K304" s="3"/>
      <c r="L304" s="141"/>
    </row>
    <row r="305" ht="15.75" customHeight="1">
      <c r="K305" s="3"/>
      <c r="L305" s="141"/>
    </row>
    <row r="306" ht="15.75" customHeight="1">
      <c r="K306" s="3"/>
      <c r="L306" s="141"/>
    </row>
    <row r="307" ht="15.75" customHeight="1">
      <c r="K307" s="3"/>
      <c r="L307" s="141"/>
    </row>
    <row r="308" ht="15.75" customHeight="1">
      <c r="K308" s="3"/>
      <c r="L308" s="141"/>
    </row>
    <row r="309" ht="15.75" customHeight="1">
      <c r="K309" s="3"/>
      <c r="L309" s="141"/>
    </row>
    <row r="310" ht="15.75" customHeight="1">
      <c r="K310" s="3"/>
      <c r="L310" s="141"/>
    </row>
    <row r="311" ht="15.75" customHeight="1">
      <c r="K311" s="3"/>
      <c r="L311" s="141"/>
    </row>
    <row r="312" ht="15.75" customHeight="1">
      <c r="K312" s="3"/>
      <c r="L312" s="141"/>
    </row>
    <row r="313" ht="15.75" customHeight="1">
      <c r="K313" s="3"/>
      <c r="L313" s="141"/>
    </row>
    <row r="314" ht="15.75" customHeight="1">
      <c r="K314" s="3"/>
      <c r="L314" s="141"/>
    </row>
    <row r="315" ht="15.75" customHeight="1">
      <c r="K315" s="3"/>
      <c r="L315" s="141"/>
    </row>
    <row r="316" ht="15.75" customHeight="1">
      <c r="K316" s="3"/>
      <c r="L316" s="141"/>
    </row>
    <row r="317" ht="15.75" customHeight="1">
      <c r="K317" s="3"/>
      <c r="L317" s="141"/>
    </row>
    <row r="318" ht="15.75" customHeight="1">
      <c r="K318" s="3"/>
      <c r="L318" s="141"/>
    </row>
    <row r="319" ht="15.75" customHeight="1">
      <c r="K319" s="3"/>
      <c r="L319" s="141"/>
    </row>
    <row r="320" ht="15.75" customHeight="1">
      <c r="K320" s="3"/>
      <c r="L320" s="141"/>
    </row>
    <row r="321" ht="15.75" customHeight="1">
      <c r="K321" s="3"/>
      <c r="L321" s="141"/>
    </row>
    <row r="322" ht="15.75" customHeight="1">
      <c r="K322" s="3"/>
      <c r="L322" s="141"/>
    </row>
    <row r="323" ht="15.75" customHeight="1">
      <c r="K323" s="3"/>
      <c r="L323" s="141"/>
    </row>
    <row r="324" ht="15.75" customHeight="1">
      <c r="K324" s="3"/>
      <c r="L324" s="141"/>
    </row>
    <row r="325" ht="15.75" customHeight="1">
      <c r="K325" s="3"/>
      <c r="L325" s="141"/>
    </row>
    <row r="326" ht="15.75" customHeight="1">
      <c r="K326" s="3"/>
      <c r="L326" s="141"/>
    </row>
    <row r="327" ht="15.75" customHeight="1">
      <c r="K327" s="3"/>
      <c r="L327" s="141"/>
    </row>
    <row r="328" ht="15.75" customHeight="1">
      <c r="K328" s="3"/>
      <c r="L328" s="141"/>
    </row>
    <row r="329" ht="15.75" customHeight="1">
      <c r="K329" s="3"/>
      <c r="L329" s="141"/>
    </row>
    <row r="330" ht="15.75" customHeight="1">
      <c r="K330" s="3"/>
      <c r="L330" s="141"/>
    </row>
    <row r="331" ht="15.75" customHeight="1">
      <c r="K331" s="3"/>
      <c r="L331" s="141"/>
    </row>
    <row r="332" ht="15.75" customHeight="1">
      <c r="K332" s="3"/>
      <c r="L332" s="141"/>
    </row>
    <row r="333" ht="15.75" customHeight="1">
      <c r="K333" s="3"/>
      <c r="L333" s="141"/>
    </row>
    <row r="334" ht="15.75" customHeight="1">
      <c r="K334" s="3"/>
      <c r="L334" s="141"/>
    </row>
    <row r="335" ht="15.75" customHeight="1">
      <c r="K335" s="3"/>
      <c r="L335" s="141"/>
    </row>
    <row r="336" ht="15.75" customHeight="1">
      <c r="K336" s="3"/>
      <c r="L336" s="141"/>
    </row>
    <row r="337" ht="15.75" customHeight="1">
      <c r="K337" s="3"/>
      <c r="L337" s="141"/>
    </row>
    <row r="338" ht="15.75" customHeight="1">
      <c r="K338" s="3"/>
      <c r="L338" s="141"/>
    </row>
    <row r="339" ht="15.75" customHeight="1">
      <c r="K339" s="3"/>
      <c r="L339" s="141"/>
    </row>
    <row r="340" ht="15.75" customHeight="1">
      <c r="K340" s="3"/>
      <c r="L340" s="141"/>
    </row>
    <row r="341" ht="15.75" customHeight="1">
      <c r="K341" s="3"/>
      <c r="L341" s="141"/>
    </row>
    <row r="342" ht="15.75" customHeight="1">
      <c r="K342" s="3"/>
      <c r="L342" s="141"/>
    </row>
    <row r="343" ht="15.75" customHeight="1">
      <c r="K343" s="3"/>
      <c r="L343" s="141"/>
    </row>
    <row r="344" ht="15.75" customHeight="1">
      <c r="K344" s="3"/>
      <c r="L344" s="141"/>
    </row>
    <row r="345" ht="15.75" customHeight="1">
      <c r="K345" s="3"/>
      <c r="L345" s="141"/>
    </row>
    <row r="346" ht="15.75" customHeight="1">
      <c r="K346" s="3"/>
      <c r="L346" s="141"/>
    </row>
    <row r="347" ht="15.75" customHeight="1">
      <c r="K347" s="3"/>
      <c r="L347" s="141"/>
    </row>
    <row r="348" ht="15.75" customHeight="1">
      <c r="K348" s="3"/>
      <c r="L348" s="141"/>
    </row>
    <row r="349" ht="15.75" customHeight="1">
      <c r="K349" s="3"/>
      <c r="L349" s="141"/>
    </row>
    <row r="350" ht="15.75" customHeight="1">
      <c r="K350" s="3"/>
      <c r="L350" s="141"/>
    </row>
    <row r="351" ht="15.75" customHeight="1">
      <c r="K351" s="3"/>
      <c r="L351" s="141"/>
    </row>
    <row r="352" ht="15.75" customHeight="1">
      <c r="K352" s="3"/>
      <c r="L352" s="141"/>
    </row>
    <row r="353" ht="15.75" customHeight="1">
      <c r="K353" s="3"/>
      <c r="L353" s="141"/>
    </row>
    <row r="354" ht="15.75" customHeight="1">
      <c r="K354" s="3"/>
      <c r="L354" s="141"/>
    </row>
    <row r="355" ht="15.75" customHeight="1">
      <c r="K355" s="3"/>
      <c r="L355" s="141"/>
    </row>
    <row r="356" ht="15.75" customHeight="1">
      <c r="K356" s="3"/>
      <c r="L356" s="141"/>
    </row>
    <row r="357" ht="15.75" customHeight="1">
      <c r="K357" s="3"/>
      <c r="L357" s="141"/>
    </row>
    <row r="358" ht="15.75" customHeight="1">
      <c r="K358" s="3"/>
      <c r="L358" s="141"/>
    </row>
    <row r="359" ht="15.75" customHeight="1">
      <c r="K359" s="3"/>
      <c r="L359" s="141"/>
    </row>
    <row r="360" ht="15.75" customHeight="1">
      <c r="K360" s="3"/>
      <c r="L360" s="141"/>
    </row>
    <row r="361" ht="15.75" customHeight="1">
      <c r="K361" s="3"/>
      <c r="L361" s="141"/>
    </row>
    <row r="362" ht="15.75" customHeight="1">
      <c r="K362" s="3"/>
      <c r="L362" s="141"/>
    </row>
    <row r="363" ht="15.75" customHeight="1">
      <c r="K363" s="3"/>
      <c r="L363" s="141"/>
    </row>
    <row r="364" ht="15.75" customHeight="1">
      <c r="K364" s="3"/>
      <c r="L364" s="141"/>
    </row>
    <row r="365" ht="15.75" customHeight="1">
      <c r="K365" s="3"/>
      <c r="L365" s="141"/>
    </row>
    <row r="366" ht="15.75" customHeight="1">
      <c r="K366" s="3"/>
      <c r="L366" s="141"/>
    </row>
    <row r="367" ht="15.75" customHeight="1">
      <c r="K367" s="3"/>
      <c r="L367" s="141"/>
    </row>
    <row r="368" ht="15.75" customHeight="1">
      <c r="K368" s="3"/>
      <c r="L368" s="141"/>
    </row>
    <row r="369" ht="15.75" customHeight="1">
      <c r="K369" s="3"/>
      <c r="L369" s="141"/>
    </row>
    <row r="370" ht="15.75" customHeight="1">
      <c r="K370" s="3"/>
      <c r="L370" s="141"/>
    </row>
    <row r="371" ht="15.75" customHeight="1">
      <c r="K371" s="3"/>
      <c r="L371" s="141"/>
    </row>
    <row r="372" ht="15.75" customHeight="1">
      <c r="K372" s="3"/>
      <c r="L372" s="141"/>
    </row>
    <row r="373" ht="15.75" customHeight="1">
      <c r="K373" s="3"/>
      <c r="L373" s="141"/>
    </row>
    <row r="374" ht="15.75" customHeight="1">
      <c r="K374" s="3"/>
      <c r="L374" s="141"/>
    </row>
    <row r="375" ht="15.75" customHeight="1">
      <c r="K375" s="3"/>
      <c r="L375" s="141"/>
    </row>
    <row r="376" ht="15.75" customHeight="1">
      <c r="K376" s="3"/>
      <c r="L376" s="141"/>
    </row>
    <row r="377" ht="15.75" customHeight="1">
      <c r="K377" s="3"/>
      <c r="L377" s="141"/>
    </row>
    <row r="378" ht="15.75" customHeight="1">
      <c r="K378" s="3"/>
      <c r="L378" s="141"/>
    </row>
    <row r="379" ht="15.75" customHeight="1">
      <c r="K379" s="3"/>
      <c r="L379" s="141"/>
    </row>
    <row r="380" ht="15.75" customHeight="1">
      <c r="K380" s="3"/>
      <c r="L380" s="141"/>
    </row>
    <row r="381" ht="15.75" customHeight="1">
      <c r="K381" s="3"/>
      <c r="L381" s="141"/>
    </row>
    <row r="382" ht="15.75" customHeight="1">
      <c r="K382" s="3"/>
      <c r="L382" s="141"/>
    </row>
    <row r="383" ht="15.75" customHeight="1">
      <c r="K383" s="3"/>
      <c r="L383" s="141"/>
    </row>
    <row r="384" ht="15.75" customHeight="1">
      <c r="K384" s="3"/>
      <c r="L384" s="141"/>
    </row>
    <row r="385" ht="15.75" customHeight="1">
      <c r="K385" s="3"/>
      <c r="L385" s="141"/>
    </row>
    <row r="386" ht="15.75" customHeight="1">
      <c r="K386" s="3"/>
      <c r="L386" s="141"/>
    </row>
    <row r="387" ht="15.75" customHeight="1">
      <c r="K387" s="3"/>
      <c r="L387" s="141"/>
    </row>
    <row r="388" ht="15.75" customHeight="1">
      <c r="K388" s="3"/>
      <c r="L388" s="141"/>
    </row>
    <row r="389" ht="15.75" customHeight="1">
      <c r="K389" s="3"/>
      <c r="L389" s="141"/>
    </row>
    <row r="390" ht="15.75" customHeight="1">
      <c r="K390" s="3"/>
      <c r="L390" s="141"/>
    </row>
    <row r="391" ht="15.75" customHeight="1">
      <c r="K391" s="3"/>
      <c r="L391" s="141"/>
    </row>
    <row r="392" ht="15.75" customHeight="1">
      <c r="K392" s="3"/>
      <c r="L392" s="141"/>
    </row>
    <row r="393" ht="15.75" customHeight="1">
      <c r="K393" s="3"/>
      <c r="L393" s="141"/>
    </row>
    <row r="394" ht="15.75" customHeight="1">
      <c r="K394" s="3"/>
      <c r="L394" s="141"/>
    </row>
    <row r="395" ht="15.75" customHeight="1">
      <c r="K395" s="3"/>
      <c r="L395" s="141"/>
    </row>
    <row r="396" ht="15.75" customHeight="1">
      <c r="K396" s="3"/>
      <c r="L396" s="141"/>
    </row>
    <row r="397" ht="15.75" customHeight="1">
      <c r="K397" s="3"/>
      <c r="L397" s="141"/>
    </row>
    <row r="398" ht="15.75" customHeight="1">
      <c r="K398" s="3"/>
      <c r="L398" s="141"/>
    </row>
    <row r="399" ht="15.75" customHeight="1">
      <c r="K399" s="3"/>
      <c r="L399" s="141"/>
    </row>
    <row r="400" ht="15.75" customHeight="1">
      <c r="K400" s="3"/>
      <c r="L400" s="141"/>
    </row>
    <row r="401" ht="15.75" customHeight="1">
      <c r="K401" s="3"/>
      <c r="L401" s="141"/>
    </row>
    <row r="402" ht="15.75" customHeight="1">
      <c r="K402" s="3"/>
      <c r="L402" s="141"/>
    </row>
    <row r="403" ht="15.75" customHeight="1">
      <c r="K403" s="3"/>
      <c r="L403" s="141"/>
    </row>
    <row r="404" ht="15.75" customHeight="1">
      <c r="K404" s="3"/>
      <c r="L404" s="141"/>
    </row>
    <row r="405" ht="15.75" customHeight="1">
      <c r="K405" s="3"/>
      <c r="L405" s="141"/>
    </row>
    <row r="406" ht="15.75" customHeight="1">
      <c r="K406" s="3"/>
      <c r="L406" s="141"/>
    </row>
    <row r="407" ht="15.75" customHeight="1">
      <c r="K407" s="3"/>
      <c r="L407" s="141"/>
    </row>
    <row r="408" ht="15.75" customHeight="1">
      <c r="K408" s="3"/>
      <c r="L408" s="141"/>
    </row>
    <row r="409" ht="15.75" customHeight="1">
      <c r="K409" s="3"/>
      <c r="L409" s="141"/>
    </row>
    <row r="410" ht="15.75" customHeight="1">
      <c r="K410" s="3"/>
      <c r="L410" s="141"/>
    </row>
    <row r="411" ht="15.75" customHeight="1">
      <c r="K411" s="3"/>
      <c r="L411" s="141"/>
    </row>
    <row r="412" ht="15.75" customHeight="1">
      <c r="K412" s="3"/>
      <c r="L412" s="141"/>
    </row>
    <row r="413" ht="15.75" customHeight="1">
      <c r="K413" s="3"/>
      <c r="L413" s="141"/>
    </row>
    <row r="414" ht="15.75" customHeight="1">
      <c r="K414" s="3"/>
      <c r="L414" s="141"/>
    </row>
    <row r="415" ht="15.75" customHeight="1">
      <c r="K415" s="3"/>
      <c r="L415" s="141"/>
    </row>
    <row r="416" ht="15.75" customHeight="1">
      <c r="K416" s="3"/>
      <c r="L416" s="141"/>
    </row>
    <row r="417" ht="15.75" customHeight="1">
      <c r="K417" s="3"/>
      <c r="L417" s="141"/>
    </row>
    <row r="418" ht="15.75" customHeight="1">
      <c r="K418" s="3"/>
      <c r="L418" s="141"/>
    </row>
    <row r="419" ht="15.75" customHeight="1">
      <c r="K419" s="3"/>
      <c r="L419" s="141"/>
    </row>
    <row r="420" ht="15.75" customHeight="1">
      <c r="K420" s="3"/>
      <c r="L420" s="141"/>
    </row>
    <row r="421" ht="15.75" customHeight="1">
      <c r="K421" s="3"/>
      <c r="L421" s="141"/>
    </row>
    <row r="422" ht="15.75" customHeight="1">
      <c r="K422" s="3"/>
      <c r="L422" s="141"/>
    </row>
    <row r="423" ht="15.75" customHeight="1">
      <c r="K423" s="3"/>
      <c r="L423" s="141"/>
    </row>
    <row r="424" ht="15.75" customHeight="1">
      <c r="K424" s="3"/>
      <c r="L424" s="141"/>
    </row>
    <row r="425" ht="15.75" customHeight="1">
      <c r="K425" s="3"/>
      <c r="L425" s="141"/>
    </row>
    <row r="426" ht="15.75" customHeight="1">
      <c r="K426" s="3"/>
      <c r="L426" s="141"/>
    </row>
    <row r="427" ht="15.75" customHeight="1">
      <c r="K427" s="3"/>
      <c r="L427" s="141"/>
    </row>
    <row r="428" ht="15.75" customHeight="1">
      <c r="K428" s="3"/>
      <c r="L428" s="141"/>
    </row>
    <row r="429" ht="15.75" customHeight="1">
      <c r="K429" s="3"/>
      <c r="L429" s="141"/>
    </row>
    <row r="430" ht="15.75" customHeight="1">
      <c r="K430" s="3"/>
      <c r="L430" s="141"/>
    </row>
    <row r="431" ht="15.75" customHeight="1">
      <c r="K431" s="3"/>
      <c r="L431" s="141"/>
    </row>
    <row r="432" ht="15.75" customHeight="1">
      <c r="K432" s="3"/>
      <c r="L432" s="141"/>
    </row>
    <row r="433" ht="15.75" customHeight="1">
      <c r="K433" s="3"/>
      <c r="L433" s="141"/>
    </row>
    <row r="434" ht="15.75" customHeight="1">
      <c r="K434" s="3"/>
      <c r="L434" s="141"/>
    </row>
    <row r="435" ht="15.75" customHeight="1">
      <c r="K435" s="3"/>
      <c r="L435" s="141"/>
    </row>
    <row r="436" ht="15.75" customHeight="1">
      <c r="K436" s="3"/>
      <c r="L436" s="141"/>
    </row>
    <row r="437" ht="15.75" customHeight="1">
      <c r="K437" s="3"/>
      <c r="L437" s="141"/>
    </row>
    <row r="438" ht="15.75" customHeight="1">
      <c r="K438" s="3"/>
      <c r="L438" s="141"/>
    </row>
    <row r="439" ht="15.75" customHeight="1">
      <c r="K439" s="3"/>
      <c r="L439" s="141"/>
    </row>
    <row r="440" ht="15.75" customHeight="1">
      <c r="K440" s="3"/>
      <c r="L440" s="141"/>
    </row>
    <row r="441" ht="15.75" customHeight="1">
      <c r="K441" s="3"/>
      <c r="L441" s="141"/>
    </row>
    <row r="442" ht="15.75" customHeight="1">
      <c r="K442" s="3"/>
      <c r="L442" s="141"/>
    </row>
    <row r="443" ht="15.75" customHeight="1">
      <c r="K443" s="3"/>
      <c r="L443" s="141"/>
    </row>
    <row r="444" ht="15.75" customHeight="1">
      <c r="K444" s="3"/>
      <c r="L444" s="141"/>
    </row>
    <row r="445" ht="15.75" customHeight="1">
      <c r="K445" s="3"/>
      <c r="L445" s="141"/>
    </row>
    <row r="446" ht="15.75" customHeight="1">
      <c r="K446" s="3"/>
      <c r="L446" s="141"/>
    </row>
    <row r="447" ht="15.75" customHeight="1">
      <c r="K447" s="3"/>
      <c r="L447" s="141"/>
    </row>
    <row r="448" ht="15.75" customHeight="1">
      <c r="K448" s="3"/>
      <c r="L448" s="141"/>
    </row>
    <row r="449" ht="15.75" customHeight="1">
      <c r="K449" s="3"/>
      <c r="L449" s="141"/>
    </row>
    <row r="450" ht="15.75" customHeight="1">
      <c r="K450" s="3"/>
      <c r="L450" s="141"/>
    </row>
    <row r="451" ht="15.75" customHeight="1">
      <c r="K451" s="3"/>
      <c r="L451" s="141"/>
    </row>
    <row r="452" ht="15.75" customHeight="1">
      <c r="K452" s="3"/>
      <c r="L452" s="141"/>
    </row>
    <row r="453" ht="15.75" customHeight="1">
      <c r="K453" s="3"/>
      <c r="L453" s="141"/>
    </row>
    <row r="454" ht="15.75" customHeight="1">
      <c r="K454" s="3"/>
      <c r="L454" s="141"/>
    </row>
    <row r="455" ht="15.75" customHeight="1">
      <c r="K455" s="3"/>
      <c r="L455" s="141"/>
    </row>
    <row r="456" ht="15.75" customHeight="1">
      <c r="K456" s="3"/>
      <c r="L456" s="141"/>
    </row>
    <row r="457" ht="15.75" customHeight="1">
      <c r="K457" s="3"/>
      <c r="L457" s="141"/>
    </row>
    <row r="458" ht="15.75" customHeight="1">
      <c r="K458" s="3"/>
      <c r="L458" s="141"/>
    </row>
    <row r="459" ht="15.75" customHeight="1">
      <c r="K459" s="3"/>
      <c r="L459" s="141"/>
    </row>
    <row r="460" ht="15.75" customHeight="1">
      <c r="K460" s="3"/>
      <c r="L460" s="141"/>
    </row>
    <row r="461" ht="15.75" customHeight="1">
      <c r="K461" s="3"/>
      <c r="L461" s="141"/>
    </row>
    <row r="462" ht="15.75" customHeight="1">
      <c r="K462" s="3"/>
      <c r="L462" s="141"/>
    </row>
    <row r="463" ht="15.75" customHeight="1">
      <c r="K463" s="3"/>
      <c r="L463" s="141"/>
    </row>
    <row r="464" ht="15.75" customHeight="1">
      <c r="K464" s="3"/>
      <c r="L464" s="141"/>
    </row>
    <row r="465" ht="15.75" customHeight="1">
      <c r="K465" s="3"/>
      <c r="L465" s="141"/>
    </row>
    <row r="466" ht="15.75" customHeight="1">
      <c r="K466" s="3"/>
      <c r="L466" s="141"/>
    </row>
    <row r="467" ht="15.75" customHeight="1">
      <c r="K467" s="3"/>
      <c r="L467" s="141"/>
    </row>
    <row r="468" ht="15.75" customHeight="1">
      <c r="K468" s="3"/>
      <c r="L468" s="141"/>
    </row>
    <row r="469" ht="15.75" customHeight="1">
      <c r="K469" s="3"/>
      <c r="L469" s="141"/>
    </row>
    <row r="470" ht="15.75" customHeight="1">
      <c r="K470" s="3"/>
      <c r="L470" s="141"/>
    </row>
    <row r="471" ht="15.75" customHeight="1">
      <c r="K471" s="3"/>
      <c r="L471" s="141"/>
    </row>
    <row r="472" ht="15.75" customHeight="1">
      <c r="K472" s="3"/>
      <c r="L472" s="141"/>
    </row>
    <row r="473" ht="15.75" customHeight="1">
      <c r="K473" s="3"/>
      <c r="L473" s="141"/>
    </row>
    <row r="474" ht="15.75" customHeight="1">
      <c r="K474" s="3"/>
      <c r="L474" s="141"/>
    </row>
    <row r="475" ht="15.75" customHeight="1">
      <c r="K475" s="3"/>
      <c r="L475" s="141"/>
    </row>
    <row r="476" ht="15.75" customHeight="1">
      <c r="K476" s="3"/>
      <c r="L476" s="141"/>
    </row>
    <row r="477" ht="15.75" customHeight="1">
      <c r="K477" s="3"/>
      <c r="L477" s="141"/>
    </row>
    <row r="478" ht="15.75" customHeight="1">
      <c r="K478" s="3"/>
      <c r="L478" s="141"/>
    </row>
    <row r="479" ht="15.75" customHeight="1">
      <c r="K479" s="3"/>
      <c r="L479" s="141"/>
    </row>
    <row r="480" ht="15.75" customHeight="1">
      <c r="K480" s="3"/>
      <c r="L480" s="141"/>
    </row>
    <row r="481" ht="15.75" customHeight="1">
      <c r="K481" s="3"/>
      <c r="L481" s="141"/>
    </row>
    <row r="482" ht="15.75" customHeight="1">
      <c r="K482" s="3"/>
      <c r="L482" s="141"/>
    </row>
    <row r="483" ht="15.75" customHeight="1">
      <c r="K483" s="3"/>
      <c r="L483" s="141"/>
    </row>
    <row r="484" ht="15.75" customHeight="1">
      <c r="K484" s="3"/>
      <c r="L484" s="141"/>
    </row>
    <row r="485" ht="15.75" customHeight="1">
      <c r="K485" s="3"/>
      <c r="L485" s="141"/>
    </row>
    <row r="486" ht="15.75" customHeight="1">
      <c r="K486" s="3"/>
      <c r="L486" s="141"/>
    </row>
    <row r="487" ht="15.75" customHeight="1">
      <c r="K487" s="3"/>
      <c r="L487" s="141"/>
    </row>
    <row r="488" ht="15.75" customHeight="1">
      <c r="K488" s="3"/>
      <c r="L488" s="141"/>
    </row>
    <row r="489" ht="15.75" customHeight="1">
      <c r="K489" s="3"/>
      <c r="L489" s="141"/>
    </row>
    <row r="490" ht="15.75" customHeight="1">
      <c r="K490" s="3"/>
      <c r="L490" s="141"/>
    </row>
    <row r="491" ht="15.75" customHeight="1">
      <c r="K491" s="3"/>
      <c r="L491" s="141"/>
    </row>
    <row r="492" ht="15.75" customHeight="1">
      <c r="K492" s="3"/>
      <c r="L492" s="141"/>
    </row>
    <row r="493" ht="15.75" customHeight="1">
      <c r="K493" s="3"/>
      <c r="L493" s="141"/>
    </row>
    <row r="494" ht="15.75" customHeight="1">
      <c r="K494" s="3"/>
      <c r="L494" s="141"/>
    </row>
    <row r="495" ht="15.75" customHeight="1">
      <c r="K495" s="3"/>
      <c r="L495" s="141"/>
    </row>
    <row r="496" ht="15.75" customHeight="1">
      <c r="K496" s="3"/>
      <c r="L496" s="141"/>
    </row>
    <row r="497" ht="15.75" customHeight="1">
      <c r="K497" s="3"/>
      <c r="L497" s="141"/>
    </row>
    <row r="498" ht="15.75" customHeight="1">
      <c r="K498" s="3"/>
      <c r="L498" s="141"/>
    </row>
    <row r="499" ht="15.75" customHeight="1">
      <c r="K499" s="3"/>
      <c r="L499" s="141"/>
    </row>
    <row r="500" ht="15.75" customHeight="1">
      <c r="K500" s="3"/>
      <c r="L500" s="141"/>
    </row>
    <row r="501" ht="15.75" customHeight="1">
      <c r="K501" s="3"/>
      <c r="L501" s="141"/>
    </row>
    <row r="502" ht="15.75" customHeight="1">
      <c r="K502" s="3"/>
      <c r="L502" s="141"/>
    </row>
    <row r="503" ht="15.75" customHeight="1">
      <c r="K503" s="3"/>
      <c r="L503" s="141"/>
    </row>
    <row r="504" ht="15.75" customHeight="1">
      <c r="K504" s="3"/>
      <c r="L504" s="141"/>
    </row>
    <row r="505" ht="15.75" customHeight="1">
      <c r="K505" s="3"/>
      <c r="L505" s="141"/>
    </row>
    <row r="506" ht="15.75" customHeight="1">
      <c r="K506" s="3"/>
      <c r="L506" s="141"/>
    </row>
    <row r="507" ht="15.75" customHeight="1">
      <c r="K507" s="3"/>
      <c r="L507" s="141"/>
    </row>
    <row r="508" ht="15.75" customHeight="1">
      <c r="K508" s="3"/>
      <c r="L508" s="141"/>
    </row>
    <row r="509" ht="15.75" customHeight="1">
      <c r="K509" s="3"/>
      <c r="L509" s="141"/>
    </row>
    <row r="510" ht="15.75" customHeight="1">
      <c r="K510" s="3"/>
      <c r="L510" s="141"/>
    </row>
    <row r="511" ht="15.75" customHeight="1">
      <c r="K511" s="3"/>
      <c r="L511" s="141"/>
    </row>
    <row r="512" ht="15.75" customHeight="1">
      <c r="K512" s="3"/>
      <c r="L512" s="141"/>
    </row>
    <row r="513" ht="15.75" customHeight="1">
      <c r="K513" s="3"/>
      <c r="L513" s="141"/>
    </row>
    <row r="514" ht="15.75" customHeight="1">
      <c r="K514" s="3"/>
      <c r="L514" s="141"/>
    </row>
    <row r="515" ht="15.75" customHeight="1">
      <c r="K515" s="3"/>
      <c r="L515" s="141"/>
    </row>
    <row r="516" ht="15.75" customHeight="1">
      <c r="K516" s="3"/>
      <c r="L516" s="141"/>
    </row>
    <row r="517" ht="15.75" customHeight="1">
      <c r="K517" s="3"/>
      <c r="L517" s="141"/>
    </row>
    <row r="518" ht="15.75" customHeight="1">
      <c r="K518" s="3"/>
      <c r="L518" s="141"/>
    </row>
    <row r="519" ht="15.75" customHeight="1">
      <c r="K519" s="3"/>
      <c r="L519" s="141"/>
    </row>
    <row r="520" ht="15.75" customHeight="1">
      <c r="K520" s="3"/>
      <c r="L520" s="141"/>
    </row>
    <row r="521" ht="15.75" customHeight="1">
      <c r="K521" s="3"/>
      <c r="L521" s="141"/>
    </row>
    <row r="522" ht="15.75" customHeight="1">
      <c r="K522" s="3"/>
      <c r="L522" s="141"/>
    </row>
    <row r="523" ht="15.75" customHeight="1">
      <c r="K523" s="3"/>
      <c r="L523" s="141"/>
    </row>
    <row r="524" ht="15.75" customHeight="1">
      <c r="K524" s="3"/>
      <c r="L524" s="141"/>
    </row>
    <row r="525" ht="15.75" customHeight="1">
      <c r="K525" s="3"/>
      <c r="L525" s="141"/>
    </row>
    <row r="526" ht="15.75" customHeight="1">
      <c r="K526" s="3"/>
      <c r="L526" s="141"/>
    </row>
    <row r="527" ht="15.75" customHeight="1">
      <c r="K527" s="3"/>
      <c r="L527" s="141"/>
    </row>
    <row r="528" ht="15.75" customHeight="1">
      <c r="K528" s="3"/>
      <c r="L528" s="141"/>
    </row>
    <row r="529" ht="15.75" customHeight="1">
      <c r="K529" s="3"/>
      <c r="L529" s="141"/>
    </row>
    <row r="530" ht="15.75" customHeight="1">
      <c r="K530" s="3"/>
      <c r="L530" s="141"/>
    </row>
    <row r="531" ht="15.75" customHeight="1">
      <c r="K531" s="3"/>
      <c r="L531" s="141"/>
    </row>
    <row r="532" ht="15.75" customHeight="1">
      <c r="K532" s="3"/>
      <c r="L532" s="141"/>
    </row>
    <row r="533" ht="15.75" customHeight="1">
      <c r="K533" s="3"/>
      <c r="L533" s="141"/>
    </row>
    <row r="534" ht="15.75" customHeight="1">
      <c r="K534" s="3"/>
      <c r="L534" s="141"/>
    </row>
    <row r="535" ht="15.75" customHeight="1">
      <c r="K535" s="3"/>
      <c r="L535" s="141"/>
    </row>
    <row r="536" ht="15.75" customHeight="1">
      <c r="K536" s="3"/>
      <c r="L536" s="141"/>
    </row>
    <row r="537" ht="15.75" customHeight="1">
      <c r="K537" s="3"/>
      <c r="L537" s="141"/>
    </row>
    <row r="538" ht="15.75" customHeight="1">
      <c r="K538" s="3"/>
      <c r="L538" s="141"/>
    </row>
    <row r="539" ht="15.75" customHeight="1">
      <c r="K539" s="3"/>
      <c r="L539" s="141"/>
    </row>
    <row r="540" ht="15.75" customHeight="1">
      <c r="K540" s="3"/>
      <c r="L540" s="141"/>
    </row>
    <row r="541" ht="15.75" customHeight="1">
      <c r="K541" s="3"/>
      <c r="L541" s="141"/>
    </row>
    <row r="542" ht="15.75" customHeight="1">
      <c r="K542" s="3"/>
      <c r="L542" s="141"/>
    </row>
    <row r="543" ht="15.75" customHeight="1">
      <c r="K543" s="3"/>
      <c r="L543" s="141"/>
    </row>
    <row r="544" ht="15.75" customHeight="1">
      <c r="K544" s="3"/>
      <c r="L544" s="141"/>
    </row>
    <row r="545" ht="15.75" customHeight="1">
      <c r="K545" s="3"/>
      <c r="L545" s="141"/>
    </row>
    <row r="546" ht="15.75" customHeight="1">
      <c r="K546" s="3"/>
      <c r="L546" s="141"/>
    </row>
    <row r="547" ht="15.75" customHeight="1">
      <c r="K547" s="3"/>
      <c r="L547" s="141"/>
    </row>
    <row r="548" ht="15.75" customHeight="1">
      <c r="K548" s="3"/>
      <c r="L548" s="141"/>
    </row>
    <row r="549" ht="15.75" customHeight="1">
      <c r="K549" s="3"/>
      <c r="L549" s="141"/>
    </row>
    <row r="550" ht="15.75" customHeight="1">
      <c r="K550" s="3"/>
      <c r="L550" s="141"/>
    </row>
    <row r="551" ht="15.75" customHeight="1">
      <c r="K551" s="3"/>
      <c r="L551" s="141"/>
    </row>
    <row r="552" ht="15.75" customHeight="1">
      <c r="K552" s="3"/>
      <c r="L552" s="141"/>
    </row>
    <row r="553" ht="15.75" customHeight="1">
      <c r="K553" s="3"/>
      <c r="L553" s="141"/>
    </row>
    <row r="554" ht="15.75" customHeight="1">
      <c r="K554" s="3"/>
      <c r="L554" s="141"/>
    </row>
    <row r="555" ht="15.75" customHeight="1">
      <c r="K555" s="3"/>
      <c r="L555" s="141"/>
    </row>
    <row r="556" ht="15.75" customHeight="1">
      <c r="K556" s="3"/>
      <c r="L556" s="141"/>
    </row>
    <row r="557" ht="15.75" customHeight="1">
      <c r="K557" s="3"/>
      <c r="L557" s="141"/>
    </row>
    <row r="558" ht="15.75" customHeight="1">
      <c r="K558" s="3"/>
      <c r="L558" s="141"/>
    </row>
    <row r="559" ht="15.75" customHeight="1">
      <c r="K559" s="3"/>
      <c r="L559" s="141"/>
    </row>
    <row r="560" ht="15.75" customHeight="1">
      <c r="K560" s="3"/>
      <c r="L560" s="141"/>
    </row>
    <row r="561" ht="15.75" customHeight="1">
      <c r="K561" s="3"/>
      <c r="L561" s="141"/>
    </row>
    <row r="562" ht="15.75" customHeight="1">
      <c r="K562" s="3"/>
      <c r="L562" s="141"/>
    </row>
    <row r="563" ht="15.75" customHeight="1">
      <c r="K563" s="3"/>
      <c r="L563" s="141"/>
    </row>
    <row r="564" ht="15.75" customHeight="1">
      <c r="K564" s="3"/>
      <c r="L564" s="141"/>
    </row>
    <row r="565" ht="15.75" customHeight="1">
      <c r="K565" s="3"/>
      <c r="L565" s="141"/>
    </row>
    <row r="566" ht="15.75" customHeight="1">
      <c r="K566" s="3"/>
      <c r="L566" s="141"/>
    </row>
    <row r="567" ht="15.75" customHeight="1">
      <c r="K567" s="3"/>
      <c r="L567" s="141"/>
    </row>
    <row r="568" ht="15.75" customHeight="1">
      <c r="K568" s="3"/>
      <c r="L568" s="141"/>
    </row>
    <row r="569" ht="15.75" customHeight="1">
      <c r="K569" s="3"/>
      <c r="L569" s="141"/>
    </row>
    <row r="570" ht="15.75" customHeight="1">
      <c r="K570" s="3"/>
      <c r="L570" s="141"/>
    </row>
    <row r="571" ht="15.75" customHeight="1">
      <c r="K571" s="3"/>
      <c r="L571" s="141"/>
    </row>
    <row r="572" ht="15.75" customHeight="1">
      <c r="K572" s="3"/>
      <c r="L572" s="141"/>
    </row>
    <row r="573" ht="15.75" customHeight="1">
      <c r="K573" s="3"/>
      <c r="L573" s="141"/>
    </row>
    <row r="574" ht="15.75" customHeight="1">
      <c r="K574" s="3"/>
      <c r="L574" s="141"/>
    </row>
    <row r="575" ht="15.75" customHeight="1">
      <c r="K575" s="3"/>
      <c r="L575" s="141"/>
    </row>
    <row r="576" ht="15.75" customHeight="1">
      <c r="K576" s="3"/>
      <c r="L576" s="141"/>
    </row>
    <row r="577" ht="15.75" customHeight="1">
      <c r="K577" s="3"/>
      <c r="L577" s="141"/>
    </row>
    <row r="578" ht="15.75" customHeight="1">
      <c r="K578" s="3"/>
      <c r="L578" s="141"/>
    </row>
    <row r="579" ht="15.75" customHeight="1">
      <c r="K579" s="3"/>
      <c r="L579" s="141"/>
    </row>
    <row r="580" ht="15.75" customHeight="1">
      <c r="K580" s="3"/>
      <c r="L580" s="141"/>
    </row>
    <row r="581" ht="15.75" customHeight="1">
      <c r="K581" s="3"/>
      <c r="L581" s="141"/>
    </row>
    <row r="582" ht="15.75" customHeight="1">
      <c r="K582" s="3"/>
      <c r="L582" s="141"/>
    </row>
    <row r="583" ht="15.75" customHeight="1">
      <c r="K583" s="3"/>
      <c r="L583" s="141"/>
    </row>
    <row r="584" ht="15.75" customHeight="1">
      <c r="K584" s="3"/>
      <c r="L584" s="141"/>
    </row>
    <row r="585" ht="15.75" customHeight="1">
      <c r="K585" s="3"/>
      <c r="L585" s="141"/>
    </row>
    <row r="586" ht="15.75" customHeight="1">
      <c r="K586" s="3"/>
      <c r="L586" s="141"/>
    </row>
    <row r="587" ht="15.75" customHeight="1">
      <c r="K587" s="3"/>
      <c r="L587" s="141"/>
    </row>
    <row r="588" ht="15.75" customHeight="1">
      <c r="K588" s="3"/>
      <c r="L588" s="141"/>
    </row>
    <row r="589" ht="15.75" customHeight="1">
      <c r="K589" s="3"/>
      <c r="L589" s="141"/>
    </row>
    <row r="590" ht="15.75" customHeight="1">
      <c r="K590" s="3"/>
      <c r="L590" s="141"/>
    </row>
    <row r="591" ht="15.75" customHeight="1">
      <c r="K591" s="3"/>
      <c r="L591" s="141"/>
    </row>
    <row r="592" ht="15.75" customHeight="1">
      <c r="K592" s="3"/>
      <c r="L592" s="141"/>
    </row>
    <row r="593" ht="15.75" customHeight="1">
      <c r="K593" s="3"/>
      <c r="L593" s="141"/>
    </row>
    <row r="594" ht="15.75" customHeight="1">
      <c r="K594" s="3"/>
      <c r="L594" s="141"/>
    </row>
    <row r="595" ht="15.75" customHeight="1">
      <c r="K595" s="3"/>
      <c r="L595" s="141"/>
    </row>
    <row r="596" ht="15.75" customHeight="1">
      <c r="K596" s="3"/>
      <c r="L596" s="141"/>
    </row>
    <row r="597" ht="15.75" customHeight="1">
      <c r="K597" s="3"/>
      <c r="L597" s="141"/>
    </row>
    <row r="598" ht="15.75" customHeight="1">
      <c r="K598" s="3"/>
      <c r="L598" s="141"/>
    </row>
    <row r="599" ht="15.75" customHeight="1">
      <c r="K599" s="3"/>
      <c r="L599" s="141"/>
    </row>
    <row r="600" ht="15.75" customHeight="1">
      <c r="K600" s="3"/>
      <c r="L600" s="141"/>
    </row>
    <row r="601" ht="15.75" customHeight="1">
      <c r="K601" s="3"/>
      <c r="L601" s="141"/>
    </row>
    <row r="602" ht="15.75" customHeight="1">
      <c r="K602" s="3"/>
      <c r="L602" s="141"/>
    </row>
    <row r="603" ht="15.75" customHeight="1">
      <c r="K603" s="3"/>
      <c r="L603" s="141"/>
    </row>
    <row r="604" ht="15.75" customHeight="1">
      <c r="K604" s="3"/>
      <c r="L604" s="141"/>
    </row>
    <row r="605" ht="15.75" customHeight="1">
      <c r="K605" s="3"/>
      <c r="L605" s="141"/>
    </row>
    <row r="606" ht="15.75" customHeight="1">
      <c r="K606" s="3"/>
      <c r="L606" s="141"/>
    </row>
    <row r="607" ht="15.75" customHeight="1">
      <c r="K607" s="3"/>
      <c r="L607" s="141"/>
    </row>
    <row r="608" ht="15.75" customHeight="1">
      <c r="K608" s="3"/>
      <c r="L608" s="141"/>
    </row>
    <row r="609" ht="15.75" customHeight="1">
      <c r="K609" s="3"/>
      <c r="L609" s="141"/>
    </row>
    <row r="610" ht="15.75" customHeight="1">
      <c r="K610" s="3"/>
      <c r="L610" s="141"/>
    </row>
    <row r="611" ht="15.75" customHeight="1">
      <c r="K611" s="3"/>
      <c r="L611" s="141"/>
    </row>
    <row r="612" ht="15.75" customHeight="1">
      <c r="K612" s="3"/>
      <c r="L612" s="141"/>
    </row>
    <row r="613" ht="15.75" customHeight="1">
      <c r="K613" s="3"/>
      <c r="L613" s="141"/>
    </row>
    <row r="614" ht="15.75" customHeight="1">
      <c r="K614" s="3"/>
      <c r="L614" s="141"/>
    </row>
    <row r="615" ht="15.75" customHeight="1">
      <c r="K615" s="3"/>
      <c r="L615" s="141"/>
    </row>
    <row r="616" ht="15.75" customHeight="1">
      <c r="K616" s="3"/>
      <c r="L616" s="141"/>
    </row>
    <row r="617" ht="15.75" customHeight="1">
      <c r="K617" s="3"/>
      <c r="L617" s="141"/>
    </row>
    <row r="618" ht="15.75" customHeight="1">
      <c r="K618" s="3"/>
      <c r="L618" s="141"/>
    </row>
    <row r="619" ht="15.75" customHeight="1">
      <c r="K619" s="3"/>
      <c r="L619" s="141"/>
    </row>
    <row r="620" ht="15.75" customHeight="1">
      <c r="K620" s="3"/>
      <c r="L620" s="141"/>
    </row>
    <row r="621" ht="15.75" customHeight="1">
      <c r="K621" s="3"/>
      <c r="L621" s="141"/>
    </row>
    <row r="622" ht="15.75" customHeight="1">
      <c r="K622" s="3"/>
      <c r="L622" s="141"/>
    </row>
    <row r="623" ht="15.75" customHeight="1">
      <c r="K623" s="3"/>
      <c r="L623" s="141"/>
    </row>
    <row r="624" ht="15.75" customHeight="1">
      <c r="K624" s="3"/>
      <c r="L624" s="141"/>
    </row>
    <row r="625" ht="15.75" customHeight="1">
      <c r="K625" s="3"/>
      <c r="L625" s="141"/>
    </row>
    <row r="626" ht="15.75" customHeight="1">
      <c r="K626" s="3"/>
      <c r="L626" s="141"/>
    </row>
    <row r="627" ht="15.75" customHeight="1">
      <c r="K627" s="3"/>
      <c r="L627" s="141"/>
    </row>
    <row r="628" ht="15.75" customHeight="1">
      <c r="K628" s="3"/>
      <c r="L628" s="141"/>
    </row>
    <row r="629" ht="15.75" customHeight="1">
      <c r="K629" s="3"/>
      <c r="L629" s="141"/>
    </row>
    <row r="630" ht="15.75" customHeight="1">
      <c r="K630" s="3"/>
      <c r="L630" s="141"/>
    </row>
    <row r="631" ht="15.75" customHeight="1">
      <c r="K631" s="3"/>
      <c r="L631" s="141"/>
    </row>
    <row r="632" ht="15.75" customHeight="1">
      <c r="K632" s="3"/>
      <c r="L632" s="141"/>
    </row>
    <row r="633" ht="15.75" customHeight="1">
      <c r="K633" s="3"/>
      <c r="L633" s="141"/>
    </row>
    <row r="634" ht="15.75" customHeight="1">
      <c r="K634" s="3"/>
      <c r="L634" s="141"/>
    </row>
    <row r="635" ht="15.75" customHeight="1">
      <c r="K635" s="3"/>
      <c r="L635" s="141"/>
    </row>
    <row r="636" ht="15.75" customHeight="1">
      <c r="K636" s="3"/>
      <c r="L636" s="141"/>
    </row>
    <row r="637" ht="15.75" customHeight="1">
      <c r="K637" s="3"/>
      <c r="L637" s="141"/>
    </row>
    <row r="638" ht="15.75" customHeight="1">
      <c r="K638" s="3"/>
      <c r="L638" s="141"/>
    </row>
    <row r="639" ht="15.75" customHeight="1">
      <c r="K639" s="3"/>
      <c r="L639" s="141"/>
    </row>
    <row r="640" ht="15.75" customHeight="1">
      <c r="K640" s="3"/>
      <c r="L640" s="141"/>
    </row>
    <row r="641" ht="15.75" customHeight="1">
      <c r="K641" s="3"/>
      <c r="L641" s="141"/>
    </row>
    <row r="642" ht="15.75" customHeight="1">
      <c r="K642" s="3"/>
      <c r="L642" s="141"/>
    </row>
    <row r="643" ht="15.75" customHeight="1">
      <c r="K643" s="3"/>
      <c r="L643" s="141"/>
    </row>
    <row r="644" ht="15.75" customHeight="1">
      <c r="K644" s="3"/>
      <c r="L644" s="141"/>
    </row>
    <row r="645" ht="15.75" customHeight="1">
      <c r="K645" s="3"/>
      <c r="L645" s="141"/>
    </row>
    <row r="646" ht="15.75" customHeight="1">
      <c r="K646" s="3"/>
      <c r="L646" s="141"/>
    </row>
    <row r="647" ht="15.75" customHeight="1">
      <c r="K647" s="3"/>
      <c r="L647" s="141"/>
    </row>
    <row r="648" ht="15.75" customHeight="1">
      <c r="K648" s="3"/>
      <c r="L648" s="141"/>
    </row>
    <row r="649" ht="15.75" customHeight="1">
      <c r="K649" s="3"/>
      <c r="L649" s="141"/>
    </row>
    <row r="650" ht="15.75" customHeight="1">
      <c r="K650" s="3"/>
      <c r="L650" s="141"/>
    </row>
    <row r="651" ht="15.75" customHeight="1">
      <c r="K651" s="3"/>
      <c r="L651" s="141"/>
    </row>
    <row r="652" ht="15.75" customHeight="1">
      <c r="K652" s="3"/>
      <c r="L652" s="141"/>
    </row>
    <row r="653" ht="15.75" customHeight="1">
      <c r="K653" s="3"/>
      <c r="L653" s="141"/>
    </row>
    <row r="654" ht="15.75" customHeight="1">
      <c r="K654" s="3"/>
      <c r="L654" s="141"/>
    </row>
    <row r="655" ht="15.75" customHeight="1">
      <c r="K655" s="3"/>
      <c r="L655" s="141"/>
    </row>
    <row r="656" ht="15.75" customHeight="1">
      <c r="K656" s="3"/>
      <c r="L656" s="141"/>
    </row>
    <row r="657" ht="15.75" customHeight="1">
      <c r="K657" s="3"/>
      <c r="L657" s="141"/>
    </row>
    <row r="658" ht="15.75" customHeight="1">
      <c r="K658" s="3"/>
      <c r="L658" s="141"/>
    </row>
    <row r="659" ht="15.75" customHeight="1">
      <c r="K659" s="3"/>
      <c r="L659" s="141"/>
    </row>
    <row r="660" ht="15.75" customHeight="1">
      <c r="K660" s="3"/>
      <c r="L660" s="141"/>
    </row>
    <row r="661" ht="15.75" customHeight="1">
      <c r="K661" s="3"/>
      <c r="L661" s="141"/>
    </row>
    <row r="662" ht="15.75" customHeight="1">
      <c r="K662" s="3"/>
      <c r="L662" s="141"/>
    </row>
    <row r="663" ht="15.75" customHeight="1">
      <c r="K663" s="3"/>
      <c r="L663" s="141"/>
    </row>
    <row r="664" ht="15.75" customHeight="1">
      <c r="K664" s="3"/>
      <c r="L664" s="141"/>
    </row>
    <row r="665" ht="15.75" customHeight="1">
      <c r="K665" s="3"/>
      <c r="L665" s="141"/>
    </row>
    <row r="666" ht="15.75" customHeight="1">
      <c r="K666" s="3"/>
      <c r="L666" s="141"/>
    </row>
    <row r="667" ht="15.75" customHeight="1">
      <c r="K667" s="3"/>
      <c r="L667" s="141"/>
    </row>
    <row r="668" ht="15.75" customHeight="1">
      <c r="K668" s="3"/>
      <c r="L668" s="141"/>
    </row>
    <row r="669" ht="15.75" customHeight="1">
      <c r="K669" s="3"/>
      <c r="L669" s="141"/>
    </row>
    <row r="670" ht="15.75" customHeight="1">
      <c r="K670" s="3"/>
      <c r="L670" s="141"/>
    </row>
    <row r="671" ht="15.75" customHeight="1">
      <c r="K671" s="3"/>
      <c r="L671" s="141"/>
    </row>
    <row r="672" ht="15.75" customHeight="1">
      <c r="K672" s="3"/>
      <c r="L672" s="141"/>
    </row>
    <row r="673" ht="15.75" customHeight="1">
      <c r="K673" s="3"/>
      <c r="L673" s="141"/>
    </row>
    <row r="674" ht="15.75" customHeight="1">
      <c r="K674" s="3"/>
      <c r="L674" s="141"/>
    </row>
    <row r="675" ht="15.75" customHeight="1">
      <c r="K675" s="3"/>
      <c r="L675" s="141"/>
    </row>
    <row r="676" ht="15.75" customHeight="1">
      <c r="K676" s="3"/>
      <c r="L676" s="141"/>
    </row>
    <row r="677" ht="15.75" customHeight="1">
      <c r="K677" s="3"/>
      <c r="L677" s="141"/>
    </row>
    <row r="678" ht="15.75" customHeight="1">
      <c r="K678" s="3"/>
      <c r="L678" s="141"/>
    </row>
    <row r="679" ht="15.75" customHeight="1">
      <c r="K679" s="3"/>
      <c r="L679" s="141"/>
    </row>
    <row r="680" ht="15.75" customHeight="1">
      <c r="K680" s="3"/>
      <c r="L680" s="141"/>
    </row>
    <row r="681" ht="15.75" customHeight="1">
      <c r="K681" s="3"/>
      <c r="L681" s="141"/>
    </row>
    <row r="682" ht="15.75" customHeight="1">
      <c r="K682" s="3"/>
      <c r="L682" s="141"/>
    </row>
    <row r="683" ht="15.75" customHeight="1">
      <c r="K683" s="3"/>
      <c r="L683" s="141"/>
    </row>
    <row r="684" ht="15.75" customHeight="1">
      <c r="K684" s="3"/>
      <c r="L684" s="141"/>
    </row>
    <row r="685" ht="15.75" customHeight="1">
      <c r="K685" s="3"/>
      <c r="L685" s="141"/>
    </row>
    <row r="686" ht="15.75" customHeight="1">
      <c r="K686" s="3"/>
      <c r="L686" s="141"/>
    </row>
    <row r="687" ht="15.75" customHeight="1">
      <c r="K687" s="3"/>
      <c r="L687" s="141"/>
    </row>
    <row r="688" ht="15.75" customHeight="1">
      <c r="K688" s="3"/>
      <c r="L688" s="141"/>
    </row>
    <row r="689" ht="15.75" customHeight="1">
      <c r="K689" s="3"/>
      <c r="L689" s="141"/>
    </row>
    <row r="690" ht="15.75" customHeight="1">
      <c r="K690" s="3"/>
      <c r="L690" s="141"/>
    </row>
    <row r="691" ht="15.75" customHeight="1">
      <c r="K691" s="3"/>
      <c r="L691" s="141"/>
    </row>
    <row r="692" ht="15.75" customHeight="1">
      <c r="K692" s="3"/>
      <c r="L692" s="141"/>
    </row>
    <row r="693" ht="15.75" customHeight="1">
      <c r="K693" s="3"/>
      <c r="L693" s="141"/>
    </row>
    <row r="694" ht="15.75" customHeight="1">
      <c r="K694" s="3"/>
      <c r="L694" s="141"/>
    </row>
    <row r="695" ht="15.75" customHeight="1">
      <c r="K695" s="3"/>
      <c r="L695" s="141"/>
    </row>
    <row r="696" ht="15.75" customHeight="1">
      <c r="K696" s="3"/>
      <c r="L696" s="141"/>
    </row>
    <row r="697" ht="15.75" customHeight="1">
      <c r="K697" s="3"/>
      <c r="L697" s="141"/>
    </row>
    <row r="698" ht="15.75" customHeight="1">
      <c r="K698" s="3"/>
      <c r="L698" s="141"/>
    </row>
    <row r="699" ht="15.75" customHeight="1">
      <c r="K699" s="3"/>
      <c r="L699" s="141"/>
    </row>
    <row r="700" ht="15.75" customHeight="1">
      <c r="K700" s="3"/>
      <c r="L700" s="141"/>
    </row>
    <row r="701" ht="15.75" customHeight="1">
      <c r="K701" s="3"/>
      <c r="L701" s="141"/>
    </row>
    <row r="702" ht="15.75" customHeight="1">
      <c r="K702" s="3"/>
      <c r="L702" s="141"/>
    </row>
    <row r="703" ht="15.75" customHeight="1">
      <c r="K703" s="3"/>
      <c r="L703" s="141"/>
    </row>
    <row r="704" ht="15.75" customHeight="1">
      <c r="K704" s="3"/>
      <c r="L704" s="141"/>
    </row>
    <row r="705" ht="15.75" customHeight="1">
      <c r="K705" s="3"/>
      <c r="L705" s="141"/>
    </row>
    <row r="706" ht="15.75" customHeight="1">
      <c r="K706" s="3"/>
      <c r="L706" s="141"/>
    </row>
    <row r="707" ht="15.75" customHeight="1">
      <c r="K707" s="3"/>
      <c r="L707" s="141"/>
    </row>
    <row r="708" ht="15.75" customHeight="1">
      <c r="K708" s="3"/>
      <c r="L708" s="141"/>
    </row>
    <row r="709" ht="15.75" customHeight="1">
      <c r="K709" s="3"/>
      <c r="L709" s="141"/>
    </row>
    <row r="710" ht="15.75" customHeight="1">
      <c r="K710" s="3"/>
      <c r="L710" s="141"/>
    </row>
    <row r="711" ht="15.75" customHeight="1">
      <c r="K711" s="3"/>
      <c r="L711" s="141"/>
    </row>
    <row r="712" ht="15.75" customHeight="1">
      <c r="K712" s="3"/>
      <c r="L712" s="141"/>
    </row>
    <row r="713" ht="15.75" customHeight="1">
      <c r="K713" s="3"/>
      <c r="L713" s="141"/>
    </row>
    <row r="714" ht="15.75" customHeight="1">
      <c r="K714" s="3"/>
      <c r="L714" s="141"/>
    </row>
    <row r="715" ht="15.75" customHeight="1">
      <c r="K715" s="3"/>
      <c r="L715" s="141"/>
    </row>
    <row r="716" ht="15.75" customHeight="1">
      <c r="K716" s="3"/>
      <c r="L716" s="141"/>
    </row>
    <row r="717" ht="15.75" customHeight="1">
      <c r="K717" s="3"/>
      <c r="L717" s="141"/>
    </row>
    <row r="718" ht="15.75" customHeight="1">
      <c r="K718" s="3"/>
      <c r="L718" s="141"/>
    </row>
    <row r="719" ht="15.75" customHeight="1">
      <c r="K719" s="3"/>
      <c r="L719" s="141"/>
    </row>
    <row r="720" ht="15.75" customHeight="1">
      <c r="K720" s="3"/>
      <c r="L720" s="141"/>
    </row>
    <row r="721" ht="15.75" customHeight="1">
      <c r="K721" s="3"/>
      <c r="L721" s="141"/>
    </row>
    <row r="722" ht="15.75" customHeight="1">
      <c r="K722" s="3"/>
      <c r="L722" s="141"/>
    </row>
    <row r="723" ht="15.75" customHeight="1">
      <c r="K723" s="3"/>
      <c r="L723" s="141"/>
    </row>
    <row r="724" ht="15.75" customHeight="1">
      <c r="K724" s="3"/>
      <c r="L724" s="141"/>
    </row>
    <row r="725" ht="15.75" customHeight="1">
      <c r="K725" s="3"/>
      <c r="L725" s="141"/>
    </row>
    <row r="726" ht="15.75" customHeight="1">
      <c r="K726" s="3"/>
      <c r="L726" s="141"/>
    </row>
    <row r="727" ht="15.75" customHeight="1">
      <c r="K727" s="3"/>
      <c r="L727" s="141"/>
    </row>
    <row r="728" ht="15.75" customHeight="1">
      <c r="K728" s="3"/>
      <c r="L728" s="141"/>
    </row>
    <row r="729" ht="15.75" customHeight="1">
      <c r="K729" s="3"/>
      <c r="L729" s="141"/>
    </row>
    <row r="730" ht="15.75" customHeight="1">
      <c r="K730" s="3"/>
      <c r="L730" s="141"/>
    </row>
    <row r="731" ht="15.75" customHeight="1">
      <c r="K731" s="3"/>
      <c r="L731" s="141"/>
    </row>
    <row r="732" ht="15.75" customHeight="1">
      <c r="K732" s="3"/>
      <c r="L732" s="141"/>
    </row>
    <row r="733" ht="15.75" customHeight="1">
      <c r="K733" s="3"/>
      <c r="L733" s="141"/>
    </row>
    <row r="734" ht="15.75" customHeight="1">
      <c r="K734" s="3"/>
      <c r="L734" s="141"/>
    </row>
    <row r="735" ht="15.75" customHeight="1">
      <c r="K735" s="3"/>
      <c r="L735" s="141"/>
    </row>
    <row r="736" ht="15.75" customHeight="1">
      <c r="K736" s="3"/>
      <c r="L736" s="141"/>
    </row>
    <row r="737" ht="15.75" customHeight="1">
      <c r="K737" s="3"/>
      <c r="L737" s="141"/>
    </row>
    <row r="738" ht="15.75" customHeight="1">
      <c r="K738" s="3"/>
      <c r="L738" s="141"/>
    </row>
    <row r="739" ht="15.75" customHeight="1">
      <c r="K739" s="3"/>
      <c r="L739" s="141"/>
    </row>
    <row r="740" ht="15.75" customHeight="1">
      <c r="K740" s="3"/>
      <c r="L740" s="141"/>
    </row>
    <row r="741" ht="15.75" customHeight="1">
      <c r="K741" s="3"/>
      <c r="L741" s="141"/>
    </row>
    <row r="742" ht="15.75" customHeight="1">
      <c r="K742" s="3"/>
      <c r="L742" s="141"/>
    </row>
    <row r="743" ht="15.75" customHeight="1">
      <c r="K743" s="3"/>
      <c r="L743" s="141"/>
    </row>
    <row r="744" ht="15.75" customHeight="1">
      <c r="K744" s="3"/>
      <c r="L744" s="141"/>
    </row>
    <row r="745" ht="15.75" customHeight="1">
      <c r="K745" s="3"/>
      <c r="L745" s="141"/>
    </row>
    <row r="746" ht="15.75" customHeight="1">
      <c r="K746" s="3"/>
      <c r="L746" s="141"/>
    </row>
    <row r="747" ht="15.75" customHeight="1">
      <c r="K747" s="3"/>
      <c r="L747" s="141"/>
    </row>
    <row r="748" ht="15.75" customHeight="1">
      <c r="K748" s="3"/>
      <c r="L748" s="141"/>
    </row>
    <row r="749" ht="15.75" customHeight="1">
      <c r="K749" s="3"/>
      <c r="L749" s="141"/>
    </row>
    <row r="750" ht="15.75" customHeight="1">
      <c r="K750" s="3"/>
      <c r="L750" s="141"/>
    </row>
    <row r="751" ht="15.75" customHeight="1">
      <c r="K751" s="3"/>
      <c r="L751" s="141"/>
    </row>
    <row r="752" ht="15.75" customHeight="1">
      <c r="K752" s="3"/>
      <c r="L752" s="141"/>
    </row>
    <row r="753" ht="15.75" customHeight="1">
      <c r="K753" s="3"/>
      <c r="L753" s="141"/>
    </row>
    <row r="754" ht="15.75" customHeight="1">
      <c r="K754" s="3"/>
      <c r="L754" s="141"/>
    </row>
    <row r="755" ht="15.75" customHeight="1">
      <c r="K755" s="3"/>
      <c r="L755" s="141"/>
    </row>
    <row r="756" ht="15.75" customHeight="1">
      <c r="K756" s="3"/>
      <c r="L756" s="141"/>
    </row>
    <row r="757" ht="15.75" customHeight="1">
      <c r="K757" s="3"/>
      <c r="L757" s="141"/>
    </row>
    <row r="758" ht="15.75" customHeight="1">
      <c r="K758" s="3"/>
      <c r="L758" s="141"/>
    </row>
    <row r="759" ht="15.75" customHeight="1">
      <c r="K759" s="3"/>
      <c r="L759" s="141"/>
    </row>
    <row r="760" ht="15.75" customHeight="1">
      <c r="K760" s="3"/>
      <c r="L760" s="141"/>
    </row>
    <row r="761" ht="15.75" customHeight="1">
      <c r="K761" s="3"/>
      <c r="L761" s="141"/>
    </row>
    <row r="762" ht="15.75" customHeight="1">
      <c r="K762" s="3"/>
      <c r="L762" s="141"/>
    </row>
    <row r="763" ht="15.75" customHeight="1">
      <c r="K763" s="3"/>
      <c r="L763" s="141"/>
    </row>
    <row r="764" ht="15.75" customHeight="1">
      <c r="K764" s="3"/>
      <c r="L764" s="141"/>
    </row>
    <row r="765" ht="15.75" customHeight="1">
      <c r="K765" s="3"/>
      <c r="L765" s="141"/>
    </row>
    <row r="766" ht="15.75" customHeight="1">
      <c r="K766" s="3"/>
      <c r="L766" s="141"/>
    </row>
    <row r="767" ht="15.75" customHeight="1">
      <c r="K767" s="3"/>
      <c r="L767" s="141"/>
    </row>
    <row r="768" ht="15.75" customHeight="1">
      <c r="K768" s="3"/>
      <c r="L768" s="141"/>
    </row>
    <row r="769" ht="15.75" customHeight="1">
      <c r="K769" s="3"/>
      <c r="L769" s="141"/>
    </row>
    <row r="770" ht="15.75" customHeight="1">
      <c r="K770" s="3"/>
      <c r="L770" s="141"/>
    </row>
    <row r="771" ht="15.75" customHeight="1">
      <c r="K771" s="3"/>
      <c r="L771" s="141"/>
    </row>
    <row r="772" ht="15.75" customHeight="1">
      <c r="K772" s="3"/>
      <c r="L772" s="141"/>
    </row>
    <row r="773" ht="15.75" customHeight="1">
      <c r="K773" s="3"/>
      <c r="L773" s="141"/>
    </row>
    <row r="774" ht="15.75" customHeight="1">
      <c r="K774" s="3"/>
      <c r="L774" s="141"/>
    </row>
    <row r="775" ht="15.75" customHeight="1">
      <c r="K775" s="3"/>
      <c r="L775" s="141"/>
    </row>
    <row r="776" ht="15.75" customHeight="1">
      <c r="K776" s="3"/>
      <c r="L776" s="141"/>
    </row>
    <row r="777" ht="15.75" customHeight="1">
      <c r="K777" s="3"/>
      <c r="L777" s="141"/>
    </row>
    <row r="778" ht="15.75" customHeight="1">
      <c r="K778" s="3"/>
      <c r="L778" s="141"/>
    </row>
    <row r="779" ht="15.75" customHeight="1">
      <c r="K779" s="3"/>
      <c r="L779" s="141"/>
    </row>
    <row r="780" ht="15.75" customHeight="1">
      <c r="K780" s="3"/>
      <c r="L780" s="141"/>
    </row>
    <row r="781" ht="15.75" customHeight="1">
      <c r="K781" s="3"/>
      <c r="L781" s="141"/>
    </row>
    <row r="782" ht="15.75" customHeight="1">
      <c r="K782" s="3"/>
      <c r="L782" s="141"/>
    </row>
    <row r="783" ht="15.75" customHeight="1">
      <c r="K783" s="3"/>
      <c r="L783" s="141"/>
    </row>
    <row r="784" ht="15.75" customHeight="1">
      <c r="K784" s="3"/>
      <c r="L784" s="141"/>
    </row>
    <row r="785" ht="15.75" customHeight="1">
      <c r="K785" s="3"/>
      <c r="L785" s="141"/>
    </row>
    <row r="786" ht="15.75" customHeight="1">
      <c r="K786" s="3"/>
      <c r="L786" s="141"/>
    </row>
    <row r="787" ht="15.75" customHeight="1">
      <c r="K787" s="3"/>
      <c r="L787" s="141"/>
    </row>
    <row r="788" ht="15.75" customHeight="1">
      <c r="K788" s="3"/>
      <c r="L788" s="141"/>
    </row>
    <row r="789" ht="15.75" customHeight="1">
      <c r="K789" s="3"/>
      <c r="L789" s="141"/>
    </row>
    <row r="790" ht="15.75" customHeight="1">
      <c r="K790" s="3"/>
      <c r="L790" s="141"/>
    </row>
    <row r="791" ht="15.75" customHeight="1">
      <c r="K791" s="3"/>
      <c r="L791" s="141"/>
    </row>
    <row r="792" ht="15.75" customHeight="1">
      <c r="K792" s="3"/>
      <c r="L792" s="141"/>
    </row>
    <row r="793" ht="15.75" customHeight="1">
      <c r="K793" s="3"/>
      <c r="L793" s="141"/>
    </row>
    <row r="794" ht="15.75" customHeight="1">
      <c r="K794" s="3"/>
      <c r="L794" s="141"/>
    </row>
    <row r="795" ht="15.75" customHeight="1">
      <c r="K795" s="3"/>
      <c r="L795" s="141"/>
    </row>
    <row r="796" ht="15.75" customHeight="1">
      <c r="K796" s="3"/>
      <c r="L796" s="141"/>
    </row>
    <row r="797" ht="15.75" customHeight="1">
      <c r="K797" s="3"/>
      <c r="L797" s="141"/>
    </row>
    <row r="798" ht="15.75" customHeight="1">
      <c r="K798" s="3"/>
      <c r="L798" s="141"/>
    </row>
    <row r="799" ht="15.75" customHeight="1">
      <c r="K799" s="3"/>
      <c r="L799" s="141"/>
    </row>
    <row r="800" ht="15.75" customHeight="1">
      <c r="K800" s="3"/>
      <c r="L800" s="141"/>
    </row>
    <row r="801" ht="15.75" customHeight="1">
      <c r="K801" s="3"/>
      <c r="L801" s="141"/>
    </row>
    <row r="802" ht="15.75" customHeight="1">
      <c r="K802" s="3"/>
      <c r="L802" s="141"/>
    </row>
    <row r="803" ht="15.75" customHeight="1">
      <c r="K803" s="3"/>
      <c r="L803" s="141"/>
    </row>
    <row r="804" ht="15.75" customHeight="1">
      <c r="K804" s="3"/>
      <c r="L804" s="141"/>
    </row>
    <row r="805" ht="15.75" customHeight="1">
      <c r="K805" s="3"/>
      <c r="L805" s="141"/>
    </row>
    <row r="806" ht="15.75" customHeight="1">
      <c r="K806" s="3"/>
      <c r="L806" s="141"/>
    </row>
    <row r="807" ht="15.75" customHeight="1">
      <c r="K807" s="3"/>
      <c r="L807" s="141"/>
    </row>
    <row r="808" ht="15.75" customHeight="1">
      <c r="K808" s="3"/>
      <c r="L808" s="141"/>
    </row>
    <row r="809" ht="15.75" customHeight="1">
      <c r="K809" s="3"/>
      <c r="L809" s="141"/>
    </row>
    <row r="810" ht="15.75" customHeight="1">
      <c r="K810" s="3"/>
      <c r="L810" s="141"/>
    </row>
    <row r="811" ht="15.75" customHeight="1">
      <c r="K811" s="3"/>
      <c r="L811" s="141"/>
    </row>
    <row r="812" ht="15.75" customHeight="1">
      <c r="K812" s="3"/>
      <c r="L812" s="141"/>
    </row>
    <row r="813" ht="15.75" customHeight="1">
      <c r="K813" s="3"/>
      <c r="L813" s="141"/>
    </row>
    <row r="814" ht="15.75" customHeight="1">
      <c r="K814" s="3"/>
      <c r="L814" s="141"/>
    </row>
    <row r="815" ht="15.75" customHeight="1">
      <c r="K815" s="3"/>
      <c r="L815" s="141"/>
    </row>
    <row r="816" ht="15.75" customHeight="1">
      <c r="K816" s="3"/>
      <c r="L816" s="141"/>
    </row>
    <row r="817" ht="15.75" customHeight="1">
      <c r="K817" s="3"/>
      <c r="L817" s="141"/>
    </row>
    <row r="818" ht="15.75" customHeight="1">
      <c r="K818" s="3"/>
      <c r="L818" s="141"/>
    </row>
    <row r="819" ht="15.75" customHeight="1">
      <c r="K819" s="3"/>
      <c r="L819" s="141"/>
    </row>
    <row r="820" ht="15.75" customHeight="1">
      <c r="K820" s="3"/>
      <c r="L820" s="141"/>
    </row>
    <row r="821" ht="15.75" customHeight="1">
      <c r="K821" s="3"/>
      <c r="L821" s="141"/>
    </row>
    <row r="822" ht="15.75" customHeight="1">
      <c r="K822" s="3"/>
      <c r="L822" s="141"/>
    </row>
    <row r="823" ht="15.75" customHeight="1">
      <c r="K823" s="3"/>
      <c r="L823" s="141"/>
    </row>
    <row r="824" ht="15.75" customHeight="1">
      <c r="K824" s="3"/>
      <c r="L824" s="141"/>
    </row>
    <row r="825" ht="15.75" customHeight="1">
      <c r="K825" s="3"/>
      <c r="L825" s="141"/>
    </row>
    <row r="826" ht="15.75" customHeight="1">
      <c r="K826" s="3"/>
      <c r="L826" s="141"/>
    </row>
    <row r="827" ht="15.75" customHeight="1">
      <c r="K827" s="3"/>
      <c r="L827" s="141"/>
    </row>
    <row r="828" ht="15.75" customHeight="1">
      <c r="K828" s="3"/>
      <c r="L828" s="141"/>
    </row>
    <row r="829" ht="15.75" customHeight="1">
      <c r="K829" s="3"/>
      <c r="L829" s="141"/>
    </row>
    <row r="830" ht="15.75" customHeight="1">
      <c r="K830" s="3"/>
      <c r="L830" s="141"/>
    </row>
    <row r="831" ht="15.75" customHeight="1">
      <c r="K831" s="3"/>
      <c r="L831" s="141"/>
    </row>
    <row r="832" ht="15.75" customHeight="1">
      <c r="K832" s="3"/>
      <c r="L832" s="141"/>
    </row>
    <row r="833" ht="15.75" customHeight="1">
      <c r="K833" s="3"/>
      <c r="L833" s="141"/>
    </row>
    <row r="834" ht="15.75" customHeight="1">
      <c r="K834" s="3"/>
      <c r="L834" s="141"/>
    </row>
    <row r="835" ht="15.75" customHeight="1">
      <c r="K835" s="3"/>
      <c r="L835" s="141"/>
    </row>
    <row r="836" ht="15.75" customHeight="1">
      <c r="K836" s="3"/>
      <c r="L836" s="141"/>
    </row>
    <row r="837" ht="15.75" customHeight="1">
      <c r="K837" s="3"/>
      <c r="L837" s="141"/>
    </row>
    <row r="838" ht="15.75" customHeight="1">
      <c r="K838" s="3"/>
      <c r="L838" s="141"/>
    </row>
    <row r="839" ht="15.75" customHeight="1">
      <c r="K839" s="3"/>
      <c r="L839" s="141"/>
    </row>
    <row r="840" ht="15.75" customHeight="1">
      <c r="K840" s="3"/>
      <c r="L840" s="141"/>
    </row>
    <row r="841" ht="15.75" customHeight="1">
      <c r="K841" s="3"/>
      <c r="L841" s="141"/>
    </row>
    <row r="842" ht="15.75" customHeight="1">
      <c r="K842" s="3"/>
      <c r="L842" s="141"/>
    </row>
    <row r="843" ht="15.75" customHeight="1">
      <c r="K843" s="3"/>
      <c r="L843" s="141"/>
    </row>
    <row r="844" ht="15.75" customHeight="1">
      <c r="K844" s="3"/>
      <c r="L844" s="141"/>
    </row>
    <row r="845" ht="15.75" customHeight="1">
      <c r="K845" s="3"/>
      <c r="L845" s="141"/>
    </row>
    <row r="846" ht="15.75" customHeight="1">
      <c r="K846" s="3"/>
      <c r="L846" s="141"/>
    </row>
    <row r="847" ht="15.75" customHeight="1">
      <c r="K847" s="3"/>
      <c r="L847" s="141"/>
    </row>
    <row r="848" ht="15.75" customHeight="1">
      <c r="K848" s="3"/>
      <c r="L848" s="141"/>
    </row>
    <row r="849" ht="15.75" customHeight="1">
      <c r="K849" s="3"/>
      <c r="L849" s="141"/>
    </row>
    <row r="850" ht="15.75" customHeight="1">
      <c r="K850" s="3"/>
      <c r="L850" s="141"/>
    </row>
    <row r="851" ht="15.75" customHeight="1">
      <c r="K851" s="3"/>
      <c r="L851" s="141"/>
    </row>
    <row r="852" ht="15.75" customHeight="1">
      <c r="K852" s="3"/>
      <c r="L852" s="141"/>
    </row>
    <row r="853" ht="15.75" customHeight="1">
      <c r="K853" s="3"/>
      <c r="L853" s="141"/>
    </row>
    <row r="854" ht="15.75" customHeight="1">
      <c r="K854" s="3"/>
      <c r="L854" s="141"/>
    </row>
    <row r="855" ht="15.75" customHeight="1">
      <c r="K855" s="3"/>
      <c r="L855" s="141"/>
    </row>
    <row r="856" ht="15.75" customHeight="1">
      <c r="K856" s="3"/>
      <c r="L856" s="141"/>
    </row>
    <row r="857" ht="15.75" customHeight="1">
      <c r="K857" s="3"/>
      <c r="L857" s="141"/>
    </row>
    <row r="858" ht="15.75" customHeight="1">
      <c r="K858" s="3"/>
      <c r="L858" s="141"/>
    </row>
    <row r="859" ht="15.75" customHeight="1">
      <c r="K859" s="3"/>
      <c r="L859" s="141"/>
    </row>
    <row r="860" ht="15.75" customHeight="1">
      <c r="K860" s="3"/>
      <c r="L860" s="141"/>
    </row>
    <row r="861" ht="15.75" customHeight="1">
      <c r="K861" s="3"/>
      <c r="L861" s="141"/>
    </row>
    <row r="862" ht="15.75" customHeight="1">
      <c r="K862" s="3"/>
      <c r="L862" s="141"/>
    </row>
    <row r="863" ht="15.75" customHeight="1">
      <c r="K863" s="3"/>
      <c r="L863" s="141"/>
    </row>
    <row r="864" ht="15.75" customHeight="1">
      <c r="K864" s="3"/>
      <c r="L864" s="141"/>
    </row>
    <row r="865" ht="15.75" customHeight="1">
      <c r="K865" s="3"/>
      <c r="L865" s="141"/>
    </row>
    <row r="866" ht="15.75" customHeight="1">
      <c r="K866" s="3"/>
      <c r="L866" s="141"/>
    </row>
    <row r="867" ht="15.75" customHeight="1">
      <c r="K867" s="3"/>
      <c r="L867" s="141"/>
    </row>
    <row r="868" ht="15.75" customHeight="1">
      <c r="K868" s="3"/>
      <c r="L868" s="141"/>
    </row>
    <row r="869" ht="15.75" customHeight="1">
      <c r="K869" s="3"/>
      <c r="L869" s="141"/>
    </row>
    <row r="870" ht="15.75" customHeight="1">
      <c r="K870" s="3"/>
      <c r="L870" s="141"/>
    </row>
    <row r="871" ht="15.75" customHeight="1">
      <c r="K871" s="3"/>
      <c r="L871" s="141"/>
    </row>
    <row r="872" ht="15.75" customHeight="1">
      <c r="K872" s="3"/>
      <c r="L872" s="141"/>
    </row>
    <row r="873" ht="15.75" customHeight="1">
      <c r="K873" s="3"/>
      <c r="L873" s="141"/>
    </row>
    <row r="874" ht="15.75" customHeight="1">
      <c r="K874" s="3"/>
      <c r="L874" s="141"/>
    </row>
    <row r="875" ht="15.75" customHeight="1">
      <c r="K875" s="3"/>
      <c r="L875" s="141"/>
    </row>
    <row r="876" ht="15.75" customHeight="1">
      <c r="K876" s="3"/>
      <c r="L876" s="141"/>
    </row>
    <row r="877" ht="15.75" customHeight="1">
      <c r="K877" s="3"/>
      <c r="L877" s="141"/>
    </row>
    <row r="878" ht="15.75" customHeight="1">
      <c r="K878" s="3"/>
      <c r="L878" s="141"/>
    </row>
    <row r="879" ht="15.75" customHeight="1">
      <c r="K879" s="3"/>
      <c r="L879" s="141"/>
    </row>
    <row r="880" ht="15.75" customHeight="1">
      <c r="K880" s="3"/>
      <c r="L880" s="141"/>
    </row>
    <row r="881" ht="15.75" customHeight="1">
      <c r="K881" s="3"/>
      <c r="L881" s="141"/>
    </row>
    <row r="882" ht="15.75" customHeight="1">
      <c r="K882" s="3"/>
      <c r="L882" s="141"/>
    </row>
    <row r="883" ht="15.75" customHeight="1">
      <c r="K883" s="3"/>
      <c r="L883" s="141"/>
    </row>
    <row r="884" ht="15.75" customHeight="1">
      <c r="K884" s="3"/>
      <c r="L884" s="141"/>
    </row>
    <row r="885" ht="15.75" customHeight="1">
      <c r="K885" s="3"/>
      <c r="L885" s="141"/>
    </row>
    <row r="886" ht="15.75" customHeight="1">
      <c r="K886" s="3"/>
      <c r="L886" s="141"/>
    </row>
    <row r="887" ht="15.75" customHeight="1">
      <c r="K887" s="3"/>
      <c r="L887" s="141"/>
    </row>
    <row r="888" ht="15.75" customHeight="1">
      <c r="K888" s="3"/>
      <c r="L888" s="141"/>
    </row>
    <row r="889" ht="15.75" customHeight="1">
      <c r="K889" s="3"/>
      <c r="L889" s="141"/>
    </row>
    <row r="890" ht="15.75" customHeight="1">
      <c r="K890" s="3"/>
      <c r="L890" s="141"/>
    </row>
    <row r="891" ht="15.75" customHeight="1">
      <c r="K891" s="3"/>
      <c r="L891" s="141"/>
    </row>
    <row r="892" ht="15.75" customHeight="1">
      <c r="K892" s="3"/>
      <c r="L892" s="141"/>
    </row>
    <row r="893" ht="15.75" customHeight="1">
      <c r="K893" s="3"/>
      <c r="L893" s="141"/>
    </row>
    <row r="894" ht="15.75" customHeight="1">
      <c r="K894" s="3"/>
      <c r="L894" s="141"/>
    </row>
    <row r="895" ht="15.75" customHeight="1">
      <c r="K895" s="3"/>
      <c r="L895" s="141"/>
    </row>
    <row r="896" ht="15.75" customHeight="1">
      <c r="K896" s="3"/>
      <c r="L896" s="141"/>
    </row>
    <row r="897" ht="15.75" customHeight="1">
      <c r="K897" s="3"/>
      <c r="L897" s="141"/>
    </row>
    <row r="898" ht="15.75" customHeight="1">
      <c r="K898" s="3"/>
      <c r="L898" s="141"/>
    </row>
    <row r="899" ht="15.75" customHeight="1">
      <c r="K899" s="3"/>
      <c r="L899" s="141"/>
    </row>
    <row r="900" ht="15.75" customHeight="1">
      <c r="K900" s="3"/>
      <c r="L900" s="141"/>
    </row>
    <row r="901" ht="15.75" customHeight="1">
      <c r="K901" s="3"/>
      <c r="L901" s="141"/>
    </row>
    <row r="902" ht="15.75" customHeight="1">
      <c r="K902" s="3"/>
      <c r="L902" s="141"/>
    </row>
    <row r="903" ht="15.75" customHeight="1">
      <c r="K903" s="3"/>
      <c r="L903" s="141"/>
    </row>
    <row r="904" ht="15.75" customHeight="1">
      <c r="K904" s="3"/>
      <c r="L904" s="141"/>
    </row>
    <row r="905" ht="15.75" customHeight="1">
      <c r="K905" s="3"/>
      <c r="L905" s="141"/>
    </row>
    <row r="906" ht="15.75" customHeight="1">
      <c r="K906" s="3"/>
      <c r="L906" s="141"/>
    </row>
    <row r="907" ht="15.75" customHeight="1">
      <c r="K907" s="3"/>
      <c r="L907" s="141"/>
    </row>
    <row r="908" ht="15.75" customHeight="1">
      <c r="K908" s="3"/>
      <c r="L908" s="141"/>
    </row>
    <row r="909" ht="15.75" customHeight="1">
      <c r="K909" s="3"/>
      <c r="L909" s="141"/>
    </row>
    <row r="910" ht="15.75" customHeight="1">
      <c r="K910" s="3"/>
      <c r="L910" s="141"/>
    </row>
    <row r="911" ht="15.75" customHeight="1">
      <c r="K911" s="3"/>
      <c r="L911" s="141"/>
    </row>
    <row r="912" ht="15.75" customHeight="1">
      <c r="K912" s="3"/>
      <c r="L912" s="141"/>
    </row>
    <row r="913" ht="15.75" customHeight="1">
      <c r="K913" s="3"/>
      <c r="L913" s="141"/>
    </row>
    <row r="914" ht="15.75" customHeight="1">
      <c r="K914" s="3"/>
      <c r="L914" s="141"/>
    </row>
    <row r="915" ht="15.75" customHeight="1">
      <c r="K915" s="3"/>
      <c r="L915" s="141"/>
    </row>
    <row r="916" ht="15.75" customHeight="1">
      <c r="K916" s="3"/>
      <c r="L916" s="141"/>
    </row>
    <row r="917" ht="15.75" customHeight="1">
      <c r="K917" s="3"/>
      <c r="L917" s="141"/>
    </row>
    <row r="918" ht="15.75" customHeight="1">
      <c r="K918" s="3"/>
      <c r="L918" s="141"/>
    </row>
    <row r="919" ht="15.75" customHeight="1">
      <c r="K919" s="3"/>
      <c r="L919" s="141"/>
    </row>
    <row r="920" ht="15.75" customHeight="1">
      <c r="K920" s="3"/>
      <c r="L920" s="141"/>
    </row>
    <row r="921" ht="15.75" customHeight="1">
      <c r="K921" s="3"/>
      <c r="L921" s="141"/>
    </row>
    <row r="922" ht="15.75" customHeight="1">
      <c r="K922" s="3"/>
      <c r="L922" s="141"/>
    </row>
    <row r="923" ht="15.75" customHeight="1">
      <c r="K923" s="3"/>
      <c r="L923" s="141"/>
    </row>
    <row r="924" ht="15.75" customHeight="1">
      <c r="K924" s="3"/>
      <c r="L924" s="141"/>
    </row>
    <row r="925" ht="15.75" customHeight="1">
      <c r="K925" s="3"/>
      <c r="L925" s="141"/>
    </row>
    <row r="926" ht="15.75" customHeight="1">
      <c r="K926" s="3"/>
      <c r="L926" s="141"/>
    </row>
    <row r="927" ht="15.75" customHeight="1">
      <c r="K927" s="3"/>
      <c r="L927" s="141"/>
    </row>
    <row r="928" ht="15.75" customHeight="1">
      <c r="K928" s="3"/>
      <c r="L928" s="141"/>
    </row>
    <row r="929" ht="15.75" customHeight="1">
      <c r="K929" s="3"/>
      <c r="L929" s="141"/>
    </row>
    <row r="930" ht="15.75" customHeight="1">
      <c r="K930" s="3"/>
      <c r="L930" s="141"/>
    </row>
    <row r="931" ht="15.75" customHeight="1">
      <c r="K931" s="3"/>
      <c r="L931" s="141"/>
    </row>
    <row r="932" ht="15.75" customHeight="1">
      <c r="K932" s="3"/>
      <c r="L932" s="141"/>
    </row>
    <row r="933" ht="15.75" customHeight="1">
      <c r="K933" s="3"/>
      <c r="L933" s="141"/>
    </row>
    <row r="934" ht="15.75" customHeight="1">
      <c r="K934" s="3"/>
      <c r="L934" s="141"/>
    </row>
    <row r="935" ht="15.75" customHeight="1">
      <c r="K935" s="3"/>
      <c r="L935" s="141"/>
    </row>
    <row r="936" ht="15.75" customHeight="1">
      <c r="K936" s="3"/>
      <c r="L936" s="141"/>
    </row>
    <row r="937" ht="15.75" customHeight="1">
      <c r="K937" s="3"/>
      <c r="L937" s="141"/>
    </row>
    <row r="938" ht="15.75" customHeight="1">
      <c r="K938" s="3"/>
      <c r="L938" s="141"/>
    </row>
    <row r="939" ht="15.75" customHeight="1">
      <c r="K939" s="3"/>
      <c r="L939" s="141"/>
    </row>
    <row r="940" ht="15.75" customHeight="1">
      <c r="K940" s="3"/>
      <c r="L940" s="141"/>
    </row>
    <row r="941" ht="15.75" customHeight="1">
      <c r="K941" s="3"/>
      <c r="L941" s="141"/>
    </row>
    <row r="942" ht="15.75" customHeight="1">
      <c r="K942" s="3"/>
      <c r="L942" s="141"/>
    </row>
    <row r="943" ht="15.75" customHeight="1">
      <c r="K943" s="3"/>
      <c r="L943" s="141"/>
    </row>
    <row r="944" ht="15.75" customHeight="1">
      <c r="K944" s="3"/>
      <c r="L944" s="141"/>
    </row>
    <row r="945" ht="15.75" customHeight="1">
      <c r="K945" s="3"/>
      <c r="L945" s="141"/>
    </row>
    <row r="946" ht="15.75" customHeight="1">
      <c r="K946" s="3"/>
      <c r="L946" s="141"/>
    </row>
    <row r="947" ht="15.75" customHeight="1">
      <c r="K947" s="3"/>
      <c r="L947" s="141"/>
    </row>
    <row r="948" ht="15.75" customHeight="1">
      <c r="K948" s="3"/>
      <c r="L948" s="141"/>
    </row>
    <row r="949" ht="15.75" customHeight="1">
      <c r="K949" s="3"/>
      <c r="L949" s="141"/>
    </row>
    <row r="950" ht="15.75" customHeight="1">
      <c r="K950" s="3"/>
      <c r="L950" s="141"/>
    </row>
    <row r="951" ht="15.75" customHeight="1">
      <c r="K951" s="3"/>
      <c r="L951" s="141"/>
    </row>
    <row r="952" ht="15.75" customHeight="1">
      <c r="K952" s="3"/>
      <c r="L952" s="141"/>
    </row>
    <row r="953" ht="15.75" customHeight="1">
      <c r="K953" s="3"/>
      <c r="L953" s="141"/>
    </row>
    <row r="954" ht="15.75" customHeight="1">
      <c r="K954" s="3"/>
      <c r="L954" s="141"/>
    </row>
    <row r="955" ht="15.75" customHeight="1">
      <c r="K955" s="3"/>
      <c r="L955" s="141"/>
    </row>
    <row r="956" ht="15.75" customHeight="1">
      <c r="K956" s="3"/>
      <c r="L956" s="141"/>
    </row>
    <row r="957" ht="15.75" customHeight="1">
      <c r="K957" s="3"/>
      <c r="L957" s="141"/>
    </row>
    <row r="958" ht="15.75" customHeight="1">
      <c r="K958" s="3"/>
      <c r="L958" s="141"/>
    </row>
    <row r="959" ht="15.75" customHeight="1">
      <c r="K959" s="3"/>
      <c r="L959" s="141"/>
    </row>
    <row r="960" ht="15.75" customHeight="1">
      <c r="K960" s="3"/>
      <c r="L960" s="141"/>
    </row>
    <row r="961" ht="15.75" customHeight="1">
      <c r="K961" s="3"/>
      <c r="L961" s="141"/>
    </row>
    <row r="962" ht="15.75" customHeight="1">
      <c r="K962" s="3"/>
      <c r="L962" s="141"/>
    </row>
    <row r="963" ht="15.75" customHeight="1">
      <c r="K963" s="3"/>
      <c r="L963" s="141"/>
    </row>
    <row r="964" ht="15.75" customHeight="1">
      <c r="K964" s="3"/>
      <c r="L964" s="141"/>
    </row>
    <row r="965" ht="15.75" customHeight="1">
      <c r="K965" s="3"/>
      <c r="L965" s="141"/>
    </row>
    <row r="966" ht="15.75" customHeight="1">
      <c r="K966" s="3"/>
      <c r="L966" s="141"/>
    </row>
    <row r="967" ht="15.75" customHeight="1">
      <c r="K967" s="3"/>
      <c r="L967" s="141"/>
    </row>
    <row r="968" ht="15.75" customHeight="1">
      <c r="K968" s="3"/>
      <c r="L968" s="141"/>
    </row>
    <row r="969" ht="15.75" customHeight="1">
      <c r="K969" s="3"/>
      <c r="L969" s="141"/>
    </row>
    <row r="970" ht="15.75" customHeight="1">
      <c r="K970" s="3"/>
      <c r="L970" s="141"/>
    </row>
    <row r="971" ht="15.75" customHeight="1">
      <c r="K971" s="3"/>
      <c r="L971" s="141"/>
    </row>
    <row r="972" ht="15.75" customHeight="1">
      <c r="K972" s="3"/>
      <c r="L972" s="141"/>
    </row>
    <row r="973" ht="15.75" customHeight="1">
      <c r="K973" s="3"/>
      <c r="L973" s="141"/>
    </row>
    <row r="974" ht="15.75" customHeight="1">
      <c r="K974" s="3"/>
      <c r="L974" s="141"/>
    </row>
    <row r="975" ht="15.75" customHeight="1">
      <c r="K975" s="3"/>
      <c r="L975" s="141"/>
    </row>
    <row r="976" ht="15.75" customHeight="1">
      <c r="K976" s="3"/>
      <c r="L976" s="141"/>
    </row>
    <row r="977" ht="15.75" customHeight="1">
      <c r="K977" s="3"/>
      <c r="L977" s="141"/>
    </row>
    <row r="978" ht="15.75" customHeight="1">
      <c r="K978" s="3"/>
      <c r="L978" s="141"/>
    </row>
    <row r="979" ht="15.75" customHeight="1">
      <c r="K979" s="3"/>
      <c r="L979" s="141"/>
    </row>
    <row r="980" ht="15.75" customHeight="1">
      <c r="K980" s="3"/>
      <c r="L980" s="141"/>
    </row>
    <row r="981" ht="15.75" customHeight="1">
      <c r="K981" s="3"/>
      <c r="L981" s="141"/>
    </row>
    <row r="982" ht="15.75" customHeight="1">
      <c r="K982" s="3"/>
      <c r="L982" s="141"/>
    </row>
    <row r="983" ht="15.75" customHeight="1">
      <c r="K983" s="3"/>
      <c r="L983" s="141"/>
    </row>
    <row r="984" ht="15.75" customHeight="1">
      <c r="K984" s="3"/>
      <c r="L984" s="141"/>
    </row>
    <row r="985" ht="15.75" customHeight="1">
      <c r="K985" s="3"/>
      <c r="L985" s="141"/>
    </row>
    <row r="986" ht="15.75" customHeight="1">
      <c r="K986" s="3"/>
      <c r="L986" s="141"/>
    </row>
    <row r="987" ht="15.75" customHeight="1">
      <c r="K987" s="3"/>
      <c r="L987" s="141"/>
    </row>
    <row r="988" ht="15.75" customHeight="1">
      <c r="K988" s="3"/>
      <c r="L988" s="141"/>
    </row>
    <row r="989" ht="15.75" customHeight="1">
      <c r="K989" s="3"/>
      <c r="L989" s="141"/>
    </row>
    <row r="990" ht="15.75" customHeight="1">
      <c r="K990" s="3"/>
      <c r="L990" s="141"/>
    </row>
    <row r="991" ht="15.75" customHeight="1">
      <c r="K991" s="3"/>
      <c r="L991" s="141"/>
    </row>
    <row r="992" ht="15.75" customHeight="1">
      <c r="K992" s="3"/>
      <c r="L992" s="141"/>
    </row>
    <row r="993" ht="15.75" customHeight="1">
      <c r="K993" s="3"/>
      <c r="L993" s="141"/>
    </row>
    <row r="994" ht="15.75" customHeight="1">
      <c r="K994" s="3"/>
      <c r="L994" s="141"/>
    </row>
    <row r="995" ht="15.75" customHeight="1">
      <c r="K995" s="3"/>
      <c r="L995" s="141"/>
    </row>
    <row r="996" ht="15.75" customHeight="1">
      <c r="K996" s="3"/>
      <c r="L996" s="141"/>
    </row>
    <row r="997" ht="15.75" customHeight="1">
      <c r="K997" s="3"/>
      <c r="L997" s="141"/>
    </row>
    <row r="998" ht="15.75" customHeight="1">
      <c r="K998" s="3"/>
      <c r="L998" s="141"/>
    </row>
    <row r="999" ht="15.75" customHeight="1">
      <c r="K999" s="3"/>
      <c r="L999" s="141"/>
    </row>
    <row r="1000" ht="15.75" customHeight="1">
      <c r="K1000" s="3"/>
      <c r="L1000" s="141"/>
    </row>
  </sheetData>
  <printOptions/>
  <pageMargins bottom="0.0" footer="0.0" header="0.0" left="0.31496062992125984" right="0.31496062992125984" top="0.35433070866141736"/>
  <pageSetup paperSize="9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2.86"/>
    <col customWidth="1" min="4" max="4" width="36.86"/>
    <col customWidth="1" min="5" max="5" width="13.14"/>
    <col customWidth="1" min="6" max="6" width="22.57"/>
    <col customWidth="1" min="7" max="7" width="11.71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5.29"/>
    <col customWidth="1" min="41" max="41" width="14.43"/>
    <col customWidth="1" min="42" max="42" width="10.86"/>
    <col customWidth="1" min="43" max="43" width="12.71"/>
  </cols>
  <sheetData>
    <row r="1" ht="15.0" customHeight="1">
      <c r="A1" s="85"/>
      <c r="D1" s="97" t="s">
        <v>540</v>
      </c>
      <c r="E1" s="98">
        <f>+AI3</f>
        <v>5107.925979</v>
      </c>
      <c r="F1" s="97" t="s">
        <v>241</v>
      </c>
      <c r="G1" s="98">
        <f>+$AM3</f>
        <v>342200.055</v>
      </c>
      <c r="H1" s="4"/>
      <c r="I1" s="5">
        <f>+E1-E2</f>
        <v>508.5798675</v>
      </c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65"/>
      <c r="D2" s="97" t="s">
        <v>242</v>
      </c>
      <c r="E2" s="98">
        <f>+AH3</f>
        <v>4599.346112</v>
      </c>
      <c r="F2" s="99" t="s">
        <v>243</v>
      </c>
      <c r="G2" s="100">
        <f>+Q2</f>
        <v>90.55778273</v>
      </c>
      <c r="H2" s="13"/>
      <c r="I2" s="184">
        <f>SUBTOTAL(9,I4:I1913)</f>
        <v>619.67</v>
      </c>
      <c r="J2" s="4"/>
      <c r="K2" s="184">
        <f>SUBTOTAL(9,K4:K1913)</f>
        <v>573.319</v>
      </c>
      <c r="L2" s="126">
        <f>+SUMPRODUCT(L5:L1913,K5:K1913)/K2</f>
        <v>0.2598598546</v>
      </c>
      <c r="M2" s="2"/>
      <c r="P2" s="16">
        <f>+SUMPRODUCT(P4:P1913,AH4:AH1913)/SUM(AH4:AH1913)</f>
        <v>86.14374973</v>
      </c>
      <c r="Q2" s="16">
        <f>+SUMPRODUCT(Q4:Q1913,AH4:AH1913)/SUM(AH4:AH1913)</f>
        <v>90.55778273</v>
      </c>
      <c r="R2" s="12">
        <f>+SUMPRODUCT(R4:R1913,AH4:AH1913)/SUM(AH4:AH1913)</f>
        <v>3345.219838</v>
      </c>
      <c r="S2" s="2"/>
      <c r="AB2" s="7"/>
      <c r="AC2" s="7"/>
      <c r="AD2" s="7"/>
      <c r="AE2" s="7"/>
      <c r="AF2" s="7"/>
      <c r="AG2" s="17">
        <f>SUMPRODUCT($AG4:$AG1913,$K4:$K1913)/SUM($K4:$K1913)</f>
        <v>115.7492418</v>
      </c>
      <c r="AH2" s="18"/>
      <c r="AI2" s="2"/>
      <c r="AJ2" s="19">
        <v>3443.0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2" t="s">
        <v>6</v>
      </c>
      <c r="C3" s="22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SUBTOTAL(9,AH4:AH1913)</f>
        <v>4599.346112</v>
      </c>
      <c r="AI3" s="186">
        <f t="shared" si="1"/>
        <v>5107.925979</v>
      </c>
      <c r="AJ3" s="187">
        <f>SUMPRODUCT(K4:K1913,AJ4:AJ1913)/K2</f>
        <v>52.92193218</v>
      </c>
      <c r="AK3" s="39">
        <f>SUBTOTAL(9,AK4:AK1913)</f>
        <v>4148.399387</v>
      </c>
      <c r="AL3" s="11"/>
      <c r="AM3" s="39">
        <f>SUBTOTAL(9,AM4:AM1913)</f>
        <v>342200.055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</row>
    <row r="5" ht="15.0" customHeight="1">
      <c r="A5" s="132" t="s">
        <v>1025</v>
      </c>
      <c r="B5" s="56">
        <v>45757.0</v>
      </c>
      <c r="C5" s="56">
        <v>45751.0</v>
      </c>
      <c r="D5" s="57" t="s">
        <v>306</v>
      </c>
      <c r="E5" s="57">
        <f t="array" ref="E5">XLOOKUP(D5,RUC!$B$3:$B$110,RUC!$D$3:$D$110)</f>
        <v>20612921866</v>
      </c>
      <c r="G5" s="3" t="s">
        <v>46</v>
      </c>
      <c r="H5" s="57" t="s">
        <v>71</v>
      </c>
      <c r="I5" s="6">
        <v>6.46</v>
      </c>
      <c r="J5" s="58">
        <v>1.3</v>
      </c>
      <c r="K5" s="59">
        <f t="shared" ref="K5:K20" si="2">ROUND(+I5-(I5*(J5/100)),3)</f>
        <v>6.376</v>
      </c>
      <c r="L5" s="60">
        <v>0.08</v>
      </c>
      <c r="M5" s="60">
        <v>0.075</v>
      </c>
      <c r="N5" s="62">
        <v>0.075</v>
      </c>
      <c r="O5" s="60">
        <f t="shared" ref="O5:O20" si="3">+ROUND((M5+N5)/2,3)</f>
        <v>0.075</v>
      </c>
      <c r="P5" s="63">
        <v>79.0</v>
      </c>
      <c r="Q5" s="77">
        <v>79.5</v>
      </c>
      <c r="R5" s="65">
        <v>3054.6</v>
      </c>
      <c r="S5" s="66">
        <f>IF((80+ROUNDDOWN(O5,1)*100)&lt;95,95,(80+ROUNDDOWN(O5,1)*100))</f>
        <v>95</v>
      </c>
      <c r="U5" s="67">
        <v>100.0</v>
      </c>
      <c r="V5" s="67">
        <v>1.1023</v>
      </c>
      <c r="Z5" s="69">
        <f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20" si="4">+Y5+Z5</f>
        <v>30</v>
      </c>
      <c r="AB5" s="71">
        <v>0.01</v>
      </c>
      <c r="AC5" s="71">
        <f>+(S5-T5)*V5-'data 1'!$F$4</f>
        <v>24.7185</v>
      </c>
      <c r="AD5" s="71">
        <f t="shared" ref="AD5:AD20" si="5">+(Q5-P5)*(R5-U5)*L5*V5/100</f>
        <v>1.302742232</v>
      </c>
      <c r="AE5" s="71">
        <f t="shared" ref="AE5:AE20" si="6">+(Y5*V5-70)+V5*(Z5-IF(D5="UNTUCA",IF(+((W5-3)*2.5+(X5-3)*3.1)&gt;0,+((W5-3)*1.5+(X5-3)*3.1),0),IF(+((W5-3)*1.5+(X5-3)*3.1)&gt;0,+((W5-3)*1.5+(X5-3)*3.1),0)))</f>
        <v>-36.931</v>
      </c>
      <c r="AF5" s="71">
        <f t="shared" ref="AF5:AF20" si="7">(L5-O5)*(R5-U5)*Q5*V5/100</f>
        <v>12.94600093</v>
      </c>
      <c r="AG5" s="72">
        <f t="shared" ref="AG5:AG7" si="8">+IF(D5="RONALD WILLIAN GARIBAY ESCUDERO",AC5+AD5+AE5+AF5+70,AC5+AD5+AE5+AF5)+70</f>
        <v>72.03624316</v>
      </c>
      <c r="AH5" s="52">
        <f t="shared" ref="AH5:AH20" si="9">31.1035*L5*Q5*1.1023*K5/100</f>
        <v>13.90319114</v>
      </c>
      <c r="AI5" s="52">
        <f t="shared" ref="AI5:AI20" si="10">(31.1035*L5*1.1023*K5)</f>
        <v>17.48829074</v>
      </c>
      <c r="AJ5" s="73">
        <f t="shared" ref="AJ5:AJ20" si="11">+((+$AJ$2-R5+U5)*L5*Q5*V5)/100</f>
        <v>34.23990715</v>
      </c>
      <c r="AK5" s="73">
        <f t="shared" ref="AK5:AK8" si="12">31.1035*1.1023*K5*P5*O5/100</f>
        <v>12.95226533</v>
      </c>
      <c r="AL5" s="11"/>
      <c r="AM5" s="51">
        <f t="shared" ref="AM5:AM20" si="13">+IF(AB5*K5&gt;0,AB5*K5,0)</f>
        <v>0.06376</v>
      </c>
      <c r="AN5" s="51" t="str">
        <f t="array" ref="AN5">XLOOKUP(D5,RUC!$B$3:$B$565,RUC!$M$3:$M$565)</f>
        <v>Ronald Garibay</v>
      </c>
      <c r="AO5" s="131" t="s">
        <v>551</v>
      </c>
      <c r="AS5" s="65"/>
    </row>
    <row r="6" ht="15.0" customHeight="1">
      <c r="A6" s="116" t="s">
        <v>1026</v>
      </c>
      <c r="B6" s="56">
        <v>45800.0</v>
      </c>
      <c r="C6" s="56">
        <v>45767.0</v>
      </c>
      <c r="D6" s="57" t="s">
        <v>74</v>
      </c>
      <c r="E6" s="57">
        <f t="array" ref="E6">XLOOKUP(D6,RUC!$B$3:$B$110,RUC!$D$3:$D$110)</f>
        <v>10082235774</v>
      </c>
      <c r="G6" s="3">
        <v>59.0</v>
      </c>
      <c r="H6" s="57" t="s">
        <v>47</v>
      </c>
      <c r="I6" s="6">
        <v>5.65</v>
      </c>
      <c r="J6" s="58">
        <v>3.1</v>
      </c>
      <c r="K6" s="59">
        <f t="shared" si="2"/>
        <v>5.475</v>
      </c>
      <c r="L6" s="60">
        <v>0.062</v>
      </c>
      <c r="M6" s="60">
        <v>0.061</v>
      </c>
      <c r="N6" s="62">
        <v>0.061</v>
      </c>
      <c r="O6" s="60">
        <f t="shared" si="3"/>
        <v>0.061</v>
      </c>
      <c r="P6" s="63">
        <v>85.0</v>
      </c>
      <c r="Q6" s="58">
        <v>96.77</v>
      </c>
      <c r="R6" s="65">
        <v>3305.65</v>
      </c>
      <c r="S6" s="76">
        <v>95.0</v>
      </c>
      <c r="U6" s="87">
        <v>80.0</v>
      </c>
      <c r="V6" s="67">
        <v>1.1023</v>
      </c>
      <c r="Z6" s="87">
        <v>10.0</v>
      </c>
      <c r="AA6" s="70">
        <f t="shared" si="4"/>
        <v>10</v>
      </c>
      <c r="AB6" s="71">
        <f t="shared" ref="AB6:AB8" si="14">+((O6*P6*(R6-U6)/100)-S6-AA6+T6)*V6</f>
        <v>68.61812264</v>
      </c>
      <c r="AC6" s="71">
        <f>+(S6-T6)*V6-'data 1'!$F$4</f>
        <v>24.7185</v>
      </c>
      <c r="AD6" s="71">
        <f t="shared" si="5"/>
        <v>25.94688352</v>
      </c>
      <c r="AE6" s="71">
        <f t="shared" si="6"/>
        <v>-58.977</v>
      </c>
      <c r="AF6" s="71">
        <f t="shared" si="7"/>
        <v>3.440787017</v>
      </c>
      <c r="AG6" s="72">
        <f t="shared" si="8"/>
        <v>65.12917053</v>
      </c>
      <c r="AH6" s="52">
        <f t="shared" si="9"/>
        <v>11.26226192</v>
      </c>
      <c r="AI6" s="52">
        <f t="shared" si="10"/>
        <v>11.63817497</v>
      </c>
      <c r="AJ6" s="73">
        <f t="shared" si="11"/>
        <v>14.37447138</v>
      </c>
      <c r="AK6" s="73">
        <f t="shared" si="12"/>
        <v>9.732893103</v>
      </c>
      <c r="AL6" s="11"/>
      <c r="AM6" s="51">
        <f t="shared" si="13"/>
        <v>375.6842215</v>
      </c>
      <c r="AN6" s="51" t="str">
        <f t="array" ref="AN6">XLOOKUP(D6,RUC!$B$3:$B$565,RUC!$M$3:$M$565)</f>
        <v>Melchor Vera</v>
      </c>
      <c r="AO6" s="131" t="s">
        <v>551</v>
      </c>
      <c r="AS6" s="65"/>
    </row>
    <row r="7" ht="15.0" customHeight="1">
      <c r="A7" s="116" t="s">
        <v>1027</v>
      </c>
      <c r="B7" s="56">
        <v>45804.0</v>
      </c>
      <c r="C7" s="56">
        <v>45781.0</v>
      </c>
      <c r="D7" s="57" t="s">
        <v>74</v>
      </c>
      <c r="E7" s="57">
        <f t="array" ref="E7">XLOOKUP(D7,RUC!$B$3:$B$110,RUC!$D$3:$D$110)</f>
        <v>10082235774</v>
      </c>
      <c r="G7" s="3">
        <v>20.0</v>
      </c>
      <c r="H7" s="57" t="s">
        <v>47</v>
      </c>
      <c r="I7" s="6">
        <v>1.76</v>
      </c>
      <c r="J7" s="58">
        <v>6.7</v>
      </c>
      <c r="K7" s="59">
        <f t="shared" si="2"/>
        <v>1.642</v>
      </c>
      <c r="L7" s="60">
        <v>0.105</v>
      </c>
      <c r="M7" s="60">
        <v>0.103</v>
      </c>
      <c r="N7" s="62">
        <v>0.103</v>
      </c>
      <c r="O7" s="60">
        <f t="shared" si="3"/>
        <v>0.103</v>
      </c>
      <c r="P7" s="63">
        <v>85.0</v>
      </c>
      <c r="Q7" s="58">
        <v>85.27</v>
      </c>
      <c r="R7" s="65">
        <v>3391.45</v>
      </c>
      <c r="S7" s="76">
        <v>95.0</v>
      </c>
      <c r="U7" s="87">
        <v>80.0</v>
      </c>
      <c r="V7" s="67">
        <v>1.1023</v>
      </c>
      <c r="Z7" s="87">
        <v>10.0</v>
      </c>
      <c r="AA7" s="70">
        <f t="shared" si="4"/>
        <v>10</v>
      </c>
      <c r="AB7" s="71">
        <f t="shared" si="14"/>
        <v>203.8345024</v>
      </c>
      <c r="AC7" s="71">
        <f>+(S7-T7)*V7-'data 1'!$F$4</f>
        <v>24.7185</v>
      </c>
      <c r="AD7" s="71">
        <f t="shared" si="5"/>
        <v>1.034834913</v>
      </c>
      <c r="AE7" s="71">
        <f t="shared" si="6"/>
        <v>-58.977</v>
      </c>
      <c r="AF7" s="71">
        <f t="shared" si="7"/>
        <v>6.225070411</v>
      </c>
      <c r="AG7" s="72">
        <f t="shared" si="8"/>
        <v>43.00140532</v>
      </c>
      <c r="AH7" s="52">
        <f t="shared" si="9"/>
        <v>5.040432279</v>
      </c>
      <c r="AI7" s="52">
        <f t="shared" si="10"/>
        <v>5.911143754</v>
      </c>
      <c r="AJ7" s="73">
        <f t="shared" si="11"/>
        <v>12.98303482</v>
      </c>
      <c r="AK7" s="73">
        <f t="shared" si="12"/>
        <v>4.928767958</v>
      </c>
      <c r="AL7" s="11"/>
      <c r="AM7" s="51">
        <f t="shared" si="13"/>
        <v>334.6962529</v>
      </c>
      <c r="AN7" s="51" t="str">
        <f t="array" ref="AN7">XLOOKUP(D7,RUC!$B$3:$B$565,RUC!$M$3:$M$565)</f>
        <v>Melchor Vera</v>
      </c>
      <c r="AO7" s="131" t="s">
        <v>551</v>
      </c>
      <c r="AS7" s="65"/>
    </row>
    <row r="8" ht="15.0" customHeight="1">
      <c r="A8" s="116" t="s">
        <v>1028</v>
      </c>
      <c r="B8" s="56">
        <v>45798.0</v>
      </c>
      <c r="C8" s="56">
        <v>45796.0</v>
      </c>
      <c r="D8" s="57" t="s">
        <v>45</v>
      </c>
      <c r="E8" s="57">
        <f t="array" ref="E8">XLOOKUP(D8,RUC!$B$3:$B$110,RUC!$D$3:$D$110)</f>
        <v>10416085884</v>
      </c>
      <c r="G8" s="3" t="s">
        <v>46</v>
      </c>
      <c r="H8" s="57" t="s">
        <v>47</v>
      </c>
      <c r="I8" s="6">
        <v>27.51</v>
      </c>
      <c r="J8" s="58">
        <v>12.7</v>
      </c>
      <c r="K8" s="59">
        <f t="shared" si="2"/>
        <v>24.016</v>
      </c>
      <c r="L8" s="60">
        <v>0.198</v>
      </c>
      <c r="M8" s="60">
        <v>0.182</v>
      </c>
      <c r="N8" s="62">
        <v>0.182</v>
      </c>
      <c r="O8" s="60">
        <f t="shared" si="3"/>
        <v>0.182</v>
      </c>
      <c r="P8" s="63">
        <v>82.0</v>
      </c>
      <c r="Q8" s="58">
        <v>80.3</v>
      </c>
      <c r="R8" s="65">
        <v>3230.15</v>
      </c>
      <c r="S8" s="76">
        <v>100.0</v>
      </c>
      <c r="U8" s="67">
        <v>90.0</v>
      </c>
      <c r="V8" s="67">
        <v>1.1023</v>
      </c>
      <c r="Z8" s="69">
        <f t="shared" ref="Z8:Z9" si="15">IF(IF(D8="UNTUCA",IF(+((W8-3)*1.5+(X8-3)*3.1)&gt;0,+((W8-3)*1.5+(X8-3)*3.1),0),IF(+((W8-3)*1.5+(X8-3)*3.1)&gt;0,+((W8-3)*1.5+(X8-3)*3.1),0))&lt;30,30,IF(D8="UNTUCA",IF(+((W8-3)*1.5+(X8-3)*3.1)&gt;0,+((W8-3)*1.5+(X8-3)*3.1),0),IF(+((W8-3)*1.5+(X8-3)*3.1)&gt;0,+((W8-3)*1.5+(X8-3)*3.1),0)))</f>
        <v>30</v>
      </c>
      <c r="AA8" s="70">
        <f t="shared" si="4"/>
        <v>30</v>
      </c>
      <c r="AB8" s="71">
        <f t="shared" si="14"/>
        <v>373.2784474</v>
      </c>
      <c r="AC8" s="71">
        <f>+(S8-T8)*V8-'data 1'!$F$4</f>
        <v>30.23</v>
      </c>
      <c r="AD8" s="71">
        <f t="shared" si="5"/>
        <v>-11.6510298</v>
      </c>
      <c r="AE8" s="71">
        <f t="shared" si="6"/>
        <v>-36.931</v>
      </c>
      <c r="AF8" s="71">
        <f t="shared" si="7"/>
        <v>44.47190461</v>
      </c>
      <c r="AG8" s="72">
        <f>+IF(D8="RONALD WILLIAN GARIBAY ESCUDERO",AC8+AD8+AE8+AF8+70,AC8+AD8+AE8+AF8)+70-53</f>
        <v>43.11987481</v>
      </c>
      <c r="AH8" s="52">
        <f t="shared" si="9"/>
        <v>130.9153224</v>
      </c>
      <c r="AI8" s="52">
        <f t="shared" si="10"/>
        <v>163.0327801</v>
      </c>
      <c r="AJ8" s="73">
        <f t="shared" si="11"/>
        <v>53.07721426</v>
      </c>
      <c r="AK8" s="73">
        <f t="shared" si="12"/>
        <v>122.8838995</v>
      </c>
      <c r="AL8" s="11"/>
      <c r="AM8" s="51">
        <f t="shared" si="13"/>
        <v>8964.655192</v>
      </c>
      <c r="AN8" s="51" t="str">
        <f t="array" ref="AN8">XLOOKUP(D8,RUC!$B$3:$B$565,RUC!$M$3:$M$565)</f>
        <v>Alfred Torres</v>
      </c>
      <c r="AO8" s="131" t="s">
        <v>551</v>
      </c>
      <c r="AS8" s="65"/>
    </row>
    <row r="9" ht="15.0" customHeight="1">
      <c r="A9" s="132" t="s">
        <v>1029</v>
      </c>
      <c r="B9" s="56"/>
      <c r="C9" s="56">
        <v>45797.0</v>
      </c>
      <c r="D9" s="57" t="s">
        <v>61</v>
      </c>
      <c r="E9" s="57">
        <f t="array" ref="E9">XLOOKUP(D9,RUC!$B$3:$B$110,RUC!$D$3:$D$110)</f>
        <v>20606526599</v>
      </c>
      <c r="G9" s="3">
        <v>85.0</v>
      </c>
      <c r="H9" s="57" t="s">
        <v>47</v>
      </c>
      <c r="I9" s="6">
        <v>6.92</v>
      </c>
      <c r="J9" s="58">
        <v>0.15</v>
      </c>
      <c r="K9" s="59">
        <f t="shared" si="2"/>
        <v>6.91</v>
      </c>
      <c r="L9" s="60">
        <v>0.076</v>
      </c>
      <c r="M9" s="60">
        <v>0.061</v>
      </c>
      <c r="N9" s="62">
        <v>0.061</v>
      </c>
      <c r="O9" s="60">
        <f t="shared" si="3"/>
        <v>0.061</v>
      </c>
      <c r="P9" s="63">
        <v>69.0</v>
      </c>
      <c r="Q9" s="58">
        <v>69.66</v>
      </c>
      <c r="R9" s="65">
        <v>3261.55</v>
      </c>
      <c r="S9" s="66">
        <f>IF((90+ROUNDDOWN(O9,1)*100)&lt;95,95,(90+ROUNDDOWN(O9,1)*100))</f>
        <v>95</v>
      </c>
      <c r="U9" s="67">
        <v>120.0</v>
      </c>
      <c r="V9" s="67">
        <v>1.1023</v>
      </c>
      <c r="Z9" s="69">
        <f t="shared" si="15"/>
        <v>30</v>
      </c>
      <c r="AA9" s="70">
        <f t="shared" si="4"/>
        <v>30</v>
      </c>
      <c r="AB9" s="71">
        <v>0.01</v>
      </c>
      <c r="AC9" s="71">
        <f>+(S9-T9)*V9-'data 1'!$F$4</f>
        <v>24.7185</v>
      </c>
      <c r="AD9" s="71">
        <f t="shared" si="5"/>
        <v>1.737005971</v>
      </c>
      <c r="AE9" s="71">
        <f t="shared" si="6"/>
        <v>-36.931</v>
      </c>
      <c r="AF9" s="71">
        <f t="shared" si="7"/>
        <v>36.18416147</v>
      </c>
      <c r="AG9" s="72">
        <f>+IF(D9="RONALD WILLIAN GARIBAY ESCUDERO",AC9+AD9+AE9+AF9+70,AC9+AD9+AE9+AF9)+70-53+7.97</f>
        <v>50.67866745</v>
      </c>
      <c r="AH9" s="52">
        <f t="shared" si="9"/>
        <v>12.542502</v>
      </c>
      <c r="AI9" s="52">
        <f t="shared" si="10"/>
        <v>18.00531439</v>
      </c>
      <c r="AJ9" s="73">
        <f t="shared" si="11"/>
        <v>17.59187612</v>
      </c>
      <c r="AK9" s="73"/>
      <c r="AL9" s="11"/>
      <c r="AM9" s="51">
        <f t="shared" si="13"/>
        <v>0.0691</v>
      </c>
      <c r="AN9" s="51" t="str">
        <f t="array" ref="AN9">XLOOKUP(D9,RUC!$B$3:$B$565,RUC!$M$3:$M$565)</f>
        <v>Yuri Rospigliossi</v>
      </c>
      <c r="AO9" s="131" t="s">
        <v>551</v>
      </c>
      <c r="AS9" s="65"/>
    </row>
    <row r="10" ht="15.0" customHeight="1">
      <c r="A10" s="116" t="s">
        <v>1030</v>
      </c>
      <c r="B10" s="56">
        <v>45803.0</v>
      </c>
      <c r="C10" s="56">
        <v>45797.0</v>
      </c>
      <c r="D10" s="57" t="s">
        <v>146</v>
      </c>
      <c r="E10" s="57">
        <f t="array" ref="E10">XLOOKUP(D10,RUC!$B$3:$B$110,RUC!$D$3:$D$110)</f>
        <v>20517242919</v>
      </c>
      <c r="G10" s="3">
        <v>50.0</v>
      </c>
      <c r="H10" s="57" t="s">
        <v>47</v>
      </c>
      <c r="I10" s="6">
        <v>5.26</v>
      </c>
      <c r="J10" s="58">
        <v>2.55</v>
      </c>
      <c r="K10" s="59">
        <f t="shared" si="2"/>
        <v>5.126</v>
      </c>
      <c r="L10" s="60">
        <v>0.286</v>
      </c>
      <c r="M10" s="60">
        <v>0.282</v>
      </c>
      <c r="N10" s="75">
        <v>0.302</v>
      </c>
      <c r="O10" s="60">
        <f t="shared" si="3"/>
        <v>0.292</v>
      </c>
      <c r="P10" s="63">
        <v>85.0</v>
      </c>
      <c r="Q10" s="58">
        <v>85.31</v>
      </c>
      <c r="R10" s="65">
        <v>3261.55</v>
      </c>
      <c r="S10" s="76">
        <v>105.0</v>
      </c>
      <c r="U10" s="87">
        <v>80.0</v>
      </c>
      <c r="V10" s="67">
        <v>1.1023</v>
      </c>
      <c r="Z10" s="87">
        <v>10.0</v>
      </c>
      <c r="AA10" s="70">
        <f t="shared" si="4"/>
        <v>10</v>
      </c>
      <c r="AB10" s="71">
        <f t="shared" ref="AB10:AB13" si="16">+((O10*P10*(R10-U10)/100)-S10-AA10+T10)*V10</f>
        <v>743.6785006</v>
      </c>
      <c r="AC10" s="71">
        <f>+(S10-T10)*V10-'data 1'!$F$4</f>
        <v>35.7415</v>
      </c>
      <c r="AD10" s="71">
        <f t="shared" si="5"/>
        <v>3.109326206</v>
      </c>
      <c r="AE10" s="71">
        <f t="shared" si="6"/>
        <v>-58.977</v>
      </c>
      <c r="AF10" s="71">
        <f t="shared" si="7"/>
        <v>-17.9510457</v>
      </c>
      <c r="AG10" s="72">
        <f t="shared" ref="AG10:AG13" si="17">+IF(D10="RONALD WILLIAN GARIBAY ESCUDERO",AC10+AD10+AE10+AF10+70,AC10+AD10+AE10+AF10)+70-53</f>
        <v>-21.0772195</v>
      </c>
      <c r="AH10" s="52">
        <f t="shared" si="9"/>
        <v>42.87988838</v>
      </c>
      <c r="AI10" s="52">
        <f t="shared" si="10"/>
        <v>50.26361316</v>
      </c>
      <c r="AJ10" s="73">
        <f t="shared" si="11"/>
        <v>70.31604391</v>
      </c>
      <c r="AK10" s="73">
        <f t="shared" ref="AK10:AK13" si="18">31.1035*1.1023*K10*P10*O10/100</f>
        <v>43.62038037</v>
      </c>
      <c r="AL10" s="11"/>
      <c r="AM10" s="51">
        <f t="shared" si="13"/>
        <v>3812.095994</v>
      </c>
      <c r="AN10" s="51" t="str">
        <f t="array" ref="AN10">XLOOKUP(D10,RUC!$B$3:$B$565,RUC!$M$3:$M$565)</f>
        <v>Melchor Vera</v>
      </c>
      <c r="AO10" s="131" t="s">
        <v>547</v>
      </c>
      <c r="AS10" s="65"/>
    </row>
    <row r="11" ht="15.0" customHeight="1">
      <c r="A11" s="88" t="s">
        <v>1031</v>
      </c>
      <c r="B11" s="56">
        <v>45818.0</v>
      </c>
      <c r="C11" s="56">
        <v>45810.0</v>
      </c>
      <c r="D11" s="57" t="s">
        <v>295</v>
      </c>
      <c r="E11" s="57">
        <f t="array" ref="E11">XLOOKUP(D11,RUC!$B$3:$B$110,RUC!$D$3:$D$110)</f>
        <v>20601769396</v>
      </c>
      <c r="G11" s="3">
        <v>40.0</v>
      </c>
      <c r="H11" s="57" t="s">
        <v>71</v>
      </c>
      <c r="I11" s="6">
        <v>3.33</v>
      </c>
      <c r="J11" s="58">
        <v>16.85</v>
      </c>
      <c r="K11" s="59">
        <f t="shared" si="2"/>
        <v>2.769</v>
      </c>
      <c r="L11" s="60">
        <v>0.141</v>
      </c>
      <c r="M11" s="60">
        <v>0.125</v>
      </c>
      <c r="N11" s="75">
        <v>0.172</v>
      </c>
      <c r="O11" s="60">
        <f t="shared" si="3"/>
        <v>0.149</v>
      </c>
      <c r="P11" s="63">
        <v>86.0</v>
      </c>
      <c r="Q11" s="58">
        <v>87.22</v>
      </c>
      <c r="R11" s="65">
        <v>3370.85</v>
      </c>
      <c r="S11" s="66">
        <f t="shared" ref="S11:S12" si="19">IF((90+ROUNDDOWN(O11,1)*100)&lt;95,95,(90+ROUNDDOWN(O11,1)*100))</f>
        <v>100</v>
      </c>
      <c r="U11" s="67">
        <v>120.0</v>
      </c>
      <c r="V11" s="67">
        <v>1.1023</v>
      </c>
      <c r="Y11" s="57">
        <v>20.0</v>
      </c>
      <c r="Z11" s="69">
        <f t="shared" ref="Z11:Z13" si="20">IF(IF(D11="UNTUCA",IF(+((W11-3)*1.5+(X11-3)*3.1)&gt;0,+((W11-3)*1.5+(X11-3)*3.1),0),IF(+((W11-3)*1.5+(X11-3)*3.1)&gt;0,+((W11-3)*1.5+(X11-3)*3.1),0))&lt;30,30,IF(D11="UNTUCA",IF(+((W11-3)*1.5+(X11-3)*3.1)&gt;0,+((W11-3)*1.5+(X11-3)*3.1),0),IF(+((W11-3)*1.5+(X11-3)*3.1)&gt;0,+((W11-3)*1.5+(X11-3)*3.1),0)))</f>
        <v>30</v>
      </c>
      <c r="AA11" s="70">
        <f t="shared" si="4"/>
        <v>50</v>
      </c>
      <c r="AB11" s="71">
        <f t="shared" si="16"/>
        <v>293.8334079</v>
      </c>
      <c r="AC11" s="71">
        <f>+(S11-T11)*V11-'data 1'!$F$4</f>
        <v>30.23</v>
      </c>
      <c r="AD11" s="71">
        <f t="shared" si="5"/>
        <v>6.164185245</v>
      </c>
      <c r="AE11" s="71">
        <f t="shared" si="6"/>
        <v>-14.885</v>
      </c>
      <c r="AF11" s="71">
        <f t="shared" si="7"/>
        <v>-25.00361526</v>
      </c>
      <c r="AG11" s="72">
        <f t="shared" si="17"/>
        <v>13.50556999</v>
      </c>
      <c r="AH11" s="52">
        <f t="shared" si="9"/>
        <v>11.67527772</v>
      </c>
      <c r="AI11" s="52">
        <f t="shared" si="10"/>
        <v>13.38600977</v>
      </c>
      <c r="AJ11" s="73">
        <f t="shared" si="11"/>
        <v>26.04806046</v>
      </c>
      <c r="AK11" s="73">
        <f t="shared" si="18"/>
        <v>12.16512973</v>
      </c>
      <c r="AL11" s="11"/>
      <c r="AM11" s="51">
        <f t="shared" si="13"/>
        <v>813.6247065</v>
      </c>
      <c r="AN11" s="51" t="str">
        <f t="array" ref="AN11">XLOOKUP(D11,RUC!$B$3:$B$565,RUC!$M$3:$M$565)</f>
        <v>Evelyn</v>
      </c>
      <c r="AO11" s="131" t="s">
        <v>547</v>
      </c>
      <c r="AS11" s="65"/>
    </row>
    <row r="12" ht="15.0" customHeight="1">
      <c r="A12" s="88" t="s">
        <v>1032</v>
      </c>
      <c r="B12" s="56">
        <v>45818.0</v>
      </c>
      <c r="C12" s="56">
        <v>45810.0</v>
      </c>
      <c r="D12" s="57" t="s">
        <v>295</v>
      </c>
      <c r="E12" s="57">
        <f t="array" ref="E12">XLOOKUP(D12,RUC!$B$3:$B$110,RUC!$D$3:$D$110)</f>
        <v>20601769396</v>
      </c>
      <c r="G12" s="3">
        <v>40.0</v>
      </c>
      <c r="H12" s="57" t="s">
        <v>71</v>
      </c>
      <c r="I12" s="6">
        <v>3.32</v>
      </c>
      <c r="J12" s="58">
        <v>19.35</v>
      </c>
      <c r="K12" s="59">
        <f t="shared" si="2"/>
        <v>2.678</v>
      </c>
      <c r="L12" s="60">
        <v>0.3</v>
      </c>
      <c r="M12" s="60">
        <v>0.282</v>
      </c>
      <c r="N12" s="62">
        <v>0.282</v>
      </c>
      <c r="O12" s="60">
        <f t="shared" si="3"/>
        <v>0.282</v>
      </c>
      <c r="P12" s="63">
        <v>84.0</v>
      </c>
      <c r="Q12" s="58">
        <v>84.02</v>
      </c>
      <c r="R12" s="65">
        <v>3370.85</v>
      </c>
      <c r="S12" s="66">
        <f t="shared" si="19"/>
        <v>110</v>
      </c>
      <c r="U12" s="67">
        <v>120.0</v>
      </c>
      <c r="V12" s="67">
        <v>1.1023</v>
      </c>
      <c r="Y12" s="57">
        <v>20.0</v>
      </c>
      <c r="Z12" s="69">
        <f t="shared" si="20"/>
        <v>30</v>
      </c>
      <c r="AA12" s="70">
        <f t="shared" si="4"/>
        <v>50</v>
      </c>
      <c r="AB12" s="71">
        <f t="shared" si="16"/>
        <v>672.4706239</v>
      </c>
      <c r="AC12" s="71">
        <f>+(S12-T12)*V12-'data 1'!$F$4</f>
        <v>41.253</v>
      </c>
      <c r="AD12" s="71">
        <f t="shared" si="5"/>
        <v>0.2150047173</v>
      </c>
      <c r="AE12" s="71">
        <f t="shared" si="6"/>
        <v>-14.885</v>
      </c>
      <c r="AF12" s="71">
        <f t="shared" si="7"/>
        <v>54.19408904</v>
      </c>
      <c r="AG12" s="72">
        <f t="shared" si="17"/>
        <v>97.77709376</v>
      </c>
      <c r="AH12" s="52">
        <f t="shared" si="9"/>
        <v>23.14320881</v>
      </c>
      <c r="AI12" s="52">
        <f t="shared" si="10"/>
        <v>27.54488076</v>
      </c>
      <c r="AJ12" s="73">
        <f t="shared" si="11"/>
        <v>53.38805856</v>
      </c>
      <c r="AK12" s="73">
        <f t="shared" si="18"/>
        <v>21.74943785</v>
      </c>
      <c r="AL12" s="11"/>
      <c r="AM12" s="51">
        <f t="shared" si="13"/>
        <v>1800.876331</v>
      </c>
      <c r="AN12" s="51" t="str">
        <f t="array" ref="AN12">XLOOKUP(D12,RUC!$B$3:$B$565,RUC!$M$3:$M$565)</f>
        <v>Evelyn</v>
      </c>
      <c r="AO12" s="131" t="s">
        <v>547</v>
      </c>
      <c r="AS12" s="65"/>
    </row>
    <row r="13" ht="15.0" customHeight="1">
      <c r="A13" s="116" t="s">
        <v>1033</v>
      </c>
      <c r="B13" s="56">
        <v>45824.0</v>
      </c>
      <c r="C13" s="56">
        <v>45815.0</v>
      </c>
      <c r="D13" s="57" t="s">
        <v>79</v>
      </c>
      <c r="E13" s="57">
        <f t="array" ref="E13">XLOOKUP(D13,RUC!$B$3:$B$110,RUC!$D$3:$D$110)</f>
        <v>10421580605</v>
      </c>
      <c r="G13" s="3" t="s">
        <v>46</v>
      </c>
      <c r="H13" s="57" t="s">
        <v>47</v>
      </c>
      <c r="I13" s="6">
        <v>35.25</v>
      </c>
      <c r="J13" s="58">
        <v>14.3</v>
      </c>
      <c r="K13" s="59">
        <f t="shared" si="2"/>
        <v>30.209</v>
      </c>
      <c r="L13" s="60">
        <v>0.141</v>
      </c>
      <c r="M13" s="60">
        <v>0.127</v>
      </c>
      <c r="N13" s="62">
        <v>0.127</v>
      </c>
      <c r="O13" s="60">
        <f t="shared" si="3"/>
        <v>0.127</v>
      </c>
      <c r="P13" s="63">
        <v>85.0</v>
      </c>
      <c r="Q13" s="58">
        <v>86.52</v>
      </c>
      <c r="R13" s="65">
        <v>3339.9</v>
      </c>
      <c r="S13" s="76">
        <v>110.0</v>
      </c>
      <c r="U13" s="67">
        <v>90.0</v>
      </c>
      <c r="V13" s="67">
        <v>1.1023</v>
      </c>
      <c r="Z13" s="69">
        <f t="shared" si="20"/>
        <v>30</v>
      </c>
      <c r="AA13" s="70">
        <f t="shared" si="4"/>
        <v>30</v>
      </c>
      <c r="AB13" s="71">
        <f t="shared" si="16"/>
        <v>232.3942769</v>
      </c>
      <c r="AC13" s="71">
        <f>+(S13-T13)*V13-'data 1'!$F$4</f>
        <v>41.253</v>
      </c>
      <c r="AD13" s="71">
        <f t="shared" si="5"/>
        <v>7.677724175</v>
      </c>
      <c r="AE13" s="71">
        <f t="shared" si="6"/>
        <v>-36.931</v>
      </c>
      <c r="AF13" s="71">
        <f t="shared" si="7"/>
        <v>43.39246799</v>
      </c>
      <c r="AG13" s="72">
        <f t="shared" si="17"/>
        <v>72.39219216</v>
      </c>
      <c r="AH13" s="52">
        <f t="shared" si="9"/>
        <v>126.3516861</v>
      </c>
      <c r="AI13" s="52">
        <f t="shared" si="10"/>
        <v>146.0375476</v>
      </c>
      <c r="AJ13" s="73">
        <f t="shared" si="11"/>
        <v>25.96675645</v>
      </c>
      <c r="AK13" s="73">
        <f t="shared" si="18"/>
        <v>111.8067607</v>
      </c>
      <c r="AL13" s="11"/>
      <c r="AM13" s="51">
        <f t="shared" si="13"/>
        <v>7020.398712</v>
      </c>
      <c r="AN13" s="51" t="str">
        <f t="array" ref="AN13">XLOOKUP(D13,RUC!$B$3:$B$565,RUC!$M$3:$M$565)</f>
        <v>Alfred Torres</v>
      </c>
      <c r="AO13" s="131" t="s">
        <v>547</v>
      </c>
      <c r="AS13" s="65"/>
    </row>
    <row r="14" ht="15.0" customHeight="1">
      <c r="A14" s="132" t="s">
        <v>1034</v>
      </c>
      <c r="B14" s="56">
        <v>45821.0</v>
      </c>
      <c r="C14" s="56">
        <v>45815.0</v>
      </c>
      <c r="D14" s="57" t="s">
        <v>146</v>
      </c>
      <c r="E14" s="57">
        <f t="array" ref="E14">XLOOKUP(D14,RUC!$B$3:$B$110,RUC!$D$3:$D$110)</f>
        <v>20517242919</v>
      </c>
      <c r="G14" s="3">
        <v>41.0</v>
      </c>
      <c r="H14" s="57" t="s">
        <v>47</v>
      </c>
      <c r="I14" s="6">
        <v>3.95</v>
      </c>
      <c r="J14" s="58">
        <v>1.8</v>
      </c>
      <c r="K14" s="59">
        <f t="shared" si="2"/>
        <v>3.879</v>
      </c>
      <c r="L14" s="60">
        <v>0.087</v>
      </c>
      <c r="M14" s="60">
        <v>0.085</v>
      </c>
      <c r="N14" s="62">
        <v>0.085</v>
      </c>
      <c r="O14" s="60">
        <f t="shared" si="3"/>
        <v>0.085</v>
      </c>
      <c r="P14" s="63">
        <v>85.0</v>
      </c>
      <c r="Q14" s="58">
        <v>96.53</v>
      </c>
      <c r="R14" s="65">
        <v>3339.9</v>
      </c>
      <c r="S14" s="76">
        <v>95.0</v>
      </c>
      <c r="U14" s="87">
        <v>80.0</v>
      </c>
      <c r="V14" s="67">
        <v>1.1023</v>
      </c>
      <c r="Z14" s="87">
        <v>10.0</v>
      </c>
      <c r="AA14" s="70">
        <f t="shared" si="4"/>
        <v>10</v>
      </c>
      <c r="AB14" s="71">
        <v>0.01</v>
      </c>
      <c r="AC14" s="71">
        <f>+(S14-T14)*V14-'data 1'!$F$4</f>
        <v>24.7185</v>
      </c>
      <c r="AD14" s="71">
        <f t="shared" si="5"/>
        <v>36.04563206</v>
      </c>
      <c r="AE14" s="71">
        <f t="shared" si="6"/>
        <v>-58.977</v>
      </c>
      <c r="AF14" s="71">
        <f t="shared" si="7"/>
        <v>6.937394429</v>
      </c>
      <c r="AG14" s="72">
        <f>+IF(D14="RONALD WILLIAN GARIBAY ESCUDERO",AC14+AD14+AE14+AF14+70,AC14+AD14+AE14+AF14)+70+143.88</f>
        <v>222.6045265</v>
      </c>
      <c r="AH14" s="52">
        <f t="shared" si="9"/>
        <v>11.16890013</v>
      </c>
      <c r="AI14" s="52">
        <f t="shared" si="10"/>
        <v>11.57039276</v>
      </c>
      <c r="AJ14" s="73">
        <f t="shared" si="11"/>
        <v>16.95000031</v>
      </c>
      <c r="AK14" s="73"/>
      <c r="AL14" s="11"/>
      <c r="AM14" s="51">
        <f t="shared" si="13"/>
        <v>0.03879</v>
      </c>
      <c r="AN14" s="51" t="str">
        <f t="array" ref="AN14">XLOOKUP(D14,RUC!$B$3:$B$565,RUC!$M$3:$M$565)</f>
        <v>Melchor Vera</v>
      </c>
      <c r="AO14" s="131" t="s">
        <v>558</v>
      </c>
      <c r="AS14" s="65"/>
    </row>
    <row r="15" ht="15.0" customHeight="1">
      <c r="A15" s="132" t="s">
        <v>1035</v>
      </c>
      <c r="B15" s="56">
        <v>45821.0</v>
      </c>
      <c r="C15" s="56">
        <v>45815.0</v>
      </c>
      <c r="D15" s="57" t="s">
        <v>146</v>
      </c>
      <c r="E15" s="57">
        <f t="array" ref="E15">XLOOKUP(D15,RUC!$B$3:$B$110,RUC!$D$3:$D$110)</f>
        <v>20517242919</v>
      </c>
      <c r="G15" s="3">
        <v>36.0</v>
      </c>
      <c r="H15" s="57" t="s">
        <v>47</v>
      </c>
      <c r="I15" s="6">
        <v>3.5</v>
      </c>
      <c r="J15" s="58">
        <v>1.8</v>
      </c>
      <c r="K15" s="59">
        <f t="shared" si="2"/>
        <v>3.437</v>
      </c>
      <c r="L15" s="60">
        <v>0.074</v>
      </c>
      <c r="M15" s="60">
        <v>0.073</v>
      </c>
      <c r="N15" s="62">
        <v>0.073</v>
      </c>
      <c r="O15" s="60">
        <f t="shared" si="3"/>
        <v>0.073</v>
      </c>
      <c r="P15" s="63">
        <v>85.0</v>
      </c>
      <c r="Q15" s="58">
        <v>93.24</v>
      </c>
      <c r="R15" s="65">
        <v>3339.9</v>
      </c>
      <c r="S15" s="76">
        <v>95.0</v>
      </c>
      <c r="U15" s="87">
        <v>80.0</v>
      </c>
      <c r="V15" s="67">
        <v>1.1023</v>
      </c>
      <c r="Z15" s="87">
        <v>10.0</v>
      </c>
      <c r="AA15" s="70">
        <f t="shared" si="4"/>
        <v>10</v>
      </c>
      <c r="AB15" s="71">
        <v>0.01</v>
      </c>
      <c r="AC15" s="71">
        <f>+(S15-T15)*V15-'data 1'!$F$4</f>
        <v>24.7185</v>
      </c>
      <c r="AD15" s="71">
        <f t="shared" si="5"/>
        <v>21.91104127</v>
      </c>
      <c r="AE15" s="71">
        <f t="shared" si="6"/>
        <v>-58.977</v>
      </c>
      <c r="AF15" s="71">
        <f t="shared" si="7"/>
        <v>3.350474757</v>
      </c>
      <c r="AG15" s="72">
        <f>+IF(D15="RONALD WILLIAN GARIBAY ESCUDERO",AC15+AD15+AE15+AF15+70,AC15+AD15+AE15+AF15)+70+107.23</f>
        <v>168.233016</v>
      </c>
      <c r="AH15" s="52">
        <f t="shared" si="9"/>
        <v>8.130599819</v>
      </c>
      <c r="AI15" s="52">
        <f t="shared" si="10"/>
        <v>8.720077026</v>
      </c>
      <c r="AJ15" s="73">
        <f t="shared" si="11"/>
        <v>13.92586358</v>
      </c>
      <c r="AK15" s="73"/>
      <c r="AL15" s="11"/>
      <c r="AM15" s="51">
        <f t="shared" si="13"/>
        <v>0.03437</v>
      </c>
      <c r="AN15" s="51" t="str">
        <f t="array" ref="AN15">XLOOKUP(D15,RUC!$B$3:$B$565,RUC!$M$3:$M$565)</f>
        <v>Melchor Vera</v>
      </c>
      <c r="AO15" s="131" t="s">
        <v>558</v>
      </c>
      <c r="AS15" s="65"/>
    </row>
    <row r="16" ht="15.0" customHeight="1">
      <c r="A16" s="132" t="s">
        <v>1036</v>
      </c>
      <c r="B16" s="56">
        <v>45821.0</v>
      </c>
      <c r="C16" s="56">
        <v>45815.0</v>
      </c>
      <c r="D16" s="57" t="s">
        <v>146</v>
      </c>
      <c r="E16" s="57">
        <f t="array" ref="E16">XLOOKUP(D16,RUC!$B$3:$B$110,RUC!$D$3:$D$110)</f>
        <v>20517242919</v>
      </c>
      <c r="G16" s="3">
        <v>36.0</v>
      </c>
      <c r="H16" s="57" t="s">
        <v>47</v>
      </c>
      <c r="I16" s="6">
        <v>3.47</v>
      </c>
      <c r="J16" s="58">
        <v>2.1</v>
      </c>
      <c r="K16" s="59">
        <f t="shared" si="2"/>
        <v>3.397</v>
      </c>
      <c r="L16" s="60">
        <v>0.082</v>
      </c>
      <c r="M16" s="60">
        <v>0.081</v>
      </c>
      <c r="N16" s="62">
        <v>0.081</v>
      </c>
      <c r="O16" s="60">
        <f t="shared" si="3"/>
        <v>0.081</v>
      </c>
      <c r="P16" s="63">
        <v>85.0</v>
      </c>
      <c r="Q16" s="58">
        <v>93.9</v>
      </c>
      <c r="R16" s="65">
        <v>3339.9</v>
      </c>
      <c r="S16" s="76">
        <v>95.0</v>
      </c>
      <c r="U16" s="87">
        <v>80.0</v>
      </c>
      <c r="V16" s="67">
        <v>1.1023</v>
      </c>
      <c r="Z16" s="87">
        <v>10.0</v>
      </c>
      <c r="AA16" s="70">
        <f t="shared" si="4"/>
        <v>10</v>
      </c>
      <c r="AB16" s="71">
        <v>0.01</v>
      </c>
      <c r="AC16" s="71">
        <f>+(S16-T16)*V16-'data 1'!$F$4</f>
        <v>24.7185</v>
      </c>
      <c r="AD16" s="71">
        <f t="shared" si="5"/>
        <v>26.22454395</v>
      </c>
      <c r="AE16" s="71">
        <f t="shared" si="6"/>
        <v>-58.977</v>
      </c>
      <c r="AF16" s="71">
        <f t="shared" si="7"/>
        <v>3.374191116</v>
      </c>
      <c r="AG16" s="72">
        <f>+IF(D16="RONALD WILLIAN GARIBAY ESCUDERO",AC16+AD16+AE16+AF16+70,AC16+AD16+AE16+AF16)+70+131.66</f>
        <v>197.0002351</v>
      </c>
      <c r="AH16" s="52">
        <f t="shared" si="9"/>
        <v>8.967761732</v>
      </c>
      <c r="AI16" s="52">
        <f t="shared" si="10"/>
        <v>9.550331983</v>
      </c>
      <c r="AJ16" s="73">
        <f t="shared" si="11"/>
        <v>15.54059335</v>
      </c>
      <c r="AK16" s="73"/>
      <c r="AL16" s="11"/>
      <c r="AM16" s="51">
        <f t="shared" si="13"/>
        <v>0.03397</v>
      </c>
      <c r="AN16" s="51" t="str">
        <f t="array" ref="AN16">XLOOKUP(D16,RUC!$B$3:$B$565,RUC!$M$3:$M$565)</f>
        <v>Melchor Vera</v>
      </c>
      <c r="AO16" s="131" t="s">
        <v>558</v>
      </c>
      <c r="AS16" s="65"/>
    </row>
    <row r="17" ht="15.0" customHeight="1">
      <c r="A17" s="116" t="s">
        <v>1037</v>
      </c>
      <c r="B17" s="56">
        <v>45821.0</v>
      </c>
      <c r="C17" s="56">
        <v>45815.0</v>
      </c>
      <c r="D17" s="57" t="s">
        <v>146</v>
      </c>
      <c r="E17" s="57">
        <f t="array" ref="E17">XLOOKUP(D17,RUC!$B$3:$B$110,RUC!$D$3:$D$110)</f>
        <v>20517242919</v>
      </c>
      <c r="G17" s="3">
        <v>62.0</v>
      </c>
      <c r="H17" s="57" t="s">
        <v>47</v>
      </c>
      <c r="I17" s="6">
        <v>5.75</v>
      </c>
      <c r="J17" s="58">
        <v>2.3</v>
      </c>
      <c r="K17" s="59">
        <f t="shared" si="2"/>
        <v>5.618</v>
      </c>
      <c r="L17" s="60">
        <v>0.111</v>
      </c>
      <c r="M17" s="60">
        <v>0.109</v>
      </c>
      <c r="N17" s="62">
        <v>0.109</v>
      </c>
      <c r="O17" s="60">
        <f t="shared" si="3"/>
        <v>0.109</v>
      </c>
      <c r="P17" s="63">
        <v>85.0</v>
      </c>
      <c r="Q17" s="58">
        <v>92.79</v>
      </c>
      <c r="R17" s="65">
        <v>3339.9</v>
      </c>
      <c r="S17" s="76">
        <v>95.0</v>
      </c>
      <c r="U17" s="87">
        <v>80.0</v>
      </c>
      <c r="V17" s="67">
        <v>1.1023</v>
      </c>
      <c r="Z17" s="87">
        <v>10.0</v>
      </c>
      <c r="AA17" s="70">
        <f t="shared" si="4"/>
        <v>10</v>
      </c>
      <c r="AB17" s="71">
        <f t="shared" ref="AB17:AB19" si="21">+((O17*P17*(R17-U17)/100)-S17-AA17+T17)*V17</f>
        <v>217.1858769</v>
      </c>
      <c r="AC17" s="71">
        <f>+(S17-T17)*V17-'data 1'!$F$4</f>
        <v>24.7185</v>
      </c>
      <c r="AD17" s="71">
        <f t="shared" si="5"/>
        <v>31.07166471</v>
      </c>
      <c r="AE17" s="71">
        <f t="shared" si="6"/>
        <v>-58.977</v>
      </c>
      <c r="AF17" s="71">
        <f t="shared" si="7"/>
        <v>6.668609024</v>
      </c>
      <c r="AG17" s="72">
        <f t="shared" ref="AG17:AG19" si="22">+IF(D17="RONALD WILLIAN GARIBAY ESCUDERO",AC17+AD17+AE17+AF17+70,AC17+AD17+AE17+AF17)+70-53</f>
        <v>20.48177373</v>
      </c>
      <c r="AH17" s="52">
        <f t="shared" si="9"/>
        <v>19.83877983</v>
      </c>
      <c r="AI17" s="52">
        <f t="shared" si="10"/>
        <v>21.38029942</v>
      </c>
      <c r="AJ17" s="73">
        <f t="shared" si="11"/>
        <v>20.78798071</v>
      </c>
      <c r="AK17" s="73">
        <f t="shared" ref="AK17:AK20" si="23">31.1035*1.1023*K17*P17*O17/100</f>
        <v>17.84580848</v>
      </c>
      <c r="AL17" s="11"/>
      <c r="AM17" s="51">
        <f t="shared" si="13"/>
        <v>1220.150256</v>
      </c>
      <c r="AN17" s="51" t="str">
        <f t="array" ref="AN17">XLOOKUP(D17,RUC!$B$3:$B$565,RUC!$M$3:$M$565)</f>
        <v>Melchor Vera</v>
      </c>
      <c r="AO17" s="131" t="s">
        <v>561</v>
      </c>
      <c r="AS17" s="65"/>
    </row>
    <row r="18" ht="15.0" customHeight="1">
      <c r="A18" s="116" t="s">
        <v>1038</v>
      </c>
      <c r="B18" s="56">
        <v>45821.0</v>
      </c>
      <c r="C18" s="56">
        <v>45815.0</v>
      </c>
      <c r="D18" s="57" t="s">
        <v>146</v>
      </c>
      <c r="E18" s="57">
        <f t="array" ref="E18">XLOOKUP(D18,RUC!$B$3:$B$110,RUC!$D$3:$D$110)</f>
        <v>20517242919</v>
      </c>
      <c r="G18" s="3">
        <v>52.0</v>
      </c>
      <c r="H18" s="57" t="s">
        <v>47</v>
      </c>
      <c r="I18" s="6">
        <v>4.74</v>
      </c>
      <c r="J18" s="58">
        <v>2.1</v>
      </c>
      <c r="K18" s="59">
        <f t="shared" si="2"/>
        <v>4.64</v>
      </c>
      <c r="L18" s="60">
        <v>0.107</v>
      </c>
      <c r="M18" s="60">
        <v>0.105</v>
      </c>
      <c r="N18" s="62">
        <v>0.105</v>
      </c>
      <c r="O18" s="60">
        <f t="shared" si="3"/>
        <v>0.105</v>
      </c>
      <c r="P18" s="63">
        <v>85.0</v>
      </c>
      <c r="Q18" s="58">
        <v>94.39</v>
      </c>
      <c r="R18" s="65">
        <v>3339.9</v>
      </c>
      <c r="S18" s="76">
        <v>95.0</v>
      </c>
      <c r="U18" s="87">
        <v>80.0</v>
      </c>
      <c r="V18" s="67">
        <v>1.1023</v>
      </c>
      <c r="Z18" s="87">
        <v>10.0</v>
      </c>
      <c r="AA18" s="70">
        <f t="shared" si="4"/>
        <v>10</v>
      </c>
      <c r="AB18" s="71">
        <f t="shared" si="21"/>
        <v>204.9683585</v>
      </c>
      <c r="AC18" s="71">
        <f>+(S18-T18)*V18-'data 1'!$F$4</f>
        <v>24.7185</v>
      </c>
      <c r="AD18" s="71">
        <f t="shared" si="5"/>
        <v>36.10384494</v>
      </c>
      <c r="AE18" s="71">
        <f t="shared" si="6"/>
        <v>-58.977</v>
      </c>
      <c r="AF18" s="71">
        <f t="shared" si="7"/>
        <v>6.783597432</v>
      </c>
      <c r="AG18" s="72">
        <f t="shared" si="22"/>
        <v>25.62894237</v>
      </c>
      <c r="AH18" s="52">
        <f t="shared" si="9"/>
        <v>16.06707473</v>
      </c>
      <c r="AI18" s="52">
        <f t="shared" si="10"/>
        <v>17.02200946</v>
      </c>
      <c r="AJ18" s="73">
        <f t="shared" si="11"/>
        <v>20.38439919</v>
      </c>
      <c r="AK18" s="73">
        <f t="shared" si="23"/>
        <v>14.1982649</v>
      </c>
      <c r="AL18" s="11"/>
      <c r="AM18" s="51">
        <f t="shared" si="13"/>
        <v>951.0531833</v>
      </c>
      <c r="AN18" s="51" t="str">
        <f t="array" ref="AN18">XLOOKUP(D18,RUC!$B$3:$B$565,RUC!$M$3:$M$565)</f>
        <v>Melchor Vera</v>
      </c>
      <c r="AO18" s="131" t="s">
        <v>561</v>
      </c>
      <c r="AS18" s="65"/>
    </row>
    <row r="19" ht="15.0" customHeight="1">
      <c r="A19" s="116" t="s">
        <v>1039</v>
      </c>
      <c r="B19" s="56">
        <v>45731.0</v>
      </c>
      <c r="C19" s="56">
        <v>45818.0</v>
      </c>
      <c r="D19" s="57" t="s">
        <v>295</v>
      </c>
      <c r="E19" s="57">
        <f t="array" ref="E19">XLOOKUP(D19,RUC!$B$3:$B$110,RUC!$D$3:$D$110)</f>
        <v>20601769396</v>
      </c>
      <c r="G19" s="3">
        <v>27.0</v>
      </c>
      <c r="H19" s="57" t="s">
        <v>40</v>
      </c>
      <c r="I19" s="6">
        <v>2.0</v>
      </c>
      <c r="J19" s="58">
        <v>10.5</v>
      </c>
      <c r="K19" s="59">
        <f t="shared" si="2"/>
        <v>1.79</v>
      </c>
      <c r="L19" s="60">
        <v>0.378</v>
      </c>
      <c r="M19" s="60">
        <v>0.355</v>
      </c>
      <c r="N19" s="62">
        <v>0.355</v>
      </c>
      <c r="O19" s="60">
        <f t="shared" si="3"/>
        <v>0.355</v>
      </c>
      <c r="P19" s="63">
        <v>70.0</v>
      </c>
      <c r="Q19" s="58">
        <v>71.69</v>
      </c>
      <c r="R19" s="65">
        <v>3337.7</v>
      </c>
      <c r="S19" s="66">
        <f t="shared" ref="S19:S20" si="24">IF((90+ROUNDDOWN(O19,1)*100)&lt;95,95,(90+ROUNDDOWN(O19,1)*100))</f>
        <v>120</v>
      </c>
      <c r="T19" s="67"/>
      <c r="U19" s="67">
        <f t="array" ref="U19">XLOOKUP(D19,RUC!$B$3:$B$110,RUC!$F$3:$F$110)</f>
        <v>120</v>
      </c>
      <c r="V19" s="67">
        <v>1.1023</v>
      </c>
      <c r="Y19" s="57">
        <f t="array" ref="Y19">XLOOKUP(D19,RUC!$B$3:$B$110,RUC!$G$3:$G$110)</f>
        <v>20</v>
      </c>
      <c r="Z19" s="69">
        <f>IF(IF(D19="UNTUCA",IF(+((W19-3)*1.5+(X19-3)*3.1)&gt;0,+((W19-3)*1.5+(X19-3)*3.1),0),IF(+((W19-3)*1.5+(X19-3)*3.1)&gt;0,+((W19-3)*1.5+(X19-3)*3.1),0))&lt;30,30,IF(D19="UNTUCA",IF(+((W19-3)*1.5+(X19-3)*3.1)&gt;0,+((W19-3)*1.5+(X19-3)*3.1),0),IF(+((W19-3)*1.5+(X19-3)*3.1)&gt;0,+((W19-3)*1.5+(X19-3)*3.1),0)))</f>
        <v>30</v>
      </c>
      <c r="AA19" s="70">
        <f t="shared" si="4"/>
        <v>50</v>
      </c>
      <c r="AB19" s="71">
        <f t="shared" si="21"/>
        <v>694.0063714</v>
      </c>
      <c r="AC19" s="71">
        <f>+(S19-T19)*V19-'data 1'!$F$4</f>
        <v>52.276</v>
      </c>
      <c r="AD19" s="71">
        <f t="shared" si="5"/>
        <v>22.65811947</v>
      </c>
      <c r="AE19" s="71">
        <f t="shared" si="6"/>
        <v>-14.885</v>
      </c>
      <c r="AF19" s="71">
        <f t="shared" si="7"/>
        <v>58.48328708</v>
      </c>
      <c r="AG19" s="72">
        <f t="shared" si="22"/>
        <v>135.5324065</v>
      </c>
      <c r="AH19" s="52">
        <f t="shared" si="9"/>
        <v>16.63077471</v>
      </c>
      <c r="AI19" s="52">
        <f t="shared" si="10"/>
        <v>23.19817926</v>
      </c>
      <c r="AJ19" s="73">
        <f t="shared" si="11"/>
        <v>67.29942898</v>
      </c>
      <c r="AK19" s="73">
        <f t="shared" si="23"/>
        <v>15.25065489</v>
      </c>
      <c r="AL19" s="11"/>
      <c r="AM19" s="51">
        <f t="shared" si="13"/>
        <v>1242.271405</v>
      </c>
      <c r="AN19" s="51" t="str">
        <f t="array" ref="AN19">XLOOKUP(D19,RUC!$B$3:$B$565,RUC!$M$3:$M$565)</f>
        <v>Evelyn</v>
      </c>
      <c r="AO19" s="131" t="s">
        <v>551</v>
      </c>
      <c r="AS19" s="65"/>
    </row>
    <row r="20" ht="15.0" customHeight="1">
      <c r="A20" s="132" t="s">
        <v>1040</v>
      </c>
      <c r="B20" s="56">
        <v>45825.0</v>
      </c>
      <c r="C20" s="56">
        <v>45820.0</v>
      </c>
      <c r="D20" s="57" t="s">
        <v>225</v>
      </c>
      <c r="E20" s="57">
        <f t="array" ref="E20">XLOOKUP(D20,RUC!$B$3:$B$110,RUC!$D$3:$D$110)</f>
        <v>10761932735</v>
      </c>
      <c r="G20" s="3">
        <v>81.0</v>
      </c>
      <c r="H20" s="57" t="s">
        <v>47</v>
      </c>
      <c r="I20" s="6">
        <v>6.49</v>
      </c>
      <c r="J20" s="58">
        <v>14.82</v>
      </c>
      <c r="K20" s="59">
        <f t="shared" si="2"/>
        <v>5.528</v>
      </c>
      <c r="L20" s="60">
        <v>0.076</v>
      </c>
      <c r="M20" s="60">
        <v>0.061</v>
      </c>
      <c r="N20" s="75">
        <v>0.082</v>
      </c>
      <c r="O20" s="60">
        <f t="shared" si="3"/>
        <v>0.072</v>
      </c>
      <c r="P20" s="63">
        <v>80.0</v>
      </c>
      <c r="Q20" s="58">
        <v>94.4</v>
      </c>
      <c r="R20" s="65">
        <v>3391.4</v>
      </c>
      <c r="S20" s="66">
        <f t="shared" si="24"/>
        <v>95</v>
      </c>
      <c r="T20" s="67"/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69">
        <f t="array" ref="Z20">XLOOKUP(D20,RUC!$B$3:$B$110,RUC!$H$3:$H$110)</f>
        <v>30</v>
      </c>
      <c r="AA20" s="70">
        <f t="shared" si="4"/>
        <v>50</v>
      </c>
      <c r="AB20" s="71">
        <v>0.01</v>
      </c>
      <c r="AC20" s="71">
        <f>+(S20-T20)*V20-'data 1'!$F$4</f>
        <v>24.7185</v>
      </c>
      <c r="AD20" s="71">
        <f t="shared" si="5"/>
        <v>39.46476682</v>
      </c>
      <c r="AE20" s="71">
        <f t="shared" si="6"/>
        <v>-14.885</v>
      </c>
      <c r="AF20" s="71">
        <f t="shared" si="7"/>
        <v>13.61649849</v>
      </c>
      <c r="AG20" s="72">
        <f>+IF(D20="RONALD WILLIAN GARIBAY ESCUDERO",AC20+AD20+AE20+AF20+70,AC20+AD20+AE20+AF20)+70-53+73.84</f>
        <v>153.7547653</v>
      </c>
      <c r="AH20" s="52">
        <f t="shared" si="9"/>
        <v>13.59761343</v>
      </c>
      <c r="AI20" s="52">
        <f t="shared" si="10"/>
        <v>14.40425151</v>
      </c>
      <c r="AJ20" s="73">
        <f t="shared" si="11"/>
        <v>13.57071336</v>
      </c>
      <c r="AK20" s="73">
        <f t="shared" si="23"/>
        <v>10.91690641</v>
      </c>
      <c r="AL20" s="11"/>
      <c r="AM20" s="51">
        <f t="shared" si="13"/>
        <v>0.05528</v>
      </c>
      <c r="AN20" s="51" t="str">
        <f t="array" ref="AN20">XLOOKUP(D20,RUC!$B$3:$B$565,RUC!$M$3:$M$565)</f>
        <v>Richard Sapacayo</v>
      </c>
      <c r="AO20" s="131" t="s">
        <v>561</v>
      </c>
      <c r="AS20" s="65"/>
    </row>
    <row r="21" ht="15.0" customHeight="1">
      <c r="A21" s="117" t="s">
        <v>1041</v>
      </c>
      <c r="B21" s="56"/>
      <c r="C21" s="56">
        <v>45823.0</v>
      </c>
      <c r="D21" s="57" t="s">
        <v>225</v>
      </c>
      <c r="E21" s="57">
        <f t="array" ref="E21">XLOOKUP(D21,RUC!$B$3:$B$110,RUC!$D$3:$D$110)</f>
        <v>10761932735</v>
      </c>
      <c r="G21" s="3"/>
      <c r="I21" s="6"/>
      <c r="J21" s="58"/>
      <c r="K21" s="59"/>
      <c r="L21" s="60"/>
      <c r="M21" s="60"/>
      <c r="N21" s="62"/>
      <c r="O21" s="60"/>
      <c r="P21" s="63"/>
      <c r="Q21" s="58"/>
      <c r="R21" s="65"/>
      <c r="S21" s="66"/>
      <c r="T21" s="67"/>
      <c r="U21" s="67"/>
      <c r="V21" s="67"/>
      <c r="Z21" s="69"/>
      <c r="AA21" s="70"/>
      <c r="AB21" s="71"/>
      <c r="AC21" s="71"/>
      <c r="AD21" s="71"/>
      <c r="AE21" s="71"/>
      <c r="AF21" s="71"/>
      <c r="AG21" s="72"/>
      <c r="AH21" s="52"/>
      <c r="AI21" s="52"/>
      <c r="AJ21" s="73"/>
      <c r="AK21" s="73"/>
      <c r="AL21" s="11"/>
      <c r="AM21" s="51"/>
      <c r="AN21" s="51"/>
      <c r="AO21" s="131"/>
      <c r="AS21" s="65"/>
    </row>
    <row r="22" ht="15.0" customHeight="1">
      <c r="A22" s="116" t="s">
        <v>1042</v>
      </c>
      <c r="B22" s="56">
        <v>45835.0</v>
      </c>
      <c r="C22" s="56">
        <v>45828.0</v>
      </c>
      <c r="D22" s="57" t="s">
        <v>295</v>
      </c>
      <c r="E22" s="57">
        <f t="array" ref="E22">XLOOKUP(D22,RUC!$B$3:$B$110,RUC!$D$3:$D$110)</f>
        <v>20601769396</v>
      </c>
      <c r="G22" s="3">
        <v>43.0</v>
      </c>
      <c r="H22" s="57" t="s">
        <v>40</v>
      </c>
      <c r="I22" s="6">
        <v>3.93</v>
      </c>
      <c r="J22" s="58">
        <v>7.3</v>
      </c>
      <c r="K22" s="59">
        <f t="shared" ref="K22:K102" si="25">ROUND(+I22-(I22*(J22/100)),3)</f>
        <v>3.643</v>
      </c>
      <c r="L22" s="60">
        <v>0.125</v>
      </c>
      <c r="M22" s="60">
        <v>0.11</v>
      </c>
      <c r="N22" s="62">
        <v>0.11</v>
      </c>
      <c r="O22" s="60">
        <f t="shared" ref="O22:O35" si="26">+ROUND((M22+N22)/2,3)</f>
        <v>0.11</v>
      </c>
      <c r="P22" s="63">
        <v>80.0</v>
      </c>
      <c r="Q22" s="58">
        <v>82.4</v>
      </c>
      <c r="R22" s="65">
        <v>3368.25</v>
      </c>
      <c r="S22" s="66">
        <f t="shared" ref="S22:S23" si="27">IF((90+ROUNDDOWN(O22,1)*100)&lt;95,95,(90+ROUNDDOWN(O22,1)*100))</f>
        <v>100</v>
      </c>
      <c r="T22" s="67"/>
      <c r="U22" s="67">
        <f t="array" ref="U22">XLOOKUP(D22,RUC!$B$3:$B$110,RUC!$F$3:$F$110)</f>
        <v>120</v>
      </c>
      <c r="V22" s="67">
        <v>1.1023</v>
      </c>
      <c r="Y22" s="57">
        <f t="array" ref="Y22">XLOOKUP(D22,RUC!$B$3:$B$110,RUC!$G$3:$G$110)</f>
        <v>20</v>
      </c>
      <c r="Z22" s="69">
        <f t="array" ref="Z22">XLOOKUP(D22,RUC!$B$3:$B$110,RUC!$H$3:$H$110)</f>
        <v>30</v>
      </c>
      <c r="AA22" s="70">
        <f t="shared" ref="AA22:AA102" si="28">+Y22+Z22</f>
        <v>50</v>
      </c>
      <c r="AB22" s="71">
        <f t="shared" ref="AB22:AB102" si="29">+((O22*P22*(R22-U22)/100)-S22-AA22+T22)*V22</f>
        <v>149.7430458</v>
      </c>
      <c r="AC22" s="71">
        <f>+(S22-T22)*V22-'data 1'!$F$4</f>
        <v>30.23</v>
      </c>
      <c r="AD22" s="71">
        <f t="shared" ref="AD22:AD102" si="30">+(Q22-P22)*(R22-U22)*L22*V22/100</f>
        <v>10.74163793</v>
      </c>
      <c r="AE22" s="71">
        <f t="shared" ref="AE22:AE102" si="31">+(Y22*V22-70)+V22*(Z22-IF(D22="UNTUCA",IF(+((W22-3)*2.5+(X22-3)*3.1)&gt;0,+((W22-3)*1.5+(X22-3)*3.1),0),IF(+((W22-3)*1.5+(X22-3)*3.1)&gt;0,+((W22-3)*1.5+(X22-3)*3.1),0)))</f>
        <v>-14.885</v>
      </c>
      <c r="AF22" s="71">
        <f t="shared" ref="AF22:AF102" si="32">(L22-O22)*(R22-U22)*Q22*V22/100</f>
        <v>44.25554825</v>
      </c>
      <c r="AG22" s="72">
        <f t="shared" ref="AG22:AG23" si="33">+IF(D22="RONALD WILLIAN GARIBAY ESCUDERO",AC22+AD22+AE22+AF22+70,AC22+AD22+AE22+AF22)+70-53</f>
        <v>87.34218618</v>
      </c>
      <c r="AH22" s="52">
        <f t="shared" ref="AH22:AH102" si="34">31.1035*L22*Q22*1.1023*K22/100</f>
        <v>12.86487187</v>
      </c>
      <c r="AI22" s="52">
        <f t="shared" ref="AI22:AI102" si="35">(31.1035*L22*1.1023*K22)</f>
        <v>15.61270858</v>
      </c>
      <c r="AJ22" s="73">
        <f t="shared" ref="AJ22:AJ102" si="36">+((+$AJ$2-R22+U22)*L22*Q22*V22)/100</f>
        <v>22.11131128</v>
      </c>
      <c r="AK22" s="73">
        <f t="shared" ref="AK22:AK102" si="37">31.1035*1.1023*K22*P22*O22/100</f>
        <v>10.99134684</v>
      </c>
      <c r="AL22" s="11"/>
      <c r="AM22" s="51">
        <f t="shared" ref="AM22:AM102" si="38">+IF(AB22*K22&gt;0,AB22*K22,0)</f>
        <v>545.5139158</v>
      </c>
      <c r="AN22" s="51" t="str">
        <f t="array" ref="AN22">XLOOKUP(D22,RUC!$B$3:$B$565,RUC!$M$3:$M$565)</f>
        <v>Evelyn</v>
      </c>
      <c r="AO22" s="131" t="s">
        <v>547</v>
      </c>
      <c r="AS22" s="65"/>
    </row>
    <row r="23" ht="15.0" customHeight="1">
      <c r="A23" s="116" t="s">
        <v>1043</v>
      </c>
      <c r="B23" s="56">
        <v>45835.0</v>
      </c>
      <c r="C23" s="56">
        <v>45828.0</v>
      </c>
      <c r="D23" s="57" t="s">
        <v>295</v>
      </c>
      <c r="E23" s="57">
        <f t="array" ref="E23">XLOOKUP(D23,RUC!$B$3:$B$110,RUC!$D$3:$D$110)</f>
        <v>20601769396</v>
      </c>
      <c r="G23" s="3">
        <v>43.0</v>
      </c>
      <c r="H23" s="57" t="s">
        <v>40</v>
      </c>
      <c r="I23" s="6">
        <v>3.94</v>
      </c>
      <c r="J23" s="58">
        <v>6.2</v>
      </c>
      <c r="K23" s="59">
        <f t="shared" si="25"/>
        <v>3.696</v>
      </c>
      <c r="L23" s="60">
        <v>0.125</v>
      </c>
      <c r="M23" s="60">
        <v>0.109</v>
      </c>
      <c r="N23" s="62">
        <v>0.109</v>
      </c>
      <c r="O23" s="60">
        <f t="shared" si="26"/>
        <v>0.109</v>
      </c>
      <c r="P23" s="63">
        <v>80.0</v>
      </c>
      <c r="Q23" s="58">
        <v>93.6</v>
      </c>
      <c r="R23" s="65">
        <v>3368.25</v>
      </c>
      <c r="S23" s="66">
        <f t="shared" si="27"/>
        <v>100</v>
      </c>
      <c r="T23" s="67"/>
      <c r="U23" s="67">
        <f t="array" ref="U23">XLOOKUP(D23,RUC!$B$3:$B$110,RUC!$F$3:$F$110)</f>
        <v>120</v>
      </c>
      <c r="V23" s="67">
        <v>1.1023</v>
      </c>
      <c r="Y23" s="57">
        <f t="array" ref="Y23">XLOOKUP(D23,RUC!$B$3:$B$110,RUC!$G$3:$G$110)</f>
        <v>20</v>
      </c>
      <c r="Z23" s="69">
        <f t="array" ref="Z23">XLOOKUP(D23,RUC!$B$3:$B$110,RUC!$H$3:$H$110)</f>
        <v>30</v>
      </c>
      <c r="AA23" s="70">
        <f t="shared" si="28"/>
        <v>50</v>
      </c>
      <c r="AB23" s="71">
        <f t="shared" si="29"/>
        <v>146.878609</v>
      </c>
      <c r="AC23" s="71">
        <f>+(S23-T23)*V23-'data 1'!$F$4</f>
        <v>30.23</v>
      </c>
      <c r="AD23" s="71">
        <f t="shared" si="30"/>
        <v>60.86928158</v>
      </c>
      <c r="AE23" s="71">
        <f t="shared" si="31"/>
        <v>-14.885</v>
      </c>
      <c r="AF23" s="71">
        <f t="shared" si="32"/>
        <v>53.62225652</v>
      </c>
      <c r="AG23" s="72">
        <f t="shared" si="33"/>
        <v>146.8365381</v>
      </c>
      <c r="AH23" s="52">
        <f t="shared" si="34"/>
        <v>14.82609893</v>
      </c>
      <c r="AI23" s="52">
        <f t="shared" si="35"/>
        <v>15.83984928</v>
      </c>
      <c r="AJ23" s="73">
        <f t="shared" si="36"/>
        <v>25.11673223</v>
      </c>
      <c r="AK23" s="73">
        <f t="shared" si="37"/>
        <v>11.04987886</v>
      </c>
      <c r="AL23" s="11"/>
      <c r="AM23" s="51">
        <f t="shared" si="38"/>
        <v>542.8633389</v>
      </c>
      <c r="AN23" s="51" t="str">
        <f t="array" ref="AN23">XLOOKUP(D23,RUC!$B$3:$B$565,RUC!$M$3:$M$565)</f>
        <v>Evelyn</v>
      </c>
      <c r="AO23" s="131" t="s">
        <v>561</v>
      </c>
      <c r="AS23" s="65"/>
    </row>
    <row r="24" ht="15.0" customHeight="1">
      <c r="A24" s="116" t="s">
        <v>1044</v>
      </c>
      <c r="B24" s="56">
        <v>45864.0</v>
      </c>
      <c r="C24" s="56">
        <v>45854.0</v>
      </c>
      <c r="D24" s="57" t="s">
        <v>602</v>
      </c>
      <c r="E24" s="57">
        <f t="array" ref="E24">XLOOKUP(D24,RUC!$B$3:$B$110,RUC!$D$3:$D$110)</f>
        <v>20169040231</v>
      </c>
      <c r="G24" s="3">
        <v>100.0</v>
      </c>
      <c r="H24" s="57" t="s">
        <v>47</v>
      </c>
      <c r="I24" s="6">
        <v>9.91</v>
      </c>
      <c r="J24" s="58">
        <v>1.15</v>
      </c>
      <c r="K24" s="59">
        <f t="shared" si="25"/>
        <v>9.796</v>
      </c>
      <c r="L24" s="60">
        <v>0.434</v>
      </c>
      <c r="M24" s="60">
        <v>0.408</v>
      </c>
      <c r="N24" s="62">
        <v>0.408</v>
      </c>
      <c r="O24" s="60">
        <f t="shared" si="26"/>
        <v>0.408</v>
      </c>
      <c r="P24" s="63">
        <v>84.0</v>
      </c>
      <c r="Q24" s="58">
        <v>84.56</v>
      </c>
      <c r="R24" s="65">
        <v>3323.8</v>
      </c>
      <c r="S24" s="66">
        <f t="shared" ref="S24:S25" si="39">IF((90+ROUNDDOWN(O24,1)*100)&lt;95,95,(85+ROUNDDOWN(O24,1)*100))</f>
        <v>125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69">
        <f t="array" ref="Z24">XLOOKUP(D24,RUC!$B$3:$B$110,RUC!$H$3:$H$110)</f>
        <v>30</v>
      </c>
      <c r="AA24" s="70">
        <f t="shared" si="28"/>
        <v>50</v>
      </c>
      <c r="AB24" s="71">
        <f t="shared" si="29"/>
        <v>1017.429884</v>
      </c>
      <c r="AC24" s="71">
        <f>+(S24-T24)*V24-'data 1'!$F$4</f>
        <v>57.7875</v>
      </c>
      <c r="AD24" s="71">
        <f t="shared" si="30"/>
        <v>8.583076058</v>
      </c>
      <c r="AE24" s="71">
        <f t="shared" si="31"/>
        <v>-14.885</v>
      </c>
      <c r="AF24" s="71">
        <f t="shared" si="32"/>
        <v>77.64321798</v>
      </c>
      <c r="AG24" s="72">
        <f t="shared" ref="AG24:AG25" si="40">AC24+AD24+AE24+AF24+70-53</f>
        <v>146.128794</v>
      </c>
      <c r="AH24" s="52">
        <f t="shared" si="34"/>
        <v>123.2572715</v>
      </c>
      <c r="AI24" s="52">
        <f t="shared" si="35"/>
        <v>145.763093</v>
      </c>
      <c r="AJ24" s="73">
        <f t="shared" si="36"/>
        <v>96.76441749</v>
      </c>
      <c r="AK24" s="73">
        <f t="shared" si="37"/>
        <v>115.1058231</v>
      </c>
      <c r="AL24" s="11"/>
      <c r="AM24" s="51">
        <f t="shared" si="38"/>
        <v>9966.743145</v>
      </c>
      <c r="AN24" s="51" t="str">
        <f t="array" ref="AN24">XLOOKUP(D24,RUC!$B$3:$B$565,RUC!$M$3:$M$565)</f>
        <v>Ronald Miranda</v>
      </c>
      <c r="AO24" s="131" t="s">
        <v>547</v>
      </c>
      <c r="AP24" s="57" t="s">
        <v>603</v>
      </c>
      <c r="AQ24" s="2" t="s">
        <v>604</v>
      </c>
      <c r="AS24" s="65"/>
    </row>
    <row r="25" ht="15.0" customHeight="1">
      <c r="A25" s="116" t="s">
        <v>1045</v>
      </c>
      <c r="B25" s="56">
        <v>45864.0</v>
      </c>
      <c r="C25" s="56">
        <v>45854.0</v>
      </c>
      <c r="D25" s="57" t="s">
        <v>602</v>
      </c>
      <c r="E25" s="57">
        <f t="array" ref="E25">XLOOKUP(D25,RUC!$B$3:$B$110,RUC!$D$3:$D$110)</f>
        <v>20169040231</v>
      </c>
      <c r="G25" s="3">
        <v>100.0</v>
      </c>
      <c r="H25" s="57" t="s">
        <v>47</v>
      </c>
      <c r="I25" s="6">
        <v>9.97</v>
      </c>
      <c r="J25" s="58">
        <v>1.05</v>
      </c>
      <c r="K25" s="59">
        <f t="shared" si="25"/>
        <v>9.865</v>
      </c>
      <c r="L25" s="60">
        <v>0.452</v>
      </c>
      <c r="M25" s="60">
        <v>0.425</v>
      </c>
      <c r="N25" s="62">
        <v>0.425</v>
      </c>
      <c r="O25" s="60">
        <f t="shared" si="26"/>
        <v>0.425</v>
      </c>
      <c r="P25" s="63">
        <v>82.0</v>
      </c>
      <c r="Q25" s="58">
        <v>82.52</v>
      </c>
      <c r="R25" s="65">
        <v>3323.8</v>
      </c>
      <c r="S25" s="66">
        <f t="shared" si="39"/>
        <v>125</v>
      </c>
      <c r="U25" s="67">
        <f t="array" ref="U25">XLOOKUP(D25,RUC!$B$3:$B$110,RUC!$F$3:$F$110)</f>
        <v>120</v>
      </c>
      <c r="V25" s="67">
        <v>1.1023</v>
      </c>
      <c r="Y25" s="57">
        <f t="array" ref="Y25">XLOOKUP(D25,RUC!$B$3:$B$110,RUC!$G$3:$G$110)</f>
        <v>20</v>
      </c>
      <c r="Z25" s="69">
        <f t="array" ref="Z25">XLOOKUP(D25,RUC!$B$3:$B$110,RUC!$H$3:$H$110)</f>
        <v>30</v>
      </c>
      <c r="AA25" s="70">
        <f t="shared" si="28"/>
        <v>50</v>
      </c>
      <c r="AB25" s="71">
        <f t="shared" si="29"/>
        <v>1037.842236</v>
      </c>
      <c r="AC25" s="71">
        <f>+(S25-T25)*V25-'data 1'!$F$4</f>
        <v>57.7875</v>
      </c>
      <c r="AD25" s="71">
        <f t="shared" si="30"/>
        <v>8.300552158</v>
      </c>
      <c r="AE25" s="71">
        <f t="shared" si="31"/>
        <v>-14.885</v>
      </c>
      <c r="AF25" s="71">
        <f t="shared" si="32"/>
        <v>78.68431855</v>
      </c>
      <c r="AG25" s="72">
        <f t="shared" si="40"/>
        <v>146.8873707</v>
      </c>
      <c r="AH25" s="52">
        <f t="shared" si="34"/>
        <v>126.1548097</v>
      </c>
      <c r="AI25" s="52">
        <f t="shared" si="35"/>
        <v>152.8778596</v>
      </c>
      <c r="AJ25" s="73">
        <f t="shared" si="36"/>
        <v>98.34643845</v>
      </c>
      <c r="AK25" s="73">
        <f t="shared" si="37"/>
        <v>117.8715356</v>
      </c>
      <c r="AL25" s="11"/>
      <c r="AM25" s="51">
        <f t="shared" si="38"/>
        <v>10238.31366</v>
      </c>
      <c r="AN25" s="51" t="str">
        <f t="array" ref="AN25">XLOOKUP(D25,RUC!$B$3:$B$565,RUC!$M$3:$M$565)</f>
        <v>Ronald Miranda</v>
      </c>
      <c r="AO25" s="131" t="s">
        <v>547</v>
      </c>
      <c r="AP25" s="57" t="s">
        <v>603</v>
      </c>
      <c r="AQ25" s="2" t="s">
        <v>604</v>
      </c>
      <c r="AS25" s="65"/>
    </row>
    <row r="26" ht="15.0" customHeight="1">
      <c r="A26" s="116" t="s">
        <v>1046</v>
      </c>
      <c r="B26" s="56">
        <v>45859.0</v>
      </c>
      <c r="C26" s="56">
        <v>45854.0</v>
      </c>
      <c r="D26" s="57" t="s">
        <v>146</v>
      </c>
      <c r="E26" s="57">
        <f t="array" ref="E26">XLOOKUP(D26,RUC!$B$3:$B$110,RUC!$D$3:$D$110)</f>
        <v>20517242919</v>
      </c>
      <c r="G26" s="3">
        <v>35.0</v>
      </c>
      <c r="H26" s="57" t="s">
        <v>47</v>
      </c>
      <c r="I26" s="6">
        <v>3.24</v>
      </c>
      <c r="J26" s="58">
        <v>1.05</v>
      </c>
      <c r="K26" s="59">
        <f t="shared" si="25"/>
        <v>3.206</v>
      </c>
      <c r="L26" s="60">
        <v>0.097</v>
      </c>
      <c r="M26" s="60">
        <v>0.09</v>
      </c>
      <c r="N26" s="75">
        <v>0.114</v>
      </c>
      <c r="O26" s="60">
        <f t="shared" si="26"/>
        <v>0.102</v>
      </c>
      <c r="P26" s="63">
        <v>85.0</v>
      </c>
      <c r="Q26" s="58">
        <v>91.75</v>
      </c>
      <c r="R26" s="65">
        <v>3323.8</v>
      </c>
      <c r="S26" s="133">
        <f>IF((90+ROUNDDOWN(O26,1)*100)&lt;95,95,(90+ROUNDDOWN(O26,1)*100))</f>
        <v>100</v>
      </c>
      <c r="U26" s="67">
        <f t="array" ref="U26">XLOOKUP(D26,RUC!$B$3:$B$110,RUC!$F$3:$F$110)</f>
        <v>80</v>
      </c>
      <c r="V26" s="67">
        <v>1.1023</v>
      </c>
      <c r="Y26" s="57" t="str">
        <f t="array" ref="Y26">XLOOKUP(D26,RUC!$B$3:$B$110,RUC!$G$3:$G$110)</f>
        <v/>
      </c>
      <c r="Z26" s="69">
        <f t="array" ref="Z26">XLOOKUP(D26,RUC!$B$3:$B$110,RUC!$H$3:$H$110)</f>
        <v>10</v>
      </c>
      <c r="AA26" s="70">
        <f t="shared" si="28"/>
        <v>10</v>
      </c>
      <c r="AB26" s="71">
        <f t="shared" si="29"/>
        <v>188.7550522</v>
      </c>
      <c r="AC26" s="71">
        <f>+(S26-T26)*V26-'data 1'!$F$4</f>
        <v>30.23</v>
      </c>
      <c r="AD26" s="71">
        <f t="shared" si="30"/>
        <v>23.41150775</v>
      </c>
      <c r="AE26" s="71">
        <f t="shared" si="31"/>
        <v>-58.977</v>
      </c>
      <c r="AF26" s="71">
        <f t="shared" si="32"/>
        <v>-16.40325189</v>
      </c>
      <c r="AG26" s="72">
        <f>AC26+AD26+AE26+AF26+70</f>
        <v>48.26125585</v>
      </c>
      <c r="AH26" s="52">
        <f t="shared" si="34"/>
        <v>9.782512116</v>
      </c>
      <c r="AI26" s="52">
        <f t="shared" si="35"/>
        <v>10.66213855</v>
      </c>
      <c r="AJ26" s="73">
        <f t="shared" si="36"/>
        <v>19.54190729</v>
      </c>
      <c r="AK26" s="73">
        <f t="shared" si="37"/>
        <v>9.529973319</v>
      </c>
      <c r="AL26" s="11"/>
      <c r="AM26" s="51">
        <f t="shared" si="38"/>
        <v>605.1486972</v>
      </c>
      <c r="AN26" s="51" t="str">
        <f t="array" ref="AN26">XLOOKUP(D26,RUC!$B$3:$B$565,RUC!$M$3:$M$565)</f>
        <v>Melchor Vera</v>
      </c>
      <c r="AO26" s="131" t="s">
        <v>549</v>
      </c>
      <c r="AP26" s="2" t="s">
        <v>606</v>
      </c>
      <c r="AQ26" s="2" t="s">
        <v>607</v>
      </c>
      <c r="AS26" s="65"/>
    </row>
    <row r="27" ht="15.0" customHeight="1">
      <c r="A27" s="116" t="s">
        <v>1047</v>
      </c>
      <c r="B27" s="56">
        <v>45861.0</v>
      </c>
      <c r="C27" s="56">
        <v>45855.0</v>
      </c>
      <c r="D27" s="57" t="s">
        <v>602</v>
      </c>
      <c r="E27" s="57">
        <f t="array" ref="E27">XLOOKUP(D27,RUC!$B$3:$B$110,RUC!$D$3:$D$110)</f>
        <v>20169040231</v>
      </c>
      <c r="G27" s="3">
        <v>14.0</v>
      </c>
      <c r="H27" s="57" t="s">
        <v>47</v>
      </c>
      <c r="I27" s="6">
        <v>1.23</v>
      </c>
      <c r="J27" s="58">
        <v>1.15</v>
      </c>
      <c r="K27" s="59">
        <f t="shared" si="25"/>
        <v>1.216</v>
      </c>
      <c r="L27" s="60">
        <v>0.255</v>
      </c>
      <c r="M27" s="60">
        <v>0.237</v>
      </c>
      <c r="N27" s="62">
        <v>0.237</v>
      </c>
      <c r="O27" s="60">
        <f t="shared" si="26"/>
        <v>0.237</v>
      </c>
      <c r="P27" s="63">
        <v>85.0</v>
      </c>
      <c r="Q27" s="58">
        <v>85.1</v>
      </c>
      <c r="R27" s="65">
        <v>3318.5</v>
      </c>
      <c r="S27" s="66">
        <f t="shared" ref="S27:S29" si="41">IF((90+ROUNDDOWN(O27,1)*100)&lt;95,95,(85+ROUNDDOWN(O27,1)*100))</f>
        <v>105</v>
      </c>
      <c r="U27" s="67">
        <f t="array" ref="U27">XLOOKUP(D27,RUC!$B$3:$B$110,RUC!$F$3:$F$110)</f>
        <v>120</v>
      </c>
      <c r="V27" s="67">
        <v>1.1023</v>
      </c>
      <c r="Y27" s="57">
        <f t="array" ref="Y27">XLOOKUP(D27,RUC!$B$3:$B$110,RUC!$G$3:$G$110)</f>
        <v>20</v>
      </c>
      <c r="Z27" s="69">
        <f t="array" ref="Z27">XLOOKUP(D27,RUC!$B$3:$B$110,RUC!$H$3:$H$110)</f>
        <v>30</v>
      </c>
      <c r="AA27" s="70">
        <f t="shared" si="28"/>
        <v>50</v>
      </c>
      <c r="AB27" s="71">
        <f t="shared" si="29"/>
        <v>539.3970845</v>
      </c>
      <c r="AC27" s="71">
        <f>+(S27-T27)*V27-'data 1'!$F$4</f>
        <v>35.7415</v>
      </c>
      <c r="AD27" s="71">
        <f t="shared" si="30"/>
        <v>0.8990551702</v>
      </c>
      <c r="AE27" s="71">
        <f t="shared" si="31"/>
        <v>-14.885</v>
      </c>
      <c r="AF27" s="71">
        <f t="shared" si="32"/>
        <v>54.00677293</v>
      </c>
      <c r="AG27" s="72">
        <f t="shared" ref="AG27:AG89" si="42">AC27+AD27+AE27+AF27+70-53</f>
        <v>92.7623281</v>
      </c>
      <c r="AH27" s="52">
        <f t="shared" si="34"/>
        <v>9.047162371</v>
      </c>
      <c r="AI27" s="52">
        <f t="shared" si="35"/>
        <v>10.63121313</v>
      </c>
      <c r="AJ27" s="73">
        <f t="shared" si="36"/>
        <v>58.48552751</v>
      </c>
      <c r="AK27" s="73">
        <f t="shared" si="37"/>
        <v>8.39865837</v>
      </c>
      <c r="AL27" s="11"/>
      <c r="AM27" s="51">
        <f t="shared" si="38"/>
        <v>655.9068547</v>
      </c>
      <c r="AN27" s="51" t="str">
        <f t="array" ref="AN27">XLOOKUP(D27,RUC!$B$3:$B$565,RUC!$M$3:$M$565)</f>
        <v>Ronald Miranda</v>
      </c>
      <c r="AO27" s="131" t="s">
        <v>547</v>
      </c>
      <c r="AP27" s="57" t="s">
        <v>617</v>
      </c>
      <c r="AQ27" s="2" t="s">
        <v>618</v>
      </c>
      <c r="AS27" s="65"/>
    </row>
    <row r="28" ht="15.0" customHeight="1">
      <c r="A28" s="116" t="s">
        <v>1048</v>
      </c>
      <c r="B28" s="56">
        <v>45863.0</v>
      </c>
      <c r="C28" s="56">
        <v>45855.0</v>
      </c>
      <c r="D28" s="57" t="s">
        <v>602</v>
      </c>
      <c r="E28" s="57">
        <f t="array" ref="E28">XLOOKUP(D28,RUC!$B$3:$B$110,RUC!$D$3:$D$110)</f>
        <v>20169040231</v>
      </c>
      <c r="G28" s="3">
        <v>25.0</v>
      </c>
      <c r="H28" s="57" t="s">
        <v>47</v>
      </c>
      <c r="I28" s="6">
        <v>2.41</v>
      </c>
      <c r="J28" s="58">
        <v>1.15</v>
      </c>
      <c r="K28" s="59">
        <f t="shared" si="25"/>
        <v>2.382</v>
      </c>
      <c r="L28" s="60">
        <v>0.378</v>
      </c>
      <c r="M28" s="60">
        <v>0.355</v>
      </c>
      <c r="N28" s="75">
        <v>0.401</v>
      </c>
      <c r="O28" s="60">
        <f t="shared" si="26"/>
        <v>0.378</v>
      </c>
      <c r="P28" s="63">
        <v>84.0</v>
      </c>
      <c r="Q28" s="58">
        <v>84.93</v>
      </c>
      <c r="R28" s="65">
        <v>3318.5</v>
      </c>
      <c r="S28" s="66">
        <f t="shared" si="41"/>
        <v>115</v>
      </c>
      <c r="U28" s="67">
        <f t="array" ref="U28">XLOOKUP(D28,RUC!$B$3:$B$110,RUC!$F$3:$F$110)</f>
        <v>120</v>
      </c>
      <c r="V28" s="67">
        <v>1.1023</v>
      </c>
      <c r="Y28" s="57">
        <f t="array" ref="Y28">XLOOKUP(D28,RUC!$B$3:$B$110,RUC!$G$3:$G$110)</f>
        <v>20</v>
      </c>
      <c r="Z28" s="69">
        <f t="array" ref="Z28">XLOOKUP(D28,RUC!$B$3:$B$110,RUC!$H$3:$H$110)</f>
        <v>30</v>
      </c>
      <c r="AA28" s="70">
        <f t="shared" si="28"/>
        <v>50</v>
      </c>
      <c r="AB28" s="71">
        <f t="shared" si="29"/>
        <v>937.6028438</v>
      </c>
      <c r="AC28" s="71">
        <f>+(S28-T28)*V28-'data 1'!$F$4</f>
        <v>46.7645</v>
      </c>
      <c r="AD28" s="71">
        <f t="shared" si="30"/>
        <v>12.39426881</v>
      </c>
      <c r="AE28" s="71">
        <f t="shared" si="31"/>
        <v>-14.885</v>
      </c>
      <c r="AF28" s="71">
        <f t="shared" si="32"/>
        <v>0</v>
      </c>
      <c r="AG28" s="72">
        <f t="shared" si="42"/>
        <v>61.27376881</v>
      </c>
      <c r="AH28" s="52">
        <f t="shared" si="34"/>
        <v>26.21825302</v>
      </c>
      <c r="AI28" s="52">
        <f t="shared" si="35"/>
        <v>30.87042626</v>
      </c>
      <c r="AJ28" s="73">
        <f t="shared" si="36"/>
        <v>86.52300509</v>
      </c>
      <c r="AK28" s="73">
        <f t="shared" si="37"/>
        <v>25.93115806</v>
      </c>
      <c r="AL28" s="11"/>
      <c r="AM28" s="51">
        <f t="shared" si="38"/>
        <v>2233.369974</v>
      </c>
      <c r="AN28" s="51" t="str">
        <f t="array" ref="AN28">XLOOKUP(D28,RUC!$B$3:$B$565,RUC!$M$3:$M$565)</f>
        <v>Ronald Miranda</v>
      </c>
      <c r="AO28" s="131" t="s">
        <v>547</v>
      </c>
      <c r="AP28" s="57" t="s">
        <v>617</v>
      </c>
      <c r="AQ28" s="2" t="s">
        <v>618</v>
      </c>
      <c r="AS28" s="65"/>
    </row>
    <row r="29" ht="15.0" customHeight="1">
      <c r="A29" s="116" t="s">
        <v>1049</v>
      </c>
      <c r="B29" s="56">
        <v>45861.0</v>
      </c>
      <c r="C29" s="56">
        <v>45855.0</v>
      </c>
      <c r="D29" s="57" t="s">
        <v>602</v>
      </c>
      <c r="E29" s="57">
        <f t="array" ref="E29">XLOOKUP(D29,RUC!$B$3:$B$110,RUC!$D$3:$D$110)</f>
        <v>20169040231</v>
      </c>
      <c r="G29" s="3">
        <v>13.0</v>
      </c>
      <c r="H29" s="57" t="s">
        <v>40</v>
      </c>
      <c r="I29" s="6">
        <v>1.27</v>
      </c>
      <c r="J29" s="58">
        <v>23.5</v>
      </c>
      <c r="K29" s="59">
        <f t="shared" si="25"/>
        <v>0.972</v>
      </c>
      <c r="L29" s="60">
        <v>0.751</v>
      </c>
      <c r="M29" s="60">
        <v>0.691</v>
      </c>
      <c r="N29" s="62">
        <v>0.691</v>
      </c>
      <c r="O29" s="60">
        <f t="shared" si="26"/>
        <v>0.691</v>
      </c>
      <c r="P29" s="63">
        <v>85.0</v>
      </c>
      <c r="Q29" s="58">
        <v>85.22</v>
      </c>
      <c r="R29" s="65">
        <v>3318.5</v>
      </c>
      <c r="S29" s="66">
        <f t="shared" si="41"/>
        <v>145</v>
      </c>
      <c r="U29" s="67">
        <f t="array" ref="U29">XLOOKUP(D29,RUC!$B$3:$B$110,RUC!$F$3:$F$110)</f>
        <v>120</v>
      </c>
      <c r="V29" s="67">
        <v>1.1023</v>
      </c>
      <c r="Y29" s="57">
        <f t="array" ref="Y29">XLOOKUP(D29,RUC!$B$3:$B$110,RUC!$G$3:$G$110)</f>
        <v>20</v>
      </c>
      <c r="Z29" s="69">
        <f t="array" ref="Z29">XLOOKUP(D29,RUC!$B$3:$B$110,RUC!$H$3:$H$110)</f>
        <v>30</v>
      </c>
      <c r="AA29" s="70">
        <f t="shared" si="28"/>
        <v>50</v>
      </c>
      <c r="AB29" s="71">
        <f t="shared" si="29"/>
        <v>1855.875242</v>
      </c>
      <c r="AC29" s="71">
        <f>+(S29-T29)*V29-'data 1'!$F$4</f>
        <v>79.8335</v>
      </c>
      <c r="AD29" s="71">
        <f t="shared" si="30"/>
        <v>5.825172362</v>
      </c>
      <c r="AE29" s="71">
        <f t="shared" si="31"/>
        <v>-14.885</v>
      </c>
      <c r="AF29" s="71">
        <f t="shared" si="32"/>
        <v>180.2764273</v>
      </c>
      <c r="AG29" s="72">
        <f t="shared" si="42"/>
        <v>268.0500997</v>
      </c>
      <c r="AH29" s="52">
        <f t="shared" si="34"/>
        <v>21.32832751</v>
      </c>
      <c r="AI29" s="52">
        <f t="shared" si="35"/>
        <v>25.02737329</v>
      </c>
      <c r="AJ29" s="73">
        <f t="shared" si="36"/>
        <v>172.4884969</v>
      </c>
      <c r="AK29" s="73">
        <f t="shared" si="37"/>
        <v>19.57367204</v>
      </c>
      <c r="AL29" s="11"/>
      <c r="AM29" s="51">
        <f t="shared" si="38"/>
        <v>1803.910735</v>
      </c>
      <c r="AN29" s="51" t="str">
        <f t="array" ref="AN29">XLOOKUP(D29,RUC!$B$3:$B$565,RUC!$M$3:$M$565)</f>
        <v>Ronald Miranda</v>
      </c>
      <c r="AO29" s="131" t="s">
        <v>547</v>
      </c>
      <c r="AP29" s="57" t="s">
        <v>617</v>
      </c>
      <c r="AQ29" s="2" t="s">
        <v>618</v>
      </c>
      <c r="AS29" s="65"/>
    </row>
    <row r="30" ht="15.0" customHeight="1">
      <c r="A30" s="116" t="s">
        <v>1050</v>
      </c>
      <c r="B30" s="56">
        <v>45871.0</v>
      </c>
      <c r="C30" s="56">
        <v>45856.0</v>
      </c>
      <c r="D30" s="57" t="s">
        <v>225</v>
      </c>
      <c r="E30" s="57">
        <f t="array" ref="E30">XLOOKUP(D30,RUC!$B$3:$B$110,RUC!$D$3:$D$110)</f>
        <v>10761932735</v>
      </c>
      <c r="G30" s="3" t="s">
        <v>46</v>
      </c>
      <c r="H30" s="138" t="s">
        <v>47</v>
      </c>
      <c r="I30" s="6">
        <v>39.9</v>
      </c>
      <c r="J30" s="58">
        <v>8.65</v>
      </c>
      <c r="K30" s="59">
        <f t="shared" si="25"/>
        <v>36.449</v>
      </c>
      <c r="L30" s="139">
        <v>0.129</v>
      </c>
      <c r="M30" s="60">
        <v>0.11</v>
      </c>
      <c r="N30" s="75">
        <v>0.117</v>
      </c>
      <c r="O30" s="60">
        <f t="shared" si="26"/>
        <v>0.114</v>
      </c>
      <c r="P30" s="63">
        <v>80.0</v>
      </c>
      <c r="Q30" s="58">
        <v>96.89922480620154</v>
      </c>
      <c r="R30" s="65">
        <v>3355.1</v>
      </c>
      <c r="S30" s="76">
        <v>95.0</v>
      </c>
      <c r="U30" s="67">
        <f t="array" ref="U30">XLOOKUP(D30,RUC!$B$3:$B$110,RUC!$F$3:$F$110)</f>
        <v>120</v>
      </c>
      <c r="V30" s="67">
        <v>1.1023</v>
      </c>
      <c r="Y30" s="57">
        <f t="array" ref="Y30">XLOOKUP(D30,RUC!$B$3:$B$110,RUC!$G$3:$G$110)</f>
        <v>20</v>
      </c>
      <c r="Z30" s="69">
        <f t="array" ref="Z30">XLOOKUP(D30,RUC!$B$3:$B$110,RUC!$H$3:$H$110)</f>
        <v>30</v>
      </c>
      <c r="AA30" s="70">
        <f t="shared" si="28"/>
        <v>50</v>
      </c>
      <c r="AB30" s="71">
        <f t="shared" si="29"/>
        <v>165.3903266</v>
      </c>
      <c r="AC30" s="71">
        <f>+(S30-T30)*V30-'data 1'!$F$4</f>
        <v>24.7185</v>
      </c>
      <c r="AD30" s="71">
        <f t="shared" si="30"/>
        <v>77.73990591</v>
      </c>
      <c r="AE30" s="71">
        <f t="shared" si="31"/>
        <v>-14.885</v>
      </c>
      <c r="AF30" s="71">
        <f t="shared" si="32"/>
        <v>51.8321327</v>
      </c>
      <c r="AG30" s="72">
        <f t="shared" si="42"/>
        <v>156.4055386</v>
      </c>
      <c r="AH30" s="52">
        <f t="shared" si="34"/>
        <v>156.2085136</v>
      </c>
      <c r="AI30" s="52">
        <f t="shared" si="35"/>
        <v>161.2071861</v>
      </c>
      <c r="AJ30" s="73">
        <f t="shared" si="36"/>
        <v>28.64602125</v>
      </c>
      <c r="AK30" s="73">
        <f t="shared" si="37"/>
        <v>113.9697315</v>
      </c>
      <c r="AL30" s="11"/>
      <c r="AM30" s="51">
        <f t="shared" si="38"/>
        <v>6028.312013</v>
      </c>
      <c r="AN30" s="51" t="str">
        <f t="array" ref="AN30">XLOOKUP(D30,RUC!$B$3:$B$565,RUC!$M$3:$M$565)</f>
        <v>Richard Sapacayo</v>
      </c>
      <c r="AO30" s="131" t="s">
        <v>689</v>
      </c>
      <c r="AP30" s="2" t="s">
        <v>1051</v>
      </c>
      <c r="AQ30" s="2" t="s">
        <v>1052</v>
      </c>
      <c r="AS30" s="65"/>
    </row>
    <row r="31" ht="15.0" customHeight="1">
      <c r="A31" s="116" t="s">
        <v>1053</v>
      </c>
      <c r="B31" s="56">
        <v>45871.0</v>
      </c>
      <c r="C31" s="56">
        <v>45856.0</v>
      </c>
      <c r="D31" s="57" t="s">
        <v>225</v>
      </c>
      <c r="E31" s="57">
        <f t="array" ref="E31">XLOOKUP(D31,RUC!$B$3:$B$110,RUC!$D$3:$D$110)</f>
        <v>10761932735</v>
      </c>
      <c r="G31" s="3" t="s">
        <v>46</v>
      </c>
      <c r="H31" s="138" t="s">
        <v>47</v>
      </c>
      <c r="I31" s="6">
        <v>38.89</v>
      </c>
      <c r="J31" s="58">
        <v>6.95</v>
      </c>
      <c r="K31" s="59">
        <f t="shared" si="25"/>
        <v>36.187</v>
      </c>
      <c r="L31" s="139">
        <v>0.096</v>
      </c>
      <c r="M31" s="60">
        <v>0.081</v>
      </c>
      <c r="N31" s="75">
        <v>0.13</v>
      </c>
      <c r="O31" s="60">
        <f t="shared" si="26"/>
        <v>0.106</v>
      </c>
      <c r="P31" s="63">
        <v>80.0</v>
      </c>
      <c r="Q31" s="58">
        <v>89.58333333333334</v>
      </c>
      <c r="R31" s="65">
        <v>3355.1</v>
      </c>
      <c r="S31" s="76">
        <v>95.0</v>
      </c>
      <c r="U31" s="67">
        <f t="array" ref="U31">XLOOKUP(D31,RUC!$B$3:$B$110,RUC!$F$3:$F$110)</f>
        <v>120</v>
      </c>
      <c r="V31" s="67">
        <v>1.1023</v>
      </c>
      <c r="Y31" s="57">
        <f t="array" ref="Y31">XLOOKUP(D31,RUC!$B$3:$B$110,RUC!$G$3:$G$110)</f>
        <v>20</v>
      </c>
      <c r="Z31" s="69">
        <f t="array" ref="Z31">XLOOKUP(D31,RUC!$B$3:$B$110,RUC!$H$3:$H$110)</f>
        <v>30</v>
      </c>
      <c r="AA31" s="70">
        <f t="shared" si="28"/>
        <v>50</v>
      </c>
      <c r="AB31" s="71">
        <f t="shared" si="29"/>
        <v>142.5676019</v>
      </c>
      <c r="AC31" s="71">
        <f>+(S31-T31)*V31-'data 1'!$F$4</f>
        <v>24.7185</v>
      </c>
      <c r="AD31" s="71">
        <f t="shared" si="30"/>
        <v>32.80766672</v>
      </c>
      <c r="AE31" s="71">
        <f t="shared" si="31"/>
        <v>-14.885</v>
      </c>
      <c r="AF31" s="71">
        <f t="shared" si="32"/>
        <v>-31.94587112</v>
      </c>
      <c r="AG31" s="72">
        <f t="shared" si="42"/>
        <v>27.69529559</v>
      </c>
      <c r="AH31" s="52">
        <f t="shared" si="34"/>
        <v>106.698939</v>
      </c>
      <c r="AI31" s="52">
        <f t="shared" si="35"/>
        <v>119.1057924</v>
      </c>
      <c r="AJ31" s="73">
        <f t="shared" si="36"/>
        <v>19.70846262</v>
      </c>
      <c r="AK31" s="73">
        <f t="shared" si="37"/>
        <v>105.2101166</v>
      </c>
      <c r="AL31" s="11"/>
      <c r="AM31" s="51">
        <f t="shared" si="38"/>
        <v>5159.09381</v>
      </c>
      <c r="AN31" s="51" t="str">
        <f t="array" ref="AN31">XLOOKUP(D31,RUC!$B$3:$B$565,RUC!$M$3:$M$565)</f>
        <v>Richard Sapacayo</v>
      </c>
      <c r="AO31" s="131" t="s">
        <v>549</v>
      </c>
      <c r="AP31" s="2" t="s">
        <v>1054</v>
      </c>
      <c r="AQ31" s="2" t="s">
        <v>1055</v>
      </c>
      <c r="AS31" s="65"/>
    </row>
    <row r="32" ht="15.0" customHeight="1">
      <c r="A32" s="116" t="s">
        <v>1056</v>
      </c>
      <c r="B32" s="56">
        <v>45871.0</v>
      </c>
      <c r="C32" s="56">
        <v>45856.0</v>
      </c>
      <c r="D32" s="57" t="s">
        <v>225</v>
      </c>
      <c r="E32" s="57">
        <f t="array" ref="E32">XLOOKUP(D32,RUC!$B$3:$B$110,RUC!$D$3:$D$110)</f>
        <v>10761932735</v>
      </c>
      <c r="G32" s="3" t="s">
        <v>46</v>
      </c>
      <c r="H32" s="138" t="s">
        <v>47</v>
      </c>
      <c r="I32" s="6">
        <v>11.62</v>
      </c>
      <c r="J32" s="58">
        <v>6.4</v>
      </c>
      <c r="K32" s="59">
        <f t="shared" si="25"/>
        <v>10.876</v>
      </c>
      <c r="L32" s="139">
        <v>0.1</v>
      </c>
      <c r="M32" s="60">
        <v>0.084</v>
      </c>
      <c r="N32" s="75">
        <v>0.16</v>
      </c>
      <c r="O32" s="60">
        <f t="shared" si="26"/>
        <v>0.122</v>
      </c>
      <c r="P32" s="201">
        <v>80.0</v>
      </c>
      <c r="Q32" s="58">
        <v>94.0</v>
      </c>
      <c r="R32" s="65">
        <v>3355.1</v>
      </c>
      <c r="S32" s="76">
        <v>95.0</v>
      </c>
      <c r="U32" s="67">
        <f t="array" ref="U32">XLOOKUP(D32,RUC!$B$3:$B$110,RUC!$F$3:$F$110)</f>
        <v>120</v>
      </c>
      <c r="V32" s="67">
        <v>1.1023</v>
      </c>
      <c r="Y32" s="57">
        <f t="array" ref="Y32">XLOOKUP(D32,RUC!$B$3:$B$110,RUC!$G$3:$G$110)</f>
        <v>20</v>
      </c>
      <c r="Z32" s="69">
        <f t="array" ref="Z32">XLOOKUP(D32,RUC!$B$3:$B$110,RUC!$H$3:$H$110)</f>
        <v>30</v>
      </c>
      <c r="AA32" s="70">
        <f t="shared" si="28"/>
        <v>50</v>
      </c>
      <c r="AB32" s="71">
        <f t="shared" si="29"/>
        <v>188.2130512</v>
      </c>
      <c r="AC32" s="71">
        <f>+(S32-T32)*V32-'data 1'!$F$4</f>
        <v>24.7185</v>
      </c>
      <c r="AD32" s="71">
        <f t="shared" si="30"/>
        <v>49.92471022</v>
      </c>
      <c r="AE32" s="71">
        <f t="shared" si="31"/>
        <v>-14.885</v>
      </c>
      <c r="AF32" s="71">
        <f t="shared" si="32"/>
        <v>-73.7459291</v>
      </c>
      <c r="AG32" s="72">
        <f t="shared" si="42"/>
        <v>3.012281124</v>
      </c>
      <c r="AH32" s="52">
        <f t="shared" si="34"/>
        <v>35.05146076</v>
      </c>
      <c r="AI32" s="52">
        <f t="shared" si="35"/>
        <v>37.28878804</v>
      </c>
      <c r="AJ32" s="73">
        <f t="shared" si="36"/>
        <v>21.54180798</v>
      </c>
      <c r="AK32" s="73">
        <f t="shared" si="37"/>
        <v>36.39385713</v>
      </c>
      <c r="AL32" s="11"/>
      <c r="AM32" s="51">
        <f t="shared" si="38"/>
        <v>2047.005145</v>
      </c>
      <c r="AN32" s="51" t="str">
        <f t="array" ref="AN32">XLOOKUP(D32,RUC!$B$3:$B$565,RUC!$M$3:$M$565)</f>
        <v>Richard Sapacayo</v>
      </c>
      <c r="AO32" s="131" t="s">
        <v>561</v>
      </c>
      <c r="AP32" s="2" t="s">
        <v>1057</v>
      </c>
      <c r="AQ32" s="2" t="s">
        <v>1058</v>
      </c>
      <c r="AS32" s="65"/>
    </row>
    <row r="33" ht="15.0" customHeight="1">
      <c r="A33" s="116" t="s">
        <v>1059</v>
      </c>
      <c r="B33" s="56">
        <v>45862.0</v>
      </c>
      <c r="C33" s="56">
        <v>45856.0</v>
      </c>
      <c r="D33" s="57" t="s">
        <v>622</v>
      </c>
      <c r="E33" s="57">
        <f t="array" ref="E33">XLOOKUP(D33,RUC!$B$3:$B$110,RUC!$D$3:$D$110)</f>
        <v>20612719757</v>
      </c>
      <c r="G33" s="3">
        <v>40.0</v>
      </c>
      <c r="H33" s="138" t="s">
        <v>71</v>
      </c>
      <c r="I33" s="6">
        <v>2.98</v>
      </c>
      <c r="J33" s="58">
        <v>15.04</v>
      </c>
      <c r="K33" s="59">
        <f t="shared" si="25"/>
        <v>2.532</v>
      </c>
      <c r="L33" s="139">
        <v>0.547</v>
      </c>
      <c r="M33" s="60">
        <v>0.514</v>
      </c>
      <c r="N33" s="62">
        <v>0.514</v>
      </c>
      <c r="O33" s="60">
        <f t="shared" si="26"/>
        <v>0.514</v>
      </c>
      <c r="P33" s="63">
        <v>85.0</v>
      </c>
      <c r="Q33" s="58">
        <v>85.56</v>
      </c>
      <c r="R33" s="65">
        <v>3355.1</v>
      </c>
      <c r="S33" s="66">
        <f t="shared" ref="S33:S36" si="43">IF((90+ROUNDDOWN(O33,1)*100)&lt;95,95,(90+ROUNDDOWN(O33,1)*100))</f>
        <v>140</v>
      </c>
      <c r="U33" s="67">
        <f t="array" ref="U33">XLOOKUP(D33,RUC!$B$3:$B$110,RUC!$F$3:$F$110)</f>
        <v>120</v>
      </c>
      <c r="V33" s="67">
        <v>1.1023</v>
      </c>
      <c r="Y33" s="57">
        <f t="array" ref="Y33">XLOOKUP(D33,RUC!$B$3:$B$110,RUC!$G$3:$G$110)</f>
        <v>20</v>
      </c>
      <c r="Z33" s="69">
        <f t="array" ref="Z33">XLOOKUP(D33,RUC!$B$3:$B$110,RUC!$H$3:$H$110)</f>
        <v>30</v>
      </c>
      <c r="AA33" s="70">
        <f t="shared" si="28"/>
        <v>50</v>
      </c>
      <c r="AB33" s="71">
        <f t="shared" si="29"/>
        <v>1348.570564</v>
      </c>
      <c r="AC33" s="71">
        <f>+(S33-T33)*V33-'data 1'!$F$4</f>
        <v>74.322</v>
      </c>
      <c r="AD33" s="71">
        <f t="shared" si="30"/>
        <v>10.9235266</v>
      </c>
      <c r="AE33" s="71">
        <f t="shared" si="31"/>
        <v>-14.885</v>
      </c>
      <c r="AF33" s="71">
        <f t="shared" si="32"/>
        <v>100.6867292</v>
      </c>
      <c r="AG33" s="72">
        <f t="shared" si="42"/>
        <v>188.0472557</v>
      </c>
      <c r="AH33" s="52">
        <f t="shared" si="34"/>
        <v>40.62850789</v>
      </c>
      <c r="AI33" s="52">
        <f t="shared" si="35"/>
        <v>47.48539959</v>
      </c>
      <c r="AJ33" s="73">
        <f t="shared" si="36"/>
        <v>107.2537286</v>
      </c>
      <c r="AK33" s="73">
        <f t="shared" si="37"/>
        <v>37.92755225</v>
      </c>
      <c r="AL33" s="11"/>
      <c r="AM33" s="51">
        <f t="shared" si="38"/>
        <v>3414.580668</v>
      </c>
      <c r="AN33" s="51" t="str">
        <f t="array" ref="AN33">XLOOKUP(D33,RUC!$B$3:$B$565,RUC!$M$3:$M$565)</f>
        <v>Walter Achulla </v>
      </c>
      <c r="AO33" s="131" t="s">
        <v>547</v>
      </c>
      <c r="AP33" s="2" t="s">
        <v>623</v>
      </c>
      <c r="AQ33" s="2" t="s">
        <v>624</v>
      </c>
      <c r="AS33" s="65"/>
    </row>
    <row r="34" ht="15.0" customHeight="1">
      <c r="A34" s="116" t="s">
        <v>1060</v>
      </c>
      <c r="B34" s="56">
        <v>45871.0</v>
      </c>
      <c r="C34" s="56">
        <v>45856.0</v>
      </c>
      <c r="D34" s="57" t="s">
        <v>225</v>
      </c>
      <c r="E34" s="57">
        <f t="array" ref="E34">XLOOKUP(D34,RUC!$B$3:$B$110,RUC!$D$3:$D$110)</f>
        <v>10761932735</v>
      </c>
      <c r="G34" s="3" t="s">
        <v>46</v>
      </c>
      <c r="H34" s="138" t="s">
        <v>47</v>
      </c>
      <c r="I34" s="6">
        <v>14.78</v>
      </c>
      <c r="J34" s="58">
        <v>5.4</v>
      </c>
      <c r="K34" s="59">
        <f t="shared" si="25"/>
        <v>13.982</v>
      </c>
      <c r="L34" s="139">
        <v>0.155</v>
      </c>
      <c r="M34" s="60">
        <v>0.14</v>
      </c>
      <c r="N34" s="75">
        <v>0.194</v>
      </c>
      <c r="O34" s="60">
        <f t="shared" si="26"/>
        <v>0.167</v>
      </c>
      <c r="P34" s="63">
        <v>90.0</v>
      </c>
      <c r="Q34" s="58">
        <v>96.13</v>
      </c>
      <c r="R34" s="65">
        <v>3355.1</v>
      </c>
      <c r="S34" s="66">
        <f t="shared" si="43"/>
        <v>100</v>
      </c>
      <c r="U34" s="67">
        <f t="array" ref="U34">XLOOKUP(D34,RUC!$B$3:$B$110,RUC!$F$3:$F$110)</f>
        <v>120</v>
      </c>
      <c r="V34" s="67">
        <v>1.1023</v>
      </c>
      <c r="Y34" s="57">
        <f t="array" ref="Y34">XLOOKUP(D34,RUC!$B$3:$B$110,RUC!$G$3:$G$110)</f>
        <v>20</v>
      </c>
      <c r="Z34" s="69">
        <f t="array" ref="Z34">XLOOKUP(D34,RUC!$B$3:$B$110,RUC!$H$3:$H$110)</f>
        <v>30</v>
      </c>
      <c r="AA34" s="70">
        <f t="shared" si="28"/>
        <v>50</v>
      </c>
      <c r="AB34" s="71">
        <f t="shared" si="29"/>
        <v>370.6324247</v>
      </c>
      <c r="AC34" s="71">
        <f>+(S34-T34)*V34-'data 1'!$F$4</f>
        <v>30.23</v>
      </c>
      <c r="AD34" s="71">
        <f t="shared" si="30"/>
        <v>33.88283101</v>
      </c>
      <c r="AE34" s="71">
        <f t="shared" si="31"/>
        <v>-14.885</v>
      </c>
      <c r="AF34" s="71">
        <f t="shared" si="32"/>
        <v>-41.1365348</v>
      </c>
      <c r="AG34" s="72">
        <f t="shared" si="42"/>
        <v>25.09129621</v>
      </c>
      <c r="AH34" s="52">
        <f t="shared" si="34"/>
        <v>71.42808513</v>
      </c>
      <c r="AI34" s="52">
        <f t="shared" si="35"/>
        <v>74.30363584</v>
      </c>
      <c r="AJ34" s="73">
        <f t="shared" si="36"/>
        <v>34.14640108</v>
      </c>
      <c r="AK34" s="73">
        <f t="shared" si="37"/>
        <v>72.05055785</v>
      </c>
      <c r="AL34" s="11"/>
      <c r="AM34" s="51">
        <f t="shared" si="38"/>
        <v>5182.182562</v>
      </c>
      <c r="AN34" s="51" t="str">
        <f t="array" ref="AN34">XLOOKUP(D34,RUC!$B$3:$B$565,RUC!$M$3:$M$565)</f>
        <v>Richard Sapacayo</v>
      </c>
      <c r="AO34" s="131" t="s">
        <v>558</v>
      </c>
      <c r="AP34" s="2" t="s">
        <v>1057</v>
      </c>
      <c r="AQ34" s="2" t="s">
        <v>1058</v>
      </c>
      <c r="AS34" s="65"/>
    </row>
    <row r="35" ht="15.0" customHeight="1">
      <c r="A35" s="116" t="s">
        <v>1061</v>
      </c>
      <c r="B35" s="56">
        <v>45862.0</v>
      </c>
      <c r="C35" s="56">
        <v>45856.0</v>
      </c>
      <c r="D35" s="57" t="s">
        <v>295</v>
      </c>
      <c r="E35" s="57">
        <f t="array" ref="E35">XLOOKUP(D35,RUC!$B$3:$B$110,RUC!$D$3:$D$110)</f>
        <v>20601769396</v>
      </c>
      <c r="G35" s="3">
        <v>33.0</v>
      </c>
      <c r="H35" s="138" t="s">
        <v>71</v>
      </c>
      <c r="I35" s="6">
        <v>3.13</v>
      </c>
      <c r="J35" s="58">
        <v>5.95</v>
      </c>
      <c r="K35" s="59">
        <f t="shared" si="25"/>
        <v>2.944</v>
      </c>
      <c r="L35" s="139">
        <v>0.611</v>
      </c>
      <c r="M35" s="60">
        <v>0.574</v>
      </c>
      <c r="N35" s="62">
        <v>0.574</v>
      </c>
      <c r="O35" s="60">
        <f t="shared" si="26"/>
        <v>0.574</v>
      </c>
      <c r="P35" s="63">
        <v>80.0</v>
      </c>
      <c r="Q35" s="58">
        <v>80.19639934533551</v>
      </c>
      <c r="R35" s="65">
        <v>3355.1</v>
      </c>
      <c r="S35" s="66">
        <f t="shared" si="43"/>
        <v>140</v>
      </c>
      <c r="U35" s="67">
        <f t="array" ref="U35">XLOOKUP(D35,RUC!$B$3:$B$110,RUC!$F$3:$F$110)</f>
        <v>120</v>
      </c>
      <c r="V35" s="67">
        <v>1.1023</v>
      </c>
      <c r="Y35" s="57">
        <f t="array" ref="Y35">XLOOKUP(D35,RUC!$B$3:$B$110,RUC!$G$3:$G$110)</f>
        <v>20</v>
      </c>
      <c r="Z35" s="69">
        <f t="array" ref="Z35">XLOOKUP(D35,RUC!$B$3:$B$110,RUC!$H$3:$H$110)</f>
        <v>30</v>
      </c>
      <c r="AA35" s="70">
        <f t="shared" si="28"/>
        <v>50</v>
      </c>
      <c r="AB35" s="71">
        <f t="shared" si="29"/>
        <v>1428.093495</v>
      </c>
      <c r="AC35" s="71">
        <f>+(S35-T35)*V35-'data 1'!$F$4</f>
        <v>74.322</v>
      </c>
      <c r="AD35" s="71">
        <f t="shared" si="30"/>
        <v>4.279260876</v>
      </c>
      <c r="AE35" s="71">
        <f t="shared" si="31"/>
        <v>-14.885</v>
      </c>
      <c r="AF35" s="71">
        <f t="shared" si="32"/>
        <v>105.8142385</v>
      </c>
      <c r="AG35" s="72">
        <f t="shared" si="42"/>
        <v>186.5304994</v>
      </c>
      <c r="AH35" s="52">
        <f t="shared" si="34"/>
        <v>49.45872939</v>
      </c>
      <c r="AI35" s="52">
        <f t="shared" si="35"/>
        <v>61.67200746</v>
      </c>
      <c r="AJ35" s="73">
        <f t="shared" si="36"/>
        <v>112.2924033</v>
      </c>
      <c r="AK35" s="73">
        <f t="shared" si="37"/>
        <v>46.34989497</v>
      </c>
      <c r="AL35" s="11"/>
      <c r="AM35" s="51">
        <f t="shared" si="38"/>
        <v>4204.30725</v>
      </c>
      <c r="AN35" s="51" t="str">
        <f t="array" ref="AN35">XLOOKUP(D35,RUC!$B$3:$B$565,RUC!$M$3:$M$565)</f>
        <v>Evelyn</v>
      </c>
      <c r="AO35" s="131" t="s">
        <v>551</v>
      </c>
      <c r="AP35" s="2" t="s">
        <v>627</v>
      </c>
      <c r="AQ35" s="2" t="s">
        <v>628</v>
      </c>
      <c r="AS35" s="65"/>
    </row>
    <row r="36" ht="15.0" customHeight="1">
      <c r="A36" s="116" t="s">
        <v>1062</v>
      </c>
      <c r="B36" s="56">
        <v>45884.0</v>
      </c>
      <c r="C36" s="56">
        <v>45856.0</v>
      </c>
      <c r="D36" s="57" t="s">
        <v>295</v>
      </c>
      <c r="E36" s="57">
        <f t="array" ref="E36">XLOOKUP(D36,RUC!$B$3:$B$110,RUC!$D$3:$D$110)</f>
        <v>20601769396</v>
      </c>
      <c r="G36" s="3">
        <v>41.0</v>
      </c>
      <c r="H36" s="138" t="s">
        <v>339</v>
      </c>
      <c r="I36" s="6">
        <v>3.17</v>
      </c>
      <c r="J36" s="58">
        <v>15.45</v>
      </c>
      <c r="K36" s="59">
        <f t="shared" si="25"/>
        <v>2.68</v>
      </c>
      <c r="L36" s="139">
        <v>0.163</v>
      </c>
      <c r="M36" s="60">
        <v>0.147</v>
      </c>
      <c r="N36" s="62">
        <v>0.147</v>
      </c>
      <c r="O36" s="60">
        <v>0.147</v>
      </c>
      <c r="P36" s="63">
        <v>85.0</v>
      </c>
      <c r="Q36" s="58">
        <v>88.97</v>
      </c>
      <c r="R36" s="65">
        <v>3355.1</v>
      </c>
      <c r="S36" s="66">
        <f t="shared" si="43"/>
        <v>100</v>
      </c>
      <c r="U36" s="67">
        <f t="array" ref="U36">XLOOKUP(D36,RUC!$B$3:$B$110,RUC!$F$3:$F$110)</f>
        <v>120</v>
      </c>
      <c r="V36" s="67">
        <v>1.1023</v>
      </c>
      <c r="Y36" s="57">
        <f t="array" ref="Y36">XLOOKUP(D36,RUC!$B$3:$B$110,RUC!$G$3:$G$110)</f>
        <v>20</v>
      </c>
      <c r="Z36" s="69">
        <f t="array" ref="Z36">XLOOKUP(D36,RUC!$B$3:$B$110,RUC!$H$3:$H$110)</f>
        <v>30</v>
      </c>
      <c r="AA36" s="70">
        <f t="shared" si="28"/>
        <v>50</v>
      </c>
      <c r="AB36" s="71">
        <f t="shared" si="29"/>
        <v>280.2330387</v>
      </c>
      <c r="AC36" s="71">
        <f>+(S36-T36)*V36-'data 1'!$F$4</f>
        <v>30.23</v>
      </c>
      <c r="AD36" s="71">
        <f t="shared" si="30"/>
        <v>23.07627088</v>
      </c>
      <c r="AE36" s="71">
        <f t="shared" si="31"/>
        <v>-14.885</v>
      </c>
      <c r="AF36" s="71">
        <f t="shared" si="32"/>
        <v>50.76344535</v>
      </c>
      <c r="AG36" s="72">
        <f t="shared" si="42"/>
        <v>106.1847162</v>
      </c>
      <c r="AH36" s="52">
        <f t="shared" si="34"/>
        <v>13.32524057</v>
      </c>
      <c r="AI36" s="52">
        <f t="shared" si="35"/>
        <v>14.97722892</v>
      </c>
      <c r="AJ36" s="73">
        <f t="shared" si="36"/>
        <v>33.2342201</v>
      </c>
      <c r="AK36" s="73">
        <f t="shared" si="37"/>
        <v>11.48101075</v>
      </c>
      <c r="AL36" s="11"/>
      <c r="AM36" s="51">
        <f t="shared" si="38"/>
        <v>751.0245438</v>
      </c>
      <c r="AN36" s="51" t="str">
        <f t="array" ref="AN36">XLOOKUP(D36,RUC!$B$3:$B$565,RUC!$M$3:$M$565)</f>
        <v>Evelyn</v>
      </c>
      <c r="AO36" s="131" t="s">
        <v>558</v>
      </c>
      <c r="AP36" s="2" t="s">
        <v>627</v>
      </c>
      <c r="AQ36" s="2" t="s">
        <v>628</v>
      </c>
      <c r="AS36" s="65"/>
    </row>
    <row r="37" ht="15.0" customHeight="1">
      <c r="A37" s="116" t="s">
        <v>1063</v>
      </c>
      <c r="B37" s="56">
        <v>45874.0</v>
      </c>
      <c r="C37" s="56">
        <v>45858.0</v>
      </c>
      <c r="D37" s="57" t="s">
        <v>225</v>
      </c>
      <c r="E37" s="57">
        <f t="array" ref="E37">XLOOKUP(D37,RUC!$B$3:$B$110,RUC!$D$3:$D$110)</f>
        <v>10761932735</v>
      </c>
      <c r="G37" s="3">
        <v>121.0</v>
      </c>
      <c r="H37" s="57" t="s">
        <v>47</v>
      </c>
      <c r="I37" s="6">
        <v>10.02</v>
      </c>
      <c r="J37" s="58">
        <v>10.3</v>
      </c>
      <c r="K37" s="59">
        <f t="shared" si="25"/>
        <v>8.988</v>
      </c>
      <c r="L37" s="3">
        <v>0.375</v>
      </c>
      <c r="M37" s="60">
        <v>0.338</v>
      </c>
      <c r="N37" s="75">
        <v>0.381</v>
      </c>
      <c r="O37" s="60">
        <f t="shared" ref="O37:O102" si="44">+ROUND((M37+N37)/2,3)</f>
        <v>0.36</v>
      </c>
      <c r="P37" s="63">
        <v>90.0</v>
      </c>
      <c r="Q37" s="58">
        <v>94.74</v>
      </c>
      <c r="R37" s="65">
        <v>3386.2</v>
      </c>
      <c r="S37" s="76">
        <f t="shared" ref="S37:S38" si="45">IF((80+ROUNDDOWN(O37,1)*100)&lt;95,95,(80+ROUNDDOWN(O37,1)*100))</f>
        <v>110</v>
      </c>
      <c r="U37" s="67">
        <f t="array" ref="U37">XLOOKUP(D37,RUC!$B$3:$B$110,RUC!$F$3:$F$110)</f>
        <v>120</v>
      </c>
      <c r="V37" s="67">
        <v>1.1023</v>
      </c>
      <c r="Z37" s="69">
        <f t="array" ref="Z37">XLOOKUP(D37,RUC!$B$3:$B$110,RUC!$H$3:$H$110)</f>
        <v>30</v>
      </c>
      <c r="AA37" s="70">
        <f t="shared" si="28"/>
        <v>30</v>
      </c>
      <c r="AB37" s="71">
        <f t="shared" si="29"/>
        <v>1012.185652</v>
      </c>
      <c r="AC37" s="71">
        <f>+(S37-T37)*V37-'data 1'!$F$4</f>
        <v>41.253</v>
      </c>
      <c r="AD37" s="71">
        <f t="shared" si="30"/>
        <v>63.99590592</v>
      </c>
      <c r="AE37" s="71">
        <f t="shared" si="31"/>
        <v>-36.931</v>
      </c>
      <c r="AF37" s="71">
        <f t="shared" si="32"/>
        <v>51.16432175</v>
      </c>
      <c r="AG37" s="72">
        <f t="shared" si="42"/>
        <v>136.4822277</v>
      </c>
      <c r="AH37" s="52">
        <f t="shared" si="34"/>
        <v>109.4805023</v>
      </c>
      <c r="AI37" s="52">
        <f t="shared" si="35"/>
        <v>115.5589004</v>
      </c>
      <c r="AJ37" s="73">
        <f t="shared" si="36"/>
        <v>69.23835103</v>
      </c>
      <c r="AK37" s="73">
        <f t="shared" si="37"/>
        <v>99.84288997</v>
      </c>
      <c r="AL37" s="11"/>
      <c r="AM37" s="51">
        <f t="shared" si="38"/>
        <v>9097.524642</v>
      </c>
      <c r="AN37" s="51" t="str">
        <f t="array" ref="AN37">XLOOKUP(D37,RUC!$B$3:$B$565,RUC!$M$3:$M$565)</f>
        <v>Richard Sapacayo</v>
      </c>
      <c r="AO37" s="131" t="s">
        <v>558</v>
      </c>
      <c r="AP37" s="57" t="s">
        <v>648</v>
      </c>
      <c r="AQ37" s="57" t="s">
        <v>649</v>
      </c>
      <c r="AS37" s="65"/>
    </row>
    <row r="38" ht="15.0" customHeight="1">
      <c r="A38" s="116" t="s">
        <v>1064</v>
      </c>
      <c r="B38" s="56">
        <v>45874.0</v>
      </c>
      <c r="C38" s="56">
        <v>45858.0</v>
      </c>
      <c r="D38" s="57" t="s">
        <v>225</v>
      </c>
      <c r="E38" s="57">
        <f t="array" ref="E38">XLOOKUP(D38,RUC!$B$3:$B$110,RUC!$D$3:$D$110)</f>
        <v>10761932735</v>
      </c>
      <c r="G38" s="3">
        <v>84.0</v>
      </c>
      <c r="H38" s="57" t="s">
        <v>47</v>
      </c>
      <c r="I38" s="6">
        <v>7.3</v>
      </c>
      <c r="J38" s="58">
        <v>7.6</v>
      </c>
      <c r="K38" s="59">
        <f t="shared" si="25"/>
        <v>6.745</v>
      </c>
      <c r="L38" s="60">
        <v>0.74</v>
      </c>
      <c r="M38" s="60">
        <v>0.696</v>
      </c>
      <c r="N38" s="75">
        <v>0.786</v>
      </c>
      <c r="O38" s="60">
        <f t="shared" si="44"/>
        <v>0.741</v>
      </c>
      <c r="P38" s="63">
        <v>90.0</v>
      </c>
      <c r="Q38" s="58">
        <v>96.08</v>
      </c>
      <c r="R38" s="65">
        <v>3386.2</v>
      </c>
      <c r="S38" s="76">
        <f t="shared" si="45"/>
        <v>150</v>
      </c>
      <c r="U38" s="67">
        <f t="array" ref="U38">XLOOKUP(D38,RUC!$B$3:$B$110,RUC!$F$3:$F$110)</f>
        <v>120</v>
      </c>
      <c r="V38" s="67">
        <v>1.1023</v>
      </c>
      <c r="Z38" s="69">
        <f t="array" ref="Z38">XLOOKUP(D38,RUC!$B$3:$B$110,RUC!$H$3:$H$110)</f>
        <v>30</v>
      </c>
      <c r="AA38" s="70">
        <f t="shared" si="28"/>
        <v>30</v>
      </c>
      <c r="AB38" s="71">
        <f t="shared" si="29"/>
        <v>2202.647584</v>
      </c>
      <c r="AC38" s="71">
        <f>+(S38-T38)*V38-'data 1'!$F$4</f>
        <v>85.345</v>
      </c>
      <c r="AD38" s="71">
        <f t="shared" si="30"/>
        <v>161.986149</v>
      </c>
      <c r="AE38" s="71">
        <f t="shared" si="31"/>
        <v>-36.931</v>
      </c>
      <c r="AF38" s="71">
        <f t="shared" si="32"/>
        <v>-3.459199235</v>
      </c>
      <c r="AG38" s="72">
        <f t="shared" si="42"/>
        <v>223.9409498</v>
      </c>
      <c r="AH38" s="52">
        <f t="shared" si="34"/>
        <v>164.420414</v>
      </c>
      <c r="AI38" s="52">
        <f t="shared" si="35"/>
        <v>171.1286574</v>
      </c>
      <c r="AJ38" s="73">
        <f t="shared" si="36"/>
        <v>138.5628419</v>
      </c>
      <c r="AK38" s="73">
        <f t="shared" si="37"/>
        <v>154.2239211</v>
      </c>
      <c r="AL38" s="11"/>
      <c r="AM38" s="51">
        <f t="shared" si="38"/>
        <v>14856.85796</v>
      </c>
      <c r="AN38" s="51" t="str">
        <f t="array" ref="AN38">XLOOKUP(D38,RUC!$B$3:$B$565,RUC!$M$3:$M$565)</f>
        <v>Richard Sapacayo</v>
      </c>
      <c r="AO38" s="131" t="s">
        <v>558</v>
      </c>
      <c r="AP38" s="57" t="s">
        <v>648</v>
      </c>
      <c r="AQ38" s="57" t="s">
        <v>649</v>
      </c>
      <c r="AS38" s="65"/>
    </row>
    <row r="39" ht="15.0" customHeight="1">
      <c r="A39" s="116" t="s">
        <v>1065</v>
      </c>
      <c r="B39" s="56">
        <v>45866.0</v>
      </c>
      <c r="C39" s="56">
        <v>45860.0</v>
      </c>
      <c r="D39" s="57" t="s">
        <v>602</v>
      </c>
      <c r="E39" s="57">
        <f t="array" ref="E39">XLOOKUP(D39,RUC!$B$3:$B$110,RUC!$D$3:$D$110)</f>
        <v>20169040231</v>
      </c>
      <c r="G39" s="141">
        <v>50.0</v>
      </c>
      <c r="H39" s="57" t="s">
        <v>47</v>
      </c>
      <c r="I39" s="6">
        <v>4.76</v>
      </c>
      <c r="J39" s="58">
        <v>1.35</v>
      </c>
      <c r="K39" s="59">
        <f t="shared" si="25"/>
        <v>4.696</v>
      </c>
      <c r="L39" s="3">
        <v>0.133</v>
      </c>
      <c r="M39" s="3">
        <v>0.117</v>
      </c>
      <c r="N39" s="62">
        <v>0.117</v>
      </c>
      <c r="O39" s="60">
        <f t="shared" si="44"/>
        <v>0.117</v>
      </c>
      <c r="P39" s="63">
        <v>80.0</v>
      </c>
      <c r="Q39" s="58">
        <v>80.92</v>
      </c>
      <c r="R39" s="65">
        <v>3409.85</v>
      </c>
      <c r="S39" s="66">
        <f t="shared" ref="S39:S54" si="46">IF((90+ROUNDDOWN(O39,1)*100)&lt;95,95,(85+ROUNDDOWN(O39,1)*100))</f>
        <v>95</v>
      </c>
      <c r="U39" s="67">
        <f t="array" ref="U39">XLOOKUP(D39,RUC!$B$3:$B$110,RUC!$F$3:$F$110)</f>
        <v>120</v>
      </c>
      <c r="V39" s="67">
        <v>1.1023</v>
      </c>
      <c r="Y39" s="57">
        <f t="array" ref="Y39">XLOOKUP(D39,RUC!$B$3:$B$110,RUC!$G$3:$G$110)</f>
        <v>20</v>
      </c>
      <c r="Z39" s="69">
        <f t="array" ref="Z39">XLOOKUP(D39,RUC!$B$3:$B$110,RUC!$H$3:$H$110)</f>
        <v>30</v>
      </c>
      <c r="AA39" s="70">
        <f t="shared" si="28"/>
        <v>50</v>
      </c>
      <c r="AB39" s="71">
        <f t="shared" si="29"/>
        <v>179.5976949</v>
      </c>
      <c r="AC39" s="71">
        <f>+(S39-T39)*V39-'data 1'!$F$4</f>
        <v>24.7185</v>
      </c>
      <c r="AD39" s="71">
        <f t="shared" si="30"/>
        <v>4.437265065</v>
      </c>
      <c r="AE39" s="71">
        <f t="shared" si="31"/>
        <v>-14.885</v>
      </c>
      <c r="AF39" s="71">
        <f t="shared" si="32"/>
        <v>46.95174751</v>
      </c>
      <c r="AG39" s="72">
        <f t="shared" si="42"/>
        <v>78.22251257</v>
      </c>
      <c r="AH39" s="52">
        <f t="shared" si="34"/>
        <v>17.32784971</v>
      </c>
      <c r="AI39" s="52">
        <f t="shared" si="35"/>
        <v>21.41355624</v>
      </c>
      <c r="AJ39" s="73">
        <f t="shared" si="36"/>
        <v>18.16871965</v>
      </c>
      <c r="AK39" s="73">
        <f t="shared" si="37"/>
        <v>15.06999146</v>
      </c>
      <c r="AL39" s="11"/>
      <c r="AM39" s="51">
        <f t="shared" si="38"/>
        <v>843.3907753</v>
      </c>
      <c r="AN39" s="51" t="str">
        <f t="array" ref="AN39">XLOOKUP(D39,RUC!$B$3:$B$565,RUC!$M$3:$M$565)</f>
        <v>Ronald Miranda</v>
      </c>
      <c r="AO39" s="131" t="s">
        <v>551</v>
      </c>
      <c r="AP39" s="57" t="s">
        <v>1066</v>
      </c>
      <c r="AQ39" s="57" t="s">
        <v>1067</v>
      </c>
      <c r="AS39" s="65"/>
    </row>
    <row r="40" ht="15.0" customHeight="1">
      <c r="A40" s="116" t="s">
        <v>1068</v>
      </c>
      <c r="B40" s="56">
        <v>45866.0</v>
      </c>
      <c r="C40" s="56">
        <v>45860.0</v>
      </c>
      <c r="D40" s="57" t="s">
        <v>602</v>
      </c>
      <c r="E40" s="57">
        <f t="array" ref="E40">XLOOKUP(D40,RUC!$B$3:$B$110,RUC!$D$3:$D$110)</f>
        <v>20169040231</v>
      </c>
      <c r="G40" s="141">
        <v>50.0</v>
      </c>
      <c r="H40" s="57" t="s">
        <v>47</v>
      </c>
      <c r="I40" s="6">
        <v>4.86</v>
      </c>
      <c r="J40" s="58">
        <v>1.01</v>
      </c>
      <c r="K40" s="59">
        <f t="shared" si="25"/>
        <v>4.811</v>
      </c>
      <c r="L40" s="3">
        <v>0.137</v>
      </c>
      <c r="M40" s="3">
        <v>0.121</v>
      </c>
      <c r="N40" s="62">
        <v>0.121</v>
      </c>
      <c r="O40" s="60">
        <f t="shared" si="44"/>
        <v>0.121</v>
      </c>
      <c r="P40" s="63">
        <v>83.0</v>
      </c>
      <c r="Q40" s="140">
        <v>83.61</v>
      </c>
      <c r="R40" s="65">
        <v>3409.85</v>
      </c>
      <c r="S40" s="66">
        <f t="shared" si="46"/>
        <v>95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69">
        <f t="array" ref="Z40">XLOOKUP(D40,RUC!$B$3:$B$110,RUC!$H$3:$H$110)</f>
        <v>30</v>
      </c>
      <c r="AA40" s="70">
        <f t="shared" si="28"/>
        <v>50</v>
      </c>
      <c r="AB40" s="71">
        <f t="shared" si="29"/>
        <v>204.3660182</v>
      </c>
      <c r="AC40" s="71">
        <f>+(S40-T40)*V40-'data 1'!$F$4</f>
        <v>24.7185</v>
      </c>
      <c r="AD40" s="71">
        <f t="shared" si="30"/>
        <v>3.030583863</v>
      </c>
      <c r="AE40" s="71">
        <f t="shared" si="31"/>
        <v>-14.885</v>
      </c>
      <c r="AF40" s="71">
        <f t="shared" si="32"/>
        <v>48.51255078</v>
      </c>
      <c r="AG40" s="72">
        <f t="shared" si="42"/>
        <v>78.37663464</v>
      </c>
      <c r="AH40" s="52">
        <f t="shared" si="34"/>
        <v>18.8939698</v>
      </c>
      <c r="AI40" s="52">
        <f t="shared" si="35"/>
        <v>22.59773926</v>
      </c>
      <c r="AJ40" s="73">
        <f t="shared" si="36"/>
        <v>19.3372895</v>
      </c>
      <c r="AK40" s="73">
        <f t="shared" si="37"/>
        <v>16.5656274</v>
      </c>
      <c r="AL40" s="11"/>
      <c r="AM40" s="51">
        <f t="shared" si="38"/>
        <v>983.2049136</v>
      </c>
      <c r="AN40" s="51" t="str">
        <f t="array" ref="AN40">XLOOKUP(D40,RUC!$B$3:$B$565,RUC!$M$3:$M$565)</f>
        <v>Ronald Miranda</v>
      </c>
      <c r="AO40" s="131" t="s">
        <v>547</v>
      </c>
      <c r="AP40" s="57" t="s">
        <v>1066</v>
      </c>
      <c r="AQ40" s="57" t="s">
        <v>1067</v>
      </c>
      <c r="AS40" s="65"/>
    </row>
    <row r="41" ht="15.0" customHeight="1">
      <c r="A41" s="116" t="s">
        <v>1069</v>
      </c>
      <c r="B41" s="56">
        <v>45871.0</v>
      </c>
      <c r="C41" s="56">
        <v>45860.0</v>
      </c>
      <c r="D41" s="57" t="s">
        <v>602</v>
      </c>
      <c r="E41" s="57">
        <f t="array" ref="E41">XLOOKUP(D41,RUC!$B$3:$B$110,RUC!$D$3:$D$110)</f>
        <v>20169040231</v>
      </c>
      <c r="G41" s="141">
        <v>50.0</v>
      </c>
      <c r="H41" s="57" t="s">
        <v>47</v>
      </c>
      <c r="I41" s="6">
        <v>4.68</v>
      </c>
      <c r="J41" s="58">
        <v>1.02</v>
      </c>
      <c r="K41" s="59">
        <f t="shared" si="25"/>
        <v>4.632</v>
      </c>
      <c r="L41" s="60">
        <v>0.157</v>
      </c>
      <c r="M41" s="3">
        <v>0.141</v>
      </c>
      <c r="N41" s="62">
        <v>0.141</v>
      </c>
      <c r="O41" s="60">
        <f t="shared" si="44"/>
        <v>0.141</v>
      </c>
      <c r="P41" s="63">
        <v>78.0</v>
      </c>
      <c r="Q41" s="58">
        <v>78.95</v>
      </c>
      <c r="R41" s="65">
        <v>3409.85</v>
      </c>
      <c r="S41" s="66">
        <f t="shared" si="46"/>
        <v>95</v>
      </c>
      <c r="U41" s="67">
        <f t="array" ref="U41">XLOOKUP(D41,RUC!$B$3:$B$110,RUC!$F$3:$F$110)</f>
        <v>120</v>
      </c>
      <c r="V41" s="67">
        <v>1.1023</v>
      </c>
      <c r="Y41" s="57">
        <f t="array" ref="Y41">XLOOKUP(D41,RUC!$B$3:$B$110,RUC!$G$3:$G$110)</f>
        <v>20</v>
      </c>
      <c r="Z41" s="69">
        <f t="array" ref="Z41">XLOOKUP(D41,RUC!$B$3:$B$110,RUC!$H$3:$H$110)</f>
        <v>30</v>
      </c>
      <c r="AA41" s="70">
        <f t="shared" si="28"/>
        <v>50</v>
      </c>
      <c r="AB41" s="71">
        <f t="shared" si="29"/>
        <v>238.998154</v>
      </c>
      <c r="AC41" s="71">
        <f>+(S41-T41)*V41-'data 1'!$F$4</f>
        <v>24.7185</v>
      </c>
      <c r="AD41" s="71">
        <f t="shared" si="30"/>
        <v>5.408778068</v>
      </c>
      <c r="AE41" s="71">
        <f t="shared" si="31"/>
        <v>-14.885</v>
      </c>
      <c r="AF41" s="71">
        <f t="shared" si="32"/>
        <v>45.80870571</v>
      </c>
      <c r="AG41" s="72">
        <f t="shared" si="42"/>
        <v>78.05098377</v>
      </c>
      <c r="AH41" s="52">
        <f t="shared" si="34"/>
        <v>19.68472748</v>
      </c>
      <c r="AI41" s="52">
        <f t="shared" si="35"/>
        <v>24.93315704</v>
      </c>
      <c r="AJ41" s="73">
        <f t="shared" si="36"/>
        <v>20.92515074</v>
      </c>
      <c r="AK41" s="73">
        <f t="shared" si="37"/>
        <v>17.46591472</v>
      </c>
      <c r="AL41" s="11"/>
      <c r="AM41" s="51">
        <f t="shared" si="38"/>
        <v>1107.039449</v>
      </c>
      <c r="AN41" s="51" t="str">
        <f t="array" ref="AN41">XLOOKUP(D41,RUC!$B$3:$B$565,RUC!$M$3:$M$565)</f>
        <v>Ronald Miranda</v>
      </c>
      <c r="AO41" s="131" t="s">
        <v>551</v>
      </c>
      <c r="AP41" s="57" t="s">
        <v>1066</v>
      </c>
      <c r="AQ41" s="57" t="s">
        <v>1067</v>
      </c>
      <c r="AS41" s="65"/>
    </row>
    <row r="42" ht="15.0" customHeight="1">
      <c r="A42" s="116" t="s">
        <v>1070</v>
      </c>
      <c r="B42" s="56">
        <v>45871.0</v>
      </c>
      <c r="C42" s="56">
        <v>45860.0</v>
      </c>
      <c r="D42" s="57" t="s">
        <v>602</v>
      </c>
      <c r="E42" s="57">
        <f t="array" ref="E42">XLOOKUP(D42,RUC!$B$3:$B$110,RUC!$D$3:$D$110)</f>
        <v>20169040231</v>
      </c>
      <c r="G42" s="141">
        <v>37.0</v>
      </c>
      <c r="H42" s="57" t="s">
        <v>47</v>
      </c>
      <c r="I42" s="6">
        <v>3.18</v>
      </c>
      <c r="J42" s="58">
        <v>1.0</v>
      </c>
      <c r="K42" s="59">
        <f t="shared" si="25"/>
        <v>3.148</v>
      </c>
      <c r="L42" s="60">
        <v>0.719</v>
      </c>
      <c r="M42" s="3">
        <v>0.676</v>
      </c>
      <c r="N42" s="62">
        <v>0.676</v>
      </c>
      <c r="O42" s="60">
        <f t="shared" si="44"/>
        <v>0.676</v>
      </c>
      <c r="P42" s="63">
        <v>84.0</v>
      </c>
      <c r="Q42" s="58">
        <v>84.81</v>
      </c>
      <c r="R42" s="65">
        <v>3409.85</v>
      </c>
      <c r="S42" s="66">
        <f t="shared" si="46"/>
        <v>145</v>
      </c>
      <c r="U42" s="67">
        <f t="array" ref="U42">XLOOKUP(D42,RUC!$B$3:$B$110,RUC!$F$3:$F$110)</f>
        <v>120</v>
      </c>
      <c r="V42" s="67">
        <v>1.1023</v>
      </c>
      <c r="Y42" s="57">
        <f t="array" ref="Y42">XLOOKUP(D42,RUC!$B$3:$B$110,RUC!$G$3:$G$110)</f>
        <v>20</v>
      </c>
      <c r="Z42" s="69">
        <f t="array" ref="Z42">XLOOKUP(D42,RUC!$B$3:$B$110,RUC!$H$3:$H$110)</f>
        <v>30</v>
      </c>
      <c r="AA42" s="70">
        <f t="shared" si="28"/>
        <v>50</v>
      </c>
      <c r="AB42" s="71">
        <f t="shared" si="29"/>
        <v>1844.267416</v>
      </c>
      <c r="AC42" s="71">
        <f>+(S42-T42)*V42-'data 1'!$F$4</f>
        <v>79.8335</v>
      </c>
      <c r="AD42" s="71">
        <f t="shared" si="30"/>
        <v>21.1198006</v>
      </c>
      <c r="AE42" s="71">
        <f t="shared" si="31"/>
        <v>-14.885</v>
      </c>
      <c r="AF42" s="71">
        <f t="shared" si="32"/>
        <v>132.2487035</v>
      </c>
      <c r="AG42" s="72">
        <f t="shared" si="42"/>
        <v>235.3170041</v>
      </c>
      <c r="AH42" s="52">
        <f t="shared" si="34"/>
        <v>65.8142212</v>
      </c>
      <c r="AI42" s="52">
        <f t="shared" si="35"/>
        <v>77.60195874</v>
      </c>
      <c r="AJ42" s="73">
        <f t="shared" si="36"/>
        <v>102.942038</v>
      </c>
      <c r="AK42" s="73">
        <f t="shared" si="37"/>
        <v>61.28719923</v>
      </c>
      <c r="AL42" s="11"/>
      <c r="AM42" s="51">
        <f t="shared" si="38"/>
        <v>5805.753825</v>
      </c>
      <c r="AN42" s="51" t="str">
        <f t="array" ref="AN42">XLOOKUP(D42,RUC!$B$3:$B$565,RUC!$M$3:$M$565)</f>
        <v>Ronald Miranda</v>
      </c>
      <c r="AO42" s="131" t="s">
        <v>547</v>
      </c>
      <c r="AP42" s="57" t="s">
        <v>1066</v>
      </c>
      <c r="AQ42" s="57" t="s">
        <v>1067</v>
      </c>
      <c r="AS42" s="65"/>
    </row>
    <row r="43" ht="15.0" customHeight="1">
      <c r="A43" s="116" t="s">
        <v>1071</v>
      </c>
      <c r="B43" s="56">
        <v>45870.0</v>
      </c>
      <c r="C43" s="56">
        <v>45860.0</v>
      </c>
      <c r="D43" s="57" t="s">
        <v>602</v>
      </c>
      <c r="E43" s="57">
        <f t="array" ref="E43">XLOOKUP(D43,RUC!$B$3:$B$110,RUC!$D$3:$D$110)</f>
        <v>20169040231</v>
      </c>
      <c r="G43" s="141">
        <v>15.0</v>
      </c>
      <c r="H43" s="57" t="s">
        <v>47</v>
      </c>
      <c r="I43" s="6">
        <v>1.47</v>
      </c>
      <c r="J43" s="58">
        <v>1.01</v>
      </c>
      <c r="K43" s="59">
        <f t="shared" si="25"/>
        <v>1.455</v>
      </c>
      <c r="L43" s="60">
        <v>0.15</v>
      </c>
      <c r="M43" s="3">
        <v>0.135</v>
      </c>
      <c r="N43" s="62">
        <v>0.135</v>
      </c>
      <c r="O43" s="60">
        <f t="shared" si="44"/>
        <v>0.135</v>
      </c>
      <c r="P43" s="63">
        <v>85.0</v>
      </c>
      <c r="Q43" s="58">
        <v>91.03</v>
      </c>
      <c r="R43" s="65">
        <v>3409.85</v>
      </c>
      <c r="S43" s="66">
        <f t="shared" si="46"/>
        <v>95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28"/>
        <v>50</v>
      </c>
      <c r="AB43" s="71">
        <f t="shared" si="29"/>
        <v>256.2960899</v>
      </c>
      <c r="AC43" s="71">
        <f>+(S43-T43)*V43-'data 1'!$F$4</f>
        <v>24.7185</v>
      </c>
      <c r="AD43" s="71">
        <f t="shared" si="30"/>
        <v>32.80080297</v>
      </c>
      <c r="AE43" s="71">
        <f t="shared" si="31"/>
        <v>-14.885</v>
      </c>
      <c r="AF43" s="71">
        <f t="shared" si="32"/>
        <v>49.5167014</v>
      </c>
      <c r="AG43" s="72">
        <f t="shared" si="42"/>
        <v>109.1510044</v>
      </c>
      <c r="AH43" s="52">
        <f t="shared" si="34"/>
        <v>6.811580043</v>
      </c>
      <c r="AI43" s="52">
        <f t="shared" si="35"/>
        <v>7.482785942</v>
      </c>
      <c r="AJ43" s="73">
        <f t="shared" si="36"/>
        <v>23.05115072</v>
      </c>
      <c r="AK43" s="73">
        <f t="shared" si="37"/>
        <v>5.724331246</v>
      </c>
      <c r="AL43" s="11"/>
      <c r="AM43" s="51">
        <f t="shared" si="38"/>
        <v>372.9108108</v>
      </c>
      <c r="AN43" s="51" t="str">
        <f t="array" ref="AN43">XLOOKUP(D43,RUC!$B$3:$B$565,RUC!$M$3:$M$565)</f>
        <v>Ronald Miranda</v>
      </c>
      <c r="AO43" s="131" t="s">
        <v>549</v>
      </c>
      <c r="AP43" s="57" t="s">
        <v>1066</v>
      </c>
      <c r="AQ43" s="57" t="s">
        <v>1067</v>
      </c>
      <c r="AS43" s="65"/>
    </row>
    <row r="44" ht="15.0" customHeight="1">
      <c r="A44" s="116" t="s">
        <v>1072</v>
      </c>
      <c r="B44" s="56">
        <v>45871.0</v>
      </c>
      <c r="C44" s="56">
        <v>45860.0</v>
      </c>
      <c r="D44" s="57" t="s">
        <v>602</v>
      </c>
      <c r="E44" s="57">
        <f t="array" ref="E44">XLOOKUP(D44,RUC!$B$3:$B$110,RUC!$D$3:$D$110)</f>
        <v>20169040231</v>
      </c>
      <c r="G44" s="141">
        <v>24.0</v>
      </c>
      <c r="H44" s="57" t="s">
        <v>47</v>
      </c>
      <c r="I44" s="6">
        <v>2.48</v>
      </c>
      <c r="J44" s="58">
        <v>1.03</v>
      </c>
      <c r="K44" s="59">
        <f t="shared" si="25"/>
        <v>2.454</v>
      </c>
      <c r="L44" s="60">
        <v>0.282</v>
      </c>
      <c r="M44" s="3">
        <v>0.269</v>
      </c>
      <c r="N44" s="62">
        <v>0.269</v>
      </c>
      <c r="O44" s="60">
        <f t="shared" si="44"/>
        <v>0.269</v>
      </c>
      <c r="P44" s="63">
        <v>75.0</v>
      </c>
      <c r="Q44" s="58">
        <v>76.57</v>
      </c>
      <c r="R44" s="65">
        <v>3409.85</v>
      </c>
      <c r="S44" s="66">
        <f t="shared" si="46"/>
        <v>105</v>
      </c>
      <c r="U44" s="67">
        <f t="array" ref="U44">XLOOKUP(D44,RUC!$B$3:$B$110,RUC!$F$3:$F$110)</f>
        <v>120</v>
      </c>
      <c r="V44" s="67">
        <v>1.1023</v>
      </c>
      <c r="Y44" s="57">
        <f t="array" ref="Y44">XLOOKUP(D44,RUC!$B$3:$B$110,RUC!$G$3:$G$110)</f>
        <v>20</v>
      </c>
      <c r="Z44" s="69">
        <f t="array" ref="Z44">XLOOKUP(D44,RUC!$B$3:$B$110,RUC!$H$3:$H$110)</f>
        <v>30</v>
      </c>
      <c r="AA44" s="70">
        <f t="shared" si="28"/>
        <v>50</v>
      </c>
      <c r="AB44" s="71">
        <f t="shared" si="29"/>
        <v>560.7700339</v>
      </c>
      <c r="AC44" s="71">
        <f>+(S44-T44)*V44-'data 1'!$F$4</f>
        <v>35.7415</v>
      </c>
      <c r="AD44" s="71">
        <f t="shared" si="30"/>
        <v>16.05553069</v>
      </c>
      <c r="AE44" s="71">
        <f t="shared" si="31"/>
        <v>-14.885</v>
      </c>
      <c r="AF44" s="71">
        <f t="shared" si="32"/>
        <v>36.09756471</v>
      </c>
      <c r="AG44" s="72">
        <f t="shared" si="42"/>
        <v>90.0095954</v>
      </c>
      <c r="AH44" s="52">
        <f t="shared" si="34"/>
        <v>18.16734163</v>
      </c>
      <c r="AI44" s="52">
        <f t="shared" si="35"/>
        <v>23.72644852</v>
      </c>
      <c r="AJ44" s="73">
        <f t="shared" si="36"/>
        <v>36.45226879</v>
      </c>
      <c r="AK44" s="73">
        <f t="shared" si="37"/>
        <v>16.97450705</v>
      </c>
      <c r="AL44" s="11"/>
      <c r="AM44" s="51">
        <f t="shared" si="38"/>
        <v>1376.129663</v>
      </c>
      <c r="AN44" s="51" t="str">
        <f t="array" ref="AN44">XLOOKUP(D44,RUC!$B$3:$B$565,RUC!$M$3:$M$565)</f>
        <v>Ronald Miranda</v>
      </c>
      <c r="AO44" s="131" t="s">
        <v>551</v>
      </c>
      <c r="AP44" s="57" t="s">
        <v>1066</v>
      </c>
      <c r="AQ44" s="57" t="s">
        <v>1067</v>
      </c>
      <c r="AS44" s="65"/>
    </row>
    <row r="45" ht="15.0" customHeight="1">
      <c r="A45" s="116" t="s">
        <v>1073</v>
      </c>
      <c r="B45" s="56">
        <v>45871.0</v>
      </c>
      <c r="C45" s="56">
        <v>45860.0</v>
      </c>
      <c r="D45" s="57" t="s">
        <v>602</v>
      </c>
      <c r="E45" s="57">
        <f t="array" ref="E45">XLOOKUP(D45,RUC!$B$3:$B$110,RUC!$D$3:$D$110)</f>
        <v>20169040231</v>
      </c>
      <c r="G45" s="141">
        <v>20.0</v>
      </c>
      <c r="H45" s="57" t="s">
        <v>47</v>
      </c>
      <c r="I45" s="6">
        <v>2.13</v>
      </c>
      <c r="J45" s="58">
        <v>1.01</v>
      </c>
      <c r="K45" s="59">
        <f t="shared" si="25"/>
        <v>2.108</v>
      </c>
      <c r="L45" s="60">
        <v>0.489</v>
      </c>
      <c r="M45" s="60">
        <v>0.46</v>
      </c>
      <c r="N45" s="62">
        <v>0.46</v>
      </c>
      <c r="O45" s="60">
        <f t="shared" si="44"/>
        <v>0.46</v>
      </c>
      <c r="P45" s="63">
        <v>82.0</v>
      </c>
      <c r="Q45" s="58">
        <v>82.62</v>
      </c>
      <c r="R45" s="65">
        <v>3409.85</v>
      </c>
      <c r="S45" s="66">
        <f t="shared" si="46"/>
        <v>125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si="28"/>
        <v>50</v>
      </c>
      <c r="AB45" s="71">
        <f t="shared" si="29"/>
        <v>1174.976204</v>
      </c>
      <c r="AC45" s="71">
        <f>+(S45-T45)*V45-'data 1'!$F$4</f>
        <v>57.7875</v>
      </c>
      <c r="AD45" s="71">
        <f t="shared" si="30"/>
        <v>10.99452454</v>
      </c>
      <c r="AE45" s="71">
        <f t="shared" si="31"/>
        <v>-14.885</v>
      </c>
      <c r="AF45" s="71">
        <f t="shared" si="32"/>
        <v>86.88785837</v>
      </c>
      <c r="AG45" s="72">
        <f t="shared" si="42"/>
        <v>157.7848829</v>
      </c>
      <c r="AH45" s="52">
        <f t="shared" si="34"/>
        <v>29.19938642</v>
      </c>
      <c r="AI45" s="52">
        <f t="shared" si="35"/>
        <v>35.34178943</v>
      </c>
      <c r="AJ45" s="73">
        <f t="shared" si="36"/>
        <v>68.20415902</v>
      </c>
      <c r="AK45" s="73">
        <f t="shared" si="37"/>
        <v>27.26160117</v>
      </c>
      <c r="AL45" s="11"/>
      <c r="AM45" s="51">
        <f t="shared" si="38"/>
        <v>2476.849839</v>
      </c>
      <c r="AN45" s="51" t="str">
        <f t="array" ref="AN45">XLOOKUP(D45,RUC!$B$3:$B$565,RUC!$M$3:$M$565)</f>
        <v>Ronald Miranda</v>
      </c>
      <c r="AO45" s="131" t="s">
        <v>547</v>
      </c>
      <c r="AP45" s="57" t="s">
        <v>1066</v>
      </c>
      <c r="AQ45" s="57" t="s">
        <v>1067</v>
      </c>
      <c r="AS45" s="65"/>
    </row>
    <row r="46" ht="15.0" customHeight="1">
      <c r="A46" s="116" t="s">
        <v>1074</v>
      </c>
      <c r="B46" s="105">
        <v>45874.0</v>
      </c>
      <c r="C46" s="56">
        <v>45860.0</v>
      </c>
      <c r="D46" s="57" t="s">
        <v>602</v>
      </c>
      <c r="E46" s="57">
        <f t="array" ref="E46">XLOOKUP(D46,RUC!$B$3:$B$110,RUC!$D$3:$D$110)</f>
        <v>20169040231</v>
      </c>
      <c r="G46" s="141">
        <v>14.0</v>
      </c>
      <c r="H46" s="57" t="s">
        <v>47</v>
      </c>
      <c r="I46" s="6">
        <v>1.28</v>
      </c>
      <c r="J46" s="58">
        <v>24.7</v>
      </c>
      <c r="K46" s="59">
        <f t="shared" si="25"/>
        <v>0.964</v>
      </c>
      <c r="L46" s="60">
        <v>1.223</v>
      </c>
      <c r="M46" s="60">
        <v>1.15</v>
      </c>
      <c r="N46" s="62">
        <v>1.15</v>
      </c>
      <c r="O46" s="60">
        <f t="shared" si="44"/>
        <v>1.15</v>
      </c>
      <c r="P46" s="63">
        <v>83.0</v>
      </c>
      <c r="Q46" s="426">
        <v>82.91</v>
      </c>
      <c r="R46" s="65">
        <v>3409.85</v>
      </c>
      <c r="S46" s="66">
        <f t="shared" si="46"/>
        <v>195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28"/>
        <v>50</v>
      </c>
      <c r="AB46" s="71">
        <f t="shared" si="29"/>
        <v>3191.33688</v>
      </c>
      <c r="AC46" s="71">
        <f>+(S46-T46)*V46-'data 1'!$F$4</f>
        <v>134.9485</v>
      </c>
      <c r="AD46" s="71">
        <f t="shared" si="30"/>
        <v>-3.991580302</v>
      </c>
      <c r="AE46" s="71">
        <f t="shared" si="31"/>
        <v>-14.885</v>
      </c>
      <c r="AF46" s="71">
        <f t="shared" si="32"/>
        <v>219.4854217</v>
      </c>
      <c r="AG46" s="72">
        <f t="shared" si="42"/>
        <v>352.5573414</v>
      </c>
      <c r="AH46" s="52">
        <f t="shared" si="34"/>
        <v>33.51347603</v>
      </c>
      <c r="AI46" s="52">
        <f t="shared" si="35"/>
        <v>40.42151252</v>
      </c>
      <c r="AJ46" s="73">
        <f t="shared" si="36"/>
        <v>171.1788801</v>
      </c>
      <c r="AK46" s="73">
        <f t="shared" si="37"/>
        <v>31.54728839</v>
      </c>
      <c r="AL46" s="11"/>
      <c r="AM46" s="51">
        <f t="shared" si="38"/>
        <v>3076.448752</v>
      </c>
      <c r="AN46" s="51" t="str">
        <f t="array" ref="AN46">XLOOKUP(D46,RUC!$B$3:$B$565,RUC!$M$3:$M$565)</f>
        <v>Ronald Miranda</v>
      </c>
      <c r="AO46" s="131" t="s">
        <v>547</v>
      </c>
      <c r="AP46" s="57" t="s">
        <v>1066</v>
      </c>
      <c r="AQ46" s="57" t="s">
        <v>1067</v>
      </c>
      <c r="AS46" s="65"/>
    </row>
    <row r="47" ht="15.0" customHeight="1">
      <c r="A47" s="116" t="s">
        <v>1075</v>
      </c>
      <c r="B47" s="56">
        <v>45871.0</v>
      </c>
      <c r="C47" s="56">
        <v>45861.0</v>
      </c>
      <c r="D47" s="57" t="s">
        <v>665</v>
      </c>
      <c r="E47" s="57">
        <f t="array" ref="E47">XLOOKUP(D47,RUC!$B$3:$B$110,RUC!$D$3:$D$110)</f>
        <v>20608774000</v>
      </c>
      <c r="G47" s="141">
        <v>12.0</v>
      </c>
      <c r="H47" s="57" t="s">
        <v>47</v>
      </c>
      <c r="I47" s="6">
        <v>0.91</v>
      </c>
      <c r="J47" s="58">
        <v>1.01</v>
      </c>
      <c r="K47" s="59">
        <f t="shared" si="25"/>
        <v>0.901</v>
      </c>
      <c r="L47" s="60">
        <v>0.25</v>
      </c>
      <c r="M47" s="3">
        <v>0.235</v>
      </c>
      <c r="N47" s="62">
        <v>0.235</v>
      </c>
      <c r="O47" s="60">
        <f t="shared" si="44"/>
        <v>0.235</v>
      </c>
      <c r="P47" s="63">
        <v>90.0</v>
      </c>
      <c r="Q47" s="58">
        <v>92.0</v>
      </c>
      <c r="R47" s="65">
        <v>3413.55</v>
      </c>
      <c r="S47" s="66">
        <f t="shared" si="46"/>
        <v>105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28"/>
        <v>50</v>
      </c>
      <c r="AB47" s="71">
        <f t="shared" si="29"/>
        <v>596.9900549</v>
      </c>
      <c r="AC47" s="71">
        <f>+(S47-T47)*V47-'data 1'!$F$4</f>
        <v>35.7415</v>
      </c>
      <c r="AD47" s="71">
        <f t="shared" si="30"/>
        <v>18.15240083</v>
      </c>
      <c r="AE47" s="71">
        <f t="shared" si="31"/>
        <v>-14.885</v>
      </c>
      <c r="AF47" s="71">
        <f t="shared" si="32"/>
        <v>50.10062628</v>
      </c>
      <c r="AG47" s="72">
        <f t="shared" si="42"/>
        <v>106.1095271</v>
      </c>
      <c r="AH47" s="52">
        <f t="shared" si="34"/>
        <v>7.104960966</v>
      </c>
      <c r="AI47" s="52">
        <f t="shared" si="35"/>
        <v>7.722783658</v>
      </c>
      <c r="AJ47" s="73">
        <f t="shared" si="36"/>
        <v>37.88990905</v>
      </c>
      <c r="AK47" s="73">
        <f t="shared" si="37"/>
        <v>6.533474975</v>
      </c>
      <c r="AL47" s="11"/>
      <c r="AM47" s="51">
        <f t="shared" si="38"/>
        <v>537.8880395</v>
      </c>
      <c r="AN47" s="51" t="str">
        <f t="array" ref="AN47">XLOOKUP(D47,RUC!$B$3:$B$565,RUC!$M$3:$M$565)</f>
        <v>Ronald Miranda</v>
      </c>
      <c r="AO47" s="131" t="s">
        <v>558</v>
      </c>
      <c r="AP47" s="57" t="s">
        <v>670</v>
      </c>
      <c r="AQ47" s="57" t="s">
        <v>671</v>
      </c>
      <c r="AS47" s="65"/>
    </row>
    <row r="48" ht="15.0" customHeight="1">
      <c r="A48" s="116" t="s">
        <v>1076</v>
      </c>
      <c r="B48" s="56">
        <v>45874.0</v>
      </c>
      <c r="C48" s="56">
        <v>45861.0</v>
      </c>
      <c r="D48" s="57" t="s">
        <v>665</v>
      </c>
      <c r="E48" s="57">
        <f t="array" ref="E48">XLOOKUP(D48,RUC!$B$3:$B$110,RUC!$D$3:$D$110)</f>
        <v>20608774000</v>
      </c>
      <c r="G48" s="141">
        <v>50.0</v>
      </c>
      <c r="H48" s="57" t="s">
        <v>47</v>
      </c>
      <c r="I48" s="6">
        <v>4.71</v>
      </c>
      <c r="J48" s="58">
        <v>1.03</v>
      </c>
      <c r="K48" s="59">
        <f t="shared" si="25"/>
        <v>4.661</v>
      </c>
      <c r="L48" s="60">
        <v>0.169</v>
      </c>
      <c r="M48" s="3">
        <v>0.152</v>
      </c>
      <c r="N48" s="62">
        <v>0.152</v>
      </c>
      <c r="O48" s="60">
        <f t="shared" si="44"/>
        <v>0.152</v>
      </c>
      <c r="P48" s="63">
        <v>64.0</v>
      </c>
      <c r="Q48" s="58">
        <v>58.78</v>
      </c>
      <c r="R48" s="65">
        <v>3413.55</v>
      </c>
      <c r="S48" s="66">
        <f t="shared" si="46"/>
        <v>95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28"/>
        <v>50</v>
      </c>
      <c r="AB48" s="71">
        <f t="shared" si="29"/>
        <v>193.3396105</v>
      </c>
      <c r="AC48" s="71">
        <f>+(S48-T48)*V48-'data 1'!$F$4</f>
        <v>24.7185</v>
      </c>
      <c r="AD48" s="71">
        <f t="shared" si="30"/>
        <v>-32.02736992</v>
      </c>
      <c r="AE48" s="71">
        <f t="shared" si="31"/>
        <v>-14.885</v>
      </c>
      <c r="AF48" s="71">
        <f t="shared" si="32"/>
        <v>36.2779361</v>
      </c>
      <c r="AG48" s="72">
        <f t="shared" si="42"/>
        <v>31.08406618</v>
      </c>
      <c r="AH48" s="52">
        <f t="shared" si="34"/>
        <v>15.87466095</v>
      </c>
      <c r="AI48" s="52">
        <f t="shared" si="35"/>
        <v>27.00690874</v>
      </c>
      <c r="AJ48" s="73">
        <f t="shared" si="36"/>
        <v>16.36484941</v>
      </c>
      <c r="AK48" s="73">
        <f t="shared" si="37"/>
        <v>15.54575196</v>
      </c>
      <c r="AL48" s="11"/>
      <c r="AM48" s="51">
        <f t="shared" si="38"/>
        <v>901.1559243</v>
      </c>
      <c r="AN48" s="51" t="str">
        <f t="array" ref="AN48">XLOOKUP(D48,RUC!$B$3:$B$565,RUC!$M$3:$M$565)</f>
        <v>Ronald Miranda</v>
      </c>
      <c r="AO48" s="131" t="s">
        <v>551</v>
      </c>
      <c r="AP48" s="57" t="s">
        <v>670</v>
      </c>
      <c r="AQ48" s="57" t="s">
        <v>671</v>
      </c>
      <c r="AS48" s="65"/>
    </row>
    <row r="49" ht="15.0" customHeight="1">
      <c r="A49" s="116" t="s">
        <v>1077</v>
      </c>
      <c r="B49" s="56">
        <v>45874.0</v>
      </c>
      <c r="C49" s="56">
        <v>45861.0</v>
      </c>
      <c r="D49" s="57" t="s">
        <v>665</v>
      </c>
      <c r="E49" s="57">
        <f t="array" ref="E49">XLOOKUP(D49,RUC!$B$3:$B$110,RUC!$D$3:$D$110)</f>
        <v>20608774000</v>
      </c>
      <c r="G49" s="141">
        <v>14.0</v>
      </c>
      <c r="H49" s="57" t="s">
        <v>47</v>
      </c>
      <c r="I49" s="6">
        <v>1.3</v>
      </c>
      <c r="J49" s="58">
        <v>1.1</v>
      </c>
      <c r="K49" s="59">
        <f t="shared" si="25"/>
        <v>1.286</v>
      </c>
      <c r="L49" s="62">
        <v>0.142</v>
      </c>
      <c r="M49" s="3">
        <v>0.125</v>
      </c>
      <c r="N49" s="62">
        <v>0.125</v>
      </c>
      <c r="O49" s="60">
        <f t="shared" si="44"/>
        <v>0.125</v>
      </c>
      <c r="P49" s="63">
        <v>79.0</v>
      </c>
      <c r="Q49" s="58">
        <v>79.37</v>
      </c>
      <c r="R49" s="65">
        <v>3413.55</v>
      </c>
      <c r="S49" s="66">
        <f t="shared" si="46"/>
        <v>95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28"/>
        <v>50</v>
      </c>
      <c r="AB49" s="71">
        <f t="shared" si="29"/>
        <v>198.6764163</v>
      </c>
      <c r="AC49" s="71">
        <f>+(S49-T49)*V49-'data 1'!$F$4</f>
        <v>24.7185</v>
      </c>
      <c r="AD49" s="71">
        <f t="shared" si="30"/>
        <v>1.907454279</v>
      </c>
      <c r="AE49" s="71">
        <f t="shared" si="31"/>
        <v>-14.885</v>
      </c>
      <c r="AF49" s="71">
        <f t="shared" si="32"/>
        <v>48.98570582</v>
      </c>
      <c r="AG49" s="72">
        <f t="shared" si="42"/>
        <v>77.7266601</v>
      </c>
      <c r="AH49" s="52">
        <f t="shared" si="34"/>
        <v>4.969294809</v>
      </c>
      <c r="AI49" s="52">
        <f t="shared" si="35"/>
        <v>6.260923283</v>
      </c>
      <c r="AJ49" s="73">
        <f t="shared" si="36"/>
        <v>18.56694502</v>
      </c>
      <c r="AK49" s="73">
        <f t="shared" si="37"/>
        <v>4.353987142</v>
      </c>
      <c r="AL49" s="11"/>
      <c r="AM49" s="51">
        <f t="shared" si="38"/>
        <v>255.4978714</v>
      </c>
      <c r="AN49" s="51" t="str">
        <f t="array" ref="AN49">XLOOKUP(D49,RUC!$B$3:$B$565,RUC!$M$3:$M$565)</f>
        <v>Ronald Miranda</v>
      </c>
      <c r="AO49" s="131" t="s">
        <v>551</v>
      </c>
      <c r="AP49" s="57" t="s">
        <v>670</v>
      </c>
      <c r="AQ49" s="57" t="s">
        <v>671</v>
      </c>
      <c r="AS49" s="65"/>
    </row>
    <row r="50" ht="15.0" customHeight="1">
      <c r="A50" s="116" t="s">
        <v>1078</v>
      </c>
      <c r="B50" s="56">
        <v>45874.0</v>
      </c>
      <c r="C50" s="56">
        <v>45861.0</v>
      </c>
      <c r="D50" s="57" t="s">
        <v>602</v>
      </c>
      <c r="E50" s="57">
        <f t="array" ref="E50">XLOOKUP(D50,RUC!$B$3:$B$110,RUC!$D$3:$D$110)</f>
        <v>20169040231</v>
      </c>
      <c r="G50" s="141">
        <v>25.0</v>
      </c>
      <c r="H50" s="57" t="s">
        <v>47</v>
      </c>
      <c r="I50" s="6">
        <v>2.33</v>
      </c>
      <c r="J50" s="58">
        <v>1.02</v>
      </c>
      <c r="K50" s="59">
        <f t="shared" si="25"/>
        <v>2.306</v>
      </c>
      <c r="L50" s="60">
        <v>0.44</v>
      </c>
      <c r="M50" s="3">
        <v>0.414</v>
      </c>
      <c r="N50" s="62">
        <v>0.414</v>
      </c>
      <c r="O50" s="60">
        <f t="shared" si="44"/>
        <v>0.414</v>
      </c>
      <c r="P50" s="63">
        <v>80.0</v>
      </c>
      <c r="Q50" s="58">
        <v>79.55</v>
      </c>
      <c r="R50" s="65">
        <v>3413.55</v>
      </c>
      <c r="S50" s="66">
        <f t="shared" si="46"/>
        <v>125</v>
      </c>
      <c r="U50" s="67">
        <f t="array" ref="U50">XLOOKUP(D50,RUC!$B$3:$B$110,RUC!$F$3:$F$110)</f>
        <v>120</v>
      </c>
      <c r="V50" s="67">
        <v>1.1023</v>
      </c>
      <c r="Y50" s="57">
        <f t="array" ref="Y50">XLOOKUP(D50,RUC!$B$3:$B$110,RUC!$G$3:$G$110)</f>
        <v>20</v>
      </c>
      <c r="Z50" s="69">
        <f t="array" ref="Z50">XLOOKUP(D50,RUC!$B$3:$B$110,RUC!$H$3:$H$110)</f>
        <v>30</v>
      </c>
      <c r="AA50" s="70">
        <f t="shared" si="28"/>
        <v>50</v>
      </c>
      <c r="AB50" s="71">
        <f t="shared" si="29"/>
        <v>1009.512531</v>
      </c>
      <c r="AC50" s="71">
        <f>+(S50-T50)*V50-'data 1'!$F$4</f>
        <v>57.7875</v>
      </c>
      <c r="AD50" s="71">
        <f t="shared" si="30"/>
        <v>-7.188350727</v>
      </c>
      <c r="AE50" s="71">
        <f t="shared" si="31"/>
        <v>-14.885</v>
      </c>
      <c r="AF50" s="71">
        <f t="shared" si="32"/>
        <v>75.08922125</v>
      </c>
      <c r="AG50" s="72">
        <f t="shared" si="42"/>
        <v>127.8033705</v>
      </c>
      <c r="AH50" s="52">
        <f t="shared" si="34"/>
        <v>27.67331794</v>
      </c>
      <c r="AI50" s="52">
        <f t="shared" si="35"/>
        <v>34.78732613</v>
      </c>
      <c r="AJ50" s="73">
        <f t="shared" si="36"/>
        <v>57.66185202</v>
      </c>
      <c r="AK50" s="73">
        <f t="shared" si="37"/>
        <v>26.18536912</v>
      </c>
      <c r="AL50" s="11"/>
      <c r="AM50" s="51">
        <f t="shared" si="38"/>
        <v>2327.935896</v>
      </c>
      <c r="AN50" s="51" t="str">
        <f t="array" ref="AN50">XLOOKUP(D50,RUC!$B$3:$B$565,RUC!$M$3:$M$565)</f>
        <v>Ronald Miranda</v>
      </c>
      <c r="AO50" s="131" t="s">
        <v>551</v>
      </c>
      <c r="AP50" s="57" t="s">
        <v>1079</v>
      </c>
      <c r="AQ50" s="57" t="s">
        <v>1080</v>
      </c>
      <c r="AS50" s="65"/>
    </row>
    <row r="51" ht="15.0" customHeight="1">
      <c r="A51" s="116" t="s">
        <v>1081</v>
      </c>
      <c r="B51" s="56">
        <v>45874.0</v>
      </c>
      <c r="C51" s="56">
        <v>45861.0</v>
      </c>
      <c r="D51" s="57" t="s">
        <v>602</v>
      </c>
      <c r="E51" s="57">
        <f t="array" ref="E51">XLOOKUP(D51,RUC!$B$3:$B$110,RUC!$D$3:$D$110)</f>
        <v>20169040231</v>
      </c>
      <c r="G51" s="141">
        <v>17.0</v>
      </c>
      <c r="H51" s="57" t="s">
        <v>47</v>
      </c>
      <c r="I51" s="6">
        <v>1.44</v>
      </c>
      <c r="J51" s="58">
        <v>1.3</v>
      </c>
      <c r="K51" s="59">
        <f t="shared" si="25"/>
        <v>1.421</v>
      </c>
      <c r="L51" s="60">
        <v>0.392</v>
      </c>
      <c r="M51" s="3">
        <v>0.368</v>
      </c>
      <c r="N51" s="62">
        <v>0.368</v>
      </c>
      <c r="O51" s="60">
        <f t="shared" si="44"/>
        <v>0.368</v>
      </c>
      <c r="P51" s="63">
        <v>81.0</v>
      </c>
      <c r="Q51" s="58">
        <v>81.38</v>
      </c>
      <c r="R51" s="65">
        <v>3413.55</v>
      </c>
      <c r="S51" s="66">
        <f t="shared" si="46"/>
        <v>115</v>
      </c>
      <c r="U51" s="67">
        <f t="array" ref="U51">XLOOKUP(D51,RUC!$B$3:$B$110,RUC!$F$3:$F$110)</f>
        <v>120</v>
      </c>
      <c r="V51" s="67">
        <v>1.1023</v>
      </c>
      <c r="Y51" s="57">
        <f t="array" ref="Y51">XLOOKUP(D51,RUC!$B$3:$B$110,RUC!$G$3:$G$110)</f>
        <v>20</v>
      </c>
      <c r="Z51" s="69">
        <f t="array" ref="Z51">XLOOKUP(D51,RUC!$B$3:$B$110,RUC!$H$3:$H$110)</f>
        <v>30</v>
      </c>
      <c r="AA51" s="70">
        <f t="shared" si="28"/>
        <v>50</v>
      </c>
      <c r="AB51" s="71">
        <f t="shared" si="29"/>
        <v>900.2940276</v>
      </c>
      <c r="AC51" s="71">
        <f>+(S51-T51)*V51-'data 1'!$F$4</f>
        <v>46.7645</v>
      </c>
      <c r="AD51" s="71">
        <f t="shared" si="30"/>
        <v>5.407963254</v>
      </c>
      <c r="AE51" s="71">
        <f t="shared" si="31"/>
        <v>-14.885</v>
      </c>
      <c r="AF51" s="71">
        <f t="shared" si="32"/>
        <v>70.9076342</v>
      </c>
      <c r="AG51" s="72">
        <f t="shared" si="42"/>
        <v>125.1950975</v>
      </c>
      <c r="AH51" s="52">
        <f t="shared" si="34"/>
        <v>15.54199983</v>
      </c>
      <c r="AI51" s="52">
        <f t="shared" si="35"/>
        <v>19.09805828</v>
      </c>
      <c r="AJ51" s="73">
        <f t="shared" si="36"/>
        <v>52.55323796</v>
      </c>
      <c r="AK51" s="73">
        <f t="shared" si="37"/>
        <v>14.52231942</v>
      </c>
      <c r="AL51" s="11"/>
      <c r="AM51" s="51">
        <f t="shared" si="38"/>
        <v>1279.317813</v>
      </c>
      <c r="AN51" s="51" t="str">
        <f t="array" ref="AN51">XLOOKUP(D51,RUC!$B$3:$B$565,RUC!$M$3:$M$565)</f>
        <v>Ronald Miranda</v>
      </c>
      <c r="AO51" s="131" t="s">
        <v>547</v>
      </c>
      <c r="AP51" s="57" t="s">
        <v>1079</v>
      </c>
      <c r="AQ51" s="57" t="s">
        <v>1080</v>
      </c>
      <c r="AS51" s="65"/>
    </row>
    <row r="52" ht="15.0" customHeight="1">
      <c r="A52" s="116" t="s">
        <v>1082</v>
      </c>
      <c r="B52" s="56">
        <v>45874.0</v>
      </c>
      <c r="C52" s="56">
        <v>45861.0</v>
      </c>
      <c r="D52" s="57" t="s">
        <v>602</v>
      </c>
      <c r="E52" s="57">
        <f t="array" ref="E52">XLOOKUP(D52,RUC!$B$3:$B$110,RUC!$D$3:$D$110)</f>
        <v>20169040231</v>
      </c>
      <c r="G52" s="141">
        <v>12.0</v>
      </c>
      <c r="H52" s="57" t="s">
        <v>47</v>
      </c>
      <c r="I52" s="6">
        <v>1.23</v>
      </c>
      <c r="J52" s="58">
        <v>3.15</v>
      </c>
      <c r="K52" s="59">
        <f t="shared" si="25"/>
        <v>1.191</v>
      </c>
      <c r="L52" s="60">
        <v>0.359</v>
      </c>
      <c r="M52" s="3">
        <v>0.368</v>
      </c>
      <c r="N52" s="62">
        <v>0.368</v>
      </c>
      <c r="O52" s="60">
        <f t="shared" si="44"/>
        <v>0.368</v>
      </c>
      <c r="P52" s="63">
        <v>90.0</v>
      </c>
      <c r="Q52" s="58">
        <v>94.71</v>
      </c>
      <c r="R52" s="65">
        <v>3413.55</v>
      </c>
      <c r="S52" s="66">
        <f t="shared" si="46"/>
        <v>115</v>
      </c>
      <c r="U52" s="67">
        <f t="array" ref="U52">XLOOKUP(D52,RUC!$B$3:$B$110,RUC!$F$3:$F$110)</f>
        <v>120</v>
      </c>
      <c r="V52" s="67">
        <v>1.1023</v>
      </c>
      <c r="Y52" s="57">
        <f t="array" ref="Y52">XLOOKUP(D52,RUC!$B$3:$B$110,RUC!$G$3:$G$110)</f>
        <v>20</v>
      </c>
      <c r="Z52" s="69">
        <f t="array" ref="Z52">XLOOKUP(D52,RUC!$B$3:$B$110,RUC!$H$3:$H$110)</f>
        <v>30</v>
      </c>
      <c r="AA52" s="70">
        <f t="shared" si="28"/>
        <v>50</v>
      </c>
      <c r="AB52" s="71">
        <f t="shared" si="29"/>
        <v>1020.535531</v>
      </c>
      <c r="AC52" s="71">
        <f>+(S52-T52)*V52-'data 1'!$F$4</f>
        <v>46.7645</v>
      </c>
      <c r="AD52" s="71">
        <f t="shared" si="30"/>
        <v>61.38742606</v>
      </c>
      <c r="AE52" s="71">
        <f t="shared" si="31"/>
        <v>-14.885</v>
      </c>
      <c r="AF52" s="71">
        <f t="shared" si="32"/>
        <v>-30.94584988</v>
      </c>
      <c r="AG52" s="72">
        <f t="shared" si="42"/>
        <v>79.32107618</v>
      </c>
      <c r="AH52" s="52">
        <f t="shared" si="34"/>
        <v>13.88388846</v>
      </c>
      <c r="AI52" s="52">
        <f t="shared" si="35"/>
        <v>14.65936908</v>
      </c>
      <c r="AJ52" s="73">
        <f t="shared" si="36"/>
        <v>56.01263607</v>
      </c>
      <c r="AK52" s="73">
        <f t="shared" si="37"/>
        <v>13.52418674</v>
      </c>
      <c r="AL52" s="11"/>
      <c r="AM52" s="51">
        <f t="shared" si="38"/>
        <v>1215.457817</v>
      </c>
      <c r="AN52" s="51" t="str">
        <f t="array" ref="AN52">XLOOKUP(D52,RUC!$B$3:$B$565,RUC!$M$3:$M$565)</f>
        <v>Ronald Miranda</v>
      </c>
      <c r="AO52" s="131" t="s">
        <v>558</v>
      </c>
      <c r="AP52" s="57" t="s">
        <v>1079</v>
      </c>
      <c r="AQ52" s="57" t="s">
        <v>1080</v>
      </c>
      <c r="AR52" s="57" t="s">
        <v>1083</v>
      </c>
      <c r="AS52" s="65"/>
    </row>
    <row r="53" ht="15.0" customHeight="1">
      <c r="A53" s="116" t="s">
        <v>1084</v>
      </c>
      <c r="B53" s="56">
        <v>45873.0</v>
      </c>
      <c r="C53" s="56">
        <v>45861.0</v>
      </c>
      <c r="D53" s="57" t="s">
        <v>602</v>
      </c>
      <c r="E53" s="57">
        <f t="array" ref="E53">XLOOKUP(D53,RUC!$B$3:$B$110,RUC!$D$3:$D$110)</f>
        <v>20169040231</v>
      </c>
      <c r="G53" s="141">
        <v>46.0</v>
      </c>
      <c r="H53" s="57" t="s">
        <v>47</v>
      </c>
      <c r="I53" s="6">
        <v>3.93</v>
      </c>
      <c r="J53" s="58">
        <v>1.04</v>
      </c>
      <c r="K53" s="59">
        <f t="shared" si="25"/>
        <v>3.889</v>
      </c>
      <c r="L53" s="60">
        <v>0.356</v>
      </c>
      <c r="M53" s="3">
        <v>0.335</v>
      </c>
      <c r="N53" s="62">
        <v>0.335</v>
      </c>
      <c r="O53" s="60">
        <f t="shared" si="44"/>
        <v>0.335</v>
      </c>
      <c r="P53" s="63">
        <v>72.0</v>
      </c>
      <c r="Q53" s="58">
        <v>74.72</v>
      </c>
      <c r="R53" s="65">
        <v>3413.55</v>
      </c>
      <c r="S53" s="66">
        <f t="shared" si="46"/>
        <v>115</v>
      </c>
      <c r="U53" s="67">
        <f t="array" ref="U53">XLOOKUP(D53,RUC!$B$3:$B$110,RUC!$F$3:$F$110)</f>
        <v>120</v>
      </c>
      <c r="V53" s="67">
        <v>1.1023</v>
      </c>
      <c r="Y53" s="57">
        <f t="array" ref="Y53">XLOOKUP(D53,RUC!$B$3:$B$110,RUC!$G$3:$G$110)</f>
        <v>20</v>
      </c>
      <c r="Z53" s="69">
        <f t="array" ref="Z53">XLOOKUP(D53,RUC!$B$3:$B$110,RUC!$H$3:$H$110)</f>
        <v>30</v>
      </c>
      <c r="AA53" s="70">
        <f t="shared" si="28"/>
        <v>50</v>
      </c>
      <c r="AB53" s="71">
        <f t="shared" si="29"/>
        <v>693.7923158</v>
      </c>
      <c r="AC53" s="71">
        <f>+(S53-T53)*V53-'data 1'!$F$4</f>
        <v>46.7645</v>
      </c>
      <c r="AD53" s="71">
        <f t="shared" si="30"/>
        <v>35.15466553</v>
      </c>
      <c r="AE53" s="71">
        <f t="shared" si="31"/>
        <v>-14.885</v>
      </c>
      <c r="AF53" s="71">
        <f t="shared" si="32"/>
        <v>56.96659037</v>
      </c>
      <c r="AG53" s="72">
        <f t="shared" si="42"/>
        <v>141.0007559</v>
      </c>
      <c r="AH53" s="52">
        <f t="shared" si="34"/>
        <v>35.46776919</v>
      </c>
      <c r="AI53" s="52">
        <f t="shared" si="35"/>
        <v>47.46757119</v>
      </c>
      <c r="AJ53" s="73">
        <f t="shared" si="36"/>
        <v>43.82103067</v>
      </c>
      <c r="AK53" s="73">
        <f t="shared" si="37"/>
        <v>32.16061284</v>
      </c>
      <c r="AL53" s="11"/>
      <c r="AM53" s="51">
        <f t="shared" si="38"/>
        <v>2698.158316</v>
      </c>
      <c r="AN53" s="51" t="str">
        <f t="array" ref="AN53">XLOOKUP(D53,RUC!$B$3:$B$565,RUC!$M$3:$M$565)</f>
        <v>Ronald Miranda</v>
      </c>
      <c r="AO53" s="131" t="s">
        <v>551</v>
      </c>
      <c r="AP53" s="57" t="s">
        <v>1079</v>
      </c>
      <c r="AQ53" s="57" t="s">
        <v>1080</v>
      </c>
      <c r="AS53" s="65"/>
    </row>
    <row r="54" ht="15.0" customHeight="1">
      <c r="A54" s="116" t="s">
        <v>1085</v>
      </c>
      <c r="B54" s="56">
        <v>45873.0</v>
      </c>
      <c r="C54" s="56">
        <v>45861.0</v>
      </c>
      <c r="D54" s="57" t="s">
        <v>602</v>
      </c>
      <c r="E54" s="57">
        <f t="array" ref="E54">XLOOKUP(D54,RUC!$B$3:$B$110,RUC!$D$3:$D$110)</f>
        <v>20169040231</v>
      </c>
      <c r="G54" s="141">
        <v>60.0</v>
      </c>
      <c r="H54" s="57" t="s">
        <v>47</v>
      </c>
      <c r="I54" s="6">
        <v>4.69</v>
      </c>
      <c r="J54" s="58">
        <v>37.2</v>
      </c>
      <c r="K54" s="59">
        <f t="shared" si="25"/>
        <v>2.945</v>
      </c>
      <c r="L54" s="60">
        <v>0.469</v>
      </c>
      <c r="M54" s="3">
        <v>0.441</v>
      </c>
      <c r="N54" s="62">
        <v>0.441</v>
      </c>
      <c r="O54" s="60">
        <f t="shared" si="44"/>
        <v>0.441</v>
      </c>
      <c r="P54" s="63">
        <v>70.0</v>
      </c>
      <c r="Q54" s="58">
        <v>71.0</v>
      </c>
      <c r="R54" s="65">
        <v>3413.55</v>
      </c>
      <c r="S54" s="66">
        <f t="shared" si="46"/>
        <v>125</v>
      </c>
      <c r="U54" s="67">
        <f t="array" ref="U54">XLOOKUP(D54,RUC!$B$3:$B$110,RUC!$F$3:$F$110)</f>
        <v>120</v>
      </c>
      <c r="V54" s="67">
        <v>1.1023</v>
      </c>
      <c r="Y54" s="57">
        <f t="array" ref="Y54">XLOOKUP(D54,RUC!$B$3:$B$110,RUC!$G$3:$G$110)</f>
        <v>20</v>
      </c>
      <c r="Z54" s="69">
        <f t="array" ref="Z54">XLOOKUP(D54,RUC!$B$3:$B$110,RUC!$H$3:$H$110)</f>
        <v>30</v>
      </c>
      <c r="AA54" s="70">
        <f t="shared" si="28"/>
        <v>50</v>
      </c>
      <c r="AB54" s="71">
        <f t="shared" si="29"/>
        <v>927.8267269</v>
      </c>
      <c r="AC54" s="71">
        <f>+(S54-T54)*V54-'data 1'!$F$4</f>
        <v>57.7875</v>
      </c>
      <c r="AD54" s="71">
        <f t="shared" si="30"/>
        <v>17.02695197</v>
      </c>
      <c r="AE54" s="71">
        <f t="shared" si="31"/>
        <v>-14.885</v>
      </c>
      <c r="AF54" s="71">
        <f t="shared" si="32"/>
        <v>72.17394568</v>
      </c>
      <c r="AG54" s="72">
        <f t="shared" si="42"/>
        <v>149.1033977</v>
      </c>
      <c r="AH54" s="52">
        <f t="shared" si="34"/>
        <v>33.62215608</v>
      </c>
      <c r="AI54" s="52">
        <f t="shared" si="35"/>
        <v>47.3551494</v>
      </c>
      <c r="AJ54" s="73">
        <f t="shared" si="36"/>
        <v>54.85635137</v>
      </c>
      <c r="AK54" s="73">
        <f t="shared" si="37"/>
        <v>31.16958341</v>
      </c>
      <c r="AL54" s="11"/>
      <c r="AM54" s="51">
        <f t="shared" si="38"/>
        <v>2732.449711</v>
      </c>
      <c r="AN54" s="51" t="str">
        <f t="array" ref="AN54">XLOOKUP(D54,RUC!$B$3:$B$565,RUC!$M$3:$M$565)</f>
        <v>Ronald Miranda</v>
      </c>
      <c r="AO54" s="131" t="s">
        <v>551</v>
      </c>
      <c r="AP54" s="57" t="s">
        <v>1079</v>
      </c>
      <c r="AQ54" s="57" t="s">
        <v>1080</v>
      </c>
      <c r="AS54" s="65"/>
    </row>
    <row r="55" ht="15.0" customHeight="1">
      <c r="A55" s="116" t="s">
        <v>1086</v>
      </c>
      <c r="B55" s="56">
        <v>45868.0</v>
      </c>
      <c r="C55" s="56">
        <v>45863.0</v>
      </c>
      <c r="D55" s="57" t="s">
        <v>181</v>
      </c>
      <c r="E55" s="57">
        <f t="array" ref="E55">XLOOKUP(D55,RUC!$B$3:$B$110,RUC!$D$3:$D$110)</f>
        <v>20603329059</v>
      </c>
      <c r="G55" s="141">
        <v>19.0</v>
      </c>
      <c r="H55" s="57" t="s">
        <v>40</v>
      </c>
      <c r="I55" s="6">
        <v>1.17</v>
      </c>
      <c r="J55" s="58">
        <v>4.5</v>
      </c>
      <c r="K55" s="59">
        <f t="shared" si="25"/>
        <v>1.117</v>
      </c>
      <c r="L55" s="3">
        <v>0.123</v>
      </c>
      <c r="M55" s="3">
        <v>0.108</v>
      </c>
      <c r="N55" s="62">
        <v>0.108</v>
      </c>
      <c r="O55" s="60">
        <f t="shared" si="44"/>
        <v>0.108</v>
      </c>
      <c r="P55" s="63">
        <v>80.0</v>
      </c>
      <c r="Q55" s="58">
        <v>91.87</v>
      </c>
      <c r="R55" s="65">
        <v>3343.5</v>
      </c>
      <c r="S55" s="66">
        <f t="shared" ref="S55:S59" si="47">IF((90+ROUNDDOWN(O55,1)*100)&lt;95,95,(90+ROUNDDOWN(O55,1)*100))</f>
        <v>100</v>
      </c>
      <c r="U55" s="67">
        <f t="array" ref="U55">XLOOKUP(D55,RUC!$B$3:$B$110,RUC!$F$3:$F$110)</f>
        <v>100</v>
      </c>
      <c r="V55" s="67">
        <v>1.1023</v>
      </c>
      <c r="Y55" s="57" t="str">
        <f t="array" ref="Y55">XLOOKUP(D55,RUC!$B$3:$B$110,RUC!$G$3:$G$110)</f>
        <v/>
      </c>
      <c r="Z55" s="69">
        <f t="array" ref="Z55">XLOOKUP(D55,RUC!$B$3:$B$110,RUC!$H$3:$H$110)</f>
        <v>30</v>
      </c>
      <c r="AA55" s="70">
        <f t="shared" si="28"/>
        <v>30</v>
      </c>
      <c r="AB55" s="71">
        <f t="shared" si="29"/>
        <v>165.6077883</v>
      </c>
      <c r="AC55" s="71">
        <f>+(S55-T55)*V55-'data 1'!$F$4</f>
        <v>30.23</v>
      </c>
      <c r="AD55" s="71">
        <f t="shared" si="30"/>
        <v>52.19988426</v>
      </c>
      <c r="AE55" s="71">
        <f t="shared" si="31"/>
        <v>-36.931</v>
      </c>
      <c r="AF55" s="71">
        <f t="shared" si="32"/>
        <v>49.26956014</v>
      </c>
      <c r="AG55" s="72">
        <f t="shared" si="42"/>
        <v>111.7684444</v>
      </c>
      <c r="AH55" s="52">
        <f t="shared" si="34"/>
        <v>4.327539795</v>
      </c>
      <c r="AI55" s="52">
        <f t="shared" si="35"/>
        <v>4.71050375</v>
      </c>
      <c r="AJ55" s="73">
        <f t="shared" si="36"/>
        <v>24.84972204</v>
      </c>
      <c r="AK55" s="73">
        <f t="shared" si="37"/>
        <v>3.308841658</v>
      </c>
      <c r="AL55" s="11"/>
      <c r="AM55" s="51">
        <f t="shared" si="38"/>
        <v>184.9838996</v>
      </c>
      <c r="AN55" s="51" t="str">
        <f t="array" ref="AN55">XLOOKUP(D55,RUC!$B$3:$B$565,RUC!$M$3:$M$565)</f>
        <v>Yuri Rospigliossi</v>
      </c>
      <c r="AO55" s="131" t="s">
        <v>549</v>
      </c>
      <c r="AP55" s="57" t="s">
        <v>674</v>
      </c>
      <c r="AQ55" s="57" t="s">
        <v>675</v>
      </c>
      <c r="AS55" s="65"/>
    </row>
    <row r="56" ht="15.0" customHeight="1">
      <c r="A56" s="116" t="s">
        <v>1087</v>
      </c>
      <c r="B56" s="56">
        <v>45869.0</v>
      </c>
      <c r="C56" s="56">
        <v>45863.0</v>
      </c>
      <c r="D56" s="57" t="s">
        <v>295</v>
      </c>
      <c r="E56" s="57">
        <f t="array" ref="E56">XLOOKUP(D56,RUC!$B$3:$B$110,RUC!$D$3:$D$110)</f>
        <v>20601769396</v>
      </c>
      <c r="G56" s="141">
        <v>50.0</v>
      </c>
      <c r="H56" s="57" t="s">
        <v>71</v>
      </c>
      <c r="I56" s="6">
        <v>3.32</v>
      </c>
      <c r="J56" s="58">
        <v>17.05</v>
      </c>
      <c r="K56" s="59">
        <f t="shared" si="25"/>
        <v>2.754</v>
      </c>
      <c r="L56" s="60">
        <v>0.3</v>
      </c>
      <c r="M56" s="3">
        <v>0.282</v>
      </c>
      <c r="N56" s="62">
        <v>0.282</v>
      </c>
      <c r="O56" s="60">
        <f t="shared" si="44"/>
        <v>0.282</v>
      </c>
      <c r="P56" s="63">
        <v>83.0</v>
      </c>
      <c r="Q56" s="140">
        <v>83.67</v>
      </c>
      <c r="R56" s="65">
        <v>3343.5</v>
      </c>
      <c r="S56" s="66">
        <f t="shared" si="47"/>
        <v>110</v>
      </c>
      <c r="U56" s="67">
        <f t="array" ref="U56">XLOOKUP(D56,RUC!$B$3:$B$110,RUC!$F$3:$F$110)</f>
        <v>120</v>
      </c>
      <c r="V56" s="67">
        <v>1.1023</v>
      </c>
      <c r="Y56" s="57">
        <f t="array" ref="Y56">XLOOKUP(D56,RUC!$B$3:$B$110,RUC!$G$3:$G$110)</f>
        <v>20</v>
      </c>
      <c r="Z56" s="69">
        <f t="array" ref="Z56">XLOOKUP(D56,RUC!$B$3:$B$110,RUC!$H$3:$H$110)</f>
        <v>30</v>
      </c>
      <c r="AA56" s="70">
        <f t="shared" si="28"/>
        <v>50</v>
      </c>
      <c r="AB56" s="71">
        <f t="shared" si="29"/>
        <v>655.3089835</v>
      </c>
      <c r="AC56" s="71">
        <f>+(S56-T56)*V56-'data 1'!$F$4</f>
        <v>41.253</v>
      </c>
      <c r="AD56" s="71">
        <f t="shared" si="30"/>
        <v>7.142060741</v>
      </c>
      <c r="AE56" s="71">
        <f t="shared" si="31"/>
        <v>-14.885</v>
      </c>
      <c r="AF56" s="71">
        <f t="shared" si="32"/>
        <v>53.51428855</v>
      </c>
      <c r="AG56" s="72">
        <f t="shared" si="42"/>
        <v>104.0243493</v>
      </c>
      <c r="AH56" s="52">
        <f t="shared" si="34"/>
        <v>23.70085585</v>
      </c>
      <c r="AI56" s="52">
        <f t="shared" si="35"/>
        <v>28.32658761</v>
      </c>
      <c r="AJ56" s="73">
        <f t="shared" si="36"/>
        <v>60.7330869</v>
      </c>
      <c r="AK56" s="73">
        <f t="shared" si="37"/>
        <v>22.10040365</v>
      </c>
      <c r="AL56" s="11"/>
      <c r="AM56" s="51">
        <f t="shared" si="38"/>
        <v>1804.720941</v>
      </c>
      <c r="AN56" s="51" t="str">
        <f t="array" ref="AN56">XLOOKUP(D56,RUC!$B$3:$B$565,RUC!$M$3:$M$565)</f>
        <v>Evelyn</v>
      </c>
      <c r="AO56" s="131" t="s">
        <v>547</v>
      </c>
      <c r="AP56" s="57" t="s">
        <v>677</v>
      </c>
      <c r="AQ56" s="57" t="s">
        <v>678</v>
      </c>
      <c r="AS56" s="65"/>
    </row>
    <row r="57" ht="15.0" customHeight="1">
      <c r="A57" s="116" t="s">
        <v>1088</v>
      </c>
      <c r="B57" s="56">
        <v>45873.0</v>
      </c>
      <c r="C57" s="56">
        <v>45863.0</v>
      </c>
      <c r="D57" s="57" t="s">
        <v>295</v>
      </c>
      <c r="E57" s="57">
        <f t="array" ref="E57">XLOOKUP(D57,RUC!$B$3:$B$110,RUC!$D$3:$D$110)</f>
        <v>20601769396</v>
      </c>
      <c r="G57" s="141">
        <v>49.0</v>
      </c>
      <c r="H57" s="57" t="s">
        <v>71</v>
      </c>
      <c r="I57" s="6">
        <v>3.03</v>
      </c>
      <c r="J57" s="58">
        <v>25.7</v>
      </c>
      <c r="K57" s="59">
        <f t="shared" si="25"/>
        <v>2.251</v>
      </c>
      <c r="L57" s="3">
        <v>0.244</v>
      </c>
      <c r="M57" s="3">
        <v>0.247</v>
      </c>
      <c r="N57" s="62">
        <v>0.247</v>
      </c>
      <c r="O57" s="60">
        <f t="shared" si="44"/>
        <v>0.247</v>
      </c>
      <c r="P57" s="63">
        <v>90.0</v>
      </c>
      <c r="Q57" s="58">
        <v>95.82</v>
      </c>
      <c r="R57" s="65">
        <v>3343.5</v>
      </c>
      <c r="S57" s="66">
        <f t="shared" si="47"/>
        <v>110</v>
      </c>
      <c r="U57" s="67">
        <f t="array" ref="U57">XLOOKUP(D57,RUC!$B$3:$B$110,RUC!$F$3:$F$110)</f>
        <v>120</v>
      </c>
      <c r="V57" s="67">
        <v>1.1023</v>
      </c>
      <c r="Y57" s="57">
        <f t="array" ref="Y57">XLOOKUP(D57,RUC!$B$3:$B$110,RUC!$G$3:$G$110)</f>
        <v>20</v>
      </c>
      <c r="Z57" s="69">
        <f t="array" ref="Z57">XLOOKUP(D57,RUC!$B$3:$B$110,RUC!$H$3:$H$110)</f>
        <v>30</v>
      </c>
      <c r="AA57" s="70">
        <f t="shared" si="28"/>
        <v>50</v>
      </c>
      <c r="AB57" s="71">
        <f t="shared" si="29"/>
        <v>613.5225983</v>
      </c>
      <c r="AC57" s="71">
        <f>+(S57-T57)*V57-'data 1'!$F$4</f>
        <v>41.253</v>
      </c>
      <c r="AD57" s="71">
        <f t="shared" si="30"/>
        <v>50.45919212</v>
      </c>
      <c r="AE57" s="71">
        <f t="shared" si="31"/>
        <v>-14.885</v>
      </c>
      <c r="AF57" s="71">
        <f t="shared" si="32"/>
        <v>-10.21421284</v>
      </c>
      <c r="AG57" s="72">
        <f t="shared" si="42"/>
        <v>83.61297928</v>
      </c>
      <c r="AH57" s="52">
        <f t="shared" si="34"/>
        <v>18.04390605</v>
      </c>
      <c r="AI57" s="52">
        <f t="shared" si="35"/>
        <v>18.83104367</v>
      </c>
      <c r="AJ57" s="73">
        <f t="shared" si="36"/>
        <v>56.56923749</v>
      </c>
      <c r="AK57" s="73">
        <f t="shared" si="37"/>
        <v>17.15631561</v>
      </c>
      <c r="AL57" s="11"/>
      <c r="AM57" s="51">
        <f t="shared" si="38"/>
        <v>1381.039369</v>
      </c>
      <c r="AN57" s="51" t="str">
        <f t="array" ref="AN57">XLOOKUP(D57,RUC!$B$3:$B$565,RUC!$M$3:$M$565)</f>
        <v>Evelyn</v>
      </c>
      <c r="AO57" s="131" t="s">
        <v>558</v>
      </c>
      <c r="AP57" s="57" t="s">
        <v>677</v>
      </c>
      <c r="AQ57" s="57" t="s">
        <v>678</v>
      </c>
      <c r="AS57" s="65"/>
    </row>
    <row r="58" ht="15.0" customHeight="1">
      <c r="A58" s="116" t="s">
        <v>1089</v>
      </c>
      <c r="B58" s="56">
        <v>45873.0</v>
      </c>
      <c r="C58" s="56">
        <v>45863.0</v>
      </c>
      <c r="D58" s="57" t="s">
        <v>295</v>
      </c>
      <c r="E58" s="57">
        <f t="array" ref="E58">XLOOKUP(D58,RUC!$B$3:$B$110,RUC!$D$3:$D$110)</f>
        <v>20601769396</v>
      </c>
      <c r="G58" s="141">
        <v>50.0</v>
      </c>
      <c r="H58" s="57" t="s">
        <v>71</v>
      </c>
      <c r="I58" s="6">
        <v>3.37</v>
      </c>
      <c r="J58" s="58">
        <v>24.75</v>
      </c>
      <c r="K58" s="59">
        <f t="shared" si="25"/>
        <v>2.536</v>
      </c>
      <c r="L58" s="60">
        <v>0.31</v>
      </c>
      <c r="M58" s="3">
        <v>0.294</v>
      </c>
      <c r="N58" s="62">
        <v>0.294</v>
      </c>
      <c r="O58" s="60">
        <f t="shared" si="44"/>
        <v>0.294</v>
      </c>
      <c r="P58" s="63">
        <v>88.0</v>
      </c>
      <c r="Q58" s="58">
        <v>88.82</v>
      </c>
      <c r="R58" s="65">
        <v>3343.5</v>
      </c>
      <c r="S58" s="66">
        <f t="shared" si="47"/>
        <v>110</v>
      </c>
      <c r="U58" s="67">
        <f t="array" ref="U58">XLOOKUP(D58,RUC!$B$3:$B$110,RUC!$F$3:$F$110)</f>
        <v>120</v>
      </c>
      <c r="V58" s="67">
        <v>1.1023</v>
      </c>
      <c r="Y58" s="57">
        <f t="array" ref="Y58">XLOOKUP(D58,RUC!$B$3:$B$110,RUC!$G$3:$G$110)</f>
        <v>20</v>
      </c>
      <c r="Z58" s="69">
        <f t="array" ref="Z58">XLOOKUP(D58,RUC!$B$3:$B$110,RUC!$H$3:$H$110)</f>
        <v>30</v>
      </c>
      <c r="AA58" s="70">
        <f t="shared" si="28"/>
        <v>50</v>
      </c>
      <c r="AB58" s="71">
        <f t="shared" si="29"/>
        <v>742.932475</v>
      </c>
      <c r="AC58" s="71">
        <f>+(S58-T58)*V58-'data 1'!$F$4</f>
        <v>41.253</v>
      </c>
      <c r="AD58" s="71">
        <f t="shared" si="30"/>
        <v>9.032397215</v>
      </c>
      <c r="AE58" s="71">
        <f t="shared" si="31"/>
        <v>-14.885</v>
      </c>
      <c r="AF58" s="71">
        <f t="shared" si="32"/>
        <v>50.49614607</v>
      </c>
      <c r="AG58" s="72">
        <f t="shared" si="42"/>
        <v>102.8965433</v>
      </c>
      <c r="AH58" s="52">
        <f t="shared" si="34"/>
        <v>23.94036575</v>
      </c>
      <c r="AI58" s="52">
        <f t="shared" si="35"/>
        <v>26.95380067</v>
      </c>
      <c r="AJ58" s="73">
        <f t="shared" si="36"/>
        <v>66.62033231</v>
      </c>
      <c r="AK58" s="73">
        <f t="shared" si="37"/>
        <v>22.49512035</v>
      </c>
      <c r="AL58" s="11"/>
      <c r="AM58" s="51">
        <f t="shared" si="38"/>
        <v>1884.076757</v>
      </c>
      <c r="AN58" s="51" t="str">
        <f t="array" ref="AN58">XLOOKUP(D58,RUC!$B$3:$B$565,RUC!$M$3:$M$565)</f>
        <v>Evelyn</v>
      </c>
      <c r="AO58" s="131" t="s">
        <v>558</v>
      </c>
      <c r="AP58" s="57" t="s">
        <v>677</v>
      </c>
      <c r="AQ58" s="57" t="s">
        <v>678</v>
      </c>
      <c r="AS58" s="65"/>
    </row>
    <row r="59" ht="15.0" customHeight="1">
      <c r="A59" s="116" t="s">
        <v>1090</v>
      </c>
      <c r="B59" s="56">
        <v>45873.0</v>
      </c>
      <c r="C59" s="56">
        <v>45863.0</v>
      </c>
      <c r="D59" s="57" t="s">
        <v>295</v>
      </c>
      <c r="E59" s="57">
        <f t="array" ref="E59">XLOOKUP(D59,RUC!$B$3:$B$110,RUC!$D$3:$D$110)</f>
        <v>20601769396</v>
      </c>
      <c r="G59" s="141">
        <v>50.0</v>
      </c>
      <c r="H59" s="57" t="s">
        <v>71</v>
      </c>
      <c r="I59" s="6">
        <v>3.38</v>
      </c>
      <c r="J59" s="58">
        <v>29.35</v>
      </c>
      <c r="K59" s="59">
        <f t="shared" si="25"/>
        <v>2.388</v>
      </c>
      <c r="L59" s="60">
        <v>0.31</v>
      </c>
      <c r="M59" s="3">
        <v>0.297</v>
      </c>
      <c r="N59" s="62">
        <v>0.297</v>
      </c>
      <c r="O59" s="60">
        <f t="shared" si="44"/>
        <v>0.297</v>
      </c>
      <c r="P59" s="63">
        <v>90.0</v>
      </c>
      <c r="Q59" s="58">
        <v>90.82</v>
      </c>
      <c r="R59" s="65">
        <v>3343.5</v>
      </c>
      <c r="S59" s="66">
        <f t="shared" si="47"/>
        <v>110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69">
        <f t="array" ref="Z59">XLOOKUP(D59,RUC!$B$3:$B$110,RUC!$H$3:$H$110)</f>
        <v>30</v>
      </c>
      <c r="AA59" s="70">
        <f t="shared" si="28"/>
        <v>50</v>
      </c>
      <c r="AB59" s="71">
        <f t="shared" si="29"/>
        <v>773.4194806</v>
      </c>
      <c r="AC59" s="71">
        <f>+(S59-T59)*V59-'data 1'!$F$4</f>
        <v>41.253</v>
      </c>
      <c r="AD59" s="71">
        <f t="shared" si="30"/>
        <v>9.032397215</v>
      </c>
      <c r="AE59" s="71">
        <f t="shared" si="31"/>
        <v>-14.885</v>
      </c>
      <c r="AF59" s="71">
        <f t="shared" si="32"/>
        <v>41.95196733</v>
      </c>
      <c r="AG59" s="72">
        <f t="shared" si="42"/>
        <v>94.35236455</v>
      </c>
      <c r="AH59" s="52">
        <f t="shared" si="34"/>
        <v>23.05083081</v>
      </c>
      <c r="AI59" s="52">
        <f t="shared" si="35"/>
        <v>25.38078707</v>
      </c>
      <c r="AJ59" s="73">
        <f t="shared" si="36"/>
        <v>68.12045238</v>
      </c>
      <c r="AK59" s="73">
        <f t="shared" si="37"/>
        <v>21.88478833</v>
      </c>
      <c r="AL59" s="11"/>
      <c r="AM59" s="51">
        <f t="shared" si="38"/>
        <v>1846.92572</v>
      </c>
      <c r="AN59" s="51" t="str">
        <f t="array" ref="AN59">XLOOKUP(D59,RUC!$B$3:$B$565,RUC!$M$3:$M$565)</f>
        <v>Evelyn</v>
      </c>
      <c r="AO59" s="131" t="s">
        <v>558</v>
      </c>
      <c r="AP59" s="57" t="s">
        <v>677</v>
      </c>
      <c r="AQ59" s="57" t="s">
        <v>678</v>
      </c>
      <c r="AS59" s="65"/>
    </row>
    <row r="60" ht="15.0" customHeight="1">
      <c r="A60" s="116" t="s">
        <v>1091</v>
      </c>
      <c r="B60" s="56">
        <v>45905.0</v>
      </c>
      <c r="C60" s="56">
        <v>45866.0</v>
      </c>
      <c r="D60" s="57" t="s">
        <v>74</v>
      </c>
      <c r="E60" s="57">
        <f t="array" ref="E60">XLOOKUP(D60,RUC!$B$3:$B$110,RUC!$D$3:$D$110)</f>
        <v>10082235774</v>
      </c>
      <c r="G60" s="141">
        <v>68.0</v>
      </c>
      <c r="H60" s="57" t="s">
        <v>47</v>
      </c>
      <c r="I60" s="6">
        <v>6.43</v>
      </c>
      <c r="J60" s="58">
        <v>2.0</v>
      </c>
      <c r="K60" s="59">
        <f t="shared" si="25"/>
        <v>6.301</v>
      </c>
      <c r="L60" s="60">
        <v>0.2</v>
      </c>
      <c r="M60" s="3">
        <v>0.184</v>
      </c>
      <c r="N60" s="75">
        <v>0.205</v>
      </c>
      <c r="O60" s="60">
        <f t="shared" si="44"/>
        <v>0.195</v>
      </c>
      <c r="P60" s="63">
        <v>85.0</v>
      </c>
      <c r="Q60" s="58">
        <v>95.5</v>
      </c>
      <c r="R60" s="65">
        <v>3305.25</v>
      </c>
      <c r="S60" s="133">
        <v>95.0</v>
      </c>
      <c r="U60" s="67">
        <f t="array" ref="U60">XLOOKUP(D60,RUC!$B$3:$B$110,RUC!$F$3:$F$110)</f>
        <v>80</v>
      </c>
      <c r="V60" s="67">
        <v>1.1023</v>
      </c>
      <c r="Y60" s="57" t="str">
        <f t="array" ref="Y60">XLOOKUP(D60,RUC!$B$3:$B$110,RUC!$G$3:$G$110)</f>
        <v/>
      </c>
      <c r="Z60" s="69">
        <f t="array" ref="Z60">XLOOKUP(D60,RUC!$B$3:$B$110,RUC!$H$3:$H$110)</f>
        <v>10</v>
      </c>
      <c r="AA60" s="70">
        <f t="shared" si="28"/>
        <v>10</v>
      </c>
      <c r="AB60" s="71">
        <f t="shared" si="29"/>
        <v>473.5317522</v>
      </c>
      <c r="AC60" s="71">
        <f>+(S60-T60)*V60-'data 1'!$F$4</f>
        <v>24.7185</v>
      </c>
      <c r="AD60" s="71">
        <f t="shared" si="30"/>
        <v>74.65905458</v>
      </c>
      <c r="AE60" s="71">
        <f t="shared" si="31"/>
        <v>-58.977</v>
      </c>
      <c r="AF60" s="71">
        <f t="shared" si="32"/>
        <v>16.97604693</v>
      </c>
      <c r="AG60" s="72">
        <f t="shared" si="42"/>
        <v>74.37660151</v>
      </c>
      <c r="AH60" s="52">
        <f t="shared" si="34"/>
        <v>41.26215595</v>
      </c>
      <c r="AI60" s="52">
        <f t="shared" si="35"/>
        <v>43.20644602</v>
      </c>
      <c r="AJ60" s="73">
        <f t="shared" si="36"/>
        <v>45.84493258</v>
      </c>
      <c r="AK60" s="73">
        <f t="shared" si="37"/>
        <v>35.80734214</v>
      </c>
      <c r="AL60" s="11"/>
      <c r="AM60" s="51">
        <f t="shared" si="38"/>
        <v>2983.72357</v>
      </c>
      <c r="AN60" s="51" t="str">
        <f t="array" ref="AN60">XLOOKUP(D60,RUC!$B$3:$B$565,RUC!$M$3:$M$565)</f>
        <v>Melchor Vera</v>
      </c>
      <c r="AO60" s="131" t="s">
        <v>558</v>
      </c>
      <c r="AP60" s="57" t="s">
        <v>1092</v>
      </c>
      <c r="AQ60" s="57" t="s">
        <v>1093</v>
      </c>
      <c r="AS60" s="65"/>
    </row>
    <row r="61" ht="15.0" customHeight="1">
      <c r="A61" s="116" t="s">
        <v>1094</v>
      </c>
      <c r="B61" s="56">
        <v>45905.0</v>
      </c>
      <c r="C61" s="56">
        <v>45866.0</v>
      </c>
      <c r="D61" s="57" t="s">
        <v>74</v>
      </c>
      <c r="E61" s="57">
        <f t="array" ref="E61">XLOOKUP(D61,RUC!$B$3:$B$110,RUC!$D$3:$D$110)</f>
        <v>10082235774</v>
      </c>
      <c r="G61" s="141">
        <v>59.0</v>
      </c>
      <c r="H61" s="57" t="s">
        <v>47</v>
      </c>
      <c r="I61" s="6">
        <v>5.46</v>
      </c>
      <c r="J61" s="58">
        <v>1.95</v>
      </c>
      <c r="K61" s="59">
        <f t="shared" si="25"/>
        <v>5.354</v>
      </c>
      <c r="L61" s="3">
        <v>0.203</v>
      </c>
      <c r="M61" s="3">
        <v>0.187</v>
      </c>
      <c r="N61" s="62">
        <v>0.187</v>
      </c>
      <c r="O61" s="60">
        <f t="shared" si="44"/>
        <v>0.187</v>
      </c>
      <c r="P61" s="63">
        <v>85.0</v>
      </c>
      <c r="Q61" s="58">
        <v>96.06</v>
      </c>
      <c r="R61" s="65">
        <v>3305.25</v>
      </c>
      <c r="S61" s="133">
        <v>95.0</v>
      </c>
      <c r="U61" s="67">
        <f t="array" ref="U61">XLOOKUP(D61,RUC!$B$3:$B$110,RUC!$F$3:$F$110)</f>
        <v>80</v>
      </c>
      <c r="V61" s="67">
        <v>1.1023</v>
      </c>
      <c r="Y61" s="57" t="str">
        <f t="array" ref="Y61">XLOOKUP(D61,RUC!$B$3:$B$110,RUC!$G$3:$G$110)</f>
        <v/>
      </c>
      <c r="Z61" s="69">
        <f t="array" ref="Z61">XLOOKUP(D61,RUC!$B$3:$B$110,RUC!$H$3:$H$110)</f>
        <v>10</v>
      </c>
      <c r="AA61" s="70">
        <f t="shared" si="28"/>
        <v>10</v>
      </c>
      <c r="AB61" s="71">
        <f t="shared" si="29"/>
        <v>449.3564393</v>
      </c>
      <c r="AC61" s="71">
        <f>+(S61-T61)*V61-'data 1'!$F$4</f>
        <v>24.7185</v>
      </c>
      <c r="AD61" s="71">
        <f t="shared" si="30"/>
        <v>79.82048388</v>
      </c>
      <c r="AE61" s="71">
        <f t="shared" si="31"/>
        <v>-58.977</v>
      </c>
      <c r="AF61" s="71">
        <f t="shared" si="32"/>
        <v>54.64189549</v>
      </c>
      <c r="AG61" s="72">
        <f t="shared" si="42"/>
        <v>117.2038794</v>
      </c>
      <c r="AH61" s="52">
        <f t="shared" si="34"/>
        <v>35.7953041</v>
      </c>
      <c r="AI61" s="52">
        <f t="shared" si="35"/>
        <v>37.26348543</v>
      </c>
      <c r="AJ61" s="73">
        <f t="shared" si="36"/>
        <v>46.80546792</v>
      </c>
      <c r="AK61" s="73">
        <f t="shared" si="37"/>
        <v>29.17749265</v>
      </c>
      <c r="AL61" s="11"/>
      <c r="AM61" s="51">
        <f t="shared" si="38"/>
        <v>2405.854376</v>
      </c>
      <c r="AN61" s="51" t="str">
        <f t="array" ref="AN61">XLOOKUP(D61,RUC!$B$3:$B$565,RUC!$M$3:$M$565)</f>
        <v>Melchor Vera</v>
      </c>
      <c r="AO61" s="131" t="s">
        <v>558</v>
      </c>
      <c r="AP61" s="57" t="s">
        <v>1092</v>
      </c>
      <c r="AQ61" s="57" t="s">
        <v>1093</v>
      </c>
      <c r="AS61" s="65"/>
    </row>
    <row r="62" ht="15.0" customHeight="1">
      <c r="A62" s="116" t="s">
        <v>1095</v>
      </c>
      <c r="B62" s="56">
        <v>45905.0</v>
      </c>
      <c r="C62" s="56">
        <v>45866.0</v>
      </c>
      <c r="D62" s="57" t="s">
        <v>74</v>
      </c>
      <c r="E62" s="57">
        <f t="array" ref="E62">XLOOKUP(D62,RUC!$B$3:$B$110,RUC!$D$3:$D$110)</f>
        <v>10082235774</v>
      </c>
      <c r="G62" s="141">
        <v>53.0</v>
      </c>
      <c r="H62" s="57" t="s">
        <v>47</v>
      </c>
      <c r="I62" s="6">
        <v>5.1</v>
      </c>
      <c r="J62" s="58">
        <v>3.0</v>
      </c>
      <c r="K62" s="59">
        <f t="shared" si="25"/>
        <v>4.947</v>
      </c>
      <c r="L62" s="3">
        <v>0.212</v>
      </c>
      <c r="M62" s="3">
        <v>0.197</v>
      </c>
      <c r="N62" s="62">
        <v>0.197</v>
      </c>
      <c r="O62" s="60">
        <f t="shared" si="44"/>
        <v>0.197</v>
      </c>
      <c r="P62" s="63">
        <v>85.0</v>
      </c>
      <c r="Q62" s="58">
        <v>96.7</v>
      </c>
      <c r="R62" s="65">
        <v>3305.25</v>
      </c>
      <c r="S62" s="133">
        <v>95.0</v>
      </c>
      <c r="U62" s="67">
        <f t="array" ref="U62">XLOOKUP(D62,RUC!$B$3:$B$110,RUC!$F$3:$F$110)</f>
        <v>80</v>
      </c>
      <c r="V62" s="67">
        <v>1.1023</v>
      </c>
      <c r="Y62" s="57" t="str">
        <f t="array" ref="Y62">XLOOKUP(D62,RUC!$B$3:$B$110,RUC!$G$3:$G$110)</f>
        <v/>
      </c>
      <c r="Z62" s="69">
        <f t="array" ref="Z62">XLOOKUP(D62,RUC!$B$3:$B$110,RUC!$H$3:$H$110)</f>
        <v>10</v>
      </c>
      <c r="AA62" s="70">
        <f t="shared" si="28"/>
        <v>10</v>
      </c>
      <c r="AB62" s="71">
        <f t="shared" si="29"/>
        <v>479.5755804</v>
      </c>
      <c r="AC62" s="71">
        <f>+(S62-T62)*V62-'data 1'!$F$4</f>
        <v>24.7185</v>
      </c>
      <c r="AD62" s="71">
        <f t="shared" si="30"/>
        <v>88.18300903</v>
      </c>
      <c r="AE62" s="71">
        <f t="shared" si="31"/>
        <v>-58.977</v>
      </c>
      <c r="AF62" s="71">
        <f t="shared" si="32"/>
        <v>51.56807555</v>
      </c>
      <c r="AG62" s="72">
        <f t="shared" si="42"/>
        <v>122.4925846</v>
      </c>
      <c r="AH62" s="52">
        <f t="shared" si="34"/>
        <v>34.77069045</v>
      </c>
      <c r="AI62" s="52">
        <f t="shared" si="35"/>
        <v>35.95728071</v>
      </c>
      <c r="AJ62" s="73">
        <f t="shared" si="36"/>
        <v>49.20625423</v>
      </c>
      <c r="AK62" s="73">
        <f t="shared" si="37"/>
        <v>28.40116347</v>
      </c>
      <c r="AL62" s="11"/>
      <c r="AM62" s="51">
        <f t="shared" si="38"/>
        <v>2372.460396</v>
      </c>
      <c r="AN62" s="51" t="str">
        <f t="array" ref="AN62">XLOOKUP(D62,RUC!$B$3:$B$565,RUC!$M$3:$M$565)</f>
        <v>Melchor Vera</v>
      </c>
      <c r="AO62" s="131" t="s">
        <v>558</v>
      </c>
      <c r="AP62" s="57" t="s">
        <v>1092</v>
      </c>
      <c r="AQ62" s="57" t="s">
        <v>1093</v>
      </c>
      <c r="AS62" s="65"/>
    </row>
    <row r="63" ht="15.0" customHeight="1">
      <c r="A63" s="116" t="s">
        <v>1096</v>
      </c>
      <c r="B63" s="56">
        <v>45905.0</v>
      </c>
      <c r="C63" s="56">
        <v>45866.0</v>
      </c>
      <c r="D63" s="57" t="s">
        <v>74</v>
      </c>
      <c r="E63" s="57">
        <f t="array" ref="E63">XLOOKUP(D63,RUC!$B$3:$B$110,RUC!$D$3:$D$110)</f>
        <v>10082235774</v>
      </c>
      <c r="G63" s="141">
        <v>51.0</v>
      </c>
      <c r="H63" s="57" t="s">
        <v>47</v>
      </c>
      <c r="I63" s="6">
        <v>4.89</v>
      </c>
      <c r="J63" s="58">
        <v>3.1</v>
      </c>
      <c r="K63" s="59">
        <f t="shared" si="25"/>
        <v>4.738</v>
      </c>
      <c r="L63" s="60">
        <v>0.14</v>
      </c>
      <c r="M63" s="3">
        <v>0.125</v>
      </c>
      <c r="N63" s="75">
        <v>0.158</v>
      </c>
      <c r="O63" s="60">
        <f t="shared" si="44"/>
        <v>0.142</v>
      </c>
      <c r="P63" s="63">
        <v>85.0</v>
      </c>
      <c r="Q63" s="58">
        <v>93.57</v>
      </c>
      <c r="R63" s="65">
        <v>3305.25</v>
      </c>
      <c r="S63" s="133">
        <v>95.0</v>
      </c>
      <c r="U63" s="67">
        <f t="array" ref="U63">XLOOKUP(D63,RUC!$B$3:$B$110,RUC!$F$3:$F$110)</f>
        <v>80</v>
      </c>
      <c r="V63" s="67">
        <v>1.1023</v>
      </c>
      <c r="Y63" s="57" t="str">
        <f t="array" ref="Y63">XLOOKUP(D63,RUC!$B$3:$B$110,RUC!$G$3:$G$110)</f>
        <v/>
      </c>
      <c r="Z63" s="69">
        <f t="array" ref="Z63">XLOOKUP(D63,RUC!$B$3:$B$110,RUC!$H$3:$H$110)</f>
        <v>10</v>
      </c>
      <c r="AA63" s="70">
        <f t="shared" si="28"/>
        <v>10</v>
      </c>
      <c r="AB63" s="71">
        <f t="shared" si="29"/>
        <v>313.3703042</v>
      </c>
      <c r="AC63" s="71">
        <f>+(S63-T63)*V63-'data 1'!$F$4</f>
        <v>24.7185</v>
      </c>
      <c r="AD63" s="71">
        <f t="shared" si="30"/>
        <v>42.65520651</v>
      </c>
      <c r="AE63" s="71">
        <f t="shared" si="31"/>
        <v>-58.977</v>
      </c>
      <c r="AF63" s="71">
        <f t="shared" si="32"/>
        <v>-6.653188321</v>
      </c>
      <c r="AG63" s="72">
        <f t="shared" si="42"/>
        <v>18.74351819</v>
      </c>
      <c r="AH63" s="52">
        <f t="shared" si="34"/>
        <v>21.2798612</v>
      </c>
      <c r="AI63" s="52">
        <f t="shared" si="35"/>
        <v>22.7421836</v>
      </c>
      <c r="AJ63" s="73">
        <f t="shared" si="36"/>
        <v>31.44290302</v>
      </c>
      <c r="AK63" s="73">
        <f t="shared" si="37"/>
        <v>19.60701115</v>
      </c>
      <c r="AL63" s="11"/>
      <c r="AM63" s="51">
        <f t="shared" si="38"/>
        <v>1484.748501</v>
      </c>
      <c r="AN63" s="51" t="str">
        <f t="array" ref="AN63">XLOOKUP(D63,RUC!$B$3:$B$565,RUC!$M$3:$M$565)</f>
        <v>Melchor Vera</v>
      </c>
      <c r="AO63" s="131" t="s">
        <v>561</v>
      </c>
      <c r="AP63" s="57" t="s">
        <v>1092</v>
      </c>
      <c r="AQ63" s="57" t="s">
        <v>1093</v>
      </c>
      <c r="AS63" s="65"/>
    </row>
    <row r="64" ht="15.0" customHeight="1">
      <c r="A64" s="116" t="s">
        <v>1097</v>
      </c>
      <c r="B64" s="56">
        <v>45905.0</v>
      </c>
      <c r="C64" s="56">
        <v>45866.0</v>
      </c>
      <c r="D64" s="57" t="s">
        <v>74</v>
      </c>
      <c r="E64" s="57">
        <f t="array" ref="E64">XLOOKUP(D64,RUC!$B$3:$B$110,RUC!$D$3:$D$110)</f>
        <v>10082235774</v>
      </c>
      <c r="G64" s="141">
        <v>28.0</v>
      </c>
      <c r="H64" s="57" t="s">
        <v>47</v>
      </c>
      <c r="I64" s="6">
        <v>2.45</v>
      </c>
      <c r="J64" s="58">
        <v>1.05</v>
      </c>
      <c r="K64" s="59">
        <f t="shared" si="25"/>
        <v>2.424</v>
      </c>
      <c r="L64" s="3">
        <v>0.327</v>
      </c>
      <c r="M64" s="3">
        <v>0.307</v>
      </c>
      <c r="N64" s="62">
        <v>0.307</v>
      </c>
      <c r="O64" s="60">
        <f t="shared" si="44"/>
        <v>0.307</v>
      </c>
      <c r="P64" s="63">
        <v>90.0</v>
      </c>
      <c r="Q64" s="58">
        <v>96.64</v>
      </c>
      <c r="R64" s="65">
        <v>3305.25</v>
      </c>
      <c r="S64" s="133">
        <v>110.0</v>
      </c>
      <c r="U64" s="67">
        <f t="array" ref="U64">XLOOKUP(D64,RUC!$B$3:$B$110,RUC!$F$3:$F$110)</f>
        <v>80</v>
      </c>
      <c r="V64" s="67">
        <v>1.1023</v>
      </c>
      <c r="Y64" s="57" t="str">
        <f t="array" ref="Y64">XLOOKUP(D64,RUC!$B$3:$B$110,RUC!$G$3:$G$110)</f>
        <v/>
      </c>
      <c r="Z64" s="69">
        <f t="array" ref="Z64">XLOOKUP(D64,RUC!$B$3:$B$110,RUC!$H$3:$H$110)</f>
        <v>10</v>
      </c>
      <c r="AA64" s="70">
        <f t="shared" si="28"/>
        <v>10</v>
      </c>
      <c r="AB64" s="71">
        <f t="shared" si="29"/>
        <v>850.0238466</v>
      </c>
      <c r="AC64" s="71">
        <f>+(S64-T64)*V64-'data 1'!$F$4</f>
        <v>41.253</v>
      </c>
      <c r="AD64" s="71">
        <f t="shared" si="30"/>
        <v>77.1931962</v>
      </c>
      <c r="AE64" s="71">
        <f t="shared" si="31"/>
        <v>-58.977</v>
      </c>
      <c r="AF64" s="71">
        <f t="shared" si="32"/>
        <v>68.71477175</v>
      </c>
      <c r="AG64" s="72">
        <f t="shared" si="42"/>
        <v>145.183968</v>
      </c>
      <c r="AH64" s="52">
        <f t="shared" si="34"/>
        <v>26.26312246</v>
      </c>
      <c r="AI64" s="52">
        <f t="shared" si="35"/>
        <v>27.17624427</v>
      </c>
      <c r="AJ64" s="73">
        <f t="shared" si="36"/>
        <v>75.85123303</v>
      </c>
      <c r="AK64" s="73">
        <f t="shared" si="37"/>
        <v>22.96267979</v>
      </c>
      <c r="AL64" s="11"/>
      <c r="AM64" s="51">
        <f t="shared" si="38"/>
        <v>2060.457804</v>
      </c>
      <c r="AN64" s="51" t="str">
        <f t="array" ref="AN64">XLOOKUP(D64,RUC!$B$3:$B$565,RUC!$M$3:$M$565)</f>
        <v>Melchor Vera</v>
      </c>
      <c r="AO64" s="131" t="s">
        <v>558</v>
      </c>
      <c r="AP64" s="57" t="s">
        <v>1092</v>
      </c>
      <c r="AQ64" s="57" t="s">
        <v>1093</v>
      </c>
      <c r="AS64" s="65"/>
    </row>
    <row r="65" ht="15.0" customHeight="1">
      <c r="A65" s="116" t="s">
        <v>1098</v>
      </c>
      <c r="B65" s="56">
        <v>45905.0</v>
      </c>
      <c r="C65" s="56">
        <v>45866.0</v>
      </c>
      <c r="D65" s="57" t="s">
        <v>74</v>
      </c>
      <c r="E65" s="57">
        <f t="array" ref="E65">XLOOKUP(D65,RUC!$B$3:$B$110,RUC!$D$3:$D$110)</f>
        <v>10082235774</v>
      </c>
      <c r="G65" s="141">
        <v>41.0</v>
      </c>
      <c r="H65" s="57" t="s">
        <v>47</v>
      </c>
      <c r="I65" s="6">
        <v>3.78</v>
      </c>
      <c r="J65" s="58">
        <v>2.9</v>
      </c>
      <c r="K65" s="59">
        <f t="shared" si="25"/>
        <v>3.67</v>
      </c>
      <c r="L65" s="3">
        <v>0.208</v>
      </c>
      <c r="M65" s="3">
        <v>0.193</v>
      </c>
      <c r="N65" s="75">
        <v>0.213</v>
      </c>
      <c r="O65" s="60">
        <f t="shared" si="44"/>
        <v>0.203</v>
      </c>
      <c r="P65" s="63">
        <v>85.0</v>
      </c>
      <c r="Q65" s="58">
        <v>92.79</v>
      </c>
      <c r="R65" s="65">
        <v>3305.25</v>
      </c>
      <c r="S65" s="133">
        <v>95.0</v>
      </c>
      <c r="U65" s="67">
        <f t="array" ref="U65">XLOOKUP(D65,RUC!$B$3:$B$110,RUC!$F$3:$F$110)</f>
        <v>80</v>
      </c>
      <c r="V65" s="67">
        <v>1.1023</v>
      </c>
      <c r="Y65" s="57" t="str">
        <f t="array" ref="Y65">XLOOKUP(D65,RUC!$B$3:$B$110,RUC!$G$3:$G$110)</f>
        <v/>
      </c>
      <c r="Z65" s="69">
        <f t="array" ref="Z65">XLOOKUP(D65,RUC!$B$3:$B$110,RUC!$H$3:$H$110)</f>
        <v>10</v>
      </c>
      <c r="AA65" s="70">
        <f t="shared" si="28"/>
        <v>10</v>
      </c>
      <c r="AB65" s="71">
        <f t="shared" si="29"/>
        <v>497.7070651</v>
      </c>
      <c r="AC65" s="71">
        <f>+(S65-T65)*V65-'data 1'!$F$4</f>
        <v>24.7185</v>
      </c>
      <c r="AD65" s="71">
        <f t="shared" si="30"/>
        <v>57.60550443</v>
      </c>
      <c r="AE65" s="71">
        <f t="shared" si="31"/>
        <v>-58.977</v>
      </c>
      <c r="AF65" s="71">
        <f t="shared" si="32"/>
        <v>16.49431827</v>
      </c>
      <c r="AG65" s="72">
        <f t="shared" si="42"/>
        <v>56.8413227</v>
      </c>
      <c r="AH65" s="52">
        <f t="shared" si="34"/>
        <v>24.28508586</v>
      </c>
      <c r="AI65" s="52">
        <f t="shared" si="35"/>
        <v>26.17209382</v>
      </c>
      <c r="AJ65" s="73">
        <f t="shared" si="36"/>
        <v>46.32575231</v>
      </c>
      <c r="AK65" s="73">
        <f t="shared" si="37"/>
        <v>21.71151341</v>
      </c>
      <c r="AL65" s="11"/>
      <c r="AM65" s="51">
        <f t="shared" si="38"/>
        <v>1826.584929</v>
      </c>
      <c r="AN65" s="51" t="str">
        <f t="array" ref="AN65">XLOOKUP(D65,RUC!$B$3:$B$565,RUC!$M$3:$M$565)</f>
        <v>Melchor Vera</v>
      </c>
      <c r="AO65" s="131" t="s">
        <v>558</v>
      </c>
      <c r="AP65" s="57" t="s">
        <v>1092</v>
      </c>
      <c r="AQ65" s="57" t="s">
        <v>1093</v>
      </c>
      <c r="AS65" s="65"/>
    </row>
    <row r="66" ht="15.0" customHeight="1">
      <c r="A66" s="116" t="s">
        <v>1099</v>
      </c>
      <c r="B66" s="56">
        <v>45905.0</v>
      </c>
      <c r="C66" s="56">
        <v>45866.0</v>
      </c>
      <c r="D66" s="57" t="s">
        <v>74</v>
      </c>
      <c r="E66" s="57">
        <f t="array" ref="E66">XLOOKUP(D66,RUC!$B$3:$B$110,RUC!$D$3:$D$110)</f>
        <v>10082235774</v>
      </c>
      <c r="G66" s="141">
        <v>68.0</v>
      </c>
      <c r="H66" s="57" t="s">
        <v>47</v>
      </c>
      <c r="I66" s="6">
        <v>6.64</v>
      </c>
      <c r="J66" s="58">
        <v>2.1</v>
      </c>
      <c r="K66" s="59">
        <f t="shared" si="25"/>
        <v>6.501</v>
      </c>
      <c r="L66" s="3">
        <v>0.157</v>
      </c>
      <c r="M66" s="3">
        <v>0.141</v>
      </c>
      <c r="N66" s="75">
        <v>0.165</v>
      </c>
      <c r="O66" s="60">
        <f t="shared" si="44"/>
        <v>0.153</v>
      </c>
      <c r="P66" s="63">
        <v>85.0</v>
      </c>
      <c r="Q66" s="58">
        <v>87.26</v>
      </c>
      <c r="R66" s="65">
        <v>3305.25</v>
      </c>
      <c r="S66" s="133">
        <v>95.0</v>
      </c>
      <c r="U66" s="67">
        <f t="array" ref="U66">XLOOKUP(D66,RUC!$B$3:$B$110,RUC!$F$3:$F$110)</f>
        <v>80</v>
      </c>
      <c r="V66" s="67">
        <v>1.1023</v>
      </c>
      <c r="Y66" s="57" t="str">
        <f t="array" ref="Y66">XLOOKUP(D66,RUC!$B$3:$B$110,RUC!$G$3:$G$110)</f>
        <v/>
      </c>
      <c r="Z66" s="69">
        <f t="array" ref="Z66">XLOOKUP(D66,RUC!$B$3:$B$110,RUC!$H$3:$H$110)</f>
        <v>10</v>
      </c>
      <c r="AA66" s="70">
        <f t="shared" si="28"/>
        <v>10</v>
      </c>
      <c r="AB66" s="71">
        <f t="shared" si="29"/>
        <v>346.6113594</v>
      </c>
      <c r="AC66" s="71">
        <f>+(S66-T66)*V66-'data 1'!$F$4</f>
        <v>24.7185</v>
      </c>
      <c r="AD66" s="71">
        <f t="shared" si="30"/>
        <v>12.61453607</v>
      </c>
      <c r="AE66" s="71">
        <f t="shared" si="31"/>
        <v>-58.977</v>
      </c>
      <c r="AF66" s="71">
        <f t="shared" si="32"/>
        <v>12.40904591</v>
      </c>
      <c r="AG66" s="72">
        <f t="shared" si="42"/>
        <v>7.765081978</v>
      </c>
      <c r="AH66" s="52">
        <f t="shared" si="34"/>
        <v>30.53543396</v>
      </c>
      <c r="AI66" s="52">
        <f t="shared" si="35"/>
        <v>34.99362131</v>
      </c>
      <c r="AJ66" s="73">
        <f t="shared" si="36"/>
        <v>32.88310598</v>
      </c>
      <c r="AK66" s="73">
        <f t="shared" si="37"/>
        <v>28.98675447</v>
      </c>
      <c r="AL66" s="11"/>
      <c r="AM66" s="51">
        <f t="shared" si="38"/>
        <v>2253.320447</v>
      </c>
      <c r="AN66" s="51" t="str">
        <f t="array" ref="AN66">XLOOKUP(D66,RUC!$B$3:$B$565,RUC!$M$3:$M$565)</f>
        <v>Melchor Vera</v>
      </c>
      <c r="AO66" s="131" t="s">
        <v>547</v>
      </c>
      <c r="AP66" s="57" t="s">
        <v>1092</v>
      </c>
      <c r="AQ66" s="57" t="s">
        <v>1093</v>
      </c>
      <c r="AS66" s="65"/>
    </row>
    <row r="67" ht="15.0" customHeight="1">
      <c r="A67" s="116" t="s">
        <v>1100</v>
      </c>
      <c r="B67" s="56">
        <v>45905.0</v>
      </c>
      <c r="C67" s="56">
        <v>45866.0</v>
      </c>
      <c r="D67" s="57" t="s">
        <v>74</v>
      </c>
      <c r="E67" s="57">
        <f t="array" ref="E67">XLOOKUP(D67,RUC!$B$3:$B$110,RUC!$D$3:$D$110)</f>
        <v>10082235774</v>
      </c>
      <c r="G67" s="141">
        <v>35.0</v>
      </c>
      <c r="H67" s="57" t="s">
        <v>47</v>
      </c>
      <c r="I67" s="6">
        <v>3.21</v>
      </c>
      <c r="J67" s="58">
        <v>1.4</v>
      </c>
      <c r="K67" s="59">
        <f t="shared" si="25"/>
        <v>3.165</v>
      </c>
      <c r="L67" s="3">
        <v>0.144</v>
      </c>
      <c r="M67" s="3">
        <v>0.128</v>
      </c>
      <c r="N67" s="62">
        <v>0.128</v>
      </c>
      <c r="O67" s="60">
        <f t="shared" si="44"/>
        <v>0.128</v>
      </c>
      <c r="P67" s="63">
        <v>85.0</v>
      </c>
      <c r="Q67" s="58">
        <v>91.67</v>
      </c>
      <c r="R67" s="65">
        <v>3305.25</v>
      </c>
      <c r="S67" s="133">
        <v>95.0</v>
      </c>
      <c r="U67" s="67">
        <f t="array" ref="U67">XLOOKUP(D67,RUC!$B$3:$B$110,RUC!$F$3:$F$110)</f>
        <v>80</v>
      </c>
      <c r="V67" s="67">
        <v>1.1023</v>
      </c>
      <c r="Y67" s="57" t="str">
        <f t="array" ref="Y67">XLOOKUP(D67,RUC!$B$3:$B$110,RUC!$G$3:$G$110)</f>
        <v/>
      </c>
      <c r="Z67" s="69">
        <f t="array" ref="Z67">XLOOKUP(D67,RUC!$B$3:$B$110,RUC!$H$3:$H$110)</f>
        <v>10</v>
      </c>
      <c r="AA67" s="70">
        <f t="shared" si="28"/>
        <v>10</v>
      </c>
      <c r="AB67" s="71">
        <f t="shared" si="29"/>
        <v>271.0635066</v>
      </c>
      <c r="AC67" s="71">
        <f>+(S67-T67)*V67-'data 1'!$F$4</f>
        <v>24.7185</v>
      </c>
      <c r="AD67" s="71">
        <f t="shared" si="30"/>
        <v>34.14691845</v>
      </c>
      <c r="AE67" s="71">
        <f t="shared" si="31"/>
        <v>-58.977</v>
      </c>
      <c r="AF67" s="71">
        <f t="shared" si="32"/>
        <v>52.14472787</v>
      </c>
      <c r="AG67" s="72">
        <f t="shared" si="42"/>
        <v>69.03314632</v>
      </c>
      <c r="AH67" s="52">
        <f t="shared" si="34"/>
        <v>14.32427028</v>
      </c>
      <c r="AI67" s="52">
        <f t="shared" si="35"/>
        <v>15.62590846</v>
      </c>
      <c r="AJ67" s="73">
        <f t="shared" si="36"/>
        <v>31.68456102</v>
      </c>
      <c r="AK67" s="73">
        <f t="shared" si="37"/>
        <v>11.80624195</v>
      </c>
      <c r="AL67" s="11"/>
      <c r="AM67" s="51">
        <f t="shared" si="38"/>
        <v>857.9159983</v>
      </c>
      <c r="AN67" s="51" t="str">
        <f t="array" ref="AN67">XLOOKUP(D67,RUC!$B$3:$B$565,RUC!$M$3:$M$565)</f>
        <v>Melchor Vera</v>
      </c>
      <c r="AO67" s="131" t="s">
        <v>549</v>
      </c>
      <c r="AP67" s="57" t="s">
        <v>1092</v>
      </c>
      <c r="AQ67" s="57" t="s">
        <v>1093</v>
      </c>
      <c r="AS67" s="65"/>
    </row>
    <row r="68" ht="15.0" customHeight="1">
      <c r="A68" s="116" t="s">
        <v>1101</v>
      </c>
      <c r="B68" s="56">
        <v>45877.0</v>
      </c>
      <c r="C68" s="56">
        <v>45867.0</v>
      </c>
      <c r="D68" s="57" t="s">
        <v>665</v>
      </c>
      <c r="E68" s="57">
        <f t="array" ref="E68">XLOOKUP(D68,RUC!$B$3:$B$110,RUC!$D$3:$D$110)</f>
        <v>20608774000</v>
      </c>
      <c r="G68" s="141">
        <v>487.0</v>
      </c>
      <c r="H68" s="57" t="s">
        <v>40</v>
      </c>
      <c r="I68" s="6">
        <v>14.64</v>
      </c>
      <c r="J68" s="58">
        <v>15.2</v>
      </c>
      <c r="K68" s="59">
        <f t="shared" si="25"/>
        <v>12.415</v>
      </c>
      <c r="L68" s="3">
        <v>0.365</v>
      </c>
      <c r="M68" s="3">
        <v>0.343</v>
      </c>
      <c r="N68" s="62">
        <v>0.343</v>
      </c>
      <c r="O68" s="60">
        <f t="shared" si="44"/>
        <v>0.343</v>
      </c>
      <c r="P68" s="63">
        <v>89.0</v>
      </c>
      <c r="Q68" s="58">
        <v>89.04</v>
      </c>
      <c r="R68" s="65">
        <v>3316.5</v>
      </c>
      <c r="S68" s="66">
        <f t="shared" ref="S68:S89" si="48">IF((90+ROUNDDOWN(O68,1)*100)&lt;95,95,(90+ROUNDDOWN(O68,1)*100))</f>
        <v>120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28"/>
        <v>50</v>
      </c>
      <c r="AB68" s="71">
        <f t="shared" si="29"/>
        <v>888.2284403</v>
      </c>
      <c r="AC68" s="71">
        <f>+(S68-T68)*V68-'data 1'!$F$4</f>
        <v>52.276</v>
      </c>
      <c r="AD68" s="71">
        <f t="shared" si="30"/>
        <v>0.5144312847</v>
      </c>
      <c r="AE68" s="71">
        <f t="shared" si="31"/>
        <v>-14.885</v>
      </c>
      <c r="AF68" s="71">
        <f t="shared" si="32"/>
        <v>69.021175</v>
      </c>
      <c r="AG68" s="72">
        <f t="shared" si="42"/>
        <v>123.9266063</v>
      </c>
      <c r="AH68" s="52">
        <f t="shared" si="34"/>
        <v>138.3355525</v>
      </c>
      <c r="AI68" s="52">
        <f t="shared" si="35"/>
        <v>155.3633788</v>
      </c>
      <c r="AJ68" s="73">
        <f t="shared" si="36"/>
        <v>88.30692188</v>
      </c>
      <c r="AK68" s="73">
        <f t="shared" si="37"/>
        <v>129.9391196</v>
      </c>
      <c r="AL68" s="11"/>
      <c r="AM68" s="51">
        <f t="shared" si="38"/>
        <v>11027.35609</v>
      </c>
      <c r="AN68" s="51" t="str">
        <f t="array" ref="AN68">XLOOKUP(D68,RUC!$B$3:$B$565,RUC!$M$3:$M$565)</f>
        <v>Ronald Miranda</v>
      </c>
      <c r="AO68" s="131" t="s">
        <v>558</v>
      </c>
      <c r="AP68" s="57" t="s">
        <v>1102</v>
      </c>
      <c r="AQ68" s="57" t="s">
        <v>1103</v>
      </c>
      <c r="AS68" s="65"/>
    </row>
    <row r="69" ht="15.0" customHeight="1">
      <c r="A69" s="116" t="s">
        <v>1104</v>
      </c>
      <c r="B69" s="56">
        <v>45877.0</v>
      </c>
      <c r="C69" s="56">
        <v>45867.0</v>
      </c>
      <c r="D69" s="57" t="s">
        <v>665</v>
      </c>
      <c r="E69" s="57">
        <f t="array" ref="E69">XLOOKUP(D69,RUC!$B$3:$B$110,RUC!$D$3:$D$110)</f>
        <v>20608774000</v>
      </c>
      <c r="G69" s="141">
        <v>269.0</v>
      </c>
      <c r="H69" s="57" t="s">
        <v>40</v>
      </c>
      <c r="I69" s="6">
        <v>14.3</v>
      </c>
      <c r="J69" s="58">
        <v>15.0</v>
      </c>
      <c r="K69" s="59">
        <f t="shared" si="25"/>
        <v>12.155</v>
      </c>
      <c r="L69" s="3">
        <v>0.313</v>
      </c>
      <c r="M69" s="3">
        <v>0.294</v>
      </c>
      <c r="N69" s="62">
        <v>0.294</v>
      </c>
      <c r="O69" s="60">
        <f t="shared" si="44"/>
        <v>0.294</v>
      </c>
      <c r="P69" s="63">
        <v>89.0</v>
      </c>
      <c r="Q69" s="58">
        <v>88.82</v>
      </c>
      <c r="R69" s="65">
        <v>3316.5</v>
      </c>
      <c r="S69" s="66">
        <f t="shared" si="48"/>
        <v>110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28"/>
        <v>50</v>
      </c>
      <c r="AB69" s="71">
        <f t="shared" si="29"/>
        <v>745.5915202</v>
      </c>
      <c r="AC69" s="71">
        <f>+(S69-T69)*V69-'data 1'!$F$4</f>
        <v>41.253</v>
      </c>
      <c r="AD69" s="71">
        <f t="shared" si="30"/>
        <v>-1.985140999</v>
      </c>
      <c r="AE69" s="71">
        <f t="shared" si="31"/>
        <v>-14.885</v>
      </c>
      <c r="AF69" s="71">
        <f t="shared" si="32"/>
        <v>59.46191421</v>
      </c>
      <c r="AG69" s="72">
        <f t="shared" si="42"/>
        <v>100.8447732</v>
      </c>
      <c r="AH69" s="52">
        <f t="shared" si="34"/>
        <v>115.8561624</v>
      </c>
      <c r="AI69" s="52">
        <f t="shared" si="35"/>
        <v>130.4392731</v>
      </c>
      <c r="AJ69" s="73">
        <f t="shared" si="36"/>
        <v>75.53910543</v>
      </c>
      <c r="AK69" s="73">
        <f t="shared" si="37"/>
        <v>109.0438984</v>
      </c>
      <c r="AL69" s="11"/>
      <c r="AM69" s="51">
        <f t="shared" si="38"/>
        <v>9062.664928</v>
      </c>
      <c r="AN69" s="51" t="str">
        <f t="array" ref="AN69">XLOOKUP(D69,RUC!$B$3:$B$565,RUC!$M$3:$M$565)</f>
        <v>Ronald Miranda</v>
      </c>
      <c r="AO69" s="131" t="s">
        <v>558</v>
      </c>
      <c r="AP69" s="57" t="s">
        <v>1102</v>
      </c>
      <c r="AQ69" s="57" t="s">
        <v>1103</v>
      </c>
      <c r="AS69" s="65"/>
    </row>
    <row r="70" ht="15.0" customHeight="1">
      <c r="A70" s="116" t="s">
        <v>1105</v>
      </c>
      <c r="B70" s="56">
        <v>45905.0</v>
      </c>
      <c r="C70" s="56">
        <v>45867.0</v>
      </c>
      <c r="D70" s="57" t="s">
        <v>295</v>
      </c>
      <c r="E70" s="57">
        <f t="array" ref="E70">XLOOKUP(D70,RUC!$B$3:$B$110,RUC!$D$3:$D$110)</f>
        <v>20601769396</v>
      </c>
      <c r="G70" s="141">
        <v>40.0</v>
      </c>
      <c r="H70" s="57" t="s">
        <v>71</v>
      </c>
      <c r="I70" s="6">
        <v>3.41</v>
      </c>
      <c r="J70" s="58">
        <v>8.8</v>
      </c>
      <c r="K70" s="59">
        <f t="shared" si="25"/>
        <v>3.11</v>
      </c>
      <c r="L70" s="60">
        <v>0.22</v>
      </c>
      <c r="M70" s="3">
        <v>0.205</v>
      </c>
      <c r="N70" s="62">
        <v>0.205</v>
      </c>
      <c r="O70" s="60">
        <f t="shared" si="44"/>
        <v>0.205</v>
      </c>
      <c r="P70" s="63">
        <v>90.0</v>
      </c>
      <c r="Q70" s="58">
        <v>96.82</v>
      </c>
      <c r="R70" s="65">
        <v>3316.5</v>
      </c>
      <c r="S70" s="66">
        <f t="shared" si="48"/>
        <v>110</v>
      </c>
      <c r="U70" s="67">
        <f t="array" ref="U70">XLOOKUP(D70,RUC!$B$3:$B$110,RUC!$F$3:$F$110)</f>
        <v>120</v>
      </c>
      <c r="V70" s="67">
        <v>1.1023</v>
      </c>
      <c r="Y70" s="57">
        <f t="array" ref="Y70">XLOOKUP(D70,RUC!$B$3:$B$110,RUC!$G$3:$G$110)</f>
        <v>20</v>
      </c>
      <c r="Z70" s="69">
        <f t="array" ref="Z70">XLOOKUP(D70,RUC!$B$3:$B$110,RUC!$H$3:$H$110)</f>
        <v>30</v>
      </c>
      <c r="AA70" s="70">
        <f t="shared" si="28"/>
        <v>50</v>
      </c>
      <c r="AB70" s="71">
        <f t="shared" si="29"/>
        <v>473.7181098</v>
      </c>
      <c r="AC70" s="71">
        <f>+(S70-T70)*V70-'data 1'!$F$4</f>
        <v>41.253</v>
      </c>
      <c r="AD70" s="71">
        <f t="shared" si="30"/>
        <v>52.86662326</v>
      </c>
      <c r="AE70" s="71">
        <f t="shared" si="31"/>
        <v>-14.885</v>
      </c>
      <c r="AF70" s="71">
        <f t="shared" si="32"/>
        <v>51.17181882</v>
      </c>
      <c r="AG70" s="72">
        <f t="shared" si="42"/>
        <v>147.4064421</v>
      </c>
      <c r="AH70" s="52">
        <f t="shared" si="34"/>
        <v>22.71209612</v>
      </c>
      <c r="AI70" s="52">
        <f t="shared" si="35"/>
        <v>23.4580625</v>
      </c>
      <c r="AJ70" s="73">
        <f t="shared" si="36"/>
        <v>57.87679722</v>
      </c>
      <c r="AK70" s="73">
        <f t="shared" si="37"/>
        <v>19.67278424</v>
      </c>
      <c r="AL70" s="11"/>
      <c r="AM70" s="51">
        <f t="shared" si="38"/>
        <v>1473.263321</v>
      </c>
      <c r="AN70" s="51" t="str">
        <f t="array" ref="AN70">XLOOKUP(D70,RUC!$B$3:$B$565,RUC!$M$3:$M$565)</f>
        <v>Evelyn</v>
      </c>
      <c r="AO70" s="131" t="s">
        <v>558</v>
      </c>
      <c r="AP70" s="57" t="s">
        <v>1106</v>
      </c>
      <c r="AQ70" s="57" t="s">
        <v>1107</v>
      </c>
      <c r="AS70" s="65"/>
    </row>
    <row r="71" ht="15.0" customHeight="1">
      <c r="A71" s="116" t="s">
        <v>1108</v>
      </c>
      <c r="B71" s="56">
        <v>45905.0</v>
      </c>
      <c r="C71" s="56">
        <v>45867.0</v>
      </c>
      <c r="D71" s="57" t="s">
        <v>295</v>
      </c>
      <c r="E71" s="57">
        <f t="array" ref="E71">XLOOKUP(D71,RUC!$B$3:$B$110,RUC!$D$3:$D$110)</f>
        <v>20601769396</v>
      </c>
      <c r="G71" s="141">
        <v>45.0</v>
      </c>
      <c r="H71" s="57" t="s">
        <v>71</v>
      </c>
      <c r="I71" s="6">
        <v>3.78</v>
      </c>
      <c r="J71" s="58">
        <v>8.7</v>
      </c>
      <c r="K71" s="59">
        <f t="shared" si="25"/>
        <v>3.451</v>
      </c>
      <c r="L71" s="3">
        <v>0.146</v>
      </c>
      <c r="M71" s="3">
        <v>0.131</v>
      </c>
      <c r="N71" s="62">
        <v>0.131</v>
      </c>
      <c r="O71" s="60">
        <f t="shared" si="44"/>
        <v>0.131</v>
      </c>
      <c r="P71" s="63">
        <v>85.0</v>
      </c>
      <c r="Q71" s="58">
        <v>90.41</v>
      </c>
      <c r="R71" s="65">
        <v>3316.5</v>
      </c>
      <c r="S71" s="66">
        <f t="shared" si="48"/>
        <v>100</v>
      </c>
      <c r="U71" s="67">
        <f t="array" ref="U71">XLOOKUP(D71,RUC!$B$3:$B$110,RUC!$F$3:$F$110)</f>
        <v>120</v>
      </c>
      <c r="V71" s="67">
        <v>1.1023</v>
      </c>
      <c r="Y71" s="57">
        <f t="array" ref="Y71">XLOOKUP(D71,RUC!$B$3:$B$110,RUC!$G$3:$G$110)</f>
        <v>20</v>
      </c>
      <c r="Z71" s="69">
        <f t="array" ref="Z71">XLOOKUP(D71,RUC!$B$3:$B$110,RUC!$H$3:$H$110)</f>
        <v>30</v>
      </c>
      <c r="AA71" s="70">
        <f t="shared" si="28"/>
        <v>50</v>
      </c>
      <c r="AB71" s="71">
        <f t="shared" si="29"/>
        <v>226.9969421</v>
      </c>
      <c r="AC71" s="71">
        <f>+(S71-T71)*V71-'data 1'!$F$4</f>
        <v>30.23</v>
      </c>
      <c r="AD71" s="71">
        <f t="shared" si="30"/>
        <v>27.8307325</v>
      </c>
      <c r="AE71" s="71">
        <f t="shared" si="31"/>
        <v>-14.885</v>
      </c>
      <c r="AF71" s="71">
        <f t="shared" si="32"/>
        <v>47.78397169</v>
      </c>
      <c r="AG71" s="72">
        <f t="shared" si="42"/>
        <v>107.9597042</v>
      </c>
      <c r="AH71" s="52">
        <f t="shared" si="34"/>
        <v>15.61792574</v>
      </c>
      <c r="AI71" s="52">
        <f t="shared" si="35"/>
        <v>17.27455563</v>
      </c>
      <c r="AJ71" s="73">
        <f t="shared" si="36"/>
        <v>35.866257</v>
      </c>
      <c r="AK71" s="73">
        <f t="shared" si="37"/>
        <v>13.17480664</v>
      </c>
      <c r="AL71" s="11"/>
      <c r="AM71" s="51">
        <f t="shared" si="38"/>
        <v>783.3664473</v>
      </c>
      <c r="AN71" s="51" t="str">
        <f t="array" ref="AN71">XLOOKUP(D71,RUC!$B$3:$B$565,RUC!$M$3:$M$565)</f>
        <v>Evelyn</v>
      </c>
      <c r="AO71" s="131" t="s">
        <v>549</v>
      </c>
      <c r="AP71" s="57" t="s">
        <v>1106</v>
      </c>
      <c r="AQ71" s="57" t="s">
        <v>1107</v>
      </c>
      <c r="AS71" s="65"/>
    </row>
    <row r="72" ht="15.0" customHeight="1">
      <c r="A72" s="116" t="s">
        <v>1109</v>
      </c>
      <c r="B72" s="56">
        <v>45905.0</v>
      </c>
      <c r="C72" s="56">
        <v>45867.0</v>
      </c>
      <c r="D72" s="57" t="s">
        <v>295</v>
      </c>
      <c r="E72" s="57">
        <f t="array" ref="E72">XLOOKUP(D72,RUC!$B$3:$B$110,RUC!$D$3:$D$110)</f>
        <v>20601769396</v>
      </c>
      <c r="G72" s="141">
        <v>50.0</v>
      </c>
      <c r="H72" s="57" t="s">
        <v>71</v>
      </c>
      <c r="I72" s="6">
        <v>4.0</v>
      </c>
      <c r="J72" s="58">
        <v>10.95</v>
      </c>
      <c r="K72" s="59">
        <f t="shared" si="25"/>
        <v>3.562</v>
      </c>
      <c r="L72" s="3">
        <v>0.261</v>
      </c>
      <c r="M72" s="3">
        <v>0.245</v>
      </c>
      <c r="N72" s="62">
        <v>0.245</v>
      </c>
      <c r="O72" s="60">
        <f t="shared" si="44"/>
        <v>0.245</v>
      </c>
      <c r="P72" s="63">
        <v>75.0</v>
      </c>
      <c r="Q72" s="58">
        <v>76.25</v>
      </c>
      <c r="R72" s="65">
        <v>3316.5</v>
      </c>
      <c r="S72" s="66">
        <f t="shared" si="48"/>
        <v>110</v>
      </c>
      <c r="U72" s="67">
        <f t="array" ref="U72">XLOOKUP(D72,RUC!$B$3:$B$110,RUC!$F$3:$F$110)</f>
        <v>120</v>
      </c>
      <c r="V72" s="67">
        <v>1.1023</v>
      </c>
      <c r="Y72" s="57">
        <f t="array" ref="Y72">XLOOKUP(D72,RUC!$B$3:$B$110,RUC!$G$3:$G$110)</f>
        <v>20</v>
      </c>
      <c r="Z72" s="69">
        <f t="array" ref="Z72">XLOOKUP(D72,RUC!$B$3:$B$110,RUC!$H$3:$H$110)</f>
        <v>30</v>
      </c>
      <c r="AA72" s="70">
        <f t="shared" si="28"/>
        <v>50</v>
      </c>
      <c r="AB72" s="71">
        <f t="shared" si="29"/>
        <v>471.0754833</v>
      </c>
      <c r="AC72" s="71">
        <f>+(S72-T72)*V72-'data 1'!$F$4</f>
        <v>41.253</v>
      </c>
      <c r="AD72" s="71">
        <f t="shared" si="30"/>
        <v>11.49542511</v>
      </c>
      <c r="AE72" s="71">
        <f t="shared" si="31"/>
        <v>-14.885</v>
      </c>
      <c r="AF72" s="71">
        <f t="shared" si="32"/>
        <v>42.98672379</v>
      </c>
      <c r="AG72" s="72">
        <f t="shared" si="42"/>
        <v>97.8501489</v>
      </c>
      <c r="AH72" s="52">
        <f t="shared" si="34"/>
        <v>24.30431245</v>
      </c>
      <c r="AI72" s="52">
        <f t="shared" si="35"/>
        <v>31.87450813</v>
      </c>
      <c r="AJ72" s="73">
        <f t="shared" si="36"/>
        <v>54.07506951</v>
      </c>
      <c r="AK72" s="73">
        <f t="shared" si="37"/>
        <v>22.44038647</v>
      </c>
      <c r="AL72" s="11"/>
      <c r="AM72" s="51">
        <f t="shared" si="38"/>
        <v>1677.970872</v>
      </c>
      <c r="AN72" s="51" t="str">
        <f t="array" ref="AN72">XLOOKUP(D72,RUC!$B$3:$B$565,RUC!$M$3:$M$565)</f>
        <v>Evelyn</v>
      </c>
      <c r="AO72" s="131" t="s">
        <v>551</v>
      </c>
      <c r="AP72" s="57" t="s">
        <v>1106</v>
      </c>
      <c r="AQ72" s="57" t="s">
        <v>1107</v>
      </c>
      <c r="AS72" s="65"/>
    </row>
    <row r="73" ht="15.0" customHeight="1">
      <c r="A73" s="116" t="s">
        <v>1110</v>
      </c>
      <c r="B73" s="56">
        <v>45876.0</v>
      </c>
      <c r="C73" s="56">
        <v>45868.0</v>
      </c>
      <c r="D73" s="57" t="s">
        <v>181</v>
      </c>
      <c r="E73" s="57">
        <f t="array" ref="E73">XLOOKUP(D73,RUC!$B$3:$B$110,RUC!$D$3:$D$110)</f>
        <v>20603329059</v>
      </c>
      <c r="G73" s="141">
        <v>46.0</v>
      </c>
      <c r="H73" s="57" t="s">
        <v>47</v>
      </c>
      <c r="I73" s="6">
        <v>1.77</v>
      </c>
      <c r="J73" s="58">
        <v>1.6</v>
      </c>
      <c r="K73" s="59">
        <f t="shared" si="25"/>
        <v>1.742</v>
      </c>
      <c r="L73" s="3">
        <v>2.771</v>
      </c>
      <c r="M73" s="3">
        <v>2.605</v>
      </c>
      <c r="N73" s="62">
        <v>2.605</v>
      </c>
      <c r="O73" s="60">
        <f t="shared" si="44"/>
        <v>2.605</v>
      </c>
      <c r="P73" s="63">
        <v>88.0</v>
      </c>
      <c r="Q73" s="58">
        <v>88.63</v>
      </c>
      <c r="R73" s="65">
        <v>3304.3</v>
      </c>
      <c r="S73" s="66">
        <f t="shared" si="48"/>
        <v>350</v>
      </c>
      <c r="U73" s="67">
        <f t="array" ref="U73">XLOOKUP(D73,RUC!$B$3:$B$110,RUC!$F$3:$F$110)</f>
        <v>100</v>
      </c>
      <c r="V73" s="67">
        <v>1.1023</v>
      </c>
      <c r="Y73" s="57" t="str">
        <f t="array" ref="Y73">XLOOKUP(D73,RUC!$B$3:$B$110,RUC!$G$3:$G$110)</f>
        <v/>
      </c>
      <c r="Z73" s="69">
        <f t="array" ref="Z73">XLOOKUP(D73,RUC!$B$3:$B$110,RUC!$H$3:$H$110)</f>
        <v>30</v>
      </c>
      <c r="AA73" s="70">
        <f t="shared" si="28"/>
        <v>30</v>
      </c>
      <c r="AB73" s="71">
        <f t="shared" si="29"/>
        <v>7678.111788</v>
      </c>
      <c r="AC73" s="71">
        <f>+(S73-T73)*V73-'data 1'!$F$4</f>
        <v>305.805</v>
      </c>
      <c r="AD73" s="71">
        <f t="shared" si="30"/>
        <v>61.66092741</v>
      </c>
      <c r="AE73" s="71">
        <f t="shared" si="31"/>
        <v>-36.931</v>
      </c>
      <c r="AF73" s="71">
        <f t="shared" si="32"/>
        <v>519.663022</v>
      </c>
      <c r="AG73" s="72">
        <f t="shared" si="42"/>
        <v>867.1979494</v>
      </c>
      <c r="AH73" s="52">
        <f t="shared" si="34"/>
        <v>146.6812138</v>
      </c>
      <c r="AI73" s="52">
        <f t="shared" si="35"/>
        <v>165.4983795</v>
      </c>
      <c r="AJ73" s="73">
        <f t="shared" si="36"/>
        <v>646.203791</v>
      </c>
      <c r="AK73" s="73">
        <f t="shared" si="37"/>
        <v>136.9139247</v>
      </c>
      <c r="AL73" s="11"/>
      <c r="AM73" s="51">
        <f t="shared" si="38"/>
        <v>13375.27073</v>
      </c>
      <c r="AN73" s="51" t="str">
        <f t="array" ref="AN73">XLOOKUP(D73,RUC!$B$3:$B$565,RUC!$M$3:$M$565)</f>
        <v>Yuri Rospigliossi</v>
      </c>
      <c r="AO73" s="131" t="s">
        <v>549</v>
      </c>
      <c r="AP73" s="57" t="s">
        <v>1111</v>
      </c>
      <c r="AQ73" s="57" t="s">
        <v>1112</v>
      </c>
      <c r="AS73" s="65"/>
    </row>
    <row r="74" ht="15.0" customHeight="1">
      <c r="A74" s="116" t="s">
        <v>1113</v>
      </c>
      <c r="B74" s="56">
        <v>45876.0</v>
      </c>
      <c r="C74" s="56">
        <v>45868.0</v>
      </c>
      <c r="D74" s="57" t="s">
        <v>181</v>
      </c>
      <c r="E74" s="57">
        <f t="array" ref="E74">XLOOKUP(D74,RUC!$B$3:$B$110,RUC!$D$3:$D$110)</f>
        <v>20603329059</v>
      </c>
      <c r="G74" s="141">
        <v>303.0</v>
      </c>
      <c r="H74" s="57" t="s">
        <v>40</v>
      </c>
      <c r="I74" s="6">
        <v>21.11</v>
      </c>
      <c r="J74" s="58">
        <v>8.15</v>
      </c>
      <c r="K74" s="59">
        <f t="shared" si="25"/>
        <v>19.39</v>
      </c>
      <c r="L74" s="3">
        <v>0.169</v>
      </c>
      <c r="M74" s="3">
        <v>0.154</v>
      </c>
      <c r="N74" s="62">
        <v>0.154</v>
      </c>
      <c r="O74" s="60">
        <f t="shared" si="44"/>
        <v>0.154</v>
      </c>
      <c r="P74" s="63">
        <v>88.0</v>
      </c>
      <c r="Q74" s="58">
        <v>88.17</v>
      </c>
      <c r="R74" s="65">
        <v>3304.3</v>
      </c>
      <c r="S74" s="66">
        <f t="shared" si="48"/>
        <v>100</v>
      </c>
      <c r="U74" s="67">
        <f t="array" ref="U74">XLOOKUP(D74,RUC!$B$3:$B$110,RUC!$F$3:$F$110)</f>
        <v>100</v>
      </c>
      <c r="V74" s="67">
        <v>1.1023</v>
      </c>
      <c r="Y74" s="57" t="str">
        <f t="array" ref="Y74">XLOOKUP(D74,RUC!$B$3:$B$110,RUC!$G$3:$G$110)</f>
        <v/>
      </c>
      <c r="Z74" s="69">
        <f t="array" ref="Z74">XLOOKUP(D74,RUC!$B$3:$B$110,RUC!$H$3:$H$110)</f>
        <v>30</v>
      </c>
      <c r="AA74" s="70">
        <f t="shared" si="28"/>
        <v>30</v>
      </c>
      <c r="AB74" s="71">
        <f t="shared" si="29"/>
        <v>335.3711771</v>
      </c>
      <c r="AC74" s="71">
        <f>+(S74-T74)*V74-'data 1'!$F$4</f>
        <v>30.23</v>
      </c>
      <c r="AD74" s="71">
        <f t="shared" si="30"/>
        <v>1.014772298</v>
      </c>
      <c r="AE74" s="71">
        <f t="shared" si="31"/>
        <v>-36.931</v>
      </c>
      <c r="AF74" s="71">
        <f t="shared" si="32"/>
        <v>46.7137871</v>
      </c>
      <c r="AG74" s="72">
        <f t="shared" si="42"/>
        <v>58.02755939</v>
      </c>
      <c r="AH74" s="52">
        <f t="shared" si="34"/>
        <v>99.05911046</v>
      </c>
      <c r="AI74" s="52">
        <f t="shared" si="35"/>
        <v>112.350131</v>
      </c>
      <c r="AJ74" s="73">
        <f t="shared" si="36"/>
        <v>39.20665326</v>
      </c>
      <c r="AK74" s="73">
        <f t="shared" si="37"/>
        <v>90.09283874</v>
      </c>
      <c r="AL74" s="11"/>
      <c r="AM74" s="51">
        <f t="shared" si="38"/>
        <v>6502.847124</v>
      </c>
      <c r="AN74" s="51" t="str">
        <f t="array" ref="AN74">XLOOKUP(D74,RUC!$B$3:$B$565,RUC!$M$3:$M$565)</f>
        <v>Yuri Rospigliossi</v>
      </c>
      <c r="AO74" s="131" t="s">
        <v>549</v>
      </c>
      <c r="AP74" s="57" t="s">
        <v>1111</v>
      </c>
      <c r="AQ74" s="57" t="s">
        <v>1112</v>
      </c>
      <c r="AS74" s="65"/>
    </row>
    <row r="75" ht="15.0" customHeight="1">
      <c r="A75" s="116" t="s">
        <v>1114</v>
      </c>
      <c r="B75" s="56">
        <v>45876.0</v>
      </c>
      <c r="C75" s="56">
        <v>45868.0</v>
      </c>
      <c r="D75" s="57" t="s">
        <v>181</v>
      </c>
      <c r="E75" s="57">
        <f t="array" ref="E75">XLOOKUP(D75,RUC!$B$3:$B$110,RUC!$D$3:$D$110)</f>
        <v>20603329059</v>
      </c>
      <c r="G75" s="141">
        <v>36.0</v>
      </c>
      <c r="H75" s="57" t="s">
        <v>40</v>
      </c>
      <c r="I75" s="6">
        <v>2.19</v>
      </c>
      <c r="J75" s="58">
        <v>14.2</v>
      </c>
      <c r="K75" s="59">
        <f t="shared" si="25"/>
        <v>1.879</v>
      </c>
      <c r="L75" s="3">
        <v>0.704</v>
      </c>
      <c r="M75" s="3">
        <v>0.662</v>
      </c>
      <c r="N75" s="62">
        <v>0.662</v>
      </c>
      <c r="O75" s="60">
        <f t="shared" si="44"/>
        <v>0.662</v>
      </c>
      <c r="P75" s="63">
        <v>90.0</v>
      </c>
      <c r="Q75" s="58">
        <v>96.16</v>
      </c>
      <c r="R75" s="65">
        <v>3304.3</v>
      </c>
      <c r="S75" s="66">
        <f t="shared" si="48"/>
        <v>150</v>
      </c>
      <c r="U75" s="67">
        <f t="array" ref="U75">XLOOKUP(D75,RUC!$B$3:$B$110,RUC!$F$3:$F$110)</f>
        <v>100</v>
      </c>
      <c r="V75" s="67">
        <v>1.1023</v>
      </c>
      <c r="Y75" s="57" t="str">
        <f t="array" ref="Y75">XLOOKUP(D75,RUC!$B$3:$B$110,RUC!$G$3:$G$110)</f>
        <v/>
      </c>
      <c r="Z75" s="69">
        <f t="array" ref="Z75">XLOOKUP(D75,RUC!$B$3:$B$110,RUC!$H$3:$H$110)</f>
        <v>30</v>
      </c>
      <c r="AA75" s="70">
        <f t="shared" si="28"/>
        <v>30</v>
      </c>
      <c r="AB75" s="71">
        <f t="shared" si="29"/>
        <v>1906.011114</v>
      </c>
      <c r="AC75" s="71">
        <f>+(S75-T75)*V75-'data 1'!$F$4</f>
        <v>85.345</v>
      </c>
      <c r="AD75" s="71">
        <f t="shared" si="30"/>
        <v>153.1744567</v>
      </c>
      <c r="AE75" s="71">
        <f t="shared" si="31"/>
        <v>-36.931</v>
      </c>
      <c r="AF75" s="71">
        <f t="shared" si="32"/>
        <v>142.6516247</v>
      </c>
      <c r="AG75" s="72">
        <f t="shared" si="42"/>
        <v>361.2400813</v>
      </c>
      <c r="AH75" s="52">
        <f t="shared" si="34"/>
        <v>43.6116947</v>
      </c>
      <c r="AI75" s="52">
        <f t="shared" si="35"/>
        <v>45.35325988</v>
      </c>
      <c r="AJ75" s="73">
        <f t="shared" si="36"/>
        <v>178.122729</v>
      </c>
      <c r="AK75" s="73">
        <f t="shared" si="37"/>
        <v>38.38277306</v>
      </c>
      <c r="AL75" s="11"/>
      <c r="AM75" s="51">
        <f t="shared" si="38"/>
        <v>3581.394884</v>
      </c>
      <c r="AN75" s="51" t="str">
        <f t="array" ref="AN75">XLOOKUP(D75,RUC!$B$3:$B$565,RUC!$M$3:$M$565)</f>
        <v>Yuri Rospigliossi</v>
      </c>
      <c r="AO75" s="131" t="s">
        <v>561</v>
      </c>
      <c r="AP75" s="57" t="s">
        <v>1111</v>
      </c>
      <c r="AQ75" s="57" t="s">
        <v>1112</v>
      </c>
      <c r="AS75" s="65"/>
    </row>
    <row r="76" ht="15.0" customHeight="1">
      <c r="A76" s="116" t="s">
        <v>1115</v>
      </c>
      <c r="B76" s="56">
        <v>45876.0</v>
      </c>
      <c r="C76" s="56">
        <v>45869.0</v>
      </c>
      <c r="D76" s="57" t="s">
        <v>181</v>
      </c>
      <c r="E76" s="57">
        <f t="array" ref="E76">XLOOKUP(D76,RUC!$B$3:$B$110,RUC!$D$3:$D$110)</f>
        <v>20603329059</v>
      </c>
      <c r="G76" s="141">
        <v>38.0</v>
      </c>
      <c r="H76" s="57" t="s">
        <v>40</v>
      </c>
      <c r="I76" s="6">
        <v>2.65</v>
      </c>
      <c r="J76" s="58">
        <v>1.2</v>
      </c>
      <c r="K76" s="59">
        <f t="shared" si="25"/>
        <v>2.618</v>
      </c>
      <c r="L76" s="3">
        <v>1.054</v>
      </c>
      <c r="M76" s="3">
        <v>0.991</v>
      </c>
      <c r="N76" s="62">
        <v>0.991</v>
      </c>
      <c r="O76" s="60">
        <f t="shared" si="44"/>
        <v>0.991</v>
      </c>
      <c r="P76" s="63">
        <v>90.0</v>
      </c>
      <c r="Q76" s="58">
        <v>95.73</v>
      </c>
      <c r="R76" s="65">
        <v>3298.85</v>
      </c>
      <c r="S76" s="66">
        <f t="shared" si="48"/>
        <v>180</v>
      </c>
      <c r="U76" s="67">
        <f t="array" ref="U76">XLOOKUP(D76,RUC!$B$3:$B$110,RUC!$F$3:$F$110)</f>
        <v>100</v>
      </c>
      <c r="V76" s="67">
        <v>1.1023</v>
      </c>
      <c r="Y76" s="57" t="str">
        <f t="array" ref="Y76">XLOOKUP(D76,RUC!$B$3:$B$110,RUC!$G$3:$G$110)</f>
        <v/>
      </c>
      <c r="Z76" s="69">
        <f t="array" ref="Z76">XLOOKUP(D76,RUC!$B$3:$B$110,RUC!$H$3:$H$110)</f>
        <v>30</v>
      </c>
      <c r="AA76" s="70">
        <f t="shared" si="28"/>
        <v>30</v>
      </c>
      <c r="AB76" s="71">
        <f t="shared" si="29"/>
        <v>2913.438771</v>
      </c>
      <c r="AC76" s="71">
        <f>+(S76-T76)*V76-'data 1'!$F$4</f>
        <v>118.414</v>
      </c>
      <c r="AD76" s="71">
        <f t="shared" si="30"/>
        <v>212.9555269</v>
      </c>
      <c r="AE76" s="71">
        <f t="shared" si="31"/>
        <v>-36.931</v>
      </c>
      <c r="AF76" s="71">
        <f t="shared" si="32"/>
        <v>212.6582773</v>
      </c>
      <c r="AG76" s="72">
        <f t="shared" si="42"/>
        <v>524.0968042</v>
      </c>
      <c r="AH76" s="52">
        <f t="shared" si="34"/>
        <v>90.56645763</v>
      </c>
      <c r="AI76" s="52">
        <f t="shared" si="35"/>
        <v>94.60613979</v>
      </c>
      <c r="AJ76" s="73">
        <f t="shared" si="36"/>
        <v>271.547123</v>
      </c>
      <c r="AK76" s="73">
        <f t="shared" si="37"/>
        <v>80.05618224</v>
      </c>
      <c r="AL76" s="11"/>
      <c r="AM76" s="51">
        <f t="shared" si="38"/>
        <v>7627.382704</v>
      </c>
      <c r="AN76" s="51" t="str">
        <f t="array" ref="AN76">XLOOKUP(D76,RUC!$B$3:$B$565,RUC!$M$3:$M$565)</f>
        <v>Yuri Rospigliossi</v>
      </c>
      <c r="AO76" s="131" t="s">
        <v>561</v>
      </c>
      <c r="AP76" s="57" t="s">
        <v>1116</v>
      </c>
      <c r="AQ76" s="57" t="s">
        <v>1117</v>
      </c>
      <c r="AS76" s="65"/>
    </row>
    <row r="77" ht="15.0" customHeight="1">
      <c r="A77" s="116" t="s">
        <v>1118</v>
      </c>
      <c r="B77" s="56">
        <v>45877.0</v>
      </c>
      <c r="C77" s="56">
        <v>45870.0</v>
      </c>
      <c r="D77" s="57" t="s">
        <v>306</v>
      </c>
      <c r="E77" s="57">
        <f t="array" ref="E77">XLOOKUP(D77,RUC!$B$3:$B$110,RUC!$D$3:$D$110)</f>
        <v>20612921866</v>
      </c>
      <c r="G77" s="141">
        <v>50.0</v>
      </c>
      <c r="H77" s="57" t="s">
        <v>47</v>
      </c>
      <c r="I77" s="6">
        <v>5.15</v>
      </c>
      <c r="J77" s="58">
        <v>2.15</v>
      </c>
      <c r="K77" s="59">
        <f t="shared" si="25"/>
        <v>5.039</v>
      </c>
      <c r="L77" s="60">
        <v>0.43</v>
      </c>
      <c r="M77" s="3">
        <v>0.404</v>
      </c>
      <c r="N77" s="62">
        <v>0.404</v>
      </c>
      <c r="O77" s="60">
        <f t="shared" si="44"/>
        <v>0.404</v>
      </c>
      <c r="P77" s="63">
        <v>90.0</v>
      </c>
      <c r="Q77" s="58">
        <v>95.58</v>
      </c>
      <c r="R77" s="65">
        <v>3346.85</v>
      </c>
      <c r="S77" s="66">
        <f t="shared" si="48"/>
        <v>130</v>
      </c>
      <c r="U77" s="67">
        <f t="array" ref="U77">XLOOKUP(D77,RUC!$B$3:$B$110,RUC!$F$3:$F$110)</f>
        <v>100</v>
      </c>
      <c r="V77" s="67">
        <v>1.1023</v>
      </c>
      <c r="Y77" s="57" t="str">
        <f t="array" ref="Y77">XLOOKUP(D77,RUC!$B$3:$B$110,RUC!$G$3:$G$110)</f>
        <v/>
      </c>
      <c r="Z77" s="69">
        <f t="array" ref="Z77">XLOOKUP(D77,RUC!$B$3:$B$110,RUC!$H$3:$H$110)</f>
        <v>30</v>
      </c>
      <c r="AA77" s="70">
        <f t="shared" si="28"/>
        <v>30</v>
      </c>
      <c r="AB77" s="71">
        <f t="shared" si="29"/>
        <v>1124.957402</v>
      </c>
      <c r="AC77" s="71">
        <f>+(S77-T77)*V77-'data 1'!$F$4</f>
        <v>63.299</v>
      </c>
      <c r="AD77" s="71">
        <f t="shared" si="30"/>
        <v>85.8745921</v>
      </c>
      <c r="AE77" s="71">
        <f t="shared" si="31"/>
        <v>-36.931</v>
      </c>
      <c r="AF77" s="71">
        <f t="shared" si="32"/>
        <v>88.94108166</v>
      </c>
      <c r="AG77" s="72">
        <f t="shared" si="42"/>
        <v>218.1836738</v>
      </c>
      <c r="AH77" s="52">
        <f t="shared" si="34"/>
        <v>71.00499634</v>
      </c>
      <c r="AI77" s="52">
        <f t="shared" si="35"/>
        <v>74.28855027</v>
      </c>
      <c r="AJ77" s="73">
        <f t="shared" si="36"/>
        <v>88.8635383</v>
      </c>
      <c r="AK77" s="73">
        <f t="shared" si="37"/>
        <v>62.81701599</v>
      </c>
      <c r="AL77" s="11"/>
      <c r="AM77" s="51">
        <f t="shared" si="38"/>
        <v>5668.660347</v>
      </c>
      <c r="AN77" s="51" t="str">
        <f t="array" ref="AN77">XLOOKUP(D77,RUC!$B$3:$B$565,RUC!$M$3:$M$565)</f>
        <v>Ronald Garibay</v>
      </c>
      <c r="AO77" s="131" t="s">
        <v>561</v>
      </c>
      <c r="AP77" s="57" t="s">
        <v>1119</v>
      </c>
      <c r="AQ77" s="57" t="s">
        <v>1120</v>
      </c>
      <c r="AS77" s="65"/>
    </row>
    <row r="78" ht="15.0" customHeight="1">
      <c r="A78" s="116" t="s">
        <v>1121</v>
      </c>
      <c r="B78" s="56">
        <v>45877.0</v>
      </c>
      <c r="C78" s="56">
        <v>45870.0</v>
      </c>
      <c r="D78" s="57" t="s">
        <v>306</v>
      </c>
      <c r="E78" s="57">
        <f t="array" ref="E78">XLOOKUP(D78,RUC!$B$3:$B$110,RUC!$D$3:$D$110)</f>
        <v>20612921866</v>
      </c>
      <c r="G78" s="141">
        <v>50.0</v>
      </c>
      <c r="H78" s="57" t="s">
        <v>47</v>
      </c>
      <c r="I78" s="6">
        <v>5.16</v>
      </c>
      <c r="J78" s="58">
        <v>2.1</v>
      </c>
      <c r="K78" s="59">
        <f t="shared" si="25"/>
        <v>5.052</v>
      </c>
      <c r="L78" s="3">
        <v>0.929</v>
      </c>
      <c r="M78" s="3">
        <v>0.873</v>
      </c>
      <c r="N78" s="62">
        <v>0.873</v>
      </c>
      <c r="O78" s="60">
        <f t="shared" si="44"/>
        <v>0.873</v>
      </c>
      <c r="P78" s="63">
        <v>90.0</v>
      </c>
      <c r="Q78" s="58">
        <v>96.99</v>
      </c>
      <c r="R78" s="65">
        <v>3346.85</v>
      </c>
      <c r="S78" s="66">
        <f t="shared" si="48"/>
        <v>170</v>
      </c>
      <c r="U78" s="67">
        <f t="array" ref="U78">XLOOKUP(D78,RUC!$B$3:$B$110,RUC!$F$3:$F$110)</f>
        <v>100</v>
      </c>
      <c r="V78" s="67">
        <v>1.1023</v>
      </c>
      <c r="Y78" s="57" t="str">
        <f t="array" ref="Y78">XLOOKUP(D78,RUC!$B$3:$B$110,RUC!$G$3:$G$110)</f>
        <v/>
      </c>
      <c r="Z78" s="69">
        <f t="array" ref="Z78">XLOOKUP(D78,RUC!$B$3:$B$110,RUC!$H$3:$H$110)</f>
        <v>30</v>
      </c>
      <c r="AA78" s="70">
        <f t="shared" si="28"/>
        <v>30</v>
      </c>
      <c r="AB78" s="71">
        <f t="shared" si="29"/>
        <v>2591.562465</v>
      </c>
      <c r="AC78" s="71">
        <f>+(S78-T78)*V78-'data 1'!$F$4</f>
        <v>107.391</v>
      </c>
      <c r="AD78" s="71">
        <f t="shared" si="30"/>
        <v>232.4100598</v>
      </c>
      <c r="AE78" s="71">
        <f t="shared" si="31"/>
        <v>-36.931</v>
      </c>
      <c r="AF78" s="71">
        <f t="shared" si="32"/>
        <v>194.3913872</v>
      </c>
      <c r="AG78" s="72">
        <f t="shared" si="42"/>
        <v>514.261447</v>
      </c>
      <c r="AH78" s="52">
        <f t="shared" si="34"/>
        <v>156.0684382</v>
      </c>
      <c r="AI78" s="52">
        <f t="shared" si="35"/>
        <v>160.911886</v>
      </c>
      <c r="AJ78" s="73">
        <f t="shared" si="36"/>
        <v>194.8187683</v>
      </c>
      <c r="AK78" s="73">
        <f t="shared" si="37"/>
        <v>136.0909245</v>
      </c>
      <c r="AL78" s="11"/>
      <c r="AM78" s="51">
        <f t="shared" si="38"/>
        <v>13092.57357</v>
      </c>
      <c r="AN78" s="51" t="str">
        <f t="array" ref="AN78">XLOOKUP(D78,RUC!$B$3:$B$565,RUC!$M$3:$M$565)</f>
        <v>Ronald Garibay</v>
      </c>
      <c r="AO78" s="131" t="s">
        <v>689</v>
      </c>
      <c r="AP78" s="57" t="s">
        <v>1119</v>
      </c>
      <c r="AQ78" s="57" t="s">
        <v>1120</v>
      </c>
      <c r="AS78" s="65"/>
    </row>
    <row r="79" ht="15.0" customHeight="1">
      <c r="A79" s="116" t="s">
        <v>1122</v>
      </c>
      <c r="B79" s="56">
        <v>45880.0</v>
      </c>
      <c r="C79" s="56">
        <v>45871.0</v>
      </c>
      <c r="D79" s="57" t="s">
        <v>306</v>
      </c>
      <c r="E79" s="57">
        <f t="array" ref="E79">XLOOKUP(D79,RUC!$B$3:$B$110,RUC!$D$3:$D$110)</f>
        <v>20612921866</v>
      </c>
      <c r="G79" s="141" t="s">
        <v>46</v>
      </c>
      <c r="H79" s="57" t="s">
        <v>71</v>
      </c>
      <c r="I79" s="6">
        <v>12.05</v>
      </c>
      <c r="J79" s="58">
        <v>1.45</v>
      </c>
      <c r="K79" s="59">
        <f t="shared" si="25"/>
        <v>11.875</v>
      </c>
      <c r="L79" s="3">
        <v>0.272</v>
      </c>
      <c r="M79" s="3">
        <v>0.256</v>
      </c>
      <c r="N79" s="62">
        <v>0.256</v>
      </c>
      <c r="O79" s="60">
        <f t="shared" si="44"/>
        <v>0.256</v>
      </c>
      <c r="P79" s="63">
        <v>90.0</v>
      </c>
      <c r="Q79" s="58">
        <v>92.65</v>
      </c>
      <c r="R79" s="65">
        <v>3346.85</v>
      </c>
      <c r="S79" s="66">
        <f t="shared" si="48"/>
        <v>110</v>
      </c>
      <c r="U79" s="67">
        <f t="array" ref="U79">XLOOKUP(D79,RUC!$B$3:$B$110,RUC!$F$3:$F$110)</f>
        <v>100</v>
      </c>
      <c r="V79" s="67">
        <v>1.1023</v>
      </c>
      <c r="Y79" s="57" t="str">
        <f t="array" ref="Y79">XLOOKUP(D79,RUC!$B$3:$B$110,RUC!$G$3:$G$110)</f>
        <v/>
      </c>
      <c r="Z79" s="69">
        <f t="array" ref="Z79">XLOOKUP(D79,RUC!$B$3:$B$110,RUC!$H$3:$H$110)</f>
        <v>30</v>
      </c>
      <c r="AA79" s="70">
        <f t="shared" si="28"/>
        <v>30</v>
      </c>
      <c r="AB79" s="71">
        <f t="shared" si="29"/>
        <v>670.2802348</v>
      </c>
      <c r="AC79" s="71">
        <f>+(S79-T79)*V79-'data 1'!$F$4</f>
        <v>41.253</v>
      </c>
      <c r="AD79" s="71">
        <f t="shared" si="30"/>
        <v>25.79745186</v>
      </c>
      <c r="AE79" s="71">
        <f t="shared" si="31"/>
        <v>-36.931</v>
      </c>
      <c r="AF79" s="71">
        <f t="shared" si="32"/>
        <v>53.05513684</v>
      </c>
      <c r="AG79" s="72">
        <f t="shared" si="42"/>
        <v>100.1745887</v>
      </c>
      <c r="AH79" s="52">
        <f t="shared" si="34"/>
        <v>102.6022809</v>
      </c>
      <c r="AI79" s="52">
        <f t="shared" si="35"/>
        <v>110.7418034</v>
      </c>
      <c r="AJ79" s="73">
        <f t="shared" si="36"/>
        <v>54.48819827</v>
      </c>
      <c r="AK79" s="73">
        <f t="shared" si="37"/>
        <v>93.8048217</v>
      </c>
      <c r="AL79" s="11"/>
      <c r="AM79" s="51">
        <f t="shared" si="38"/>
        <v>7959.577788</v>
      </c>
      <c r="AN79" s="51" t="str">
        <f t="array" ref="AN79">XLOOKUP(D79,RUC!$B$3:$B$565,RUC!$M$3:$M$565)</f>
        <v>Ronald Garibay</v>
      </c>
      <c r="AO79" s="131" t="s">
        <v>549</v>
      </c>
      <c r="AP79" s="57" t="s">
        <v>1123</v>
      </c>
      <c r="AQ79" s="57" t="s">
        <v>1124</v>
      </c>
      <c r="AS79" s="65"/>
    </row>
    <row r="80" ht="15.0" customHeight="1">
      <c r="A80" s="116" t="s">
        <v>1125</v>
      </c>
      <c r="B80" s="56">
        <v>45878.0</v>
      </c>
      <c r="C80" s="56">
        <v>45871.0</v>
      </c>
      <c r="D80" s="57" t="s">
        <v>225</v>
      </c>
      <c r="E80" s="57">
        <f t="array" ref="E80">XLOOKUP(D80,RUC!$B$3:$B$110,RUC!$D$3:$D$110)</f>
        <v>10761932735</v>
      </c>
      <c r="G80" s="141">
        <v>77.0</v>
      </c>
      <c r="H80" s="57" t="s">
        <v>47</v>
      </c>
      <c r="I80" s="6">
        <v>6.5</v>
      </c>
      <c r="J80" s="58">
        <v>3.8</v>
      </c>
      <c r="K80" s="59">
        <f t="shared" si="25"/>
        <v>6.253</v>
      </c>
      <c r="L80" s="60">
        <v>0.47</v>
      </c>
      <c r="M80" s="3">
        <v>0.442</v>
      </c>
      <c r="N80" s="62">
        <v>0.512</v>
      </c>
      <c r="O80" s="60">
        <f t="shared" si="44"/>
        <v>0.477</v>
      </c>
      <c r="P80" s="63">
        <v>90.0</v>
      </c>
      <c r="Q80" s="58">
        <v>97.23</v>
      </c>
      <c r="R80" s="65">
        <v>3346.85</v>
      </c>
      <c r="S80" s="66">
        <f t="shared" si="48"/>
        <v>130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69">
        <f t="array" ref="Z80">XLOOKUP(D80,RUC!$B$3:$B$110,RUC!$H$3:$H$110)</f>
        <v>30</v>
      </c>
      <c r="AA80" s="70">
        <f t="shared" si="28"/>
        <v>50</v>
      </c>
      <c r="AB80" s="71">
        <f t="shared" si="29"/>
        <v>1328.587535</v>
      </c>
      <c r="AC80" s="71">
        <f>+(S80-T80)*V80-'data 1'!$F$4</f>
        <v>63.299</v>
      </c>
      <c r="AD80" s="71">
        <f t="shared" si="30"/>
        <v>120.8689475</v>
      </c>
      <c r="AE80" s="71">
        <f t="shared" si="31"/>
        <v>-14.885</v>
      </c>
      <c r="AF80" s="71">
        <f t="shared" si="32"/>
        <v>-24.20900337</v>
      </c>
      <c r="AG80" s="72">
        <f t="shared" si="42"/>
        <v>162.0739441</v>
      </c>
      <c r="AH80" s="52">
        <f t="shared" si="34"/>
        <v>97.97057154</v>
      </c>
      <c r="AI80" s="52">
        <f t="shared" si="35"/>
        <v>100.7616698</v>
      </c>
      <c r="AJ80" s="73">
        <f t="shared" si="36"/>
        <v>108.8812733</v>
      </c>
      <c r="AK80" s="73">
        <f t="shared" si="37"/>
        <v>92.03613796</v>
      </c>
      <c r="AL80" s="11"/>
      <c r="AM80" s="51">
        <f t="shared" si="38"/>
        <v>8307.657856</v>
      </c>
      <c r="AN80" s="51" t="str">
        <f t="array" ref="AN80">XLOOKUP(D80,RUC!$B$3:$B$565,RUC!$M$3:$M$565)</f>
        <v>Richard Sapacayo</v>
      </c>
      <c r="AO80" s="131" t="s">
        <v>689</v>
      </c>
      <c r="AP80" s="57" t="s">
        <v>1126</v>
      </c>
      <c r="AQ80" s="57" t="s">
        <v>1127</v>
      </c>
      <c r="AS80" s="65"/>
    </row>
    <row r="81" ht="15.0" customHeight="1">
      <c r="A81" s="116" t="s">
        <v>1128</v>
      </c>
      <c r="B81" s="56">
        <v>45878.0</v>
      </c>
      <c r="C81" s="56">
        <v>45871.0</v>
      </c>
      <c r="D81" s="57" t="s">
        <v>225</v>
      </c>
      <c r="E81" s="57">
        <f t="array" ref="E81">XLOOKUP(D81,RUC!$B$3:$B$110,RUC!$D$3:$D$110)</f>
        <v>10761932735</v>
      </c>
      <c r="G81" s="141">
        <v>238.0</v>
      </c>
      <c r="H81" s="57" t="s">
        <v>47</v>
      </c>
      <c r="I81" s="6">
        <v>19.34</v>
      </c>
      <c r="J81" s="58">
        <v>7.0</v>
      </c>
      <c r="K81" s="59">
        <f t="shared" si="25"/>
        <v>17.986</v>
      </c>
      <c r="L81" s="3">
        <v>0.228</v>
      </c>
      <c r="M81" s="3">
        <v>0.212</v>
      </c>
      <c r="N81" s="62">
        <v>0.212</v>
      </c>
      <c r="O81" s="60">
        <f t="shared" si="44"/>
        <v>0.212</v>
      </c>
      <c r="P81" s="63">
        <v>90.0</v>
      </c>
      <c r="Q81" s="58">
        <v>94.74</v>
      </c>
      <c r="R81" s="65">
        <v>3346.85</v>
      </c>
      <c r="S81" s="66">
        <f t="shared" si="48"/>
        <v>110</v>
      </c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69">
        <f t="array" ref="Z81">XLOOKUP(D81,RUC!$B$3:$B$110,RUC!$H$3:$H$110)</f>
        <v>30</v>
      </c>
      <c r="AA81" s="70">
        <f t="shared" si="28"/>
        <v>50</v>
      </c>
      <c r="AB81" s="71">
        <f t="shared" si="29"/>
        <v>502.2993489</v>
      </c>
      <c r="AC81" s="71">
        <f>+(S81-T81)*V81-'data 1'!$F$4</f>
        <v>41.253</v>
      </c>
      <c r="AD81" s="71">
        <f t="shared" si="30"/>
        <v>38.44074304</v>
      </c>
      <c r="AE81" s="71">
        <f t="shared" si="31"/>
        <v>-14.885</v>
      </c>
      <c r="AF81" s="71">
        <f t="shared" si="32"/>
        <v>53.91777327</v>
      </c>
      <c r="AG81" s="72">
        <f t="shared" si="42"/>
        <v>135.7265163</v>
      </c>
      <c r="AH81" s="52">
        <f t="shared" si="34"/>
        <v>133.2023497</v>
      </c>
      <c r="AI81" s="52">
        <f t="shared" si="35"/>
        <v>140.5977936</v>
      </c>
      <c r="AJ81" s="73">
        <f t="shared" si="36"/>
        <v>51.46633881</v>
      </c>
      <c r="AK81" s="73">
        <f t="shared" si="37"/>
        <v>117.6581536</v>
      </c>
      <c r="AL81" s="11"/>
      <c r="AM81" s="51">
        <f t="shared" si="38"/>
        <v>9034.356088</v>
      </c>
      <c r="AN81" s="51" t="str">
        <f t="array" ref="AN81">XLOOKUP(D81,RUC!$B$3:$B$565,RUC!$M$3:$M$565)</f>
        <v>Richard Sapacayo</v>
      </c>
      <c r="AO81" s="131" t="s">
        <v>561</v>
      </c>
      <c r="AP81" s="57" t="s">
        <v>1126</v>
      </c>
      <c r="AQ81" s="57" t="s">
        <v>1127</v>
      </c>
      <c r="AS81" s="65"/>
    </row>
    <row r="82" ht="15.0" customHeight="1">
      <c r="A82" s="116" t="s">
        <v>1129</v>
      </c>
      <c r="B82" s="56">
        <v>45877.0</v>
      </c>
      <c r="C82" s="56">
        <v>45872.0</v>
      </c>
      <c r="D82" s="57" t="s">
        <v>295</v>
      </c>
      <c r="E82" s="57">
        <f t="array" ref="E82">XLOOKUP(D82,RUC!$B$3:$B$110,RUC!$D$3:$D$110)</f>
        <v>20601769396</v>
      </c>
      <c r="G82" s="141">
        <v>40.0</v>
      </c>
      <c r="H82" s="57" t="s">
        <v>71</v>
      </c>
      <c r="I82" s="6">
        <v>2.85</v>
      </c>
      <c r="J82" s="58">
        <v>12.8</v>
      </c>
      <c r="K82" s="59">
        <f t="shared" si="25"/>
        <v>2.485</v>
      </c>
      <c r="L82" s="3">
        <v>0.679</v>
      </c>
      <c r="M82" s="3">
        <v>0.638</v>
      </c>
      <c r="N82" s="62">
        <v>0.638</v>
      </c>
      <c r="O82" s="60">
        <f t="shared" si="44"/>
        <v>0.638</v>
      </c>
      <c r="P82" s="63">
        <v>80.0</v>
      </c>
      <c r="Q82" s="58">
        <v>81.44</v>
      </c>
      <c r="R82" s="65">
        <v>3346.85</v>
      </c>
      <c r="S82" s="66">
        <f t="shared" si="48"/>
        <v>150</v>
      </c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69">
        <f t="array" ref="Z82">XLOOKUP(D82,RUC!$B$3:$B$110,RUC!$H$3:$H$110)</f>
        <v>30</v>
      </c>
      <c r="AA82" s="70">
        <f t="shared" si="28"/>
        <v>50</v>
      </c>
      <c r="AB82" s="71">
        <f t="shared" si="29"/>
        <v>1595.010728</v>
      </c>
      <c r="AC82" s="71">
        <f>+(S82-T82)*V82-'data 1'!$F$4</f>
        <v>85.345</v>
      </c>
      <c r="AD82" s="71">
        <f t="shared" si="30"/>
        <v>34.77850037</v>
      </c>
      <c r="AE82" s="71">
        <f t="shared" si="31"/>
        <v>-14.885</v>
      </c>
      <c r="AF82" s="71">
        <f t="shared" si="32"/>
        <v>118.7682088</v>
      </c>
      <c r="AG82" s="72">
        <f t="shared" si="42"/>
        <v>241.0067092</v>
      </c>
      <c r="AH82" s="52">
        <f t="shared" si="34"/>
        <v>47.11324322</v>
      </c>
      <c r="AI82" s="52">
        <f t="shared" si="35"/>
        <v>57.85024954</v>
      </c>
      <c r="AJ82" s="73">
        <f t="shared" si="36"/>
        <v>131.7536291</v>
      </c>
      <c r="AK82" s="73">
        <f t="shared" si="37"/>
        <v>43.48566622</v>
      </c>
      <c r="AL82" s="11"/>
      <c r="AM82" s="51">
        <f t="shared" si="38"/>
        <v>3963.601658</v>
      </c>
      <c r="AN82" s="51" t="str">
        <f t="array" ref="AN82">XLOOKUP(D82,RUC!$B$3:$B$565,RUC!$M$3:$M$565)</f>
        <v>Evelyn</v>
      </c>
      <c r="AO82" s="131" t="s">
        <v>547</v>
      </c>
      <c r="AP82" s="57" t="s">
        <v>1130</v>
      </c>
      <c r="AQ82" s="57" t="s">
        <v>1131</v>
      </c>
      <c r="AS82" s="65"/>
    </row>
    <row r="83" ht="15.0" customHeight="1">
      <c r="A83" s="116" t="s">
        <v>1132</v>
      </c>
      <c r="B83" s="56">
        <v>45877.0</v>
      </c>
      <c r="C83" s="56">
        <v>45872.0</v>
      </c>
      <c r="D83" s="57" t="s">
        <v>295</v>
      </c>
      <c r="E83" s="57">
        <f t="array" ref="E83">XLOOKUP(D83,RUC!$B$3:$B$110,RUC!$D$3:$D$110)</f>
        <v>20601769396</v>
      </c>
      <c r="G83" s="141">
        <v>40.0</v>
      </c>
      <c r="H83" s="57" t="s">
        <v>71</v>
      </c>
      <c r="I83" s="6">
        <v>2.76</v>
      </c>
      <c r="J83" s="58">
        <v>20.45</v>
      </c>
      <c r="K83" s="59">
        <f t="shared" si="25"/>
        <v>2.196</v>
      </c>
      <c r="L83" s="3">
        <v>0.776</v>
      </c>
      <c r="M83" s="3">
        <v>0.729</v>
      </c>
      <c r="N83" s="62">
        <v>0.729</v>
      </c>
      <c r="O83" s="60">
        <f t="shared" si="44"/>
        <v>0.729</v>
      </c>
      <c r="P83" s="63">
        <v>88.0</v>
      </c>
      <c r="Q83" s="58">
        <v>87.93</v>
      </c>
      <c r="R83" s="65">
        <v>3346.85</v>
      </c>
      <c r="S83" s="66">
        <f t="shared" si="48"/>
        <v>160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28"/>
        <v>50</v>
      </c>
      <c r="AB83" s="71">
        <f t="shared" si="29"/>
        <v>2050.375897</v>
      </c>
      <c r="AC83" s="71">
        <f>+(S83-T83)*V83-'data 1'!$F$4</f>
        <v>96.368</v>
      </c>
      <c r="AD83" s="71">
        <f t="shared" si="30"/>
        <v>-1.932138909</v>
      </c>
      <c r="AE83" s="71">
        <f t="shared" si="31"/>
        <v>-14.885</v>
      </c>
      <c r="AF83" s="71">
        <f t="shared" si="32"/>
        <v>146.9987075</v>
      </c>
      <c r="AG83" s="72">
        <f t="shared" si="42"/>
        <v>243.5495686</v>
      </c>
      <c r="AH83" s="52">
        <f t="shared" si="34"/>
        <v>51.3736236</v>
      </c>
      <c r="AI83" s="52">
        <f t="shared" si="35"/>
        <v>58.42559263</v>
      </c>
      <c r="AJ83" s="73">
        <f t="shared" si="36"/>
        <v>162.5750296</v>
      </c>
      <c r="AK83" s="73">
        <f t="shared" si="37"/>
        <v>48.30049766</v>
      </c>
      <c r="AL83" s="11"/>
      <c r="AM83" s="51">
        <f t="shared" si="38"/>
        <v>4502.625471</v>
      </c>
      <c r="AN83" s="51" t="str">
        <f t="array" ref="AN83">XLOOKUP(D83,RUC!$B$3:$B$565,RUC!$M$3:$M$565)</f>
        <v>Evelyn</v>
      </c>
      <c r="AO83" s="131" t="s">
        <v>549</v>
      </c>
      <c r="AP83" s="57" t="s">
        <v>1130</v>
      </c>
      <c r="AQ83" s="57" t="s">
        <v>1131</v>
      </c>
      <c r="AS83" s="65"/>
    </row>
    <row r="84" ht="15.0" customHeight="1">
      <c r="A84" s="116" t="s">
        <v>1133</v>
      </c>
      <c r="B84" s="56">
        <v>45877.0</v>
      </c>
      <c r="C84" s="56">
        <v>45872.0</v>
      </c>
      <c r="D84" s="57" t="s">
        <v>295</v>
      </c>
      <c r="E84" s="57">
        <f t="array" ref="E84">XLOOKUP(D84,RUC!$B$3:$B$110,RUC!$D$3:$D$110)</f>
        <v>20601769396</v>
      </c>
      <c r="G84" s="141">
        <v>40.0</v>
      </c>
      <c r="H84" s="57" t="s">
        <v>71</v>
      </c>
      <c r="I84" s="6">
        <v>2.81</v>
      </c>
      <c r="J84" s="58">
        <v>17.9</v>
      </c>
      <c r="K84" s="59">
        <f t="shared" si="25"/>
        <v>2.307</v>
      </c>
      <c r="L84" s="3">
        <v>0.636</v>
      </c>
      <c r="M84" s="3">
        <v>0.598</v>
      </c>
      <c r="N84" s="62">
        <v>0.598</v>
      </c>
      <c r="O84" s="60">
        <f t="shared" si="44"/>
        <v>0.598</v>
      </c>
      <c r="P84" s="63">
        <v>86.0</v>
      </c>
      <c r="Q84" s="58">
        <v>86.01</v>
      </c>
      <c r="R84" s="65">
        <v>3346.85</v>
      </c>
      <c r="S84" s="66">
        <f t="shared" si="48"/>
        <v>140</v>
      </c>
      <c r="U84" s="67">
        <f t="array" ref="U84">XLOOKUP(D84,RUC!$B$3:$B$110,RUC!$F$3:$F$110)</f>
        <v>120</v>
      </c>
      <c r="V84" s="67">
        <v>1.1023</v>
      </c>
      <c r="Y84" s="57">
        <f t="array" ref="Y84">XLOOKUP(D84,RUC!$B$3:$B$110,RUC!$G$3:$G$110)</f>
        <v>20</v>
      </c>
      <c r="Z84" s="69">
        <f t="array" ref="Z84">XLOOKUP(D84,RUC!$B$3:$B$110,RUC!$H$3:$H$110)</f>
        <v>30</v>
      </c>
      <c r="AA84" s="70">
        <f t="shared" si="28"/>
        <v>50</v>
      </c>
      <c r="AB84" s="71">
        <f t="shared" si="29"/>
        <v>1619.83472</v>
      </c>
      <c r="AC84" s="71">
        <f>+(S84-T84)*V84-'data 1'!$F$4</f>
        <v>74.322</v>
      </c>
      <c r="AD84" s="71">
        <f t="shared" si="30"/>
        <v>0.2262224496</v>
      </c>
      <c r="AE84" s="71">
        <f t="shared" si="31"/>
        <v>-14.885</v>
      </c>
      <c r="AF84" s="71">
        <f t="shared" si="32"/>
        <v>116.2548632</v>
      </c>
      <c r="AG84" s="72">
        <f t="shared" si="42"/>
        <v>192.9180856</v>
      </c>
      <c r="AH84" s="52">
        <f t="shared" si="34"/>
        <v>43.26759213</v>
      </c>
      <c r="AI84" s="52">
        <f t="shared" si="35"/>
        <v>50.30530419</v>
      </c>
      <c r="AJ84" s="73">
        <f t="shared" si="36"/>
        <v>130.3350163</v>
      </c>
      <c r="AK84" s="73">
        <f t="shared" si="37"/>
        <v>40.67769157</v>
      </c>
      <c r="AL84" s="11"/>
      <c r="AM84" s="51">
        <f t="shared" si="38"/>
        <v>3736.958699</v>
      </c>
      <c r="AN84" s="51" t="str">
        <f t="array" ref="AN84">XLOOKUP(D84,RUC!$B$3:$B$565,RUC!$M$3:$M$565)</f>
        <v>Evelyn</v>
      </c>
      <c r="AO84" s="131" t="s">
        <v>547</v>
      </c>
      <c r="AP84" s="57" t="s">
        <v>1130</v>
      </c>
      <c r="AQ84" s="57" t="s">
        <v>1131</v>
      </c>
      <c r="AS84" s="65"/>
    </row>
    <row r="85" ht="15.0" customHeight="1">
      <c r="A85" s="116" t="s">
        <v>1134</v>
      </c>
      <c r="B85" s="56">
        <v>45877.0</v>
      </c>
      <c r="C85" s="56">
        <v>45872.0</v>
      </c>
      <c r="D85" s="57" t="s">
        <v>295</v>
      </c>
      <c r="E85" s="57">
        <f t="array" ref="E85">XLOOKUP(D85,RUC!$B$3:$B$110,RUC!$D$3:$D$110)</f>
        <v>20601769396</v>
      </c>
      <c r="G85" s="141">
        <v>56.0</v>
      </c>
      <c r="H85" s="57" t="s">
        <v>71</v>
      </c>
      <c r="I85" s="6">
        <v>3.26</v>
      </c>
      <c r="J85" s="58">
        <v>18.5</v>
      </c>
      <c r="K85" s="59">
        <f t="shared" si="25"/>
        <v>2.657</v>
      </c>
      <c r="L85" s="3">
        <v>0.519</v>
      </c>
      <c r="M85" s="3">
        <v>0.488</v>
      </c>
      <c r="N85" s="62">
        <v>0.488</v>
      </c>
      <c r="O85" s="60">
        <f t="shared" si="44"/>
        <v>0.488</v>
      </c>
      <c r="P85" s="63">
        <v>90.0</v>
      </c>
      <c r="Q85" s="58">
        <v>94.16</v>
      </c>
      <c r="R85" s="65">
        <v>3346.85</v>
      </c>
      <c r="S85" s="66">
        <f t="shared" si="48"/>
        <v>130</v>
      </c>
      <c r="U85" s="67">
        <f t="array" ref="U85">XLOOKUP(D85,RUC!$B$3:$B$110,RUC!$F$3:$F$110)</f>
        <v>120</v>
      </c>
      <c r="V85" s="67">
        <v>1.1023</v>
      </c>
      <c r="Y85" s="57">
        <f t="array" ref="Y85">XLOOKUP(D85,RUC!$B$3:$B$110,RUC!$G$3:$G$110)</f>
        <v>20</v>
      </c>
      <c r="Z85" s="69">
        <f t="array" ref="Z85">XLOOKUP(D85,RUC!$B$3:$B$110,RUC!$H$3:$H$110)</f>
        <v>30</v>
      </c>
      <c r="AA85" s="70">
        <f t="shared" si="28"/>
        <v>50</v>
      </c>
      <c r="AB85" s="71">
        <f t="shared" si="29"/>
        <v>1363.801407</v>
      </c>
      <c r="AC85" s="71">
        <f>+(S85-T85)*V85-'data 1'!$F$4</f>
        <v>63.299</v>
      </c>
      <c r="AD85" s="71">
        <f t="shared" si="30"/>
        <v>76.79611912</v>
      </c>
      <c r="AE85" s="71">
        <f t="shared" si="31"/>
        <v>-14.885</v>
      </c>
      <c r="AF85" s="71">
        <f t="shared" si="32"/>
        <v>103.8261449</v>
      </c>
      <c r="AG85" s="72">
        <f t="shared" si="42"/>
        <v>246.036264</v>
      </c>
      <c r="AH85" s="52">
        <f t="shared" si="34"/>
        <v>44.51787558</v>
      </c>
      <c r="AI85" s="52">
        <f t="shared" si="35"/>
        <v>47.27896727</v>
      </c>
      <c r="AJ85" s="73">
        <f t="shared" si="36"/>
        <v>116.4364229</v>
      </c>
      <c r="AK85" s="73">
        <f t="shared" si="37"/>
        <v>40.00948444</v>
      </c>
      <c r="AL85" s="11"/>
      <c r="AM85" s="51">
        <f t="shared" si="38"/>
        <v>3623.620338</v>
      </c>
      <c r="AN85" s="51" t="str">
        <f t="array" ref="AN85">XLOOKUP(D85,RUC!$B$3:$B$565,RUC!$M$3:$M$565)</f>
        <v>Evelyn</v>
      </c>
      <c r="AO85" s="131" t="s">
        <v>561</v>
      </c>
      <c r="AP85" s="57" t="s">
        <v>1130</v>
      </c>
      <c r="AQ85" s="57" t="s">
        <v>1131</v>
      </c>
      <c r="AS85" s="65"/>
    </row>
    <row r="86" ht="15.0" customHeight="1">
      <c r="A86" s="116" t="s">
        <v>1135</v>
      </c>
      <c r="B86" s="56">
        <v>45877.0</v>
      </c>
      <c r="C86" s="56">
        <v>45872.0</v>
      </c>
      <c r="D86" s="57" t="s">
        <v>295</v>
      </c>
      <c r="E86" s="57">
        <f t="array" ref="E86">XLOOKUP(D86,RUC!$B$3:$B$110,RUC!$D$3:$D$110)</f>
        <v>20601769396</v>
      </c>
      <c r="G86" s="141">
        <v>50.0</v>
      </c>
      <c r="H86" s="57" t="s">
        <v>71</v>
      </c>
      <c r="I86" s="6">
        <v>2.98</v>
      </c>
      <c r="J86" s="58">
        <v>19.9</v>
      </c>
      <c r="K86" s="59">
        <f t="shared" si="25"/>
        <v>2.387</v>
      </c>
      <c r="L86" s="3">
        <v>0.424</v>
      </c>
      <c r="M86" s="3">
        <v>0.399</v>
      </c>
      <c r="N86" s="62">
        <v>0.399</v>
      </c>
      <c r="O86" s="60">
        <f t="shared" si="44"/>
        <v>0.399</v>
      </c>
      <c r="P86" s="63">
        <v>90.0</v>
      </c>
      <c r="Q86" s="58">
        <v>92.68</v>
      </c>
      <c r="R86" s="65">
        <v>3346.85</v>
      </c>
      <c r="S86" s="66">
        <f t="shared" si="48"/>
        <v>120</v>
      </c>
      <c r="U86" s="67">
        <f t="array" ref="U86">XLOOKUP(D86,RUC!$B$3:$B$110,RUC!$F$3:$F$110)</f>
        <v>120</v>
      </c>
      <c r="V86" s="67">
        <v>1.1023</v>
      </c>
      <c r="Y86" s="57">
        <f t="array" ref="Y86">XLOOKUP(D86,RUC!$B$3:$B$110,RUC!$G$3:$G$110)</f>
        <v>20</v>
      </c>
      <c r="Z86" s="69">
        <f t="array" ref="Z86">XLOOKUP(D86,RUC!$B$3:$B$110,RUC!$H$3:$H$110)</f>
        <v>30</v>
      </c>
      <c r="AA86" s="70">
        <f t="shared" si="28"/>
        <v>50</v>
      </c>
      <c r="AB86" s="71">
        <f t="shared" si="29"/>
        <v>1089.912171</v>
      </c>
      <c r="AC86" s="71">
        <f>+(S86-T86)*V86-'data 1'!$F$4</f>
        <v>52.276</v>
      </c>
      <c r="AD86" s="71">
        <f t="shared" si="30"/>
        <v>40.418411</v>
      </c>
      <c r="AE86" s="71">
        <f t="shared" si="31"/>
        <v>-14.885</v>
      </c>
      <c r="AF86" s="71">
        <f t="shared" si="32"/>
        <v>82.41468801</v>
      </c>
      <c r="AG86" s="72">
        <f t="shared" si="42"/>
        <v>177.224099</v>
      </c>
      <c r="AH86" s="52">
        <f t="shared" si="34"/>
        <v>32.15980228</v>
      </c>
      <c r="AI86" s="52">
        <f t="shared" si="35"/>
        <v>34.69982982</v>
      </c>
      <c r="AJ86" s="73">
        <f t="shared" si="36"/>
        <v>93.62825494</v>
      </c>
      <c r="AK86" s="73">
        <f t="shared" si="37"/>
        <v>29.38846436</v>
      </c>
      <c r="AL86" s="11"/>
      <c r="AM86" s="51">
        <f t="shared" si="38"/>
        <v>2601.620352</v>
      </c>
      <c r="AN86" s="51" t="str">
        <f t="array" ref="AN86">XLOOKUP(D86,RUC!$B$3:$B$565,RUC!$M$3:$M$565)</f>
        <v>Evelyn</v>
      </c>
      <c r="AO86" s="131" t="s">
        <v>549</v>
      </c>
      <c r="AP86" s="57" t="s">
        <v>1130</v>
      </c>
      <c r="AQ86" s="57" t="s">
        <v>1131</v>
      </c>
      <c r="AS86" s="65"/>
    </row>
    <row r="87" ht="15.0" customHeight="1">
      <c r="A87" s="116" t="s">
        <v>1136</v>
      </c>
      <c r="B87" s="56">
        <v>45877.0</v>
      </c>
      <c r="C87" s="56">
        <v>45872.0</v>
      </c>
      <c r="D87" s="57" t="s">
        <v>295</v>
      </c>
      <c r="E87" s="57">
        <f t="array" ref="E87">XLOOKUP(D87,RUC!$B$3:$B$110,RUC!$D$3:$D$110)</f>
        <v>20601769396</v>
      </c>
      <c r="G87" s="141">
        <v>50.0</v>
      </c>
      <c r="H87" s="57" t="s">
        <v>71</v>
      </c>
      <c r="I87" s="6">
        <v>3.04</v>
      </c>
      <c r="J87" s="58">
        <v>19.2</v>
      </c>
      <c r="K87" s="59">
        <f t="shared" si="25"/>
        <v>2.456</v>
      </c>
      <c r="L87" s="3">
        <v>0.358</v>
      </c>
      <c r="M87" s="3">
        <v>0.337</v>
      </c>
      <c r="N87" s="62">
        <v>0.337</v>
      </c>
      <c r="O87" s="60">
        <f t="shared" si="44"/>
        <v>0.337</v>
      </c>
      <c r="P87" s="63">
        <v>90.0</v>
      </c>
      <c r="Q87" s="58">
        <v>90.22</v>
      </c>
      <c r="R87" s="65">
        <v>3346.85</v>
      </c>
      <c r="S87" s="66">
        <f t="shared" si="48"/>
        <v>120</v>
      </c>
      <c r="U87" s="67">
        <f t="array" ref="U87">XLOOKUP(D87,RUC!$B$3:$B$110,RUC!$F$3:$F$110)</f>
        <v>120</v>
      </c>
      <c r="V87" s="67">
        <v>1.1023</v>
      </c>
      <c r="Y87" s="57">
        <f t="array" ref="Y87">XLOOKUP(D87,RUC!$B$3:$B$110,RUC!$G$3:$G$110)</f>
        <v>20</v>
      </c>
      <c r="Z87" s="69">
        <f t="array" ref="Z87">XLOOKUP(D87,RUC!$B$3:$B$110,RUC!$H$3:$H$110)</f>
        <v>30</v>
      </c>
      <c r="AA87" s="70">
        <f t="shared" si="28"/>
        <v>50</v>
      </c>
      <c r="AB87" s="71">
        <f t="shared" si="29"/>
        <v>891.4339838</v>
      </c>
      <c r="AC87" s="71">
        <f>+(S87-T87)*V87-'data 1'!$F$4</f>
        <v>52.276</v>
      </c>
      <c r="AD87" s="71">
        <f t="shared" si="30"/>
        <v>2.80145914</v>
      </c>
      <c r="AE87" s="71">
        <f t="shared" si="31"/>
        <v>-14.885</v>
      </c>
      <c r="AF87" s="71">
        <f t="shared" si="32"/>
        <v>67.39081407</v>
      </c>
      <c r="AG87" s="72">
        <f t="shared" si="42"/>
        <v>124.5832732</v>
      </c>
      <c r="AH87" s="52">
        <f t="shared" si="34"/>
        <v>27.19714277</v>
      </c>
      <c r="AI87" s="52">
        <f t="shared" si="35"/>
        <v>30.14535887</v>
      </c>
      <c r="AJ87" s="73">
        <f t="shared" si="36"/>
        <v>76.95571838</v>
      </c>
      <c r="AK87" s="73">
        <f t="shared" si="37"/>
        <v>25.53935013</v>
      </c>
      <c r="AL87" s="11"/>
      <c r="AM87" s="51">
        <f t="shared" si="38"/>
        <v>2189.361864</v>
      </c>
      <c r="AN87" s="51" t="str">
        <f t="array" ref="AN87">XLOOKUP(D87,RUC!$B$3:$B$565,RUC!$M$3:$M$565)</f>
        <v>Evelyn</v>
      </c>
      <c r="AO87" s="131" t="s">
        <v>549</v>
      </c>
      <c r="AP87" s="57" t="s">
        <v>1130</v>
      </c>
      <c r="AQ87" s="57" t="s">
        <v>1131</v>
      </c>
      <c r="AS87" s="65"/>
    </row>
    <row r="88" ht="15.0" customHeight="1">
      <c r="A88" s="116" t="s">
        <v>1137</v>
      </c>
      <c r="B88" s="56">
        <v>45878.0</v>
      </c>
      <c r="C88" s="56">
        <v>45872.0</v>
      </c>
      <c r="D88" s="57" t="s">
        <v>295</v>
      </c>
      <c r="E88" s="57">
        <f t="array" ref="E88">XLOOKUP(D88,RUC!$B$3:$B$110,RUC!$D$3:$D$110)</f>
        <v>20601769396</v>
      </c>
      <c r="G88" s="141">
        <v>57.0</v>
      </c>
      <c r="H88" s="57" t="s">
        <v>71</v>
      </c>
      <c r="I88" s="6">
        <v>3.53</v>
      </c>
      <c r="J88" s="58">
        <v>21.4</v>
      </c>
      <c r="K88" s="59">
        <f t="shared" si="25"/>
        <v>2.775</v>
      </c>
      <c r="L88" s="3">
        <v>0.214</v>
      </c>
      <c r="M88" s="3">
        <v>0.199</v>
      </c>
      <c r="N88" s="62">
        <v>0.199</v>
      </c>
      <c r="O88" s="60">
        <f t="shared" si="44"/>
        <v>0.199</v>
      </c>
      <c r="P88" s="63">
        <v>90.0</v>
      </c>
      <c r="Q88" s="58">
        <v>90.09</v>
      </c>
      <c r="R88" s="65">
        <v>3346.85</v>
      </c>
      <c r="S88" s="66">
        <f t="shared" si="48"/>
        <v>100</v>
      </c>
      <c r="U88" s="67">
        <f t="array" ref="U88">XLOOKUP(D88,RUC!$B$3:$B$110,RUC!$F$3:$F$110)</f>
        <v>120</v>
      </c>
      <c r="V88" s="67">
        <v>1.1023</v>
      </c>
      <c r="Y88" s="57">
        <f t="array" ref="Y88">XLOOKUP(D88,RUC!$B$3:$B$110,RUC!$G$3:$G$110)</f>
        <v>20</v>
      </c>
      <c r="Z88" s="69">
        <f t="array" ref="Z88">XLOOKUP(D88,RUC!$B$3:$B$110,RUC!$H$3:$H$110)</f>
        <v>30</v>
      </c>
      <c r="AA88" s="70">
        <f t="shared" si="28"/>
        <v>50</v>
      </c>
      <c r="AB88" s="71">
        <f t="shared" si="29"/>
        <v>471.7059548</v>
      </c>
      <c r="AC88" s="71">
        <f>+(S88-T88)*V88-'data 1'!$F$4</f>
        <v>30.23</v>
      </c>
      <c r="AD88" s="71">
        <f t="shared" si="30"/>
        <v>0.685069871</v>
      </c>
      <c r="AE88" s="71">
        <f t="shared" si="31"/>
        <v>-14.885</v>
      </c>
      <c r="AF88" s="71">
        <f t="shared" si="32"/>
        <v>48.06693511</v>
      </c>
      <c r="AG88" s="72">
        <f t="shared" si="42"/>
        <v>81.09700498</v>
      </c>
      <c r="AH88" s="52">
        <f t="shared" si="34"/>
        <v>18.34266426</v>
      </c>
      <c r="AI88" s="52">
        <f t="shared" si="35"/>
        <v>20.36037769</v>
      </c>
      <c r="AJ88" s="73">
        <f t="shared" si="36"/>
        <v>45.93517842</v>
      </c>
      <c r="AK88" s="73">
        <f t="shared" si="37"/>
        <v>17.03992357</v>
      </c>
      <c r="AL88" s="11"/>
      <c r="AM88" s="51">
        <f t="shared" si="38"/>
        <v>1308.984025</v>
      </c>
      <c r="AN88" s="51" t="str">
        <f t="array" ref="AN88">XLOOKUP(D88,RUC!$B$3:$B$565,RUC!$M$3:$M$565)</f>
        <v>Evelyn</v>
      </c>
      <c r="AO88" s="131" t="s">
        <v>549</v>
      </c>
      <c r="AP88" s="57" t="s">
        <v>1130</v>
      </c>
      <c r="AQ88" s="57" t="s">
        <v>1131</v>
      </c>
      <c r="AS88" s="65"/>
    </row>
    <row r="89" ht="15.0" customHeight="1">
      <c r="A89" s="116" t="s">
        <v>1138</v>
      </c>
      <c r="B89" s="56">
        <v>45878.0</v>
      </c>
      <c r="C89" s="56">
        <v>45872.0</v>
      </c>
      <c r="D89" s="57" t="s">
        <v>295</v>
      </c>
      <c r="E89" s="57">
        <f t="array" ref="E89">XLOOKUP(D89,RUC!$B$3:$B$110,RUC!$D$3:$D$110)</f>
        <v>20601769396</v>
      </c>
      <c r="G89" s="141">
        <v>58.0</v>
      </c>
      <c r="H89" s="57" t="s">
        <v>71</v>
      </c>
      <c r="I89" s="6">
        <v>3.9</v>
      </c>
      <c r="J89" s="58">
        <v>19.0</v>
      </c>
      <c r="K89" s="59">
        <f t="shared" si="25"/>
        <v>3.159</v>
      </c>
      <c r="L89" s="60">
        <v>0.22</v>
      </c>
      <c r="M89" s="3">
        <v>0.205</v>
      </c>
      <c r="N89" s="62">
        <v>0.205</v>
      </c>
      <c r="O89" s="60">
        <f t="shared" si="44"/>
        <v>0.205</v>
      </c>
      <c r="P89" s="63">
        <v>83.0</v>
      </c>
      <c r="Q89" s="58">
        <v>83.64</v>
      </c>
      <c r="R89" s="65">
        <v>3346.85</v>
      </c>
      <c r="S89" s="66">
        <f t="shared" si="48"/>
        <v>110</v>
      </c>
      <c r="U89" s="67">
        <f t="array" ref="U89">XLOOKUP(D89,RUC!$B$3:$B$110,RUC!$F$3:$F$110)</f>
        <v>120</v>
      </c>
      <c r="V89" s="67">
        <v>1.1023</v>
      </c>
      <c r="Y89" s="57">
        <f t="array" ref="Y89">XLOOKUP(D89,RUC!$B$3:$B$110,RUC!$G$3:$G$110)</f>
        <v>20</v>
      </c>
      <c r="Z89" s="69">
        <f t="array" ref="Z89">XLOOKUP(D89,RUC!$B$3:$B$110,RUC!$H$3:$H$110)</f>
        <v>30</v>
      </c>
      <c r="AA89" s="70">
        <f t="shared" si="28"/>
        <v>50</v>
      </c>
      <c r="AB89" s="71">
        <f t="shared" si="29"/>
        <v>428.8481919</v>
      </c>
      <c r="AC89" s="71">
        <f>+(S89-T89)*V89-'data 1'!$F$4</f>
        <v>41.253</v>
      </c>
      <c r="AD89" s="71">
        <f t="shared" si="30"/>
        <v>5.008195111</v>
      </c>
      <c r="AE89" s="71">
        <f t="shared" si="31"/>
        <v>-14.885</v>
      </c>
      <c r="AF89" s="71">
        <f t="shared" si="32"/>
        <v>44.62557945</v>
      </c>
      <c r="AG89" s="72">
        <f t="shared" si="42"/>
        <v>93.00177456</v>
      </c>
      <c r="AH89" s="52">
        <f t="shared" si="34"/>
        <v>19.92945398</v>
      </c>
      <c r="AI89" s="52">
        <f t="shared" si="35"/>
        <v>23.82765899</v>
      </c>
      <c r="AJ89" s="73">
        <f t="shared" si="36"/>
        <v>43.84214078</v>
      </c>
      <c r="AK89" s="73">
        <f t="shared" si="37"/>
        <v>18.42852808</v>
      </c>
      <c r="AL89" s="11"/>
      <c r="AM89" s="51">
        <f t="shared" si="38"/>
        <v>1354.731438</v>
      </c>
      <c r="AN89" s="51" t="str">
        <f t="array" ref="AN89">XLOOKUP(D89,RUC!$B$3:$B$565,RUC!$M$3:$M$565)</f>
        <v>Evelyn</v>
      </c>
      <c r="AO89" s="131" t="s">
        <v>547</v>
      </c>
      <c r="AP89" s="57" t="s">
        <v>1130</v>
      </c>
      <c r="AQ89" s="57" t="s">
        <v>1131</v>
      </c>
      <c r="AS89" s="65"/>
    </row>
    <row r="90" ht="15.0" customHeight="1">
      <c r="A90" s="116" t="s">
        <v>1139</v>
      </c>
      <c r="B90" s="56">
        <v>45881.0</v>
      </c>
      <c r="C90" s="56">
        <v>45874.0</v>
      </c>
      <c r="D90" s="57" t="s">
        <v>74</v>
      </c>
      <c r="E90" s="57">
        <f t="array" ref="E90">XLOOKUP(D90,RUC!$B$3:$B$110,RUC!$D$3:$D$110)</f>
        <v>10082235774</v>
      </c>
      <c r="G90" s="141">
        <v>52.0</v>
      </c>
      <c r="H90" s="57" t="s">
        <v>47</v>
      </c>
      <c r="I90" s="6">
        <v>4.9</v>
      </c>
      <c r="J90" s="58">
        <v>2.9</v>
      </c>
      <c r="K90" s="59">
        <f t="shared" si="25"/>
        <v>4.758</v>
      </c>
      <c r="L90" s="3">
        <v>0.185</v>
      </c>
      <c r="M90" s="3">
        <v>0.178</v>
      </c>
      <c r="N90" s="427">
        <v>0.178</v>
      </c>
      <c r="O90" s="60">
        <f t="shared" si="44"/>
        <v>0.178</v>
      </c>
      <c r="P90" s="63">
        <v>85.0</v>
      </c>
      <c r="Q90" s="58">
        <v>95.68</v>
      </c>
      <c r="R90" s="65">
        <v>3375.3</v>
      </c>
      <c r="S90" s="133">
        <v>95.0</v>
      </c>
      <c r="U90" s="67">
        <f t="array" ref="U90">XLOOKUP(D90,RUC!$B$3:$B$110,RUC!$F$3:$F$110)</f>
        <v>80</v>
      </c>
      <c r="V90" s="67">
        <v>1.1023</v>
      </c>
      <c r="Y90" s="57" t="str">
        <f t="array" ref="Y90">XLOOKUP(D90,RUC!$B$3:$B$110,RUC!$G$3:$G$110)</f>
        <v/>
      </c>
      <c r="Z90" s="69">
        <f t="array" ref="Z90">XLOOKUP(D90,RUC!$B$3:$B$110,RUC!$H$3:$H$110)</f>
        <v>10</v>
      </c>
      <c r="AA90" s="70">
        <f t="shared" si="28"/>
        <v>10</v>
      </c>
      <c r="AB90" s="71">
        <f t="shared" si="29"/>
        <v>433.8420104</v>
      </c>
      <c r="AC90" s="71">
        <f>+(S90-T90)*V90-'data 1'!$F$4</f>
        <v>24.7185</v>
      </c>
      <c r="AD90" s="71">
        <f t="shared" si="30"/>
        <v>71.76914078</v>
      </c>
      <c r="AE90" s="71">
        <f t="shared" si="31"/>
        <v>-58.977</v>
      </c>
      <c r="AF90" s="71">
        <f t="shared" si="32"/>
        <v>24.32842379</v>
      </c>
      <c r="AG90" s="72">
        <f t="shared" ref="AG90:AG92" si="49">AC90+AD90+AE90+AF90+70</f>
        <v>131.8390646</v>
      </c>
      <c r="AH90" s="52">
        <f t="shared" si="34"/>
        <v>28.87529315</v>
      </c>
      <c r="AI90" s="52">
        <f t="shared" si="35"/>
        <v>30.17902712</v>
      </c>
      <c r="AJ90" s="73">
        <f t="shared" si="36"/>
        <v>28.81862115</v>
      </c>
      <c r="AK90" s="73">
        <f t="shared" si="37"/>
        <v>24.68155029</v>
      </c>
      <c r="AL90" s="11"/>
      <c r="AM90" s="51">
        <f t="shared" si="38"/>
        <v>2064.220286</v>
      </c>
      <c r="AN90" s="51" t="str">
        <f t="array" ref="AN90">XLOOKUP(D90,RUC!$B$3:$B$565,RUC!$M$3:$M$565)</f>
        <v>Melchor Vera</v>
      </c>
      <c r="AO90" s="131" t="s">
        <v>561</v>
      </c>
      <c r="AP90" s="57" t="s">
        <v>1140</v>
      </c>
      <c r="AQ90" s="57" t="s">
        <v>1141</v>
      </c>
      <c r="AS90" s="65"/>
    </row>
    <row r="91" ht="15.0" customHeight="1">
      <c r="A91" s="116" t="s">
        <v>1142</v>
      </c>
      <c r="B91" s="56">
        <v>45881.0</v>
      </c>
      <c r="C91" s="56">
        <v>45874.0</v>
      </c>
      <c r="D91" s="57" t="s">
        <v>74</v>
      </c>
      <c r="E91" s="57">
        <f t="array" ref="E91">XLOOKUP(D91,RUC!$B$3:$B$110,RUC!$D$3:$D$110)</f>
        <v>10082235774</v>
      </c>
      <c r="G91" s="141">
        <v>62.0</v>
      </c>
      <c r="H91" s="57" t="s">
        <v>47</v>
      </c>
      <c r="I91" s="6">
        <v>5.74</v>
      </c>
      <c r="J91" s="58">
        <v>3.15</v>
      </c>
      <c r="K91" s="59">
        <f t="shared" si="25"/>
        <v>5.559</v>
      </c>
      <c r="L91" s="3">
        <v>0.285</v>
      </c>
      <c r="M91" s="3">
        <v>0.276</v>
      </c>
      <c r="N91" s="427">
        <v>0.276</v>
      </c>
      <c r="O91" s="60">
        <f t="shared" si="44"/>
        <v>0.276</v>
      </c>
      <c r="P91" s="63">
        <v>90.0</v>
      </c>
      <c r="Q91" s="58">
        <v>92.98</v>
      </c>
      <c r="R91" s="65">
        <v>3375.3</v>
      </c>
      <c r="S91" s="133">
        <v>105.0</v>
      </c>
      <c r="U91" s="67">
        <f t="array" ref="U91">XLOOKUP(D91,RUC!$B$3:$B$110,RUC!$F$3:$F$110)</f>
        <v>80</v>
      </c>
      <c r="V91" s="67">
        <v>1.1023</v>
      </c>
      <c r="Y91" s="57" t="str">
        <f t="array" ref="Y91">XLOOKUP(D91,RUC!$B$3:$B$110,RUC!$G$3:$G$110)</f>
        <v/>
      </c>
      <c r="Z91" s="69">
        <f t="array" ref="Z91">XLOOKUP(D91,RUC!$B$3:$B$110,RUC!$H$3:$H$110)</f>
        <v>10</v>
      </c>
      <c r="AA91" s="70">
        <f t="shared" si="28"/>
        <v>10</v>
      </c>
      <c r="AB91" s="71">
        <f t="shared" si="29"/>
        <v>775.5259428</v>
      </c>
      <c r="AC91" s="71">
        <f>+(S91-T91)*V91-'data 1'!$F$4</f>
        <v>35.7415</v>
      </c>
      <c r="AD91" s="71">
        <f t="shared" si="30"/>
        <v>30.85005125</v>
      </c>
      <c r="AE91" s="71">
        <f t="shared" si="31"/>
        <v>-58.977</v>
      </c>
      <c r="AF91" s="71">
        <f t="shared" si="32"/>
        <v>30.39672658</v>
      </c>
      <c r="AG91" s="72">
        <f t="shared" si="49"/>
        <v>108.0112778</v>
      </c>
      <c r="AH91" s="52">
        <f t="shared" si="34"/>
        <v>50.50567098</v>
      </c>
      <c r="AI91" s="52">
        <f t="shared" si="35"/>
        <v>54.31885457</v>
      </c>
      <c r="AJ91" s="73">
        <f t="shared" si="36"/>
        <v>43.14343348</v>
      </c>
      <c r="AK91" s="73">
        <f t="shared" si="37"/>
        <v>47.34317009</v>
      </c>
      <c r="AL91" s="11"/>
      <c r="AM91" s="51">
        <f t="shared" si="38"/>
        <v>4311.148716</v>
      </c>
      <c r="AN91" s="51" t="str">
        <f t="array" ref="AN91">XLOOKUP(D91,RUC!$B$3:$B$565,RUC!$M$3:$M$565)</f>
        <v>Melchor Vera</v>
      </c>
      <c r="AO91" s="131" t="s">
        <v>561</v>
      </c>
      <c r="AP91" s="57" t="s">
        <v>1140</v>
      </c>
      <c r="AQ91" s="57" t="s">
        <v>1141</v>
      </c>
      <c r="AS91" s="65"/>
    </row>
    <row r="92" ht="15.0" customHeight="1">
      <c r="A92" s="116" t="s">
        <v>1143</v>
      </c>
      <c r="B92" s="56">
        <v>45881.0</v>
      </c>
      <c r="C92" s="56">
        <v>45874.0</v>
      </c>
      <c r="D92" s="57" t="s">
        <v>74</v>
      </c>
      <c r="E92" s="57">
        <f t="array" ref="E92">XLOOKUP(D92,RUC!$B$3:$B$110,RUC!$D$3:$D$110)</f>
        <v>10082235774</v>
      </c>
      <c r="G92" s="141">
        <v>64.0</v>
      </c>
      <c r="H92" s="57" t="s">
        <v>47</v>
      </c>
      <c r="I92" s="6">
        <v>6.02</v>
      </c>
      <c r="J92" s="58">
        <v>3.8</v>
      </c>
      <c r="K92" s="59">
        <f t="shared" si="25"/>
        <v>5.791</v>
      </c>
      <c r="L92" s="3">
        <v>0.221</v>
      </c>
      <c r="M92" s="3">
        <v>0.214</v>
      </c>
      <c r="N92" s="427">
        <v>0.214</v>
      </c>
      <c r="O92" s="60">
        <f t="shared" si="44"/>
        <v>0.214</v>
      </c>
      <c r="P92" s="63">
        <v>85.0</v>
      </c>
      <c r="Q92" s="58">
        <v>92.31</v>
      </c>
      <c r="R92" s="65">
        <v>3375.3</v>
      </c>
      <c r="S92" s="133">
        <v>105.0</v>
      </c>
      <c r="U92" s="67">
        <f t="array" ref="U92">XLOOKUP(D92,RUC!$B$3:$B$110,RUC!$F$3:$F$110)</f>
        <v>80</v>
      </c>
      <c r="V92" s="67">
        <v>1.1023</v>
      </c>
      <c r="Y92" s="57" t="str">
        <f t="array" ref="Y92">XLOOKUP(D92,RUC!$B$3:$B$110,RUC!$G$3:$G$110)</f>
        <v/>
      </c>
      <c r="Z92" s="69">
        <f t="array" ref="Z92">XLOOKUP(D92,RUC!$B$3:$B$110,RUC!$H$3:$H$110)</f>
        <v>10</v>
      </c>
      <c r="AA92" s="70">
        <f t="shared" si="28"/>
        <v>10</v>
      </c>
      <c r="AB92" s="71">
        <f t="shared" si="29"/>
        <v>533.9707317</v>
      </c>
      <c r="AC92" s="71">
        <f>+(S92-T92)*V92-'data 1'!$F$4</f>
        <v>35.7415</v>
      </c>
      <c r="AD92" s="71">
        <f t="shared" si="30"/>
        <v>58.68193371</v>
      </c>
      <c r="AE92" s="71">
        <f t="shared" si="31"/>
        <v>-58.977</v>
      </c>
      <c r="AF92" s="71">
        <f t="shared" si="32"/>
        <v>23.47153846</v>
      </c>
      <c r="AG92" s="72">
        <f t="shared" si="49"/>
        <v>128.9179722</v>
      </c>
      <c r="AH92" s="52">
        <f t="shared" si="34"/>
        <v>40.50453576</v>
      </c>
      <c r="AI92" s="52">
        <f t="shared" si="35"/>
        <v>43.87881677</v>
      </c>
      <c r="AJ92" s="73">
        <f t="shared" si="36"/>
        <v>33.21401117</v>
      </c>
      <c r="AK92" s="73">
        <f t="shared" si="37"/>
        <v>36.11564149</v>
      </c>
      <c r="AL92" s="11"/>
      <c r="AM92" s="51">
        <f t="shared" si="38"/>
        <v>3092.224507</v>
      </c>
      <c r="AN92" s="51" t="str">
        <f t="array" ref="AN92">XLOOKUP(D92,RUC!$B$3:$B$565,RUC!$M$3:$M$565)</f>
        <v>Melchor Vera</v>
      </c>
      <c r="AO92" s="131" t="s">
        <v>549</v>
      </c>
      <c r="AP92" s="57" t="s">
        <v>1140</v>
      </c>
      <c r="AQ92" s="57" t="s">
        <v>1141</v>
      </c>
      <c r="AS92" s="65"/>
    </row>
    <row r="93" ht="15.0" customHeight="1">
      <c r="A93" s="116" t="s">
        <v>1144</v>
      </c>
      <c r="B93" s="56">
        <v>45879.0</v>
      </c>
      <c r="C93" s="56">
        <v>45874.0</v>
      </c>
      <c r="D93" s="2" t="s">
        <v>306</v>
      </c>
      <c r="E93" s="57">
        <f t="array" ref="E93">XLOOKUP(D93,RUC!$B$3:$B$110,RUC!$D$3:$D$110)</f>
        <v>20612921866</v>
      </c>
      <c r="G93" s="141" t="s">
        <v>1145</v>
      </c>
      <c r="H93" s="57" t="s">
        <v>71</v>
      </c>
      <c r="I93" s="6">
        <v>19.56</v>
      </c>
      <c r="J93" s="58">
        <v>2.15</v>
      </c>
      <c r="K93" s="59">
        <f t="shared" si="25"/>
        <v>19.139</v>
      </c>
      <c r="L93" s="3">
        <v>0.276</v>
      </c>
      <c r="M93" s="3">
        <v>0.259</v>
      </c>
      <c r="N93" s="131">
        <v>0.303</v>
      </c>
      <c r="O93" s="60">
        <f t="shared" si="44"/>
        <v>0.281</v>
      </c>
      <c r="P93" s="63">
        <v>90.0</v>
      </c>
      <c r="Q93" s="58">
        <v>94.93</v>
      </c>
      <c r="R93" s="65">
        <v>3375.3</v>
      </c>
      <c r="S93" s="66">
        <v>110.0</v>
      </c>
      <c r="U93" s="67">
        <f t="array" ref="U93">XLOOKUP(D93,RUC!$B$3:$B$110,RUC!$F$3:$F$110)</f>
        <v>100</v>
      </c>
      <c r="V93" s="67">
        <v>1.1023</v>
      </c>
      <c r="Y93" s="57" t="str">
        <f t="array" ref="Y93">XLOOKUP(D93,RUC!$B$3:$B$110,RUC!$G$3:$G$110)</f>
        <v/>
      </c>
      <c r="Z93" s="69">
        <f t="array" ref="Z93">XLOOKUP(D93,RUC!$B$3:$B$110,RUC!$H$3:$H$110)</f>
        <v>30</v>
      </c>
      <c r="AA93" s="70">
        <f t="shared" si="28"/>
        <v>30</v>
      </c>
      <c r="AB93" s="71">
        <f t="shared" si="29"/>
        <v>758.7388508</v>
      </c>
      <c r="AC93" s="71">
        <f>+(S93-T93)*V93-'data 1'!$F$4</f>
        <v>41.253</v>
      </c>
      <c r="AD93" s="71">
        <f t="shared" si="30"/>
        <v>49.12548985</v>
      </c>
      <c r="AE93" s="71">
        <f t="shared" si="31"/>
        <v>-36.931</v>
      </c>
      <c r="AF93" s="71">
        <f t="shared" si="32"/>
        <v>-17.13658888</v>
      </c>
      <c r="AG93" s="72">
        <f>AC93+AD93+AE93+AF93+70-10</f>
        <v>96.31090097</v>
      </c>
      <c r="AH93" s="52">
        <f t="shared" si="34"/>
        <v>171.9257291</v>
      </c>
      <c r="AI93" s="52">
        <f t="shared" si="35"/>
        <v>181.1078996</v>
      </c>
      <c r="AJ93" s="73">
        <f t="shared" si="36"/>
        <v>48.43345304</v>
      </c>
      <c r="AK93" s="73">
        <f t="shared" si="37"/>
        <v>165.9499558</v>
      </c>
      <c r="AL93" s="11"/>
      <c r="AM93" s="122">
        <f t="shared" si="38"/>
        <v>14521.50286</v>
      </c>
      <c r="AN93" s="51" t="str">
        <f t="array" ref="AN93">XLOOKUP(D93,RUC!$B$3:$B$565,RUC!$M$3:$M$565)</f>
        <v>Ronald Garibay</v>
      </c>
      <c r="AO93" s="131" t="s">
        <v>561</v>
      </c>
      <c r="AP93" s="57" t="s">
        <v>1146</v>
      </c>
      <c r="AQ93" s="57" t="s">
        <v>1147</v>
      </c>
      <c r="AS93" s="65"/>
    </row>
    <row r="94" ht="15.0" customHeight="1">
      <c r="A94" s="116" t="s">
        <v>1148</v>
      </c>
      <c r="B94" s="56">
        <v>45881.0</v>
      </c>
      <c r="C94" s="56">
        <v>45874.0</v>
      </c>
      <c r="D94" s="57" t="s">
        <v>74</v>
      </c>
      <c r="E94" s="57">
        <f t="array" ref="E94">XLOOKUP(D94,RUC!$B$3:$B$110,RUC!$D$3:$D$110)</f>
        <v>10082235774</v>
      </c>
      <c r="G94" s="141">
        <v>46.0</v>
      </c>
      <c r="H94" s="57" t="s">
        <v>47</v>
      </c>
      <c r="I94" s="6">
        <v>3.94</v>
      </c>
      <c r="J94" s="58">
        <v>1.9</v>
      </c>
      <c r="K94" s="59">
        <f t="shared" si="25"/>
        <v>3.865</v>
      </c>
      <c r="L94" s="3">
        <v>0.132</v>
      </c>
      <c r="M94" s="3">
        <v>0.124</v>
      </c>
      <c r="N94" s="427">
        <v>0.124</v>
      </c>
      <c r="O94" s="60">
        <f t="shared" si="44"/>
        <v>0.124</v>
      </c>
      <c r="P94" s="63">
        <v>85.0</v>
      </c>
      <c r="Q94" s="58">
        <v>97.73</v>
      </c>
      <c r="R94" s="65">
        <v>3375.3</v>
      </c>
      <c r="S94" s="133">
        <v>95.0</v>
      </c>
      <c r="U94" s="67">
        <f t="array" ref="U94">XLOOKUP(D94,RUC!$B$3:$B$110,RUC!$F$3:$F$110)</f>
        <v>80</v>
      </c>
      <c r="V94" s="67">
        <v>1.1023</v>
      </c>
      <c r="Y94" s="57" t="str">
        <f t="array" ref="Y94">XLOOKUP(D94,RUC!$B$3:$B$110,RUC!$G$3:$G$110)</f>
        <v/>
      </c>
      <c r="Z94" s="69">
        <f t="array" ref="Z94">XLOOKUP(D94,RUC!$B$3:$B$110,RUC!$H$3:$H$110)</f>
        <v>10</v>
      </c>
      <c r="AA94" s="70">
        <f t="shared" si="28"/>
        <v>10</v>
      </c>
      <c r="AB94" s="71">
        <f t="shared" si="29"/>
        <v>267.1144286</v>
      </c>
      <c r="AC94" s="71">
        <f>+(S94-T94)*V94-'data 1'!$F$4</f>
        <v>24.7185</v>
      </c>
      <c r="AD94" s="71">
        <f t="shared" si="30"/>
        <v>61.03755107</v>
      </c>
      <c r="AE94" s="71">
        <f t="shared" si="31"/>
        <v>-58.977</v>
      </c>
      <c r="AF94" s="71">
        <f t="shared" si="32"/>
        <v>28.39962801</v>
      </c>
      <c r="AG94" s="72">
        <f t="shared" ref="AG94:AG97" si="50">AC94+AD94+AE94+AF94+70</f>
        <v>125.1786791</v>
      </c>
      <c r="AH94" s="52">
        <f t="shared" si="34"/>
        <v>17.09465725</v>
      </c>
      <c r="AI94" s="52">
        <f t="shared" si="35"/>
        <v>17.49171928</v>
      </c>
      <c r="AJ94" s="73">
        <f t="shared" si="36"/>
        <v>21.0030387</v>
      </c>
      <c r="AK94" s="73">
        <f t="shared" si="37"/>
        <v>13.96687282</v>
      </c>
      <c r="AL94" s="11"/>
      <c r="AM94" s="51">
        <f t="shared" si="38"/>
        <v>1032.397267</v>
      </c>
      <c r="AN94" s="51" t="str">
        <f t="array" ref="AN94">XLOOKUP(D94,RUC!$B$3:$B$565,RUC!$M$3:$M$565)</f>
        <v>Melchor Vera</v>
      </c>
      <c r="AO94" s="131" t="s">
        <v>689</v>
      </c>
      <c r="AP94" s="57" t="s">
        <v>1140</v>
      </c>
      <c r="AQ94" s="57" t="s">
        <v>1141</v>
      </c>
      <c r="AS94" s="65"/>
    </row>
    <row r="95" ht="15.0" customHeight="1">
      <c r="A95" s="116" t="s">
        <v>1149</v>
      </c>
      <c r="B95" s="56">
        <v>45881.0</v>
      </c>
      <c r="C95" s="56">
        <v>45874.0</v>
      </c>
      <c r="D95" s="57" t="s">
        <v>74</v>
      </c>
      <c r="E95" s="57">
        <f t="array" ref="E95">XLOOKUP(D95,RUC!$B$3:$B$110,RUC!$D$3:$D$110)</f>
        <v>10082235774</v>
      </c>
      <c r="G95" s="141">
        <v>51.0</v>
      </c>
      <c r="H95" s="57" t="s">
        <v>47</v>
      </c>
      <c r="I95" s="6">
        <v>4.62</v>
      </c>
      <c r="J95" s="58">
        <v>3.95</v>
      </c>
      <c r="K95" s="59">
        <f t="shared" si="25"/>
        <v>4.438</v>
      </c>
      <c r="L95" s="3">
        <v>0.249</v>
      </c>
      <c r="M95" s="3">
        <v>0.242</v>
      </c>
      <c r="N95" s="427">
        <v>0.242</v>
      </c>
      <c r="O95" s="60">
        <f t="shared" si="44"/>
        <v>0.242</v>
      </c>
      <c r="P95" s="63">
        <v>85.0</v>
      </c>
      <c r="Q95" s="58">
        <v>97.19</v>
      </c>
      <c r="R95" s="65">
        <v>3375.3</v>
      </c>
      <c r="S95" s="133">
        <v>105.0</v>
      </c>
      <c r="U95" s="67">
        <f t="array" ref="U95">XLOOKUP(D95,RUC!$B$3:$B$110,RUC!$F$3:$F$110)</f>
        <v>80</v>
      </c>
      <c r="V95" s="67">
        <v>1.1023</v>
      </c>
      <c r="Y95" s="57" t="str">
        <f t="array" ref="Y95">XLOOKUP(D95,RUC!$B$3:$B$110,RUC!$G$3:$G$110)</f>
        <v/>
      </c>
      <c r="Z95" s="69">
        <f t="array" ref="Z95">XLOOKUP(D95,RUC!$B$3:$B$110,RUC!$H$3:$H$110)</f>
        <v>10</v>
      </c>
      <c r="AA95" s="70">
        <f t="shared" si="28"/>
        <v>10</v>
      </c>
      <c r="AB95" s="71">
        <f t="shared" si="29"/>
        <v>620.4220704</v>
      </c>
      <c r="AC95" s="71">
        <f>+(S95-T95)*V95-'data 1'!$F$4</f>
        <v>35.7415</v>
      </c>
      <c r="AD95" s="71">
        <f t="shared" si="30"/>
        <v>110.2548794</v>
      </c>
      <c r="AE95" s="71">
        <f t="shared" si="31"/>
        <v>-58.977</v>
      </c>
      <c r="AF95" s="71">
        <f t="shared" si="32"/>
        <v>24.71236944</v>
      </c>
      <c r="AG95" s="72">
        <f t="shared" si="50"/>
        <v>181.7317488</v>
      </c>
      <c r="AH95" s="52">
        <f t="shared" si="34"/>
        <v>36.82284132</v>
      </c>
      <c r="AI95" s="52">
        <f t="shared" si="35"/>
        <v>37.88747949</v>
      </c>
      <c r="AJ95" s="73">
        <f t="shared" si="36"/>
        <v>39.40045453</v>
      </c>
      <c r="AK95" s="73">
        <f t="shared" si="37"/>
        <v>31.29901418</v>
      </c>
      <c r="AL95" s="11"/>
      <c r="AM95" s="51">
        <f t="shared" si="38"/>
        <v>2753.433148</v>
      </c>
      <c r="AN95" s="51" t="str">
        <f t="array" ref="AN95">XLOOKUP(D95,RUC!$B$3:$B$565,RUC!$M$3:$M$565)</f>
        <v>Melchor Vera</v>
      </c>
      <c r="AO95" s="131" t="s">
        <v>689</v>
      </c>
      <c r="AP95" s="57" t="s">
        <v>1140</v>
      </c>
      <c r="AQ95" s="57" t="s">
        <v>1141</v>
      </c>
      <c r="AS95" s="65"/>
    </row>
    <row r="96" ht="15.0" customHeight="1">
      <c r="A96" s="116" t="s">
        <v>1150</v>
      </c>
      <c r="B96" s="56">
        <v>45881.0</v>
      </c>
      <c r="C96" s="56">
        <v>45874.0</v>
      </c>
      <c r="D96" s="57" t="s">
        <v>74</v>
      </c>
      <c r="E96" s="57">
        <f t="array" ref="E96">XLOOKUP(D96,RUC!$B$3:$B$110,RUC!$D$3:$D$110)</f>
        <v>10082235774</v>
      </c>
      <c r="G96" s="141">
        <v>63.0</v>
      </c>
      <c r="H96" s="57" t="s">
        <v>47</v>
      </c>
      <c r="I96" s="6">
        <v>5.97</v>
      </c>
      <c r="J96" s="58">
        <v>3.4</v>
      </c>
      <c r="K96" s="59">
        <f t="shared" si="25"/>
        <v>5.767</v>
      </c>
      <c r="L96" s="3">
        <v>0.214</v>
      </c>
      <c r="M96" s="3">
        <v>0.205</v>
      </c>
      <c r="N96" s="427">
        <v>0.205</v>
      </c>
      <c r="O96" s="60">
        <f t="shared" si="44"/>
        <v>0.205</v>
      </c>
      <c r="P96" s="63">
        <v>85.0</v>
      </c>
      <c r="Q96" s="58">
        <v>96.73</v>
      </c>
      <c r="R96" s="65">
        <v>3375.3</v>
      </c>
      <c r="S96" s="133">
        <v>105.0</v>
      </c>
      <c r="U96" s="67">
        <f t="array" ref="U96">XLOOKUP(D96,RUC!$B$3:$B$110,RUC!$F$3:$F$110)</f>
        <v>80</v>
      </c>
      <c r="V96" s="67">
        <v>1.1023</v>
      </c>
      <c r="Y96" s="57" t="str">
        <f t="array" ref="Y96">XLOOKUP(D96,RUC!$B$3:$B$110,RUC!$G$3:$G$110)</f>
        <v/>
      </c>
      <c r="Z96" s="69">
        <f t="array" ref="Z96">XLOOKUP(D96,RUC!$B$3:$B$110,RUC!$H$3:$H$110)</f>
        <v>10</v>
      </c>
      <c r="AA96" s="70">
        <f t="shared" si="28"/>
        <v>10</v>
      </c>
      <c r="AB96" s="71">
        <f t="shared" si="29"/>
        <v>506.1828014</v>
      </c>
      <c r="AC96" s="71">
        <f>+(S96-T96)*V96-'data 1'!$F$4</f>
        <v>35.7415</v>
      </c>
      <c r="AD96" s="71">
        <f t="shared" si="30"/>
        <v>91.18146197</v>
      </c>
      <c r="AE96" s="71">
        <f t="shared" si="31"/>
        <v>-58.977</v>
      </c>
      <c r="AF96" s="71">
        <f t="shared" si="32"/>
        <v>31.62266469</v>
      </c>
      <c r="AG96" s="72">
        <f t="shared" si="50"/>
        <v>169.5686267</v>
      </c>
      <c r="AH96" s="52">
        <f t="shared" si="34"/>
        <v>40.9292684</v>
      </c>
      <c r="AI96" s="52">
        <f t="shared" si="35"/>
        <v>42.31290024</v>
      </c>
      <c r="AJ96" s="73">
        <f t="shared" si="36"/>
        <v>33.70196815</v>
      </c>
      <c r="AK96" s="73">
        <f t="shared" si="37"/>
        <v>34.45337788</v>
      </c>
      <c r="AL96" s="11"/>
      <c r="AM96" s="51">
        <f t="shared" si="38"/>
        <v>2919.156215</v>
      </c>
      <c r="AN96" s="51" t="str">
        <f t="array" ref="AN96">XLOOKUP(D96,RUC!$B$3:$B$565,RUC!$M$3:$M$565)</f>
        <v>Melchor Vera</v>
      </c>
      <c r="AO96" s="131" t="s">
        <v>561</v>
      </c>
      <c r="AP96" s="57" t="s">
        <v>1140</v>
      </c>
      <c r="AQ96" s="57" t="s">
        <v>1141</v>
      </c>
      <c r="AS96" s="65"/>
    </row>
    <row r="97" ht="15.0" customHeight="1">
      <c r="A97" s="116" t="s">
        <v>1151</v>
      </c>
      <c r="B97" s="56">
        <v>45881.0</v>
      </c>
      <c r="C97" s="56">
        <v>45874.0</v>
      </c>
      <c r="D97" s="57" t="s">
        <v>74</v>
      </c>
      <c r="E97" s="57">
        <f t="array" ref="E97">XLOOKUP(D97,RUC!$B$3:$B$110,RUC!$D$3:$D$110)</f>
        <v>10082235774</v>
      </c>
      <c r="G97" s="141">
        <v>62.0</v>
      </c>
      <c r="H97" s="57" t="s">
        <v>47</v>
      </c>
      <c r="I97" s="6">
        <v>5.39</v>
      </c>
      <c r="J97" s="58">
        <v>2.75</v>
      </c>
      <c r="K97" s="59">
        <f t="shared" si="25"/>
        <v>5.242</v>
      </c>
      <c r="L97" s="3">
        <v>0.195</v>
      </c>
      <c r="M97" s="3">
        <v>0.187</v>
      </c>
      <c r="N97" s="427">
        <v>0.187</v>
      </c>
      <c r="O97" s="60">
        <f t="shared" si="44"/>
        <v>0.187</v>
      </c>
      <c r="P97" s="63">
        <v>85.0</v>
      </c>
      <c r="Q97" s="58">
        <v>97.95</v>
      </c>
      <c r="R97" s="65">
        <v>3375.3</v>
      </c>
      <c r="S97" s="133">
        <v>95.0</v>
      </c>
      <c r="U97" s="67">
        <f t="array" ref="U97">XLOOKUP(D97,RUC!$B$3:$B$110,RUC!$F$3:$F$110)</f>
        <v>80</v>
      </c>
      <c r="V97" s="67">
        <v>1.1023</v>
      </c>
      <c r="Y97" s="57" t="str">
        <f t="array" ref="Y97">XLOOKUP(D97,RUC!$B$3:$B$110,RUC!$G$3:$G$110)</f>
        <v/>
      </c>
      <c r="Z97" s="69">
        <f t="array" ref="Z97">XLOOKUP(D97,RUC!$B$3:$B$110,RUC!$H$3:$H$110)</f>
        <v>10</v>
      </c>
      <c r="AA97" s="70">
        <f t="shared" si="28"/>
        <v>10</v>
      </c>
      <c r="AB97" s="71">
        <f t="shared" si="29"/>
        <v>461.6299408</v>
      </c>
      <c r="AC97" s="71">
        <f>+(S97-T97)*V97-'data 1'!$F$4</f>
        <v>24.7185</v>
      </c>
      <c r="AD97" s="71">
        <f t="shared" si="30"/>
        <v>91.72741307</v>
      </c>
      <c r="AE97" s="71">
        <f t="shared" si="31"/>
        <v>-58.977</v>
      </c>
      <c r="AF97" s="71">
        <f t="shared" si="32"/>
        <v>28.46355841</v>
      </c>
      <c r="AG97" s="72">
        <f t="shared" si="50"/>
        <v>155.9324715</v>
      </c>
      <c r="AH97" s="52">
        <f t="shared" si="34"/>
        <v>34.3277341</v>
      </c>
      <c r="AI97" s="52">
        <f t="shared" si="35"/>
        <v>35.04618081</v>
      </c>
      <c r="AJ97" s="73">
        <f t="shared" si="36"/>
        <v>31.09706163</v>
      </c>
      <c r="AK97" s="73">
        <f t="shared" si="37"/>
        <v>28.56713046</v>
      </c>
      <c r="AL97" s="11"/>
      <c r="AM97" s="51">
        <f t="shared" si="38"/>
        <v>2419.864149</v>
      </c>
      <c r="AN97" s="51" t="str">
        <f t="array" ref="AN97">XLOOKUP(D97,RUC!$B$3:$B$565,RUC!$M$3:$M$565)</f>
        <v>Melchor Vera</v>
      </c>
      <c r="AO97" s="131" t="s">
        <v>689</v>
      </c>
      <c r="AP97" s="57" t="s">
        <v>1140</v>
      </c>
      <c r="AQ97" s="57" t="s">
        <v>1141</v>
      </c>
      <c r="AS97" s="65"/>
    </row>
    <row r="98" ht="15.0" customHeight="1">
      <c r="A98" s="116" t="s">
        <v>1152</v>
      </c>
      <c r="B98" s="56">
        <v>45880.0</v>
      </c>
      <c r="C98" s="56">
        <v>45875.0</v>
      </c>
      <c r="D98" s="2" t="s">
        <v>306</v>
      </c>
      <c r="E98" s="57">
        <f t="array" ref="E98">XLOOKUP(D98,RUC!$B$3:$B$110,RUC!$D$3:$D$110)</f>
        <v>20612921866</v>
      </c>
      <c r="G98" s="141" t="s">
        <v>1145</v>
      </c>
      <c r="H98" s="57" t="s">
        <v>47</v>
      </c>
      <c r="I98" s="6">
        <v>19.7</v>
      </c>
      <c r="J98" s="58">
        <v>2.05</v>
      </c>
      <c r="K98" s="59">
        <f t="shared" si="25"/>
        <v>19.296</v>
      </c>
      <c r="L98" s="3">
        <v>0.325</v>
      </c>
      <c r="M98" s="3">
        <v>0.306</v>
      </c>
      <c r="N98" s="427">
        <v>0.306</v>
      </c>
      <c r="O98" s="60">
        <f t="shared" si="44"/>
        <v>0.306</v>
      </c>
      <c r="P98" s="63">
        <v>90.0</v>
      </c>
      <c r="Q98" s="58">
        <v>97.54</v>
      </c>
      <c r="R98" s="65">
        <v>3372.0</v>
      </c>
      <c r="S98" s="76">
        <f t="shared" ref="S98:S102" si="51">IF((80+ROUNDDOWN(O98,1)*100)&lt;95,95,(80+ROUNDDOWN(O98,1)*100))</f>
        <v>110</v>
      </c>
      <c r="U98" s="67">
        <f t="array" ref="U98">XLOOKUP(D98,RUC!$B$3:$B$110,RUC!$F$3:$F$110)</f>
        <v>100</v>
      </c>
      <c r="V98" s="67">
        <v>1.1023</v>
      </c>
      <c r="Y98" s="57" t="str">
        <f t="array" ref="Y98">XLOOKUP(D98,RUC!$B$3:$B$110,RUC!$G$3:$G$110)</f>
        <v/>
      </c>
      <c r="Z98" s="69">
        <f t="array" ref="Z98">XLOOKUP(D98,RUC!$B$3:$B$110,RUC!$H$3:$H$110)</f>
        <v>30</v>
      </c>
      <c r="AA98" s="70">
        <f t="shared" si="28"/>
        <v>30</v>
      </c>
      <c r="AB98" s="71">
        <f t="shared" si="29"/>
        <v>838.9702302</v>
      </c>
      <c r="AC98" s="71">
        <f>+(S98-T98)*V98-'data 1'!$F$4</f>
        <v>41.253</v>
      </c>
      <c r="AD98" s="71">
        <f t="shared" si="30"/>
        <v>88.38281083</v>
      </c>
      <c r="AE98" s="71">
        <f t="shared" si="31"/>
        <v>-36.931</v>
      </c>
      <c r="AF98" s="71">
        <f t="shared" si="32"/>
        <v>66.84200285</v>
      </c>
      <c r="AG98" s="72">
        <f t="shared" ref="AG98:AG102" si="52">AC98+AD98+AE98+AF98+70-10</f>
        <v>219.5468137</v>
      </c>
      <c r="AH98" s="52">
        <f t="shared" si="34"/>
        <v>209.7212666</v>
      </c>
      <c r="AI98" s="52">
        <f t="shared" si="35"/>
        <v>215.0105255</v>
      </c>
      <c r="AJ98" s="73">
        <f t="shared" si="36"/>
        <v>59.75331857</v>
      </c>
      <c r="AK98" s="73">
        <f t="shared" si="37"/>
        <v>182.1966115</v>
      </c>
      <c r="AL98" s="11"/>
      <c r="AM98" s="51">
        <f t="shared" si="38"/>
        <v>16188.76956</v>
      </c>
      <c r="AN98" s="51" t="str">
        <f t="array" ref="AN98">XLOOKUP(D98,RUC!$B$3:$B$565,RUC!$M$3:$M$565)</f>
        <v>Ronald Garibay</v>
      </c>
      <c r="AO98" s="131" t="s">
        <v>689</v>
      </c>
      <c r="AP98" s="57" t="s">
        <v>1153</v>
      </c>
      <c r="AQ98" s="57" t="s">
        <v>1154</v>
      </c>
      <c r="AS98" s="65"/>
    </row>
    <row r="99" ht="15.0" customHeight="1">
      <c r="A99" s="116" t="s">
        <v>1155</v>
      </c>
      <c r="B99" s="56">
        <v>45880.0</v>
      </c>
      <c r="C99" s="56">
        <v>45875.0</v>
      </c>
      <c r="D99" s="2" t="s">
        <v>306</v>
      </c>
      <c r="E99" s="57">
        <f t="array" ref="E99">XLOOKUP(D99,RUC!$B$3:$B$110,RUC!$D$3:$D$110)</f>
        <v>20612921866</v>
      </c>
      <c r="G99" s="141">
        <v>12.0</v>
      </c>
      <c r="H99" s="57" t="s">
        <v>47</v>
      </c>
      <c r="I99" s="6">
        <v>1.35</v>
      </c>
      <c r="J99" s="58">
        <v>1.1</v>
      </c>
      <c r="K99" s="59">
        <f t="shared" si="25"/>
        <v>1.335</v>
      </c>
      <c r="L99" s="3">
        <v>0.964</v>
      </c>
      <c r="M99" s="3">
        <v>0.906</v>
      </c>
      <c r="N99" s="427">
        <v>0.906</v>
      </c>
      <c r="O99" s="60">
        <f t="shared" si="44"/>
        <v>0.906</v>
      </c>
      <c r="P99" s="63">
        <v>90.0</v>
      </c>
      <c r="Q99" s="58">
        <v>96.68</v>
      </c>
      <c r="R99" s="65">
        <v>3372.0</v>
      </c>
      <c r="S99" s="76">
        <f t="shared" si="51"/>
        <v>170</v>
      </c>
      <c r="U99" s="67">
        <f t="array" ref="U99">XLOOKUP(D99,RUC!$B$3:$B$110,RUC!$F$3:$F$110)</f>
        <v>100</v>
      </c>
      <c r="V99" s="67">
        <v>1.1023</v>
      </c>
      <c r="Y99" s="57" t="str">
        <f t="array" ref="Y99">XLOOKUP(D99,RUC!$B$3:$B$110,RUC!$G$3:$G$110)</f>
        <v/>
      </c>
      <c r="Z99" s="69">
        <f t="array" ref="Z99">XLOOKUP(D99,RUC!$B$3:$B$110,RUC!$H$3:$H$110)</f>
        <v>30</v>
      </c>
      <c r="AA99" s="70">
        <f t="shared" si="28"/>
        <v>30</v>
      </c>
      <c r="AB99" s="71">
        <f t="shared" si="29"/>
        <v>2720.464054</v>
      </c>
      <c r="AC99" s="71">
        <f>+(S99-T99)*V99-'data 1'!$F$4</f>
        <v>107.391</v>
      </c>
      <c r="AD99" s="71">
        <f t="shared" si="30"/>
        <v>232.2558164</v>
      </c>
      <c r="AE99" s="71">
        <f t="shared" si="31"/>
        <v>-36.931</v>
      </c>
      <c r="AF99" s="71">
        <f t="shared" si="32"/>
        <v>202.244974</v>
      </c>
      <c r="AG99" s="72">
        <f t="shared" si="52"/>
        <v>564.9607903</v>
      </c>
      <c r="AH99" s="52">
        <f t="shared" si="34"/>
        <v>42.65834582</v>
      </c>
      <c r="AI99" s="52">
        <f t="shared" si="35"/>
        <v>44.1232373</v>
      </c>
      <c r="AJ99" s="73">
        <f t="shared" si="36"/>
        <v>175.6748508</v>
      </c>
      <c r="AK99" s="73">
        <f t="shared" si="37"/>
        <v>37.32166773</v>
      </c>
      <c r="AL99" s="11"/>
      <c r="AM99" s="51">
        <f t="shared" si="38"/>
        <v>3631.819512</v>
      </c>
      <c r="AN99" s="51" t="str">
        <f t="array" ref="AN99">XLOOKUP(D99,RUC!$B$3:$B$565,RUC!$M$3:$M$565)</f>
        <v>Ronald Garibay</v>
      </c>
      <c r="AO99" s="131" t="s">
        <v>561</v>
      </c>
      <c r="AP99" s="57" t="s">
        <v>1156</v>
      </c>
      <c r="AQ99" s="57" t="s">
        <v>1157</v>
      </c>
      <c r="AS99" s="65"/>
    </row>
    <row r="100" ht="15.0" customHeight="1">
      <c r="A100" s="116" t="s">
        <v>1158</v>
      </c>
      <c r="B100" s="56">
        <v>45880.0</v>
      </c>
      <c r="C100" s="56">
        <v>45875.0</v>
      </c>
      <c r="D100" s="2" t="s">
        <v>306</v>
      </c>
      <c r="E100" s="57">
        <f t="array" ref="E100">XLOOKUP(D100,RUC!$B$3:$B$110,RUC!$D$3:$D$110)</f>
        <v>20612921866</v>
      </c>
      <c r="G100" s="141">
        <v>17.0</v>
      </c>
      <c r="H100" s="57" t="s">
        <v>47</v>
      </c>
      <c r="I100" s="6">
        <v>1.8</v>
      </c>
      <c r="J100" s="58">
        <v>1.15</v>
      </c>
      <c r="K100" s="59">
        <f t="shared" si="25"/>
        <v>1.779</v>
      </c>
      <c r="L100" s="3">
        <v>0.213</v>
      </c>
      <c r="M100" s="3">
        <v>0.198</v>
      </c>
      <c r="N100" s="427">
        <v>0.198</v>
      </c>
      <c r="O100" s="60">
        <f t="shared" si="44"/>
        <v>0.198</v>
      </c>
      <c r="P100" s="63">
        <v>90.0</v>
      </c>
      <c r="Q100" s="58">
        <v>95.77</v>
      </c>
      <c r="R100" s="65">
        <v>3372.0</v>
      </c>
      <c r="S100" s="76">
        <f t="shared" si="51"/>
        <v>95</v>
      </c>
      <c r="U100" s="67">
        <f t="array" ref="U100">XLOOKUP(D100,RUC!$B$3:$B$110,RUC!$F$3:$F$110)</f>
        <v>100</v>
      </c>
      <c r="V100" s="67">
        <v>1.1023</v>
      </c>
      <c r="Y100" s="57" t="str">
        <f t="array" ref="Y100">XLOOKUP(D100,RUC!$B$3:$B$110,RUC!$G$3:$G$110)</f>
        <v/>
      </c>
      <c r="Z100" s="69">
        <f t="array" ref="Z100">XLOOKUP(D100,RUC!$B$3:$B$110,RUC!$H$3:$H$110)</f>
        <v>30</v>
      </c>
      <c r="AA100" s="70">
        <f t="shared" si="28"/>
        <v>30</v>
      </c>
      <c r="AB100" s="71">
        <f t="shared" si="29"/>
        <v>504.9310019</v>
      </c>
      <c r="AC100" s="71">
        <f>+(S100-T100)*V100-'data 1'!$F$4</f>
        <v>24.7185</v>
      </c>
      <c r="AD100" s="71">
        <f t="shared" si="30"/>
        <v>44.3270183</v>
      </c>
      <c r="AE100" s="71">
        <f t="shared" si="31"/>
        <v>-36.931</v>
      </c>
      <c r="AF100" s="71">
        <f t="shared" si="32"/>
        <v>51.81241661</v>
      </c>
      <c r="AG100" s="72">
        <f t="shared" si="52"/>
        <v>143.9269349</v>
      </c>
      <c r="AH100" s="52">
        <f t="shared" si="34"/>
        <v>12.44211205</v>
      </c>
      <c r="AI100" s="52">
        <f t="shared" si="35"/>
        <v>12.99165924</v>
      </c>
      <c r="AJ100" s="73">
        <f t="shared" si="36"/>
        <v>38.45076712</v>
      </c>
      <c r="AK100" s="73">
        <f t="shared" si="37"/>
        <v>10.86907829</v>
      </c>
      <c r="AL100" s="11"/>
      <c r="AM100" s="51">
        <f t="shared" si="38"/>
        <v>898.2722524</v>
      </c>
      <c r="AN100" s="51" t="str">
        <f t="array" ref="AN100">XLOOKUP(D100,RUC!$B$3:$B$565,RUC!$M$3:$M$565)</f>
        <v>Ronald Garibay</v>
      </c>
      <c r="AO100" s="131" t="s">
        <v>561</v>
      </c>
      <c r="AP100" s="57" t="s">
        <v>1156</v>
      </c>
      <c r="AQ100" s="57" t="s">
        <v>1157</v>
      </c>
      <c r="AS100" s="65"/>
    </row>
    <row r="101" ht="15.0" customHeight="1">
      <c r="A101" s="116" t="s">
        <v>1159</v>
      </c>
      <c r="B101" s="56">
        <v>45880.0</v>
      </c>
      <c r="C101" s="56">
        <v>45875.0</v>
      </c>
      <c r="D101" s="2" t="s">
        <v>306</v>
      </c>
      <c r="E101" s="57">
        <f t="array" ref="E101">XLOOKUP(D101,RUC!$B$3:$B$110,RUC!$D$3:$D$110)</f>
        <v>20612921866</v>
      </c>
      <c r="G101" s="141">
        <v>14.0</v>
      </c>
      <c r="H101" s="57" t="s">
        <v>47</v>
      </c>
      <c r="I101" s="6">
        <v>1.54</v>
      </c>
      <c r="J101" s="58">
        <v>1.2</v>
      </c>
      <c r="K101" s="59">
        <f t="shared" si="25"/>
        <v>1.522</v>
      </c>
      <c r="L101" s="3">
        <v>0.852</v>
      </c>
      <c r="M101" s="3">
        <v>0.801</v>
      </c>
      <c r="N101" s="131">
        <v>0.927</v>
      </c>
      <c r="O101" s="60">
        <f t="shared" si="44"/>
        <v>0.864</v>
      </c>
      <c r="P101" s="63">
        <v>90.0</v>
      </c>
      <c r="Q101" s="58">
        <v>97.77</v>
      </c>
      <c r="R101" s="65">
        <v>3372.0</v>
      </c>
      <c r="S101" s="76">
        <f t="shared" si="51"/>
        <v>160</v>
      </c>
      <c r="U101" s="67">
        <f t="array" ref="U101">XLOOKUP(D101,RUC!$B$3:$B$110,RUC!$F$3:$F$110)</f>
        <v>100</v>
      </c>
      <c r="V101" s="67">
        <v>1.1023</v>
      </c>
      <c r="Y101" s="57" t="str">
        <f t="array" ref="Y101">XLOOKUP(D101,RUC!$B$3:$B$110,RUC!$G$3:$G$110)</f>
        <v/>
      </c>
      <c r="Z101" s="69">
        <f t="array" ref="Z101">XLOOKUP(D101,RUC!$B$3:$B$110,RUC!$H$3:$H$110)</f>
        <v>30</v>
      </c>
      <c r="AA101" s="70">
        <f t="shared" si="28"/>
        <v>30</v>
      </c>
      <c r="AB101" s="71">
        <f t="shared" si="29"/>
        <v>2595.152827</v>
      </c>
      <c r="AC101" s="71">
        <f>+(S101-T101)*V101-'data 1'!$F$4</f>
        <v>96.368</v>
      </c>
      <c r="AD101" s="71">
        <f t="shared" si="30"/>
        <v>238.7666774</v>
      </c>
      <c r="AE101" s="71">
        <f t="shared" si="31"/>
        <v>-36.931</v>
      </c>
      <c r="AF101" s="71">
        <f t="shared" si="32"/>
        <v>-42.31554743</v>
      </c>
      <c r="AG101" s="72">
        <f t="shared" si="52"/>
        <v>315.88813</v>
      </c>
      <c r="AH101" s="52">
        <f t="shared" si="34"/>
        <v>43.46792726</v>
      </c>
      <c r="AI101" s="52">
        <f t="shared" si="35"/>
        <v>44.45937124</v>
      </c>
      <c r="AJ101" s="73">
        <f t="shared" si="36"/>
        <v>157.0149943</v>
      </c>
      <c r="AK101" s="73">
        <f t="shared" si="37"/>
        <v>40.57700361</v>
      </c>
      <c r="AL101" s="11"/>
      <c r="AM101" s="51">
        <f t="shared" si="38"/>
        <v>3949.822602</v>
      </c>
      <c r="AN101" s="51" t="str">
        <f t="array" ref="AN101">XLOOKUP(D101,RUC!$B$3:$B$565,RUC!$M$3:$M$565)</f>
        <v>Ronald Garibay</v>
      </c>
      <c r="AO101" s="131" t="s">
        <v>689</v>
      </c>
      <c r="AP101" s="57" t="s">
        <v>1156</v>
      </c>
      <c r="AQ101" s="57" t="s">
        <v>1157</v>
      </c>
      <c r="AS101" s="65"/>
    </row>
    <row r="102" ht="15.0" customHeight="1">
      <c r="A102" s="116" t="s">
        <v>1160</v>
      </c>
      <c r="B102" s="56">
        <v>45881.0</v>
      </c>
      <c r="C102" s="56">
        <v>45875.0</v>
      </c>
      <c r="D102" s="2" t="s">
        <v>306</v>
      </c>
      <c r="E102" s="57">
        <f t="array" ref="E102">XLOOKUP(D102,RUC!$B$3:$B$110,RUC!$D$3:$D$110)</f>
        <v>20612921866</v>
      </c>
      <c r="G102" s="141">
        <v>58.0</v>
      </c>
      <c r="H102" s="57" t="s">
        <v>47</v>
      </c>
      <c r="I102" s="6">
        <v>7.3</v>
      </c>
      <c r="J102" s="58">
        <v>1.15</v>
      </c>
      <c r="K102" s="59">
        <f t="shared" si="25"/>
        <v>7.216</v>
      </c>
      <c r="L102" s="3">
        <v>0.357</v>
      </c>
      <c r="M102" s="3">
        <v>0.336</v>
      </c>
      <c r="N102" s="427">
        <v>0.336</v>
      </c>
      <c r="O102" s="60">
        <f t="shared" si="44"/>
        <v>0.336</v>
      </c>
      <c r="P102" s="63">
        <v>90.0</v>
      </c>
      <c r="Q102" s="58">
        <v>91.88</v>
      </c>
      <c r="R102" s="65">
        <v>3372.0</v>
      </c>
      <c r="S102" s="133">
        <f t="shared" si="51"/>
        <v>110</v>
      </c>
      <c r="U102" s="67">
        <f t="array" ref="U102">XLOOKUP(D102,RUC!$B$3:$B$110,RUC!$F$3:$F$110)</f>
        <v>100</v>
      </c>
      <c r="V102" s="67">
        <v>1.1023</v>
      </c>
      <c r="Y102" s="57" t="str">
        <f t="array" ref="Y102">XLOOKUP(D102,RUC!$B$3:$B$110,RUC!$G$3:$G$110)</f>
        <v/>
      </c>
      <c r="Z102" s="69">
        <f t="array" ref="Z102">XLOOKUP(D102,RUC!$B$3:$B$110,RUC!$H$3:$H$110)</f>
        <v>30</v>
      </c>
      <c r="AA102" s="70">
        <f t="shared" si="28"/>
        <v>30</v>
      </c>
      <c r="AB102" s="71">
        <f t="shared" si="29"/>
        <v>936.3518214</v>
      </c>
      <c r="AC102" s="71">
        <f>+(S102-T102)*V102-'data 1'!$F$4</f>
        <v>41.253</v>
      </c>
      <c r="AD102" s="71">
        <f t="shared" si="30"/>
        <v>24.20689954</v>
      </c>
      <c r="AE102" s="71">
        <f t="shared" si="31"/>
        <v>-36.931</v>
      </c>
      <c r="AF102" s="71">
        <f t="shared" si="32"/>
        <v>69.59104911</v>
      </c>
      <c r="AG102" s="72">
        <f t="shared" si="52"/>
        <v>158.1199486</v>
      </c>
      <c r="AH102" s="52">
        <f t="shared" si="34"/>
        <v>81.15117201</v>
      </c>
      <c r="AI102" s="52">
        <f t="shared" si="35"/>
        <v>88.32299958</v>
      </c>
      <c r="AJ102" s="73">
        <f t="shared" si="36"/>
        <v>61.82798892</v>
      </c>
      <c r="AK102" s="73">
        <f t="shared" si="37"/>
        <v>74.81477612</v>
      </c>
      <c r="AL102" s="11"/>
      <c r="AM102" s="51">
        <f t="shared" si="38"/>
        <v>6756.714744</v>
      </c>
      <c r="AN102" s="51" t="str">
        <f t="array" ref="AN102">XLOOKUP(D102,RUC!$B$3:$B$565,RUC!$M$3:$M$565)</f>
        <v>Ronald Garibay</v>
      </c>
      <c r="AO102" s="131" t="s">
        <v>549</v>
      </c>
      <c r="AP102" s="57" t="s">
        <v>1156</v>
      </c>
      <c r="AQ102" s="57" t="s">
        <v>1157</v>
      </c>
      <c r="AS102" s="65"/>
    </row>
    <row r="103" ht="15.0" customHeight="1">
      <c r="G103" s="141"/>
      <c r="L103" s="3"/>
      <c r="M103" s="3"/>
      <c r="R103" s="65"/>
      <c r="AG103" s="91"/>
    </row>
    <row r="104" ht="15.0" customHeight="1">
      <c r="G104" s="141"/>
      <c r="L104" s="3"/>
      <c r="M104" s="3"/>
      <c r="R104" s="65"/>
      <c r="AG104" s="91"/>
    </row>
    <row r="105" ht="15.0" customHeight="1">
      <c r="G105" s="141"/>
      <c r="L105" s="3"/>
      <c r="M105" s="3"/>
      <c r="R105" s="65"/>
      <c r="AG105" s="91"/>
    </row>
    <row r="106" ht="15.0" customHeight="1">
      <c r="G106" s="141"/>
      <c r="L106" s="3"/>
      <c r="M106" s="3"/>
      <c r="R106" s="65"/>
      <c r="AG106" s="91"/>
    </row>
    <row r="107" ht="15.0" customHeight="1">
      <c r="G107" s="141"/>
      <c r="L107" s="3"/>
      <c r="M107" s="3"/>
      <c r="R107" s="65"/>
      <c r="AG107" s="91"/>
    </row>
    <row r="108" ht="15.0" customHeight="1">
      <c r="G108" s="141"/>
      <c r="L108" s="3"/>
      <c r="M108" s="3"/>
      <c r="R108" s="65"/>
      <c r="AG108" s="91"/>
    </row>
    <row r="109" ht="15.0" customHeight="1">
      <c r="G109" s="141"/>
      <c r="L109" s="3"/>
      <c r="M109" s="3"/>
      <c r="R109" s="65"/>
      <c r="AG109" s="91"/>
    </row>
    <row r="110" ht="15.0" customHeight="1">
      <c r="G110" s="141"/>
      <c r="L110" s="3"/>
      <c r="M110" s="3"/>
      <c r="R110" s="65"/>
      <c r="AG110" s="91"/>
    </row>
    <row r="111" ht="15.0" customHeight="1">
      <c r="G111" s="141"/>
      <c r="L111" s="3"/>
      <c r="M111" s="3"/>
      <c r="R111" s="65"/>
      <c r="AG111" s="91"/>
    </row>
    <row r="112" ht="15.0" customHeight="1">
      <c r="G112" s="141"/>
      <c r="L112" s="3"/>
      <c r="M112" s="3"/>
      <c r="R112" s="65"/>
      <c r="AG112" s="91"/>
    </row>
    <row r="113" ht="15.0" customHeight="1">
      <c r="G113" s="141"/>
      <c r="L113" s="3"/>
      <c r="M113" s="3"/>
      <c r="R113" s="65"/>
      <c r="AG113" s="91"/>
    </row>
    <row r="114" ht="15.0" customHeight="1">
      <c r="G114" s="141"/>
      <c r="L114" s="3"/>
      <c r="M114" s="3"/>
      <c r="R114" s="65"/>
      <c r="AG114" s="91"/>
    </row>
    <row r="115" ht="15.0" customHeight="1">
      <c r="G115" s="141"/>
      <c r="L115" s="3"/>
      <c r="M115" s="3"/>
      <c r="R115" s="65"/>
      <c r="AG115" s="91"/>
    </row>
    <row r="116" ht="15.0" customHeight="1">
      <c r="G116" s="141"/>
      <c r="L116" s="3"/>
      <c r="M116" s="3"/>
      <c r="R116" s="65"/>
      <c r="AG116" s="91"/>
    </row>
    <row r="117" ht="15.0" customHeight="1">
      <c r="G117" s="141"/>
      <c r="L117" s="3"/>
      <c r="M117" s="3"/>
      <c r="R117" s="65"/>
      <c r="AG117" s="91"/>
    </row>
    <row r="118" ht="15.0" customHeight="1">
      <c r="G118" s="141"/>
      <c r="L118" s="3"/>
      <c r="M118" s="3"/>
      <c r="R118" s="65"/>
      <c r="AG118" s="91"/>
    </row>
    <row r="119" ht="15.0" customHeight="1">
      <c r="G119" s="141"/>
      <c r="L119" s="3"/>
      <c r="M119" s="3"/>
      <c r="R119" s="65"/>
      <c r="AG119" s="91"/>
    </row>
    <row r="120" ht="15.0" customHeight="1">
      <c r="G120" s="141"/>
      <c r="L120" s="3"/>
      <c r="M120" s="3"/>
      <c r="R120" s="65"/>
      <c r="AG120" s="91"/>
    </row>
    <row r="121" ht="15.0" customHeight="1">
      <c r="G121" s="141"/>
      <c r="L121" s="3"/>
      <c r="M121" s="3"/>
      <c r="R121" s="65"/>
      <c r="AG121" s="91"/>
    </row>
    <row r="122" ht="15.0" customHeight="1">
      <c r="G122" s="141"/>
      <c r="L122" s="3"/>
      <c r="M122" s="3"/>
      <c r="R122" s="65"/>
      <c r="AG122" s="91"/>
    </row>
    <row r="123" ht="15.0" customHeight="1">
      <c r="G123" s="141"/>
      <c r="L123" s="3"/>
      <c r="M123" s="3"/>
      <c r="R123" s="65"/>
      <c r="AG123" s="91"/>
    </row>
    <row r="124" ht="15.0" customHeight="1">
      <c r="G124" s="141"/>
      <c r="L124" s="3"/>
      <c r="M124" s="3"/>
      <c r="R124" s="65"/>
      <c r="AG124" s="91"/>
    </row>
    <row r="125" ht="15.0" customHeight="1">
      <c r="G125" s="141"/>
      <c r="L125" s="3"/>
      <c r="M125" s="3"/>
      <c r="R125" s="65"/>
      <c r="AG125" s="91"/>
    </row>
    <row r="126" ht="15.0" customHeight="1">
      <c r="G126" s="141"/>
      <c r="L126" s="3"/>
      <c r="M126" s="3"/>
      <c r="R126" s="65"/>
      <c r="AG126" s="91"/>
    </row>
    <row r="127" ht="15.0" customHeight="1">
      <c r="G127" s="141"/>
      <c r="L127" s="3"/>
      <c r="M127" s="3"/>
      <c r="R127" s="65"/>
      <c r="AG127" s="91"/>
    </row>
    <row r="128" ht="15.0" customHeight="1">
      <c r="G128" s="141"/>
      <c r="L128" s="3"/>
      <c r="M128" s="3"/>
      <c r="R128" s="65"/>
      <c r="AG128" s="91"/>
    </row>
    <row r="129" ht="15.0" customHeight="1">
      <c r="G129" s="141"/>
      <c r="L129" s="3"/>
      <c r="M129" s="3"/>
      <c r="R129" s="65"/>
      <c r="AG129" s="91"/>
    </row>
    <row r="130" ht="15.0" customHeight="1">
      <c r="G130" s="141"/>
      <c r="L130" s="3"/>
      <c r="M130" s="3"/>
      <c r="R130" s="65"/>
      <c r="AG130" s="91"/>
    </row>
    <row r="131" ht="15.0" customHeight="1">
      <c r="G131" s="141"/>
      <c r="L131" s="3"/>
      <c r="M131" s="3"/>
      <c r="R131" s="65"/>
      <c r="AG131" s="91"/>
    </row>
    <row r="132" ht="15.0" customHeight="1">
      <c r="G132" s="141"/>
      <c r="L132" s="3"/>
      <c r="M132" s="3"/>
      <c r="R132" s="65"/>
      <c r="AG132" s="91"/>
    </row>
    <row r="133" ht="15.0" customHeight="1">
      <c r="G133" s="141"/>
      <c r="L133" s="3"/>
      <c r="M133" s="3"/>
      <c r="R133" s="65"/>
      <c r="AG133" s="91"/>
    </row>
    <row r="134" ht="15.0" customHeight="1">
      <c r="G134" s="141"/>
      <c r="L134" s="3"/>
      <c r="M134" s="3"/>
      <c r="R134" s="65"/>
      <c r="AG134" s="91"/>
    </row>
    <row r="135" ht="15.0" customHeight="1">
      <c r="G135" s="141"/>
      <c r="L135" s="3"/>
      <c r="M135" s="3"/>
      <c r="R135" s="65"/>
      <c r="AG135" s="91"/>
    </row>
    <row r="136" ht="15.0" customHeight="1">
      <c r="G136" s="141"/>
      <c r="L136" s="3"/>
      <c r="M136" s="3"/>
      <c r="R136" s="65"/>
      <c r="AG136" s="91"/>
    </row>
    <row r="137" ht="15.0" customHeight="1">
      <c r="G137" s="141"/>
      <c r="L137" s="3"/>
      <c r="M137" s="3"/>
      <c r="R137" s="65"/>
      <c r="AG137" s="91"/>
    </row>
    <row r="138" ht="15.0" customHeight="1">
      <c r="G138" s="141"/>
      <c r="L138" s="3"/>
      <c r="M138" s="3"/>
      <c r="R138" s="65"/>
      <c r="AG138" s="91"/>
    </row>
    <row r="139" ht="15.0" customHeight="1">
      <c r="G139" s="141"/>
      <c r="L139" s="3"/>
      <c r="M139" s="3"/>
      <c r="R139" s="65"/>
      <c r="AG139" s="91"/>
    </row>
    <row r="140" ht="15.0" customHeight="1">
      <c r="G140" s="141"/>
      <c r="L140" s="3"/>
      <c r="M140" s="3"/>
      <c r="R140" s="65"/>
      <c r="AG140" s="91"/>
    </row>
    <row r="141" ht="15.0" customHeight="1">
      <c r="G141" s="141"/>
      <c r="L141" s="3"/>
      <c r="M141" s="3"/>
      <c r="R141" s="65"/>
      <c r="AG141" s="91"/>
    </row>
    <row r="142" ht="15.0" customHeight="1">
      <c r="G142" s="141"/>
      <c r="L142" s="3"/>
      <c r="M142" s="3"/>
      <c r="R142" s="65"/>
      <c r="AG142" s="91"/>
    </row>
    <row r="143" ht="15.0" customHeight="1">
      <c r="G143" s="141"/>
      <c r="L143" s="3"/>
      <c r="M143" s="3"/>
      <c r="R143" s="65"/>
      <c r="AG143" s="91"/>
    </row>
    <row r="144" ht="15.0" customHeight="1">
      <c r="G144" s="141"/>
      <c r="L144" s="3"/>
      <c r="M144" s="3"/>
      <c r="R144" s="65"/>
      <c r="AG144" s="91"/>
    </row>
    <row r="145" ht="15.0" customHeight="1">
      <c r="G145" s="141"/>
      <c r="L145" s="3"/>
      <c r="M145" s="3"/>
      <c r="R145" s="65"/>
      <c r="AG145" s="91"/>
    </row>
    <row r="146" ht="15.0" customHeight="1">
      <c r="G146" s="141"/>
      <c r="L146" s="3"/>
      <c r="M146" s="3"/>
      <c r="R146" s="65"/>
      <c r="AG146" s="91"/>
    </row>
    <row r="147" ht="15.0" customHeight="1">
      <c r="G147" s="141"/>
      <c r="L147" s="3"/>
      <c r="M147" s="3"/>
      <c r="R147" s="65"/>
      <c r="AG147" s="91"/>
    </row>
    <row r="148" ht="15.0" customHeight="1">
      <c r="G148" s="141"/>
      <c r="L148" s="3"/>
      <c r="M148" s="3"/>
      <c r="R148" s="65"/>
      <c r="AG148" s="91"/>
    </row>
    <row r="149" ht="15.0" customHeight="1">
      <c r="G149" s="141"/>
      <c r="L149" s="3"/>
      <c r="M149" s="3"/>
      <c r="R149" s="65"/>
      <c r="AG149" s="91"/>
    </row>
    <row r="150" ht="15.0" customHeight="1">
      <c r="G150" s="141"/>
      <c r="L150" s="3"/>
      <c r="M150" s="3"/>
      <c r="R150" s="65"/>
      <c r="AG150" s="91"/>
    </row>
    <row r="151" ht="15.0" customHeight="1">
      <c r="G151" s="141"/>
      <c r="L151" s="3"/>
      <c r="M151" s="3"/>
      <c r="R151" s="65"/>
      <c r="AG151" s="91"/>
    </row>
    <row r="152" ht="15.0" customHeight="1">
      <c r="G152" s="141"/>
      <c r="L152" s="3"/>
      <c r="M152" s="3"/>
      <c r="R152" s="65"/>
      <c r="AG152" s="91"/>
    </row>
    <row r="153" ht="15.0" customHeight="1">
      <c r="G153" s="141"/>
      <c r="L153" s="3"/>
      <c r="M153" s="3"/>
      <c r="R153" s="65"/>
      <c r="AG153" s="91"/>
    </row>
    <row r="154" ht="15.0" customHeight="1">
      <c r="G154" s="141"/>
      <c r="L154" s="3"/>
      <c r="M154" s="3"/>
      <c r="R154" s="65"/>
      <c r="AG154" s="91"/>
    </row>
    <row r="155" ht="15.0" customHeight="1">
      <c r="G155" s="141"/>
      <c r="L155" s="3"/>
      <c r="M155" s="3"/>
      <c r="R155" s="65"/>
      <c r="AG155" s="91"/>
    </row>
    <row r="156" ht="15.0" customHeight="1">
      <c r="G156" s="141"/>
      <c r="L156" s="3"/>
      <c r="M156" s="3"/>
      <c r="R156" s="65"/>
      <c r="AG156" s="91"/>
    </row>
    <row r="157" ht="15.0" customHeight="1">
      <c r="G157" s="141"/>
      <c r="L157" s="3"/>
      <c r="M157" s="3"/>
      <c r="R157" s="65"/>
      <c r="AG157" s="91"/>
    </row>
    <row r="158" ht="15.0" customHeight="1">
      <c r="G158" s="141"/>
      <c r="L158" s="3"/>
      <c r="M158" s="3"/>
      <c r="R158" s="65"/>
      <c r="AG158" s="91"/>
    </row>
    <row r="159" ht="15.0" customHeight="1">
      <c r="G159" s="141"/>
      <c r="L159" s="3"/>
      <c r="M159" s="3"/>
      <c r="R159" s="65"/>
      <c r="AG159" s="91"/>
    </row>
    <row r="160" ht="15.0" customHeight="1">
      <c r="G160" s="141"/>
      <c r="L160" s="3"/>
      <c r="M160" s="3"/>
      <c r="R160" s="65"/>
      <c r="AG160" s="91"/>
    </row>
    <row r="161" ht="15.0" customHeight="1">
      <c r="G161" s="141"/>
      <c r="L161" s="3"/>
      <c r="M161" s="3"/>
      <c r="R161" s="65"/>
      <c r="AG161" s="91"/>
    </row>
    <row r="162" ht="15.0" customHeight="1">
      <c r="G162" s="141"/>
      <c r="L162" s="3"/>
      <c r="M162" s="3"/>
      <c r="R162" s="65"/>
      <c r="AG162" s="91"/>
    </row>
    <row r="163" ht="15.0" customHeight="1">
      <c r="G163" s="141"/>
      <c r="L163" s="3"/>
      <c r="M163" s="3"/>
      <c r="R163" s="65"/>
      <c r="AG163" s="91"/>
    </row>
    <row r="164" ht="15.0" customHeight="1">
      <c r="G164" s="141"/>
      <c r="L164" s="3"/>
      <c r="M164" s="3"/>
      <c r="R164" s="65"/>
      <c r="AG164" s="91"/>
    </row>
    <row r="165" ht="15.0" customHeight="1">
      <c r="G165" s="141"/>
      <c r="L165" s="3"/>
      <c r="M165" s="3"/>
      <c r="R165" s="65"/>
      <c r="AG165" s="91"/>
    </row>
    <row r="166" ht="15.0" customHeight="1">
      <c r="G166" s="141"/>
      <c r="L166" s="3"/>
      <c r="M166" s="3"/>
      <c r="R166" s="65"/>
      <c r="AG166" s="91"/>
    </row>
    <row r="167" ht="15.0" customHeight="1">
      <c r="G167" s="141"/>
      <c r="L167" s="3"/>
      <c r="M167" s="3"/>
      <c r="R167" s="65"/>
      <c r="AG167" s="91"/>
    </row>
    <row r="168" ht="15.0" customHeight="1">
      <c r="G168" s="141"/>
      <c r="L168" s="3"/>
      <c r="M168" s="3"/>
      <c r="R168" s="65"/>
      <c r="AG168" s="91"/>
    </row>
    <row r="169" ht="15.0" customHeight="1">
      <c r="G169" s="141"/>
      <c r="L169" s="3"/>
      <c r="M169" s="3"/>
      <c r="R169" s="65"/>
      <c r="AG169" s="91"/>
    </row>
    <row r="170" ht="15.0" customHeight="1">
      <c r="G170" s="141"/>
      <c r="L170" s="3"/>
      <c r="M170" s="3"/>
      <c r="R170" s="65"/>
      <c r="AG170" s="91"/>
    </row>
    <row r="171" ht="15.0" customHeight="1">
      <c r="G171" s="141"/>
      <c r="L171" s="3"/>
      <c r="M171" s="3"/>
      <c r="R171" s="65"/>
      <c r="AG171" s="91"/>
    </row>
    <row r="172" ht="15.0" customHeight="1">
      <c r="G172" s="141"/>
      <c r="L172" s="3"/>
      <c r="M172" s="3"/>
      <c r="R172" s="65"/>
      <c r="AG172" s="91"/>
    </row>
    <row r="173" ht="15.0" customHeight="1">
      <c r="G173" s="141"/>
      <c r="L173" s="3"/>
      <c r="M173" s="3"/>
      <c r="R173" s="65"/>
      <c r="AG173" s="91"/>
    </row>
    <row r="174" ht="15.0" customHeight="1">
      <c r="G174" s="141"/>
      <c r="L174" s="3"/>
      <c r="M174" s="3"/>
      <c r="R174" s="65"/>
      <c r="AG174" s="91"/>
    </row>
    <row r="175" ht="15.0" customHeight="1">
      <c r="G175" s="141"/>
      <c r="L175" s="3"/>
      <c r="M175" s="3"/>
      <c r="R175" s="65"/>
      <c r="AG175" s="91"/>
    </row>
    <row r="176" ht="15.0" customHeight="1">
      <c r="G176" s="141"/>
      <c r="L176" s="3"/>
      <c r="M176" s="3"/>
      <c r="R176" s="65"/>
      <c r="AG176" s="91"/>
    </row>
    <row r="177" ht="15.0" customHeight="1">
      <c r="G177" s="141"/>
      <c r="L177" s="3"/>
      <c r="M177" s="3"/>
      <c r="R177" s="65"/>
      <c r="AG177" s="91"/>
    </row>
    <row r="178" ht="15.0" customHeight="1">
      <c r="G178" s="141"/>
      <c r="L178" s="3"/>
      <c r="M178" s="3"/>
      <c r="R178" s="65"/>
      <c r="AG178" s="91"/>
    </row>
    <row r="179" ht="15.0" customHeight="1">
      <c r="G179" s="141"/>
      <c r="L179" s="3"/>
      <c r="M179" s="3"/>
      <c r="R179" s="65"/>
      <c r="AG179" s="91"/>
    </row>
    <row r="180" ht="15.0" customHeight="1">
      <c r="G180" s="141"/>
      <c r="L180" s="3"/>
      <c r="M180" s="3"/>
      <c r="R180" s="65"/>
      <c r="AG180" s="91"/>
    </row>
    <row r="181" ht="15.0" customHeight="1">
      <c r="G181" s="141"/>
      <c r="L181" s="3"/>
      <c r="M181" s="3"/>
      <c r="R181" s="65"/>
      <c r="AG181" s="91"/>
    </row>
    <row r="182" ht="15.0" customHeight="1">
      <c r="G182" s="141"/>
      <c r="L182" s="3"/>
      <c r="M182" s="3"/>
      <c r="R182" s="65"/>
      <c r="AG182" s="91"/>
    </row>
    <row r="183" ht="15.0" customHeight="1">
      <c r="G183" s="141"/>
      <c r="L183" s="3"/>
      <c r="M183" s="3"/>
      <c r="R183" s="65"/>
      <c r="AG183" s="91"/>
    </row>
    <row r="184" ht="15.0" customHeight="1">
      <c r="G184" s="141"/>
      <c r="L184" s="3"/>
      <c r="M184" s="3"/>
      <c r="R184" s="65"/>
      <c r="AG184" s="91"/>
    </row>
    <row r="185" ht="15.0" customHeight="1">
      <c r="G185" s="141"/>
      <c r="L185" s="3"/>
      <c r="M185" s="3"/>
      <c r="R185" s="65"/>
      <c r="AG185" s="91"/>
    </row>
    <row r="186" ht="15.0" customHeight="1">
      <c r="G186" s="141"/>
      <c r="L186" s="3"/>
      <c r="M186" s="3"/>
      <c r="R186" s="65"/>
      <c r="AG186" s="91"/>
    </row>
    <row r="187" ht="15.0" customHeight="1">
      <c r="G187" s="141"/>
      <c r="L187" s="3"/>
      <c r="M187" s="3"/>
      <c r="R187" s="65"/>
      <c r="AG187" s="91"/>
    </row>
    <row r="188" ht="15.0" customHeight="1">
      <c r="G188" s="141"/>
      <c r="L188" s="3"/>
      <c r="M188" s="3"/>
      <c r="R188" s="65"/>
      <c r="AG188" s="91"/>
    </row>
    <row r="189" ht="15.0" customHeight="1">
      <c r="G189" s="141"/>
      <c r="L189" s="3"/>
      <c r="M189" s="3"/>
      <c r="R189" s="65"/>
      <c r="AG189" s="91"/>
    </row>
    <row r="190" ht="15.0" customHeight="1">
      <c r="G190" s="141"/>
      <c r="L190" s="3"/>
      <c r="M190" s="3"/>
      <c r="R190" s="65"/>
      <c r="AG190" s="91"/>
    </row>
    <row r="191" ht="15.0" customHeight="1">
      <c r="G191" s="141"/>
      <c r="L191" s="3"/>
      <c r="M191" s="3"/>
      <c r="R191" s="65"/>
      <c r="AG191" s="91"/>
    </row>
    <row r="192" ht="15.0" customHeight="1">
      <c r="G192" s="141"/>
      <c r="L192" s="3"/>
      <c r="M192" s="3"/>
      <c r="R192" s="65"/>
      <c r="AG192" s="91"/>
    </row>
    <row r="193" ht="15.0" customHeight="1">
      <c r="G193" s="141"/>
      <c r="L193" s="3"/>
      <c r="M193" s="3"/>
      <c r="R193" s="65"/>
      <c r="AG193" s="91"/>
    </row>
    <row r="194" ht="15.0" customHeight="1">
      <c r="G194" s="141"/>
      <c r="L194" s="3"/>
      <c r="M194" s="3"/>
      <c r="R194" s="65"/>
      <c r="AG194" s="91"/>
    </row>
    <row r="195" ht="15.0" customHeight="1">
      <c r="G195" s="141"/>
      <c r="L195" s="3"/>
      <c r="M195" s="3"/>
      <c r="R195" s="65"/>
      <c r="AG195" s="91"/>
    </row>
    <row r="196" ht="15.0" customHeight="1">
      <c r="G196" s="141"/>
      <c r="L196" s="3"/>
      <c r="M196" s="3"/>
      <c r="R196" s="65"/>
      <c r="AG196" s="91"/>
    </row>
    <row r="197" ht="15.0" customHeight="1">
      <c r="G197" s="141"/>
      <c r="L197" s="3"/>
      <c r="M197" s="3"/>
      <c r="R197" s="65"/>
      <c r="AG197" s="91"/>
    </row>
    <row r="198" ht="15.0" customHeight="1">
      <c r="G198" s="141"/>
      <c r="L198" s="3"/>
      <c r="M198" s="3"/>
      <c r="R198" s="65"/>
      <c r="AG198" s="91"/>
    </row>
    <row r="199" ht="15.0" customHeight="1">
      <c r="G199" s="141"/>
      <c r="L199" s="3"/>
      <c r="M199" s="3"/>
      <c r="R199" s="65"/>
      <c r="AG199" s="91"/>
    </row>
    <row r="200" ht="15.0" customHeight="1">
      <c r="G200" s="141"/>
      <c r="L200" s="3"/>
      <c r="M200" s="3"/>
      <c r="R200" s="65"/>
      <c r="AG200" s="91"/>
    </row>
    <row r="201" ht="15.0" customHeight="1">
      <c r="G201" s="141"/>
      <c r="L201" s="3"/>
      <c r="M201" s="3"/>
      <c r="R201" s="65"/>
      <c r="AG201" s="91"/>
    </row>
    <row r="202" ht="15.0" customHeight="1">
      <c r="G202" s="141"/>
      <c r="L202" s="3"/>
      <c r="M202" s="3"/>
      <c r="R202" s="65"/>
      <c r="AG202" s="91"/>
    </row>
    <row r="203" ht="15.0" customHeight="1">
      <c r="G203" s="141"/>
      <c r="L203" s="3"/>
      <c r="M203" s="3"/>
      <c r="R203" s="65"/>
      <c r="AG203" s="91"/>
    </row>
    <row r="204" ht="15.0" customHeight="1">
      <c r="G204" s="141"/>
      <c r="L204" s="3"/>
      <c r="M204" s="3"/>
      <c r="R204" s="65"/>
      <c r="AG204" s="91"/>
    </row>
    <row r="205" ht="15.0" customHeight="1">
      <c r="G205" s="141"/>
      <c r="L205" s="3"/>
      <c r="M205" s="3"/>
      <c r="R205" s="65"/>
      <c r="AG205" s="91"/>
    </row>
    <row r="206" ht="15.0" customHeight="1">
      <c r="G206" s="141"/>
      <c r="L206" s="3"/>
      <c r="M206" s="3"/>
      <c r="R206" s="65"/>
      <c r="AG206" s="91"/>
    </row>
    <row r="207" ht="15.0" customHeight="1">
      <c r="G207" s="141"/>
      <c r="L207" s="3"/>
      <c r="M207" s="3"/>
      <c r="R207" s="65"/>
      <c r="AG207" s="91"/>
    </row>
    <row r="208" ht="15.0" customHeight="1">
      <c r="G208" s="141"/>
      <c r="L208" s="3"/>
      <c r="M208" s="3"/>
      <c r="R208" s="65"/>
      <c r="AG208" s="91"/>
    </row>
    <row r="209" ht="15.0" customHeight="1">
      <c r="G209" s="141"/>
      <c r="L209" s="3"/>
      <c r="M209" s="3"/>
      <c r="R209" s="65"/>
      <c r="AG209" s="91"/>
    </row>
    <row r="210" ht="15.0" customHeight="1">
      <c r="G210" s="141"/>
      <c r="L210" s="3"/>
      <c r="M210" s="3"/>
      <c r="R210" s="65"/>
      <c r="AG210" s="91"/>
    </row>
    <row r="211" ht="15.0" customHeight="1">
      <c r="G211" s="141"/>
      <c r="L211" s="3"/>
      <c r="M211" s="3"/>
      <c r="R211" s="65"/>
      <c r="AG211" s="91"/>
    </row>
    <row r="212" ht="15.0" customHeight="1">
      <c r="G212" s="141"/>
      <c r="L212" s="3"/>
      <c r="M212" s="3"/>
      <c r="R212" s="65"/>
      <c r="AG212" s="91"/>
    </row>
    <row r="213" ht="15.0" customHeight="1">
      <c r="G213" s="141"/>
      <c r="L213" s="3"/>
      <c r="M213" s="3"/>
      <c r="R213" s="65"/>
      <c r="AG213" s="91"/>
    </row>
    <row r="214" ht="15.0" customHeight="1">
      <c r="G214" s="141"/>
      <c r="L214" s="3"/>
      <c r="M214" s="3"/>
      <c r="R214" s="65"/>
      <c r="AG214" s="91"/>
    </row>
    <row r="215" ht="15.0" customHeight="1">
      <c r="G215" s="141"/>
      <c r="L215" s="3"/>
      <c r="M215" s="3"/>
      <c r="R215" s="65"/>
      <c r="AG215" s="91"/>
    </row>
    <row r="216" ht="15.0" customHeight="1">
      <c r="G216" s="141"/>
      <c r="L216" s="3"/>
      <c r="M216" s="3"/>
      <c r="R216" s="65"/>
      <c r="AG216" s="91"/>
    </row>
    <row r="217" ht="15.0" customHeight="1">
      <c r="G217" s="141"/>
      <c r="L217" s="3"/>
      <c r="M217" s="3"/>
      <c r="R217" s="65"/>
      <c r="AG217" s="91"/>
    </row>
    <row r="218" ht="15.0" customHeight="1">
      <c r="G218" s="141"/>
      <c r="L218" s="3"/>
      <c r="M218" s="3"/>
      <c r="R218" s="65"/>
      <c r="AG218" s="91"/>
    </row>
    <row r="219" ht="15.0" customHeight="1">
      <c r="G219" s="141"/>
      <c r="L219" s="3"/>
      <c r="M219" s="3"/>
      <c r="R219" s="65"/>
      <c r="AG219" s="91"/>
    </row>
    <row r="220" ht="15.0" customHeight="1">
      <c r="G220" s="141"/>
      <c r="L220" s="3"/>
      <c r="M220" s="3"/>
      <c r="R220" s="65"/>
      <c r="AG220" s="91"/>
    </row>
    <row r="221" ht="15.0" customHeight="1">
      <c r="G221" s="141"/>
      <c r="L221" s="3"/>
      <c r="M221" s="3"/>
      <c r="R221" s="65"/>
      <c r="AG221" s="91"/>
    </row>
    <row r="222" ht="15.0" customHeight="1">
      <c r="G222" s="141"/>
      <c r="L222" s="3"/>
      <c r="M222" s="3"/>
      <c r="R222" s="65"/>
      <c r="AG222" s="91"/>
    </row>
    <row r="223" ht="15.0" customHeight="1">
      <c r="G223" s="141"/>
      <c r="L223" s="3"/>
      <c r="M223" s="3"/>
      <c r="R223" s="65"/>
      <c r="AG223" s="91"/>
    </row>
    <row r="224" ht="15.0" customHeight="1">
      <c r="G224" s="141"/>
      <c r="L224" s="3"/>
      <c r="M224" s="3"/>
      <c r="R224" s="65"/>
      <c r="AG224" s="91"/>
    </row>
    <row r="225" ht="15.0" customHeight="1">
      <c r="G225" s="141"/>
      <c r="L225" s="3"/>
      <c r="M225" s="3"/>
      <c r="R225" s="65"/>
      <c r="AG225" s="91"/>
    </row>
    <row r="226" ht="15.0" customHeight="1">
      <c r="G226" s="141"/>
      <c r="L226" s="3"/>
      <c r="M226" s="3"/>
      <c r="R226" s="65"/>
      <c r="AG226" s="91"/>
    </row>
    <row r="227" ht="15.0" customHeight="1">
      <c r="G227" s="141"/>
      <c r="L227" s="3"/>
      <c r="M227" s="3"/>
      <c r="R227" s="65"/>
      <c r="AG227" s="91"/>
    </row>
    <row r="228" ht="15.0" customHeight="1">
      <c r="G228" s="141"/>
      <c r="L228" s="3"/>
      <c r="M228" s="3"/>
      <c r="R228" s="65"/>
      <c r="AG228" s="91"/>
    </row>
    <row r="229" ht="15.0" customHeight="1">
      <c r="G229" s="141"/>
      <c r="L229" s="3"/>
      <c r="M229" s="3"/>
      <c r="R229" s="65"/>
      <c r="AG229" s="91"/>
    </row>
    <row r="230" ht="15.0" customHeight="1">
      <c r="G230" s="141"/>
      <c r="L230" s="3"/>
      <c r="M230" s="3"/>
      <c r="R230" s="65"/>
      <c r="AG230" s="91"/>
    </row>
    <row r="231" ht="15.0" customHeight="1">
      <c r="G231" s="141"/>
      <c r="L231" s="3"/>
      <c r="M231" s="3"/>
      <c r="R231" s="65"/>
      <c r="AG231" s="91"/>
    </row>
    <row r="232" ht="15.0" customHeight="1">
      <c r="G232" s="141"/>
      <c r="L232" s="3"/>
      <c r="M232" s="3"/>
      <c r="R232" s="65"/>
      <c r="AG232" s="91"/>
    </row>
    <row r="233" ht="15.0" customHeight="1">
      <c r="G233" s="141"/>
      <c r="L233" s="3"/>
      <c r="M233" s="3"/>
      <c r="R233" s="65"/>
      <c r="AG233" s="91"/>
    </row>
    <row r="234" ht="15.0" customHeight="1">
      <c r="G234" s="141"/>
      <c r="L234" s="3"/>
      <c r="M234" s="3"/>
      <c r="R234" s="65"/>
      <c r="AG234" s="91"/>
    </row>
    <row r="235" ht="15.0" customHeight="1">
      <c r="G235" s="141"/>
      <c r="L235" s="3"/>
      <c r="M235" s="3"/>
      <c r="R235" s="65"/>
      <c r="AG235" s="91"/>
    </row>
    <row r="236" ht="15.0" customHeight="1">
      <c r="G236" s="141"/>
      <c r="L236" s="3"/>
      <c r="M236" s="3"/>
      <c r="R236" s="65"/>
      <c r="AG236" s="91"/>
    </row>
    <row r="237" ht="15.0" customHeight="1">
      <c r="G237" s="141"/>
      <c r="L237" s="3"/>
      <c r="M237" s="3"/>
      <c r="R237" s="65"/>
      <c r="AG237" s="91"/>
    </row>
    <row r="238" ht="15.0" customHeight="1">
      <c r="G238" s="141"/>
      <c r="L238" s="3"/>
      <c r="M238" s="3"/>
      <c r="R238" s="65"/>
      <c r="AG238" s="91"/>
    </row>
    <row r="239" ht="15.0" customHeight="1">
      <c r="G239" s="141"/>
      <c r="L239" s="3"/>
      <c r="M239" s="3"/>
      <c r="R239" s="65"/>
      <c r="AG239" s="91"/>
    </row>
    <row r="240" ht="15.0" customHeight="1">
      <c r="G240" s="141"/>
      <c r="L240" s="3"/>
      <c r="M240" s="3"/>
      <c r="R240" s="65"/>
      <c r="AG240" s="91"/>
    </row>
    <row r="241" ht="15.0" customHeight="1">
      <c r="G241" s="141"/>
      <c r="L241" s="3"/>
      <c r="M241" s="3"/>
      <c r="R241" s="65"/>
      <c r="AG241" s="91"/>
    </row>
    <row r="242" ht="15.0" customHeight="1">
      <c r="G242" s="141"/>
      <c r="L242" s="3"/>
      <c r="M242" s="3"/>
      <c r="R242" s="65"/>
      <c r="AG242" s="91"/>
    </row>
    <row r="243" ht="15.0" customHeight="1">
      <c r="G243" s="141"/>
      <c r="L243" s="3"/>
      <c r="M243" s="3"/>
      <c r="R243" s="65"/>
      <c r="AG243" s="91"/>
    </row>
    <row r="244" ht="15.0" customHeight="1">
      <c r="G244" s="141"/>
      <c r="L244" s="3"/>
      <c r="M244" s="3"/>
      <c r="R244" s="65"/>
      <c r="AG244" s="91"/>
    </row>
    <row r="245" ht="15.0" customHeight="1">
      <c r="G245" s="141"/>
      <c r="L245" s="3"/>
      <c r="M245" s="3"/>
      <c r="R245" s="65"/>
      <c r="AG245" s="91"/>
    </row>
    <row r="246" ht="15.0" customHeight="1">
      <c r="G246" s="141"/>
      <c r="L246" s="3"/>
      <c r="M246" s="3"/>
      <c r="R246" s="65"/>
      <c r="AG246" s="91"/>
    </row>
    <row r="247" ht="15.0" customHeight="1">
      <c r="G247" s="141"/>
      <c r="L247" s="3"/>
      <c r="M247" s="3"/>
      <c r="R247" s="65"/>
      <c r="AG247" s="91"/>
    </row>
    <row r="248" ht="15.0" customHeight="1">
      <c r="G248" s="141"/>
      <c r="L248" s="3"/>
      <c r="M248" s="3"/>
      <c r="R248" s="65"/>
      <c r="AG248" s="91"/>
    </row>
    <row r="249" ht="15.0" customHeight="1">
      <c r="G249" s="141"/>
      <c r="L249" s="3"/>
      <c r="M249" s="3"/>
      <c r="R249" s="65"/>
      <c r="AG249" s="91"/>
    </row>
    <row r="250" ht="15.0" customHeight="1">
      <c r="G250" s="141"/>
      <c r="L250" s="3"/>
      <c r="M250" s="3"/>
      <c r="R250" s="65"/>
      <c r="AG250" s="91"/>
    </row>
    <row r="251" ht="15.0" customHeight="1">
      <c r="G251" s="141"/>
      <c r="L251" s="3"/>
      <c r="M251" s="3"/>
      <c r="R251" s="65"/>
      <c r="AG251" s="91"/>
    </row>
    <row r="252" ht="15.0" customHeight="1">
      <c r="G252" s="141"/>
      <c r="L252" s="3"/>
      <c r="M252" s="3"/>
      <c r="R252" s="65"/>
      <c r="AG252" s="91"/>
    </row>
    <row r="253" ht="15.0" customHeight="1">
      <c r="G253" s="141"/>
      <c r="L253" s="3"/>
      <c r="M253" s="3"/>
      <c r="R253" s="65"/>
      <c r="AG253" s="91"/>
    </row>
    <row r="254" ht="15.0" customHeight="1">
      <c r="G254" s="141"/>
      <c r="L254" s="3"/>
      <c r="M254" s="3"/>
      <c r="R254" s="65"/>
      <c r="AG254" s="91"/>
    </row>
    <row r="255" ht="15.0" customHeight="1">
      <c r="G255" s="141"/>
      <c r="L255" s="3"/>
      <c r="M255" s="3"/>
      <c r="R255" s="65"/>
      <c r="AG255" s="91"/>
    </row>
    <row r="256" ht="15.0" customHeight="1">
      <c r="G256" s="141"/>
      <c r="L256" s="3"/>
      <c r="M256" s="3"/>
      <c r="R256" s="65"/>
      <c r="AG256" s="91"/>
    </row>
    <row r="257" ht="15.0" customHeight="1">
      <c r="G257" s="141"/>
      <c r="L257" s="3"/>
      <c r="M257" s="3"/>
      <c r="R257" s="65"/>
      <c r="AG257" s="91"/>
    </row>
    <row r="258" ht="15.0" customHeight="1">
      <c r="G258" s="141"/>
      <c r="L258" s="3"/>
      <c r="M258" s="3"/>
      <c r="R258" s="65"/>
      <c r="AG258" s="91"/>
    </row>
    <row r="259" ht="15.0" customHeight="1">
      <c r="G259" s="141"/>
      <c r="L259" s="3"/>
      <c r="M259" s="3"/>
      <c r="R259" s="65"/>
      <c r="AG259" s="91"/>
    </row>
    <row r="260" ht="15.0" customHeight="1">
      <c r="G260" s="141"/>
      <c r="L260" s="3"/>
      <c r="M260" s="3"/>
      <c r="R260" s="65"/>
      <c r="AG260" s="91"/>
    </row>
    <row r="261" ht="15.0" customHeight="1">
      <c r="G261" s="141"/>
      <c r="L261" s="3"/>
      <c r="M261" s="3"/>
      <c r="R261" s="65"/>
      <c r="AG261" s="91"/>
    </row>
    <row r="262" ht="15.0" customHeight="1">
      <c r="G262" s="141"/>
      <c r="L262" s="3"/>
      <c r="M262" s="3"/>
      <c r="R262" s="65"/>
      <c r="AG262" s="91"/>
    </row>
    <row r="263" ht="15.0" customHeight="1">
      <c r="G263" s="141"/>
      <c r="L263" s="3"/>
      <c r="M263" s="3"/>
      <c r="R263" s="65"/>
      <c r="AG263" s="91"/>
    </row>
    <row r="264" ht="15.0" customHeight="1">
      <c r="G264" s="141"/>
      <c r="L264" s="3"/>
      <c r="M264" s="3"/>
      <c r="R264" s="65"/>
      <c r="AG264" s="91"/>
    </row>
    <row r="265" ht="15.0" customHeight="1">
      <c r="G265" s="141"/>
      <c r="L265" s="3"/>
      <c r="M265" s="3"/>
      <c r="R265" s="65"/>
      <c r="AG265" s="91"/>
    </row>
    <row r="266" ht="15.0" customHeight="1">
      <c r="G266" s="141"/>
      <c r="L266" s="3"/>
      <c r="M266" s="3"/>
      <c r="R266" s="65"/>
      <c r="AG266" s="91"/>
    </row>
    <row r="267" ht="15.0" customHeight="1">
      <c r="G267" s="141"/>
      <c r="L267" s="3"/>
      <c r="M267" s="3"/>
      <c r="R267" s="65"/>
      <c r="AG267" s="91"/>
    </row>
    <row r="268" ht="15.0" customHeight="1">
      <c r="G268" s="141"/>
      <c r="L268" s="3"/>
      <c r="M268" s="3"/>
      <c r="R268" s="65"/>
      <c r="AG268" s="91"/>
    </row>
    <row r="269" ht="15.0" customHeight="1">
      <c r="G269" s="141"/>
      <c r="L269" s="3"/>
      <c r="M269" s="3"/>
      <c r="R269" s="65"/>
      <c r="AG269" s="91"/>
    </row>
    <row r="270" ht="15.0" customHeight="1">
      <c r="G270" s="141"/>
      <c r="L270" s="3"/>
      <c r="M270" s="3"/>
      <c r="R270" s="65"/>
      <c r="AG270" s="91"/>
    </row>
    <row r="271" ht="15.0" customHeight="1">
      <c r="G271" s="141"/>
      <c r="L271" s="3"/>
      <c r="M271" s="3"/>
      <c r="R271" s="65"/>
      <c r="AG271" s="91"/>
    </row>
    <row r="272" ht="15.0" customHeight="1">
      <c r="G272" s="141"/>
      <c r="L272" s="3"/>
      <c r="M272" s="3"/>
      <c r="R272" s="65"/>
      <c r="AG272" s="91"/>
    </row>
    <row r="273" ht="15.0" customHeight="1">
      <c r="G273" s="141"/>
      <c r="L273" s="3"/>
      <c r="M273" s="3"/>
      <c r="R273" s="65"/>
      <c r="AG273" s="91"/>
    </row>
    <row r="274" ht="15.0" customHeight="1">
      <c r="G274" s="141"/>
      <c r="L274" s="3"/>
      <c r="M274" s="3"/>
      <c r="R274" s="65"/>
      <c r="AG274" s="91"/>
    </row>
    <row r="275" ht="15.0" customHeight="1">
      <c r="G275" s="141"/>
      <c r="L275" s="3"/>
      <c r="M275" s="3"/>
      <c r="R275" s="65"/>
      <c r="AG275" s="91"/>
    </row>
    <row r="276" ht="15.0" customHeight="1">
      <c r="G276" s="141"/>
      <c r="L276" s="3"/>
      <c r="M276" s="3"/>
      <c r="R276" s="65"/>
      <c r="AG276" s="91"/>
    </row>
    <row r="277" ht="15.0" customHeight="1">
      <c r="G277" s="141"/>
      <c r="L277" s="3"/>
      <c r="M277" s="3"/>
      <c r="R277" s="65"/>
      <c r="AG277" s="91"/>
    </row>
    <row r="278" ht="15.0" customHeight="1">
      <c r="G278" s="141"/>
      <c r="L278" s="3"/>
      <c r="M278" s="3"/>
      <c r="R278" s="65"/>
      <c r="AG278" s="91"/>
    </row>
    <row r="279" ht="15.0" customHeight="1">
      <c r="G279" s="141"/>
      <c r="L279" s="3"/>
      <c r="M279" s="3"/>
      <c r="R279" s="65"/>
      <c r="AG279" s="91"/>
    </row>
    <row r="280" ht="15.0" customHeight="1">
      <c r="G280" s="141"/>
      <c r="L280" s="3"/>
      <c r="M280" s="3"/>
      <c r="R280" s="65"/>
      <c r="AG280" s="91"/>
    </row>
    <row r="281" ht="15.0" customHeight="1">
      <c r="G281" s="141"/>
      <c r="L281" s="3"/>
      <c r="M281" s="3"/>
      <c r="R281" s="65"/>
      <c r="AG281" s="91"/>
    </row>
    <row r="282" ht="15.0" customHeight="1">
      <c r="G282" s="141"/>
      <c r="L282" s="3"/>
      <c r="M282" s="3"/>
      <c r="R282" s="65"/>
      <c r="AG282" s="91"/>
    </row>
    <row r="283" ht="15.0" customHeight="1">
      <c r="G283" s="141"/>
      <c r="L283" s="3"/>
      <c r="M283" s="3"/>
      <c r="R283" s="65"/>
      <c r="AG283" s="91"/>
    </row>
    <row r="284" ht="15.0" customHeight="1">
      <c r="G284" s="141"/>
      <c r="L284" s="3"/>
      <c r="M284" s="3"/>
      <c r="R284" s="65"/>
      <c r="AG284" s="91"/>
    </row>
    <row r="285" ht="15.0" customHeight="1">
      <c r="G285" s="141"/>
      <c r="L285" s="3"/>
      <c r="M285" s="3"/>
      <c r="R285" s="65"/>
      <c r="AG285" s="91"/>
    </row>
    <row r="286" ht="15.0" customHeight="1">
      <c r="G286" s="141"/>
      <c r="L286" s="3"/>
      <c r="M286" s="3"/>
      <c r="R286" s="65"/>
      <c r="AG286" s="91"/>
    </row>
    <row r="287" ht="15.0" customHeight="1">
      <c r="G287" s="141"/>
      <c r="L287" s="3"/>
      <c r="M287" s="3"/>
      <c r="R287" s="65"/>
      <c r="AG287" s="91"/>
    </row>
    <row r="288" ht="15.0" customHeight="1">
      <c r="G288" s="141"/>
      <c r="L288" s="3"/>
      <c r="M288" s="3"/>
      <c r="R288" s="65"/>
      <c r="AG288" s="91"/>
    </row>
    <row r="289" ht="15.0" customHeight="1">
      <c r="G289" s="141"/>
      <c r="L289" s="3"/>
      <c r="M289" s="3"/>
      <c r="R289" s="65"/>
      <c r="AG289" s="91"/>
    </row>
    <row r="290" ht="15.0" customHeight="1">
      <c r="G290" s="141"/>
      <c r="L290" s="3"/>
      <c r="M290" s="3"/>
      <c r="R290" s="65"/>
      <c r="AG290" s="91"/>
    </row>
    <row r="291" ht="15.0" customHeight="1">
      <c r="G291" s="141"/>
      <c r="L291" s="3"/>
      <c r="M291" s="3"/>
      <c r="R291" s="65"/>
      <c r="AG291" s="91"/>
    </row>
    <row r="292" ht="15.0" customHeight="1">
      <c r="G292" s="141"/>
      <c r="L292" s="3"/>
      <c r="M292" s="3"/>
      <c r="R292" s="65"/>
      <c r="AG292" s="91"/>
    </row>
    <row r="293" ht="15.0" customHeight="1">
      <c r="G293" s="141"/>
      <c r="L293" s="3"/>
      <c r="M293" s="3"/>
      <c r="R293" s="65"/>
      <c r="AG293" s="91"/>
    </row>
    <row r="294" ht="15.0" customHeight="1">
      <c r="G294" s="141"/>
      <c r="L294" s="3"/>
      <c r="M294" s="3"/>
      <c r="R294" s="65"/>
      <c r="AG294" s="91"/>
    </row>
    <row r="295" ht="15.0" customHeight="1">
      <c r="G295" s="141"/>
      <c r="L295" s="3"/>
      <c r="M295" s="3"/>
      <c r="R295" s="65"/>
      <c r="AG295" s="91"/>
    </row>
    <row r="296" ht="15.0" customHeight="1">
      <c r="G296" s="141"/>
      <c r="L296" s="3"/>
      <c r="M296" s="3"/>
      <c r="R296" s="65"/>
      <c r="AG296" s="91"/>
    </row>
    <row r="297" ht="15.0" customHeight="1">
      <c r="G297" s="141"/>
      <c r="L297" s="3"/>
      <c r="M297" s="3"/>
      <c r="R297" s="65"/>
      <c r="AG297" s="91"/>
    </row>
    <row r="298" ht="15.0" customHeight="1">
      <c r="G298" s="141"/>
      <c r="L298" s="3"/>
      <c r="M298" s="3"/>
      <c r="R298" s="65"/>
      <c r="AG298" s="91"/>
    </row>
    <row r="299" ht="15.0" customHeight="1">
      <c r="G299" s="141"/>
      <c r="L299" s="3"/>
      <c r="M299" s="3"/>
      <c r="R299" s="65"/>
      <c r="AG299" s="91"/>
    </row>
    <row r="300" ht="15.0" customHeight="1">
      <c r="G300" s="141"/>
      <c r="L300" s="3"/>
      <c r="M300" s="3"/>
      <c r="R300" s="65"/>
      <c r="AG300" s="91"/>
    </row>
    <row r="301" ht="15.0" customHeight="1">
      <c r="G301" s="141"/>
      <c r="L301" s="3"/>
      <c r="M301" s="3"/>
      <c r="R301" s="65"/>
      <c r="AG301" s="91"/>
    </row>
    <row r="302" ht="15.0" customHeight="1">
      <c r="G302" s="141"/>
      <c r="L302" s="3"/>
      <c r="M302" s="3"/>
      <c r="R302" s="65"/>
      <c r="AG302" s="91"/>
    </row>
    <row r="303" ht="15.75" customHeight="1">
      <c r="AG303" s="91"/>
    </row>
    <row r="304" ht="15.75" customHeight="1">
      <c r="AG304" s="91"/>
    </row>
    <row r="305" ht="15.75" customHeight="1"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O$102"/>
  <printOptions/>
  <pageMargins bottom="0.75" footer="0.0" header="0.0" left="0.7" right="0.7" top="0.75"/>
  <pageSetup fitToHeight="0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2.86"/>
    <col customWidth="1" min="4" max="4" width="45.29"/>
    <col customWidth="1" min="5" max="5" width="13.14"/>
    <col customWidth="1" min="6" max="6" width="17.29"/>
    <col customWidth="1" min="7" max="7" width="11.71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3" width="10.71"/>
    <col customWidth="1" min="24" max="24" width="10.57"/>
    <col customWidth="1" min="25" max="25" width="16.57"/>
    <col customWidth="1" hidden="1" min="26" max="26" width="17.71"/>
    <col customWidth="1" hidden="1" min="27" max="27" width="15.29"/>
    <col customWidth="1" hidden="1" min="28" max="28" width="12.86"/>
    <col customWidth="1" hidden="1" min="29" max="29" width="14.43"/>
    <col customWidth="1" hidden="1" min="30" max="30" width="12.29"/>
    <col customWidth="1" hidden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5.29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C1" s="3"/>
      <c r="D1" s="97" t="s">
        <v>540</v>
      </c>
      <c r="E1" s="98">
        <f>+AI3</f>
        <v>4916.842</v>
      </c>
      <c r="F1" s="97" t="s">
        <v>241</v>
      </c>
      <c r="G1" s="98">
        <f>+$AM3</f>
        <v>371879.8137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65"/>
      <c r="C2" s="3"/>
      <c r="D2" s="97" t="s">
        <v>242</v>
      </c>
      <c r="E2" s="98">
        <f>+AH3</f>
        <v>4586.863</v>
      </c>
      <c r="F2" s="99" t="s">
        <v>243</v>
      </c>
      <c r="G2" s="100">
        <f>+Q2</f>
        <v>93.49837349</v>
      </c>
      <c r="H2" s="13"/>
      <c r="I2" s="184">
        <f>SUBTOTAL(9,I4:I1755)</f>
        <v>564.87</v>
      </c>
      <c r="J2" s="4"/>
      <c r="K2" s="14">
        <f>SUBTOTAL(9,K4:K1755)</f>
        <v>522.673</v>
      </c>
      <c r="L2" s="126">
        <f>+SUMPRODUCT(L5:L1755,K5:K1755)/K2</f>
        <v>0.2743765586</v>
      </c>
      <c r="M2" s="2"/>
      <c r="P2" s="16">
        <f>+SUMPRODUCT(P4:P1755,AH4:AH1755)/SUM(AH4:AH1755)</f>
        <v>88.06306838</v>
      </c>
      <c r="Q2" s="16">
        <f>+SUMPRODUCT(Q4:Q1755,AH4:AH1755)/SUM(AH4:AH1755)</f>
        <v>93.49837349</v>
      </c>
      <c r="R2" s="12">
        <f>+SUMPRODUCT(R4:R1755,AH4:AH1755)/SUM(AH4:AH1755)</f>
        <v>3467.036651</v>
      </c>
      <c r="S2" s="2"/>
      <c r="AB2" s="7"/>
      <c r="AC2" s="7"/>
      <c r="AD2" s="7"/>
      <c r="AE2" s="7"/>
      <c r="AF2" s="7"/>
      <c r="AG2" s="17">
        <f>SUMPRODUCT($AG4:$AG1755,$K4:$K1755)/SUM($K4:$K1755)</f>
        <v>110.92588</v>
      </c>
      <c r="AH2" s="18"/>
      <c r="AI2" s="2"/>
      <c r="AJ2" s="19">
        <v>3443.0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2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SUBTOTAL(9,AH4:AH1755)</f>
        <v>4586.863</v>
      </c>
      <c r="AI3" s="186">
        <f t="shared" si="1"/>
        <v>4916.842</v>
      </c>
      <c r="AJ3" s="187">
        <f>SUMPRODUCT(K4:K1755,AJ4:AJ1755)/K2</f>
        <v>24.47025048</v>
      </c>
      <c r="AK3" s="39">
        <f>SUBTOTAL(9,AK4:AK1755)</f>
        <v>4264.415072</v>
      </c>
      <c r="AL3" s="11"/>
      <c r="AM3" s="39">
        <f>SUBTOTAL(9,AM4:AM1755)</f>
        <v>371879.8137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2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149" t="s">
        <v>1161</v>
      </c>
      <c r="AW4" s="150"/>
      <c r="AX4" s="150"/>
      <c r="AY4" s="150"/>
      <c r="AZ4" s="150"/>
      <c r="BA4" s="150"/>
      <c r="BB4" s="150"/>
      <c r="BC4" s="150"/>
      <c r="BD4" s="151"/>
      <c r="BE4" s="67"/>
      <c r="BF4" s="67"/>
      <c r="BG4" s="67"/>
    </row>
    <row r="5" ht="15.0" customHeight="1">
      <c r="A5" s="132" t="s">
        <v>1162</v>
      </c>
      <c r="B5" s="56">
        <v>45861.0</v>
      </c>
      <c r="C5" s="182">
        <v>45855.0</v>
      </c>
      <c r="D5" s="57" t="s">
        <v>602</v>
      </c>
      <c r="E5" s="57">
        <f t="array" ref="E5">XLOOKUP(D5,RUC!$B$3:$B$110,RUC!$D$3:$D$110)</f>
        <v>20169040231</v>
      </c>
      <c r="G5" s="3">
        <v>12.0</v>
      </c>
      <c r="H5" s="3" t="s">
        <v>47</v>
      </c>
      <c r="I5" s="6">
        <v>1.02</v>
      </c>
      <c r="J5" s="58">
        <v>1.05</v>
      </c>
      <c r="K5" s="59">
        <f t="shared" ref="K5:K109" si="3">ROUND(+I5-(I5*(J5/100)),3)</f>
        <v>1.009</v>
      </c>
      <c r="L5" s="60">
        <v>0.092</v>
      </c>
      <c r="M5" s="60">
        <v>0.075</v>
      </c>
      <c r="N5" s="62">
        <v>0.075</v>
      </c>
      <c r="O5" s="60">
        <f t="shared" ref="O5:O63" si="4">+ROUND((M5+N5)/2,3)</f>
        <v>0.075</v>
      </c>
      <c r="P5" s="63">
        <v>90.0</v>
      </c>
      <c r="Q5" s="58">
        <v>95.65</v>
      </c>
      <c r="R5" s="65">
        <v>3318.5</v>
      </c>
      <c r="S5" s="66">
        <f>IF((90+ROUNDDOWN(O5,1)*100)&lt;95,95,(85+ROUNDDOWN(O5,1)*100))</f>
        <v>95</v>
      </c>
      <c r="U5" s="67">
        <f t="array" ref="U5">XLOOKUP(D5,RUC!$B$3:$B$110,RUC!$F$3:$F$110)</f>
        <v>120</v>
      </c>
      <c r="V5" s="67">
        <v>1.1023</v>
      </c>
      <c r="Y5" s="57">
        <f t="array" ref="Y5">XLOOKUP(D5,RUC!$B$3:$B$110,RUC!$G$3:$G$110)</f>
        <v>20</v>
      </c>
      <c r="Z5" s="69">
        <f t="array" ref="Z5">XLOOKUP(D5,RUC!$B$3:$B$110,RUC!$H$3:$H$110)</f>
        <v>30</v>
      </c>
      <c r="AA5" s="70">
        <f t="shared" ref="AA5:AA109" si="5">+Y5+Z5</f>
        <v>50</v>
      </c>
      <c r="AB5" s="71">
        <v>0.01</v>
      </c>
      <c r="AC5" s="71">
        <f>+(S5-T5)*V5-'data 1'!$F$4</f>
        <v>24.7185</v>
      </c>
      <c r="AD5" s="71">
        <f t="shared" ref="AD5:AD109" si="6">+(Q5-P5)*(R5-U5)*L5*V5/100</f>
        <v>18.32662265</v>
      </c>
      <c r="AE5" s="71">
        <f t="shared" ref="AE5:AE109" si="7">+(Y5*V5-70)+V5*(Z5-IF(D5="UNTUCA",IF(+((W5-3)*2.5+(X5-3)*3.1)&gt;0,+((W5-3)*1.5+(X5-3)*3.1),0),IF(+((W5-3)*1.5+(X5-3)*3.1)&gt;0,+((W5-3)*1.5+(X5-3)*3.1),0)))</f>
        <v>-14.885</v>
      </c>
      <c r="AF5" s="71">
        <f t="shared" ref="AF5:AF109" si="8">(L5-O5)*(R5-U5)*Q5*V5/100</f>
        <v>57.32975136</v>
      </c>
      <c r="AG5" s="72">
        <f>AC5+AD5+AE5+AF5+70-53+78.15</f>
        <v>180.639874</v>
      </c>
      <c r="AH5" s="193">
        <f t="shared" ref="AH5:AH109" si="9">ROUND((31.1035*L5*Q5*1.1023*K5/100),3)</f>
        <v>3.044</v>
      </c>
      <c r="AI5" s="193">
        <f t="shared" ref="AI5:AI109" si="10">ROUND((31.1035*L5*1.1023*K5),3)</f>
        <v>3.183</v>
      </c>
      <c r="AJ5" s="73">
        <f t="shared" ref="AJ5:AJ109" si="11">+((+$AJ$2-R5+U5)*L5*Q5*V5)/100</f>
        <v>23.71654778</v>
      </c>
      <c r="AK5" s="73">
        <f t="shared" ref="AK5:AK109" si="12">31.1035*1.1023*K5*P5*O5/100</f>
        <v>2.335092067</v>
      </c>
      <c r="AL5" s="11"/>
      <c r="AM5" s="51">
        <f t="shared" ref="AM5:AM109" si="13">+IF(AB5*K5&gt;0,AB5*K5,0)</f>
        <v>0.01009</v>
      </c>
      <c r="AN5" s="51" t="str">
        <f t="array" ref="AN5">XLOOKUP(D5,RUC!$B$3:$B$565,RUC!$M$3:$M$565)</f>
        <v>Ronald Miranda</v>
      </c>
      <c r="AO5" s="131" t="s">
        <v>558</v>
      </c>
      <c r="AP5" s="57" t="s">
        <v>617</v>
      </c>
      <c r="AQ5" s="2" t="s">
        <v>618</v>
      </c>
      <c r="AS5" s="65"/>
      <c r="AW5" s="195">
        <f>SUM(AW7:AW16)</f>
        <v>522.673</v>
      </c>
      <c r="AX5" s="196">
        <f>SUMPRODUCT(AW7:AW16,AX7:AX16)/SUM(AW7:AW16)</f>
        <v>0.2743765586</v>
      </c>
      <c r="AY5" s="197"/>
      <c r="AZ5" s="198">
        <f>SUMPRODUCT(AZ7:AZ16,$BB7:$BB16)/SUM($BB7:$BB16)/100</f>
        <v>0.9349837349</v>
      </c>
      <c r="BA5" s="82">
        <f t="shared" ref="BA5:BB5" si="2">SUM(BA7:BA16)</f>
        <v>4916.840723</v>
      </c>
      <c r="BB5" s="82">
        <f t="shared" si="2"/>
        <v>4586.863</v>
      </c>
    </row>
    <row r="6" ht="15.0" customHeight="1">
      <c r="A6" s="116" t="s">
        <v>1163</v>
      </c>
      <c r="B6" s="56">
        <v>45880.0</v>
      </c>
      <c r="C6" s="182">
        <v>45856.0</v>
      </c>
      <c r="D6" s="57" t="s">
        <v>225</v>
      </c>
      <c r="E6" s="57">
        <f t="array" ref="E6">XLOOKUP(D6,RUC!$B$3:$B$110,RUC!$D$3:$D$110)</f>
        <v>10761932735</v>
      </c>
      <c r="G6" s="3" t="s">
        <v>46</v>
      </c>
      <c r="H6" s="3" t="s">
        <v>47</v>
      </c>
      <c r="I6" s="6">
        <v>44.65</v>
      </c>
      <c r="J6" s="58">
        <v>7.75</v>
      </c>
      <c r="K6" s="59">
        <f t="shared" si="3"/>
        <v>41.19</v>
      </c>
      <c r="L6" s="139">
        <v>0.1</v>
      </c>
      <c r="M6" s="60">
        <v>0.085</v>
      </c>
      <c r="N6" s="75">
        <v>0.141</v>
      </c>
      <c r="O6" s="60">
        <f t="shared" si="4"/>
        <v>0.113</v>
      </c>
      <c r="P6" s="63">
        <v>80.0</v>
      </c>
      <c r="Q6" s="58">
        <v>94.05</v>
      </c>
      <c r="R6" s="65">
        <v>3355.1</v>
      </c>
      <c r="S6" s="76">
        <v>95.0</v>
      </c>
      <c r="U6" s="67">
        <f t="array" ref="U6">XLOOKUP(D6,RUC!$B$3:$B$110,RUC!$F$3:$F$110)</f>
        <v>120</v>
      </c>
      <c r="V6" s="67">
        <v>1.1023</v>
      </c>
      <c r="Y6" s="57">
        <f t="array" ref="Y6">XLOOKUP(D6,RUC!$B$3:$B$110,RUC!$G$3:$G$110)</f>
        <v>20</v>
      </c>
      <c r="Z6" s="69">
        <f t="array" ref="Z6">XLOOKUP(D6,RUC!$B$3:$B$110,RUC!$H$3:$H$110)</f>
        <v>30</v>
      </c>
      <c r="AA6" s="70">
        <f t="shared" si="5"/>
        <v>50</v>
      </c>
      <c r="AB6" s="71">
        <f t="shared" ref="AB6:AB10" si="14">+((O6*P6*(R6-U6)/100)-S6-AA6+T6)*V6</f>
        <v>162.537486</v>
      </c>
      <c r="AC6" s="71">
        <f>+(S6-T6)*V6-'data 1'!$F$4</f>
        <v>24.7185</v>
      </c>
      <c r="AD6" s="71">
        <f t="shared" si="6"/>
        <v>50.10301276</v>
      </c>
      <c r="AE6" s="71">
        <f t="shared" si="7"/>
        <v>-14.885</v>
      </c>
      <c r="AF6" s="71">
        <f t="shared" si="8"/>
        <v>-43.60031925</v>
      </c>
      <c r="AG6" s="72">
        <f t="shared" ref="AG6:AG18" si="15">AC6+AD6+AE6+AF6+70-53</f>
        <v>33.33619351</v>
      </c>
      <c r="AH6" s="193">
        <f t="shared" si="9"/>
        <v>132.819</v>
      </c>
      <c r="AI6" s="193">
        <f t="shared" si="10"/>
        <v>141.222</v>
      </c>
      <c r="AJ6" s="73">
        <f t="shared" si="11"/>
        <v>21.55326639</v>
      </c>
      <c r="AK6" s="73">
        <f t="shared" si="12"/>
        <v>127.6642481</v>
      </c>
      <c r="AL6" s="11"/>
      <c r="AM6" s="51">
        <f t="shared" si="13"/>
        <v>6694.919048</v>
      </c>
      <c r="AN6" s="51" t="str">
        <f t="array" ref="AN6">XLOOKUP(D6,RUC!$B$3:$B$565,RUC!$M$3:$M$565)</f>
        <v>Richard Sapacayo</v>
      </c>
      <c r="AO6" s="131" t="s">
        <v>551</v>
      </c>
      <c r="AP6" s="2" t="s">
        <v>623</v>
      </c>
      <c r="AQ6" s="2" t="s">
        <v>1164</v>
      </c>
      <c r="AS6" s="65"/>
      <c r="AV6" s="3"/>
      <c r="AW6" s="3" t="s">
        <v>14</v>
      </c>
      <c r="AX6" s="3" t="s">
        <v>683</v>
      </c>
      <c r="AY6" s="143" t="s">
        <v>683</v>
      </c>
      <c r="AZ6" s="3" t="s">
        <v>685</v>
      </c>
      <c r="BA6" s="3" t="s">
        <v>686</v>
      </c>
      <c r="BB6" s="3" t="s">
        <v>687</v>
      </c>
      <c r="BC6" s="3" t="s">
        <v>698</v>
      </c>
      <c r="BD6" s="65" t="s">
        <v>699</v>
      </c>
    </row>
    <row r="7" ht="15.0" customHeight="1">
      <c r="A7" s="116" t="s">
        <v>1165</v>
      </c>
      <c r="B7" s="56">
        <v>45883.0</v>
      </c>
      <c r="C7" s="182">
        <v>45861.0</v>
      </c>
      <c r="D7" s="57" t="s">
        <v>295</v>
      </c>
      <c r="E7" s="57">
        <f t="array" ref="E7">XLOOKUP(D7,RUC!$B$3:$B$110,RUC!$D$3:$D$110)</f>
        <v>20601769396</v>
      </c>
      <c r="G7" s="141">
        <v>42.0</v>
      </c>
      <c r="H7" s="3" t="s">
        <v>40</v>
      </c>
      <c r="I7" s="6">
        <v>2.96</v>
      </c>
      <c r="J7" s="58">
        <v>12.25</v>
      </c>
      <c r="K7" s="59">
        <f t="shared" si="3"/>
        <v>2.597</v>
      </c>
      <c r="L7" s="60">
        <v>0.145</v>
      </c>
      <c r="M7" s="3">
        <v>0.131</v>
      </c>
      <c r="N7" s="75">
        <v>0.16</v>
      </c>
      <c r="O7" s="60">
        <f t="shared" si="4"/>
        <v>0.146</v>
      </c>
      <c r="P7" s="63">
        <v>85.0</v>
      </c>
      <c r="Q7" s="58">
        <v>93.79</v>
      </c>
      <c r="R7" s="65">
        <v>3413.55</v>
      </c>
      <c r="S7" s="66">
        <f t="shared" ref="S7:S10" si="16">IF((90+ROUNDDOWN(O7,1)*100)&lt;95,95,(90+ROUNDDOWN(O7,1)*100))</f>
        <v>100</v>
      </c>
      <c r="U7" s="67">
        <f t="array" ref="U7">XLOOKUP(D7,RUC!$B$3:$B$110,RUC!$F$3:$F$110)</f>
        <v>120</v>
      </c>
      <c r="V7" s="67">
        <v>1.1023</v>
      </c>
      <c r="Y7" s="57">
        <f t="array" ref="Y7">XLOOKUP(D7,RUC!$B$3:$B$110,RUC!$G$3:$G$110)</f>
        <v>20</v>
      </c>
      <c r="Z7" s="69">
        <f t="array" ref="Z7">XLOOKUP(D7,RUC!$B$3:$B$110,RUC!$H$3:$H$110)</f>
        <v>30</v>
      </c>
      <c r="AA7" s="70">
        <f t="shared" si="5"/>
        <v>50</v>
      </c>
      <c r="AB7" s="71">
        <f t="shared" si="14"/>
        <v>285.1975885</v>
      </c>
      <c r="AC7" s="71">
        <f>+(S7-T7)*V7-'data 1'!$F$4</f>
        <v>30.23</v>
      </c>
      <c r="AD7" s="71">
        <f t="shared" si="6"/>
        <v>46.27228494</v>
      </c>
      <c r="AE7" s="71">
        <f t="shared" si="7"/>
        <v>-14.885</v>
      </c>
      <c r="AF7" s="71">
        <f t="shared" si="8"/>
        <v>-3.405027347</v>
      </c>
      <c r="AG7" s="72">
        <f t="shared" si="15"/>
        <v>75.2122576</v>
      </c>
      <c r="AH7" s="193">
        <f t="shared" si="9"/>
        <v>12.109</v>
      </c>
      <c r="AI7" s="193">
        <f t="shared" si="10"/>
        <v>12.911</v>
      </c>
      <c r="AJ7" s="73">
        <f t="shared" si="11"/>
        <v>22.40372664</v>
      </c>
      <c r="AK7" s="73">
        <f t="shared" si="12"/>
        <v>11.04975886</v>
      </c>
      <c r="AL7" s="11"/>
      <c r="AM7" s="51">
        <f t="shared" si="13"/>
        <v>740.6581373</v>
      </c>
      <c r="AN7" s="51" t="str">
        <f t="array" ref="AN7">XLOOKUP(D7,RUC!$B$3:$B$565,RUC!$M$3:$M$565)</f>
        <v>Evelyn</v>
      </c>
      <c r="AO7" s="131" t="s">
        <v>547</v>
      </c>
      <c r="AP7" s="57" t="s">
        <v>817</v>
      </c>
      <c r="AQ7" s="57" t="s">
        <v>1166</v>
      </c>
      <c r="AS7" s="65"/>
      <c r="AV7" s="152" t="s">
        <v>558</v>
      </c>
      <c r="AW7" s="154">
        <f t="shared" ref="AW7:AW16" si="17">SUMIF($AO$4:$AO$1900,AV7,$K$4:$K$1900)</f>
        <v>100.728</v>
      </c>
      <c r="AX7" s="154">
        <f t="array" ref="AX7">+SUMPRODUCT(IF($AO$4:$AO$1900=AV7,'27'!$L$4:$L$1900*$K$4:$K$1900/AW7))</f>
        <v>0.2521664483</v>
      </c>
      <c r="AY7" s="155">
        <f t="shared" ref="AY7:AY16" si="18">31.1035*1.1023*AX7*(100-AZ7)/100</f>
        <v>0.4703703234</v>
      </c>
      <c r="AZ7" s="157">
        <f t="array" ref="AZ7">+SUMPRODUCT(IF($AO$4:$AO$1900=AV7,($Q$4:$Q$1900*$AH$4:$AH$1900)/SUMIF($AO$4:$AO$1900,$AV7,$AH$4:$AH$1900)))</f>
        <v>94.55944077</v>
      </c>
      <c r="BA7" s="200">
        <f t="shared" ref="BA7:BA17" si="19">+AX7*31.1035*1.1023*AW7</f>
        <v>870.8564678</v>
      </c>
      <c r="BB7" s="156">
        <f t="shared" ref="BB7:BB17" si="20">SUMIF($AO$4:$AO$1000,$AV7,$AH$4:$AH$1000)</f>
        <v>822.99</v>
      </c>
      <c r="BC7" s="157">
        <f>+BA7-BB7</f>
        <v>47.86646783</v>
      </c>
      <c r="BD7" s="158">
        <f>+AW7</f>
        <v>100.728</v>
      </c>
      <c r="BE7" s="65"/>
      <c r="BF7" s="5"/>
      <c r="BG7" s="428"/>
    </row>
    <row r="8" ht="15.0" customHeight="1">
      <c r="A8" s="116" t="s">
        <v>1167</v>
      </c>
      <c r="B8" s="56">
        <v>45883.0</v>
      </c>
      <c r="C8" s="182">
        <v>45861.0</v>
      </c>
      <c r="D8" s="57" t="s">
        <v>295</v>
      </c>
      <c r="E8" s="57">
        <f t="array" ref="E8">XLOOKUP(D8,RUC!$B$3:$B$110,RUC!$D$3:$D$110)</f>
        <v>20601769396</v>
      </c>
      <c r="G8" s="141">
        <v>43.0</v>
      </c>
      <c r="H8" s="3" t="s">
        <v>40</v>
      </c>
      <c r="I8" s="6">
        <v>3.17</v>
      </c>
      <c r="J8" s="58">
        <v>11.0</v>
      </c>
      <c r="K8" s="59">
        <f t="shared" si="3"/>
        <v>2.821</v>
      </c>
      <c r="L8" s="60">
        <v>0.169</v>
      </c>
      <c r="M8" s="3">
        <v>0.154</v>
      </c>
      <c r="N8" s="75">
        <v>0.201</v>
      </c>
      <c r="O8" s="60">
        <f t="shared" si="4"/>
        <v>0.178</v>
      </c>
      <c r="P8" s="63">
        <v>90.0</v>
      </c>
      <c r="Q8" s="58">
        <v>94.08</v>
      </c>
      <c r="R8" s="65">
        <v>3413.55</v>
      </c>
      <c r="S8" s="66">
        <f t="shared" si="16"/>
        <v>100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69">
        <f t="array" ref="Z8">XLOOKUP(D8,RUC!$B$3:$B$110,RUC!$H$3:$H$110)</f>
        <v>30</v>
      </c>
      <c r="AA8" s="70">
        <f t="shared" si="5"/>
        <v>50</v>
      </c>
      <c r="AB8" s="71">
        <f t="shared" si="14"/>
        <v>416.2579224</v>
      </c>
      <c r="AC8" s="71">
        <f>+(S8-T8)*V8-'data 1'!$F$4</f>
        <v>30.23</v>
      </c>
      <c r="AD8" s="71">
        <f t="shared" si="6"/>
        <v>25.03288683</v>
      </c>
      <c r="AE8" s="71">
        <f t="shared" si="7"/>
        <v>-14.885</v>
      </c>
      <c r="AF8" s="71">
        <f t="shared" si="8"/>
        <v>-30.74000165</v>
      </c>
      <c r="AG8" s="72">
        <f t="shared" si="15"/>
        <v>26.63788518</v>
      </c>
      <c r="AH8" s="193">
        <f t="shared" si="9"/>
        <v>15.378</v>
      </c>
      <c r="AI8" s="193">
        <f t="shared" si="10"/>
        <v>16.346</v>
      </c>
      <c r="AJ8" s="73">
        <f t="shared" si="11"/>
        <v>26.19266812</v>
      </c>
      <c r="AK8" s="73">
        <f t="shared" si="12"/>
        <v>15.49439657</v>
      </c>
      <c r="AL8" s="11"/>
      <c r="AM8" s="51">
        <f t="shared" si="13"/>
        <v>1174.263599</v>
      </c>
      <c r="AN8" s="51" t="str">
        <f t="array" ref="AN8">XLOOKUP(D8,RUC!$B$3:$B$565,RUC!$M$3:$M$565)</f>
        <v>Evelyn</v>
      </c>
      <c r="AO8" s="131" t="s">
        <v>558</v>
      </c>
      <c r="AP8" s="57" t="s">
        <v>817</v>
      </c>
      <c r="AQ8" s="57" t="s">
        <v>1166</v>
      </c>
      <c r="AS8" s="65"/>
      <c r="AV8" s="160" t="s">
        <v>551</v>
      </c>
      <c r="AW8" s="6">
        <f t="shared" si="17"/>
        <v>107.731</v>
      </c>
      <c r="AX8" s="6">
        <f t="array" ref="AX8">+SUMPRODUCT(IF($AO$4:$AO$1900=AV8,'27'!$L$4:$L$1900*$K$4:$K$1900/AW8))</f>
        <v>0.2919235132</v>
      </c>
      <c r="AY8" s="145">
        <f t="shared" si="18"/>
        <v>0.7276499774</v>
      </c>
      <c r="AZ8" s="58">
        <f t="array" ref="AZ8">+SUMPRODUCT(IF($AO$4:$AO$1900=AV8,($Q$4:$Q$1900*$AH$4:$AH$1900)/SUMIF($AO$4:$AO$1900,$AV8,$AH$4:$AH$1900)))</f>
        <v>92.72983322</v>
      </c>
      <c r="BA8" s="65">
        <f t="shared" si="19"/>
        <v>1078.248437</v>
      </c>
      <c r="BB8" s="65">
        <f t="shared" si="20"/>
        <v>999.029</v>
      </c>
      <c r="BC8" s="58">
        <f t="shared" ref="BC8:BC16" si="21">+BC7+BA8-BB8</f>
        <v>127.0859051</v>
      </c>
      <c r="BD8" s="161">
        <f t="shared" ref="BD8:BD16" si="22">+BD7+AW8</f>
        <v>208.459</v>
      </c>
      <c r="BE8" s="65"/>
      <c r="BF8" s="65"/>
    </row>
    <row r="9" ht="15.0" customHeight="1">
      <c r="A9" s="116" t="s">
        <v>1168</v>
      </c>
      <c r="B9" s="56">
        <v>45883.0</v>
      </c>
      <c r="C9" s="182">
        <v>45861.0</v>
      </c>
      <c r="D9" s="57" t="s">
        <v>295</v>
      </c>
      <c r="E9" s="57">
        <f t="array" ref="E9">XLOOKUP(D9,RUC!$B$3:$B$110,RUC!$D$3:$D$110)</f>
        <v>20601769396</v>
      </c>
      <c r="G9" s="141">
        <v>42.0</v>
      </c>
      <c r="H9" s="3" t="s">
        <v>40</v>
      </c>
      <c r="I9" s="6">
        <v>3.09</v>
      </c>
      <c r="J9" s="58">
        <v>8.9</v>
      </c>
      <c r="K9" s="59">
        <f t="shared" si="3"/>
        <v>2.815</v>
      </c>
      <c r="L9" s="60">
        <v>0.107</v>
      </c>
      <c r="M9" s="3">
        <v>0.092</v>
      </c>
      <c r="N9" s="75">
        <v>0.147</v>
      </c>
      <c r="O9" s="60">
        <f t="shared" si="4"/>
        <v>0.12</v>
      </c>
      <c r="P9" s="63">
        <v>80.0</v>
      </c>
      <c r="Q9" s="58">
        <v>90.65</v>
      </c>
      <c r="R9" s="65">
        <v>3413.55</v>
      </c>
      <c r="S9" s="66">
        <f t="shared" si="16"/>
        <v>100</v>
      </c>
      <c r="U9" s="67">
        <f t="array" ref="U9">XLOOKUP(D9,RUC!$B$3:$B$110,RUC!$F$3:$F$110)</f>
        <v>120</v>
      </c>
      <c r="V9" s="67">
        <v>1.1023</v>
      </c>
      <c r="Y9" s="57">
        <f t="array" ref="Y9">XLOOKUP(D9,RUC!$B$3:$B$110,RUC!$G$3:$G$110)</f>
        <v>20</v>
      </c>
      <c r="Z9" s="69">
        <f t="array" ref="Z9">XLOOKUP(D9,RUC!$B$3:$B$110,RUC!$H$3:$H$110)</f>
        <v>30</v>
      </c>
      <c r="AA9" s="70">
        <f t="shared" si="5"/>
        <v>50</v>
      </c>
      <c r="AB9" s="71">
        <f t="shared" si="14"/>
        <v>183.1810958</v>
      </c>
      <c r="AC9" s="71">
        <f>+(S9-T9)*V9-'data 1'!$F$4</f>
        <v>30.23</v>
      </c>
      <c r="AD9" s="71">
        <f t="shared" si="6"/>
        <v>41.37113672</v>
      </c>
      <c r="AE9" s="71">
        <f t="shared" si="7"/>
        <v>-14.885</v>
      </c>
      <c r="AF9" s="71">
        <f t="shared" si="8"/>
        <v>-42.7833935</v>
      </c>
      <c r="AG9" s="72">
        <f t="shared" si="15"/>
        <v>30.93274322</v>
      </c>
      <c r="AH9" s="193">
        <f t="shared" si="9"/>
        <v>9.361</v>
      </c>
      <c r="AI9" s="193">
        <f t="shared" si="10"/>
        <v>10.327</v>
      </c>
      <c r="AJ9" s="73">
        <f t="shared" si="11"/>
        <v>15.97891597</v>
      </c>
      <c r="AK9" s="73">
        <f t="shared" si="12"/>
        <v>9.265283267</v>
      </c>
      <c r="AL9" s="11"/>
      <c r="AM9" s="51">
        <f t="shared" si="13"/>
        <v>515.6547848</v>
      </c>
      <c r="AN9" s="51" t="str">
        <f t="array" ref="AN9">XLOOKUP(D9,RUC!$B$3:$B$565,RUC!$M$3:$M$565)</f>
        <v>Evelyn</v>
      </c>
      <c r="AO9" s="131" t="s">
        <v>547</v>
      </c>
      <c r="AP9" s="57" t="s">
        <v>817</v>
      </c>
      <c r="AQ9" s="57" t="s">
        <v>1166</v>
      </c>
      <c r="AS9" s="65"/>
      <c r="AV9" s="160" t="s">
        <v>547</v>
      </c>
      <c r="AW9" s="6">
        <f t="shared" si="17"/>
        <v>105.825</v>
      </c>
      <c r="AX9" s="6">
        <f t="array" ref="AX9">+SUMPRODUCT(IF($AO$4:$AO$1900=AV9,'27'!$L$4:$L$1900*$K$4:$K$1900/AW9))</f>
        <v>0.2723685991</v>
      </c>
      <c r="AY9" s="145">
        <f t="shared" si="18"/>
        <v>0.4901953301</v>
      </c>
      <c r="AZ9" s="58">
        <f t="array" ref="AZ9">+SUMPRODUCT(IF($AO$4:$AO$1900=AV9,($Q$4:$Q$1900*$AH$4:$AH$1900)/SUMIF($AO$4:$AO$1900,$AV9,$AH$4:$AH$1900)))</f>
        <v>94.75067982</v>
      </c>
      <c r="BA9" s="65">
        <f t="shared" si="19"/>
        <v>988.2216939</v>
      </c>
      <c r="BB9" s="65">
        <f t="shared" si="20"/>
        <v>935.484</v>
      </c>
      <c r="BC9" s="58">
        <f t="shared" si="21"/>
        <v>179.823599</v>
      </c>
      <c r="BD9" s="161">
        <f t="shared" si="22"/>
        <v>314.284</v>
      </c>
      <c r="BE9" s="65"/>
      <c r="BF9" s="65"/>
    </row>
    <row r="10" ht="15.0" customHeight="1">
      <c r="A10" s="116" t="s">
        <v>1169</v>
      </c>
      <c r="B10" s="56">
        <v>45883.0</v>
      </c>
      <c r="C10" s="182">
        <v>45861.0</v>
      </c>
      <c r="D10" s="57" t="s">
        <v>295</v>
      </c>
      <c r="E10" s="57">
        <f t="array" ref="E10">XLOOKUP(D10,RUC!$B$3:$B$110,RUC!$D$3:$D$110)</f>
        <v>20601769396</v>
      </c>
      <c r="G10" s="141">
        <v>43.0</v>
      </c>
      <c r="H10" s="3" t="s">
        <v>40</v>
      </c>
      <c r="I10" s="6">
        <v>3.14</v>
      </c>
      <c r="J10" s="58">
        <v>9.05</v>
      </c>
      <c r="K10" s="59">
        <f t="shared" si="3"/>
        <v>2.856</v>
      </c>
      <c r="L10" s="60">
        <v>0.12</v>
      </c>
      <c r="M10" s="3">
        <v>0.104</v>
      </c>
      <c r="N10" s="75">
        <v>0.197</v>
      </c>
      <c r="O10" s="60">
        <f t="shared" si="4"/>
        <v>0.151</v>
      </c>
      <c r="P10" s="63">
        <v>80.0</v>
      </c>
      <c r="Q10" s="58">
        <v>98.33</v>
      </c>
      <c r="R10" s="65">
        <v>3413.55</v>
      </c>
      <c r="S10" s="66">
        <f t="shared" si="16"/>
        <v>100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69">
        <f t="array" ref="Z10">XLOOKUP(D10,RUC!$B$3:$B$110,RUC!$H$3:$H$110)</f>
        <v>30</v>
      </c>
      <c r="AA10" s="70">
        <f t="shared" si="5"/>
        <v>50</v>
      </c>
      <c r="AB10" s="71">
        <f t="shared" si="14"/>
        <v>273.2170039</v>
      </c>
      <c r="AC10" s="71">
        <f>+(S10-T10)*V10-'data 1'!$F$4</f>
        <v>30.23</v>
      </c>
      <c r="AD10" s="71">
        <f t="shared" si="6"/>
        <v>79.85604171</v>
      </c>
      <c r="AE10" s="71">
        <f t="shared" si="7"/>
        <v>-14.885</v>
      </c>
      <c r="AF10" s="71">
        <f t="shared" si="8"/>
        <v>-110.6653855</v>
      </c>
      <c r="AG10" s="72">
        <f t="shared" si="15"/>
        <v>1.535656176</v>
      </c>
      <c r="AH10" s="193">
        <f t="shared" si="9"/>
        <v>11.554</v>
      </c>
      <c r="AI10" s="193">
        <f t="shared" si="10"/>
        <v>11.75</v>
      </c>
      <c r="AJ10" s="73">
        <f t="shared" si="11"/>
        <v>19.43851178</v>
      </c>
      <c r="AK10" s="73">
        <f t="shared" si="12"/>
        <v>11.82862345</v>
      </c>
      <c r="AL10" s="11"/>
      <c r="AM10" s="51">
        <f t="shared" si="13"/>
        <v>780.3077632</v>
      </c>
      <c r="AN10" s="51" t="str">
        <f t="array" ref="AN10">XLOOKUP(D10,RUC!$B$3:$B$565,RUC!$M$3:$M$565)</f>
        <v>Evelyn</v>
      </c>
      <c r="AO10" s="131" t="s">
        <v>558</v>
      </c>
      <c r="AP10" s="57" t="s">
        <v>817</v>
      </c>
      <c r="AQ10" s="57" t="s">
        <v>1166</v>
      </c>
      <c r="AS10" s="65"/>
      <c r="AV10" s="160" t="s">
        <v>549</v>
      </c>
      <c r="AW10" s="6">
        <f t="shared" si="17"/>
        <v>104.777</v>
      </c>
      <c r="AX10" s="6">
        <f t="array" ref="AX10">+SUMPRODUCT(IF($AO$4:$AO$1900=AV10,'27'!$L$4:$L$1900*$K$4:$K$1900/AW10))</f>
        <v>0.2743059355</v>
      </c>
      <c r="AY10" s="145">
        <f t="shared" si="18"/>
        <v>0.5702688977</v>
      </c>
      <c r="AZ10" s="58">
        <f t="array" ref="AZ10">+SUMPRODUCT(IF($AO$4:$AO$1900=AV10,($Q$4:$Q$1900*$AH$4:$AH$1900)/SUMIF($AO$4:$AO$1900,$AV10,$AH$4:$AH$1900)))</f>
        <v>93.93633204</v>
      </c>
      <c r="BA10" s="65">
        <f t="shared" si="19"/>
        <v>985.3947265</v>
      </c>
      <c r="BB10" s="65">
        <f t="shared" si="20"/>
        <v>923.552</v>
      </c>
      <c r="BC10" s="58">
        <f t="shared" si="21"/>
        <v>241.6663256</v>
      </c>
      <c r="BD10" s="161">
        <f t="shared" si="22"/>
        <v>419.061</v>
      </c>
      <c r="BE10" s="65"/>
      <c r="BF10" s="65"/>
    </row>
    <row r="11" ht="15.0" customHeight="1">
      <c r="A11" s="132" t="s">
        <v>1170</v>
      </c>
      <c r="B11" s="56">
        <v>45883.0</v>
      </c>
      <c r="C11" s="182">
        <v>45876.0</v>
      </c>
      <c r="D11" s="57" t="s">
        <v>225</v>
      </c>
      <c r="E11" s="57">
        <f t="array" ref="E11">XLOOKUP(D11,RUC!$B$3:$B$110,RUC!$D$3:$D$110)</f>
        <v>10761932735</v>
      </c>
      <c r="G11" s="141" t="s">
        <v>1145</v>
      </c>
      <c r="H11" s="3" t="s">
        <v>47</v>
      </c>
      <c r="I11" s="6">
        <v>5.9</v>
      </c>
      <c r="J11" s="58">
        <v>15.7</v>
      </c>
      <c r="K11" s="59">
        <f t="shared" si="3"/>
        <v>4.974</v>
      </c>
      <c r="L11" s="3">
        <v>0.069</v>
      </c>
      <c r="M11" s="3">
        <v>0.054</v>
      </c>
      <c r="N11" s="427">
        <v>0.054</v>
      </c>
      <c r="O11" s="60">
        <f t="shared" si="4"/>
        <v>0.054</v>
      </c>
      <c r="P11" s="63">
        <v>80.0</v>
      </c>
      <c r="Q11" s="58">
        <v>92.75</v>
      </c>
      <c r="R11" s="65">
        <v>3383.75</v>
      </c>
      <c r="S11" s="66">
        <f t="array" ref="S11">IF((XLOOKUP(D11,RUC!$B$3:$B$63,RUC!$E$3:$E$63)+ROUNDDOWN(O11,1)*100)&lt;95,95,((XLOOKUP(D11,RUC!$B$3:$B$63,RUC!$E$3:$E$63)+ROUNDDOWN(O11,1)*100)))</f>
        <v>95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5"/>
        <v>50</v>
      </c>
      <c r="AB11" s="71">
        <v>0.01</v>
      </c>
      <c r="AC11" s="71">
        <f>+(S11-T11)*V11-'data 1'!$F$4</f>
        <v>24.7185</v>
      </c>
      <c r="AD11" s="71">
        <f t="shared" si="6"/>
        <v>31.65016422</v>
      </c>
      <c r="AE11" s="71">
        <f t="shared" si="7"/>
        <v>-14.885</v>
      </c>
      <c r="AF11" s="71">
        <f t="shared" si="8"/>
        <v>50.05204998</v>
      </c>
      <c r="AG11" s="72">
        <f t="shared" si="15"/>
        <v>108.5357142</v>
      </c>
      <c r="AH11" s="193">
        <f t="shared" si="9"/>
        <v>10.914</v>
      </c>
      <c r="AI11" s="193">
        <f t="shared" si="10"/>
        <v>11.767</v>
      </c>
      <c r="AJ11" s="73">
        <f t="shared" si="11"/>
        <v>12.64509163</v>
      </c>
      <c r="AK11" s="73">
        <f t="shared" si="12"/>
        <v>7.367134471</v>
      </c>
      <c r="AL11" s="11"/>
      <c r="AM11" s="51">
        <f t="shared" si="13"/>
        <v>0.04974</v>
      </c>
      <c r="AN11" s="51" t="str">
        <f t="array" ref="AN11">XLOOKUP(D11,RUC!$B$3:$B$565,RUC!$M$3:$M$565)</f>
        <v>Richard Sapacayo</v>
      </c>
      <c r="AO11" s="131" t="s">
        <v>561</v>
      </c>
      <c r="AP11" s="57" t="s">
        <v>1171</v>
      </c>
      <c r="AQ11" s="57" t="s">
        <v>1172</v>
      </c>
      <c r="AS11" s="65"/>
      <c r="AV11" s="160" t="s">
        <v>561</v>
      </c>
      <c r="AW11" s="6">
        <f t="shared" si="17"/>
        <v>103.612</v>
      </c>
      <c r="AX11" s="6">
        <f t="array" ref="AX11">+SUMPRODUCT(IF($AO$4:$AO$1900=AV11,'27'!$L$4:$L$1900*$K$4:$K$1900/AW11))</f>
        <v>0.2798462051</v>
      </c>
      <c r="AY11" s="145">
        <f t="shared" si="18"/>
        <v>0.801911799</v>
      </c>
      <c r="AZ11" s="58">
        <f t="array" ref="AZ11">+SUMPRODUCT(IF($AO$4:$AO$1900=AV11,($Q$4:$Q$1900*$AH$4:$AH$1900)/SUMIF($AO$4:$AO$1900,$AV11,$AH$4:$AH$1900)))</f>
        <v>91.64208188</v>
      </c>
      <c r="BA11" s="65">
        <f t="shared" si="19"/>
        <v>994.1193978</v>
      </c>
      <c r="BB11" s="65">
        <f t="shared" si="20"/>
        <v>905.808</v>
      </c>
      <c r="BC11" s="58">
        <f t="shared" si="21"/>
        <v>329.9777234</v>
      </c>
      <c r="BD11" s="161">
        <f t="shared" si="22"/>
        <v>522.673</v>
      </c>
      <c r="BE11" s="65"/>
      <c r="BF11" s="65"/>
    </row>
    <row r="12" ht="15.0" customHeight="1">
      <c r="A12" s="116" t="s">
        <v>1173</v>
      </c>
      <c r="B12" s="56">
        <v>45883.0</v>
      </c>
      <c r="C12" s="182">
        <v>45876.0</v>
      </c>
      <c r="D12" s="57" t="s">
        <v>225</v>
      </c>
      <c r="E12" s="57">
        <f t="array" ref="E12">XLOOKUP(D12,RUC!$B$3:$B$110,RUC!$D$3:$D$110)</f>
        <v>10761932735</v>
      </c>
      <c r="G12" s="141">
        <v>72.0</v>
      </c>
      <c r="H12" s="3" t="s">
        <v>47</v>
      </c>
      <c r="I12" s="6">
        <v>16.59</v>
      </c>
      <c r="J12" s="58">
        <v>14.9</v>
      </c>
      <c r="K12" s="59">
        <f t="shared" si="3"/>
        <v>14.118</v>
      </c>
      <c r="L12" s="60">
        <v>0.29</v>
      </c>
      <c r="M12" s="3">
        <v>0.273</v>
      </c>
      <c r="N12" s="131">
        <v>0.295</v>
      </c>
      <c r="O12" s="60">
        <f t="shared" si="4"/>
        <v>0.284</v>
      </c>
      <c r="P12" s="63">
        <v>90.0</v>
      </c>
      <c r="Q12" s="58">
        <v>95.17</v>
      </c>
      <c r="R12" s="65">
        <v>3383.75</v>
      </c>
      <c r="S12" s="66">
        <f t="array" ref="S12">IF((XLOOKUP(D12,RUC!$B$3:$B$63,RUC!$E$3:$E$63)+ROUNDDOWN(O12,1)*100)&lt;95,95,((XLOOKUP(D12,RUC!$B$3:$B$63,RUC!$E$3:$E$63)+ROUNDDOWN(O12,1)*100)))</f>
        <v>110</v>
      </c>
      <c r="U12" s="67">
        <f t="array" ref="U12">XLOOKUP(D12,RUC!$B$3:$B$110,RUC!$F$3:$F$110)</f>
        <v>120</v>
      </c>
      <c r="V12" s="67">
        <v>1.1023</v>
      </c>
      <c r="Y12" s="57">
        <f t="array" ref="Y12">XLOOKUP(D12,RUC!$B$3:$B$110,RUC!$G$3:$G$110)</f>
        <v>20</v>
      </c>
      <c r="Z12" s="69">
        <f t="array" ref="Z12">XLOOKUP(D12,RUC!$B$3:$B$110,RUC!$H$3:$H$110)</f>
        <v>30</v>
      </c>
      <c r="AA12" s="70">
        <f t="shared" si="5"/>
        <v>50</v>
      </c>
      <c r="AB12" s="71">
        <f t="shared" ref="AB12:AB44" si="23">+((O12*P12*(R12-U12)/100)-S12-AA12+T12)*V12</f>
        <v>743.1866434</v>
      </c>
      <c r="AC12" s="71">
        <f>+(S12-T12)*V12-'data 1'!$F$4</f>
        <v>41.253</v>
      </c>
      <c r="AD12" s="71">
        <f t="shared" si="6"/>
        <v>53.93929095</v>
      </c>
      <c r="AE12" s="71">
        <f t="shared" si="7"/>
        <v>-14.885</v>
      </c>
      <c r="AF12" s="71">
        <f t="shared" si="8"/>
        <v>20.54319611</v>
      </c>
      <c r="AG12" s="72">
        <f t="shared" si="15"/>
        <v>117.8504871</v>
      </c>
      <c r="AH12" s="193">
        <f t="shared" si="9"/>
        <v>133.592</v>
      </c>
      <c r="AI12" s="193">
        <f t="shared" si="10"/>
        <v>140.372</v>
      </c>
      <c r="AJ12" s="73">
        <f t="shared" si="11"/>
        <v>54.53270479</v>
      </c>
      <c r="AK12" s="73">
        <f t="shared" si="12"/>
        <v>123.7209073</v>
      </c>
      <c r="AL12" s="11"/>
      <c r="AM12" s="51">
        <f t="shared" si="13"/>
        <v>10492.30903</v>
      </c>
      <c r="AN12" s="51" t="str">
        <f t="array" ref="AN12">XLOOKUP(D12,RUC!$B$3:$B$565,RUC!$M$3:$M$565)</f>
        <v>Richard Sapacayo</v>
      </c>
      <c r="AO12" s="131" t="s">
        <v>558</v>
      </c>
      <c r="AP12" s="57" t="s">
        <v>1171</v>
      </c>
      <c r="AQ12" s="57" t="s">
        <v>1172</v>
      </c>
      <c r="AS12" s="65"/>
      <c r="AV12" s="160" t="s">
        <v>689</v>
      </c>
      <c r="AW12" s="6">
        <f t="shared" si="17"/>
        <v>0</v>
      </c>
      <c r="AX12" s="6">
        <f t="array" ref="AX12">+SUMPRODUCT(IF('Analisis comercial'!$AO$4:$AO$283=AV12,'Analisis comercial'!$L$4:$L$283*'Analisis comercial'!$K$4:$K$283/AW12))</f>
        <v>0</v>
      </c>
      <c r="AY12" s="145">
        <f t="shared" si="18"/>
        <v>0</v>
      </c>
      <c r="AZ12" s="58">
        <f t="array" ref="AZ12">+SUMPRODUCT(IF('Analisis comercial'!$AO$4:$AO$283=AV12,('Analisis comercial'!$Q$4:$Q$283*'Analisis comercial'!$AH$4:$AH$283)/SUMIF('Analisis comercial'!$AO$4:$AO$283,$A12,'Analisis comercial'!$AH$4:$AH$283)))</f>
        <v>0</v>
      </c>
      <c r="BA12" s="65">
        <f t="shared" si="19"/>
        <v>0</v>
      </c>
      <c r="BB12" s="65">
        <f t="shared" si="20"/>
        <v>0</v>
      </c>
      <c r="BC12" s="58">
        <f t="shared" si="21"/>
        <v>329.9777234</v>
      </c>
      <c r="BD12" s="161">
        <f t="shared" si="22"/>
        <v>522.673</v>
      </c>
      <c r="BE12" s="65"/>
    </row>
    <row r="13" ht="15.0" customHeight="1">
      <c r="A13" s="116" t="s">
        <v>1174</v>
      </c>
      <c r="B13" s="56">
        <v>45886.0</v>
      </c>
      <c r="C13" s="182">
        <v>45881.0</v>
      </c>
      <c r="D13" s="57" t="s">
        <v>622</v>
      </c>
      <c r="E13" s="57">
        <f t="array" ref="E13">XLOOKUP(D13,RUC!$B$3:$B$110,RUC!$D$3:$D$110)</f>
        <v>20612719757</v>
      </c>
      <c r="G13" s="141">
        <v>50.0</v>
      </c>
      <c r="H13" s="3" t="s">
        <v>40</v>
      </c>
      <c r="I13" s="6">
        <v>4.11</v>
      </c>
      <c r="J13" s="58">
        <v>12.9</v>
      </c>
      <c r="K13" s="59">
        <f t="shared" si="3"/>
        <v>3.58</v>
      </c>
      <c r="L13" s="60">
        <v>0.455</v>
      </c>
      <c r="M13" s="60">
        <v>0.428</v>
      </c>
      <c r="N13" s="62">
        <v>0.428</v>
      </c>
      <c r="O13" s="60">
        <f t="shared" si="4"/>
        <v>0.428</v>
      </c>
      <c r="P13" s="63">
        <v>90.0</v>
      </c>
      <c r="Q13" s="58">
        <v>96.48</v>
      </c>
      <c r="R13" s="65">
        <v>3343.3</v>
      </c>
      <c r="S13" s="66">
        <f t="array" ref="S13">IF((XLOOKUP(D13,RUC!$B$3:$B$63,RUC!$E$3:$E$63)+ROUNDDOWN(O13,1)*100)&lt;95,95,((XLOOKUP(D13,RUC!$B$3:$B$63,RUC!$E$3:$E$63)+ROUNDDOWN(O13,1)*100)))</f>
        <v>130</v>
      </c>
      <c r="U13" s="67">
        <f t="array" ref="U13">XLOOKUP(D13,RUC!$B$3:$B$110,RUC!$F$3:$F$110)</f>
        <v>120</v>
      </c>
      <c r="V13" s="67">
        <v>1.1023</v>
      </c>
      <c r="Y13" s="57">
        <f t="array" ref="Y13">XLOOKUP(D13,RUC!$B$3:$B$110,RUC!$G$3:$G$110)</f>
        <v>20</v>
      </c>
      <c r="Z13" s="69">
        <f t="array" ref="Z13">XLOOKUP(D13,RUC!$B$3:$B$110,RUC!$H$3:$H$110)</f>
        <v>30</v>
      </c>
      <c r="AA13" s="70">
        <f t="shared" si="5"/>
        <v>50</v>
      </c>
      <c r="AB13" s="71">
        <f t="shared" si="23"/>
        <v>1170.218391</v>
      </c>
      <c r="AC13" s="71">
        <f>+(S13-T13)*V13-'data 1'!$F$4</f>
        <v>63.299</v>
      </c>
      <c r="AD13" s="71">
        <f t="shared" si="6"/>
        <v>104.7579372</v>
      </c>
      <c r="AE13" s="71">
        <f t="shared" si="7"/>
        <v>-14.885</v>
      </c>
      <c r="AF13" s="71">
        <f t="shared" si="8"/>
        <v>92.5553643</v>
      </c>
      <c r="AG13" s="72">
        <f t="shared" si="15"/>
        <v>262.7273015</v>
      </c>
      <c r="AH13" s="193">
        <f t="shared" si="9"/>
        <v>53.882</v>
      </c>
      <c r="AI13" s="193">
        <f t="shared" si="10"/>
        <v>55.847</v>
      </c>
      <c r="AJ13" s="73">
        <f t="shared" si="11"/>
        <v>106.3110863</v>
      </c>
      <c r="AK13" s="73">
        <f t="shared" si="12"/>
        <v>47.28009869</v>
      </c>
      <c r="AL13" s="11"/>
      <c r="AM13" s="51">
        <f t="shared" si="13"/>
        <v>4189.381839</v>
      </c>
      <c r="AN13" s="51" t="str">
        <f t="array" ref="AN13">XLOOKUP(D13,RUC!$B$3:$B$565,RUC!$M$3:$M$565)</f>
        <v>Walter Achulla </v>
      </c>
      <c r="AO13" s="131" t="s">
        <v>558</v>
      </c>
      <c r="AP13" s="57" t="s">
        <v>1175</v>
      </c>
      <c r="AQ13" s="57" t="s">
        <v>1176</v>
      </c>
      <c r="AS13" s="65"/>
      <c r="AV13" s="160" t="s">
        <v>690</v>
      </c>
      <c r="AW13" s="6">
        <f t="shared" si="17"/>
        <v>0</v>
      </c>
      <c r="AX13" s="6">
        <f t="array" ref="AX13">+SUMPRODUCT(IF('Analisis comercial'!$AO$4:$AO$283=AV13,'Analisis comercial'!$L$4:$L$283*'Analisis comercial'!$K$4:$K$283/AW13))</f>
        <v>0</v>
      </c>
      <c r="AY13" s="145">
        <f t="shared" si="18"/>
        <v>0</v>
      </c>
      <c r="AZ13" s="58">
        <f t="array" ref="AZ13">+SUMPRODUCT(IF('Analisis comercial'!$AO$4:$AO$283=AV13,('Analisis comercial'!$Q$4:$Q$283*'Analisis comercial'!$AH$4:$AH$283)/SUMIF('Analisis comercial'!$AO$4:$AO$283,$A13,'Analisis comercial'!$AH$4:$AH$283)))</f>
        <v>0</v>
      </c>
      <c r="BA13" s="65">
        <f t="shared" si="19"/>
        <v>0</v>
      </c>
      <c r="BB13" s="65">
        <f t="shared" si="20"/>
        <v>0</v>
      </c>
      <c r="BC13" s="58">
        <f t="shared" si="21"/>
        <v>329.9777234</v>
      </c>
      <c r="BD13" s="161">
        <f t="shared" si="22"/>
        <v>522.673</v>
      </c>
      <c r="BE13" s="65"/>
    </row>
    <row r="14" ht="15.0" customHeight="1">
      <c r="A14" s="116" t="s">
        <v>1177</v>
      </c>
      <c r="B14" s="56">
        <v>45886.0</v>
      </c>
      <c r="C14" s="182">
        <v>45881.0</v>
      </c>
      <c r="D14" s="57" t="s">
        <v>622</v>
      </c>
      <c r="E14" s="57">
        <f t="array" ref="E14">XLOOKUP(D14,RUC!$B$3:$B$110,RUC!$D$3:$D$110)</f>
        <v>20612719757</v>
      </c>
      <c r="G14" s="141">
        <v>40.0</v>
      </c>
      <c r="H14" s="3" t="s">
        <v>40</v>
      </c>
      <c r="I14" s="6">
        <v>3.13</v>
      </c>
      <c r="J14" s="58">
        <v>13.05</v>
      </c>
      <c r="K14" s="59">
        <f t="shared" si="3"/>
        <v>2.722</v>
      </c>
      <c r="L14" s="60">
        <v>0.283</v>
      </c>
      <c r="M14" s="60">
        <v>0.266</v>
      </c>
      <c r="N14" s="62">
        <v>0.266</v>
      </c>
      <c r="O14" s="60">
        <f t="shared" si="4"/>
        <v>0.266</v>
      </c>
      <c r="P14" s="63">
        <v>90.0</v>
      </c>
      <c r="Q14" s="58">
        <v>93.64</v>
      </c>
      <c r="R14" s="65">
        <v>3343.3</v>
      </c>
      <c r="S14" s="66">
        <f t="array" ref="S14">IF((XLOOKUP(D14,RUC!$B$3:$B$63,RUC!$E$3:$E$63)+ROUNDDOWN(O14,1)*100)&lt;95,95,((XLOOKUP(D14,RUC!$B$3:$B$63,RUC!$E$3:$E$63)+ROUNDDOWN(O14,1)*100)))</f>
        <v>110</v>
      </c>
      <c r="U14" s="67">
        <f t="array" ref="U14">XLOOKUP(D14,RUC!$B$3:$B$110,RUC!$F$3:$F$110)</f>
        <v>120</v>
      </c>
      <c r="V14" s="67">
        <v>1.1023</v>
      </c>
      <c r="Y14" s="57">
        <f t="array" ref="Y14">XLOOKUP(D14,RUC!$B$3:$B$110,RUC!$G$3:$G$110)</f>
        <v>20</v>
      </c>
      <c r="Z14" s="69">
        <f t="array" ref="Z14">XLOOKUP(D14,RUC!$B$3:$B$110,RUC!$H$3:$H$110)</f>
        <v>30</v>
      </c>
      <c r="AA14" s="70">
        <f t="shared" si="5"/>
        <v>50</v>
      </c>
      <c r="AB14" s="71">
        <f t="shared" si="23"/>
        <v>674.2306354</v>
      </c>
      <c r="AC14" s="71">
        <f>+(S14-T14)*V14-'data 1'!$F$4</f>
        <v>41.253</v>
      </c>
      <c r="AD14" s="71">
        <f t="shared" si="6"/>
        <v>36.60061263</v>
      </c>
      <c r="AE14" s="71">
        <f t="shared" si="7"/>
        <v>-14.885</v>
      </c>
      <c r="AF14" s="71">
        <f t="shared" si="8"/>
        <v>56.5601903</v>
      </c>
      <c r="AG14" s="72">
        <f t="shared" si="15"/>
        <v>136.5288029</v>
      </c>
      <c r="AH14" s="193">
        <f t="shared" si="9"/>
        <v>24.731</v>
      </c>
      <c r="AI14" s="193">
        <f t="shared" si="10"/>
        <v>26.411</v>
      </c>
      <c r="AJ14" s="73">
        <f t="shared" si="11"/>
        <v>64.17674776</v>
      </c>
      <c r="AK14" s="73">
        <f t="shared" si="12"/>
        <v>22.34196341</v>
      </c>
      <c r="AL14" s="11"/>
      <c r="AM14" s="51">
        <f t="shared" si="13"/>
        <v>1835.25579</v>
      </c>
      <c r="AN14" s="51" t="str">
        <f t="array" ref="AN14">XLOOKUP(D14,RUC!$B$3:$B$565,RUC!$M$3:$M$565)</f>
        <v>Walter Achulla </v>
      </c>
      <c r="AO14" s="131" t="s">
        <v>558</v>
      </c>
      <c r="AP14" s="57" t="s">
        <v>1175</v>
      </c>
      <c r="AQ14" s="57" t="s">
        <v>1176</v>
      </c>
      <c r="AS14" s="65"/>
      <c r="AV14" s="160" t="s">
        <v>691</v>
      </c>
      <c r="AW14" s="6">
        <f t="shared" si="17"/>
        <v>0</v>
      </c>
      <c r="AX14" s="6">
        <f t="array" ref="AX14">+SUMPRODUCT(IF('Analisis comercial'!$AO$4:$AO$283=AV14,'Analisis comercial'!$L$4:$L$283*'Analisis comercial'!$K$4:$K$283/AW14))</f>
        <v>0</v>
      </c>
      <c r="AY14" s="145">
        <f t="shared" si="18"/>
        <v>0</v>
      </c>
      <c r="AZ14" s="58">
        <f t="array" ref="AZ14">+SUMPRODUCT(IF('Analisis comercial'!$AO$4:$AO$283=AV14,('Analisis comercial'!$Q$4:$Q$283*'Analisis comercial'!$AH$4:$AH$283)/SUMIF('Analisis comercial'!$AO$4:$AO$283,$A14,'Analisis comercial'!$AH$4:$AH$283)))</f>
        <v>0</v>
      </c>
      <c r="BA14" s="65">
        <f t="shared" si="19"/>
        <v>0</v>
      </c>
      <c r="BB14" s="65">
        <f t="shared" si="20"/>
        <v>0</v>
      </c>
      <c r="BC14" s="58">
        <f t="shared" si="21"/>
        <v>329.9777234</v>
      </c>
      <c r="BD14" s="161">
        <f t="shared" si="22"/>
        <v>522.673</v>
      </c>
      <c r="BE14" s="65"/>
    </row>
    <row r="15" ht="15.0" customHeight="1">
      <c r="A15" s="116" t="s">
        <v>1178</v>
      </c>
      <c r="B15" s="56">
        <v>45886.0</v>
      </c>
      <c r="C15" s="182">
        <v>45881.0</v>
      </c>
      <c r="D15" s="57" t="s">
        <v>622</v>
      </c>
      <c r="E15" s="57">
        <f t="array" ref="E15">XLOOKUP(D15,RUC!$B$3:$B$110,RUC!$D$3:$D$110)</f>
        <v>20612719757</v>
      </c>
      <c r="G15" s="141">
        <v>42.0</v>
      </c>
      <c r="H15" s="3" t="s">
        <v>40</v>
      </c>
      <c r="I15" s="6">
        <v>3.41</v>
      </c>
      <c r="J15" s="58">
        <v>17.65</v>
      </c>
      <c r="K15" s="59">
        <f t="shared" si="3"/>
        <v>2.808</v>
      </c>
      <c r="L15" s="60">
        <v>0.347</v>
      </c>
      <c r="M15" s="60">
        <v>0.326</v>
      </c>
      <c r="N15" s="62">
        <v>0.326</v>
      </c>
      <c r="O15" s="60">
        <f t="shared" si="4"/>
        <v>0.326</v>
      </c>
      <c r="P15" s="63">
        <v>90.0</v>
      </c>
      <c r="Q15" s="58">
        <v>90.78</v>
      </c>
      <c r="R15" s="65">
        <v>3343.3</v>
      </c>
      <c r="S15" s="66">
        <f t="array" ref="S15">IF((XLOOKUP(D15,RUC!$B$3:$B$63,RUC!$E$3:$E$63)+ROUNDDOWN(O15,1)*100)&lt;95,95,((XLOOKUP(D15,RUC!$B$3:$B$63,RUC!$E$3:$E$63)+ROUNDDOWN(O15,1)*100)))</f>
        <v>120</v>
      </c>
      <c r="U15" s="67">
        <f t="array" ref="U15">XLOOKUP(D15,RUC!$B$3:$B$110,RUC!$F$3:$F$110)</f>
        <v>120</v>
      </c>
      <c r="V15" s="67">
        <v>1.1023</v>
      </c>
      <c r="Y15" s="57">
        <f t="array" ref="Y15">XLOOKUP(D15,RUC!$B$3:$B$110,RUC!$G$3:$G$110)</f>
        <v>20</v>
      </c>
      <c r="Z15" s="69">
        <f t="array" ref="Z15">XLOOKUP(D15,RUC!$B$3:$B$110,RUC!$H$3:$H$110)</f>
        <v>30</v>
      </c>
      <c r="AA15" s="70">
        <f t="shared" si="5"/>
        <v>50</v>
      </c>
      <c r="AB15" s="71">
        <f t="shared" si="23"/>
        <v>855.0719893</v>
      </c>
      <c r="AC15" s="71">
        <f>+(S15-T15)*V15-'data 1'!$F$4</f>
        <v>52.276</v>
      </c>
      <c r="AD15" s="71">
        <f t="shared" si="6"/>
        <v>9.616667781</v>
      </c>
      <c r="AE15" s="71">
        <f t="shared" si="7"/>
        <v>-14.885</v>
      </c>
      <c r="AF15" s="71">
        <f t="shared" si="8"/>
        <v>67.73451239</v>
      </c>
      <c r="AG15" s="72">
        <f t="shared" si="15"/>
        <v>131.7421802</v>
      </c>
      <c r="AH15" s="193">
        <f t="shared" si="9"/>
        <v>30.327</v>
      </c>
      <c r="AI15" s="193">
        <f t="shared" si="10"/>
        <v>33.407</v>
      </c>
      <c r="AJ15" s="73">
        <f t="shared" si="11"/>
        <v>76.28682101</v>
      </c>
      <c r="AK15" s="73">
        <f t="shared" si="12"/>
        <v>28.24660665</v>
      </c>
      <c r="AL15" s="11"/>
      <c r="AM15" s="51">
        <f t="shared" si="13"/>
        <v>2401.042146</v>
      </c>
      <c r="AN15" s="51" t="str">
        <f t="array" ref="AN15">XLOOKUP(D15,RUC!$B$3:$B$565,RUC!$M$3:$M$565)</f>
        <v>Walter Achulla </v>
      </c>
      <c r="AO15" s="131" t="s">
        <v>558</v>
      </c>
      <c r="AP15" s="57" t="s">
        <v>1175</v>
      </c>
      <c r="AQ15" s="57" t="s">
        <v>1176</v>
      </c>
      <c r="AS15" s="65"/>
      <c r="AV15" s="160" t="s">
        <v>692</v>
      </c>
      <c r="AW15" s="6">
        <f t="shared" si="17"/>
        <v>0</v>
      </c>
      <c r="AX15" s="6">
        <f t="array" ref="AX15">+SUMPRODUCT(IF('Analisis comercial'!$AO$4:$AO$283=AV15,'Analisis comercial'!$L$4:$L$283*'Analisis comercial'!$K$4:$K$283/AW15))</f>
        <v>0</v>
      </c>
      <c r="AY15" s="145">
        <f t="shared" si="18"/>
        <v>0</v>
      </c>
      <c r="AZ15" s="58">
        <f t="array" ref="AZ15">+SUMPRODUCT(IF('Analisis comercial'!$AO$4:$AO$283=AV15,('Analisis comercial'!$Q$4:$Q$283*'Analisis comercial'!$AH$4:$AH$283)/SUMIF('Analisis comercial'!$AO$4:$AO$283,$A15,'Analisis comercial'!$AH$4:$AH$283)))</f>
        <v>0</v>
      </c>
      <c r="BA15" s="65">
        <f t="shared" si="19"/>
        <v>0</v>
      </c>
      <c r="BB15" s="65">
        <f t="shared" si="20"/>
        <v>0</v>
      </c>
      <c r="BC15" s="58">
        <f t="shared" si="21"/>
        <v>329.9777234</v>
      </c>
      <c r="BD15" s="161">
        <f t="shared" si="22"/>
        <v>522.673</v>
      </c>
      <c r="BE15" s="65"/>
    </row>
    <row r="16" ht="15.0" customHeight="1">
      <c r="A16" s="116" t="s">
        <v>1179</v>
      </c>
      <c r="B16" s="56">
        <v>45892.0</v>
      </c>
      <c r="C16" s="182">
        <v>45881.0</v>
      </c>
      <c r="D16" s="57" t="s">
        <v>295</v>
      </c>
      <c r="E16" s="57">
        <f t="array" ref="E16">XLOOKUP(D16,RUC!$B$3:$B$110,RUC!$D$3:$D$110)</f>
        <v>20601769396</v>
      </c>
      <c r="G16" s="141">
        <v>40.0</v>
      </c>
      <c r="H16" s="3" t="s">
        <v>40</v>
      </c>
      <c r="I16" s="6">
        <v>3.39</v>
      </c>
      <c r="J16" s="58">
        <v>11.15</v>
      </c>
      <c r="K16" s="59">
        <f t="shared" si="3"/>
        <v>3.012</v>
      </c>
      <c r="L16" s="60">
        <v>0.185</v>
      </c>
      <c r="M16" s="60">
        <v>0.17</v>
      </c>
      <c r="N16" s="62">
        <v>0.17</v>
      </c>
      <c r="O16" s="60">
        <f t="shared" si="4"/>
        <v>0.17</v>
      </c>
      <c r="P16" s="63">
        <v>72.0</v>
      </c>
      <c r="Q16" s="130">
        <v>73.09</v>
      </c>
      <c r="R16" s="65">
        <v>3343.3</v>
      </c>
      <c r="S16" s="66">
        <f t="array" ref="S16">IF((XLOOKUP(D16,RUC!$B$3:$B$63,RUC!$E$3:$E$63)+ROUNDDOWN(O16,1)*100)&lt;95,95,((XLOOKUP(D16,RUC!$B$3:$B$63,RUC!$E$3:$E$63)+ROUNDDOWN(O16,1)*100)))</f>
        <v>100</v>
      </c>
      <c r="U16" s="67">
        <f t="array" ref="U16">XLOOKUP(D16,RUC!$B$3:$B$110,RUC!$F$3:$F$110)</f>
        <v>120</v>
      </c>
      <c r="V16" s="67">
        <v>1.1023</v>
      </c>
      <c r="Y16" s="57">
        <f t="array" ref="Y16">XLOOKUP(D16,RUC!$B$3:$B$110,RUC!$G$3:$G$110)</f>
        <v>20</v>
      </c>
      <c r="Z16" s="69">
        <f t="array" ref="Z16">XLOOKUP(D16,RUC!$B$3:$B$110,RUC!$H$3:$H$110)</f>
        <v>30</v>
      </c>
      <c r="AA16" s="70">
        <f t="shared" si="5"/>
        <v>50</v>
      </c>
      <c r="AB16" s="71">
        <f t="shared" si="23"/>
        <v>269.5475354</v>
      </c>
      <c r="AC16" s="71">
        <f>+(S16-T16)*V16-'data 1'!$F$4</f>
        <v>30.23</v>
      </c>
      <c r="AD16" s="71">
        <f t="shared" si="6"/>
        <v>7.164712399</v>
      </c>
      <c r="AE16" s="71">
        <f t="shared" si="7"/>
        <v>-14.885</v>
      </c>
      <c r="AF16" s="71">
        <f t="shared" si="8"/>
        <v>38.9537934</v>
      </c>
      <c r="AG16" s="72">
        <f t="shared" si="15"/>
        <v>78.4635058</v>
      </c>
      <c r="AH16" s="193">
        <f t="shared" si="9"/>
        <v>13.963</v>
      </c>
      <c r="AI16" s="193">
        <f t="shared" si="10"/>
        <v>19.105</v>
      </c>
      <c r="AJ16" s="73">
        <f t="shared" si="11"/>
        <v>32.7460978</v>
      </c>
      <c r="AK16" s="73">
        <f t="shared" si="12"/>
        <v>12.63995287</v>
      </c>
      <c r="AL16" s="11"/>
      <c r="AM16" s="51">
        <f t="shared" si="13"/>
        <v>811.8771767</v>
      </c>
      <c r="AN16" s="51" t="str">
        <f t="array" ref="AN16">XLOOKUP(D16,RUC!$B$3:$B$565,RUC!$M$3:$M$565)</f>
        <v>Evelyn</v>
      </c>
      <c r="AO16" s="131" t="s">
        <v>561</v>
      </c>
      <c r="AP16" s="57" t="s">
        <v>1180</v>
      </c>
      <c r="AQ16" s="57" t="s">
        <v>1181</v>
      </c>
      <c r="AS16" s="65"/>
      <c r="AV16" s="163" t="s">
        <v>693</v>
      </c>
      <c r="AW16" s="165">
        <f t="shared" si="17"/>
        <v>0</v>
      </c>
      <c r="AX16" s="165">
        <f t="array" ref="AX16">+SUMPRODUCT(IF('Analisis comercial'!$AO$4:$AO$283=AV16,'Analisis comercial'!$L$4:$L$283*'Analisis comercial'!$K$4:$K$283/AW16))</f>
        <v>0</v>
      </c>
      <c r="AY16" s="166">
        <f t="shared" si="18"/>
        <v>0</v>
      </c>
      <c r="AZ16" s="168">
        <f t="array" ref="AZ16">+SUMPRODUCT(IF('Analisis comercial'!$AO$4:$AO$283=AV16,('Analisis comercial'!$Q$4:$Q$283*'Analisis comercial'!$AH$4:$AH$283)/SUMIF('Analisis comercial'!$AO$4:$AO$283,$A16,'Analisis comercial'!$AH$4:$AH$283)))</f>
        <v>0</v>
      </c>
      <c r="BA16" s="167">
        <f t="shared" si="19"/>
        <v>0</v>
      </c>
      <c r="BB16" s="167">
        <f t="shared" si="20"/>
        <v>0</v>
      </c>
      <c r="BC16" s="168">
        <f t="shared" si="21"/>
        <v>329.9777234</v>
      </c>
      <c r="BD16" s="169">
        <f t="shared" si="22"/>
        <v>522.673</v>
      </c>
      <c r="BE16" s="65">
        <f>BA16*AZ16/100</f>
        <v>0</v>
      </c>
    </row>
    <row r="17" ht="15.0" customHeight="1">
      <c r="A17" s="116" t="s">
        <v>1182</v>
      </c>
      <c r="B17" s="56">
        <v>45892.0</v>
      </c>
      <c r="C17" s="182">
        <v>45881.0</v>
      </c>
      <c r="D17" s="57" t="s">
        <v>295</v>
      </c>
      <c r="E17" s="57">
        <f t="array" ref="E17">XLOOKUP(D17,RUC!$B$3:$B$110,RUC!$D$3:$D$110)</f>
        <v>20601769396</v>
      </c>
      <c r="G17" s="141">
        <v>50.0</v>
      </c>
      <c r="H17" s="3" t="s">
        <v>40</v>
      </c>
      <c r="I17" s="6">
        <v>4.26</v>
      </c>
      <c r="J17" s="58">
        <v>11.6</v>
      </c>
      <c r="K17" s="59">
        <f t="shared" si="3"/>
        <v>3.766</v>
      </c>
      <c r="L17" s="60">
        <v>0.208</v>
      </c>
      <c r="M17" s="60">
        <v>0.183</v>
      </c>
      <c r="N17" s="62">
        <v>0.183</v>
      </c>
      <c r="O17" s="60">
        <f t="shared" si="4"/>
        <v>0.183</v>
      </c>
      <c r="P17" s="63">
        <v>64.0</v>
      </c>
      <c r="Q17" s="130">
        <v>64.8</v>
      </c>
      <c r="R17" s="65">
        <v>3343.3</v>
      </c>
      <c r="S17" s="66">
        <f t="array" ref="S17">IF((XLOOKUP(D17,RUC!$B$3:$B$63,RUC!$E$3:$E$63)+ROUNDDOWN(O17,1)*100)&lt;95,95,((XLOOKUP(D17,RUC!$B$3:$B$63,RUC!$E$3:$E$63)+ROUNDDOWN(O17,1)*100)))</f>
        <v>100</v>
      </c>
      <c r="U17" s="67">
        <f t="array" ref="U17">XLOOKUP(D17,RUC!$B$3:$B$110,RUC!$F$3:$F$110)</f>
        <v>120</v>
      </c>
      <c r="V17" s="67">
        <v>1.1023</v>
      </c>
      <c r="Y17" s="57">
        <f t="array" ref="Y17">XLOOKUP(D17,RUC!$B$3:$B$110,RUC!$G$3:$G$110)</f>
        <v>20</v>
      </c>
      <c r="Z17" s="69">
        <f t="array" ref="Z17">XLOOKUP(D17,RUC!$B$3:$B$110,RUC!$H$3:$H$110)</f>
        <v>30</v>
      </c>
      <c r="AA17" s="70">
        <f t="shared" si="5"/>
        <v>50</v>
      </c>
      <c r="AB17" s="71">
        <f t="shared" si="23"/>
        <v>250.7874653</v>
      </c>
      <c r="AC17" s="71">
        <f>+(S17-T17)*V17-'data 1'!$F$4</f>
        <v>30.23</v>
      </c>
      <c r="AD17" s="71">
        <f t="shared" si="6"/>
        <v>5.912264534</v>
      </c>
      <c r="AE17" s="71">
        <f t="shared" si="7"/>
        <v>-14.885</v>
      </c>
      <c r="AF17" s="71">
        <f t="shared" si="8"/>
        <v>57.55930616</v>
      </c>
      <c r="AG17" s="72">
        <f t="shared" si="15"/>
        <v>95.81657069</v>
      </c>
      <c r="AH17" s="193">
        <f t="shared" si="9"/>
        <v>17.403</v>
      </c>
      <c r="AI17" s="193">
        <f t="shared" si="10"/>
        <v>26.857</v>
      </c>
      <c r="AJ17" s="73">
        <f t="shared" si="11"/>
        <v>32.64135698</v>
      </c>
      <c r="AK17" s="73">
        <f t="shared" si="12"/>
        <v>15.12239051</v>
      </c>
      <c r="AL17" s="11"/>
      <c r="AM17" s="51">
        <f t="shared" si="13"/>
        <v>944.4655942</v>
      </c>
      <c r="AN17" s="51" t="str">
        <f t="array" ref="AN17">XLOOKUP(D17,RUC!$B$3:$B$565,RUC!$M$3:$M$565)</f>
        <v>Evelyn</v>
      </c>
      <c r="AO17" s="131" t="s">
        <v>561</v>
      </c>
      <c r="AP17" s="57" t="s">
        <v>1180</v>
      </c>
      <c r="AQ17" s="57" t="s">
        <v>1181</v>
      </c>
      <c r="AS17" s="65"/>
      <c r="AU17" s="2"/>
      <c r="AV17" s="2"/>
      <c r="AW17" s="6"/>
      <c r="AX17" s="6"/>
      <c r="AZ17" s="58"/>
      <c r="BA17" s="65">
        <f t="shared" si="19"/>
        <v>0</v>
      </c>
      <c r="BB17" s="65">
        <f t="shared" si="20"/>
        <v>0</v>
      </c>
    </row>
    <row r="18" ht="15.0" customHeight="1">
      <c r="A18" s="116" t="s">
        <v>1183</v>
      </c>
      <c r="B18" s="56">
        <v>45888.0</v>
      </c>
      <c r="C18" s="182">
        <v>45881.0</v>
      </c>
      <c r="D18" s="57" t="s">
        <v>295</v>
      </c>
      <c r="E18" s="57">
        <f t="array" ref="E18">XLOOKUP(D18,RUC!$B$3:$B$110,RUC!$D$3:$D$110)</f>
        <v>20601769396</v>
      </c>
      <c r="G18" s="141">
        <v>50.0</v>
      </c>
      <c r="H18" s="3" t="s">
        <v>40</v>
      </c>
      <c r="I18" s="6">
        <v>4.22</v>
      </c>
      <c r="J18" s="58">
        <v>12.6</v>
      </c>
      <c r="K18" s="59">
        <f t="shared" si="3"/>
        <v>3.688</v>
      </c>
      <c r="L18" s="60">
        <v>0.22</v>
      </c>
      <c r="M18" s="60">
        <v>0.194</v>
      </c>
      <c r="N18" s="62">
        <v>0.194</v>
      </c>
      <c r="O18" s="60">
        <f t="shared" si="4"/>
        <v>0.194</v>
      </c>
      <c r="P18" s="63">
        <v>90.0</v>
      </c>
      <c r="Q18" s="58">
        <v>92.11</v>
      </c>
      <c r="R18" s="65">
        <v>3343.3</v>
      </c>
      <c r="S18" s="66">
        <f>IF((90+ROUNDDOWN(O18,1)*100)&lt;95,95,((90+ROUNDDOWN(O18,1)*100)))</f>
        <v>100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69">
        <f t="array" ref="Z18">XLOOKUP(D18,RUC!$B$3:$B$110,RUC!$H$3:$H$110)</f>
        <v>30</v>
      </c>
      <c r="AA18" s="70">
        <f t="shared" si="5"/>
        <v>50</v>
      </c>
      <c r="AB18" s="71">
        <f t="shared" si="23"/>
        <v>455.0164108</v>
      </c>
      <c r="AC18" s="71">
        <f>+(S18-T18)*V18-'data 1'!$F$4</f>
        <v>30.23</v>
      </c>
      <c r="AD18" s="71">
        <f t="shared" si="6"/>
        <v>16.49322834</v>
      </c>
      <c r="AE18" s="71">
        <f t="shared" si="7"/>
        <v>-14.885</v>
      </c>
      <c r="AF18" s="71">
        <f t="shared" si="8"/>
        <v>85.09041972</v>
      </c>
      <c r="AG18" s="72">
        <f t="shared" si="15"/>
        <v>133.9286481</v>
      </c>
      <c r="AH18" s="193">
        <f t="shared" si="9"/>
        <v>25.623</v>
      </c>
      <c r="AI18" s="193">
        <f t="shared" si="10"/>
        <v>27.818</v>
      </c>
      <c r="AJ18" s="73">
        <f t="shared" si="11"/>
        <v>49.07488917</v>
      </c>
      <c r="AK18" s="73">
        <f t="shared" si="12"/>
        <v>22.07721164</v>
      </c>
      <c r="AL18" s="11"/>
      <c r="AM18" s="51">
        <f t="shared" si="13"/>
        <v>1678.100523</v>
      </c>
      <c r="AN18" s="51" t="str">
        <f t="array" ref="AN18">XLOOKUP(D18,RUC!$B$3:$B$565,RUC!$M$3:$M$565)</f>
        <v>Evelyn</v>
      </c>
      <c r="AO18" s="131" t="s">
        <v>558</v>
      </c>
      <c r="AP18" s="57" t="s">
        <v>1180</v>
      </c>
      <c r="AQ18" s="57" t="s">
        <v>1181</v>
      </c>
      <c r="AS18" s="65"/>
    </row>
    <row r="19" ht="15.0" customHeight="1">
      <c r="A19" s="116" t="s">
        <v>1184</v>
      </c>
      <c r="B19" s="56">
        <v>45889.0</v>
      </c>
      <c r="C19" s="182">
        <v>45881.0</v>
      </c>
      <c r="D19" s="57" t="s">
        <v>74</v>
      </c>
      <c r="E19" s="57">
        <f t="array" ref="E19">XLOOKUP(D19,RUC!$B$3:$B$110,RUC!$D$3:$D$110)</f>
        <v>10082235774</v>
      </c>
      <c r="G19" s="141">
        <v>73.0</v>
      </c>
      <c r="H19" s="3" t="s">
        <v>47</v>
      </c>
      <c r="I19" s="6">
        <v>7.0</v>
      </c>
      <c r="J19" s="58">
        <v>2.1</v>
      </c>
      <c r="K19" s="59">
        <f t="shared" si="3"/>
        <v>6.853</v>
      </c>
      <c r="L19" s="60">
        <v>0.15</v>
      </c>
      <c r="M19" s="60">
        <v>0.143</v>
      </c>
      <c r="N19" s="62">
        <v>0.143</v>
      </c>
      <c r="O19" s="60">
        <f t="shared" si="4"/>
        <v>0.143</v>
      </c>
      <c r="P19" s="63">
        <v>85.0</v>
      </c>
      <c r="Q19" s="58">
        <v>94.67</v>
      </c>
      <c r="R19" s="65">
        <v>3343.3</v>
      </c>
      <c r="S19" s="133">
        <v>95.0</v>
      </c>
      <c r="U19" s="67">
        <f t="array" ref="U19">XLOOKUP(D19,RUC!$B$3:$B$110,RUC!$F$3:$F$110)</f>
        <v>80</v>
      </c>
      <c r="V19" s="67">
        <v>1.1023</v>
      </c>
      <c r="Y19" s="57" t="str">
        <f t="array" ref="Y19">XLOOKUP(D19,RUC!$B$3:$B$110,RUC!$G$3:$G$110)</f>
        <v/>
      </c>
      <c r="Z19" s="69">
        <f t="array" ref="Z19">XLOOKUP(D19,RUC!$B$3:$B$110,RUC!$H$3:$H$110)</f>
        <v>10</v>
      </c>
      <c r="AA19" s="70">
        <f t="shared" si="5"/>
        <v>10</v>
      </c>
      <c r="AB19" s="71">
        <f t="shared" si="23"/>
        <v>321.490331</v>
      </c>
      <c r="AC19" s="71">
        <f>+(S19-T19)*V19-'data 1'!$F$4</f>
        <v>24.7185</v>
      </c>
      <c r="AD19" s="71">
        <f t="shared" si="6"/>
        <v>52.17645173</v>
      </c>
      <c r="AE19" s="71">
        <f t="shared" si="7"/>
        <v>-58.977</v>
      </c>
      <c r="AF19" s="71">
        <f t="shared" si="8"/>
        <v>23.83785784</v>
      </c>
      <c r="AG19" s="72">
        <f t="shared" ref="AG19:AG24" si="24">AC19+AD19+AE19+AF19+70</f>
        <v>111.7558096</v>
      </c>
      <c r="AH19" s="193">
        <f t="shared" si="9"/>
        <v>33.365</v>
      </c>
      <c r="AI19" s="193">
        <f t="shared" si="10"/>
        <v>35.244</v>
      </c>
      <c r="AJ19" s="73">
        <f t="shared" si="11"/>
        <v>28.12882044</v>
      </c>
      <c r="AK19" s="73">
        <f t="shared" si="12"/>
        <v>28.55911625</v>
      </c>
      <c r="AL19" s="11"/>
      <c r="AM19" s="51">
        <f t="shared" si="13"/>
        <v>2203.173238</v>
      </c>
      <c r="AN19" s="51" t="str">
        <f t="array" ref="AN19">XLOOKUP(D19,RUC!$B$3:$B$565,RUC!$M$3:$M$565)</f>
        <v>Melchor Vera</v>
      </c>
      <c r="AO19" s="131" t="s">
        <v>558</v>
      </c>
      <c r="AP19" s="57" t="s">
        <v>1185</v>
      </c>
      <c r="AQ19" s="57" t="s">
        <v>1186</v>
      </c>
      <c r="AS19" s="65"/>
      <c r="AV19" s="149" t="s">
        <v>1187</v>
      </c>
      <c r="AW19" s="150"/>
      <c r="AX19" s="150"/>
      <c r="AY19" s="150"/>
      <c r="AZ19" s="150"/>
      <c r="BA19" s="151"/>
      <c r="BB19" s="197"/>
    </row>
    <row r="20" ht="15.0" customHeight="1">
      <c r="A20" s="116" t="s">
        <v>1188</v>
      </c>
      <c r="B20" s="56">
        <v>45889.0</v>
      </c>
      <c r="C20" s="182">
        <v>45881.0</v>
      </c>
      <c r="D20" s="57" t="s">
        <v>74</v>
      </c>
      <c r="E20" s="57">
        <f t="array" ref="E20">XLOOKUP(D20,RUC!$B$3:$B$110,RUC!$D$3:$D$110)</f>
        <v>10082235774</v>
      </c>
      <c r="G20" s="141">
        <v>66.0</v>
      </c>
      <c r="H20" s="3" t="s">
        <v>47</v>
      </c>
      <c r="I20" s="6">
        <v>6.2</v>
      </c>
      <c r="J20" s="58">
        <v>2.5</v>
      </c>
      <c r="K20" s="59">
        <f t="shared" si="3"/>
        <v>6.045</v>
      </c>
      <c r="L20" s="60">
        <v>0.158</v>
      </c>
      <c r="M20" s="60">
        <v>0.15</v>
      </c>
      <c r="N20" s="62">
        <v>0.15</v>
      </c>
      <c r="O20" s="60">
        <f t="shared" si="4"/>
        <v>0.15</v>
      </c>
      <c r="P20" s="63">
        <v>85.0</v>
      </c>
      <c r="Q20" s="58">
        <v>91.77</v>
      </c>
      <c r="R20" s="65">
        <v>3343.3</v>
      </c>
      <c r="S20" s="133">
        <v>95.0</v>
      </c>
      <c r="U20" s="67">
        <f t="array" ref="U20">XLOOKUP(D20,RUC!$B$3:$B$110,RUC!$F$3:$F$110)</f>
        <v>80</v>
      </c>
      <c r="V20" s="67">
        <v>1.1023</v>
      </c>
      <c r="Y20" s="57" t="str">
        <f t="array" ref="Y20">XLOOKUP(D20,RUC!$B$3:$B$110,RUC!$G$3:$G$110)</f>
        <v/>
      </c>
      <c r="Z20" s="69">
        <f t="array" ref="Z20">XLOOKUP(D20,RUC!$B$3:$B$110,RUC!$H$3:$H$110)</f>
        <v>10</v>
      </c>
      <c r="AA20" s="70">
        <f t="shared" si="5"/>
        <v>10</v>
      </c>
      <c r="AB20" s="71">
        <f t="shared" si="23"/>
        <v>342.8932877</v>
      </c>
      <c r="AC20" s="71">
        <f>+(S20-T20)*V20-'data 1'!$F$4</f>
        <v>24.7185</v>
      </c>
      <c r="AD20" s="71">
        <f t="shared" si="6"/>
        <v>38.47712055</v>
      </c>
      <c r="AE20" s="71">
        <f t="shared" si="7"/>
        <v>-58.977</v>
      </c>
      <c r="AF20" s="71">
        <f t="shared" si="8"/>
        <v>26.40873065</v>
      </c>
      <c r="AG20" s="72">
        <f t="shared" si="24"/>
        <v>100.6273512</v>
      </c>
      <c r="AH20" s="193">
        <f t="shared" si="9"/>
        <v>30.051</v>
      </c>
      <c r="AI20" s="193">
        <f t="shared" si="10"/>
        <v>32.746</v>
      </c>
      <c r="AJ20" s="73">
        <f t="shared" si="11"/>
        <v>28.72140647</v>
      </c>
      <c r="AK20" s="73">
        <f t="shared" si="12"/>
        <v>26.42503427</v>
      </c>
      <c r="AL20" s="11"/>
      <c r="AM20" s="51">
        <f t="shared" si="13"/>
        <v>2072.789924</v>
      </c>
      <c r="AN20" s="51" t="str">
        <f t="array" ref="AN20">XLOOKUP(D20,RUC!$B$3:$B$565,RUC!$M$3:$M$565)</f>
        <v>Melchor Vera</v>
      </c>
      <c r="AO20" s="131" t="s">
        <v>547</v>
      </c>
      <c r="AP20" s="57" t="s">
        <v>1185</v>
      </c>
      <c r="AQ20" s="57" t="s">
        <v>1186</v>
      </c>
      <c r="AS20" s="65"/>
      <c r="BA20" s="82">
        <f>SUM(BA22:BA31)</f>
        <v>3863.078919</v>
      </c>
    </row>
    <row r="21" ht="15.0" customHeight="1">
      <c r="A21" s="116" t="s">
        <v>1189</v>
      </c>
      <c r="B21" s="56">
        <v>45889.0</v>
      </c>
      <c r="C21" s="182">
        <v>45881.0</v>
      </c>
      <c r="D21" s="57" t="s">
        <v>74</v>
      </c>
      <c r="E21" s="57">
        <f t="array" ref="E21">XLOOKUP(D21,RUC!$B$3:$B$110,RUC!$D$3:$D$110)</f>
        <v>10082235774</v>
      </c>
      <c r="G21" s="141">
        <v>64.0</v>
      </c>
      <c r="H21" s="3" t="s">
        <v>47</v>
      </c>
      <c r="I21" s="6">
        <v>6.17</v>
      </c>
      <c r="J21" s="58">
        <v>2.35</v>
      </c>
      <c r="K21" s="59">
        <f t="shared" si="3"/>
        <v>6.025</v>
      </c>
      <c r="L21" s="60">
        <v>0.192</v>
      </c>
      <c r="M21" s="60">
        <v>0.184</v>
      </c>
      <c r="N21" s="62">
        <v>0.184</v>
      </c>
      <c r="O21" s="60">
        <f t="shared" si="4"/>
        <v>0.184</v>
      </c>
      <c r="P21" s="63">
        <v>85.0</v>
      </c>
      <c r="Q21" s="58">
        <v>93.75</v>
      </c>
      <c r="R21" s="65">
        <v>3343.3</v>
      </c>
      <c r="S21" s="133">
        <v>95.0</v>
      </c>
      <c r="U21" s="67">
        <f t="array" ref="U21">XLOOKUP(D21,RUC!$B$3:$B$110,RUC!$F$3:$F$110)</f>
        <v>80</v>
      </c>
      <c r="V21" s="67">
        <v>1.1023</v>
      </c>
      <c r="Y21" s="57" t="str">
        <f t="array" ref="Y21">XLOOKUP(D21,RUC!$B$3:$B$110,RUC!$G$3:$G$110)</f>
        <v/>
      </c>
      <c r="Z21" s="69">
        <f t="array" ref="Z21">XLOOKUP(D21,RUC!$B$3:$B$110,RUC!$H$3:$H$110)</f>
        <v>10</v>
      </c>
      <c r="AA21" s="70">
        <f t="shared" si="5"/>
        <v>10</v>
      </c>
      <c r="AB21" s="71">
        <f t="shared" si="23"/>
        <v>446.8505063</v>
      </c>
      <c r="AC21" s="71">
        <f>+(S21-T21)*V21-'data 1'!$F$4</f>
        <v>24.7185</v>
      </c>
      <c r="AD21" s="71">
        <f t="shared" si="6"/>
        <v>60.43187791</v>
      </c>
      <c r="AE21" s="71">
        <f t="shared" si="7"/>
        <v>-58.977</v>
      </c>
      <c r="AF21" s="71">
        <f t="shared" si="8"/>
        <v>26.97851693</v>
      </c>
      <c r="AG21" s="72">
        <f t="shared" si="24"/>
        <v>123.1518948</v>
      </c>
      <c r="AH21" s="193">
        <f t="shared" si="9"/>
        <v>37.183</v>
      </c>
      <c r="AI21" s="193">
        <f t="shared" si="10"/>
        <v>39.661</v>
      </c>
      <c r="AJ21" s="73">
        <f t="shared" si="11"/>
        <v>35.6549958</v>
      </c>
      <c r="AK21" s="73">
        <f t="shared" si="12"/>
        <v>32.30746401</v>
      </c>
      <c r="AL21" s="11"/>
      <c r="AM21" s="51">
        <f t="shared" si="13"/>
        <v>2692.2743</v>
      </c>
      <c r="AN21" s="51" t="str">
        <f t="array" ref="AN21">XLOOKUP(D21,RUC!$B$3:$B$565,RUC!$M$3:$M$565)</f>
        <v>Melchor Vera</v>
      </c>
      <c r="AO21" s="131" t="s">
        <v>558</v>
      </c>
      <c r="AP21" s="57" t="s">
        <v>1185</v>
      </c>
      <c r="AQ21" s="57" t="s">
        <v>1186</v>
      </c>
      <c r="AS21" s="65"/>
      <c r="AV21" s="3"/>
      <c r="AW21" s="3" t="s">
        <v>14</v>
      </c>
      <c r="AX21" s="3" t="s">
        <v>683</v>
      </c>
      <c r="AY21" s="3" t="s">
        <v>686</v>
      </c>
      <c r="AZ21" s="204" t="s">
        <v>700</v>
      </c>
      <c r="BA21" s="3" t="s">
        <v>687</v>
      </c>
    </row>
    <row r="22" ht="15.0" customHeight="1">
      <c r="A22" s="116" t="s">
        <v>1190</v>
      </c>
      <c r="B22" s="56">
        <v>45889.0</v>
      </c>
      <c r="C22" s="182">
        <v>45881.0</v>
      </c>
      <c r="D22" s="57" t="s">
        <v>74</v>
      </c>
      <c r="E22" s="57">
        <f t="array" ref="E22">XLOOKUP(D22,RUC!$B$3:$B$110,RUC!$D$3:$D$110)</f>
        <v>10082235774</v>
      </c>
      <c r="G22" s="141">
        <v>50.0</v>
      </c>
      <c r="H22" s="3" t="s">
        <v>47</v>
      </c>
      <c r="I22" s="6">
        <v>4.89</v>
      </c>
      <c r="J22" s="58">
        <v>2.45</v>
      </c>
      <c r="K22" s="59">
        <f t="shared" si="3"/>
        <v>4.77</v>
      </c>
      <c r="L22" s="60">
        <v>0.193</v>
      </c>
      <c r="M22" s="60">
        <v>0.181</v>
      </c>
      <c r="N22" s="62">
        <v>0.181</v>
      </c>
      <c r="O22" s="60">
        <f t="shared" si="4"/>
        <v>0.181</v>
      </c>
      <c r="P22" s="63">
        <v>85.0</v>
      </c>
      <c r="Q22" s="58">
        <v>93.78</v>
      </c>
      <c r="R22" s="65">
        <v>3343.3</v>
      </c>
      <c r="S22" s="133">
        <v>95.0</v>
      </c>
      <c r="U22" s="67">
        <f t="array" ref="U22">XLOOKUP(D22,RUC!$B$3:$B$110,RUC!$F$3:$F$110)</f>
        <v>80</v>
      </c>
      <c r="V22" s="67">
        <v>1.1023</v>
      </c>
      <c r="Y22" s="57" t="str">
        <f t="array" ref="Y22">XLOOKUP(D22,RUC!$B$3:$B$110,RUC!$G$3:$G$110)</f>
        <v/>
      </c>
      <c r="Z22" s="69">
        <f t="array" ref="Z22">XLOOKUP(D22,RUC!$B$3:$B$110,RUC!$H$3:$H$110)</f>
        <v>10</v>
      </c>
      <c r="AA22" s="70">
        <f t="shared" si="5"/>
        <v>10</v>
      </c>
      <c r="AB22" s="71">
        <f t="shared" si="23"/>
        <v>437.6778105</v>
      </c>
      <c r="AC22" s="71">
        <f>+(S22-T22)*V22-'data 1'!$F$4</f>
        <v>24.7185</v>
      </c>
      <c r="AD22" s="71">
        <f t="shared" si="6"/>
        <v>60.95490143</v>
      </c>
      <c r="AE22" s="71">
        <f t="shared" si="7"/>
        <v>-58.977</v>
      </c>
      <c r="AF22" s="71">
        <f t="shared" si="8"/>
        <v>40.48072508</v>
      </c>
      <c r="AG22" s="72">
        <f t="shared" si="24"/>
        <v>137.1771265</v>
      </c>
      <c r="AH22" s="193">
        <f t="shared" si="9"/>
        <v>29.6</v>
      </c>
      <c r="AI22" s="193">
        <f t="shared" si="10"/>
        <v>31.563</v>
      </c>
      <c r="AJ22" s="73">
        <f t="shared" si="11"/>
        <v>35.85216793</v>
      </c>
      <c r="AK22" s="73">
        <f t="shared" si="12"/>
        <v>25.16082916</v>
      </c>
      <c r="AL22" s="11"/>
      <c r="AM22" s="51">
        <f t="shared" si="13"/>
        <v>2087.723156</v>
      </c>
      <c r="AN22" s="51" t="str">
        <f t="array" ref="AN22">XLOOKUP(D22,RUC!$B$3:$B$565,RUC!$M$3:$M$565)</f>
        <v>Melchor Vera</v>
      </c>
      <c r="AO22" s="131" t="s">
        <v>558</v>
      </c>
      <c r="AP22" s="57" t="s">
        <v>1185</v>
      </c>
      <c r="AQ22" s="57" t="s">
        <v>1186</v>
      </c>
      <c r="AS22" s="65"/>
      <c r="AV22" s="152" t="s">
        <v>558</v>
      </c>
      <c r="AW22" s="154">
        <f t="shared" ref="AW22:AW31" si="25">SUMIF($AO$4:$AO$1900,AV7,$K$4:$K$1900)</f>
        <v>100.728</v>
      </c>
      <c r="AX22" s="154">
        <v>0.344</v>
      </c>
      <c r="AY22" s="157">
        <f t="shared" ref="AY22:AY31" si="26">AW22*AX22*31.1035*1.1023</f>
        <v>1188.003507</v>
      </c>
      <c r="AZ22" s="58">
        <v>96.9</v>
      </c>
      <c r="BA22" s="159">
        <f t="shared" ref="BA22:BA31" si="27">AY22*AZ22/100</f>
        <v>1151.175398</v>
      </c>
      <c r="BB22" s="429" t="s">
        <v>1191</v>
      </c>
      <c r="BC22" s="430">
        <f>+BB5</f>
        <v>4586.863</v>
      </c>
    </row>
    <row r="23" ht="15.0" customHeight="1">
      <c r="A23" s="116" t="s">
        <v>1192</v>
      </c>
      <c r="B23" s="56">
        <v>45889.0</v>
      </c>
      <c r="C23" s="182">
        <v>45881.0</v>
      </c>
      <c r="D23" s="57" t="s">
        <v>74</v>
      </c>
      <c r="E23" s="57">
        <f t="array" ref="E23">XLOOKUP(D23,RUC!$B$3:$B$110,RUC!$D$3:$D$110)</f>
        <v>10082235774</v>
      </c>
      <c r="G23" s="141">
        <v>49.0</v>
      </c>
      <c r="H23" s="3" t="s">
        <v>47</v>
      </c>
      <c r="I23" s="6">
        <v>4.87</v>
      </c>
      <c r="J23" s="58">
        <v>2.55</v>
      </c>
      <c r="K23" s="59">
        <f t="shared" si="3"/>
        <v>4.746</v>
      </c>
      <c r="L23" s="60">
        <v>0.16</v>
      </c>
      <c r="M23" s="60">
        <v>0.152</v>
      </c>
      <c r="N23" s="75">
        <v>0.174</v>
      </c>
      <c r="O23" s="60">
        <f t="shared" si="4"/>
        <v>0.163</v>
      </c>
      <c r="P23" s="63">
        <v>85.0</v>
      </c>
      <c r="Q23" s="58">
        <v>93.75</v>
      </c>
      <c r="R23" s="65">
        <v>3343.3</v>
      </c>
      <c r="S23" s="133">
        <v>95.0</v>
      </c>
      <c r="U23" s="67">
        <f t="array" ref="U23">XLOOKUP(D23,RUC!$B$3:$B$110,RUC!$F$3:$F$110)</f>
        <v>80</v>
      </c>
      <c r="V23" s="67">
        <v>1.1023</v>
      </c>
      <c r="Y23" s="57" t="str">
        <f t="array" ref="Y23">XLOOKUP(D23,RUC!$B$3:$B$110,RUC!$G$3:$G$110)</f>
        <v/>
      </c>
      <c r="Z23" s="69">
        <f t="array" ref="Z23">XLOOKUP(D23,RUC!$B$3:$B$110,RUC!$H$3:$H$110)</f>
        <v>10</v>
      </c>
      <c r="AA23" s="70">
        <f t="shared" si="5"/>
        <v>10</v>
      </c>
      <c r="AB23" s="71">
        <f t="shared" si="23"/>
        <v>382.641636</v>
      </c>
      <c r="AC23" s="71">
        <f>+(S23-T23)*V23-'data 1'!$F$4</f>
        <v>24.7185</v>
      </c>
      <c r="AD23" s="71">
        <f t="shared" si="6"/>
        <v>50.35989826</v>
      </c>
      <c r="AE23" s="71">
        <f t="shared" si="7"/>
        <v>-58.977</v>
      </c>
      <c r="AF23" s="71">
        <f t="shared" si="8"/>
        <v>-10.11694385</v>
      </c>
      <c r="AG23" s="72">
        <f t="shared" si="24"/>
        <v>75.98445441</v>
      </c>
      <c r="AH23" s="193">
        <f t="shared" si="9"/>
        <v>24.408</v>
      </c>
      <c r="AI23" s="193">
        <f t="shared" si="10"/>
        <v>26.035</v>
      </c>
      <c r="AJ23" s="73">
        <f t="shared" si="11"/>
        <v>29.7124965</v>
      </c>
      <c r="AK23" s="73">
        <f t="shared" si="12"/>
        <v>22.54464148</v>
      </c>
      <c r="AL23" s="11"/>
      <c r="AM23" s="51">
        <f t="shared" si="13"/>
        <v>1816.017204</v>
      </c>
      <c r="AN23" s="51" t="str">
        <f t="array" ref="AN23">XLOOKUP(D23,RUC!$B$3:$B$565,RUC!$M$3:$M$565)</f>
        <v>Melchor Vera</v>
      </c>
      <c r="AO23" s="131" t="s">
        <v>551</v>
      </c>
      <c r="AP23" s="57" t="s">
        <v>1185</v>
      </c>
      <c r="AQ23" s="57" t="s">
        <v>1186</v>
      </c>
      <c r="AS23" s="65"/>
      <c r="AV23" s="160" t="s">
        <v>551</v>
      </c>
      <c r="AW23" s="6">
        <f t="shared" si="25"/>
        <v>107.731</v>
      </c>
      <c r="AX23" s="6">
        <v>0.217</v>
      </c>
      <c r="AY23" s="58">
        <f t="shared" si="26"/>
        <v>801.5110134</v>
      </c>
      <c r="AZ23" s="58">
        <v>83.63</v>
      </c>
      <c r="BA23" s="162">
        <f t="shared" si="27"/>
        <v>670.3036605</v>
      </c>
      <c r="BB23" s="429" t="s">
        <v>1193</v>
      </c>
      <c r="BC23" s="430">
        <v>0.0</v>
      </c>
    </row>
    <row r="24" ht="15.0" customHeight="1">
      <c r="A24" s="116" t="s">
        <v>1194</v>
      </c>
      <c r="B24" s="56">
        <v>45889.0</v>
      </c>
      <c r="C24" s="182">
        <v>45881.0</v>
      </c>
      <c r="D24" s="57" t="s">
        <v>74</v>
      </c>
      <c r="E24" s="57">
        <f t="array" ref="E24">XLOOKUP(D24,RUC!$B$3:$B$110,RUC!$D$3:$D$110)</f>
        <v>10082235774</v>
      </c>
      <c r="G24" s="141">
        <v>46.0</v>
      </c>
      <c r="H24" s="3" t="s">
        <v>47</v>
      </c>
      <c r="I24" s="6">
        <v>4.1</v>
      </c>
      <c r="J24" s="58">
        <v>1.7</v>
      </c>
      <c r="K24" s="59">
        <f t="shared" si="3"/>
        <v>4.03</v>
      </c>
      <c r="L24" s="60">
        <v>0.236</v>
      </c>
      <c r="M24" s="60">
        <v>0.229</v>
      </c>
      <c r="N24" s="62">
        <v>0.229</v>
      </c>
      <c r="O24" s="60">
        <f t="shared" si="4"/>
        <v>0.229</v>
      </c>
      <c r="P24" s="63">
        <v>85.0</v>
      </c>
      <c r="Q24" s="58">
        <v>92.37</v>
      </c>
      <c r="R24" s="65">
        <v>3343.3</v>
      </c>
      <c r="S24" s="133">
        <v>105.0</v>
      </c>
      <c r="U24" s="67">
        <f t="array" ref="U24">XLOOKUP(D24,RUC!$B$3:$B$110,RUC!$F$3:$F$110)</f>
        <v>80</v>
      </c>
      <c r="V24" s="67">
        <v>1.1023</v>
      </c>
      <c r="Y24" s="57" t="str">
        <f t="array" ref="Y24">XLOOKUP(D24,RUC!$B$3:$B$110,RUC!$G$3:$G$110)</f>
        <v/>
      </c>
      <c r="Z24" s="69">
        <f t="array" ref="Z24">XLOOKUP(D24,RUC!$B$3:$B$110,RUC!$H$3:$H$110)</f>
        <v>10</v>
      </c>
      <c r="AA24" s="70">
        <f t="shared" si="5"/>
        <v>10</v>
      </c>
      <c r="AB24" s="71">
        <f t="shared" si="23"/>
        <v>573.4179426</v>
      </c>
      <c r="AC24" s="71">
        <f>+(S24-T24)*V24-'data 1'!$F$4</f>
        <v>35.7415</v>
      </c>
      <c r="AD24" s="71">
        <f t="shared" si="6"/>
        <v>62.56569874</v>
      </c>
      <c r="AE24" s="71">
        <f t="shared" si="7"/>
        <v>-58.977</v>
      </c>
      <c r="AF24" s="71">
        <f t="shared" si="8"/>
        <v>23.25871901</v>
      </c>
      <c r="AG24" s="72">
        <f t="shared" si="24"/>
        <v>132.5889178</v>
      </c>
      <c r="AH24" s="193">
        <f t="shared" si="9"/>
        <v>30.12</v>
      </c>
      <c r="AI24" s="193">
        <f t="shared" si="10"/>
        <v>32.608</v>
      </c>
      <c r="AJ24" s="73">
        <f t="shared" si="11"/>
        <v>43.18081461</v>
      </c>
      <c r="AK24" s="73">
        <f t="shared" si="12"/>
        <v>26.89481266</v>
      </c>
      <c r="AL24" s="11"/>
      <c r="AM24" s="51">
        <f t="shared" si="13"/>
        <v>2310.874309</v>
      </c>
      <c r="AN24" s="51" t="str">
        <f t="array" ref="AN24">XLOOKUP(D24,RUC!$B$3:$B$565,RUC!$M$3:$M$565)</f>
        <v>Melchor Vera</v>
      </c>
      <c r="AO24" s="131" t="s">
        <v>558</v>
      </c>
      <c r="AP24" s="57" t="s">
        <v>1185</v>
      </c>
      <c r="AQ24" s="57" t="s">
        <v>1186</v>
      </c>
      <c r="AS24" s="65"/>
      <c r="AV24" s="160" t="s">
        <v>547</v>
      </c>
      <c r="AW24" s="6">
        <f t="shared" si="25"/>
        <v>105.825</v>
      </c>
      <c r="AX24" s="6">
        <v>0.276</v>
      </c>
      <c r="AY24" s="58">
        <f t="shared" si="26"/>
        <v>1001.397329</v>
      </c>
      <c r="AZ24" s="58">
        <v>87.83</v>
      </c>
      <c r="BA24" s="162">
        <f t="shared" si="27"/>
        <v>879.5272737</v>
      </c>
      <c r="BB24" s="431" t="s">
        <v>1195</v>
      </c>
      <c r="BC24" s="432">
        <v>3525.47</v>
      </c>
    </row>
    <row r="25" ht="15.0" customHeight="1">
      <c r="A25" s="116" t="s">
        <v>1196</v>
      </c>
      <c r="B25" s="56">
        <v>45887.0</v>
      </c>
      <c r="C25" s="182">
        <v>45883.0</v>
      </c>
      <c r="D25" s="57" t="s">
        <v>295</v>
      </c>
      <c r="E25" s="57">
        <f t="array" ref="E25">XLOOKUP(D25,RUC!$B$3:$B$110,RUC!$D$3:$D$110)</f>
        <v>20601769396</v>
      </c>
      <c r="G25" s="141">
        <v>36.0</v>
      </c>
      <c r="H25" s="3" t="s">
        <v>40</v>
      </c>
      <c r="I25" s="6">
        <v>2.85</v>
      </c>
      <c r="J25" s="58">
        <v>22.05</v>
      </c>
      <c r="K25" s="59">
        <f t="shared" si="3"/>
        <v>2.222</v>
      </c>
      <c r="L25" s="3">
        <v>0.308</v>
      </c>
      <c r="M25" s="60">
        <v>0.29</v>
      </c>
      <c r="N25" s="62">
        <v>0.29</v>
      </c>
      <c r="O25" s="60">
        <f t="shared" si="4"/>
        <v>0.29</v>
      </c>
      <c r="P25" s="63">
        <v>88.0</v>
      </c>
      <c r="Q25" s="58">
        <v>88.64</v>
      </c>
      <c r="R25" s="65">
        <v>3343.85</v>
      </c>
      <c r="S25" s="66">
        <f t="array" ref="S25">IF((XLOOKUP(D25,RUC!$B$3:$B$110,RUC!$E$3:$E$110)+ROUNDDOWN(O25,1)*100)&lt;95,95,((XLOOKUP(D25,RUC!$B$3:$B$110,RUC!$E$3:$E$110)+ROUNDDOWN(O25,1)*100)))</f>
        <v>110</v>
      </c>
      <c r="U25" s="67">
        <f t="array" ref="U25">XLOOKUP(D25,RUC!$B$3:$B$110,RUC!$F$3:$F$110)</f>
        <v>120</v>
      </c>
      <c r="V25" s="67">
        <v>1.1023</v>
      </c>
      <c r="Y25" s="57">
        <f t="array" ref="Y25">XLOOKUP(D25,RUC!$B$3:$B$110,RUC!$G$3:$G$110)</f>
        <v>20</v>
      </c>
      <c r="Z25" s="69">
        <f t="array" ref="Z25">XLOOKUP(D25,RUC!$B$3:$B$110,RUC!$H$3:$H$110)</f>
        <v>30</v>
      </c>
      <c r="AA25" s="70">
        <f t="shared" si="5"/>
        <v>50</v>
      </c>
      <c r="AB25" s="71">
        <f t="shared" si="23"/>
        <v>730.523443</v>
      </c>
      <c r="AC25" s="71">
        <f>+(S25-T25)*V25-'data 1'!$F$4</f>
        <v>41.253</v>
      </c>
      <c r="AD25" s="71">
        <f t="shared" si="6"/>
        <v>7.004954594</v>
      </c>
      <c r="AE25" s="71">
        <f t="shared" si="7"/>
        <v>-14.885</v>
      </c>
      <c r="AF25" s="71">
        <f t="shared" si="8"/>
        <v>56.69919417</v>
      </c>
      <c r="AG25" s="72">
        <f t="shared" ref="AG25:AG28" si="28">AC25+AD25+AE25+AF25+70-53</f>
        <v>107.0721488</v>
      </c>
      <c r="AH25" s="193">
        <f t="shared" si="9"/>
        <v>20.799</v>
      </c>
      <c r="AI25" s="193">
        <f t="shared" si="10"/>
        <v>23.464</v>
      </c>
      <c r="AJ25" s="73">
        <f t="shared" si="11"/>
        <v>65.95105486</v>
      </c>
      <c r="AK25" s="73">
        <f t="shared" si="12"/>
        <v>19.44168015</v>
      </c>
      <c r="AL25" s="11"/>
      <c r="AM25" s="51">
        <f t="shared" si="13"/>
        <v>1623.22309</v>
      </c>
      <c r="AN25" s="51" t="str">
        <f t="array" ref="AN25">XLOOKUP(D25,RUC!$B$3:$B$565,RUC!$M$3:$M$565)</f>
        <v>Evelyn</v>
      </c>
      <c r="AO25" s="131" t="s">
        <v>558</v>
      </c>
      <c r="AP25" s="2" t="s">
        <v>1197</v>
      </c>
      <c r="AQ25" s="2" t="s">
        <v>1198</v>
      </c>
      <c r="AV25" s="160" t="s">
        <v>549</v>
      </c>
      <c r="AW25" s="6">
        <f t="shared" si="25"/>
        <v>104.777</v>
      </c>
      <c r="AX25" s="6">
        <v>0.251</v>
      </c>
      <c r="AY25" s="58">
        <f t="shared" si="26"/>
        <v>901.672346</v>
      </c>
      <c r="AZ25" s="58">
        <v>90.39</v>
      </c>
      <c r="BA25" s="162">
        <f t="shared" si="27"/>
        <v>815.0216336</v>
      </c>
      <c r="BB25" s="431" t="s">
        <v>1199</v>
      </c>
      <c r="BC25" s="432">
        <f>475.744</f>
        <v>475.744</v>
      </c>
    </row>
    <row r="26" ht="15.0" customHeight="1">
      <c r="A26" s="116" t="s">
        <v>1200</v>
      </c>
      <c r="B26" s="56">
        <v>45887.0</v>
      </c>
      <c r="C26" s="182">
        <v>45883.0</v>
      </c>
      <c r="D26" s="57" t="s">
        <v>295</v>
      </c>
      <c r="E26" s="57">
        <f t="array" ref="E26">XLOOKUP(D26,RUC!$B$3:$B$110,RUC!$D$3:$D$110)</f>
        <v>20601769396</v>
      </c>
      <c r="G26" s="3">
        <v>26.0</v>
      </c>
      <c r="H26" s="3" t="s">
        <v>40</v>
      </c>
      <c r="I26" s="6">
        <v>2.82</v>
      </c>
      <c r="J26" s="58">
        <v>17.05</v>
      </c>
      <c r="K26" s="59">
        <f t="shared" si="3"/>
        <v>2.339</v>
      </c>
      <c r="L26" s="139">
        <v>0.482</v>
      </c>
      <c r="M26" s="60">
        <v>0.453</v>
      </c>
      <c r="N26" s="62">
        <v>0.453</v>
      </c>
      <c r="O26" s="60">
        <f t="shared" si="4"/>
        <v>0.453</v>
      </c>
      <c r="P26" s="63">
        <v>90.0</v>
      </c>
      <c r="Q26" s="58">
        <v>94.61</v>
      </c>
      <c r="R26" s="65">
        <v>3343.85</v>
      </c>
      <c r="S26" s="66">
        <f t="array" ref="S26">IF((XLOOKUP(D26,RUC!$B$3:$B$110,RUC!$E$3:$E$110)+ROUNDDOWN(O26,1)*100)&lt;95,95,((XLOOKUP(D26,RUC!$B$3:$B$110,RUC!$E$3:$E$110)+ROUNDDOWN(O26,1)*100)))</f>
        <v>130</v>
      </c>
      <c r="U26" s="67">
        <f t="array" ref="U26">XLOOKUP(D26,RUC!$B$3:$B$110,RUC!$F$3:$F$110)</f>
        <v>120</v>
      </c>
      <c r="V26" s="67">
        <v>1.1023</v>
      </c>
      <c r="Y26" s="57">
        <f t="array" ref="Y26">XLOOKUP(D26,RUC!$B$3:$B$110,RUC!$G$3:$G$110)</f>
        <v>20</v>
      </c>
      <c r="Z26" s="69">
        <f t="array" ref="Z26">XLOOKUP(D26,RUC!$B$3:$B$110,RUC!$H$3:$H$110)</f>
        <v>30</v>
      </c>
      <c r="AA26" s="70">
        <f t="shared" si="5"/>
        <v>50</v>
      </c>
      <c r="AB26" s="71">
        <f t="shared" si="23"/>
        <v>1250.409046</v>
      </c>
      <c r="AC26" s="71">
        <f>+(S26-T26)*V26-'data 1'!$F$4</f>
        <v>63.299</v>
      </c>
      <c r="AD26" s="71">
        <f t="shared" si="6"/>
        <v>78.96281051</v>
      </c>
      <c r="AE26" s="71">
        <f t="shared" si="7"/>
        <v>-14.885</v>
      </c>
      <c r="AF26" s="71">
        <f t="shared" si="8"/>
        <v>97.50113571</v>
      </c>
      <c r="AG26" s="72">
        <f t="shared" si="28"/>
        <v>241.8779462</v>
      </c>
      <c r="AH26" s="193">
        <f t="shared" si="9"/>
        <v>36.57</v>
      </c>
      <c r="AI26" s="193">
        <f t="shared" si="10"/>
        <v>38.653</v>
      </c>
      <c r="AJ26" s="73">
        <f t="shared" si="11"/>
        <v>110.1603642</v>
      </c>
      <c r="AK26" s="73">
        <f t="shared" si="12"/>
        <v>32.69489918</v>
      </c>
      <c r="AL26" s="11"/>
      <c r="AM26" s="51">
        <f t="shared" si="13"/>
        <v>2924.706758</v>
      </c>
      <c r="AN26" s="51" t="str">
        <f t="array" ref="AN26">XLOOKUP(D26,RUC!$B$3:$B$565,RUC!$M$3:$M$565)</f>
        <v>Evelyn</v>
      </c>
      <c r="AO26" s="131" t="s">
        <v>558</v>
      </c>
      <c r="AP26" s="2" t="s">
        <v>1197</v>
      </c>
      <c r="AQ26" s="2" t="s">
        <v>1198</v>
      </c>
      <c r="AS26" s="65"/>
      <c r="AV26" s="160" t="s">
        <v>561</v>
      </c>
      <c r="AW26" s="6">
        <f t="shared" si="25"/>
        <v>103.612</v>
      </c>
      <c r="AX26" s="6">
        <v>0.121</v>
      </c>
      <c r="AY26" s="58">
        <f t="shared" si="26"/>
        <v>429.8376928</v>
      </c>
      <c r="AZ26" s="58">
        <v>80.74</v>
      </c>
      <c r="BA26" s="162">
        <f t="shared" si="27"/>
        <v>347.0509532</v>
      </c>
      <c r="BB26" s="431" t="s">
        <v>1201</v>
      </c>
      <c r="BC26" s="432">
        <v>65.155</v>
      </c>
    </row>
    <row r="27" ht="15.0" customHeight="1">
      <c r="A27" s="116" t="s">
        <v>1202</v>
      </c>
      <c r="B27" s="56">
        <v>45896.0</v>
      </c>
      <c r="C27" s="182">
        <v>45891.0</v>
      </c>
      <c r="D27" s="2" t="s">
        <v>1203</v>
      </c>
      <c r="E27" s="57">
        <f t="array" ref="E27">XLOOKUP(D27,RUC!$B$3:$B$110,RUC!$D$3:$D$110)</f>
        <v>20601463173</v>
      </c>
      <c r="G27" s="141">
        <v>24.0</v>
      </c>
      <c r="H27" s="3" t="s">
        <v>47</v>
      </c>
      <c r="I27" s="6">
        <v>1.73</v>
      </c>
      <c r="J27" s="58">
        <v>1.0</v>
      </c>
      <c r="K27" s="59">
        <f t="shared" si="3"/>
        <v>1.713</v>
      </c>
      <c r="L27" s="3">
        <v>0.561</v>
      </c>
      <c r="M27" s="3">
        <v>0.533</v>
      </c>
      <c r="N27" s="62">
        <v>0.533</v>
      </c>
      <c r="O27" s="60">
        <f t="shared" si="4"/>
        <v>0.533</v>
      </c>
      <c r="P27" s="63">
        <v>90.0</v>
      </c>
      <c r="Q27" s="58">
        <v>91.44</v>
      </c>
      <c r="R27" s="65">
        <v>3334.25</v>
      </c>
      <c r="S27" s="133">
        <f t="array" ref="S27">IF((XLOOKUP(D27,RUC!$B$3:$B$110,RUC!$E$3:$E$110)+ROUNDDOWN(O27,1)*100)&lt;95,95,((XLOOKUP(D27,RUC!$B$3:$B$110,RUC!$E$3:$E$110)+ROUNDDOWN(O27,1)*100)))</f>
        <v>140</v>
      </c>
      <c r="U27" s="67">
        <f t="array" ref="U27">XLOOKUP(D27,RUC!$B$3:$B$110,RUC!$F$3:$F$110)</f>
        <v>100</v>
      </c>
      <c r="V27" s="67">
        <v>1.1023</v>
      </c>
      <c r="Y27" s="57" t="str">
        <f t="array" ref="Y27">XLOOKUP(D27,RUC!$B$3:$B$110,RUC!$G$3:$G$110)</f>
        <v/>
      </c>
      <c r="Z27" s="69">
        <f t="array" ref="Z27">XLOOKUP(D27,RUC!$B$3:$B$110,RUC!$H$3:$H$110)</f>
        <v>30</v>
      </c>
      <c r="AA27" s="70">
        <f t="shared" si="5"/>
        <v>30</v>
      </c>
      <c r="AB27" s="71">
        <f t="shared" si="23"/>
        <v>1522.794078</v>
      </c>
      <c r="AC27" s="71">
        <f>+(S27-T27)*V27-'data 1'!$F$4</f>
        <v>74.322</v>
      </c>
      <c r="AD27" s="71">
        <f t="shared" si="6"/>
        <v>28.80041512</v>
      </c>
      <c r="AE27" s="71">
        <f t="shared" si="7"/>
        <v>-36.931</v>
      </c>
      <c r="AF27" s="71">
        <f t="shared" si="8"/>
        <v>91.278321</v>
      </c>
      <c r="AG27" s="72">
        <f t="shared" si="28"/>
        <v>174.4697361</v>
      </c>
      <c r="AH27" s="193">
        <f t="shared" si="9"/>
        <v>30.128</v>
      </c>
      <c r="AI27" s="193">
        <f t="shared" si="10"/>
        <v>32.948</v>
      </c>
      <c r="AJ27" s="73">
        <f t="shared" si="11"/>
        <v>118.0389589</v>
      </c>
      <c r="AK27" s="73">
        <f t="shared" si="12"/>
        <v>28.17319821</v>
      </c>
      <c r="AL27" s="11"/>
      <c r="AM27" s="51">
        <f t="shared" si="13"/>
        <v>2608.546255</v>
      </c>
      <c r="AN27" s="51" t="str">
        <f t="array" ref="AN27">XLOOKUP(D27,RUC!$B$3:$B$565,RUC!$M$3:$M$565)</f>
        <v>Yuri Rospigliossi</v>
      </c>
      <c r="AO27" s="131" t="s">
        <v>558</v>
      </c>
      <c r="AP27" s="57" t="s">
        <v>1204</v>
      </c>
      <c r="AQ27" s="57" t="s">
        <v>1205</v>
      </c>
      <c r="AV27" s="160" t="s">
        <v>689</v>
      </c>
      <c r="AW27" s="6">
        <f t="shared" si="25"/>
        <v>0</v>
      </c>
      <c r="AX27" s="2"/>
      <c r="AY27" s="58">
        <f t="shared" si="26"/>
        <v>0</v>
      </c>
      <c r="AZ27" s="2"/>
      <c r="BA27" s="162">
        <f t="shared" si="27"/>
        <v>0</v>
      </c>
      <c r="BB27" s="68" t="s">
        <v>1206</v>
      </c>
      <c r="BC27" s="433">
        <f>-BC22-BC23+BC24+BC25+BC26</f>
        <v>-520.494</v>
      </c>
    </row>
    <row r="28" ht="15.0" customHeight="1">
      <c r="A28" s="116" t="s">
        <v>1207</v>
      </c>
      <c r="B28" s="56">
        <v>45896.0</v>
      </c>
      <c r="C28" s="182">
        <v>45891.0</v>
      </c>
      <c r="D28" s="57" t="s">
        <v>1203</v>
      </c>
      <c r="E28" s="57">
        <f t="array" ref="E28">XLOOKUP(D28,RUC!$B$3:$B$110,RUC!$D$3:$D$110)</f>
        <v>20601463173</v>
      </c>
      <c r="G28" s="141">
        <v>20.0</v>
      </c>
      <c r="H28" s="3" t="s">
        <v>47</v>
      </c>
      <c r="I28" s="6">
        <v>1.19</v>
      </c>
      <c r="J28" s="58">
        <v>1.3</v>
      </c>
      <c r="K28" s="59">
        <f t="shared" si="3"/>
        <v>1.175</v>
      </c>
      <c r="L28" s="3">
        <v>0.903</v>
      </c>
      <c r="M28" s="3">
        <v>0.858</v>
      </c>
      <c r="N28" s="62">
        <v>0.858</v>
      </c>
      <c r="O28" s="60">
        <f t="shared" si="4"/>
        <v>0.858</v>
      </c>
      <c r="P28" s="63">
        <v>90.0</v>
      </c>
      <c r="Q28" s="58">
        <v>96.88</v>
      </c>
      <c r="R28" s="65">
        <v>3334.25</v>
      </c>
      <c r="S28" s="133">
        <f t="array" ref="S28">IF((XLOOKUP(D28,RUC!$B$3:$B$110,RUC!$E$3:$E$110)+ROUNDDOWN(O28,1)*100)&lt;95,95,((XLOOKUP(D28,RUC!$B$3:$B$110,RUC!$E$3:$E$110)+ROUNDDOWN(O28,1)*100)))</f>
        <v>170</v>
      </c>
      <c r="U28" s="67">
        <f t="array" ref="U28">XLOOKUP(D28,RUC!$B$3:$B$110,RUC!$F$3:$F$110)</f>
        <v>100</v>
      </c>
      <c r="V28" s="67">
        <v>1.1023</v>
      </c>
      <c r="Y28" s="57" t="str">
        <f t="array" ref="Y28">XLOOKUP(D28,RUC!$B$3:$B$110,RUC!$G$3:$G$110)</f>
        <v/>
      </c>
      <c r="Z28" s="69">
        <f t="array" ref="Z28">XLOOKUP(D28,RUC!$B$3:$B$110,RUC!$H$3:$H$110)</f>
        <v>30</v>
      </c>
      <c r="AA28" s="70">
        <f t="shared" si="5"/>
        <v>30</v>
      </c>
      <c r="AB28" s="71">
        <f t="shared" si="23"/>
        <v>2532.520857</v>
      </c>
      <c r="AC28" s="71">
        <f>+(S28-T28)*V28-'data 1'!$F$4</f>
        <v>107.391</v>
      </c>
      <c r="AD28" s="71">
        <f t="shared" si="6"/>
        <v>221.4876844</v>
      </c>
      <c r="AE28" s="71">
        <f t="shared" si="7"/>
        <v>-36.931</v>
      </c>
      <c r="AF28" s="71">
        <f t="shared" si="8"/>
        <v>155.4247001</v>
      </c>
      <c r="AG28" s="72">
        <f t="shared" si="28"/>
        <v>464.3723846</v>
      </c>
      <c r="AH28" s="193">
        <f t="shared" si="9"/>
        <v>35.243</v>
      </c>
      <c r="AI28" s="193">
        <f t="shared" si="10"/>
        <v>36.378</v>
      </c>
      <c r="AJ28" s="73">
        <f t="shared" si="11"/>
        <v>201.3020381</v>
      </c>
      <c r="AK28" s="73">
        <f t="shared" si="12"/>
        <v>31.10833257</v>
      </c>
      <c r="AL28" s="11"/>
      <c r="AM28" s="51">
        <f t="shared" si="13"/>
        <v>2975.712007</v>
      </c>
      <c r="AN28" s="51" t="str">
        <f t="array" ref="AN28">XLOOKUP(D28,RUC!$B$3:$B$565,RUC!$M$3:$M$565)</f>
        <v>Yuri Rospigliossi</v>
      </c>
      <c r="AO28" s="131" t="s">
        <v>547</v>
      </c>
      <c r="AP28" s="57" t="s">
        <v>1204</v>
      </c>
      <c r="AQ28" s="57" t="s">
        <v>1205</v>
      </c>
      <c r="AV28" s="160" t="s">
        <v>690</v>
      </c>
      <c r="AW28" s="6">
        <f t="shared" si="25"/>
        <v>0</v>
      </c>
      <c r="AX28" s="2"/>
      <c r="AY28" s="58">
        <f t="shared" si="26"/>
        <v>0</v>
      </c>
      <c r="AZ28" s="2"/>
      <c r="BA28" s="162">
        <f t="shared" si="27"/>
        <v>0</v>
      </c>
    </row>
    <row r="29" ht="15.0" customHeight="1">
      <c r="A29" s="116" t="s">
        <v>1208</v>
      </c>
      <c r="B29" s="56">
        <v>45897.0</v>
      </c>
      <c r="C29" s="182">
        <v>45893.0</v>
      </c>
      <c r="D29" s="57" t="s">
        <v>74</v>
      </c>
      <c r="E29" s="57">
        <f t="array" ref="E29">XLOOKUP(D29,RUC!$B$3:$B$110,RUC!$D$3:$D$110)</f>
        <v>10082235774</v>
      </c>
      <c r="G29" s="141">
        <v>70.0</v>
      </c>
      <c r="H29" s="3" t="s">
        <v>47</v>
      </c>
      <c r="I29" s="6">
        <v>6.97</v>
      </c>
      <c r="J29" s="58">
        <v>1.5</v>
      </c>
      <c r="K29" s="59">
        <f t="shared" si="3"/>
        <v>6.865</v>
      </c>
      <c r="L29" s="3">
        <v>0.282</v>
      </c>
      <c r="M29" s="141">
        <v>0.274</v>
      </c>
      <c r="N29" s="62">
        <v>0.274</v>
      </c>
      <c r="O29" s="60">
        <f t="shared" si="4"/>
        <v>0.274</v>
      </c>
      <c r="P29" s="63">
        <v>90.0</v>
      </c>
      <c r="Q29" s="58">
        <v>97.16</v>
      </c>
      <c r="R29" s="65">
        <v>3334.25</v>
      </c>
      <c r="S29" s="133">
        <v>105.0</v>
      </c>
      <c r="U29" s="67">
        <f t="array" ref="U29">XLOOKUP(D29,RUC!$B$3:$B$110,RUC!$F$3:$F$110)</f>
        <v>80</v>
      </c>
      <c r="V29" s="67">
        <v>1.1023</v>
      </c>
      <c r="Y29" s="57" t="str">
        <f t="array" ref="Y29">XLOOKUP(D29,RUC!$B$3:$B$110,RUC!$G$3:$G$110)</f>
        <v/>
      </c>
      <c r="Z29" s="69">
        <f t="array" ref="Z29">XLOOKUP(D29,RUC!$B$3:$B$110,RUC!$H$3:$H$110)</f>
        <v>10</v>
      </c>
      <c r="AA29" s="70">
        <f t="shared" si="5"/>
        <v>10</v>
      </c>
      <c r="AB29" s="71">
        <f t="shared" si="23"/>
        <v>757.8291005</v>
      </c>
      <c r="AC29" s="71">
        <f>+(S29-T29)*V29-'data 1'!$F$4</f>
        <v>35.7415</v>
      </c>
      <c r="AD29" s="71">
        <f t="shared" si="6"/>
        <v>72.42906045</v>
      </c>
      <c r="AE29" s="71">
        <f t="shared" si="7"/>
        <v>-58.977</v>
      </c>
      <c r="AF29" s="71">
        <f t="shared" si="8"/>
        <v>27.8822755</v>
      </c>
      <c r="AG29" s="72">
        <f t="shared" ref="AG29:AG34" si="29">AC29+AD29+AE29+AF29+70</f>
        <v>147.0758359</v>
      </c>
      <c r="AH29" s="193">
        <f t="shared" si="9"/>
        <v>64.489</v>
      </c>
      <c r="AI29" s="193">
        <f t="shared" si="10"/>
        <v>66.374</v>
      </c>
      <c r="AJ29" s="73">
        <f t="shared" si="11"/>
        <v>57.00636933</v>
      </c>
      <c r="AK29" s="73">
        <f t="shared" si="12"/>
        <v>58.042042</v>
      </c>
      <c r="AL29" s="11"/>
      <c r="AM29" s="51">
        <f t="shared" si="13"/>
        <v>5202.496775</v>
      </c>
      <c r="AN29" s="51" t="str">
        <f t="array" ref="AN29">XLOOKUP(D29,RUC!$B$3:$B$565,RUC!$M$3:$M$565)</f>
        <v>Melchor Vera</v>
      </c>
      <c r="AO29" s="131" t="s">
        <v>551</v>
      </c>
      <c r="AP29" s="57" t="s">
        <v>1209</v>
      </c>
      <c r="AQ29" s="57" t="s">
        <v>1210</v>
      </c>
      <c r="AV29" s="160" t="s">
        <v>691</v>
      </c>
      <c r="AW29" s="6">
        <f t="shared" si="25"/>
        <v>0</v>
      </c>
      <c r="AX29" s="2"/>
      <c r="AY29" s="58">
        <f t="shared" si="26"/>
        <v>0</v>
      </c>
      <c r="AZ29" s="2"/>
      <c r="BA29" s="162">
        <f t="shared" si="27"/>
        <v>0</v>
      </c>
    </row>
    <row r="30" ht="15.0" customHeight="1">
      <c r="A30" s="116" t="s">
        <v>1211</v>
      </c>
      <c r="B30" s="56">
        <v>45897.0</v>
      </c>
      <c r="C30" s="182">
        <v>45893.0</v>
      </c>
      <c r="D30" s="57" t="s">
        <v>74</v>
      </c>
      <c r="E30" s="57">
        <f t="array" ref="E30">XLOOKUP(D30,RUC!$B$3:$B$110,RUC!$D$3:$D$110)</f>
        <v>10082235774</v>
      </c>
      <c r="G30" s="141">
        <v>75.0</v>
      </c>
      <c r="H30" s="3" t="s">
        <v>47</v>
      </c>
      <c r="I30" s="6">
        <v>7.38</v>
      </c>
      <c r="J30" s="58">
        <v>1.5</v>
      </c>
      <c r="K30" s="59">
        <f t="shared" si="3"/>
        <v>7.269</v>
      </c>
      <c r="L30" s="3">
        <v>0.325</v>
      </c>
      <c r="M30" s="141">
        <v>0.319</v>
      </c>
      <c r="N30" s="62">
        <v>0.319</v>
      </c>
      <c r="O30" s="60">
        <f t="shared" si="4"/>
        <v>0.319</v>
      </c>
      <c r="P30" s="63">
        <v>90.0</v>
      </c>
      <c r="Q30" s="58">
        <v>97.54</v>
      </c>
      <c r="R30" s="65">
        <v>3334.25</v>
      </c>
      <c r="S30" s="133">
        <v>110.0</v>
      </c>
      <c r="U30" s="67">
        <f t="array" ref="U30">XLOOKUP(D30,RUC!$B$3:$B$110,RUC!$F$3:$F$110)</f>
        <v>80</v>
      </c>
      <c r="V30" s="67">
        <v>1.1023</v>
      </c>
      <c r="Y30" s="57" t="str">
        <f t="array" ref="Y30">XLOOKUP(D30,RUC!$B$3:$B$110,RUC!$G$3:$G$110)</f>
        <v/>
      </c>
      <c r="Z30" s="69">
        <f t="array" ref="Z30">XLOOKUP(D30,RUC!$B$3:$B$110,RUC!$H$3:$H$110)</f>
        <v>10</v>
      </c>
      <c r="AA30" s="70">
        <f t="shared" si="5"/>
        <v>10</v>
      </c>
      <c r="AB30" s="71">
        <f t="shared" si="23"/>
        <v>897.5975714</v>
      </c>
      <c r="AC30" s="71">
        <f>+(S30-T30)*V30-'data 1'!$F$4</f>
        <v>41.253</v>
      </c>
      <c r="AD30" s="71">
        <f t="shared" si="6"/>
        <v>87.90335029</v>
      </c>
      <c r="AE30" s="71">
        <f t="shared" si="7"/>
        <v>-58.977</v>
      </c>
      <c r="AF30" s="71">
        <f t="shared" si="8"/>
        <v>20.99349387</v>
      </c>
      <c r="AG30" s="72">
        <f t="shared" si="29"/>
        <v>161.1728442</v>
      </c>
      <c r="AH30" s="193">
        <f t="shared" si="9"/>
        <v>79.004</v>
      </c>
      <c r="AI30" s="193">
        <f t="shared" si="10"/>
        <v>80.997</v>
      </c>
      <c r="AJ30" s="73">
        <f t="shared" si="11"/>
        <v>65.95578292</v>
      </c>
      <c r="AK30" s="73">
        <f t="shared" si="12"/>
        <v>71.55120145</v>
      </c>
      <c r="AL30" s="11"/>
      <c r="AM30" s="51">
        <f t="shared" si="13"/>
        <v>6524.636747</v>
      </c>
      <c r="AN30" s="51" t="str">
        <f t="array" ref="AN30">XLOOKUP(D30,RUC!$B$3:$B$565,RUC!$M$3:$M$565)</f>
        <v>Melchor Vera</v>
      </c>
      <c r="AO30" s="131" t="s">
        <v>558</v>
      </c>
      <c r="AP30" s="57" t="s">
        <v>1209</v>
      </c>
      <c r="AQ30" s="57" t="s">
        <v>1210</v>
      </c>
      <c r="AV30" s="160" t="s">
        <v>692</v>
      </c>
      <c r="AW30" s="6">
        <f t="shared" si="25"/>
        <v>0</v>
      </c>
      <c r="AX30" s="2"/>
      <c r="AY30" s="58">
        <f t="shared" si="26"/>
        <v>0</v>
      </c>
      <c r="AZ30" s="2"/>
      <c r="BA30" s="162">
        <f t="shared" si="27"/>
        <v>0</v>
      </c>
    </row>
    <row r="31" ht="15.0" customHeight="1">
      <c r="A31" s="116" t="s">
        <v>1212</v>
      </c>
      <c r="B31" s="56">
        <v>45897.0</v>
      </c>
      <c r="C31" s="182">
        <v>45893.0</v>
      </c>
      <c r="D31" s="57" t="s">
        <v>74</v>
      </c>
      <c r="E31" s="57">
        <f t="array" ref="E31">XLOOKUP(D31,RUC!$B$3:$B$110,RUC!$D$3:$D$110)</f>
        <v>10082235774</v>
      </c>
      <c r="G31" s="141">
        <v>57.0</v>
      </c>
      <c r="H31" s="3" t="s">
        <v>47</v>
      </c>
      <c r="I31" s="6">
        <v>5.49</v>
      </c>
      <c r="J31" s="58">
        <v>1.5</v>
      </c>
      <c r="K31" s="59">
        <f t="shared" si="3"/>
        <v>5.408</v>
      </c>
      <c r="L31" s="60">
        <v>0.14</v>
      </c>
      <c r="M31" s="141">
        <v>0.133</v>
      </c>
      <c r="N31" s="62">
        <v>0.133</v>
      </c>
      <c r="O31" s="60">
        <f t="shared" si="4"/>
        <v>0.133</v>
      </c>
      <c r="P31" s="63">
        <v>85.0</v>
      </c>
      <c r="Q31" s="58">
        <v>94.29</v>
      </c>
      <c r="R31" s="65">
        <v>3334.25</v>
      </c>
      <c r="S31" s="133">
        <v>95.0</v>
      </c>
      <c r="U31" s="67">
        <f t="array" ref="U31">XLOOKUP(D31,RUC!$B$3:$B$110,RUC!$F$3:$F$110)</f>
        <v>80</v>
      </c>
      <c r="V31" s="67">
        <v>1.1023</v>
      </c>
      <c r="Y31" s="57" t="str">
        <f t="array" ref="Y31">XLOOKUP(D31,RUC!$B$3:$B$110,RUC!$G$3:$G$110)</f>
        <v/>
      </c>
      <c r="Z31" s="69">
        <f t="array" ref="Z31">XLOOKUP(D31,RUC!$B$3:$B$110,RUC!$H$3:$H$110)</f>
        <v>10</v>
      </c>
      <c r="AA31" s="70">
        <f t="shared" si="5"/>
        <v>10</v>
      </c>
      <c r="AB31" s="71">
        <f t="shared" si="23"/>
        <v>289.7869126</v>
      </c>
      <c r="AC31" s="71">
        <f>+(S31-T31)*V31-'data 1'!$F$4</f>
        <v>24.7185</v>
      </c>
      <c r="AD31" s="71">
        <f t="shared" si="6"/>
        <v>46.65460003</v>
      </c>
      <c r="AE31" s="71">
        <f t="shared" si="7"/>
        <v>-58.977</v>
      </c>
      <c r="AF31" s="71">
        <f t="shared" si="8"/>
        <v>23.67633066</v>
      </c>
      <c r="AG31" s="72">
        <f t="shared" si="29"/>
        <v>106.0724307</v>
      </c>
      <c r="AH31" s="193">
        <f t="shared" si="9"/>
        <v>24.476</v>
      </c>
      <c r="AI31" s="193">
        <f t="shared" si="10"/>
        <v>25.958</v>
      </c>
      <c r="AJ31" s="73">
        <f t="shared" si="11"/>
        <v>27.46505285</v>
      </c>
      <c r="AK31" s="73">
        <f t="shared" si="12"/>
        <v>20.96120855</v>
      </c>
      <c r="AL31" s="11"/>
      <c r="AM31" s="51">
        <f t="shared" si="13"/>
        <v>1567.167623</v>
      </c>
      <c r="AN31" s="51" t="str">
        <f t="array" ref="AN31">XLOOKUP(D31,RUC!$B$3:$B$565,RUC!$M$3:$M$565)</f>
        <v>Melchor Vera</v>
      </c>
      <c r="AO31" s="131" t="s">
        <v>558</v>
      </c>
      <c r="AP31" s="57" t="s">
        <v>1209</v>
      </c>
      <c r="AQ31" s="57" t="s">
        <v>1210</v>
      </c>
      <c r="AV31" s="163" t="s">
        <v>693</v>
      </c>
      <c r="AW31" s="165">
        <f t="shared" si="25"/>
        <v>0</v>
      </c>
      <c r="AX31" s="170"/>
      <c r="AY31" s="168">
        <f t="shared" si="26"/>
        <v>0</v>
      </c>
      <c r="AZ31" s="170"/>
      <c r="BA31" s="171">
        <f t="shared" si="27"/>
        <v>0</v>
      </c>
    </row>
    <row r="32" ht="15.0" customHeight="1">
      <c r="A32" s="116" t="s">
        <v>1213</v>
      </c>
      <c r="B32" s="56">
        <v>45897.0</v>
      </c>
      <c r="C32" s="182">
        <v>45893.0</v>
      </c>
      <c r="D32" s="57" t="s">
        <v>74</v>
      </c>
      <c r="E32" s="57">
        <f t="array" ref="E32">XLOOKUP(D32,RUC!$B$3:$B$110,RUC!$D$3:$D$110)</f>
        <v>10082235774</v>
      </c>
      <c r="G32" s="141">
        <v>45.0</v>
      </c>
      <c r="H32" s="3" t="s">
        <v>47</v>
      </c>
      <c r="I32" s="6">
        <v>4.19</v>
      </c>
      <c r="J32" s="58">
        <v>1.5</v>
      </c>
      <c r="K32" s="59">
        <f t="shared" si="3"/>
        <v>4.127</v>
      </c>
      <c r="L32" s="141">
        <v>0.339</v>
      </c>
      <c r="M32" s="141">
        <v>0.332</v>
      </c>
      <c r="N32" s="62">
        <v>0.332</v>
      </c>
      <c r="O32" s="60">
        <f t="shared" si="4"/>
        <v>0.332</v>
      </c>
      <c r="P32" s="63">
        <v>90.0</v>
      </c>
      <c r="Q32" s="58">
        <v>97.64</v>
      </c>
      <c r="R32" s="65">
        <v>3334.25</v>
      </c>
      <c r="S32" s="133">
        <v>110.0</v>
      </c>
      <c r="U32" s="67">
        <f t="array" ref="U32">XLOOKUP(D32,RUC!$B$3:$B$110,RUC!$F$3:$F$110)</f>
        <v>80</v>
      </c>
      <c r="V32" s="67">
        <v>1.1023</v>
      </c>
      <c r="Y32" s="57" t="str">
        <f t="array" ref="Y32">XLOOKUP(D32,RUC!$B$3:$B$110,RUC!$G$3:$G$110)</f>
        <v/>
      </c>
      <c r="Z32" s="69">
        <f t="array" ref="Z32">XLOOKUP(D32,RUC!$B$3:$B$110,RUC!$H$3:$H$110)</f>
        <v>10</v>
      </c>
      <c r="AA32" s="70">
        <f t="shared" si="5"/>
        <v>10</v>
      </c>
      <c r="AB32" s="71">
        <f t="shared" si="23"/>
        <v>939.5673408</v>
      </c>
      <c r="AC32" s="71">
        <f>+(S32-T32)*V32-'data 1'!$F$4</f>
        <v>41.253</v>
      </c>
      <c r="AD32" s="71">
        <f t="shared" si="6"/>
        <v>92.90600331</v>
      </c>
      <c r="AE32" s="71">
        <f t="shared" si="7"/>
        <v>-58.977</v>
      </c>
      <c r="AF32" s="71">
        <f t="shared" si="8"/>
        <v>24.51751963</v>
      </c>
      <c r="AG32" s="72">
        <f t="shared" si="29"/>
        <v>169.6995229</v>
      </c>
      <c r="AH32" s="193">
        <f t="shared" si="9"/>
        <v>46.835</v>
      </c>
      <c r="AI32" s="193">
        <f t="shared" si="10"/>
        <v>47.967</v>
      </c>
      <c r="AJ32" s="73">
        <f t="shared" si="11"/>
        <v>68.86748715</v>
      </c>
      <c r="AK32" s="73">
        <f t="shared" si="12"/>
        <v>42.27894399</v>
      </c>
      <c r="AL32" s="11"/>
      <c r="AM32" s="51">
        <f t="shared" si="13"/>
        <v>3877.594415</v>
      </c>
      <c r="AN32" s="51" t="str">
        <f t="array" ref="AN32">XLOOKUP(D32,RUC!$B$3:$B$565,RUC!$M$3:$M$565)</f>
        <v>Melchor Vera</v>
      </c>
      <c r="AO32" s="131" t="s">
        <v>558</v>
      </c>
      <c r="AP32" s="57" t="s">
        <v>1209</v>
      </c>
      <c r="AQ32" s="57" t="s">
        <v>1210</v>
      </c>
    </row>
    <row r="33" ht="15.0" customHeight="1">
      <c r="A33" s="116" t="s">
        <v>1214</v>
      </c>
      <c r="B33" s="56">
        <v>45897.0</v>
      </c>
      <c r="C33" s="182">
        <v>45893.0</v>
      </c>
      <c r="D33" s="57" t="s">
        <v>74</v>
      </c>
      <c r="E33" s="57">
        <f t="array" ref="E33">XLOOKUP(D33,RUC!$B$3:$B$110,RUC!$D$3:$D$110)</f>
        <v>10082235774</v>
      </c>
      <c r="G33" s="141">
        <v>83.0</v>
      </c>
      <c r="H33" s="3" t="s">
        <v>47</v>
      </c>
      <c r="I33" s="6">
        <v>8.09</v>
      </c>
      <c r="J33" s="58">
        <v>1.5</v>
      </c>
      <c r="K33" s="59">
        <f t="shared" si="3"/>
        <v>7.969</v>
      </c>
      <c r="L33" s="141">
        <v>0.236</v>
      </c>
      <c r="M33" s="141">
        <v>0.229</v>
      </c>
      <c r="N33" s="62">
        <f>+M33</f>
        <v>0.229</v>
      </c>
      <c r="O33" s="60">
        <f t="shared" si="4"/>
        <v>0.229</v>
      </c>
      <c r="P33" s="63">
        <v>85.0</v>
      </c>
      <c r="Q33" s="58">
        <v>96.61</v>
      </c>
      <c r="R33" s="65">
        <v>3334.25</v>
      </c>
      <c r="S33" s="133">
        <v>105.0</v>
      </c>
      <c r="U33" s="67">
        <f t="array" ref="U33">XLOOKUP(D33,RUC!$B$3:$B$110,RUC!$F$3:$F$110)</f>
        <v>80</v>
      </c>
      <c r="V33" s="67">
        <v>1.1023</v>
      </c>
      <c r="Y33" s="57" t="str">
        <f t="array" ref="Y33">XLOOKUP(D33,RUC!$B$3:$B$110,RUC!$G$3:$G$110)</f>
        <v/>
      </c>
      <c r="Z33" s="69">
        <f t="array" ref="Z33">XLOOKUP(D33,RUC!$B$3:$B$110,RUC!$H$3:$H$110)</f>
        <v>10</v>
      </c>
      <c r="AA33" s="70">
        <f t="shared" si="5"/>
        <v>10</v>
      </c>
      <c r="AB33" s="71">
        <f t="shared" si="23"/>
        <v>571.4761502</v>
      </c>
      <c r="AC33" s="71">
        <f>+(S33-T33)*V33-'data 1'!$F$4</f>
        <v>35.7415</v>
      </c>
      <c r="AD33" s="71">
        <f t="shared" si="6"/>
        <v>98.28674297</v>
      </c>
      <c r="AE33" s="71">
        <f t="shared" si="7"/>
        <v>-58.977</v>
      </c>
      <c r="AF33" s="71">
        <f t="shared" si="8"/>
        <v>24.25888541</v>
      </c>
      <c r="AG33" s="72">
        <f t="shared" si="29"/>
        <v>169.3101284</v>
      </c>
      <c r="AH33" s="193">
        <f t="shared" si="9"/>
        <v>62.294</v>
      </c>
      <c r="AI33" s="193">
        <f t="shared" si="10"/>
        <v>64.48</v>
      </c>
      <c r="AJ33" s="73">
        <f t="shared" si="11"/>
        <v>47.43739728</v>
      </c>
      <c r="AK33" s="73">
        <f t="shared" si="12"/>
        <v>53.1823231</v>
      </c>
      <c r="AL33" s="11"/>
      <c r="AM33" s="51">
        <f t="shared" si="13"/>
        <v>4554.093441</v>
      </c>
      <c r="AN33" s="51" t="str">
        <f t="array" ref="AN33">XLOOKUP(D33,RUC!$B$3:$B$565,RUC!$M$3:$M$565)</f>
        <v>Melchor Vera</v>
      </c>
      <c r="AO33" s="131" t="s">
        <v>558</v>
      </c>
      <c r="AP33" s="57" t="s">
        <v>1209</v>
      </c>
      <c r="AQ33" s="57" t="s">
        <v>1210</v>
      </c>
    </row>
    <row r="34" ht="15.0" customHeight="1">
      <c r="A34" s="116" t="s">
        <v>1215</v>
      </c>
      <c r="B34" s="56">
        <v>45897.0</v>
      </c>
      <c r="C34" s="182">
        <v>45893.0</v>
      </c>
      <c r="D34" s="57" t="s">
        <v>74</v>
      </c>
      <c r="E34" s="57">
        <f t="array" ref="E34">XLOOKUP(D34,RUC!$B$3:$B$110,RUC!$D$3:$D$110)</f>
        <v>10082235774</v>
      </c>
      <c r="G34" s="3">
        <v>84.0</v>
      </c>
      <c r="H34" s="3" t="s">
        <v>47</v>
      </c>
      <c r="I34" s="6">
        <v>8.18</v>
      </c>
      <c r="J34" s="58">
        <v>1.5</v>
      </c>
      <c r="K34" s="59">
        <f t="shared" si="3"/>
        <v>8.057</v>
      </c>
      <c r="L34" s="141">
        <v>0.138</v>
      </c>
      <c r="M34" s="141">
        <v>0.131</v>
      </c>
      <c r="N34" s="62">
        <v>0.131</v>
      </c>
      <c r="O34" s="60">
        <f t="shared" si="4"/>
        <v>0.131</v>
      </c>
      <c r="P34" s="63">
        <v>85.0</v>
      </c>
      <c r="Q34" s="58">
        <v>94.2</v>
      </c>
      <c r="R34" s="65">
        <v>3334.25</v>
      </c>
      <c r="S34" s="133">
        <v>95.0</v>
      </c>
      <c r="U34" s="67">
        <f t="array" ref="U34">XLOOKUP(D34,RUC!$B$3:$B$110,RUC!$F$3:$F$110)</f>
        <v>80</v>
      </c>
      <c r="V34" s="67">
        <v>1.1023</v>
      </c>
      <c r="Y34" s="57" t="str">
        <f t="array" ref="Y34">XLOOKUP(D34,RUC!$B$3:$B$110,RUC!$G$3:$G$110)</f>
        <v/>
      </c>
      <c r="Z34" s="69">
        <f t="array" ref="Z34">XLOOKUP(D34,RUC!$B$3:$B$110,RUC!$H$3:$H$110)</f>
        <v>10</v>
      </c>
      <c r="AA34" s="70">
        <f t="shared" si="5"/>
        <v>10</v>
      </c>
      <c r="AB34" s="71">
        <f t="shared" si="23"/>
        <v>283.6887409</v>
      </c>
      <c r="AC34" s="71">
        <f>+(S34-T34)*V34-'data 1'!$F$4</f>
        <v>24.7185</v>
      </c>
      <c r="AD34" s="71">
        <f t="shared" si="6"/>
        <v>45.5425805</v>
      </c>
      <c r="AE34" s="71">
        <f t="shared" si="7"/>
        <v>-58.977</v>
      </c>
      <c r="AF34" s="71">
        <f t="shared" si="8"/>
        <v>23.65373156</v>
      </c>
      <c r="AG34" s="72">
        <f t="shared" si="29"/>
        <v>104.9378121</v>
      </c>
      <c r="AH34" s="193">
        <f t="shared" si="9"/>
        <v>35.91</v>
      </c>
      <c r="AI34" s="193">
        <f t="shared" si="10"/>
        <v>38.121</v>
      </c>
      <c r="AJ34" s="73">
        <f t="shared" si="11"/>
        <v>27.04685401</v>
      </c>
      <c r="AK34" s="73">
        <f t="shared" si="12"/>
        <v>30.75903132</v>
      </c>
      <c r="AL34" s="11"/>
      <c r="AM34" s="51">
        <f t="shared" si="13"/>
        <v>2285.680186</v>
      </c>
      <c r="AN34" s="51" t="str">
        <f t="array" ref="AN34">XLOOKUP(D34,RUC!$B$3:$B$565,RUC!$M$3:$M$565)</f>
        <v>Melchor Vera</v>
      </c>
      <c r="AO34" s="131" t="s">
        <v>558</v>
      </c>
      <c r="AP34" s="57" t="s">
        <v>1209</v>
      </c>
      <c r="AQ34" s="57" t="s">
        <v>1210</v>
      </c>
    </row>
    <row r="35" ht="15.0" customHeight="1">
      <c r="A35" s="116" t="s">
        <v>1216</v>
      </c>
      <c r="B35" s="56">
        <v>45901.0</v>
      </c>
      <c r="C35" s="182">
        <v>45895.0</v>
      </c>
      <c r="D35" s="57" t="s">
        <v>665</v>
      </c>
      <c r="E35" s="57">
        <f t="array" ref="E35">XLOOKUP(D35,RUC!$B$3:$B$110,RUC!$D$3:$D$110)</f>
        <v>20608774000</v>
      </c>
      <c r="G35" s="3">
        <v>27.0</v>
      </c>
      <c r="H35" s="3" t="s">
        <v>47</v>
      </c>
      <c r="I35" s="6">
        <v>2.47</v>
      </c>
      <c r="J35" s="58">
        <v>4.0</v>
      </c>
      <c r="K35" s="59">
        <f t="shared" si="3"/>
        <v>2.371</v>
      </c>
      <c r="L35" s="141">
        <v>0.428</v>
      </c>
      <c r="M35" s="141">
        <v>0.447</v>
      </c>
      <c r="N35" s="434">
        <v>0.447</v>
      </c>
      <c r="O35" s="60">
        <f t="shared" si="4"/>
        <v>0.447</v>
      </c>
      <c r="P35" s="63">
        <v>90.0</v>
      </c>
      <c r="Q35" s="57">
        <v>95.12</v>
      </c>
      <c r="R35" s="65">
        <v>3367.1</v>
      </c>
      <c r="S35" s="66">
        <f t="array" ref="S35">IF((XLOOKUP(D35,RUC!$B$3:$B$63,RUC!$E$3:$E$63)+ROUNDDOWN(O35,1)*100)&lt;95,95,((XLOOKUP(D35,RUC!$B$3:$B$63,RUC!$E$3:$E$63)+ROUNDDOWN(O35,1)*100)))</f>
        <v>125</v>
      </c>
      <c r="U35" s="67">
        <f t="array" ref="U35">XLOOKUP(D35,RUC!$B$3:$B$110,RUC!$F$3:$F$110)</f>
        <v>120</v>
      </c>
      <c r="V35" s="67">
        <v>1.1023</v>
      </c>
      <c r="Y35" s="57">
        <f t="array" ref="Y35">XLOOKUP(D35,RUC!$B$3:$B$110,RUC!$G$3:$G$110)</f>
        <v>20</v>
      </c>
      <c r="Z35" s="77">
        <v>35.0</v>
      </c>
      <c r="AA35" s="70">
        <f t="shared" si="5"/>
        <v>55</v>
      </c>
      <c r="AB35" s="71">
        <f t="shared" si="23"/>
        <v>1241.529672</v>
      </c>
      <c r="AC35" s="71">
        <f>+(S35-T35)*V35-'data 1'!$F$4</f>
        <v>57.7875</v>
      </c>
      <c r="AD35" s="71">
        <f t="shared" si="6"/>
        <v>78.43487361</v>
      </c>
      <c r="AE35" s="71">
        <f t="shared" si="7"/>
        <v>-9.3735</v>
      </c>
      <c r="AF35" s="71">
        <f t="shared" si="8"/>
        <v>-64.6875814</v>
      </c>
      <c r="AG35" s="72">
        <f t="shared" ref="AG35:AG44" si="30">AC35+AD35+AE35+AF35+70-53</f>
        <v>79.16129221</v>
      </c>
      <c r="AH35" s="193">
        <f t="shared" si="9"/>
        <v>33.095</v>
      </c>
      <c r="AI35" s="193">
        <f t="shared" si="10"/>
        <v>34.792</v>
      </c>
      <c r="AJ35" s="73">
        <f t="shared" si="11"/>
        <v>87.91234284</v>
      </c>
      <c r="AK35" s="73">
        <f t="shared" si="12"/>
        <v>32.70323053</v>
      </c>
      <c r="AL35" s="11"/>
      <c r="AM35" s="51">
        <f t="shared" si="13"/>
        <v>2943.666853</v>
      </c>
      <c r="AN35" s="51" t="str">
        <f t="array" ref="AN35">XLOOKUP(D35,RUC!$B$3:$B$565,RUC!$M$3:$M$565)</f>
        <v>Ronald Miranda</v>
      </c>
      <c r="AO35" s="131" t="s">
        <v>551</v>
      </c>
      <c r="AP35" s="57" t="s">
        <v>1217</v>
      </c>
      <c r="AQ35" s="57" t="s">
        <v>1218</v>
      </c>
    </row>
    <row r="36" ht="15.0" customHeight="1">
      <c r="A36" s="116" t="s">
        <v>1219</v>
      </c>
      <c r="B36" s="56">
        <v>45900.0</v>
      </c>
      <c r="C36" s="182">
        <v>45895.0</v>
      </c>
      <c r="D36" s="57" t="s">
        <v>602</v>
      </c>
      <c r="E36" s="57">
        <f t="array" ref="E36">XLOOKUP(D36,RUC!$B$3:$B$110,RUC!$D$3:$D$110)</f>
        <v>20169040231</v>
      </c>
      <c r="G36" s="3">
        <v>60.0</v>
      </c>
      <c r="H36" s="3" t="s">
        <v>47</v>
      </c>
      <c r="I36" s="6">
        <v>6.02</v>
      </c>
      <c r="J36" s="58">
        <v>1.5</v>
      </c>
      <c r="K36" s="59">
        <f t="shared" si="3"/>
        <v>5.93</v>
      </c>
      <c r="L36" s="141">
        <v>0.181</v>
      </c>
      <c r="M36" s="141">
        <v>0.166</v>
      </c>
      <c r="N36" s="434">
        <v>0.166</v>
      </c>
      <c r="O36" s="60">
        <f t="shared" si="4"/>
        <v>0.166</v>
      </c>
      <c r="P36" s="63">
        <v>90.0</v>
      </c>
      <c r="Q36" s="57">
        <v>96.69</v>
      </c>
      <c r="R36" s="65">
        <v>3367.1</v>
      </c>
      <c r="S36" s="66">
        <f t="array" ref="S36">IF((XLOOKUP(D36,RUC!$B$3:$B$63,RUC!$E$3:$E$63)+ROUNDDOWN(O36,1)*100)&lt;95,95,((XLOOKUP(D36,RUC!$B$3:$B$63,RUC!$E$3:$E$63)+ROUNDDOWN(O36,1)*100)))</f>
        <v>95</v>
      </c>
      <c r="U36" s="67">
        <f t="array" ref="U36">XLOOKUP(D36,RUC!$B$3:$B$110,RUC!$F$3:$F$110)</f>
        <v>120</v>
      </c>
      <c r="V36" s="67">
        <v>1.1023</v>
      </c>
      <c r="Y36" s="57">
        <f t="array" ref="Y36">XLOOKUP(D36,RUC!$B$3:$B$110,RUC!$G$3:$G$110)</f>
        <v>20</v>
      </c>
      <c r="Z36" s="77">
        <v>35.0</v>
      </c>
      <c r="AA36" s="70">
        <f t="shared" si="5"/>
        <v>55</v>
      </c>
      <c r="AB36" s="71">
        <f t="shared" si="23"/>
        <v>369.3991825</v>
      </c>
      <c r="AC36" s="71">
        <f>+(S36-T36)*V36-'data 1'!$F$4</f>
        <v>24.7185</v>
      </c>
      <c r="AD36" s="71">
        <f t="shared" si="6"/>
        <v>43.34112337</v>
      </c>
      <c r="AE36" s="71">
        <f t="shared" si="7"/>
        <v>-9.3735</v>
      </c>
      <c r="AF36" s="71">
        <f t="shared" si="8"/>
        <v>51.91206326</v>
      </c>
      <c r="AG36" s="72">
        <f t="shared" si="30"/>
        <v>127.5981866</v>
      </c>
      <c r="AH36" s="193">
        <f t="shared" si="9"/>
        <v>35.581</v>
      </c>
      <c r="AI36" s="193">
        <f t="shared" si="10"/>
        <v>36.8</v>
      </c>
      <c r="AJ36" s="73">
        <f t="shared" si="11"/>
        <v>37.79152162</v>
      </c>
      <c r="AK36" s="73">
        <f t="shared" si="12"/>
        <v>30.37486526</v>
      </c>
      <c r="AL36" s="11"/>
      <c r="AM36" s="51">
        <f t="shared" si="13"/>
        <v>2190.537152</v>
      </c>
      <c r="AN36" s="51" t="str">
        <f t="array" ref="AN36">XLOOKUP(D36,RUC!$B$3:$B$565,RUC!$M$3:$M$565)</f>
        <v>Ronald Miranda</v>
      </c>
      <c r="AO36" s="131" t="s">
        <v>547</v>
      </c>
      <c r="AP36" s="57" t="s">
        <v>1220</v>
      </c>
      <c r="AQ36" s="57" t="s">
        <v>1221</v>
      </c>
    </row>
    <row r="37" ht="15.0" customHeight="1">
      <c r="A37" s="116" t="s">
        <v>1222</v>
      </c>
      <c r="B37" s="56">
        <v>45900.0</v>
      </c>
      <c r="C37" s="182">
        <v>45895.0</v>
      </c>
      <c r="D37" s="57" t="s">
        <v>602</v>
      </c>
      <c r="E37" s="57">
        <f t="array" ref="E37">XLOOKUP(D37,RUC!$B$3:$B$110,RUC!$D$3:$D$110)</f>
        <v>20169040231</v>
      </c>
      <c r="G37" s="3">
        <v>20.0</v>
      </c>
      <c r="H37" s="3" t="s">
        <v>47</v>
      </c>
      <c r="I37" s="6">
        <v>1.71</v>
      </c>
      <c r="J37" s="58">
        <v>1.2</v>
      </c>
      <c r="K37" s="59">
        <f t="shared" si="3"/>
        <v>1.689</v>
      </c>
      <c r="L37" s="141">
        <v>0.318</v>
      </c>
      <c r="M37" s="141">
        <v>0.302</v>
      </c>
      <c r="N37" s="434">
        <v>0.302</v>
      </c>
      <c r="O37" s="60">
        <f t="shared" si="4"/>
        <v>0.302</v>
      </c>
      <c r="P37" s="63">
        <v>90.0</v>
      </c>
      <c r="Q37" s="57">
        <v>93.08</v>
      </c>
      <c r="R37" s="65">
        <v>3367.1</v>
      </c>
      <c r="S37" s="66">
        <f t="array" ref="S37">IF((XLOOKUP(D37,RUC!$B$3:$B$63,RUC!$E$3:$E$63)+ROUNDDOWN(O37,1)*100)&lt;95,95,((XLOOKUP(D37,RUC!$B$3:$B$63,RUC!$E$3:$E$63)+ROUNDDOWN(O37,1)*100)))</f>
        <v>115</v>
      </c>
      <c r="U37" s="67">
        <f t="array" ref="U37">XLOOKUP(D37,RUC!$B$3:$B$110,RUC!$F$3:$F$110)</f>
        <v>120</v>
      </c>
      <c r="V37" s="67">
        <v>1.1023</v>
      </c>
      <c r="Y37" s="57">
        <f t="array" ref="Y37">XLOOKUP(D37,RUC!$B$3:$B$110,RUC!$G$3:$G$110)</f>
        <v>20</v>
      </c>
      <c r="Z37" s="77">
        <v>35.0</v>
      </c>
      <c r="AA37" s="70">
        <f t="shared" si="5"/>
        <v>55</v>
      </c>
      <c r="AB37" s="71">
        <f t="shared" si="23"/>
        <v>785.4568501</v>
      </c>
      <c r="AC37" s="71">
        <f>+(S37-T37)*V37-'data 1'!$F$4</f>
        <v>46.7645</v>
      </c>
      <c r="AD37" s="71">
        <f t="shared" si="6"/>
        <v>35.05688368</v>
      </c>
      <c r="AE37" s="71">
        <f t="shared" si="7"/>
        <v>-9.3735</v>
      </c>
      <c r="AF37" s="71">
        <f t="shared" si="8"/>
        <v>53.30547631</v>
      </c>
      <c r="AG37" s="72">
        <f t="shared" si="30"/>
        <v>142.75336</v>
      </c>
      <c r="AH37" s="193">
        <f t="shared" si="9"/>
        <v>17.14</v>
      </c>
      <c r="AI37" s="193">
        <f t="shared" si="10"/>
        <v>18.415</v>
      </c>
      <c r="AJ37" s="73">
        <f t="shared" si="11"/>
        <v>63.91719945</v>
      </c>
      <c r="AK37" s="73">
        <f t="shared" si="12"/>
        <v>15.73939995</v>
      </c>
      <c r="AL37" s="11"/>
      <c r="AM37" s="51">
        <f t="shared" si="13"/>
        <v>1326.63662</v>
      </c>
      <c r="AN37" s="51" t="str">
        <f t="array" ref="AN37">XLOOKUP(D37,RUC!$B$3:$B$565,RUC!$M$3:$M$565)</f>
        <v>Ronald Miranda</v>
      </c>
      <c r="AO37" s="131" t="s">
        <v>558</v>
      </c>
      <c r="AP37" s="57" t="s">
        <v>1220</v>
      </c>
      <c r="AQ37" s="57" t="s">
        <v>1221</v>
      </c>
    </row>
    <row r="38" ht="15.0" customHeight="1">
      <c r="A38" s="116" t="s">
        <v>1223</v>
      </c>
      <c r="B38" s="56">
        <v>45900.0</v>
      </c>
      <c r="C38" s="182">
        <v>45895.0</v>
      </c>
      <c r="D38" s="57" t="s">
        <v>602</v>
      </c>
      <c r="E38" s="3">
        <f t="array" ref="E38">XLOOKUP(D38,RUC!$B$3:$B$110,RUC!$D$3:$D$110)</f>
        <v>20169040231</v>
      </c>
      <c r="G38" s="3">
        <v>10.0</v>
      </c>
      <c r="H38" s="3" t="s">
        <v>47</v>
      </c>
      <c r="I38" s="6">
        <v>1.07</v>
      </c>
      <c r="J38" s="58">
        <v>3.0</v>
      </c>
      <c r="K38" s="59">
        <f t="shared" si="3"/>
        <v>1.038</v>
      </c>
      <c r="L38" s="141">
        <v>0.692</v>
      </c>
      <c r="M38" s="141">
        <v>0.657</v>
      </c>
      <c r="N38" s="434">
        <v>0.657</v>
      </c>
      <c r="O38" s="60">
        <f t="shared" si="4"/>
        <v>0.657</v>
      </c>
      <c r="P38" s="63">
        <v>90.0</v>
      </c>
      <c r="Q38" s="57">
        <v>89.88</v>
      </c>
      <c r="R38" s="65">
        <v>3367.1</v>
      </c>
      <c r="S38" s="66">
        <f t="array" ref="S38">IF((XLOOKUP(D38,RUC!$B$3:$B$63,RUC!$E$3:$E$63)+ROUNDDOWN(O38,1)*100)&lt;95,95,((XLOOKUP(D38,RUC!$B$3:$B$63,RUC!$E$3:$E$63)+ROUNDDOWN(O38,1)*100)))</f>
        <v>145</v>
      </c>
      <c r="U38" s="67">
        <f t="array" ref="U38">XLOOKUP(D38,RUC!$B$3:$B$110,RUC!$F$3:$F$110)</f>
        <v>120</v>
      </c>
      <c r="V38" s="67">
        <v>1.1023</v>
      </c>
      <c r="Y38" s="57">
        <f t="array" ref="Y38">XLOOKUP(D38,RUC!$B$3:$B$110,RUC!$G$3:$G$110)</f>
        <v>20</v>
      </c>
      <c r="Z38" s="77">
        <v>35.0</v>
      </c>
      <c r="AA38" s="70">
        <f t="shared" si="5"/>
        <v>55</v>
      </c>
      <c r="AB38" s="71">
        <f t="shared" si="23"/>
        <v>1895.967277</v>
      </c>
      <c r="AC38" s="71">
        <f>+(S38-T38)*V38-'data 1'!$F$4</f>
        <v>79.8335</v>
      </c>
      <c r="AD38" s="71">
        <f t="shared" si="6"/>
        <v>-2.972232725</v>
      </c>
      <c r="AE38" s="71">
        <f t="shared" si="7"/>
        <v>-9.3735</v>
      </c>
      <c r="AF38" s="71">
        <f t="shared" si="8"/>
        <v>112.5969377</v>
      </c>
      <c r="AG38" s="72">
        <f t="shared" si="30"/>
        <v>197.084705</v>
      </c>
      <c r="AH38" s="193">
        <f t="shared" si="9"/>
        <v>22.135</v>
      </c>
      <c r="AI38" s="193">
        <f t="shared" si="10"/>
        <v>24.627</v>
      </c>
      <c r="AJ38" s="73">
        <f t="shared" si="11"/>
        <v>134.3084699</v>
      </c>
      <c r="AK38" s="73">
        <f t="shared" si="12"/>
        <v>21.04332205</v>
      </c>
      <c r="AL38" s="11"/>
      <c r="AM38" s="51">
        <f t="shared" si="13"/>
        <v>1968.014033</v>
      </c>
      <c r="AN38" s="51" t="str">
        <f t="array" ref="AN38">XLOOKUP(D38,RUC!$B$3:$B$565,RUC!$M$3:$M$565)</f>
        <v>Ronald Miranda</v>
      </c>
      <c r="AO38" s="131" t="s">
        <v>551</v>
      </c>
      <c r="AP38" s="57" t="s">
        <v>1220</v>
      </c>
      <c r="AQ38" s="57" t="s">
        <v>1221</v>
      </c>
    </row>
    <row r="39" ht="15.0" customHeight="1">
      <c r="A39" s="116" t="s">
        <v>1224</v>
      </c>
      <c r="B39" s="56">
        <v>45900.0</v>
      </c>
      <c r="C39" s="182">
        <v>45895.0</v>
      </c>
      <c r="D39" s="57" t="s">
        <v>602</v>
      </c>
      <c r="E39" s="3">
        <f t="array" ref="E39">XLOOKUP(D39,RUC!$B$3:$B$110,RUC!$D$3:$D$110)</f>
        <v>20169040231</v>
      </c>
      <c r="G39" s="3">
        <v>26.0</v>
      </c>
      <c r="H39" s="3" t="s">
        <v>40</v>
      </c>
      <c r="I39" s="6">
        <v>2.28</v>
      </c>
      <c r="J39" s="58">
        <v>24.0</v>
      </c>
      <c r="K39" s="59">
        <f t="shared" si="3"/>
        <v>1.733</v>
      </c>
      <c r="L39" s="141">
        <v>4.426</v>
      </c>
      <c r="M39" s="141">
        <v>4.205</v>
      </c>
      <c r="N39" s="434">
        <v>4.205</v>
      </c>
      <c r="O39" s="60">
        <f t="shared" si="4"/>
        <v>4.205</v>
      </c>
      <c r="P39" s="63">
        <v>90.0</v>
      </c>
      <c r="Q39" s="57">
        <v>90.33</v>
      </c>
      <c r="R39" s="65">
        <v>3367.1</v>
      </c>
      <c r="S39" s="66">
        <f t="array" ref="S39">IF((XLOOKUP(D39,RUC!$B$3:$B$63,RUC!$E$3:$E$63)+ROUNDDOWN(O39,1)*100)&lt;95,95,((XLOOKUP(D39,RUC!$B$3:$B$63,RUC!$E$3:$E$63)+ROUNDDOWN(O39,1)*100)))</f>
        <v>505</v>
      </c>
      <c r="U39" s="67">
        <f t="array" ref="U39">XLOOKUP(D39,RUC!$B$3:$B$110,RUC!$F$3:$F$110)</f>
        <v>120</v>
      </c>
      <c r="V39" s="67">
        <v>1.1023</v>
      </c>
      <c r="Y39" s="57">
        <f t="array" ref="Y39">XLOOKUP(D39,RUC!$B$3:$B$110,RUC!$G$3:$G$110)</f>
        <v>20</v>
      </c>
      <c r="Z39" s="77">
        <v>35.0</v>
      </c>
      <c r="AA39" s="70">
        <f t="shared" si="5"/>
        <v>55</v>
      </c>
      <c r="AB39" s="71">
        <f t="shared" si="23"/>
        <v>12928.49084</v>
      </c>
      <c r="AC39" s="71">
        <f>+(S39-T39)*V39-'data 1'!$F$4</f>
        <v>476.6615</v>
      </c>
      <c r="AD39" s="71">
        <f t="shared" si="6"/>
        <v>52.27822343</v>
      </c>
      <c r="AE39" s="71">
        <f t="shared" si="7"/>
        <v>-9.3735</v>
      </c>
      <c r="AF39" s="71">
        <f t="shared" si="8"/>
        <v>714.5288275</v>
      </c>
      <c r="AG39" s="72">
        <f t="shared" si="30"/>
        <v>1251.095051</v>
      </c>
      <c r="AH39" s="193">
        <f t="shared" si="9"/>
        <v>237.548</v>
      </c>
      <c r="AI39" s="193">
        <f t="shared" si="10"/>
        <v>262.978</v>
      </c>
      <c r="AJ39" s="73">
        <f t="shared" si="11"/>
        <v>863.3316513</v>
      </c>
      <c r="AK39" s="73">
        <f t="shared" si="12"/>
        <v>224.8620375</v>
      </c>
      <c r="AL39" s="11"/>
      <c r="AM39" s="51">
        <f t="shared" si="13"/>
        <v>22405.07463</v>
      </c>
      <c r="AN39" s="51" t="str">
        <f t="array" ref="AN39">XLOOKUP(D39,RUC!$B$3:$B$565,RUC!$M$3:$M$565)</f>
        <v>Ronald Miranda</v>
      </c>
      <c r="AO39" s="131" t="s">
        <v>551</v>
      </c>
      <c r="AP39" s="57" t="s">
        <v>1220</v>
      </c>
      <c r="AQ39" s="57" t="s">
        <v>1221</v>
      </c>
    </row>
    <row r="40" ht="15.0" customHeight="1">
      <c r="A40" s="116" t="s">
        <v>1225</v>
      </c>
      <c r="B40" s="56">
        <v>45900.0</v>
      </c>
      <c r="C40" s="182">
        <v>45895.0</v>
      </c>
      <c r="D40" s="57" t="s">
        <v>602</v>
      </c>
      <c r="E40" s="3">
        <f t="array" ref="E40">XLOOKUP(D40,RUC!$B$3:$B$110,RUC!$D$3:$D$110)</f>
        <v>20169040231</v>
      </c>
      <c r="G40" s="3">
        <v>34.0</v>
      </c>
      <c r="H40" s="3" t="s">
        <v>47</v>
      </c>
      <c r="I40" s="6">
        <v>2.94</v>
      </c>
      <c r="J40" s="58">
        <v>1.1</v>
      </c>
      <c r="K40" s="59">
        <f t="shared" si="3"/>
        <v>2.908</v>
      </c>
      <c r="L40" s="141">
        <v>0.298</v>
      </c>
      <c r="M40" s="141">
        <v>0.283</v>
      </c>
      <c r="N40" s="434">
        <v>0.283</v>
      </c>
      <c r="O40" s="60">
        <f t="shared" si="4"/>
        <v>0.283</v>
      </c>
      <c r="P40" s="63">
        <v>90.0</v>
      </c>
      <c r="Q40" s="57">
        <v>90.27</v>
      </c>
      <c r="R40" s="65">
        <v>3367.1</v>
      </c>
      <c r="S40" s="66">
        <f t="array" ref="S40">IF((XLOOKUP(D40,RUC!$B$3:$B$63,RUC!$E$3:$E$63)+ROUNDDOWN(O40,1)*100)&lt;95,95,((XLOOKUP(D40,RUC!$B$3:$B$63,RUC!$E$3:$E$63)+ROUNDDOWN(O40,1)*100)))</f>
        <v>105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69">
        <f t="array" ref="Z40">XLOOKUP(D40,RUC!$B$3:$B$110,RUC!$H$3:$H$110)</f>
        <v>30</v>
      </c>
      <c r="AA40" s="70">
        <f t="shared" si="5"/>
        <v>50</v>
      </c>
      <c r="AB40" s="71">
        <f t="shared" si="23"/>
        <v>740.7856907</v>
      </c>
      <c r="AC40" s="71">
        <f>+(S40-T40)*V40-'data 1'!$F$4</f>
        <v>35.7415</v>
      </c>
      <c r="AD40" s="71">
        <f t="shared" si="6"/>
        <v>2.879887344</v>
      </c>
      <c r="AE40" s="71">
        <f t="shared" si="7"/>
        <v>-14.885</v>
      </c>
      <c r="AF40" s="71">
        <f t="shared" si="8"/>
        <v>48.46521823</v>
      </c>
      <c r="AG40" s="72">
        <f t="shared" si="30"/>
        <v>89.20160557</v>
      </c>
      <c r="AH40" s="193">
        <f t="shared" si="9"/>
        <v>26.82</v>
      </c>
      <c r="AI40" s="193">
        <f t="shared" si="10"/>
        <v>29.711</v>
      </c>
      <c r="AJ40" s="73">
        <f t="shared" si="11"/>
        <v>58.08900666</v>
      </c>
      <c r="AK40" s="73">
        <f t="shared" si="12"/>
        <v>25.39407608</v>
      </c>
      <c r="AL40" s="11"/>
      <c r="AM40" s="51">
        <f t="shared" si="13"/>
        <v>2154.204788</v>
      </c>
      <c r="AN40" s="51" t="str">
        <f t="array" ref="AN40">XLOOKUP(D40,RUC!$B$3:$B$565,RUC!$M$3:$M$565)</f>
        <v>Ronald Miranda</v>
      </c>
      <c r="AO40" s="131" t="s">
        <v>558</v>
      </c>
      <c r="AP40" s="57" t="s">
        <v>1220</v>
      </c>
      <c r="AQ40" s="57" t="s">
        <v>1221</v>
      </c>
    </row>
    <row r="41" ht="15.0" customHeight="1">
      <c r="A41" s="116" t="s">
        <v>1226</v>
      </c>
      <c r="B41" s="56">
        <v>45900.0</v>
      </c>
      <c r="C41" s="182">
        <v>45895.0</v>
      </c>
      <c r="D41" s="57" t="s">
        <v>602</v>
      </c>
      <c r="E41" s="3">
        <f t="array" ref="E41">XLOOKUP(D41,RUC!$B$3:$B$110,RUC!$D$3:$D$110)</f>
        <v>20169040231</v>
      </c>
      <c r="G41" s="3">
        <v>21.0</v>
      </c>
      <c r="H41" s="3" t="s">
        <v>47</v>
      </c>
      <c r="I41" s="6">
        <v>1.77</v>
      </c>
      <c r="J41" s="58">
        <v>1.3</v>
      </c>
      <c r="K41" s="59">
        <f t="shared" si="3"/>
        <v>1.747</v>
      </c>
      <c r="L41" s="141">
        <v>0.266</v>
      </c>
      <c r="M41" s="141">
        <v>0.251</v>
      </c>
      <c r="N41" s="434">
        <v>0.251</v>
      </c>
      <c r="O41" s="60">
        <f t="shared" si="4"/>
        <v>0.251</v>
      </c>
      <c r="P41" s="63">
        <v>90.0</v>
      </c>
      <c r="Q41" s="57">
        <v>91.73</v>
      </c>
      <c r="R41" s="65">
        <v>3367.1</v>
      </c>
      <c r="S41" s="66">
        <f t="array" ref="S41">IF((XLOOKUP(D41,RUC!$B$3:$B$63,RUC!$E$3:$E$63)+ROUNDDOWN(O41,1)*100)&lt;95,95,((XLOOKUP(D41,RUC!$B$3:$B$63,RUC!$E$3:$E$63)+ROUNDDOWN(O41,1)*100)))</f>
        <v>105</v>
      </c>
      <c r="U41" s="67">
        <f t="array" ref="U41">XLOOKUP(D41,RUC!$B$3:$B$110,RUC!$F$3:$F$110)</f>
        <v>120</v>
      </c>
      <c r="V41" s="67">
        <v>1.1023</v>
      </c>
      <c r="Y41" s="57">
        <f t="array" ref="Y41">XLOOKUP(D41,RUC!$B$3:$B$110,RUC!$G$3:$G$110)</f>
        <v>20</v>
      </c>
      <c r="Z41" s="69">
        <f t="array" ref="Z41">XLOOKUP(D41,RUC!$B$3:$B$110,RUC!$H$3:$H$110)</f>
        <v>30</v>
      </c>
      <c r="AA41" s="70">
        <f t="shared" si="5"/>
        <v>50</v>
      </c>
      <c r="AB41" s="71">
        <f t="shared" si="23"/>
        <v>637.7024747</v>
      </c>
      <c r="AC41" s="71">
        <f>+(S41-T41)*V41-'data 1'!$F$4</f>
        <v>35.7415</v>
      </c>
      <c r="AD41" s="71">
        <f t="shared" si="6"/>
        <v>16.47112302</v>
      </c>
      <c r="AE41" s="71">
        <f t="shared" si="7"/>
        <v>-14.885</v>
      </c>
      <c r="AF41" s="71">
        <f t="shared" si="8"/>
        <v>49.24908018</v>
      </c>
      <c r="AG41" s="72">
        <f t="shared" si="30"/>
        <v>103.5767032</v>
      </c>
      <c r="AH41" s="193">
        <f t="shared" si="9"/>
        <v>14.615</v>
      </c>
      <c r="AI41" s="193">
        <f t="shared" si="10"/>
        <v>15.932</v>
      </c>
      <c r="AJ41" s="73">
        <f t="shared" si="11"/>
        <v>52.68988777</v>
      </c>
      <c r="AK41" s="73">
        <f t="shared" si="12"/>
        <v>13.53063582</v>
      </c>
      <c r="AL41" s="11"/>
      <c r="AM41" s="51">
        <f t="shared" si="13"/>
        <v>1114.066223</v>
      </c>
      <c r="AN41" s="51" t="str">
        <f t="array" ref="AN41">XLOOKUP(D41,RUC!$B$3:$B$565,RUC!$M$3:$M$565)</f>
        <v>Ronald Miranda</v>
      </c>
      <c r="AO41" s="131" t="s">
        <v>558</v>
      </c>
      <c r="AP41" s="57" t="s">
        <v>1220</v>
      </c>
      <c r="AQ41" s="57" t="s">
        <v>1221</v>
      </c>
    </row>
    <row r="42" ht="15.0" customHeight="1">
      <c r="A42" s="116" t="s">
        <v>1227</v>
      </c>
      <c r="B42" s="56">
        <v>45901.0</v>
      </c>
      <c r="C42" s="182">
        <v>45895.0</v>
      </c>
      <c r="D42" s="57" t="s">
        <v>602</v>
      </c>
      <c r="E42" s="3">
        <f t="array" ref="E42">XLOOKUP(D42,RUC!$B$3:$B$110,RUC!$D$3:$D$110)</f>
        <v>20169040231</v>
      </c>
      <c r="G42" s="3">
        <v>53.0</v>
      </c>
      <c r="H42" s="3" t="s">
        <v>47</v>
      </c>
      <c r="I42" s="6">
        <v>5.0</v>
      </c>
      <c r="J42" s="58">
        <v>1.1</v>
      </c>
      <c r="K42" s="59">
        <f t="shared" si="3"/>
        <v>4.945</v>
      </c>
      <c r="L42" s="141">
        <v>0.162</v>
      </c>
      <c r="M42" s="141">
        <v>0.147</v>
      </c>
      <c r="N42" s="434">
        <v>0.147</v>
      </c>
      <c r="O42" s="60">
        <f t="shared" si="4"/>
        <v>0.147</v>
      </c>
      <c r="P42" s="63">
        <v>85.0</v>
      </c>
      <c r="Q42" s="57">
        <v>94.44</v>
      </c>
      <c r="R42" s="65">
        <v>3367.1</v>
      </c>
      <c r="S42" s="66">
        <f t="array" ref="S42">IF((XLOOKUP(D42,RUC!$B$3:$B$63,RUC!$E$3:$E$63)+ROUNDDOWN(O42,1)*100)&lt;95,95,((XLOOKUP(D42,RUC!$B$3:$B$63,RUC!$E$3:$E$63)+ROUNDDOWN(O42,1)*100)))</f>
        <v>95</v>
      </c>
      <c r="U42" s="67">
        <f t="array" ref="U42">XLOOKUP(D42,RUC!$B$3:$B$110,RUC!$F$3:$F$110)</f>
        <v>120</v>
      </c>
      <c r="V42" s="67">
        <v>1.1023</v>
      </c>
      <c r="Y42" s="57">
        <f t="array" ref="Y42">XLOOKUP(D42,RUC!$B$3:$B$110,RUC!$G$3:$G$110)</f>
        <v>20</v>
      </c>
      <c r="Z42" s="77">
        <v>35.0</v>
      </c>
      <c r="AA42" s="70">
        <f t="shared" si="5"/>
        <v>55</v>
      </c>
      <c r="AB42" s="71">
        <f t="shared" si="23"/>
        <v>281.8858273</v>
      </c>
      <c r="AC42" s="71">
        <f>+(S42-T42)*V42-'data 1'!$F$4</f>
        <v>24.7185</v>
      </c>
      <c r="AD42" s="71">
        <f t="shared" si="6"/>
        <v>54.73718765</v>
      </c>
      <c r="AE42" s="71">
        <f t="shared" si="7"/>
        <v>-9.3735</v>
      </c>
      <c r="AF42" s="71">
        <f t="shared" si="8"/>
        <v>50.70405682</v>
      </c>
      <c r="AG42" s="72">
        <f t="shared" si="30"/>
        <v>137.7862445</v>
      </c>
      <c r="AH42" s="193">
        <f t="shared" si="9"/>
        <v>25.939</v>
      </c>
      <c r="AI42" s="193">
        <f t="shared" si="10"/>
        <v>27.466</v>
      </c>
      <c r="AJ42" s="73">
        <f t="shared" si="11"/>
        <v>33.03735244</v>
      </c>
      <c r="AK42" s="73">
        <f t="shared" si="12"/>
        <v>21.18417843</v>
      </c>
      <c r="AL42" s="11"/>
      <c r="AM42" s="51">
        <f t="shared" si="13"/>
        <v>1393.925416</v>
      </c>
      <c r="AN42" s="51" t="str">
        <f t="array" ref="AN42">XLOOKUP(D42,RUC!$B$3:$B$565,RUC!$M$3:$M$565)</f>
        <v>Ronald Miranda</v>
      </c>
      <c r="AO42" s="131" t="s">
        <v>551</v>
      </c>
      <c r="AP42" s="57" t="s">
        <v>1220</v>
      </c>
      <c r="AQ42" s="57" t="s">
        <v>1221</v>
      </c>
    </row>
    <row r="43" ht="15.0" customHeight="1">
      <c r="A43" s="116" t="s">
        <v>1228</v>
      </c>
      <c r="B43" s="56">
        <v>45906.0</v>
      </c>
      <c r="C43" s="182">
        <v>45896.0</v>
      </c>
      <c r="D43" s="57" t="s">
        <v>225</v>
      </c>
      <c r="E43" s="3">
        <f t="array" ref="E43">XLOOKUP(D43,RUC!$B$3:$B$110,RUC!$D$3:$D$110)</f>
        <v>10761932735</v>
      </c>
      <c r="G43" s="141">
        <v>212.0</v>
      </c>
      <c r="H43" s="3" t="s">
        <v>47</v>
      </c>
      <c r="I43" s="6">
        <v>17.55</v>
      </c>
      <c r="J43" s="58">
        <v>22.5</v>
      </c>
      <c r="K43" s="59">
        <f t="shared" si="3"/>
        <v>13.601</v>
      </c>
      <c r="L43" s="141">
        <v>0.177</v>
      </c>
      <c r="M43" s="141">
        <v>0.162</v>
      </c>
      <c r="N43" s="75">
        <v>0.207</v>
      </c>
      <c r="O43" s="60">
        <f t="shared" si="4"/>
        <v>0.185</v>
      </c>
      <c r="P43" s="63">
        <v>90.0</v>
      </c>
      <c r="Q43" s="58">
        <v>98.87</v>
      </c>
      <c r="R43" s="65">
        <v>3376.35</v>
      </c>
      <c r="S43" s="66">
        <v>95.0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5"/>
        <v>50</v>
      </c>
      <c r="AB43" s="71">
        <f t="shared" si="23"/>
        <v>437.8140217</v>
      </c>
      <c r="AC43" s="71">
        <f>+(S43-T43)*V43-'data 1'!$F$4</f>
        <v>24.7185</v>
      </c>
      <c r="AD43" s="71">
        <f t="shared" si="6"/>
        <v>56.35439235</v>
      </c>
      <c r="AE43" s="71">
        <f t="shared" si="7"/>
        <v>-14.885</v>
      </c>
      <c r="AF43" s="71">
        <f t="shared" si="8"/>
        <v>-28.39130834</v>
      </c>
      <c r="AG43" s="72">
        <f t="shared" si="30"/>
        <v>54.79658402</v>
      </c>
      <c r="AH43" s="193">
        <f t="shared" si="9"/>
        <v>81.605</v>
      </c>
      <c r="AI43" s="193">
        <f t="shared" si="10"/>
        <v>82.538</v>
      </c>
      <c r="AJ43" s="73">
        <f t="shared" si="11"/>
        <v>36.00523105</v>
      </c>
      <c r="AK43" s="73">
        <f t="shared" si="12"/>
        <v>77.64154122</v>
      </c>
      <c r="AL43" s="11"/>
      <c r="AM43" s="51">
        <f t="shared" si="13"/>
        <v>5954.70851</v>
      </c>
      <c r="AN43" s="51" t="str">
        <f t="array" ref="AN43">XLOOKUP(D43,RUC!$B$3:$B$565,RUC!$M$3:$M$565)</f>
        <v>Richard Sapacayo</v>
      </c>
      <c r="AO43" s="131" t="s">
        <v>561</v>
      </c>
      <c r="AP43" s="57" t="s">
        <v>1229</v>
      </c>
      <c r="AQ43" s="57" t="s">
        <v>1230</v>
      </c>
    </row>
    <row r="44" ht="15.0" customHeight="1">
      <c r="A44" s="116" t="s">
        <v>1231</v>
      </c>
      <c r="B44" s="56">
        <v>45903.0</v>
      </c>
      <c r="C44" s="182">
        <v>45896.0</v>
      </c>
      <c r="D44" s="57" t="s">
        <v>602</v>
      </c>
      <c r="E44" s="3">
        <f t="array" ref="E44">XLOOKUP(D44,RUC!$B$3:$B$110,RUC!$D$3:$D$110)</f>
        <v>20169040231</v>
      </c>
      <c r="G44" s="141">
        <v>47.0</v>
      </c>
      <c r="H44" s="3" t="s">
        <v>47</v>
      </c>
      <c r="I44" s="6">
        <v>4.19</v>
      </c>
      <c r="J44" s="58">
        <v>1.5</v>
      </c>
      <c r="K44" s="59">
        <f t="shared" si="3"/>
        <v>4.127</v>
      </c>
      <c r="L44" s="3">
        <v>0.244</v>
      </c>
      <c r="M44" s="141">
        <v>0.229</v>
      </c>
      <c r="N44" s="434">
        <v>0.229</v>
      </c>
      <c r="O44" s="60">
        <f t="shared" si="4"/>
        <v>0.229</v>
      </c>
      <c r="P44" s="63">
        <v>90.0</v>
      </c>
      <c r="Q44" s="57">
        <v>90.98</v>
      </c>
      <c r="R44" s="65">
        <v>3376.35</v>
      </c>
      <c r="S44" s="66">
        <f t="array" ref="S44">IF((XLOOKUP(D44,RUC!$B$3:$B$63,RUC!$E$3:$E$63)+ROUNDDOWN(O44,1)*100)&lt;95,95,((XLOOKUP(D44,RUC!$B$3:$B$63,RUC!$E$3:$E$63)+ROUNDDOWN(O44,1)*100)))</f>
        <v>105</v>
      </c>
      <c r="U44" s="67">
        <f t="array" ref="U44">XLOOKUP(D44,RUC!$B$3:$B$110,RUC!$F$3:$F$110)</f>
        <v>120</v>
      </c>
      <c r="V44" s="67">
        <v>1.1023</v>
      </c>
      <c r="Y44" s="57">
        <f t="array" ref="Y44">XLOOKUP(D44,RUC!$B$3:$B$110,RUC!$G$3:$G$110)</f>
        <v>20</v>
      </c>
      <c r="Z44" s="69">
        <f t="array" ref="Z44">XLOOKUP(D44,RUC!$B$3:$B$110,RUC!$H$3:$H$110)</f>
        <v>30</v>
      </c>
      <c r="AA44" s="70">
        <f t="shared" si="5"/>
        <v>50</v>
      </c>
      <c r="AB44" s="71">
        <f t="shared" si="23"/>
        <v>568.9342161</v>
      </c>
      <c r="AC44" s="71">
        <f>+(S44-T44)*V44-'data 1'!$F$4</f>
        <v>35.7415</v>
      </c>
      <c r="AD44" s="71">
        <f t="shared" si="6"/>
        <v>8.583151675</v>
      </c>
      <c r="AE44" s="71">
        <f t="shared" si="7"/>
        <v>-14.885</v>
      </c>
      <c r="AF44" s="71">
        <f t="shared" si="8"/>
        <v>48.98555993</v>
      </c>
      <c r="AG44" s="72">
        <f t="shared" si="30"/>
        <v>95.42521161</v>
      </c>
      <c r="AH44" s="193">
        <f t="shared" si="9"/>
        <v>31.411</v>
      </c>
      <c r="AI44" s="193">
        <f t="shared" si="10"/>
        <v>34.525</v>
      </c>
      <c r="AJ44" s="73">
        <f t="shared" si="11"/>
        <v>45.67342294</v>
      </c>
      <c r="AK44" s="73">
        <f t="shared" si="12"/>
        <v>29.16228366</v>
      </c>
      <c r="AL44" s="11"/>
      <c r="AM44" s="51">
        <f t="shared" si="13"/>
        <v>2347.99151</v>
      </c>
      <c r="AN44" s="51" t="str">
        <f t="array" ref="AN44">XLOOKUP(D44,RUC!$B$3:$B$565,RUC!$M$3:$M$565)</f>
        <v>Ronald Miranda</v>
      </c>
      <c r="AO44" s="131" t="s">
        <v>547</v>
      </c>
      <c r="AP44" s="57" t="s">
        <v>1232</v>
      </c>
      <c r="AQ44" s="57" t="s">
        <v>1233</v>
      </c>
    </row>
    <row r="45" ht="15.0" customHeight="1">
      <c r="A45" s="132" t="s">
        <v>1234</v>
      </c>
      <c r="B45" s="109">
        <v>45903.0</v>
      </c>
      <c r="C45" s="182">
        <v>45896.0</v>
      </c>
      <c r="D45" s="57" t="s">
        <v>602</v>
      </c>
      <c r="E45" s="3">
        <f t="array" ref="E45">XLOOKUP(D45,RUC!$B$3:$B$110,RUC!$D$3:$D$110)</f>
        <v>20169040231</v>
      </c>
      <c r="G45" s="141">
        <v>99.0</v>
      </c>
      <c r="H45" s="3" t="s">
        <v>47</v>
      </c>
      <c r="I45" s="6">
        <v>9.93</v>
      </c>
      <c r="J45" s="58">
        <v>2.5</v>
      </c>
      <c r="K45" s="59">
        <f t="shared" si="3"/>
        <v>9.682</v>
      </c>
      <c r="L45" s="3">
        <v>0.102</v>
      </c>
      <c r="M45" s="141">
        <v>0.097</v>
      </c>
      <c r="N45" s="434">
        <v>0.097</v>
      </c>
      <c r="O45" s="60">
        <f t="shared" si="4"/>
        <v>0.097</v>
      </c>
      <c r="P45" s="63">
        <v>80.0</v>
      </c>
      <c r="Q45" s="57">
        <v>92.86</v>
      </c>
      <c r="R45" s="65">
        <v>3376.35</v>
      </c>
      <c r="S45" s="66">
        <f t="array" ref="S45">IF((XLOOKUP(D45,RUC!$B$3:$B$63,RUC!$E$3:$E$63)+ROUNDDOWN(O45,1)*100)&lt;95,95,((XLOOKUP(D45,RUC!$B$3:$B$63,RUC!$E$3:$E$63)+ROUNDDOWN(O45,1)*100)))</f>
        <v>95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si="5"/>
        <v>50</v>
      </c>
      <c r="AB45" s="71">
        <v>0.001</v>
      </c>
      <c r="AC45" s="71">
        <f>+(S45-T45)*V45-'data 1'!$F$4</f>
        <v>24.7185</v>
      </c>
      <c r="AD45" s="71">
        <f t="shared" si="6"/>
        <v>47.08385629</v>
      </c>
      <c r="AE45" s="71">
        <f t="shared" si="7"/>
        <v>-14.885</v>
      </c>
      <c r="AF45" s="71">
        <f t="shared" si="8"/>
        <v>16.66593059</v>
      </c>
      <c r="AG45" s="72">
        <f>AC45+AD45+AE45+AF45+70-53-118.71</f>
        <v>-28.12671312</v>
      </c>
      <c r="AH45" s="193">
        <f t="shared" si="9"/>
        <v>31.441</v>
      </c>
      <c r="AI45" s="193">
        <f t="shared" si="10"/>
        <v>33.859</v>
      </c>
      <c r="AJ45" s="73">
        <f t="shared" si="11"/>
        <v>19.48752354</v>
      </c>
      <c r="AK45" s="73">
        <f t="shared" si="12"/>
        <v>25.75940746</v>
      </c>
      <c r="AL45" s="11"/>
      <c r="AM45" s="51">
        <f t="shared" si="13"/>
        <v>0.009682</v>
      </c>
      <c r="AN45" s="51" t="str">
        <f t="array" ref="AN45">XLOOKUP(D45,RUC!$B$3:$B$565,RUC!$M$3:$M$565)</f>
        <v>Ronald Miranda</v>
      </c>
      <c r="AO45" s="131" t="s">
        <v>547</v>
      </c>
      <c r="AP45" s="57" t="s">
        <v>1232</v>
      </c>
      <c r="AQ45" s="57" t="s">
        <v>1233</v>
      </c>
    </row>
    <row r="46" ht="15.0" customHeight="1">
      <c r="A46" s="116" t="s">
        <v>1235</v>
      </c>
      <c r="B46" s="56">
        <v>45901.0</v>
      </c>
      <c r="C46" s="182">
        <v>45896.0</v>
      </c>
      <c r="D46" s="57" t="s">
        <v>602</v>
      </c>
      <c r="E46" s="3">
        <f t="array" ref="E46">XLOOKUP(D46,RUC!$B$3:$B$110,RUC!$D$3:$D$110)</f>
        <v>20169040231</v>
      </c>
      <c r="G46" s="141">
        <v>100.0</v>
      </c>
      <c r="H46" s="3" t="s">
        <v>47</v>
      </c>
      <c r="I46" s="6">
        <v>10.55</v>
      </c>
      <c r="J46" s="58">
        <v>2.5</v>
      </c>
      <c r="K46" s="59">
        <f t="shared" si="3"/>
        <v>10.286</v>
      </c>
      <c r="L46" s="3">
        <v>0.265</v>
      </c>
      <c r="M46" s="139">
        <v>0.25</v>
      </c>
      <c r="N46" s="435">
        <v>0.25</v>
      </c>
      <c r="O46" s="60">
        <f t="shared" si="4"/>
        <v>0.25</v>
      </c>
      <c r="P46" s="63">
        <v>90.0</v>
      </c>
      <c r="Q46" s="57">
        <v>94.72</v>
      </c>
      <c r="R46" s="65">
        <v>3376.35</v>
      </c>
      <c r="S46" s="66">
        <f t="array" ref="S46">IF((XLOOKUP(D46,RUC!$B$3:$B$63,RUC!$E$3:$E$63)+ROUNDDOWN(O46,1)*100)&lt;95,95,((XLOOKUP(D46,RUC!$B$3:$B$63,RUC!$E$3:$E$63)+ROUNDDOWN(O46,1)*100)))</f>
        <v>105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77">
        <v>35.0</v>
      </c>
      <c r="AA46" s="70">
        <f t="shared" si="5"/>
        <v>55</v>
      </c>
      <c r="AB46" s="71">
        <f t="shared" ref="AB46:AB64" si="31">+((O46*P46*(R46-U46)/100)-S46-AA46+T46)*V46</f>
        <v>631.2637861</v>
      </c>
      <c r="AC46" s="71">
        <f>+(S46-T46)*V46-'data 1'!$F$4</f>
        <v>35.7415</v>
      </c>
      <c r="AD46" s="71">
        <f t="shared" si="6"/>
        <v>44.89714836</v>
      </c>
      <c r="AE46" s="71">
        <f t="shared" si="7"/>
        <v>-9.3735</v>
      </c>
      <c r="AF46" s="71">
        <f t="shared" si="8"/>
        <v>50.99925519</v>
      </c>
      <c r="AG46" s="72">
        <f t="shared" ref="AG46:AG83" si="32">AC46+AD46+AE46+AF46+70-53</f>
        <v>139.2644035</v>
      </c>
      <c r="AH46" s="193">
        <f t="shared" si="9"/>
        <v>88.52</v>
      </c>
      <c r="AI46" s="193">
        <f t="shared" si="10"/>
        <v>93.455</v>
      </c>
      <c r="AJ46" s="73">
        <f t="shared" si="11"/>
        <v>51.643464</v>
      </c>
      <c r="AK46" s="73">
        <f t="shared" si="12"/>
        <v>79.34838783</v>
      </c>
      <c r="AL46" s="11"/>
      <c r="AM46" s="51">
        <f t="shared" si="13"/>
        <v>6493.179304</v>
      </c>
      <c r="AN46" s="51" t="str">
        <f t="array" ref="AN46">XLOOKUP(D46,RUC!$B$3:$B$565,RUC!$M$3:$M$565)</f>
        <v>Ronald Miranda</v>
      </c>
      <c r="AO46" s="131" t="s">
        <v>547</v>
      </c>
      <c r="AP46" s="57" t="s">
        <v>1232</v>
      </c>
      <c r="AQ46" s="57" t="s">
        <v>1233</v>
      </c>
    </row>
    <row r="47" ht="15.0" customHeight="1">
      <c r="A47" s="116" t="s">
        <v>1236</v>
      </c>
      <c r="B47" s="56">
        <v>45901.0</v>
      </c>
      <c r="C47" s="182">
        <v>45896.0</v>
      </c>
      <c r="D47" s="2" t="s">
        <v>665</v>
      </c>
      <c r="E47" s="3">
        <f t="array" ref="E47">XLOOKUP(D47,RUC!$B$3:$B$110,RUC!$D$3:$D$110)</f>
        <v>20608774000</v>
      </c>
      <c r="G47" s="141">
        <v>60.0</v>
      </c>
      <c r="H47" s="3" t="s">
        <v>40</v>
      </c>
      <c r="I47" s="6">
        <v>4.62</v>
      </c>
      <c r="J47" s="58">
        <v>32.0</v>
      </c>
      <c r="K47" s="59">
        <f t="shared" si="3"/>
        <v>3.142</v>
      </c>
      <c r="L47" s="3">
        <v>0.745</v>
      </c>
      <c r="M47" s="141">
        <v>0.708</v>
      </c>
      <c r="N47" s="434">
        <v>0.708</v>
      </c>
      <c r="O47" s="60">
        <f t="shared" si="4"/>
        <v>0.708</v>
      </c>
      <c r="P47" s="63">
        <v>85.0</v>
      </c>
      <c r="Q47" s="58">
        <v>86.04</v>
      </c>
      <c r="R47" s="65">
        <v>3376.35</v>
      </c>
      <c r="S47" s="66">
        <f t="array" ref="S47">IF((XLOOKUP(D47,RUC!$B$3:$B$63,RUC!$E$3:$E$63)+ROUNDDOWN(O47,1)*100)&lt;95,95,((XLOOKUP(D47,RUC!$B$3:$B$63,RUC!$E$3:$E$63)+ROUNDDOWN(O47,1)*100)))</f>
        <v>155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77">
        <v>35.0</v>
      </c>
      <c r="AA47" s="70">
        <f t="shared" si="5"/>
        <v>55</v>
      </c>
      <c r="AB47" s="71">
        <f t="shared" si="31"/>
        <v>1928.662817</v>
      </c>
      <c r="AC47" s="71">
        <f>+(S47-T47)*V47-'data 1'!$F$4</f>
        <v>90.8565</v>
      </c>
      <c r="AD47" s="71">
        <f t="shared" si="6"/>
        <v>27.81124924</v>
      </c>
      <c r="AE47" s="71">
        <f t="shared" si="7"/>
        <v>-9.3735</v>
      </c>
      <c r="AF47" s="71">
        <f t="shared" si="8"/>
        <v>114.2702062</v>
      </c>
      <c r="AG47" s="72">
        <f t="shared" si="32"/>
        <v>240.5644554</v>
      </c>
      <c r="AH47" s="193">
        <f t="shared" si="9"/>
        <v>69.051</v>
      </c>
      <c r="AI47" s="193">
        <f t="shared" si="10"/>
        <v>80.255</v>
      </c>
      <c r="AJ47" s="73">
        <f t="shared" si="11"/>
        <v>131.8816816</v>
      </c>
      <c r="AK47" s="73">
        <f t="shared" si="12"/>
        <v>64.82871799</v>
      </c>
      <c r="AL47" s="11"/>
      <c r="AM47" s="51">
        <f t="shared" si="13"/>
        <v>6059.858572</v>
      </c>
      <c r="AN47" s="51" t="str">
        <f t="array" ref="AN47">XLOOKUP(D47,RUC!$B$3:$B$565,RUC!$M$3:$M$565)</f>
        <v>Ronald Miranda</v>
      </c>
      <c r="AO47" s="131" t="s">
        <v>549</v>
      </c>
      <c r="AP47" s="57" t="s">
        <v>1237</v>
      </c>
      <c r="AQ47" s="57" t="s">
        <v>1238</v>
      </c>
    </row>
    <row r="48" ht="15.0" customHeight="1">
      <c r="A48" s="116" t="s">
        <v>1239</v>
      </c>
      <c r="B48" s="56">
        <v>45903.0</v>
      </c>
      <c r="C48" s="182">
        <v>45897.0</v>
      </c>
      <c r="D48" s="57" t="s">
        <v>225</v>
      </c>
      <c r="E48" s="3">
        <f t="array" ref="E48">XLOOKUP(D48,RUC!$B$3:$B$110,RUC!$D$3:$D$110)</f>
        <v>10761932735</v>
      </c>
      <c r="G48" s="141">
        <v>66.0</v>
      </c>
      <c r="H48" s="3" t="s">
        <v>47</v>
      </c>
      <c r="I48" s="6">
        <v>4.23</v>
      </c>
      <c r="J48" s="58">
        <v>11.5</v>
      </c>
      <c r="K48" s="59">
        <f t="shared" si="3"/>
        <v>3.744</v>
      </c>
      <c r="L48" s="3">
        <v>0.217</v>
      </c>
      <c r="M48" s="141">
        <v>0.202</v>
      </c>
      <c r="N48" s="189">
        <v>0.215</v>
      </c>
      <c r="O48" s="60">
        <f t="shared" si="4"/>
        <v>0.209</v>
      </c>
      <c r="P48" s="63">
        <v>90.0</v>
      </c>
      <c r="Q48" s="58">
        <v>97.24</v>
      </c>
      <c r="R48" s="65">
        <v>3407.65</v>
      </c>
      <c r="S48" s="66">
        <f t="array" ref="S48">IF((XLOOKUP(D48,RUC!$B$3:$B$63,RUC!$E$3:$E$63)+ROUNDDOWN(O48,1)*100)&lt;95,95,((XLOOKUP(D48,RUC!$B$3:$B$63,RUC!$E$3:$E$63)+ROUNDDOWN(O48,1)*100)))</f>
        <v>110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5"/>
        <v>50</v>
      </c>
      <c r="AB48" s="71">
        <f t="shared" si="31"/>
        <v>505.3019975</v>
      </c>
      <c r="AC48" s="71">
        <f>+(S48-T48)*V48-'data 1'!$F$4</f>
        <v>41.253</v>
      </c>
      <c r="AD48" s="71">
        <f t="shared" si="6"/>
        <v>56.93557149</v>
      </c>
      <c r="AE48" s="71">
        <f t="shared" si="7"/>
        <v>-14.885</v>
      </c>
      <c r="AF48" s="71">
        <f t="shared" si="8"/>
        <v>28.19163873</v>
      </c>
      <c r="AG48" s="72">
        <f t="shared" si="32"/>
        <v>128.4952102</v>
      </c>
      <c r="AH48" s="193">
        <f t="shared" si="9"/>
        <v>27.086</v>
      </c>
      <c r="AI48" s="193">
        <f t="shared" si="10"/>
        <v>27.855</v>
      </c>
      <c r="AJ48" s="73">
        <f t="shared" si="11"/>
        <v>36.13397577</v>
      </c>
      <c r="AK48" s="73">
        <f t="shared" si="12"/>
        <v>24.14536111</v>
      </c>
      <c r="AL48" s="11"/>
      <c r="AM48" s="51">
        <f t="shared" si="13"/>
        <v>1891.850679</v>
      </c>
      <c r="AN48" s="51" t="str">
        <f t="array" ref="AN48">XLOOKUP(D48,RUC!$B$3:$B$565,RUC!$M$3:$M$565)</f>
        <v>Richard Sapacayo</v>
      </c>
      <c r="AO48" s="131" t="s">
        <v>551</v>
      </c>
      <c r="AP48" s="57" t="s">
        <v>1240</v>
      </c>
      <c r="AQ48" s="57" t="s">
        <v>1241</v>
      </c>
    </row>
    <row r="49" ht="15.0" customHeight="1">
      <c r="A49" s="116" t="s">
        <v>1242</v>
      </c>
      <c r="B49" s="56">
        <v>45903.0</v>
      </c>
      <c r="C49" s="182">
        <v>45897.0</v>
      </c>
      <c r="D49" s="57" t="s">
        <v>225</v>
      </c>
      <c r="E49" s="3">
        <f t="array" ref="E49">XLOOKUP(D49,RUC!$B$3:$B$110,RUC!$D$3:$D$110)</f>
        <v>10761932735</v>
      </c>
      <c r="G49" s="141">
        <v>180.0</v>
      </c>
      <c r="H49" s="3" t="s">
        <v>47</v>
      </c>
      <c r="I49" s="6">
        <v>10.56</v>
      </c>
      <c r="J49" s="58">
        <v>9.5</v>
      </c>
      <c r="K49" s="59">
        <f t="shared" si="3"/>
        <v>9.557</v>
      </c>
      <c r="L49" s="3">
        <v>0.322</v>
      </c>
      <c r="M49" s="141">
        <v>0.306</v>
      </c>
      <c r="N49" s="271">
        <v>0.33</v>
      </c>
      <c r="O49" s="60">
        <f t="shared" si="4"/>
        <v>0.318</v>
      </c>
      <c r="P49" s="63">
        <v>90.0</v>
      </c>
      <c r="Q49" s="58">
        <v>95.03</v>
      </c>
      <c r="R49" s="65">
        <v>3407.65</v>
      </c>
      <c r="S49" s="66">
        <f t="array" ref="S49">IF((XLOOKUP(D49,RUC!$B$3:$B$63,RUC!$E$3:$E$63)+ROUNDDOWN(O49,1)*100)&lt;95,95,((XLOOKUP(D49,RUC!$B$3:$B$63,RUC!$E$3:$E$63)+ROUNDDOWN(O49,1)*100)))</f>
        <v>120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5"/>
        <v>50</v>
      </c>
      <c r="AB49" s="71">
        <f t="shared" si="31"/>
        <v>849.7911015</v>
      </c>
      <c r="AC49" s="71">
        <f>+(S49-T49)*V49-'data 1'!$F$4</f>
        <v>52.276</v>
      </c>
      <c r="AD49" s="71">
        <f t="shared" si="6"/>
        <v>58.69609932</v>
      </c>
      <c r="AE49" s="71">
        <f t="shared" si="7"/>
        <v>-14.885</v>
      </c>
      <c r="AF49" s="71">
        <f t="shared" si="8"/>
        <v>13.77545983</v>
      </c>
      <c r="AG49" s="72">
        <f t="shared" si="32"/>
        <v>126.8625592</v>
      </c>
      <c r="AH49" s="193">
        <f t="shared" si="9"/>
        <v>100.265</v>
      </c>
      <c r="AI49" s="193">
        <f t="shared" si="10"/>
        <v>105.508</v>
      </c>
      <c r="AJ49" s="73">
        <f t="shared" si="11"/>
        <v>52.39956311</v>
      </c>
      <c r="AK49" s="73">
        <f t="shared" si="12"/>
        <v>93.77785282</v>
      </c>
      <c r="AL49" s="11"/>
      <c r="AM49" s="51">
        <f t="shared" si="13"/>
        <v>8121.453557</v>
      </c>
      <c r="AN49" s="51" t="str">
        <f t="array" ref="AN49">XLOOKUP(D49,RUC!$B$3:$B$565,RUC!$M$3:$M$565)</f>
        <v>Richard Sapacayo</v>
      </c>
      <c r="AO49" s="131" t="s">
        <v>551</v>
      </c>
      <c r="AP49" s="57" t="s">
        <v>1240</v>
      </c>
      <c r="AQ49" s="57" t="s">
        <v>1241</v>
      </c>
    </row>
    <row r="50" ht="14.25" customHeight="1">
      <c r="A50" s="116" t="s">
        <v>1243</v>
      </c>
      <c r="B50" s="56">
        <v>45908.0</v>
      </c>
      <c r="C50" s="182">
        <v>45897.0</v>
      </c>
      <c r="D50" s="57" t="s">
        <v>225</v>
      </c>
      <c r="E50" s="3">
        <f t="array" ref="E50">XLOOKUP(D50,RUC!$B$3:$B$110,RUC!$D$3:$D$110)</f>
        <v>10761932735</v>
      </c>
      <c r="G50" s="141" t="s">
        <v>46</v>
      </c>
      <c r="H50" s="3" t="s">
        <v>47</v>
      </c>
      <c r="I50" s="6">
        <v>7.89</v>
      </c>
      <c r="J50" s="58">
        <v>6.2</v>
      </c>
      <c r="K50" s="59">
        <f t="shared" si="3"/>
        <v>7.401</v>
      </c>
      <c r="L50" s="3">
        <v>0.107</v>
      </c>
      <c r="M50" s="141">
        <v>0.092</v>
      </c>
      <c r="N50" s="189">
        <v>0.168</v>
      </c>
      <c r="O50" s="60">
        <f t="shared" si="4"/>
        <v>0.13</v>
      </c>
      <c r="P50" s="63">
        <v>85.0</v>
      </c>
      <c r="Q50" s="58">
        <v>88.24</v>
      </c>
      <c r="R50" s="65">
        <v>3407.65</v>
      </c>
      <c r="S50" s="66">
        <f t="array" ref="S50">IF((XLOOKUP(D50,RUC!$B$3:$B$63,RUC!$E$3:$E$63)+ROUNDDOWN(O50,1)*100)&lt;95,95,((XLOOKUP(D50,RUC!$B$3:$B$63,RUC!$E$3:$E$63)+ROUNDDOWN(O50,1)*100)))</f>
        <v>100</v>
      </c>
      <c r="U50" s="67">
        <f t="array" ref="U50">XLOOKUP(D50,RUC!$B$3:$B$110,RUC!$F$3:$F$110)</f>
        <v>120</v>
      </c>
      <c r="V50" s="67">
        <v>1.1023</v>
      </c>
      <c r="Y50" s="199">
        <v>30.0</v>
      </c>
      <c r="Z50" s="69">
        <f t="array" ref="Z50">XLOOKUP(D50,RUC!$B$3:$B$110,RUC!$H$3:$H$110)</f>
        <v>30</v>
      </c>
      <c r="AA50" s="70">
        <f t="shared" si="5"/>
        <v>60</v>
      </c>
      <c r="AB50" s="71">
        <f t="shared" si="31"/>
        <v>224.0814137</v>
      </c>
      <c r="AC50" s="71">
        <f>+(S50-T50)*V50-'data 1'!$F$4</f>
        <v>30.23</v>
      </c>
      <c r="AD50" s="71">
        <f t="shared" si="6"/>
        <v>12.56360206</v>
      </c>
      <c r="AE50" s="71">
        <f t="shared" si="7"/>
        <v>-3.862</v>
      </c>
      <c r="AF50" s="71">
        <f t="shared" si="8"/>
        <v>-73.54932979</v>
      </c>
      <c r="AG50" s="72">
        <f t="shared" si="32"/>
        <v>-17.61772773</v>
      </c>
      <c r="AH50" s="193">
        <f t="shared" si="9"/>
        <v>23.958</v>
      </c>
      <c r="AI50" s="193">
        <f t="shared" si="10"/>
        <v>27.151</v>
      </c>
      <c r="AJ50" s="73">
        <f t="shared" si="11"/>
        <v>16.16815046</v>
      </c>
      <c r="AK50" s="73">
        <f t="shared" si="12"/>
        <v>28.03895034</v>
      </c>
      <c r="AL50" s="11"/>
      <c r="AM50" s="51">
        <f t="shared" si="13"/>
        <v>1658.426543</v>
      </c>
      <c r="AN50" s="51" t="str">
        <f t="array" ref="AN50">XLOOKUP(D50,RUC!$B$3:$B$565,RUC!$M$3:$M$565)</f>
        <v>Richard Sapacayo</v>
      </c>
      <c r="AO50" s="131" t="s">
        <v>547</v>
      </c>
      <c r="AP50" s="57" t="s">
        <v>1244</v>
      </c>
      <c r="AQ50" s="57" t="s">
        <v>1245</v>
      </c>
    </row>
    <row r="51" ht="15.0" customHeight="1">
      <c r="A51" s="116" t="s">
        <v>1246</v>
      </c>
      <c r="B51" s="56">
        <v>45908.0</v>
      </c>
      <c r="C51" s="182">
        <v>45897.0</v>
      </c>
      <c r="D51" s="57" t="s">
        <v>225</v>
      </c>
      <c r="E51" s="3">
        <f t="array" ref="E51">XLOOKUP(D51,RUC!$B$3:$B$110,RUC!$D$3:$D$110)</f>
        <v>10761932735</v>
      </c>
      <c r="G51" s="141" t="s">
        <v>46</v>
      </c>
      <c r="H51" s="3" t="s">
        <v>47</v>
      </c>
      <c r="I51" s="6">
        <v>26.0</v>
      </c>
      <c r="J51" s="58">
        <v>4.1</v>
      </c>
      <c r="K51" s="59">
        <f t="shared" si="3"/>
        <v>24.934</v>
      </c>
      <c r="L51" s="3">
        <v>0.137</v>
      </c>
      <c r="M51" s="141">
        <v>0.122</v>
      </c>
      <c r="N51" s="189">
        <v>0.183</v>
      </c>
      <c r="O51" s="60">
        <f t="shared" si="4"/>
        <v>0.153</v>
      </c>
      <c r="P51" s="63">
        <v>90.0</v>
      </c>
      <c r="Q51" s="58">
        <v>94.89</v>
      </c>
      <c r="R51" s="65">
        <v>3407.65</v>
      </c>
      <c r="S51" s="66">
        <f t="array" ref="S51">IF((XLOOKUP(D51,RUC!$B$3:$B$63,RUC!$E$3:$E$63)+ROUNDDOWN(O51,1)*100)&lt;95,95,((XLOOKUP(D51,RUC!$B$3:$B$63,RUC!$E$3:$E$63)+ROUNDDOWN(O51,1)*100)))</f>
        <v>100</v>
      </c>
      <c r="U51" s="67">
        <f t="array" ref="U51">XLOOKUP(D51,RUC!$B$3:$B$110,RUC!$F$3:$F$110)</f>
        <v>120</v>
      </c>
      <c r="V51" s="67">
        <v>1.1023</v>
      </c>
      <c r="Y51" s="199">
        <v>30.0</v>
      </c>
      <c r="Z51" s="69">
        <f t="array" ref="Z51">XLOOKUP(D51,RUC!$B$3:$B$110,RUC!$H$3:$H$110)</f>
        <v>30</v>
      </c>
      <c r="AA51" s="70">
        <f t="shared" si="5"/>
        <v>60</v>
      </c>
      <c r="AB51" s="71">
        <f t="shared" si="31"/>
        <v>322.6535771</v>
      </c>
      <c r="AC51" s="71">
        <f>+(S51-T51)*V51-'data 1'!$F$4</f>
        <v>30.23</v>
      </c>
      <c r="AD51" s="71">
        <f t="shared" si="6"/>
        <v>24.2781064</v>
      </c>
      <c r="AE51" s="71">
        <f t="shared" si="7"/>
        <v>-3.862</v>
      </c>
      <c r="AF51" s="71">
        <f t="shared" si="8"/>
        <v>-55.02066226</v>
      </c>
      <c r="AG51" s="72">
        <f t="shared" si="32"/>
        <v>12.62544415</v>
      </c>
      <c r="AH51" s="193">
        <f t="shared" si="9"/>
        <v>111.133</v>
      </c>
      <c r="AI51" s="193">
        <f t="shared" si="10"/>
        <v>117.117</v>
      </c>
      <c r="AJ51" s="73">
        <f t="shared" si="11"/>
        <v>22.26137978</v>
      </c>
      <c r="AK51" s="73">
        <f t="shared" si="12"/>
        <v>117.7158559</v>
      </c>
      <c r="AL51" s="11"/>
      <c r="AM51" s="51">
        <f t="shared" si="13"/>
        <v>8045.044292</v>
      </c>
      <c r="AN51" s="51" t="str">
        <f t="array" ref="AN51">XLOOKUP(D51,RUC!$B$3:$B$565,RUC!$M$3:$M$565)</f>
        <v>Richard Sapacayo</v>
      </c>
      <c r="AO51" s="131" t="s">
        <v>549</v>
      </c>
      <c r="AP51" s="57" t="s">
        <v>1244</v>
      </c>
      <c r="AQ51" s="57" t="s">
        <v>1245</v>
      </c>
    </row>
    <row r="52" ht="15.0" customHeight="1">
      <c r="A52" s="116" t="s">
        <v>1247</v>
      </c>
      <c r="B52" s="56">
        <v>45902.0</v>
      </c>
      <c r="C52" s="182">
        <v>45897.0</v>
      </c>
      <c r="D52" s="2" t="s">
        <v>306</v>
      </c>
      <c r="E52" s="3">
        <f t="array" ref="E52">XLOOKUP(D52,RUC!$B$3:$B$110,RUC!$D$3:$D$110)</f>
        <v>20612921866</v>
      </c>
      <c r="G52" s="141">
        <v>50.0</v>
      </c>
      <c r="H52" s="3" t="s">
        <v>47</v>
      </c>
      <c r="I52" s="6">
        <v>5.14</v>
      </c>
      <c r="J52" s="58">
        <v>2.0</v>
      </c>
      <c r="K52" s="59">
        <f t="shared" si="3"/>
        <v>5.037</v>
      </c>
      <c r="L52" s="60">
        <v>0.397</v>
      </c>
      <c r="M52" s="139">
        <v>0.377</v>
      </c>
      <c r="N52" s="435">
        <v>0.377</v>
      </c>
      <c r="O52" s="60">
        <f t="shared" si="4"/>
        <v>0.377</v>
      </c>
      <c r="P52" s="63">
        <v>90.0</v>
      </c>
      <c r="Q52" s="58">
        <v>97.73</v>
      </c>
      <c r="R52" s="65">
        <v>3407.65</v>
      </c>
      <c r="S52" s="66">
        <f t="array" ref="S52">IF((XLOOKUP(D52,RUC!$B$3:$B$63,RUC!$E$3:$E$63)+ROUNDDOWN(O52,1)*100)&lt;95,95,((XLOOKUP(D52,RUC!$B$3:$B$63,RUC!$E$3:$E$63)+ROUNDDOWN(O52,1)*100)))</f>
        <v>110</v>
      </c>
      <c r="U52" s="67">
        <f t="array" ref="U52">XLOOKUP(D52,RUC!$B$3:$B$110,RUC!$F$3:$F$110)</f>
        <v>100</v>
      </c>
      <c r="V52" s="67">
        <v>1.1023</v>
      </c>
      <c r="Y52" s="57" t="str">
        <f t="array" ref="Y52">XLOOKUP(D52,RUC!$B$3:$B$110,RUC!$G$3:$G$110)</f>
        <v/>
      </c>
      <c r="Z52" s="69">
        <f t="array" ref="Z52">XLOOKUP(D52,RUC!$B$3:$B$110,RUC!$H$3:$H$110)</f>
        <v>30</v>
      </c>
      <c r="AA52" s="70">
        <f t="shared" si="5"/>
        <v>30</v>
      </c>
      <c r="AB52" s="71">
        <f t="shared" si="31"/>
        <v>1082.773466</v>
      </c>
      <c r="AC52" s="71">
        <f>+(S52-T52)*V52-'data 1'!$F$4</f>
        <v>41.253</v>
      </c>
      <c r="AD52" s="71">
        <f t="shared" si="6"/>
        <v>111.889506</v>
      </c>
      <c r="AE52" s="71">
        <f t="shared" si="7"/>
        <v>-36.931</v>
      </c>
      <c r="AF52" s="71">
        <f t="shared" si="8"/>
        <v>71.26515764</v>
      </c>
      <c r="AG52" s="72">
        <f t="shared" si="32"/>
        <v>204.4766636</v>
      </c>
      <c r="AH52" s="193">
        <f t="shared" si="9"/>
        <v>67.004</v>
      </c>
      <c r="AI52" s="193">
        <f t="shared" si="10"/>
        <v>68.56</v>
      </c>
      <c r="AJ52" s="73">
        <f t="shared" si="11"/>
        <v>57.8863909</v>
      </c>
      <c r="AK52" s="73">
        <f t="shared" si="12"/>
        <v>58.59558302</v>
      </c>
      <c r="AL52" s="11"/>
      <c r="AM52" s="51">
        <f t="shared" si="13"/>
        <v>5453.929951</v>
      </c>
      <c r="AN52" s="51" t="str">
        <f t="array" ref="AN52">XLOOKUP(D52,RUC!$B$3:$B$565,RUC!$M$3:$M$565)</f>
        <v>Ronald Garibay</v>
      </c>
      <c r="AO52" s="131" t="s">
        <v>547</v>
      </c>
      <c r="AP52" s="57" t="s">
        <v>1248</v>
      </c>
      <c r="AQ52" s="57" t="s">
        <v>1249</v>
      </c>
    </row>
    <row r="53" ht="15.0" customHeight="1">
      <c r="A53" s="116" t="s">
        <v>1250</v>
      </c>
      <c r="B53" s="56">
        <v>45902.0</v>
      </c>
      <c r="C53" s="182">
        <v>45897.0</v>
      </c>
      <c r="D53" s="2" t="s">
        <v>306</v>
      </c>
      <c r="E53" s="3">
        <f t="array" ref="E53">XLOOKUP(D53,RUC!$B$3:$B$110,RUC!$D$3:$D$110)</f>
        <v>20612921866</v>
      </c>
      <c r="G53" s="141">
        <v>50.0</v>
      </c>
      <c r="H53" s="3" t="s">
        <v>47</v>
      </c>
      <c r="I53" s="6">
        <v>5.27</v>
      </c>
      <c r="J53" s="58">
        <v>2.1</v>
      </c>
      <c r="K53" s="59">
        <f t="shared" si="3"/>
        <v>5.159</v>
      </c>
      <c r="L53" s="60">
        <v>1.205</v>
      </c>
      <c r="M53" s="139">
        <v>1.361</v>
      </c>
      <c r="N53" s="435">
        <v>1.361</v>
      </c>
      <c r="O53" s="60">
        <f t="shared" si="4"/>
        <v>1.361</v>
      </c>
      <c r="P53" s="63">
        <v>90.0</v>
      </c>
      <c r="Q53" s="58">
        <v>95.6</v>
      </c>
      <c r="R53" s="65">
        <v>3407.65</v>
      </c>
      <c r="S53" s="66">
        <f t="array" ref="S53">IF((XLOOKUP(D53,RUC!$B$3:$B$63,RUC!$E$3:$E$63)+ROUNDDOWN(O53,1)*100)&lt;95,95,((XLOOKUP(D53,RUC!$B$3:$B$63,RUC!$E$3:$E$63)+ROUNDDOWN(O53,1)*100)))</f>
        <v>210</v>
      </c>
      <c r="U53" s="67">
        <f t="array" ref="U53">XLOOKUP(D53,RUC!$B$3:$B$110,RUC!$F$3:$F$110)</f>
        <v>100</v>
      </c>
      <c r="V53" s="67">
        <v>1.1023</v>
      </c>
      <c r="Y53" s="57" t="str">
        <f t="array" ref="Y53">XLOOKUP(D53,RUC!$B$3:$B$110,RUC!$G$3:$G$110)</f>
        <v/>
      </c>
      <c r="Z53" s="69">
        <f t="array" ref="Z53">XLOOKUP(D53,RUC!$B$3:$B$110,RUC!$H$3:$H$110)</f>
        <v>30</v>
      </c>
      <c r="AA53" s="70">
        <f t="shared" si="5"/>
        <v>30</v>
      </c>
      <c r="AB53" s="71">
        <f t="shared" si="31"/>
        <v>4201.461077</v>
      </c>
      <c r="AC53" s="71">
        <f>+(S53-T53)*V53-'data 1'!$F$4</f>
        <v>151.483</v>
      </c>
      <c r="AD53" s="71">
        <f t="shared" si="6"/>
        <v>246.0336047</v>
      </c>
      <c r="AE53" s="71">
        <f t="shared" si="7"/>
        <v>-36.931</v>
      </c>
      <c r="AF53" s="71">
        <f t="shared" si="8"/>
        <v>-543.7532257</v>
      </c>
      <c r="AG53" s="72">
        <f t="shared" si="32"/>
        <v>-166.167621</v>
      </c>
      <c r="AH53" s="193">
        <f t="shared" si="9"/>
        <v>203.76</v>
      </c>
      <c r="AI53" s="193">
        <f t="shared" si="10"/>
        <v>213.138</v>
      </c>
      <c r="AJ53" s="73">
        <f t="shared" si="11"/>
        <v>171.8711594</v>
      </c>
      <c r="AK53" s="73">
        <f t="shared" si="12"/>
        <v>216.6582504</v>
      </c>
      <c r="AL53" s="11"/>
      <c r="AM53" s="51">
        <f t="shared" si="13"/>
        <v>21675.33769</v>
      </c>
      <c r="AN53" s="51" t="str">
        <f t="array" ref="AN53">XLOOKUP(D53,RUC!$B$3:$B$565,RUC!$M$3:$M$565)</f>
        <v>Ronald Garibay</v>
      </c>
      <c r="AO53" s="131" t="s">
        <v>547</v>
      </c>
      <c r="AP53" s="57" t="s">
        <v>1248</v>
      </c>
      <c r="AQ53" s="57" t="s">
        <v>1249</v>
      </c>
    </row>
    <row r="54" ht="15.0" customHeight="1">
      <c r="A54" s="116" t="s">
        <v>1251</v>
      </c>
      <c r="B54" s="56">
        <v>45904.0</v>
      </c>
      <c r="C54" s="182">
        <v>45898.0</v>
      </c>
      <c r="D54" s="2" t="s">
        <v>665</v>
      </c>
      <c r="E54" s="3">
        <f t="array" ref="E54">XLOOKUP(D54,RUC!$B$3:$B$110,RUC!$D$3:$D$110)</f>
        <v>20608774000</v>
      </c>
      <c r="G54" s="141">
        <v>11.0</v>
      </c>
      <c r="H54" s="3" t="s">
        <v>47</v>
      </c>
      <c r="I54" s="6">
        <v>0.94</v>
      </c>
      <c r="J54" s="58">
        <v>1.2</v>
      </c>
      <c r="K54" s="59">
        <f t="shared" si="3"/>
        <v>0.929</v>
      </c>
      <c r="L54" s="60">
        <v>0.34</v>
      </c>
      <c r="M54" s="139">
        <v>0.323</v>
      </c>
      <c r="N54" s="435">
        <v>0.323</v>
      </c>
      <c r="O54" s="60">
        <f t="shared" si="4"/>
        <v>0.323</v>
      </c>
      <c r="P54" s="63">
        <v>90.0</v>
      </c>
      <c r="Q54" s="58">
        <v>92.65</v>
      </c>
      <c r="R54" s="65">
        <v>3429.15</v>
      </c>
      <c r="S54" s="66">
        <f t="array" ref="S54">IF((XLOOKUP(D54,RUC!$B$3:$B$63,RUC!$E$3:$E$63)+ROUNDDOWN(O54,1)*100)&lt;95,95,((XLOOKUP(D54,RUC!$B$3:$B$63,RUC!$E$3:$E$63)+ROUNDDOWN(O54,1)*100)))</f>
        <v>115</v>
      </c>
      <c r="U54" s="67">
        <f t="array" ref="U54">XLOOKUP(D54,RUC!$B$3:$B$110,RUC!$F$3:$F$110)</f>
        <v>120</v>
      </c>
      <c r="V54" s="67">
        <v>1.1023</v>
      </c>
      <c r="Y54" s="57">
        <f t="array" ref="Y54">XLOOKUP(D54,RUC!$B$3:$B$110,RUC!$G$3:$G$110)</f>
        <v>20</v>
      </c>
      <c r="Z54" s="77">
        <v>35.0</v>
      </c>
      <c r="AA54" s="70">
        <f t="shared" si="5"/>
        <v>55</v>
      </c>
      <c r="AB54" s="71">
        <f t="shared" si="31"/>
        <v>872.9884263</v>
      </c>
      <c r="AC54" s="71">
        <f>+(S54-T54)*V54-'data 1'!$F$4</f>
        <v>46.7645</v>
      </c>
      <c r="AD54" s="71">
        <f t="shared" si="6"/>
        <v>32.86556117</v>
      </c>
      <c r="AE54" s="71">
        <f t="shared" si="7"/>
        <v>-9.3735</v>
      </c>
      <c r="AF54" s="71">
        <f t="shared" si="8"/>
        <v>57.45272155</v>
      </c>
      <c r="AG54" s="72">
        <f t="shared" si="32"/>
        <v>144.7092827</v>
      </c>
      <c r="AH54" s="193">
        <f t="shared" si="9"/>
        <v>10.033</v>
      </c>
      <c r="AI54" s="193">
        <f t="shared" si="10"/>
        <v>10.829</v>
      </c>
      <c r="AJ54" s="73">
        <f t="shared" si="11"/>
        <v>46.47747475</v>
      </c>
      <c r="AK54" s="73">
        <f t="shared" si="12"/>
        <v>9.259122182</v>
      </c>
      <c r="AL54" s="11"/>
      <c r="AM54" s="51">
        <f t="shared" si="13"/>
        <v>811.006248</v>
      </c>
      <c r="AN54" s="51" t="str">
        <f t="array" ref="AN54">XLOOKUP(D54,RUC!$B$3:$B$565,RUC!$M$3:$M$565)</f>
        <v>Ronald Miranda</v>
      </c>
      <c r="AO54" s="131" t="s">
        <v>547</v>
      </c>
      <c r="AP54" s="57" t="s">
        <v>1252</v>
      </c>
      <c r="AQ54" s="57" t="s">
        <v>1253</v>
      </c>
    </row>
    <row r="55" ht="15.0" customHeight="1">
      <c r="A55" s="116" t="s">
        <v>1254</v>
      </c>
      <c r="B55" s="56">
        <v>45903.0</v>
      </c>
      <c r="C55" s="182">
        <v>45898.0</v>
      </c>
      <c r="D55" s="57" t="s">
        <v>602</v>
      </c>
      <c r="E55" s="3">
        <f t="array" ref="E55">XLOOKUP(D55,RUC!$B$3:$B$110,RUC!$D$3:$D$110)</f>
        <v>20169040231</v>
      </c>
      <c r="G55" s="141">
        <v>56.0</v>
      </c>
      <c r="H55" s="3" t="s">
        <v>47</v>
      </c>
      <c r="I55" s="6">
        <v>5.33</v>
      </c>
      <c r="J55" s="58">
        <v>3.35</v>
      </c>
      <c r="K55" s="59">
        <f t="shared" si="3"/>
        <v>5.151</v>
      </c>
      <c r="L55" s="60">
        <v>0.25</v>
      </c>
      <c r="M55" s="139">
        <v>0.235</v>
      </c>
      <c r="N55" s="435">
        <v>0.235</v>
      </c>
      <c r="O55" s="60">
        <f t="shared" si="4"/>
        <v>0.235</v>
      </c>
      <c r="P55" s="63">
        <v>90.0</v>
      </c>
      <c r="Q55" s="58">
        <v>94.0</v>
      </c>
      <c r="R55" s="65">
        <v>3429.15</v>
      </c>
      <c r="S55" s="66">
        <f t="array" ref="S55">IF((XLOOKUP(D55,RUC!$B$3:$B$63,RUC!$E$3:$E$63)+ROUNDDOWN(O55,1)*100)&lt;95,95,((XLOOKUP(D55,RUC!$B$3:$B$63,RUC!$E$3:$E$63)+ROUNDDOWN(O55,1)*100)))</f>
        <v>105</v>
      </c>
      <c r="U55" s="67">
        <f t="array" ref="U55">XLOOKUP(D55,RUC!$B$3:$B$110,RUC!$F$3:$F$110)</f>
        <v>120</v>
      </c>
      <c r="V55" s="67">
        <v>1.1023</v>
      </c>
      <c r="Y55" s="57">
        <f t="array" ref="Y55">XLOOKUP(D55,RUC!$B$3:$B$110,RUC!$G$3:$G$110)</f>
        <v>20</v>
      </c>
      <c r="Z55" s="69">
        <f t="array" ref="Z55">XLOOKUP(D55,RUC!$B$3:$B$110,RUC!$H$3:$H$110)</f>
        <v>30</v>
      </c>
      <c r="AA55" s="70">
        <f t="shared" si="5"/>
        <v>50</v>
      </c>
      <c r="AB55" s="71">
        <f t="shared" si="31"/>
        <v>600.6269835</v>
      </c>
      <c r="AC55" s="71">
        <f>+(S55-T55)*V55-'data 1'!$F$4</f>
        <v>35.7415</v>
      </c>
      <c r="AD55" s="71">
        <f t="shared" si="6"/>
        <v>36.47676045</v>
      </c>
      <c r="AE55" s="71">
        <f t="shared" si="7"/>
        <v>-14.885</v>
      </c>
      <c r="AF55" s="71">
        <f t="shared" si="8"/>
        <v>51.43223223</v>
      </c>
      <c r="AG55" s="72">
        <f t="shared" si="32"/>
        <v>125.7654927</v>
      </c>
      <c r="AH55" s="193">
        <f t="shared" si="9"/>
        <v>41.502</v>
      </c>
      <c r="AI55" s="193">
        <f t="shared" si="10"/>
        <v>44.151</v>
      </c>
      <c r="AJ55" s="73">
        <f t="shared" si="11"/>
        <v>34.67257093</v>
      </c>
      <c r="AK55" s="73">
        <f t="shared" si="12"/>
        <v>37.35175316</v>
      </c>
      <c r="AL55" s="11"/>
      <c r="AM55" s="51">
        <f t="shared" si="13"/>
        <v>3093.829592</v>
      </c>
      <c r="AN55" s="51" t="str">
        <f t="array" ref="AN55">XLOOKUP(D55,RUC!$B$3:$B$565,RUC!$M$3:$M$565)</f>
        <v>Ronald Miranda</v>
      </c>
      <c r="AO55" s="131" t="s">
        <v>551</v>
      </c>
      <c r="AP55" s="57" t="s">
        <v>1255</v>
      </c>
      <c r="AQ55" s="57" t="s">
        <v>1256</v>
      </c>
    </row>
    <row r="56" ht="15.0" customHeight="1">
      <c r="A56" s="116" t="s">
        <v>1257</v>
      </c>
      <c r="B56" s="56">
        <v>45912.0</v>
      </c>
      <c r="C56" s="182">
        <v>45898.0</v>
      </c>
      <c r="D56" s="57" t="s">
        <v>602</v>
      </c>
      <c r="E56" s="3">
        <f t="array" ref="E56">XLOOKUP(D56,RUC!$B$3:$B$110,RUC!$D$3:$D$110)</f>
        <v>20169040231</v>
      </c>
      <c r="G56" s="141">
        <v>14.0</v>
      </c>
      <c r="H56" s="3" t="s">
        <v>47</v>
      </c>
      <c r="I56" s="6">
        <v>1.08</v>
      </c>
      <c r="J56" s="58">
        <v>1.1</v>
      </c>
      <c r="K56" s="59">
        <f t="shared" si="3"/>
        <v>1.068</v>
      </c>
      <c r="L56" s="60">
        <v>0.283</v>
      </c>
      <c r="M56" s="60">
        <v>0.268</v>
      </c>
      <c r="N56" s="62">
        <v>0.268</v>
      </c>
      <c r="O56" s="60">
        <f t="shared" si="4"/>
        <v>0.268</v>
      </c>
      <c r="P56" s="63">
        <v>82.0</v>
      </c>
      <c r="Q56" s="58">
        <v>82.69</v>
      </c>
      <c r="R56" s="65">
        <v>3429.15</v>
      </c>
      <c r="S56" s="66">
        <f t="array" ref="S56">IF((XLOOKUP(D56,RUC!$B$3:$B$63,RUC!$E$3:$E$63)+ROUNDDOWN(O56,1)*100)&lt;95,95,((XLOOKUP(D56,RUC!$B$3:$B$63,RUC!$E$3:$E$63)+ROUNDDOWN(O56,1)*100)))</f>
        <v>105</v>
      </c>
      <c r="U56" s="67">
        <f t="array" ref="U56">XLOOKUP(D56,RUC!$B$3:$B$110,RUC!$F$3:$F$110)</f>
        <v>120</v>
      </c>
      <c r="V56" s="67">
        <v>1.1023</v>
      </c>
      <c r="Y56" s="57">
        <f t="array" ref="Y56">XLOOKUP(D56,RUC!$B$3:$B$110,RUC!$G$3:$G$110)</f>
        <v>20</v>
      </c>
      <c r="Z56" s="77">
        <v>35.0</v>
      </c>
      <c r="AA56" s="70">
        <f t="shared" si="5"/>
        <v>55</v>
      </c>
      <c r="AB56" s="71">
        <f t="shared" si="31"/>
        <v>625.2452876</v>
      </c>
      <c r="AC56" s="71">
        <f>+(S56-T56)*V56-'data 1'!$F$4</f>
        <v>35.7415</v>
      </c>
      <c r="AD56" s="71">
        <f t="shared" si="6"/>
        <v>7.122817013</v>
      </c>
      <c r="AE56" s="71">
        <f t="shared" si="7"/>
        <v>-9.3735</v>
      </c>
      <c r="AF56" s="71">
        <f t="shared" si="8"/>
        <v>45.24394982</v>
      </c>
      <c r="AG56" s="72">
        <f t="shared" si="32"/>
        <v>95.73476684</v>
      </c>
      <c r="AH56" s="193">
        <f t="shared" si="9"/>
        <v>8.569</v>
      </c>
      <c r="AI56" s="193">
        <f t="shared" si="10"/>
        <v>10.363</v>
      </c>
      <c r="AJ56" s="73">
        <f t="shared" si="11"/>
        <v>34.52690186</v>
      </c>
      <c r="AK56" s="73">
        <f t="shared" si="12"/>
        <v>8.046906746</v>
      </c>
      <c r="AL56" s="11"/>
      <c r="AM56" s="51">
        <f t="shared" si="13"/>
        <v>667.7619672</v>
      </c>
      <c r="AN56" s="51" t="str">
        <f t="array" ref="AN56">XLOOKUP(D56,RUC!$B$3:$B$565,RUC!$M$3:$M$565)</f>
        <v>Ronald Miranda</v>
      </c>
      <c r="AO56" s="131" t="s">
        <v>561</v>
      </c>
      <c r="AP56" s="57" t="s">
        <v>1255</v>
      </c>
      <c r="AQ56" s="57" t="s">
        <v>1256</v>
      </c>
    </row>
    <row r="57" ht="15.0" customHeight="1">
      <c r="A57" s="116" t="s">
        <v>1258</v>
      </c>
      <c r="B57" s="56">
        <v>45903.0</v>
      </c>
      <c r="C57" s="182">
        <v>45898.0</v>
      </c>
      <c r="D57" s="57" t="s">
        <v>602</v>
      </c>
      <c r="E57" s="3">
        <f t="array" ref="E57">XLOOKUP(D57,RUC!$B$3:$B$110,RUC!$D$3:$D$110)</f>
        <v>20169040231</v>
      </c>
      <c r="G57" s="141">
        <v>25.0</v>
      </c>
      <c r="H57" s="3" t="s">
        <v>47</v>
      </c>
      <c r="I57" s="6">
        <v>2.23</v>
      </c>
      <c r="J57" s="58">
        <v>1.2</v>
      </c>
      <c r="K57" s="6">
        <f t="shared" si="3"/>
        <v>2.203</v>
      </c>
      <c r="L57" s="60">
        <v>0.214</v>
      </c>
      <c r="M57" s="60">
        <v>0.199</v>
      </c>
      <c r="N57" s="62">
        <v>0.199</v>
      </c>
      <c r="O57" s="60">
        <f t="shared" si="4"/>
        <v>0.199</v>
      </c>
      <c r="P57" s="63">
        <v>83.0</v>
      </c>
      <c r="Q57" s="58">
        <v>83.09</v>
      </c>
      <c r="R57" s="65">
        <v>3429.15</v>
      </c>
      <c r="S57" s="66">
        <f t="array" ref="S57">IF((XLOOKUP(D57,RUC!$B$3:$B$63,RUC!$E$3:$E$63)+ROUNDDOWN(O57,1)*100)&lt;95,95,((XLOOKUP(D57,RUC!$B$3:$B$63,RUC!$E$3:$E$63)+ROUNDDOWN(O57,1)*100)))</f>
        <v>95</v>
      </c>
      <c r="U57" s="67">
        <f t="array" ref="U57">XLOOKUP(D57,RUC!$B$3:$B$110,RUC!$F$3:$F$110)</f>
        <v>120</v>
      </c>
      <c r="V57" s="67">
        <v>1.1023</v>
      </c>
      <c r="Y57" s="57">
        <f t="array" ref="Y57">XLOOKUP(D57,RUC!$B$3:$B$110,RUC!$G$3:$G$110)</f>
        <v>20</v>
      </c>
      <c r="Z57" s="69">
        <f t="array" ref="Z57">XLOOKUP(D57,RUC!$B$3:$B$110,RUC!$H$3:$H$110)</f>
        <v>30</v>
      </c>
      <c r="AA57" s="70">
        <f t="shared" si="5"/>
        <v>50</v>
      </c>
      <c r="AB57" s="71">
        <f t="shared" si="31"/>
        <v>442.6531524</v>
      </c>
      <c r="AC57" s="71">
        <f>+(S57-T57)*V57-'data 1'!$F$4</f>
        <v>24.7185</v>
      </c>
      <c r="AD57" s="71">
        <f t="shared" si="6"/>
        <v>0.7025424063</v>
      </c>
      <c r="AE57" s="71">
        <f t="shared" si="7"/>
        <v>-14.885</v>
      </c>
      <c r="AF57" s="71">
        <f t="shared" si="8"/>
        <v>45.46281039</v>
      </c>
      <c r="AG57" s="72">
        <f t="shared" si="32"/>
        <v>72.99885279</v>
      </c>
      <c r="AH57" s="193">
        <f t="shared" si="9"/>
        <v>13.43</v>
      </c>
      <c r="AI57" s="193">
        <f t="shared" si="10"/>
        <v>16.164</v>
      </c>
      <c r="AJ57" s="73">
        <f t="shared" si="11"/>
        <v>26.23497866</v>
      </c>
      <c r="AK57" s="73">
        <f t="shared" si="12"/>
        <v>12.47540735</v>
      </c>
      <c r="AL57" s="11"/>
      <c r="AM57" s="51">
        <f t="shared" si="13"/>
        <v>975.1648946</v>
      </c>
      <c r="AN57" s="51" t="str">
        <f t="array" ref="AN57">XLOOKUP(D57,RUC!$B$3:$B$565,RUC!$M$3:$M$565)</f>
        <v>Ronald Miranda</v>
      </c>
      <c r="AO57" s="131" t="s">
        <v>561</v>
      </c>
      <c r="AP57" s="57" t="s">
        <v>1255</v>
      </c>
      <c r="AQ57" s="57" t="s">
        <v>1256</v>
      </c>
    </row>
    <row r="58" ht="15.0" customHeight="1">
      <c r="A58" s="116" t="s">
        <v>1259</v>
      </c>
      <c r="B58" s="56">
        <v>45910.0</v>
      </c>
      <c r="C58" s="182">
        <v>45898.0</v>
      </c>
      <c r="D58" s="57" t="s">
        <v>602</v>
      </c>
      <c r="E58" s="3">
        <f t="array" ref="E58">XLOOKUP(D58,RUC!$B$3:$B$110,RUC!$D$3:$D$110)</f>
        <v>20169040231</v>
      </c>
      <c r="G58" s="141">
        <v>35.0</v>
      </c>
      <c r="H58" s="3" t="s">
        <v>47</v>
      </c>
      <c r="I58" s="6">
        <v>3.16</v>
      </c>
      <c r="J58" s="58">
        <v>1.1</v>
      </c>
      <c r="K58" s="59">
        <f t="shared" si="3"/>
        <v>3.125</v>
      </c>
      <c r="L58" s="60">
        <v>0.436</v>
      </c>
      <c r="M58" s="60">
        <v>0.414</v>
      </c>
      <c r="N58" s="62">
        <v>0.414</v>
      </c>
      <c r="O58" s="60">
        <f t="shared" si="4"/>
        <v>0.414</v>
      </c>
      <c r="P58" s="63">
        <v>90.0</v>
      </c>
      <c r="Q58" s="58">
        <v>92.89</v>
      </c>
      <c r="R58" s="65">
        <v>3429.15</v>
      </c>
      <c r="S58" s="66">
        <f t="array" ref="S58">IF((XLOOKUP(D58,RUC!$B$3:$B$63,RUC!$E$3:$E$63)+ROUNDDOWN(O58,1)*100)&lt;95,95,((XLOOKUP(D58,RUC!$B$3:$B$63,RUC!$E$3:$E$63)+ROUNDDOWN(O58,1)*100)))</f>
        <v>125</v>
      </c>
      <c r="U58" s="67">
        <f t="array" ref="U58">XLOOKUP(D58,RUC!$B$3:$B$110,RUC!$F$3:$F$110)</f>
        <v>120</v>
      </c>
      <c r="V58" s="67">
        <v>1.1023</v>
      </c>
      <c r="Y58" s="57">
        <f t="array" ref="Y58">XLOOKUP(D58,RUC!$B$3:$B$110,RUC!$G$3:$G$110)</f>
        <v>20</v>
      </c>
      <c r="Z58" s="77">
        <v>35.0</v>
      </c>
      <c r="AA58" s="70">
        <f t="shared" si="5"/>
        <v>55</v>
      </c>
      <c r="AB58" s="71">
        <f t="shared" si="31"/>
        <v>1160.710094</v>
      </c>
      <c r="AC58" s="71">
        <f>+(S58-T58)*V58-'data 1'!$F$4</f>
        <v>57.7875</v>
      </c>
      <c r="AD58" s="71">
        <f t="shared" si="6"/>
        <v>45.96217724</v>
      </c>
      <c r="AE58" s="71">
        <f t="shared" si="7"/>
        <v>-9.3735</v>
      </c>
      <c r="AF58" s="71">
        <f t="shared" si="8"/>
        <v>74.54317812</v>
      </c>
      <c r="AG58" s="72">
        <f t="shared" si="32"/>
        <v>185.9193554</v>
      </c>
      <c r="AH58" s="193">
        <f t="shared" si="9"/>
        <v>43.392</v>
      </c>
      <c r="AI58" s="193">
        <f t="shared" si="10"/>
        <v>46.714</v>
      </c>
      <c r="AJ58" s="73">
        <f t="shared" si="11"/>
        <v>59.75491529</v>
      </c>
      <c r="AK58" s="73">
        <f t="shared" si="12"/>
        <v>39.92104871</v>
      </c>
      <c r="AL58" s="11"/>
      <c r="AM58" s="51">
        <f t="shared" si="13"/>
        <v>3627.219045</v>
      </c>
      <c r="AN58" s="51" t="str">
        <f t="array" ref="AN58">XLOOKUP(D58,RUC!$B$3:$B$565,RUC!$M$3:$M$565)</f>
        <v>Ronald Miranda</v>
      </c>
      <c r="AO58" s="131" t="s">
        <v>547</v>
      </c>
      <c r="AP58" s="57" t="s">
        <v>1255</v>
      </c>
      <c r="AQ58" s="57" t="s">
        <v>1256</v>
      </c>
      <c r="AR58" s="57" t="s">
        <v>1260</v>
      </c>
    </row>
    <row r="59" ht="15.0" customHeight="1">
      <c r="A59" s="116" t="s">
        <v>1261</v>
      </c>
      <c r="B59" s="56">
        <v>45904.0</v>
      </c>
      <c r="C59" s="182">
        <v>45898.0</v>
      </c>
      <c r="D59" s="57" t="s">
        <v>602</v>
      </c>
      <c r="E59" s="3">
        <f t="array" ref="E59">XLOOKUP(D59,RUC!$B$3:$B$110,RUC!$D$3:$D$110)</f>
        <v>20169040231</v>
      </c>
      <c r="G59" s="141">
        <v>50.0</v>
      </c>
      <c r="H59" s="3" t="s">
        <v>47</v>
      </c>
      <c r="I59" s="6">
        <v>4.85</v>
      </c>
      <c r="J59" s="58">
        <v>3.4</v>
      </c>
      <c r="K59" s="59">
        <f t="shared" si="3"/>
        <v>4.685</v>
      </c>
      <c r="L59" s="60">
        <v>0.127</v>
      </c>
      <c r="M59" s="60">
        <v>0.112</v>
      </c>
      <c r="N59" s="62">
        <v>0.112</v>
      </c>
      <c r="O59" s="60">
        <f t="shared" si="4"/>
        <v>0.112</v>
      </c>
      <c r="P59" s="63">
        <v>80.0</v>
      </c>
      <c r="Q59" s="58">
        <v>89.76</v>
      </c>
      <c r="R59" s="65">
        <v>3429.15</v>
      </c>
      <c r="S59" s="66">
        <f t="array" ref="S59">IF((XLOOKUP(D59,RUC!$B$3:$B$63,RUC!$E$3:$E$63)+ROUNDDOWN(O59,1)*100)&lt;95,95,((XLOOKUP(D59,RUC!$B$3:$B$63,RUC!$E$3:$E$63)+ROUNDDOWN(O59,1)*100)))</f>
        <v>95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69">
        <f t="array" ref="Z59">XLOOKUP(D59,RUC!$B$3:$B$110,RUC!$H$3:$H$110)</f>
        <v>30</v>
      </c>
      <c r="AA59" s="70">
        <f t="shared" si="5"/>
        <v>50</v>
      </c>
      <c r="AB59" s="71">
        <f t="shared" si="31"/>
        <v>166.9982736</v>
      </c>
      <c r="AC59" s="71">
        <f>+(S59-T59)*V59-'data 1'!$F$4</f>
        <v>24.7185</v>
      </c>
      <c r="AD59" s="71">
        <f t="shared" si="6"/>
        <v>45.21367411</v>
      </c>
      <c r="AE59" s="71">
        <f t="shared" si="7"/>
        <v>-14.885</v>
      </c>
      <c r="AF59" s="71">
        <f t="shared" si="8"/>
        <v>49.11231027</v>
      </c>
      <c r="AG59" s="72">
        <f t="shared" si="32"/>
        <v>121.1594844</v>
      </c>
      <c r="AH59" s="193">
        <f t="shared" si="9"/>
        <v>18.311</v>
      </c>
      <c r="AI59" s="193">
        <f t="shared" si="10"/>
        <v>20.4</v>
      </c>
      <c r="AJ59" s="73">
        <f t="shared" si="11"/>
        <v>16.81917726</v>
      </c>
      <c r="AK59" s="73">
        <f t="shared" si="12"/>
        <v>14.39218305</v>
      </c>
      <c r="AL59" s="11"/>
      <c r="AM59" s="51">
        <f t="shared" si="13"/>
        <v>782.386912</v>
      </c>
      <c r="AN59" s="51" t="str">
        <f t="array" ref="AN59">XLOOKUP(D59,RUC!$B$3:$B$565,RUC!$M$3:$M$565)</f>
        <v>Ronald Miranda</v>
      </c>
      <c r="AO59" s="131" t="s">
        <v>547</v>
      </c>
      <c r="AP59" s="57" t="s">
        <v>1255</v>
      </c>
      <c r="AQ59" s="57" t="s">
        <v>1256</v>
      </c>
    </row>
    <row r="60" ht="15.0" customHeight="1">
      <c r="A60" s="116" t="s">
        <v>1262</v>
      </c>
      <c r="B60" s="56">
        <v>45904.0</v>
      </c>
      <c r="C60" s="182">
        <v>45898.0</v>
      </c>
      <c r="D60" s="57" t="s">
        <v>602</v>
      </c>
      <c r="E60" s="3">
        <f t="array" ref="E60">XLOOKUP(D60,RUC!$B$3:$B$110,RUC!$D$3:$D$110)</f>
        <v>20169040231</v>
      </c>
      <c r="G60" s="141">
        <v>51.0</v>
      </c>
      <c r="H60" s="3" t="s">
        <v>47</v>
      </c>
      <c r="I60" s="6">
        <v>4.51</v>
      </c>
      <c r="J60" s="58">
        <v>1.4</v>
      </c>
      <c r="K60" s="59">
        <f t="shared" si="3"/>
        <v>4.447</v>
      </c>
      <c r="L60" s="60">
        <v>0.137</v>
      </c>
      <c r="M60" s="60">
        <v>0.122</v>
      </c>
      <c r="N60" s="62">
        <v>0.122</v>
      </c>
      <c r="O60" s="60">
        <f t="shared" si="4"/>
        <v>0.122</v>
      </c>
      <c r="P60" s="63">
        <v>85.0</v>
      </c>
      <c r="Q60" s="58">
        <v>91.97</v>
      </c>
      <c r="R60" s="65">
        <v>3429.15</v>
      </c>
      <c r="S60" s="66">
        <f t="array" ref="S60">IF((XLOOKUP(D60,RUC!$B$3:$B$63,RUC!$E$3:$E$63)+ROUNDDOWN(O60,1)*100)&lt;95,95,((XLOOKUP(D60,RUC!$B$3:$B$63,RUC!$E$3:$E$63)+ROUNDDOWN(O60,1)*100)))</f>
        <v>95</v>
      </c>
      <c r="U60" s="67">
        <f t="array" ref="U60">XLOOKUP(D60,RUC!$B$3:$B$110,RUC!$F$3:$F$110)</f>
        <v>120</v>
      </c>
      <c r="V60" s="67">
        <v>1.1023</v>
      </c>
      <c r="Y60" s="57">
        <f t="array" ref="Y60">XLOOKUP(D60,RUC!$B$3:$B$110,RUC!$G$3:$G$110)</f>
        <v>20</v>
      </c>
      <c r="Z60" s="69">
        <f t="array" ref="Z60">XLOOKUP(D60,RUC!$B$3:$B$110,RUC!$H$3:$H$110)</f>
        <v>30</v>
      </c>
      <c r="AA60" s="70">
        <f t="shared" si="5"/>
        <v>50</v>
      </c>
      <c r="AB60" s="71">
        <f t="shared" si="31"/>
        <v>218.4305059</v>
      </c>
      <c r="AC60" s="71">
        <f>+(S60-T60)*V60-'data 1'!$F$4</f>
        <v>24.7185</v>
      </c>
      <c r="AD60" s="71">
        <f t="shared" si="6"/>
        <v>34.83129379</v>
      </c>
      <c r="AE60" s="71">
        <f t="shared" si="7"/>
        <v>-14.885</v>
      </c>
      <c r="AF60" s="71">
        <f t="shared" si="8"/>
        <v>50.32151488</v>
      </c>
      <c r="AG60" s="72">
        <f t="shared" si="32"/>
        <v>111.9863087</v>
      </c>
      <c r="AH60" s="193">
        <f t="shared" si="9"/>
        <v>19.211</v>
      </c>
      <c r="AI60" s="193">
        <f t="shared" si="10"/>
        <v>20.888</v>
      </c>
      <c r="AJ60" s="73">
        <f t="shared" si="11"/>
        <v>18.59023743</v>
      </c>
      <c r="AK60" s="73">
        <f t="shared" si="12"/>
        <v>15.81084041</v>
      </c>
      <c r="AL60" s="11"/>
      <c r="AM60" s="51">
        <f t="shared" si="13"/>
        <v>971.3604596</v>
      </c>
      <c r="AN60" s="51" t="str">
        <f t="array" ref="AN60">XLOOKUP(D60,RUC!$B$3:$B$565,RUC!$M$3:$M$565)</f>
        <v>Ronald Miranda</v>
      </c>
      <c r="AO60" s="131" t="s">
        <v>549</v>
      </c>
      <c r="AP60" s="57" t="s">
        <v>1255</v>
      </c>
      <c r="AQ60" s="57" t="s">
        <v>1256</v>
      </c>
    </row>
    <row r="61" ht="15.0" customHeight="1">
      <c r="A61" s="116" t="s">
        <v>1263</v>
      </c>
      <c r="B61" s="56">
        <v>45904.0</v>
      </c>
      <c r="C61" s="182">
        <v>45898.0</v>
      </c>
      <c r="D61" s="57" t="s">
        <v>602</v>
      </c>
      <c r="E61" s="3">
        <f t="array" ref="E61">XLOOKUP(D61,RUC!$B$3:$B$110,RUC!$D$3:$D$110)</f>
        <v>20169040231</v>
      </c>
      <c r="G61" s="141">
        <v>50.0</v>
      </c>
      <c r="H61" s="3" t="s">
        <v>47</v>
      </c>
      <c r="I61" s="6">
        <v>4.61</v>
      </c>
      <c r="J61" s="58">
        <v>1.3</v>
      </c>
      <c r="K61" s="59">
        <f t="shared" si="3"/>
        <v>4.55</v>
      </c>
      <c r="L61" s="60">
        <v>0.175</v>
      </c>
      <c r="M61" s="60">
        <v>0.16</v>
      </c>
      <c r="N61" s="62">
        <v>0.16</v>
      </c>
      <c r="O61" s="60">
        <f t="shared" si="4"/>
        <v>0.16</v>
      </c>
      <c r="P61" s="63">
        <v>90.0</v>
      </c>
      <c r="Q61" s="58">
        <v>91.43</v>
      </c>
      <c r="R61" s="65">
        <v>3429.15</v>
      </c>
      <c r="S61" s="66">
        <f t="array" ref="S61">IF((XLOOKUP(D61,RUC!$B$3:$B$63,RUC!$E$3:$E$63)+ROUNDDOWN(O61,1)*100)&lt;95,95,((XLOOKUP(D61,RUC!$B$3:$B$63,RUC!$E$3:$E$63)+ROUNDDOWN(O61,1)*100)))</f>
        <v>95</v>
      </c>
      <c r="U61" s="67">
        <f t="array" ref="U61">XLOOKUP(D61,RUC!$B$3:$B$110,RUC!$F$3:$F$110)</f>
        <v>120</v>
      </c>
      <c r="V61" s="67">
        <v>1.1023</v>
      </c>
      <c r="Y61" s="57">
        <f t="array" ref="Y61">XLOOKUP(D61,RUC!$B$3:$B$110,RUC!$G$3:$G$110)</f>
        <v>20</v>
      </c>
      <c r="Z61" s="69">
        <f t="array" ref="Z61">XLOOKUP(D61,RUC!$B$3:$B$110,RUC!$H$3:$H$110)</f>
        <v>30</v>
      </c>
      <c r="AA61" s="70">
        <f t="shared" si="5"/>
        <v>50</v>
      </c>
      <c r="AB61" s="71">
        <f t="shared" si="31"/>
        <v>365.4318505</v>
      </c>
      <c r="AC61" s="71">
        <f>+(S61-T61)*V61-'data 1'!$F$4</f>
        <v>24.7185</v>
      </c>
      <c r="AD61" s="71">
        <f t="shared" si="6"/>
        <v>9.128309303</v>
      </c>
      <c r="AE61" s="71">
        <f t="shared" si="7"/>
        <v>-14.885</v>
      </c>
      <c r="AF61" s="71">
        <f t="shared" si="8"/>
        <v>50.02605312</v>
      </c>
      <c r="AG61" s="72">
        <f t="shared" si="32"/>
        <v>85.98786242</v>
      </c>
      <c r="AH61" s="193">
        <f t="shared" si="9"/>
        <v>24.96</v>
      </c>
      <c r="AI61" s="193">
        <f t="shared" si="10"/>
        <v>27.3</v>
      </c>
      <c r="AJ61" s="73">
        <f t="shared" si="11"/>
        <v>23.60722566</v>
      </c>
      <c r="AK61" s="73">
        <f t="shared" si="12"/>
        <v>22.46378625</v>
      </c>
      <c r="AL61" s="11"/>
      <c r="AM61" s="51">
        <f t="shared" si="13"/>
        <v>1662.71492</v>
      </c>
      <c r="AN61" s="51" t="str">
        <f t="array" ref="AN61">XLOOKUP(D61,RUC!$B$3:$B$565,RUC!$M$3:$M$565)</f>
        <v>Ronald Miranda</v>
      </c>
      <c r="AO61" s="131" t="s">
        <v>551</v>
      </c>
      <c r="AP61" s="57" t="s">
        <v>1255</v>
      </c>
      <c r="AQ61" s="57" t="s">
        <v>1256</v>
      </c>
    </row>
    <row r="62" ht="15.0" customHeight="1">
      <c r="A62" s="116" t="s">
        <v>1264</v>
      </c>
      <c r="B62" s="56">
        <v>45906.0</v>
      </c>
      <c r="C62" s="182">
        <v>45898.0</v>
      </c>
      <c r="D62" s="57" t="s">
        <v>225</v>
      </c>
      <c r="E62" s="3">
        <f t="array" ref="E62">XLOOKUP(D62,RUC!$B$3:$B$110,RUC!$D$3:$D$110)</f>
        <v>10761932735</v>
      </c>
      <c r="G62" s="141">
        <v>24.0</v>
      </c>
      <c r="H62" s="3" t="s">
        <v>47</v>
      </c>
      <c r="I62" s="6">
        <v>1.91</v>
      </c>
      <c r="J62" s="58">
        <v>2.95</v>
      </c>
      <c r="K62" s="59">
        <f t="shared" si="3"/>
        <v>1.854</v>
      </c>
      <c r="L62" s="60">
        <v>0.139</v>
      </c>
      <c r="M62" s="60">
        <v>0.124</v>
      </c>
      <c r="N62" s="62">
        <v>0.124</v>
      </c>
      <c r="O62" s="60">
        <f t="shared" si="4"/>
        <v>0.124</v>
      </c>
      <c r="P62" s="63">
        <v>85.0</v>
      </c>
      <c r="Q62" s="58">
        <v>98.56</v>
      </c>
      <c r="R62" s="65">
        <v>3429.15</v>
      </c>
      <c r="S62" s="66">
        <f t="array" ref="S62">IF((XLOOKUP(D62,RUC!$B$3:$B$63,RUC!$E$3:$E$63)+ROUNDDOWN(O62,1)*100)&lt;95,95,((XLOOKUP(D62,RUC!$B$3:$B$63,RUC!$E$3:$E$63)+ROUNDDOWN(O62,1)*100)))</f>
        <v>100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69">
        <f t="array" ref="Z62">XLOOKUP(D62,RUC!$B$3:$B$110,RUC!$H$3:$H$110)</f>
        <v>30</v>
      </c>
      <c r="AA62" s="70">
        <f t="shared" si="5"/>
        <v>50</v>
      </c>
      <c r="AB62" s="71">
        <f t="shared" si="31"/>
        <v>219.1200551</v>
      </c>
      <c r="AC62" s="71">
        <f>+(S62-T62)*V62-'data 1'!$F$4</f>
        <v>30.23</v>
      </c>
      <c r="AD62" s="71">
        <f t="shared" si="6"/>
        <v>68.75285717</v>
      </c>
      <c r="AE62" s="71">
        <f t="shared" si="7"/>
        <v>-14.885</v>
      </c>
      <c r="AF62" s="71">
        <f t="shared" si="8"/>
        <v>53.92724265</v>
      </c>
      <c r="AG62" s="72">
        <f t="shared" si="32"/>
        <v>155.0250998</v>
      </c>
      <c r="AH62" s="193">
        <f t="shared" si="9"/>
        <v>8.708</v>
      </c>
      <c r="AI62" s="193">
        <f t="shared" si="10"/>
        <v>8.836</v>
      </c>
      <c r="AJ62" s="73">
        <f t="shared" si="11"/>
        <v>20.21313507</v>
      </c>
      <c r="AK62" s="73">
        <f t="shared" si="12"/>
        <v>6.699762535</v>
      </c>
      <c r="AL62" s="11"/>
      <c r="AM62" s="51">
        <f t="shared" si="13"/>
        <v>406.2485822</v>
      </c>
      <c r="AN62" s="51" t="str">
        <f t="array" ref="AN62">XLOOKUP(D62,RUC!$B$3:$B$565,RUC!$M$3:$M$565)</f>
        <v>Richard Sapacayo</v>
      </c>
      <c r="AO62" s="131" t="s">
        <v>551</v>
      </c>
      <c r="AP62" s="57" t="s">
        <v>1265</v>
      </c>
      <c r="AQ62" s="57" t="s">
        <v>1266</v>
      </c>
    </row>
    <row r="63" ht="15.0" customHeight="1">
      <c r="A63" s="116" t="s">
        <v>1267</v>
      </c>
      <c r="B63" s="56">
        <v>45906.0</v>
      </c>
      <c r="C63" s="182">
        <v>45898.0</v>
      </c>
      <c r="D63" s="57" t="s">
        <v>225</v>
      </c>
      <c r="E63" s="3">
        <f t="array" ref="E63">XLOOKUP(D63,RUC!$B$3:$B$110,RUC!$D$3:$D$110)</f>
        <v>10761932735</v>
      </c>
      <c r="G63" s="141">
        <v>38.0</v>
      </c>
      <c r="H63" s="3" t="s">
        <v>47</v>
      </c>
      <c r="I63" s="6">
        <v>2.99</v>
      </c>
      <c r="J63" s="58">
        <v>7.45</v>
      </c>
      <c r="K63" s="59">
        <f t="shared" si="3"/>
        <v>2.767</v>
      </c>
      <c r="L63" s="60">
        <v>0.204</v>
      </c>
      <c r="M63" s="60">
        <v>0.189</v>
      </c>
      <c r="N63" s="62">
        <v>0.189</v>
      </c>
      <c r="O63" s="60">
        <f t="shared" si="4"/>
        <v>0.189</v>
      </c>
      <c r="P63" s="63">
        <v>90.0</v>
      </c>
      <c r="Q63" s="58">
        <v>96.08</v>
      </c>
      <c r="R63" s="65">
        <v>3429.15</v>
      </c>
      <c r="S63" s="66">
        <f t="array" ref="S63">IF((XLOOKUP(D63,RUC!$B$3:$B$63,RUC!$E$3:$E$63)+ROUNDDOWN(O63,1)*100)&lt;95,95,((XLOOKUP(D63,RUC!$B$3:$B$63,RUC!$E$3:$E$63)+ROUNDDOWN(O63,1)*100)))</f>
        <v>100</v>
      </c>
      <c r="U63" s="67">
        <f t="array" ref="U63">XLOOKUP(D63,RUC!$B$3:$B$110,RUC!$F$3:$F$110)</f>
        <v>120</v>
      </c>
      <c r="V63" s="67">
        <v>1.1023</v>
      </c>
      <c r="Y63" s="57">
        <f t="array" ref="Y63">XLOOKUP(D63,RUC!$B$3:$B$110,RUC!$G$3:$G$110)</f>
        <v>20</v>
      </c>
      <c r="Z63" s="69">
        <f t="array" ref="Z63">XLOOKUP(D63,RUC!$B$3:$B$110,RUC!$H$3:$H$110)</f>
        <v>30</v>
      </c>
      <c r="AA63" s="70">
        <f t="shared" si="5"/>
        <v>50</v>
      </c>
      <c r="AB63" s="71">
        <f t="shared" si="31"/>
        <v>455.1246953</v>
      </c>
      <c r="AC63" s="71">
        <f>+(S63-T63)*V63-'data 1'!$F$4</f>
        <v>30.23</v>
      </c>
      <c r="AD63" s="71">
        <f t="shared" si="6"/>
        <v>45.24285552</v>
      </c>
      <c r="AE63" s="71">
        <f t="shared" si="7"/>
        <v>-14.885</v>
      </c>
      <c r="AF63" s="71">
        <f t="shared" si="8"/>
        <v>52.57030716</v>
      </c>
      <c r="AG63" s="72">
        <f t="shared" si="32"/>
        <v>130.1581627</v>
      </c>
      <c r="AH63" s="193">
        <f t="shared" si="9"/>
        <v>18.594</v>
      </c>
      <c r="AI63" s="193">
        <f t="shared" si="10"/>
        <v>19.353</v>
      </c>
      <c r="AJ63" s="73">
        <f t="shared" si="11"/>
        <v>28.91887172</v>
      </c>
      <c r="AK63" s="73">
        <f t="shared" si="12"/>
        <v>16.13699045</v>
      </c>
      <c r="AL63" s="11"/>
      <c r="AM63" s="51">
        <f t="shared" si="13"/>
        <v>1259.330032</v>
      </c>
      <c r="AN63" s="51" t="str">
        <f t="array" ref="AN63">XLOOKUP(D63,RUC!$B$3:$B$565,RUC!$M$3:$M$565)</f>
        <v>Richard Sapacayo</v>
      </c>
      <c r="AO63" s="131" t="s">
        <v>551</v>
      </c>
      <c r="AP63" s="57" t="s">
        <v>1265</v>
      </c>
      <c r="AQ63" s="57" t="s">
        <v>1266</v>
      </c>
    </row>
    <row r="64" ht="15.0" customHeight="1">
      <c r="A64" s="116" t="s">
        <v>1268</v>
      </c>
      <c r="B64" s="56">
        <v>45906.0</v>
      </c>
      <c r="C64" s="182">
        <v>45898.0</v>
      </c>
      <c r="D64" s="57" t="s">
        <v>295</v>
      </c>
      <c r="E64" s="3">
        <f t="array" ref="E64">XLOOKUP(D64,RUC!$B$3:$B$110,RUC!$D$3:$D$110)</f>
        <v>20601769396</v>
      </c>
      <c r="G64" s="141">
        <v>30.0</v>
      </c>
      <c r="H64" s="3" t="s">
        <v>339</v>
      </c>
      <c r="I64" s="6">
        <v>2.79</v>
      </c>
      <c r="J64" s="58">
        <v>10.0</v>
      </c>
      <c r="K64" s="59">
        <f t="shared" si="3"/>
        <v>2.511</v>
      </c>
      <c r="L64" s="60">
        <v>0.218</v>
      </c>
      <c r="M64" s="60">
        <v>0.206</v>
      </c>
      <c r="N64" s="62">
        <v>0.206</v>
      </c>
      <c r="O64" s="436">
        <v>0.323</v>
      </c>
      <c r="P64" s="63">
        <v>90.0</v>
      </c>
      <c r="Q64" s="58">
        <v>92.76</v>
      </c>
      <c r="R64" s="65">
        <v>3429.15</v>
      </c>
      <c r="S64" s="66">
        <f t="array" ref="S64">IF((XLOOKUP(D64,RUC!$B$3:$B$63,RUC!$E$3:$E$63)+ROUNDDOWN(O64,1)*100)&lt;95,95,((XLOOKUP(D64,RUC!$B$3:$B$63,RUC!$E$3:$E$63)+ROUNDDOWN(O64,1)*100)))</f>
        <v>120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69">
        <f t="array" ref="Z64">XLOOKUP(D64,RUC!$B$3:$B$110,RUC!$H$3:$H$110)</f>
        <v>30</v>
      </c>
      <c r="AA64" s="70">
        <f t="shared" si="5"/>
        <v>50</v>
      </c>
      <c r="AB64" s="71">
        <f t="shared" si="31"/>
        <v>872.9884263</v>
      </c>
      <c r="AC64" s="71">
        <f>+(S64-T64)*V64-'data 1'!$F$4</f>
        <v>52.276</v>
      </c>
      <c r="AD64" s="71">
        <f t="shared" si="6"/>
        <v>21.94733723</v>
      </c>
      <c r="AE64" s="71">
        <f t="shared" si="7"/>
        <v>-14.885</v>
      </c>
      <c r="AF64" s="71">
        <f t="shared" si="8"/>
        <v>-355.2763514</v>
      </c>
      <c r="AG64" s="72">
        <f t="shared" si="32"/>
        <v>-278.9380142</v>
      </c>
      <c r="AH64" s="193">
        <f t="shared" si="9"/>
        <v>17.409</v>
      </c>
      <c r="AI64" s="193">
        <f t="shared" si="10"/>
        <v>18.768</v>
      </c>
      <c r="AJ64" s="73">
        <f t="shared" si="11"/>
        <v>29.835644</v>
      </c>
      <c r="AK64" s="73">
        <f t="shared" si="12"/>
        <v>25.02654015</v>
      </c>
      <c r="AL64" s="11"/>
      <c r="AM64" s="51">
        <f t="shared" si="13"/>
        <v>2192.073938</v>
      </c>
      <c r="AN64" s="51" t="str">
        <f t="array" ref="AN64">XLOOKUP(D64,RUC!$B$3:$B$565,RUC!$M$3:$M$565)</f>
        <v>Evelyn</v>
      </c>
      <c r="AO64" s="131" t="s">
        <v>551</v>
      </c>
      <c r="AP64" s="57" t="s">
        <v>1269</v>
      </c>
      <c r="AQ64" s="57" t="s">
        <v>1270</v>
      </c>
      <c r="AR64" s="57" t="s">
        <v>1271</v>
      </c>
    </row>
    <row r="65" ht="15.0" customHeight="1">
      <c r="A65" s="132" t="s">
        <v>1272</v>
      </c>
      <c r="B65" s="109">
        <v>45908.0</v>
      </c>
      <c r="C65" s="182">
        <v>45898.0</v>
      </c>
      <c r="D65" s="57" t="s">
        <v>225</v>
      </c>
      <c r="E65" s="3">
        <f t="array" ref="E65">XLOOKUP(D65,RUC!$B$3:$B$110,RUC!$D$3:$D$110)</f>
        <v>10761932735</v>
      </c>
      <c r="G65" s="141">
        <v>6.0</v>
      </c>
      <c r="H65" s="3" t="s">
        <v>47</v>
      </c>
      <c r="I65" s="6">
        <v>0.56</v>
      </c>
      <c r="J65" s="58">
        <v>11.75</v>
      </c>
      <c r="K65" s="59">
        <f t="shared" si="3"/>
        <v>0.494</v>
      </c>
      <c r="L65" s="60">
        <v>0.05</v>
      </c>
      <c r="M65" s="60">
        <v>0.035</v>
      </c>
      <c r="N65" s="62">
        <v>0.035</v>
      </c>
      <c r="O65" s="60">
        <f t="shared" ref="O65:O68" si="33">+ROUND((M65+N65)/2,3)</f>
        <v>0.035</v>
      </c>
      <c r="P65" s="63">
        <v>90.0</v>
      </c>
      <c r="Q65" s="58">
        <v>86.0</v>
      </c>
      <c r="R65" s="65">
        <v>3429.15</v>
      </c>
      <c r="S65" s="66">
        <f t="array" ref="S65">IF((XLOOKUP(D65,RUC!$B$3:$B$63,RUC!$E$3:$E$63)+ROUNDDOWN(O65,1)*100)&lt;95,95,((XLOOKUP(D65,RUC!$B$3:$B$63,RUC!$E$3:$E$63)+ROUNDDOWN(O65,1)*100)))</f>
        <v>95</v>
      </c>
      <c r="U65" s="67">
        <f t="array" ref="U65">XLOOKUP(D65,RUC!$B$3:$B$110,RUC!$F$3:$F$110)</f>
        <v>120</v>
      </c>
      <c r="V65" s="67">
        <v>1.1023</v>
      </c>
      <c r="Y65" s="57">
        <f t="array" ref="Y65">XLOOKUP(D65,RUC!$B$3:$B$110,RUC!$G$3:$G$110)</f>
        <v>20</v>
      </c>
      <c r="Z65" s="69">
        <f t="array" ref="Z65">XLOOKUP(D65,RUC!$B$3:$B$110,RUC!$H$3:$H$110)</f>
        <v>30</v>
      </c>
      <c r="AA65" s="70">
        <f t="shared" si="5"/>
        <v>50</v>
      </c>
      <c r="AB65" s="71">
        <v>0.01</v>
      </c>
      <c r="AC65" s="71">
        <f>+(S65-T65)*V65-'data 1'!$F$4</f>
        <v>24.7185</v>
      </c>
      <c r="AD65" s="71">
        <f t="shared" si="6"/>
        <v>-7.29535209</v>
      </c>
      <c r="AE65" s="71">
        <f t="shared" si="7"/>
        <v>-14.885</v>
      </c>
      <c r="AF65" s="71">
        <f t="shared" si="8"/>
        <v>47.05502098</v>
      </c>
      <c r="AG65" s="72">
        <f t="shared" si="32"/>
        <v>66.59316889</v>
      </c>
      <c r="AH65" s="193">
        <f t="shared" si="9"/>
        <v>0.728</v>
      </c>
      <c r="AI65" s="193">
        <f t="shared" si="10"/>
        <v>0.847</v>
      </c>
      <c r="AJ65" s="73">
        <f t="shared" si="11"/>
        <v>6.344342765</v>
      </c>
      <c r="AK65" s="73">
        <f t="shared" si="12"/>
        <v>0.5335149234</v>
      </c>
      <c r="AL65" s="11"/>
      <c r="AM65" s="51">
        <f t="shared" si="13"/>
        <v>0.00494</v>
      </c>
      <c r="AN65" s="51" t="str">
        <f t="array" ref="AN65">XLOOKUP(D65,RUC!$B$3:$B$565,RUC!$M$3:$M$565)</f>
        <v>Richard Sapacayo</v>
      </c>
      <c r="AO65" s="131" t="s">
        <v>561</v>
      </c>
      <c r="AP65" s="57" t="s">
        <v>1265</v>
      </c>
      <c r="AQ65" s="57" t="s">
        <v>1266</v>
      </c>
    </row>
    <row r="66" ht="15.0" customHeight="1">
      <c r="A66" s="116" t="s">
        <v>1273</v>
      </c>
      <c r="B66" s="56">
        <v>45908.0</v>
      </c>
      <c r="C66" s="182">
        <v>45898.0</v>
      </c>
      <c r="D66" s="57" t="s">
        <v>225</v>
      </c>
      <c r="E66" s="3">
        <f t="array" ref="E66">XLOOKUP(D66,RUC!$B$3:$B$110,RUC!$D$3:$D$110)</f>
        <v>10761932735</v>
      </c>
      <c r="G66" s="141">
        <v>14.0</v>
      </c>
      <c r="H66" s="3" t="s">
        <v>47</v>
      </c>
      <c r="I66" s="6">
        <v>1.09</v>
      </c>
      <c r="J66" s="58">
        <v>6.15</v>
      </c>
      <c r="K66" s="59">
        <f t="shared" si="3"/>
        <v>1.023</v>
      </c>
      <c r="L66" s="60">
        <v>0.226</v>
      </c>
      <c r="M66" s="60">
        <v>0.211</v>
      </c>
      <c r="N66" s="62">
        <v>0.211</v>
      </c>
      <c r="O66" s="60">
        <f t="shared" si="33"/>
        <v>0.211</v>
      </c>
      <c r="P66" s="63">
        <v>90.0</v>
      </c>
      <c r="Q66" s="58">
        <v>97.35</v>
      </c>
      <c r="R66" s="65">
        <v>3429.15</v>
      </c>
      <c r="S66" s="66">
        <f t="array" ref="S66">IF((XLOOKUP(D66,RUC!$B$3:$B$63,RUC!$E$3:$E$63)+ROUNDDOWN(O66,1)*100)&lt;95,95,((XLOOKUP(D66,RUC!$B$3:$B$63,RUC!$E$3:$E$63)+ROUNDDOWN(O66,1)*100)))</f>
        <v>110</v>
      </c>
      <c r="U66" s="67">
        <f t="array" ref="U66">XLOOKUP(D66,RUC!$B$3:$B$110,RUC!$F$3:$F$110)</f>
        <v>120</v>
      </c>
      <c r="V66" s="67">
        <v>1.1023</v>
      </c>
      <c r="Y66" s="57">
        <f t="array" ref="Y66">XLOOKUP(D66,RUC!$B$3:$B$110,RUC!$G$3:$G$110)</f>
        <v>20</v>
      </c>
      <c r="Z66" s="69">
        <f t="array" ref="Z66">XLOOKUP(D66,RUC!$B$3:$B$110,RUC!$H$3:$H$110)</f>
        <v>30</v>
      </c>
      <c r="AA66" s="70">
        <f t="shared" si="5"/>
        <v>50</v>
      </c>
      <c r="AB66" s="71">
        <f t="shared" ref="AB66:AB70" si="34">+((O66*P66*(R66-U66)/100)-S66-AA66+T66)*V66</f>
        <v>516.3256809</v>
      </c>
      <c r="AC66" s="71">
        <f>+(S66-T66)*V66-'data 1'!$F$4</f>
        <v>41.253</v>
      </c>
      <c r="AD66" s="71">
        <f t="shared" si="6"/>
        <v>60.59154678</v>
      </c>
      <c r="AE66" s="71">
        <f t="shared" si="7"/>
        <v>-14.885</v>
      </c>
      <c r="AF66" s="71">
        <f t="shared" si="8"/>
        <v>53.26518945</v>
      </c>
      <c r="AG66" s="72">
        <f t="shared" si="32"/>
        <v>157.2247362</v>
      </c>
      <c r="AH66" s="193">
        <f t="shared" si="9"/>
        <v>7.717</v>
      </c>
      <c r="AI66" s="193">
        <f t="shared" si="10"/>
        <v>7.927</v>
      </c>
      <c r="AJ66" s="73">
        <f t="shared" si="11"/>
        <v>32.46105107</v>
      </c>
      <c r="AK66" s="73">
        <f t="shared" si="12"/>
        <v>6.66054348</v>
      </c>
      <c r="AL66" s="11"/>
      <c r="AM66" s="51">
        <f t="shared" si="13"/>
        <v>528.2011716</v>
      </c>
      <c r="AN66" s="51" t="str">
        <f t="array" ref="AN66">XLOOKUP(D66,RUC!$B$3:$B$565,RUC!$M$3:$M$565)</f>
        <v>Richard Sapacayo</v>
      </c>
      <c r="AO66" s="131" t="s">
        <v>551</v>
      </c>
      <c r="AP66" s="57" t="s">
        <v>1265</v>
      </c>
      <c r="AQ66" s="57" t="s">
        <v>1266</v>
      </c>
    </row>
    <row r="67" ht="15.0" customHeight="1">
      <c r="A67" s="116" t="s">
        <v>1274</v>
      </c>
      <c r="B67" s="56">
        <v>45906.0</v>
      </c>
      <c r="C67" s="182">
        <v>45898.0</v>
      </c>
      <c r="D67" s="57" t="s">
        <v>295</v>
      </c>
      <c r="E67" s="3">
        <f t="array" ref="E67">XLOOKUP(D67,RUC!$B$3:$B$110,RUC!$D$3:$D$110)</f>
        <v>20601769396</v>
      </c>
      <c r="G67" s="141">
        <v>30.0</v>
      </c>
      <c r="H67" s="3" t="s">
        <v>339</v>
      </c>
      <c r="I67" s="6">
        <v>2.91</v>
      </c>
      <c r="J67" s="58">
        <v>11.2</v>
      </c>
      <c r="K67" s="59">
        <f t="shared" si="3"/>
        <v>2.584</v>
      </c>
      <c r="L67" s="60">
        <v>0.236</v>
      </c>
      <c r="M67" s="60">
        <v>0.223</v>
      </c>
      <c r="N67" s="62">
        <v>0.223</v>
      </c>
      <c r="O67" s="60">
        <f t="shared" si="33"/>
        <v>0.223</v>
      </c>
      <c r="P67" s="63">
        <v>83.0</v>
      </c>
      <c r="Q67" s="58">
        <v>83.61</v>
      </c>
      <c r="R67" s="65">
        <v>3429.15</v>
      </c>
      <c r="S67" s="66">
        <f t="array" ref="S67">IF((XLOOKUP(D67,RUC!$B$3:$B$63,RUC!$E$3:$E$63)+ROUNDDOWN(O67,1)*100)&lt;95,95,((XLOOKUP(D67,RUC!$B$3:$B$63,RUC!$E$3:$E$63)+ROUNDDOWN(O67,1)*100)))</f>
        <v>110</v>
      </c>
      <c r="U67" s="67">
        <f t="array" ref="U67">XLOOKUP(D67,RUC!$B$3:$B$110,RUC!$F$3:$F$110)</f>
        <v>120</v>
      </c>
      <c r="V67" s="67">
        <v>1.1023</v>
      </c>
      <c r="Y67" s="57">
        <f t="array" ref="Y67">XLOOKUP(D67,RUC!$B$3:$B$110,RUC!$G$3:$G$110)</f>
        <v>20</v>
      </c>
      <c r="Z67" s="69">
        <f t="array" ref="Z67">XLOOKUP(D67,RUC!$B$3:$B$110,RUC!$H$3:$H$110)</f>
        <v>30</v>
      </c>
      <c r="AA67" s="70">
        <f t="shared" si="5"/>
        <v>50</v>
      </c>
      <c r="AB67" s="71">
        <f t="shared" si="34"/>
        <v>498.7803592</v>
      </c>
      <c r="AC67" s="71">
        <f>+(S67-T67)*V67-'data 1'!$F$4</f>
        <v>41.253</v>
      </c>
      <c r="AD67" s="71">
        <f t="shared" si="6"/>
        <v>5.251194434</v>
      </c>
      <c r="AE67" s="71">
        <f t="shared" si="7"/>
        <v>-14.885</v>
      </c>
      <c r="AF67" s="71">
        <f t="shared" si="8"/>
        <v>39.64768524</v>
      </c>
      <c r="AG67" s="72">
        <f t="shared" si="32"/>
        <v>88.26687967</v>
      </c>
      <c r="AH67" s="193">
        <f t="shared" si="9"/>
        <v>17.481</v>
      </c>
      <c r="AI67" s="193">
        <f t="shared" si="10"/>
        <v>20.908</v>
      </c>
      <c r="AJ67" s="73">
        <f t="shared" si="11"/>
        <v>29.11309713</v>
      </c>
      <c r="AK67" s="73">
        <f t="shared" si="12"/>
        <v>16.39776031</v>
      </c>
      <c r="AL67" s="11"/>
      <c r="AM67" s="51">
        <f t="shared" si="13"/>
        <v>1288.848448</v>
      </c>
      <c r="AN67" s="51" t="str">
        <f t="array" ref="AN67">XLOOKUP(D67,RUC!$B$3:$B$565,RUC!$M$3:$M$565)</f>
        <v>Evelyn</v>
      </c>
      <c r="AO67" s="131" t="s">
        <v>561</v>
      </c>
      <c r="AP67" s="57" t="s">
        <v>1269</v>
      </c>
      <c r="AQ67" s="57" t="s">
        <v>1270</v>
      </c>
    </row>
    <row r="68" ht="15.0" customHeight="1">
      <c r="A68" s="116" t="s">
        <v>1275</v>
      </c>
      <c r="B68" s="56">
        <v>45908.0</v>
      </c>
      <c r="C68" s="182">
        <v>45898.0</v>
      </c>
      <c r="D68" s="57" t="s">
        <v>225</v>
      </c>
      <c r="E68" s="3">
        <f t="array" ref="E68">XLOOKUP(D68,RUC!$B$3:$B$110,RUC!$D$3:$D$110)</f>
        <v>10761932735</v>
      </c>
      <c r="G68" s="141">
        <v>161.0</v>
      </c>
      <c r="H68" s="3" t="s">
        <v>47</v>
      </c>
      <c r="I68" s="6">
        <v>14.23</v>
      </c>
      <c r="J68" s="58">
        <v>8.2</v>
      </c>
      <c r="K68" s="59">
        <f t="shared" si="3"/>
        <v>13.063</v>
      </c>
      <c r="L68" s="60">
        <v>0.232</v>
      </c>
      <c r="M68" s="60">
        <v>0.217</v>
      </c>
      <c r="N68" s="62">
        <v>0.217</v>
      </c>
      <c r="O68" s="60">
        <f t="shared" si="33"/>
        <v>0.217</v>
      </c>
      <c r="P68" s="63">
        <v>90.0</v>
      </c>
      <c r="Q68" s="58">
        <v>93.97</v>
      </c>
      <c r="R68" s="65">
        <v>3429.15</v>
      </c>
      <c r="S68" s="66">
        <f t="array" ref="S68">IF((XLOOKUP(D68,RUC!$B$3:$B$63,RUC!$E$3:$E$63)+ROUNDDOWN(O68,1)*100)&lt;95,95,((XLOOKUP(D68,RUC!$B$3:$B$63,RUC!$E$3:$E$63)+ROUNDDOWN(O68,1)*100)))</f>
        <v>110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5"/>
        <v>50</v>
      </c>
      <c r="AB68" s="71">
        <f t="shared" si="34"/>
        <v>536.0231316</v>
      </c>
      <c r="AC68" s="71">
        <f>+(S68-T68)*V68-'data 1'!$F$4</f>
        <v>41.253</v>
      </c>
      <c r="AD68" s="71">
        <f t="shared" si="6"/>
        <v>33.59655544</v>
      </c>
      <c r="AE68" s="71">
        <f t="shared" si="7"/>
        <v>-14.885</v>
      </c>
      <c r="AF68" s="71">
        <f t="shared" si="8"/>
        <v>51.41581769</v>
      </c>
      <c r="AG68" s="72">
        <f t="shared" si="32"/>
        <v>128.3803731</v>
      </c>
      <c r="AH68" s="193">
        <f t="shared" si="9"/>
        <v>97.64</v>
      </c>
      <c r="AI68" s="193">
        <f t="shared" si="10"/>
        <v>103.906</v>
      </c>
      <c r="AJ68" s="73">
        <f t="shared" si="11"/>
        <v>32.16587684</v>
      </c>
      <c r="AK68" s="73">
        <f t="shared" si="12"/>
        <v>87.46901571</v>
      </c>
      <c r="AL68" s="11"/>
      <c r="AM68" s="51">
        <f t="shared" si="13"/>
        <v>7002.070168</v>
      </c>
      <c r="AN68" s="51" t="str">
        <f t="array" ref="AN68">XLOOKUP(D68,RUC!$B$3:$B$565,RUC!$M$3:$M$565)</f>
        <v>Richard Sapacayo</v>
      </c>
      <c r="AO68" s="131" t="s">
        <v>547</v>
      </c>
      <c r="AP68" s="57" t="s">
        <v>1265</v>
      </c>
      <c r="AQ68" s="57" t="s">
        <v>1266</v>
      </c>
      <c r="AR68" s="2" t="s">
        <v>1276</v>
      </c>
    </row>
    <row r="69" ht="15.0" customHeight="1">
      <c r="A69" s="116" t="s">
        <v>1277</v>
      </c>
      <c r="B69" s="56">
        <v>45906.0</v>
      </c>
      <c r="C69" s="182">
        <v>45898.0</v>
      </c>
      <c r="D69" s="57" t="s">
        <v>295</v>
      </c>
      <c r="E69" s="3">
        <f t="array" ref="E69">XLOOKUP(D69,RUC!$B$3:$B$110,RUC!$D$3:$D$110)</f>
        <v>20601769396</v>
      </c>
      <c r="G69" s="141">
        <v>30.0</v>
      </c>
      <c r="H69" s="3" t="s">
        <v>339</v>
      </c>
      <c r="I69" s="6">
        <v>2.79</v>
      </c>
      <c r="J69" s="58">
        <v>9.35</v>
      </c>
      <c r="K69" s="59">
        <f t="shared" si="3"/>
        <v>2.529</v>
      </c>
      <c r="L69" s="60">
        <v>0.245</v>
      </c>
      <c r="M69" s="60">
        <v>0.209</v>
      </c>
      <c r="N69" s="62">
        <v>0.209</v>
      </c>
      <c r="O69" s="436">
        <v>0.297</v>
      </c>
      <c r="P69" s="63">
        <v>81.0</v>
      </c>
      <c r="Q69" s="58">
        <v>81.7</v>
      </c>
      <c r="R69" s="65">
        <v>3429.15</v>
      </c>
      <c r="S69" s="66">
        <f t="array" ref="S69">IF((XLOOKUP(D69,RUC!$B$3:$B$63,RUC!$E$3:$E$63)+ROUNDDOWN(O69,1)*100)&lt;95,95,((XLOOKUP(D69,RUC!$B$3:$B$63,RUC!$E$3:$E$63)+ROUNDDOWN(O69,1)*100)))</f>
        <v>110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5"/>
        <v>50</v>
      </c>
      <c r="AB69" s="71">
        <f t="shared" si="34"/>
        <v>701.1534261</v>
      </c>
      <c r="AC69" s="71">
        <f>+(S69-T69)*V69-'data 1'!$F$4</f>
        <v>41.253</v>
      </c>
      <c r="AD69" s="71">
        <f t="shared" si="6"/>
        <v>6.255764417</v>
      </c>
      <c r="AE69" s="71">
        <f t="shared" si="7"/>
        <v>-14.885</v>
      </c>
      <c r="AF69" s="71">
        <f t="shared" si="8"/>
        <v>-154.9678691</v>
      </c>
      <c r="AG69" s="72">
        <f t="shared" si="32"/>
        <v>-105.3441047</v>
      </c>
      <c r="AH69" s="193">
        <f t="shared" si="9"/>
        <v>17.356</v>
      </c>
      <c r="AI69" s="193">
        <f t="shared" si="10"/>
        <v>21.243</v>
      </c>
      <c r="AJ69" s="73">
        <f t="shared" si="11"/>
        <v>29.53291557</v>
      </c>
      <c r="AK69" s="73">
        <f t="shared" si="12"/>
        <v>20.85928255</v>
      </c>
      <c r="AL69" s="11"/>
      <c r="AM69" s="51">
        <f t="shared" si="13"/>
        <v>1773.217015</v>
      </c>
      <c r="AN69" s="51" t="str">
        <f t="array" ref="AN69">XLOOKUP(D69,RUC!$B$3:$B$565,RUC!$M$3:$M$565)</f>
        <v>Evelyn</v>
      </c>
      <c r="AO69" s="131" t="s">
        <v>561</v>
      </c>
      <c r="AP69" s="57" t="s">
        <v>1269</v>
      </c>
      <c r="AQ69" s="57" t="s">
        <v>1270</v>
      </c>
      <c r="AR69" s="57" t="s">
        <v>1271</v>
      </c>
    </row>
    <row r="70" ht="15.0" customHeight="1">
      <c r="A70" s="116" t="s">
        <v>1278</v>
      </c>
      <c r="B70" s="56">
        <v>45906.0</v>
      </c>
      <c r="C70" s="182">
        <v>45898.0</v>
      </c>
      <c r="D70" s="57" t="s">
        <v>295</v>
      </c>
      <c r="E70" s="3">
        <f t="array" ref="E70">XLOOKUP(D70,RUC!$B$3:$B$110,RUC!$D$3:$D$110)</f>
        <v>20601769396</v>
      </c>
      <c r="G70" s="141">
        <v>30.0</v>
      </c>
      <c r="H70" s="3" t="s">
        <v>339</v>
      </c>
      <c r="I70" s="6">
        <v>2.85</v>
      </c>
      <c r="J70" s="58">
        <v>9.95</v>
      </c>
      <c r="K70" s="59">
        <f t="shared" si="3"/>
        <v>2.566</v>
      </c>
      <c r="L70" s="60">
        <v>0.284</v>
      </c>
      <c r="M70" s="60">
        <v>0.26</v>
      </c>
      <c r="N70" s="62">
        <v>0.26</v>
      </c>
      <c r="O70" s="60">
        <f t="shared" ref="O70:O73" si="35">+ROUND((M70+N70)/2,3)</f>
        <v>0.26</v>
      </c>
      <c r="P70" s="63">
        <v>85.0</v>
      </c>
      <c r="Q70" s="58">
        <v>86.99</v>
      </c>
      <c r="R70" s="65">
        <v>3429.15</v>
      </c>
      <c r="S70" s="66">
        <f t="array" ref="S70">IF((XLOOKUP(D70,RUC!$B$3:$B$63,RUC!$E$3:$E$63)+ROUNDDOWN(O70,1)*100)&lt;95,95,((XLOOKUP(D70,RUC!$B$3:$B$63,RUC!$E$3:$E$63)+ROUNDDOWN(O70,1)*100)))</f>
        <v>110</v>
      </c>
      <c r="U70" s="67">
        <f t="array" ref="U70">XLOOKUP(D70,RUC!$B$3:$B$110,RUC!$F$3:$F$110)</f>
        <v>120</v>
      </c>
      <c r="V70" s="67">
        <v>1.1023</v>
      </c>
      <c r="Y70" s="57">
        <f t="array" ref="Y70">XLOOKUP(D70,RUC!$B$3:$B$110,RUC!$G$3:$G$110)</f>
        <v>20</v>
      </c>
      <c r="Z70" s="69">
        <f t="array" ref="Z70">XLOOKUP(D70,RUC!$B$3:$B$110,RUC!$H$3:$H$110)</f>
        <v>30</v>
      </c>
      <c r="AA70" s="70">
        <f t="shared" si="5"/>
        <v>50</v>
      </c>
      <c r="AB70" s="71">
        <f t="shared" si="34"/>
        <v>629.7684059</v>
      </c>
      <c r="AC70" s="71">
        <f>+(S70-T70)*V70-'data 1'!$F$4</f>
        <v>41.253</v>
      </c>
      <c r="AD70" s="71">
        <f t="shared" si="6"/>
        <v>20.61520594</v>
      </c>
      <c r="AE70" s="71">
        <f t="shared" si="7"/>
        <v>-14.885</v>
      </c>
      <c r="AF70" s="71">
        <f t="shared" si="8"/>
        <v>76.1547214</v>
      </c>
      <c r="AG70" s="72">
        <f t="shared" si="32"/>
        <v>140.1379273</v>
      </c>
      <c r="AH70" s="193">
        <f t="shared" si="9"/>
        <v>21.735</v>
      </c>
      <c r="AI70" s="193">
        <f t="shared" si="10"/>
        <v>24.985</v>
      </c>
      <c r="AJ70" s="73">
        <f t="shared" si="11"/>
        <v>36.4506984</v>
      </c>
      <c r="AK70" s="73">
        <f t="shared" si="12"/>
        <v>19.44276357</v>
      </c>
      <c r="AL70" s="11"/>
      <c r="AM70" s="51">
        <f t="shared" si="13"/>
        <v>1615.98573</v>
      </c>
      <c r="AN70" s="51" t="str">
        <f t="array" ref="AN70">XLOOKUP(D70,RUC!$B$3:$B$565,RUC!$M$3:$M$565)</f>
        <v>Evelyn</v>
      </c>
      <c r="AO70" s="131" t="s">
        <v>549</v>
      </c>
      <c r="AP70" s="57" t="s">
        <v>1269</v>
      </c>
      <c r="AQ70" s="57" t="s">
        <v>1270</v>
      </c>
    </row>
    <row r="71" ht="15.0" customHeight="1">
      <c r="A71" s="132" t="s">
        <v>1279</v>
      </c>
      <c r="B71" s="109">
        <v>45906.0</v>
      </c>
      <c r="C71" s="182">
        <v>45898.0</v>
      </c>
      <c r="D71" s="57" t="s">
        <v>225</v>
      </c>
      <c r="E71" s="3">
        <f t="array" ref="E71">XLOOKUP(D71,RUC!$B$3:$B$110,RUC!$D$3:$D$110)</f>
        <v>10761932735</v>
      </c>
      <c r="G71" s="141">
        <v>9.0</v>
      </c>
      <c r="H71" s="3" t="s">
        <v>47</v>
      </c>
      <c r="I71" s="6">
        <v>0.99</v>
      </c>
      <c r="J71" s="58">
        <v>3.8</v>
      </c>
      <c r="K71" s="59">
        <f t="shared" si="3"/>
        <v>0.952</v>
      </c>
      <c r="L71" s="60">
        <v>0.056</v>
      </c>
      <c r="M71" s="60">
        <v>0.041</v>
      </c>
      <c r="N71" s="62">
        <v>0.041</v>
      </c>
      <c r="O71" s="60">
        <f t="shared" si="35"/>
        <v>0.041</v>
      </c>
      <c r="P71" s="63">
        <v>80.0</v>
      </c>
      <c r="Q71" s="58">
        <v>94.64</v>
      </c>
      <c r="R71" s="65">
        <v>3429.15</v>
      </c>
      <c r="S71" s="66">
        <f t="array" ref="S71">IF((XLOOKUP(D71,RUC!$B$3:$B$63,RUC!$E$3:$E$63)+ROUNDDOWN(O71,1)*100)&lt;95,95,((XLOOKUP(D71,RUC!$B$3:$B$63,RUC!$E$3:$E$63)+ROUNDDOWN(O71,1)*100)))</f>
        <v>95</v>
      </c>
      <c r="U71" s="67">
        <f t="array" ref="U71">XLOOKUP(D71,RUC!$B$3:$B$110,RUC!$F$3:$F$110)</f>
        <v>120</v>
      </c>
      <c r="V71" s="67">
        <v>1.1023</v>
      </c>
      <c r="Y71" s="57">
        <f t="array" ref="Y71">XLOOKUP(D71,RUC!$B$3:$B$110,RUC!$G$3:$G$110)</f>
        <v>20</v>
      </c>
      <c r="Z71" s="69">
        <f t="array" ref="Z71">XLOOKUP(D71,RUC!$B$3:$B$110,RUC!$H$3:$H$110)</f>
        <v>30</v>
      </c>
      <c r="AA71" s="70">
        <f t="shared" si="5"/>
        <v>50</v>
      </c>
      <c r="AB71" s="71">
        <v>0.01</v>
      </c>
      <c r="AC71" s="71">
        <f>+(S71-T71)*V71-'data 1'!$F$4</f>
        <v>24.7185</v>
      </c>
      <c r="AD71" s="71">
        <f t="shared" si="6"/>
        <v>29.90510729</v>
      </c>
      <c r="AE71" s="71">
        <f t="shared" si="7"/>
        <v>-14.885</v>
      </c>
      <c r="AF71" s="71">
        <f t="shared" si="8"/>
        <v>51.78240913</v>
      </c>
      <c r="AG71" s="72">
        <f t="shared" si="32"/>
        <v>108.5210164</v>
      </c>
      <c r="AH71" s="193">
        <f t="shared" si="9"/>
        <v>1.73</v>
      </c>
      <c r="AI71" s="193">
        <f t="shared" si="10"/>
        <v>1.828</v>
      </c>
      <c r="AJ71" s="73">
        <f t="shared" si="11"/>
        <v>7.819535246</v>
      </c>
      <c r="AK71" s="73">
        <f t="shared" si="12"/>
        <v>1.070581813</v>
      </c>
      <c r="AL71" s="11"/>
      <c r="AM71" s="51">
        <f t="shared" si="13"/>
        <v>0.00952</v>
      </c>
      <c r="AN71" s="51" t="str">
        <f t="array" ref="AN71">XLOOKUP(D71,RUC!$B$3:$B$565,RUC!$M$3:$M$565)</f>
        <v>Richard Sapacayo</v>
      </c>
      <c r="AO71" s="131" t="s">
        <v>561</v>
      </c>
      <c r="AP71" s="57" t="s">
        <v>1265</v>
      </c>
      <c r="AQ71" s="57" t="s">
        <v>1266</v>
      </c>
    </row>
    <row r="72" ht="15.0" customHeight="1">
      <c r="A72" s="116" t="s">
        <v>1280</v>
      </c>
      <c r="B72" s="56">
        <v>45906.0</v>
      </c>
      <c r="C72" s="182">
        <v>45898.0</v>
      </c>
      <c r="D72" s="57" t="s">
        <v>225</v>
      </c>
      <c r="E72" s="3">
        <f t="array" ref="E72">XLOOKUP(D72,RUC!$B$3:$B$110,RUC!$D$3:$D$110)</f>
        <v>10761932735</v>
      </c>
      <c r="G72" s="141">
        <v>26.0</v>
      </c>
      <c r="H72" s="3" t="s">
        <v>47</v>
      </c>
      <c r="I72" s="6">
        <v>2.39</v>
      </c>
      <c r="J72" s="58">
        <v>8.1</v>
      </c>
      <c r="K72" s="59">
        <f t="shared" si="3"/>
        <v>2.196</v>
      </c>
      <c r="L72" s="60">
        <v>0.262</v>
      </c>
      <c r="M72" s="60">
        <v>0.247</v>
      </c>
      <c r="N72" s="62">
        <v>0.247</v>
      </c>
      <c r="O72" s="60">
        <f t="shared" si="35"/>
        <v>0.247</v>
      </c>
      <c r="P72" s="63">
        <v>84.0</v>
      </c>
      <c r="Q72" s="58">
        <v>84.35</v>
      </c>
      <c r="R72" s="65">
        <v>3429.15</v>
      </c>
      <c r="S72" s="66">
        <f t="array" ref="S72">IF((XLOOKUP(D72,RUC!$B$3:$B$63,RUC!$E$3:$E$63)+ROUNDDOWN(O72,1)*100)&lt;95,95,((XLOOKUP(D72,RUC!$B$3:$B$63,RUC!$E$3:$E$63)+ROUNDDOWN(O72,1)*100)))</f>
        <v>110</v>
      </c>
      <c r="U72" s="67">
        <f t="array" ref="U72">XLOOKUP(D72,RUC!$B$3:$B$110,RUC!$F$3:$F$110)</f>
        <v>120</v>
      </c>
      <c r="V72" s="67">
        <v>1.1023</v>
      </c>
      <c r="Y72" s="57">
        <f t="array" ref="Y72">XLOOKUP(D72,RUC!$B$3:$B$110,RUC!$G$3:$G$110)</f>
        <v>20</v>
      </c>
      <c r="Z72" s="69">
        <f t="array" ref="Z72">XLOOKUP(D72,RUC!$B$3:$B$110,RUC!$H$3:$H$110)</f>
        <v>30</v>
      </c>
      <c r="AA72" s="70">
        <f t="shared" si="5"/>
        <v>50</v>
      </c>
      <c r="AB72" s="71">
        <f t="shared" ref="AB72:AB109" si="36">+((O72*P72*(R72-U72)/100)-S72-AA72+T72)*V72</f>
        <v>580.4518258</v>
      </c>
      <c r="AC72" s="71">
        <f>+(S72-T72)*V72-'data 1'!$F$4</f>
        <v>41.253</v>
      </c>
      <c r="AD72" s="71">
        <f t="shared" si="6"/>
        <v>3.344918933</v>
      </c>
      <c r="AE72" s="71">
        <f t="shared" si="7"/>
        <v>-14.885</v>
      </c>
      <c r="AF72" s="71">
        <f t="shared" si="8"/>
        <v>46.15222116</v>
      </c>
      <c r="AG72" s="72">
        <f t="shared" si="32"/>
        <v>92.86514009</v>
      </c>
      <c r="AH72" s="193">
        <f t="shared" si="9"/>
        <v>16.639</v>
      </c>
      <c r="AI72" s="193">
        <f t="shared" si="10"/>
        <v>19.726</v>
      </c>
      <c r="AJ72" s="73">
        <f t="shared" si="11"/>
        <v>32.60652833</v>
      </c>
      <c r="AK72" s="73">
        <f t="shared" si="12"/>
        <v>15.62131696</v>
      </c>
      <c r="AL72" s="11"/>
      <c r="AM72" s="51">
        <f t="shared" si="13"/>
        <v>1274.672209</v>
      </c>
      <c r="AN72" s="51" t="str">
        <f t="array" ref="AN72">XLOOKUP(D72,RUC!$B$3:$B$565,RUC!$M$3:$M$565)</f>
        <v>Richard Sapacayo</v>
      </c>
      <c r="AO72" s="131" t="s">
        <v>561</v>
      </c>
      <c r="AP72" s="57" t="s">
        <v>1265</v>
      </c>
      <c r="AQ72" s="57" t="s">
        <v>1266</v>
      </c>
    </row>
    <row r="73" ht="15.0" customHeight="1">
      <c r="A73" s="116" t="s">
        <v>1281</v>
      </c>
      <c r="B73" s="56">
        <v>45910.0</v>
      </c>
      <c r="C73" s="182">
        <v>45901.0</v>
      </c>
      <c r="D73" s="57" t="s">
        <v>295</v>
      </c>
      <c r="E73" s="3">
        <f t="array" ref="E73">XLOOKUP(D73,RUC!$B$3:$B$110,RUC!$D$3:$D$110)</f>
        <v>20601769396</v>
      </c>
      <c r="G73" s="141">
        <v>47.0</v>
      </c>
      <c r="H73" s="3" t="s">
        <v>47</v>
      </c>
      <c r="I73" s="6">
        <v>3.97</v>
      </c>
      <c r="J73" s="58">
        <v>16.33</v>
      </c>
      <c r="K73" s="59">
        <f t="shared" si="3"/>
        <v>3.322</v>
      </c>
      <c r="L73" s="60">
        <v>0.318</v>
      </c>
      <c r="M73" s="3">
        <v>0.302</v>
      </c>
      <c r="N73" s="75">
        <v>0.355</v>
      </c>
      <c r="O73" s="60">
        <f t="shared" si="35"/>
        <v>0.329</v>
      </c>
      <c r="P73" s="63">
        <v>89.0</v>
      </c>
      <c r="Q73" s="58">
        <v>89.62</v>
      </c>
      <c r="R73" s="65">
        <v>3474.9</v>
      </c>
      <c r="S73" s="66">
        <f t="array" ref="S73">IF((XLOOKUP(D73,RUC!$B$3:$B$63,RUC!$E$3:$E$63)+ROUNDDOWN(O73,1)*100)&lt;95,95,((XLOOKUP(D73,RUC!$B$3:$B$63,RUC!$E$3:$E$63)+ROUNDDOWN(O73,1)*100)))</f>
        <v>120</v>
      </c>
      <c r="U73" s="67">
        <f t="array" ref="U73">XLOOKUP(D73,RUC!$B$3:$B$110,RUC!$F$3:$F$110)</f>
        <v>120</v>
      </c>
      <c r="V73" s="67">
        <v>1.1023</v>
      </c>
      <c r="Y73" s="57">
        <f t="array" ref="Y73">XLOOKUP(D73,RUC!$B$3:$B$110,RUC!$G$3:$G$110)</f>
        <v>20</v>
      </c>
      <c r="Z73" s="69">
        <f t="array" ref="Z73">XLOOKUP(D73,RUC!$B$3:$B$110,RUC!$H$3:$H$110)</f>
        <v>30</v>
      </c>
      <c r="AA73" s="70">
        <f t="shared" si="5"/>
        <v>50</v>
      </c>
      <c r="AB73" s="71">
        <f t="shared" si="36"/>
        <v>895.4514969</v>
      </c>
      <c r="AC73" s="71">
        <f>+(S73-T73)*V73-'data 1'!$F$4</f>
        <v>52.276</v>
      </c>
      <c r="AD73" s="71">
        <f t="shared" si="6"/>
        <v>7.291186322</v>
      </c>
      <c r="AE73" s="71">
        <f t="shared" si="7"/>
        <v>-14.885</v>
      </c>
      <c r="AF73" s="71">
        <f t="shared" si="8"/>
        <v>-36.45667123</v>
      </c>
      <c r="AG73" s="72">
        <f t="shared" si="32"/>
        <v>25.22551509</v>
      </c>
      <c r="AH73" s="193">
        <f t="shared" si="9"/>
        <v>32.459</v>
      </c>
      <c r="AI73" s="193">
        <f t="shared" si="10"/>
        <v>36.219</v>
      </c>
      <c r="AJ73" s="73">
        <f t="shared" si="11"/>
        <v>27.6762838</v>
      </c>
      <c r="AK73" s="73">
        <f t="shared" si="12"/>
        <v>33.34990507</v>
      </c>
      <c r="AL73" s="11"/>
      <c r="AM73" s="51">
        <f t="shared" si="13"/>
        <v>2974.689873</v>
      </c>
      <c r="AN73" s="51" t="str">
        <f t="array" ref="AN73">XLOOKUP(D73,RUC!$B$3:$B$565,RUC!$M$3:$M$565)</f>
        <v>Evelyn</v>
      </c>
      <c r="AO73" s="131" t="s">
        <v>549</v>
      </c>
      <c r="AP73" s="57" t="s">
        <v>1282</v>
      </c>
      <c r="AQ73" s="57" t="s">
        <v>1283</v>
      </c>
    </row>
    <row r="74" ht="15.0" customHeight="1">
      <c r="A74" s="116" t="s">
        <v>1284</v>
      </c>
      <c r="B74" s="56">
        <v>45914.0</v>
      </c>
      <c r="C74" s="182">
        <v>45901.0</v>
      </c>
      <c r="D74" s="57" t="s">
        <v>295</v>
      </c>
      <c r="E74" s="3">
        <f t="array" ref="E74">XLOOKUP(D74,RUC!$B$3:$B$110,RUC!$D$3:$D$110)</f>
        <v>20601769396</v>
      </c>
      <c r="G74" s="141">
        <v>47.0</v>
      </c>
      <c r="H74" s="3" t="s">
        <v>47</v>
      </c>
      <c r="I74" s="6">
        <v>3.97</v>
      </c>
      <c r="J74" s="58">
        <v>17.2</v>
      </c>
      <c r="K74" s="59">
        <f t="shared" si="3"/>
        <v>3.287</v>
      </c>
      <c r="L74" s="60">
        <v>1.257</v>
      </c>
      <c r="M74" s="3">
        <v>1.172</v>
      </c>
      <c r="N74" s="75">
        <v>1.394</v>
      </c>
      <c r="O74" s="61">
        <v>1.206</v>
      </c>
      <c r="P74" s="63">
        <v>90.0</v>
      </c>
      <c r="Q74" s="58">
        <v>93.8</v>
      </c>
      <c r="R74" s="65">
        <v>3474.9</v>
      </c>
      <c r="S74" s="66">
        <f t="array" ref="S74">IF((XLOOKUP(D74,RUC!$B$3:$B$63,RUC!$E$3:$E$63)+ROUNDDOWN(O74,1)*100)&lt;95,95,((XLOOKUP(D74,RUC!$B$3:$B$63,RUC!$E$3:$E$63)+ROUNDDOWN(O74,1)*100)))</f>
        <v>210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69">
        <f t="array" ref="Z74">XLOOKUP(D74,RUC!$B$3:$B$110,RUC!$H$3:$H$110)</f>
        <v>30</v>
      </c>
      <c r="AA74" s="70">
        <f t="shared" si="5"/>
        <v>50</v>
      </c>
      <c r="AB74" s="71">
        <f t="shared" si="36"/>
        <v>3727.326545</v>
      </c>
      <c r="AC74" s="71">
        <f>+(S74-T74)*V74-'data 1'!$F$4</f>
        <v>151.483</v>
      </c>
      <c r="AD74" s="71">
        <f t="shared" si="6"/>
        <v>176.6437441</v>
      </c>
      <c r="AE74" s="71">
        <f t="shared" si="7"/>
        <v>-14.885</v>
      </c>
      <c r="AF74" s="71">
        <f t="shared" si="8"/>
        <v>176.9100077</v>
      </c>
      <c r="AG74" s="72">
        <f t="shared" si="32"/>
        <v>507.1517518</v>
      </c>
      <c r="AH74" s="193">
        <f t="shared" si="9"/>
        <v>132.876</v>
      </c>
      <c r="AI74" s="193">
        <f t="shared" si="10"/>
        <v>141.659</v>
      </c>
      <c r="AJ74" s="73">
        <f t="shared" si="11"/>
        <v>114.5022002</v>
      </c>
      <c r="AK74" s="73">
        <f t="shared" si="12"/>
        <v>122.3203149</v>
      </c>
      <c r="AL74" s="11"/>
      <c r="AM74" s="51">
        <f t="shared" si="13"/>
        <v>12251.72235</v>
      </c>
      <c r="AN74" s="51" t="str">
        <f t="array" ref="AN74">XLOOKUP(D74,RUC!$B$3:$B$565,RUC!$M$3:$M$565)</f>
        <v>Evelyn</v>
      </c>
      <c r="AO74" s="131" t="s">
        <v>561</v>
      </c>
      <c r="AP74" s="57" t="s">
        <v>1282</v>
      </c>
      <c r="AQ74" s="57" t="s">
        <v>1283</v>
      </c>
    </row>
    <row r="75" ht="15.0" customHeight="1">
      <c r="A75" s="116" t="s">
        <v>1285</v>
      </c>
      <c r="B75" s="56">
        <v>45914.0</v>
      </c>
      <c r="C75" s="182">
        <v>45901.0</v>
      </c>
      <c r="D75" s="57" t="s">
        <v>295</v>
      </c>
      <c r="E75" s="3">
        <f t="array" ref="E75">XLOOKUP(D75,RUC!$B$3:$B$110,RUC!$D$3:$D$110)</f>
        <v>20601769396</v>
      </c>
      <c r="G75" s="141">
        <v>47.0</v>
      </c>
      <c r="H75" s="3" t="s">
        <v>47</v>
      </c>
      <c r="I75" s="6">
        <v>4.02</v>
      </c>
      <c r="J75" s="58">
        <v>17.92</v>
      </c>
      <c r="K75" s="59">
        <f t="shared" si="3"/>
        <v>3.3</v>
      </c>
      <c r="L75" s="60">
        <v>0.366</v>
      </c>
      <c r="M75" s="3">
        <v>0.301</v>
      </c>
      <c r="N75" s="75">
        <v>0.415</v>
      </c>
      <c r="O75" s="61">
        <v>0.415</v>
      </c>
      <c r="P75" s="63">
        <v>87.0</v>
      </c>
      <c r="Q75" s="58">
        <v>87.38</v>
      </c>
      <c r="R75" s="65">
        <v>3474.9</v>
      </c>
      <c r="S75" s="66">
        <f t="array" ref="S75">IF((XLOOKUP(D75,RUC!$B$3:$B$63,RUC!$E$3:$E$63)+ROUNDDOWN(O75,1)*100)&lt;95,95,((XLOOKUP(D75,RUC!$B$3:$B$63,RUC!$E$3:$E$63)+ROUNDDOWN(O75,1)*100)))</f>
        <v>130</v>
      </c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69">
        <f t="array" ref="Z75">XLOOKUP(D75,RUC!$B$3:$B$110,RUC!$H$3:$H$110)</f>
        <v>30</v>
      </c>
      <c r="AA75" s="70">
        <f t="shared" si="5"/>
        <v>50</v>
      </c>
      <c r="AB75" s="71">
        <f t="shared" si="36"/>
        <v>1136.787269</v>
      </c>
      <c r="AC75" s="71">
        <f>+(S75-T75)*V75-'data 1'!$F$4</f>
        <v>63.299</v>
      </c>
      <c r="AD75" s="71">
        <f t="shared" si="6"/>
        <v>5.1433262</v>
      </c>
      <c r="AE75" s="71">
        <f t="shared" si="7"/>
        <v>-14.885</v>
      </c>
      <c r="AF75" s="71">
        <f t="shared" si="8"/>
        <v>-158.3388577</v>
      </c>
      <c r="AG75" s="72">
        <f t="shared" si="32"/>
        <v>-87.78153148</v>
      </c>
      <c r="AH75" s="193">
        <f t="shared" si="9"/>
        <v>36.184</v>
      </c>
      <c r="AI75" s="193">
        <f t="shared" si="10"/>
        <v>41.41</v>
      </c>
      <c r="AJ75" s="73">
        <f t="shared" si="11"/>
        <v>31.05766789</v>
      </c>
      <c r="AK75" s="73">
        <f t="shared" si="12"/>
        <v>40.84983987</v>
      </c>
      <c r="AL75" s="11"/>
      <c r="AM75" s="51">
        <f t="shared" si="13"/>
        <v>3751.397987</v>
      </c>
      <c r="AN75" s="51" t="str">
        <f t="array" ref="AN75">XLOOKUP(D75,RUC!$B$3:$B$565,RUC!$M$3:$M$565)</f>
        <v>Evelyn</v>
      </c>
      <c r="AO75" s="131" t="s">
        <v>549</v>
      </c>
      <c r="AP75" s="57" t="s">
        <v>1282</v>
      </c>
      <c r="AQ75" s="57" t="s">
        <v>1283</v>
      </c>
    </row>
    <row r="76" ht="15.0" customHeight="1">
      <c r="A76" s="116" t="s">
        <v>1286</v>
      </c>
      <c r="B76" s="56">
        <v>45912.0</v>
      </c>
      <c r="C76" s="182">
        <v>45901.0</v>
      </c>
      <c r="D76" s="57" t="s">
        <v>295</v>
      </c>
      <c r="E76" s="3">
        <f t="array" ref="E76">XLOOKUP(D76,RUC!$B$3:$B$110,RUC!$D$3:$D$110)</f>
        <v>20601769396</v>
      </c>
      <c r="G76" s="141">
        <v>22.0</v>
      </c>
      <c r="H76" s="3" t="s">
        <v>339</v>
      </c>
      <c r="I76" s="6">
        <v>2.04</v>
      </c>
      <c r="J76" s="58">
        <v>7.33</v>
      </c>
      <c r="K76" s="59">
        <f t="shared" si="3"/>
        <v>1.89</v>
      </c>
      <c r="L76" s="3">
        <v>0.242</v>
      </c>
      <c r="M76" s="3">
        <v>0.227</v>
      </c>
      <c r="N76" s="62">
        <v>0.227</v>
      </c>
      <c r="O76" s="60">
        <f>+ROUND((M76+N76)/2,3)</f>
        <v>0.227</v>
      </c>
      <c r="P76" s="63">
        <v>82.0</v>
      </c>
      <c r="Q76" s="58">
        <v>82.64</v>
      </c>
      <c r="R76" s="65">
        <v>3474.9</v>
      </c>
      <c r="S76" s="133">
        <v>105.0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69">
        <f t="array" ref="Z76">XLOOKUP(D76,RUC!$B$3:$B$110,RUC!$H$3:$H$110)</f>
        <v>30</v>
      </c>
      <c r="AA76" s="70">
        <f t="shared" si="5"/>
        <v>50</v>
      </c>
      <c r="AB76" s="71">
        <f t="shared" si="36"/>
        <v>517.5090011</v>
      </c>
      <c r="AC76" s="71">
        <f>+(S76-T76)*V76-'data 1'!$F$4</f>
        <v>35.7415</v>
      </c>
      <c r="AD76" s="71">
        <f t="shared" si="6"/>
        <v>5.727626991</v>
      </c>
      <c r="AE76" s="71">
        <f t="shared" si="7"/>
        <v>-14.885</v>
      </c>
      <c r="AF76" s="71">
        <f t="shared" si="8"/>
        <v>45.84172532</v>
      </c>
      <c r="AG76" s="72">
        <f t="shared" si="32"/>
        <v>89.42585231</v>
      </c>
      <c r="AH76" s="193">
        <f t="shared" si="9"/>
        <v>12.959</v>
      </c>
      <c r="AI76" s="193">
        <f t="shared" si="10"/>
        <v>15.681</v>
      </c>
      <c r="AJ76" s="73">
        <f t="shared" si="11"/>
        <v>19.42143834</v>
      </c>
      <c r="AK76" s="73">
        <f t="shared" si="12"/>
        <v>12.06175723</v>
      </c>
      <c r="AL76" s="11"/>
      <c r="AM76" s="51">
        <f t="shared" si="13"/>
        <v>978.0920121</v>
      </c>
      <c r="AN76" s="51" t="str">
        <f t="array" ref="AN76">XLOOKUP(D76,RUC!$B$3:$B$565,RUC!$M$3:$M$565)</f>
        <v>Evelyn</v>
      </c>
      <c r="AO76" s="131" t="s">
        <v>561</v>
      </c>
      <c r="AP76" s="57" t="s">
        <v>1282</v>
      </c>
      <c r="AQ76" s="57" t="s">
        <v>1283</v>
      </c>
    </row>
    <row r="77" ht="15.0" customHeight="1">
      <c r="A77" s="116" t="s">
        <v>1287</v>
      </c>
      <c r="B77" s="56">
        <v>45910.0</v>
      </c>
      <c r="C77" s="182">
        <v>45901.0</v>
      </c>
      <c r="D77" s="57" t="s">
        <v>295</v>
      </c>
      <c r="E77" s="3">
        <f t="array" ref="E77">XLOOKUP(D77,RUC!$B$3:$B$110,RUC!$D$3:$D$110)</f>
        <v>20601769396</v>
      </c>
      <c r="G77" s="141">
        <v>27.0</v>
      </c>
      <c r="H77" s="3" t="s">
        <v>339</v>
      </c>
      <c r="I77" s="6">
        <v>2.71</v>
      </c>
      <c r="J77" s="58">
        <v>6.67</v>
      </c>
      <c r="K77" s="59">
        <f t="shared" si="3"/>
        <v>2.529</v>
      </c>
      <c r="L77" s="61">
        <v>0.39</v>
      </c>
      <c r="M77" s="3">
        <v>0.362</v>
      </c>
      <c r="N77" s="75">
        <v>0.474</v>
      </c>
      <c r="O77" s="61">
        <v>0.418</v>
      </c>
      <c r="P77" s="63">
        <v>88.0</v>
      </c>
      <c r="Q77" s="58">
        <v>89.15</v>
      </c>
      <c r="R77" s="65">
        <v>3474.9</v>
      </c>
      <c r="S77" s="66">
        <f t="array" ref="S77">IF((XLOOKUP(D77,RUC!$B$3:$B$63,RUC!$E$3:$E$63)+ROUNDDOWN(O77,1)*100)&lt;95,95,((XLOOKUP(D77,RUC!$B$3:$B$63,RUC!$E$3:$E$63)+ROUNDDOWN(O77,1)*100)))</f>
        <v>130</v>
      </c>
      <c r="U77" s="67">
        <f t="array" ref="U77">XLOOKUP(D77,RUC!$B$3:$B$110,RUC!$F$3:$F$110)</f>
        <v>120</v>
      </c>
      <c r="V77" s="67">
        <v>1.1023</v>
      </c>
      <c r="Y77" s="199">
        <v>30.0</v>
      </c>
      <c r="Z77" s="69">
        <f t="array" ref="Z77">XLOOKUP(D77,RUC!$B$3:$B$110,RUC!$H$3:$H$110)</f>
        <v>30</v>
      </c>
      <c r="AA77" s="70">
        <f t="shared" si="5"/>
        <v>60</v>
      </c>
      <c r="AB77" s="71">
        <f t="shared" si="36"/>
        <v>1150.87441</v>
      </c>
      <c r="AC77" s="71">
        <f>+(S77-T77)*V77-'data 1'!$F$4</f>
        <v>63.299</v>
      </c>
      <c r="AD77" s="71">
        <f t="shared" si="6"/>
        <v>16.58600662</v>
      </c>
      <c r="AE77" s="71">
        <f t="shared" si="7"/>
        <v>-3.862</v>
      </c>
      <c r="AF77" s="71">
        <f t="shared" si="8"/>
        <v>-92.31212871</v>
      </c>
      <c r="AG77" s="72">
        <f t="shared" si="32"/>
        <v>0.7108779092</v>
      </c>
      <c r="AH77" s="193">
        <f t="shared" si="9"/>
        <v>30.147</v>
      </c>
      <c r="AI77" s="193">
        <f t="shared" si="10"/>
        <v>33.816</v>
      </c>
      <c r="AJ77" s="73">
        <f t="shared" si="11"/>
        <v>33.76460476</v>
      </c>
      <c r="AK77" s="73">
        <f t="shared" si="12"/>
        <v>31.89457743</v>
      </c>
      <c r="AL77" s="11"/>
      <c r="AM77" s="51">
        <f t="shared" si="13"/>
        <v>2910.561384</v>
      </c>
      <c r="AN77" s="51" t="str">
        <f t="array" ref="AN77">XLOOKUP(D77,RUC!$B$3:$B$565,RUC!$M$3:$M$565)</f>
        <v>Evelyn</v>
      </c>
      <c r="AO77" s="131" t="s">
        <v>551</v>
      </c>
      <c r="AP77" s="57" t="s">
        <v>1282</v>
      </c>
      <c r="AQ77" s="57" t="s">
        <v>1283</v>
      </c>
      <c r="AR77" s="437" t="s">
        <v>1271</v>
      </c>
    </row>
    <row r="78" ht="15.0" customHeight="1">
      <c r="A78" s="116" t="s">
        <v>1288</v>
      </c>
      <c r="B78" s="56">
        <v>45910.0</v>
      </c>
      <c r="C78" s="182">
        <v>45901.0</v>
      </c>
      <c r="D78" s="57" t="s">
        <v>295</v>
      </c>
      <c r="E78" s="3">
        <f t="array" ref="E78">XLOOKUP(D78,RUC!$B$3:$B$110,RUC!$D$3:$D$110)</f>
        <v>20601769396</v>
      </c>
      <c r="G78" s="141">
        <v>26.0</v>
      </c>
      <c r="H78" s="3" t="s">
        <v>339</v>
      </c>
      <c r="I78" s="6">
        <v>2.58</v>
      </c>
      <c r="J78" s="58">
        <v>6.6</v>
      </c>
      <c r="K78" s="59">
        <f t="shared" si="3"/>
        <v>2.41</v>
      </c>
      <c r="L78" s="61">
        <v>0.542</v>
      </c>
      <c r="M78" s="60">
        <v>0.53</v>
      </c>
      <c r="N78" s="75">
        <v>0.554</v>
      </c>
      <c r="O78" s="61">
        <v>0.511</v>
      </c>
      <c r="P78" s="63">
        <v>90.0</v>
      </c>
      <c r="Q78" s="58">
        <v>93.91</v>
      </c>
      <c r="R78" s="65">
        <v>3474.9</v>
      </c>
      <c r="S78" s="133">
        <v>135.0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69">
        <f t="array" ref="Z78">XLOOKUP(D78,RUC!$B$3:$B$110,RUC!$H$3:$H$110)</f>
        <v>30</v>
      </c>
      <c r="AA78" s="70">
        <f t="shared" si="5"/>
        <v>50</v>
      </c>
      <c r="AB78" s="71">
        <f t="shared" si="36"/>
        <v>1496.833574</v>
      </c>
      <c r="AC78" s="71">
        <f>+(S78-T78)*V78-'data 1'!$F$4</f>
        <v>68.8105</v>
      </c>
      <c r="AD78" s="71">
        <f t="shared" si="6"/>
        <v>78.3710077</v>
      </c>
      <c r="AE78" s="71">
        <f t="shared" si="7"/>
        <v>-14.885</v>
      </c>
      <c r="AF78" s="71">
        <f t="shared" si="8"/>
        <v>107.6596395</v>
      </c>
      <c r="AG78" s="72">
        <f t="shared" si="32"/>
        <v>256.9561472</v>
      </c>
      <c r="AH78" s="193">
        <f t="shared" si="9"/>
        <v>42.057</v>
      </c>
      <c r="AI78" s="193">
        <f t="shared" si="10"/>
        <v>44.784</v>
      </c>
      <c r="AJ78" s="73">
        <f t="shared" si="11"/>
        <v>49.42957119</v>
      </c>
      <c r="AK78" s="73">
        <f t="shared" si="12"/>
        <v>38.00051841</v>
      </c>
      <c r="AL78" s="11"/>
      <c r="AM78" s="51">
        <f t="shared" si="13"/>
        <v>3607.368912</v>
      </c>
      <c r="AN78" s="51" t="str">
        <f t="array" ref="AN78">XLOOKUP(D78,RUC!$B$3:$B$565,RUC!$M$3:$M$565)</f>
        <v>Evelyn</v>
      </c>
      <c r="AO78" s="131" t="s">
        <v>551</v>
      </c>
      <c r="AP78" s="57" t="s">
        <v>1282</v>
      </c>
      <c r="AQ78" s="57" t="s">
        <v>1283</v>
      </c>
    </row>
    <row r="79" ht="15.0" customHeight="1">
      <c r="A79" s="116" t="s">
        <v>1289</v>
      </c>
      <c r="B79" s="56">
        <v>45910.0</v>
      </c>
      <c r="C79" s="182">
        <v>45901.0</v>
      </c>
      <c r="D79" s="57" t="s">
        <v>295</v>
      </c>
      <c r="E79" s="3">
        <f t="array" ref="E79">XLOOKUP(D79,RUC!$B$3:$B$110,RUC!$D$3:$D$110)</f>
        <v>20601769396</v>
      </c>
      <c r="G79" s="141">
        <v>26.0</v>
      </c>
      <c r="H79" s="3" t="s">
        <v>339</v>
      </c>
      <c r="I79" s="6">
        <v>2.61</v>
      </c>
      <c r="J79" s="58">
        <v>7.5</v>
      </c>
      <c r="K79" s="59">
        <f t="shared" si="3"/>
        <v>2.414</v>
      </c>
      <c r="L79" s="61">
        <v>0.479</v>
      </c>
      <c r="M79" s="3">
        <v>0.404</v>
      </c>
      <c r="N79" s="75">
        <v>0.521</v>
      </c>
      <c r="O79" s="61">
        <v>0.521</v>
      </c>
      <c r="P79" s="63">
        <v>90.0</v>
      </c>
      <c r="Q79" s="58">
        <v>90.91</v>
      </c>
      <c r="R79" s="65">
        <v>3474.9</v>
      </c>
      <c r="S79" s="66">
        <f t="array" ref="S79">IF((XLOOKUP(D79,RUC!$B$3:$B$63,RUC!$E$3:$E$63)+ROUNDDOWN(O79,1)*100)&lt;95,95,((XLOOKUP(D79,RUC!$B$3:$B$63,RUC!$E$3:$E$63)+ROUNDDOWN(O79,1)*100)))</f>
        <v>140</v>
      </c>
      <c r="U79" s="67">
        <f t="array" ref="U79">XLOOKUP(D79,RUC!$B$3:$B$110,RUC!$F$3:$F$110)</f>
        <v>120</v>
      </c>
      <c r="V79" s="67">
        <v>1.1023</v>
      </c>
      <c r="Y79" s="199">
        <v>30.0</v>
      </c>
      <c r="Z79" s="69">
        <f t="array" ref="Z79">XLOOKUP(D79,RUC!$B$3:$B$110,RUC!$H$3:$H$110)</f>
        <v>30</v>
      </c>
      <c r="AA79" s="70">
        <f t="shared" si="5"/>
        <v>60</v>
      </c>
      <c r="AB79" s="71">
        <f t="shared" si="36"/>
        <v>1513.58203</v>
      </c>
      <c r="AC79" s="71">
        <f>+(S79-T79)*V79-'data 1'!$F$4</f>
        <v>74.322</v>
      </c>
      <c r="AD79" s="71">
        <f t="shared" si="6"/>
        <v>16.11967542</v>
      </c>
      <c r="AE79" s="71">
        <f t="shared" si="7"/>
        <v>-3.862</v>
      </c>
      <c r="AF79" s="71">
        <f t="shared" si="8"/>
        <v>-141.2018332</v>
      </c>
      <c r="AG79" s="72">
        <f t="shared" si="32"/>
        <v>-37.6221578</v>
      </c>
      <c r="AH79" s="193">
        <f t="shared" si="9"/>
        <v>36.041</v>
      </c>
      <c r="AI79" s="193">
        <f t="shared" si="10"/>
        <v>39.644</v>
      </c>
      <c r="AJ79" s="73">
        <f t="shared" si="11"/>
        <v>42.28855904</v>
      </c>
      <c r="AK79" s="73">
        <f t="shared" si="12"/>
        <v>38.80847415</v>
      </c>
      <c r="AL79" s="11"/>
      <c r="AM79" s="51">
        <f t="shared" si="13"/>
        <v>3653.78702</v>
      </c>
      <c r="AN79" s="51" t="str">
        <f t="array" ref="AN79">XLOOKUP(D79,RUC!$B$3:$B$565,RUC!$M$3:$M$565)</f>
        <v>Evelyn</v>
      </c>
      <c r="AO79" s="131" t="s">
        <v>551</v>
      </c>
      <c r="AP79" s="57" t="s">
        <v>1282</v>
      </c>
      <c r="AQ79" s="57" t="s">
        <v>1283</v>
      </c>
    </row>
    <row r="80" ht="15.0" customHeight="1">
      <c r="A80" s="116" t="s">
        <v>1290</v>
      </c>
      <c r="B80" s="56">
        <v>45909.0</v>
      </c>
      <c r="C80" s="182">
        <v>45902.0</v>
      </c>
      <c r="D80" s="57" t="s">
        <v>225</v>
      </c>
      <c r="E80" s="3">
        <f t="array" ref="E80">XLOOKUP(D80,RUC!$B$3:$B$110,RUC!$D$3:$D$110)</f>
        <v>10761932735</v>
      </c>
      <c r="G80" s="141" t="s">
        <v>46</v>
      </c>
      <c r="H80" s="3" t="s">
        <v>339</v>
      </c>
      <c r="I80" s="6">
        <v>11.75</v>
      </c>
      <c r="J80" s="58">
        <v>6.4</v>
      </c>
      <c r="K80" s="59">
        <f t="shared" si="3"/>
        <v>10.998</v>
      </c>
      <c r="L80" s="3">
        <v>0.097</v>
      </c>
      <c r="M80" s="3">
        <v>0.082</v>
      </c>
      <c r="N80" s="75">
        <v>0.139</v>
      </c>
      <c r="O80" s="60">
        <f t="shared" ref="O80:O109" si="37">+ROUND((M80+N80)/2,3)</f>
        <v>0.111</v>
      </c>
      <c r="P80" s="63">
        <v>80.0</v>
      </c>
      <c r="Q80" s="58">
        <v>97.78</v>
      </c>
      <c r="R80" s="65">
        <v>3490.0</v>
      </c>
      <c r="S80" s="66">
        <f t="array" ref="S80">IF((XLOOKUP(D80,RUC!$B$3:$B$63,RUC!$E$3:$E$63)+ROUNDDOWN(O80,1)*100)&lt;95,95,((XLOOKUP(D80,RUC!$B$3:$B$63,RUC!$E$3:$E$63)+ROUNDDOWN(O80,1)*100)))</f>
        <v>100</v>
      </c>
      <c r="U80" s="67">
        <f t="array" ref="U80">XLOOKUP(D80,RUC!$B$3:$B$110,RUC!$F$3:$F$110)</f>
        <v>120</v>
      </c>
      <c r="V80" s="67">
        <v>1.1023</v>
      </c>
      <c r="Y80" s="199">
        <v>30.0</v>
      </c>
      <c r="Z80" s="69">
        <f t="array" ref="Z80">XLOOKUP(D80,RUC!$B$3:$B$110,RUC!$H$3:$H$110)</f>
        <v>30</v>
      </c>
      <c r="AA80" s="70">
        <f t="shared" si="5"/>
        <v>60</v>
      </c>
      <c r="AB80" s="71">
        <f t="shared" si="36"/>
        <v>153.5018888</v>
      </c>
      <c r="AC80" s="71">
        <f>+(S80-T80)*V80-'data 1'!$F$4</f>
        <v>30.23</v>
      </c>
      <c r="AD80" s="71">
        <f t="shared" si="6"/>
        <v>64.0668246</v>
      </c>
      <c r="AE80" s="71">
        <f t="shared" si="7"/>
        <v>-3.862</v>
      </c>
      <c r="AF80" s="71">
        <f t="shared" si="8"/>
        <v>-50.85196939</v>
      </c>
      <c r="AG80" s="72">
        <f t="shared" si="32"/>
        <v>56.58285521</v>
      </c>
      <c r="AH80" s="193">
        <f t="shared" si="9"/>
        <v>35.764</v>
      </c>
      <c r="AI80" s="193">
        <f t="shared" si="10"/>
        <v>36.576</v>
      </c>
      <c r="AJ80" s="73">
        <f t="shared" si="11"/>
        <v>7.632106724</v>
      </c>
      <c r="AK80" s="73">
        <f t="shared" si="12"/>
        <v>33.48387796</v>
      </c>
      <c r="AL80" s="11"/>
      <c r="AM80" s="51">
        <f t="shared" si="13"/>
        <v>1688.213773</v>
      </c>
      <c r="AN80" s="51" t="str">
        <f t="array" ref="AN80">XLOOKUP(D80,RUC!$B$3:$B$565,RUC!$M$3:$M$565)</f>
        <v>Richard Sapacayo</v>
      </c>
      <c r="AO80" s="131" t="s">
        <v>549</v>
      </c>
      <c r="AP80" s="57" t="s">
        <v>1291</v>
      </c>
      <c r="AQ80" s="57" t="s">
        <v>1292</v>
      </c>
    </row>
    <row r="81" ht="15.0" customHeight="1">
      <c r="A81" s="116" t="s">
        <v>1293</v>
      </c>
      <c r="B81" s="56">
        <v>45911.0</v>
      </c>
      <c r="C81" s="182">
        <v>45905.0</v>
      </c>
      <c r="D81" s="57" t="s">
        <v>295</v>
      </c>
      <c r="E81" s="3">
        <f t="array" ref="E81">XLOOKUP(D81,RUC!$B$3:$B$110,RUC!$D$3:$D$110)</f>
        <v>20601769396</v>
      </c>
      <c r="G81" s="141">
        <v>50.0</v>
      </c>
      <c r="H81" s="3" t="s">
        <v>339</v>
      </c>
      <c r="I81" s="6">
        <v>3.69</v>
      </c>
      <c r="J81" s="58">
        <v>14.07</v>
      </c>
      <c r="K81" s="59">
        <f t="shared" si="3"/>
        <v>3.171</v>
      </c>
      <c r="L81" s="60">
        <v>0.53</v>
      </c>
      <c r="M81" s="60">
        <v>0.504</v>
      </c>
      <c r="N81" s="62">
        <v>0.504</v>
      </c>
      <c r="O81" s="60">
        <f t="shared" si="37"/>
        <v>0.504</v>
      </c>
      <c r="P81" s="63">
        <v>89.0</v>
      </c>
      <c r="Q81" s="58">
        <v>89.81</v>
      </c>
      <c r="R81" s="65">
        <v>3594.55</v>
      </c>
      <c r="S81" s="66">
        <f t="array" ref="S81">IF((XLOOKUP(D81,RUC!$B$3:$B$106,RUC!$E$3:$E$106)+ROUNDDOWN(O81,1)*100)&lt;95,95,((XLOOKUP(D81,RUC!$B$3:$B$106,RUC!$E$3:$E$106)+ROUNDDOWN(O81,1)*100)))</f>
        <v>140</v>
      </c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69">
        <f t="array" ref="Z81">XLOOKUP(D81,RUC!$B$3:$B$110,RUC!$H$3:$H$110)</f>
        <v>30</v>
      </c>
      <c r="AA81" s="70">
        <f t="shared" si="5"/>
        <v>50</v>
      </c>
      <c r="AB81" s="71">
        <f t="shared" si="36"/>
        <v>1508.546214</v>
      </c>
      <c r="AC81" s="71">
        <f>+(S81-T81)*V81-'data 1'!$F$4</f>
        <v>74.322</v>
      </c>
      <c r="AD81" s="71">
        <f t="shared" si="6"/>
        <v>16.44217482</v>
      </c>
      <c r="AE81" s="71">
        <f t="shared" si="7"/>
        <v>-14.885</v>
      </c>
      <c r="AF81" s="71">
        <f t="shared" si="8"/>
        <v>89.43271546</v>
      </c>
      <c r="AG81" s="72">
        <f t="shared" si="32"/>
        <v>182.3118903</v>
      </c>
      <c r="AH81" s="193">
        <f t="shared" si="9"/>
        <v>51.749</v>
      </c>
      <c r="AI81" s="193">
        <f t="shared" si="10"/>
        <v>57.621</v>
      </c>
      <c r="AJ81" s="73">
        <f t="shared" si="11"/>
        <v>-16.5538775</v>
      </c>
      <c r="AK81" s="73">
        <f t="shared" si="12"/>
        <v>48.76697917</v>
      </c>
      <c r="AL81" s="11"/>
      <c r="AM81" s="51">
        <f t="shared" si="13"/>
        <v>4783.600046</v>
      </c>
      <c r="AN81" s="51" t="str">
        <f t="array" ref="AN81">XLOOKUP(D81,RUC!$B$3:$B$565,RUC!$M$3:$M$565)</f>
        <v>Evelyn</v>
      </c>
      <c r="AO81" s="131" t="s">
        <v>551</v>
      </c>
      <c r="AP81" s="57" t="s">
        <v>1294</v>
      </c>
      <c r="AQ81" s="57" t="s">
        <v>1295</v>
      </c>
      <c r="AR81" s="57" t="s">
        <v>1296</v>
      </c>
    </row>
    <row r="82" ht="15.0" customHeight="1">
      <c r="A82" s="116" t="s">
        <v>1297</v>
      </c>
      <c r="B82" s="56">
        <v>45911.0</v>
      </c>
      <c r="C82" s="182">
        <v>45905.0</v>
      </c>
      <c r="D82" s="57" t="s">
        <v>295</v>
      </c>
      <c r="E82" s="3">
        <f t="array" ref="E82">XLOOKUP(D82,RUC!$B$3:$B$110,RUC!$D$3:$D$110)</f>
        <v>20601769396</v>
      </c>
      <c r="G82" s="141">
        <v>50.0</v>
      </c>
      <c r="H82" s="3" t="s">
        <v>339</v>
      </c>
      <c r="I82" s="6">
        <v>3.75</v>
      </c>
      <c r="J82" s="58">
        <v>15.68</v>
      </c>
      <c r="K82" s="59">
        <f t="shared" si="3"/>
        <v>3.162</v>
      </c>
      <c r="L82" s="60">
        <v>0.546</v>
      </c>
      <c r="M82" s="60">
        <v>0.519</v>
      </c>
      <c r="N82" s="62">
        <v>0.519</v>
      </c>
      <c r="O82" s="60">
        <f t="shared" si="37"/>
        <v>0.519</v>
      </c>
      <c r="P82" s="63">
        <v>88.0</v>
      </c>
      <c r="Q82" s="58">
        <v>88.46</v>
      </c>
      <c r="R82" s="65">
        <v>3594.55</v>
      </c>
      <c r="S82" s="66">
        <f t="array" ref="S82">IF((XLOOKUP(D82,RUC!$B$3:$B$106,RUC!$E$3:$E$106)+ROUNDDOWN(O82,1)*100)&lt;95,95,((XLOOKUP(D82,RUC!$B$3:$B$106,RUC!$E$3:$E$106)+ROUNDDOWN(O82,1)*100)))</f>
        <v>140</v>
      </c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69">
        <f t="array" ref="Z82">XLOOKUP(D82,RUC!$B$3:$B$110,RUC!$H$3:$H$110)</f>
        <v>30</v>
      </c>
      <c r="AA82" s="70">
        <f t="shared" si="5"/>
        <v>50</v>
      </c>
      <c r="AB82" s="71">
        <f t="shared" si="36"/>
        <v>1539.798985</v>
      </c>
      <c r="AC82" s="71">
        <f>+(S82-T82)*V82-'data 1'!$F$4</f>
        <v>74.322</v>
      </c>
      <c r="AD82" s="71">
        <f t="shared" si="6"/>
        <v>9.619419121</v>
      </c>
      <c r="AE82" s="71">
        <f t="shared" si="7"/>
        <v>-14.885</v>
      </c>
      <c r="AF82" s="71">
        <f t="shared" si="8"/>
        <v>91.47640157</v>
      </c>
      <c r="AG82" s="72">
        <f t="shared" si="32"/>
        <v>177.5328207</v>
      </c>
      <c r="AH82" s="193">
        <f t="shared" si="9"/>
        <v>52.361</v>
      </c>
      <c r="AI82" s="193">
        <f t="shared" si="10"/>
        <v>59.192</v>
      </c>
      <c r="AJ82" s="73">
        <f t="shared" si="11"/>
        <v>-16.79727176</v>
      </c>
      <c r="AK82" s="73">
        <f t="shared" si="12"/>
        <v>49.51319652</v>
      </c>
      <c r="AL82" s="11"/>
      <c r="AM82" s="51">
        <f t="shared" si="13"/>
        <v>4868.844392</v>
      </c>
      <c r="AN82" s="51" t="str">
        <f t="array" ref="AN82">XLOOKUP(D82,RUC!$B$3:$B$565,RUC!$M$3:$M$565)</f>
        <v>Evelyn</v>
      </c>
      <c r="AO82" s="131" t="s">
        <v>551</v>
      </c>
      <c r="AP82" s="57" t="s">
        <v>1294</v>
      </c>
      <c r="AQ82" s="57" t="s">
        <v>1295</v>
      </c>
    </row>
    <row r="83" ht="15.0" customHeight="1">
      <c r="A83" s="116" t="s">
        <v>1298</v>
      </c>
      <c r="B83" s="56">
        <v>45911.0</v>
      </c>
      <c r="C83" s="182">
        <v>45905.0</v>
      </c>
      <c r="D83" s="57" t="s">
        <v>295</v>
      </c>
      <c r="E83" s="3">
        <f t="array" ref="E83">XLOOKUP(D83,RUC!$B$3:$B$110,RUC!$D$3:$D$110)</f>
        <v>20601769396</v>
      </c>
      <c r="G83" s="141">
        <v>50.0</v>
      </c>
      <c r="H83" s="3" t="s">
        <v>339</v>
      </c>
      <c r="I83" s="6">
        <v>3.82</v>
      </c>
      <c r="J83" s="58">
        <v>12.5</v>
      </c>
      <c r="K83" s="59">
        <f t="shared" si="3"/>
        <v>3.343</v>
      </c>
      <c r="L83" s="60">
        <v>0.5</v>
      </c>
      <c r="M83" s="60">
        <v>0.475</v>
      </c>
      <c r="N83" s="62">
        <v>0.475</v>
      </c>
      <c r="O83" s="60">
        <f t="shared" si="37"/>
        <v>0.475</v>
      </c>
      <c r="P83" s="63">
        <v>88.0</v>
      </c>
      <c r="Q83" s="58">
        <v>88.8</v>
      </c>
      <c r="R83" s="65">
        <v>3594.55</v>
      </c>
      <c r="S83" s="66">
        <f t="array" ref="S83">IF((XLOOKUP(D83,RUC!$B$3:$B$106,RUC!$E$3:$E$106)+ROUNDDOWN(O83,1)*100)&lt;95,95,((XLOOKUP(D83,RUC!$B$3:$B$106,RUC!$E$3:$E$106)+ROUNDDOWN(O83,1)*100)))</f>
        <v>130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5"/>
        <v>50</v>
      </c>
      <c r="AB83" s="71">
        <f t="shared" si="36"/>
        <v>1402.524522</v>
      </c>
      <c r="AC83" s="71">
        <f>+(S83-T83)*V83-'data 1'!$F$4</f>
        <v>63.299</v>
      </c>
      <c r="AD83" s="71">
        <f t="shared" si="6"/>
        <v>15.31998586</v>
      </c>
      <c r="AE83" s="71">
        <f t="shared" si="7"/>
        <v>-14.885</v>
      </c>
      <c r="AF83" s="71">
        <f t="shared" si="8"/>
        <v>85.02592152</v>
      </c>
      <c r="AG83" s="72">
        <f t="shared" si="32"/>
        <v>165.7599074</v>
      </c>
      <c r="AH83" s="193">
        <f t="shared" si="9"/>
        <v>50.89</v>
      </c>
      <c r="AI83" s="193">
        <f t="shared" si="10"/>
        <v>57.308</v>
      </c>
      <c r="AJ83" s="73">
        <f t="shared" si="11"/>
        <v>-15.44123886</v>
      </c>
      <c r="AK83" s="73">
        <f t="shared" si="12"/>
        <v>47.90950984</v>
      </c>
      <c r="AL83" s="11"/>
      <c r="AM83" s="51">
        <f t="shared" si="13"/>
        <v>4688.639478</v>
      </c>
      <c r="AN83" s="51" t="str">
        <f t="array" ref="AN83">XLOOKUP(D83,RUC!$B$3:$B$565,RUC!$M$3:$M$565)</f>
        <v>Evelyn</v>
      </c>
      <c r="AO83" s="131" t="s">
        <v>547</v>
      </c>
      <c r="AP83" s="57" t="s">
        <v>1294</v>
      </c>
      <c r="AQ83" s="57" t="s">
        <v>1295</v>
      </c>
    </row>
    <row r="84" ht="15.0" customHeight="1">
      <c r="A84" s="116" t="s">
        <v>1299</v>
      </c>
      <c r="B84" s="56">
        <v>45911.0</v>
      </c>
      <c r="C84" s="182">
        <v>45906.0</v>
      </c>
      <c r="D84" s="57" t="s">
        <v>74</v>
      </c>
      <c r="E84" s="3">
        <f t="array" ref="E84">XLOOKUP(D84,RUC!$B$3:$B$110,RUC!$D$3:$D$110)</f>
        <v>10082235774</v>
      </c>
      <c r="G84" s="141">
        <v>75.0</v>
      </c>
      <c r="H84" s="3" t="s">
        <v>47</v>
      </c>
      <c r="I84" s="6">
        <v>7.3</v>
      </c>
      <c r="J84" s="58">
        <v>1.45</v>
      </c>
      <c r="K84" s="59">
        <f t="shared" si="3"/>
        <v>7.194</v>
      </c>
      <c r="L84" s="60">
        <v>0.182</v>
      </c>
      <c r="M84" s="60">
        <v>0.175</v>
      </c>
      <c r="N84" s="62">
        <v>0.175</v>
      </c>
      <c r="O84" s="60">
        <f t="shared" si="37"/>
        <v>0.175</v>
      </c>
      <c r="P84" s="63">
        <v>85.0</v>
      </c>
      <c r="Q84" s="58">
        <v>99.45</v>
      </c>
      <c r="R84" s="65">
        <v>3594.55</v>
      </c>
      <c r="S84" s="133">
        <f t="array" ref="S84">IF((XLOOKUP(D84,RUC!$B$3:$B$106,RUC!$E$3:$E$106)+ROUNDDOWN(O84,1)*100)&lt;95,95,((XLOOKUP(D84,RUC!$B$3:$B$106,RUC!$E$3:$E$106)+ROUNDDOWN(O84,1)*100)))</f>
        <v>95</v>
      </c>
      <c r="U84" s="67">
        <f t="array" ref="U84">XLOOKUP(D84,RUC!$B$3:$B$110,RUC!$F$3:$F$110)</f>
        <v>80</v>
      </c>
      <c r="V84" s="67">
        <v>1.1023</v>
      </c>
      <c r="Y84" s="57" t="str">
        <f t="array" ref="Y84">XLOOKUP(D84,RUC!$B$3:$B$110,RUC!$G$3:$G$110)</f>
        <v/>
      </c>
      <c r="Z84" s="69">
        <f t="array" ref="Z84">XLOOKUP(D84,RUC!$B$3:$B$110,RUC!$H$3:$H$110)</f>
        <v>10</v>
      </c>
      <c r="AA84" s="70">
        <f t="shared" si="5"/>
        <v>10</v>
      </c>
      <c r="AB84" s="71">
        <f t="shared" si="36"/>
        <v>460.5291592</v>
      </c>
      <c r="AC84" s="71">
        <f>+(S84-T84)*V84-'data 1'!$F$4</f>
        <v>24.7185</v>
      </c>
      <c r="AD84" s="71">
        <f t="shared" si="6"/>
        <v>101.8846525</v>
      </c>
      <c r="AE84" s="71">
        <f t="shared" si="7"/>
        <v>-58.977</v>
      </c>
      <c r="AF84" s="71">
        <f t="shared" si="8"/>
        <v>26.96946685</v>
      </c>
      <c r="AG84" s="72">
        <f t="shared" ref="AG84:AG90" si="38">AC84+AD84+AE84+AF84+70</f>
        <v>164.5956194</v>
      </c>
      <c r="AH84" s="193">
        <f t="shared" si="9"/>
        <v>44.643</v>
      </c>
      <c r="AI84" s="193">
        <f t="shared" si="10"/>
        <v>44.89</v>
      </c>
      <c r="AJ84" s="73">
        <f t="shared" si="11"/>
        <v>-14.2753124</v>
      </c>
      <c r="AK84" s="73">
        <f t="shared" si="12"/>
        <v>36.68905089</v>
      </c>
      <c r="AL84" s="11"/>
      <c r="AM84" s="51">
        <f t="shared" si="13"/>
        <v>3313.046771</v>
      </c>
      <c r="AN84" s="51" t="str">
        <f t="array" ref="AN84">XLOOKUP(D84,RUC!$B$3:$B$565,RUC!$M$3:$M$565)</f>
        <v>Melchor Vera</v>
      </c>
      <c r="AO84" s="131" t="s">
        <v>547</v>
      </c>
      <c r="AP84" s="57" t="s">
        <v>1300</v>
      </c>
      <c r="AQ84" s="57" t="s">
        <v>1301</v>
      </c>
    </row>
    <row r="85" ht="15.0" customHeight="1">
      <c r="A85" s="116" t="s">
        <v>1302</v>
      </c>
      <c r="B85" s="56">
        <v>45911.0</v>
      </c>
      <c r="C85" s="182">
        <v>45906.0</v>
      </c>
      <c r="D85" s="57" t="s">
        <v>74</v>
      </c>
      <c r="E85" s="3">
        <f t="array" ref="E85">XLOOKUP(D85,RUC!$B$3:$B$110,RUC!$D$3:$D$110)</f>
        <v>10082235774</v>
      </c>
      <c r="G85" s="141">
        <v>74.0</v>
      </c>
      <c r="H85" s="3" t="s">
        <v>47</v>
      </c>
      <c r="I85" s="6">
        <v>7.12</v>
      </c>
      <c r="J85" s="58">
        <v>1.5</v>
      </c>
      <c r="K85" s="59">
        <f t="shared" si="3"/>
        <v>7.013</v>
      </c>
      <c r="L85" s="60">
        <v>0.142</v>
      </c>
      <c r="M85" s="60">
        <v>0.13499999999999998</v>
      </c>
      <c r="N85" s="62">
        <v>0.13499999999999998</v>
      </c>
      <c r="O85" s="60">
        <f t="shared" si="37"/>
        <v>0.135</v>
      </c>
      <c r="P85" s="63">
        <v>85.0</v>
      </c>
      <c r="Q85" s="58">
        <v>97.89</v>
      </c>
      <c r="R85" s="65">
        <v>3594.55</v>
      </c>
      <c r="S85" s="133">
        <f t="array" ref="S85">IF((XLOOKUP(D85,RUC!$B$3:$B$106,RUC!$E$3:$E$106)+ROUNDDOWN(O85,1)*100)&lt;95,95,((XLOOKUP(D85,RUC!$B$3:$B$106,RUC!$E$3:$E$106)+ROUNDDOWN(O85,1)*100)))</f>
        <v>95</v>
      </c>
      <c r="U85" s="67">
        <f t="array" ref="U85">XLOOKUP(D85,RUC!$B$3:$B$110,RUC!$F$3:$F$110)</f>
        <v>80</v>
      </c>
      <c r="V85" s="67">
        <v>1.1023</v>
      </c>
      <c r="Y85" s="57" t="str">
        <f t="array" ref="Y85">XLOOKUP(D85,RUC!$B$3:$B$110,RUC!$G$3:$G$110)</f>
        <v/>
      </c>
      <c r="Z85" s="69">
        <f t="array" ref="Z85">XLOOKUP(D85,RUC!$B$3:$B$110,RUC!$H$3:$H$110)</f>
        <v>10</v>
      </c>
      <c r="AA85" s="70">
        <f t="shared" si="5"/>
        <v>10</v>
      </c>
      <c r="AB85" s="71">
        <f t="shared" si="36"/>
        <v>328.8101514</v>
      </c>
      <c r="AC85" s="71">
        <f>+(S85-T85)*V85-'data 1'!$F$4</f>
        <v>24.7185</v>
      </c>
      <c r="AD85" s="71">
        <f t="shared" si="6"/>
        <v>70.91054045</v>
      </c>
      <c r="AE85" s="71">
        <f t="shared" si="7"/>
        <v>-58.977</v>
      </c>
      <c r="AF85" s="71">
        <f t="shared" si="8"/>
        <v>26.54641639</v>
      </c>
      <c r="AG85" s="72">
        <f t="shared" si="38"/>
        <v>133.1984568</v>
      </c>
      <c r="AH85" s="193">
        <f t="shared" si="9"/>
        <v>33.423</v>
      </c>
      <c r="AI85" s="193">
        <f t="shared" si="10"/>
        <v>34.143</v>
      </c>
      <c r="AJ85" s="73">
        <f t="shared" si="11"/>
        <v>-10.96316924</v>
      </c>
      <c r="AK85" s="73">
        <f t="shared" si="12"/>
        <v>27.59088318</v>
      </c>
      <c r="AL85" s="11"/>
      <c r="AM85" s="51">
        <f t="shared" si="13"/>
        <v>2305.945591</v>
      </c>
      <c r="AN85" s="51" t="str">
        <f t="array" ref="AN85">XLOOKUP(D85,RUC!$B$3:$B$565,RUC!$M$3:$M$565)</f>
        <v>Melchor Vera</v>
      </c>
      <c r="AO85" s="131" t="s">
        <v>549</v>
      </c>
      <c r="AP85" s="57" t="s">
        <v>1300</v>
      </c>
      <c r="AQ85" s="57" t="s">
        <v>1301</v>
      </c>
    </row>
    <row r="86" ht="15.0" customHeight="1">
      <c r="A86" s="116" t="s">
        <v>1303</v>
      </c>
      <c r="B86" s="56">
        <v>45911.0</v>
      </c>
      <c r="C86" s="182">
        <v>45906.0</v>
      </c>
      <c r="D86" s="57" t="s">
        <v>74</v>
      </c>
      <c r="E86" s="3">
        <f t="array" ref="E86">XLOOKUP(D86,RUC!$B$3:$B$110,RUC!$D$3:$D$110)</f>
        <v>10082235774</v>
      </c>
      <c r="G86" s="141">
        <v>52.0</v>
      </c>
      <c r="H86" s="3" t="s">
        <v>47</v>
      </c>
      <c r="I86" s="6">
        <v>5.17</v>
      </c>
      <c r="J86" s="58">
        <v>1.55</v>
      </c>
      <c r="K86" s="59">
        <f t="shared" si="3"/>
        <v>5.09</v>
      </c>
      <c r="L86" s="60">
        <v>0.15</v>
      </c>
      <c r="M86" s="60">
        <v>0.143</v>
      </c>
      <c r="N86" s="62">
        <v>0.143</v>
      </c>
      <c r="O86" s="60">
        <f t="shared" si="37"/>
        <v>0.143</v>
      </c>
      <c r="P86" s="63">
        <v>85.0</v>
      </c>
      <c r="Q86" s="58">
        <v>96.0</v>
      </c>
      <c r="R86" s="65">
        <v>3594.55</v>
      </c>
      <c r="S86" s="133">
        <f t="array" ref="S86">IF((XLOOKUP(D86,RUC!$B$3:$B$106,RUC!$E$3:$E$106)+ROUNDDOWN(O86,1)*100)&lt;95,95,((XLOOKUP(D86,RUC!$B$3:$B$106,RUC!$E$3:$E$106)+ROUNDDOWN(O86,1)*100)))</f>
        <v>95</v>
      </c>
      <c r="U86" s="67">
        <f t="array" ref="U86">XLOOKUP(D86,RUC!$B$3:$B$110,RUC!$F$3:$F$110)</f>
        <v>80</v>
      </c>
      <c r="V86" s="67">
        <v>1.1023</v>
      </c>
      <c r="Y86" s="57" t="str">
        <f t="array" ref="Y86">XLOOKUP(D86,RUC!$B$3:$B$110,RUC!$G$3:$G$110)</f>
        <v/>
      </c>
      <c r="Z86" s="69">
        <f t="array" ref="Z86">XLOOKUP(D86,RUC!$B$3:$B$110,RUC!$H$3:$H$110)</f>
        <v>10</v>
      </c>
      <c r="AA86" s="70">
        <f t="shared" si="5"/>
        <v>10</v>
      </c>
      <c r="AB86" s="71">
        <f t="shared" si="36"/>
        <v>355.1539529</v>
      </c>
      <c r="AC86" s="71">
        <f>+(S86-T86)*V86-'data 1'!$F$4</f>
        <v>24.7185</v>
      </c>
      <c r="AD86" s="71">
        <f t="shared" si="6"/>
        <v>63.92245967</v>
      </c>
      <c r="AE86" s="71">
        <f t="shared" si="7"/>
        <v>-58.977</v>
      </c>
      <c r="AF86" s="71">
        <f t="shared" si="8"/>
        <v>26.03387448</v>
      </c>
      <c r="AG86" s="72">
        <f t="shared" si="38"/>
        <v>125.6978342</v>
      </c>
      <c r="AH86" s="193">
        <f t="shared" si="9"/>
        <v>25.13</v>
      </c>
      <c r="AI86" s="193">
        <f t="shared" si="10"/>
        <v>26.177</v>
      </c>
      <c r="AJ86" s="73">
        <f t="shared" si="11"/>
        <v>-11.35721736</v>
      </c>
      <c r="AK86" s="73">
        <f t="shared" si="12"/>
        <v>21.21200959</v>
      </c>
      <c r="AL86" s="11"/>
      <c r="AM86" s="51">
        <f t="shared" si="13"/>
        <v>1807.73362</v>
      </c>
      <c r="AN86" s="51" t="str">
        <f t="array" ref="AN86">XLOOKUP(D86,RUC!$B$3:$B$565,RUC!$M$3:$M$565)</f>
        <v>Melchor Vera</v>
      </c>
      <c r="AO86" s="131" t="s">
        <v>549</v>
      </c>
      <c r="AP86" s="57" t="s">
        <v>1300</v>
      </c>
      <c r="AQ86" s="57" t="s">
        <v>1301</v>
      </c>
    </row>
    <row r="87" ht="15.0" customHeight="1">
      <c r="A87" s="116" t="s">
        <v>1304</v>
      </c>
      <c r="B87" s="56">
        <v>45911.0</v>
      </c>
      <c r="C87" s="182">
        <v>45906.0</v>
      </c>
      <c r="D87" s="57" t="s">
        <v>74</v>
      </c>
      <c r="E87" s="3">
        <f t="array" ref="E87">XLOOKUP(D87,RUC!$B$3:$B$110,RUC!$D$3:$D$110)</f>
        <v>10082235774</v>
      </c>
      <c r="G87" s="141">
        <v>14.0</v>
      </c>
      <c r="H87" s="3" t="s">
        <v>47</v>
      </c>
      <c r="I87" s="6">
        <v>1.32</v>
      </c>
      <c r="J87" s="58">
        <v>1.75</v>
      </c>
      <c r="K87" s="59">
        <f t="shared" si="3"/>
        <v>1.297</v>
      </c>
      <c r="L87" s="60">
        <v>0.12</v>
      </c>
      <c r="M87" s="60">
        <v>0.11299999999999999</v>
      </c>
      <c r="N87" s="62">
        <v>0.11299999999999999</v>
      </c>
      <c r="O87" s="60">
        <f t="shared" si="37"/>
        <v>0.113</v>
      </c>
      <c r="P87" s="63">
        <v>85.0</v>
      </c>
      <c r="Q87" s="58">
        <v>96.67</v>
      </c>
      <c r="R87" s="65">
        <v>3594.55</v>
      </c>
      <c r="S87" s="133">
        <f t="array" ref="S87">IF((XLOOKUP(D87,RUC!$B$3:$B$106,RUC!$E$3:$E$106)+ROUNDDOWN(O87,1)*100)&lt;95,95,((XLOOKUP(D87,RUC!$B$3:$B$106,RUC!$E$3:$E$106)+ROUNDDOWN(O87,1)*100)))</f>
        <v>95</v>
      </c>
      <c r="U87" s="67">
        <f t="array" ref="U87">XLOOKUP(D87,RUC!$B$3:$B$110,RUC!$F$3:$F$110)</f>
        <v>80</v>
      </c>
      <c r="V87" s="67">
        <v>1.1023</v>
      </c>
      <c r="Y87" s="57" t="str">
        <f t="array" ref="Y87">XLOOKUP(D87,RUC!$B$3:$B$110,RUC!$G$3:$G$110)</f>
        <v/>
      </c>
      <c r="Z87" s="69">
        <f t="array" ref="Z87">XLOOKUP(D87,RUC!$B$3:$B$110,RUC!$H$3:$H$110)</f>
        <v>10</v>
      </c>
      <c r="AA87" s="70">
        <f t="shared" si="5"/>
        <v>10</v>
      </c>
      <c r="AB87" s="71">
        <f t="shared" si="36"/>
        <v>256.3646971</v>
      </c>
      <c r="AC87" s="71">
        <f>+(S87-T87)*V87-'data 1'!$F$4</f>
        <v>24.7185</v>
      </c>
      <c r="AD87" s="71">
        <f t="shared" si="6"/>
        <v>54.25273486</v>
      </c>
      <c r="AE87" s="71">
        <f t="shared" si="7"/>
        <v>-58.977</v>
      </c>
      <c r="AF87" s="71">
        <f t="shared" si="8"/>
        <v>26.21556923</v>
      </c>
      <c r="AG87" s="72">
        <f t="shared" si="38"/>
        <v>116.2098041</v>
      </c>
      <c r="AH87" s="193">
        <f t="shared" si="9"/>
        <v>5.158</v>
      </c>
      <c r="AI87" s="193">
        <f t="shared" si="10"/>
        <v>5.336</v>
      </c>
      <c r="AJ87" s="73">
        <f t="shared" si="11"/>
        <v>-9.149185018</v>
      </c>
      <c r="AK87" s="73">
        <f t="shared" si="12"/>
        <v>4.271165644</v>
      </c>
      <c r="AL87" s="11"/>
      <c r="AM87" s="51">
        <f t="shared" si="13"/>
        <v>332.5050121</v>
      </c>
      <c r="AN87" s="51" t="str">
        <f t="array" ref="AN87">XLOOKUP(D87,RUC!$B$3:$B$565,RUC!$M$3:$M$565)</f>
        <v>Melchor Vera</v>
      </c>
      <c r="AO87" s="131" t="s">
        <v>547</v>
      </c>
      <c r="AP87" s="57" t="s">
        <v>1300</v>
      </c>
      <c r="AQ87" s="57" t="s">
        <v>1301</v>
      </c>
    </row>
    <row r="88" ht="15.0" customHeight="1">
      <c r="A88" s="116" t="s">
        <v>1305</v>
      </c>
      <c r="B88" s="56">
        <v>45911.0</v>
      </c>
      <c r="C88" s="182">
        <v>45906.0</v>
      </c>
      <c r="D88" s="57" t="s">
        <v>74</v>
      </c>
      <c r="E88" s="3">
        <f t="array" ref="E88">XLOOKUP(D88,RUC!$B$3:$B$110,RUC!$D$3:$D$110)</f>
        <v>10082235774</v>
      </c>
      <c r="G88" s="141">
        <v>80.0</v>
      </c>
      <c r="H88" s="3" t="s">
        <v>47</v>
      </c>
      <c r="I88" s="6">
        <v>7.77</v>
      </c>
      <c r="J88" s="58">
        <v>1.35</v>
      </c>
      <c r="K88" s="59">
        <f t="shared" si="3"/>
        <v>7.665</v>
      </c>
      <c r="L88" s="60">
        <v>0.292</v>
      </c>
      <c r="M88" s="60">
        <v>0.285</v>
      </c>
      <c r="N88" s="75">
        <v>0.306</v>
      </c>
      <c r="O88" s="60">
        <f t="shared" si="37"/>
        <v>0.296</v>
      </c>
      <c r="P88" s="63">
        <v>90.0</v>
      </c>
      <c r="Q88" s="58">
        <v>97.95</v>
      </c>
      <c r="R88" s="65">
        <v>3594.55</v>
      </c>
      <c r="S88" s="133">
        <v>105.0</v>
      </c>
      <c r="U88" s="67">
        <f t="array" ref="U88">XLOOKUP(D88,RUC!$B$3:$B$110,RUC!$F$3:$F$110)</f>
        <v>80</v>
      </c>
      <c r="V88" s="67">
        <v>1.1023</v>
      </c>
      <c r="Y88" s="57" t="str">
        <f t="array" ref="Y88">XLOOKUP(D88,RUC!$B$3:$B$110,RUC!$G$3:$G$110)</f>
        <v/>
      </c>
      <c r="Z88" s="69">
        <f t="array" ref="Z88">XLOOKUP(D88,RUC!$B$3:$B$110,RUC!$H$3:$H$110)</f>
        <v>10</v>
      </c>
      <c r="AA88" s="70">
        <f t="shared" si="5"/>
        <v>10</v>
      </c>
      <c r="AB88" s="71">
        <f t="shared" si="36"/>
        <v>905.2926671</v>
      </c>
      <c r="AC88" s="71">
        <f>+(S88-T88)*V88-'data 1'!$F$4</f>
        <v>35.7415</v>
      </c>
      <c r="AD88" s="71">
        <f t="shared" si="6"/>
        <v>89.93308963</v>
      </c>
      <c r="AE88" s="71">
        <f t="shared" si="7"/>
        <v>-58.977</v>
      </c>
      <c r="AF88" s="71">
        <f t="shared" si="8"/>
        <v>-15.17867861</v>
      </c>
      <c r="AG88" s="72">
        <f t="shared" si="38"/>
        <v>121.518911</v>
      </c>
      <c r="AH88" s="193">
        <f t="shared" si="9"/>
        <v>75.164</v>
      </c>
      <c r="AI88" s="193">
        <f t="shared" si="10"/>
        <v>76.737</v>
      </c>
      <c r="AJ88" s="73">
        <f t="shared" si="11"/>
        <v>-22.55779976</v>
      </c>
      <c r="AK88" s="73">
        <f t="shared" si="12"/>
        <v>70.00925384</v>
      </c>
      <c r="AL88" s="11"/>
      <c r="AM88" s="51">
        <f t="shared" si="13"/>
        <v>6939.068293</v>
      </c>
      <c r="AN88" s="51" t="str">
        <f t="array" ref="AN88">XLOOKUP(D88,RUC!$B$3:$B$565,RUC!$M$3:$M$565)</f>
        <v>Melchor Vera</v>
      </c>
      <c r="AO88" s="131" t="s">
        <v>547</v>
      </c>
      <c r="AP88" s="57" t="s">
        <v>1300</v>
      </c>
      <c r="AQ88" s="57" t="s">
        <v>1301</v>
      </c>
    </row>
    <row r="89" ht="15.0" customHeight="1">
      <c r="A89" s="116" t="s">
        <v>1306</v>
      </c>
      <c r="B89" s="56">
        <v>45911.0</v>
      </c>
      <c r="C89" s="182">
        <v>45906.0</v>
      </c>
      <c r="D89" s="57" t="s">
        <v>74</v>
      </c>
      <c r="E89" s="3">
        <f t="array" ref="E89">XLOOKUP(D89,RUC!$B$3:$B$110,RUC!$D$3:$D$110)</f>
        <v>10082235774</v>
      </c>
      <c r="G89" s="141">
        <v>44.0</v>
      </c>
      <c r="H89" s="3" t="s">
        <v>47</v>
      </c>
      <c r="I89" s="6">
        <v>4.32</v>
      </c>
      <c r="J89" s="58">
        <v>1.15</v>
      </c>
      <c r="K89" s="59">
        <f t="shared" si="3"/>
        <v>4.27</v>
      </c>
      <c r="L89" s="60">
        <v>0.152</v>
      </c>
      <c r="M89" s="60">
        <v>0.145</v>
      </c>
      <c r="N89" s="62">
        <v>0.145</v>
      </c>
      <c r="O89" s="60">
        <f t="shared" si="37"/>
        <v>0.145</v>
      </c>
      <c r="P89" s="63">
        <v>85.0</v>
      </c>
      <c r="Q89" s="58">
        <v>98.03</v>
      </c>
      <c r="R89" s="65">
        <v>3594.55</v>
      </c>
      <c r="S89" s="133">
        <f t="array" ref="S89">IF((XLOOKUP(D89,RUC!$B$3:$B$106,RUC!$E$3:$E$106)+ROUNDDOWN(O89,1)*100)&lt;95,95,((XLOOKUP(D89,RUC!$B$3:$B$106,RUC!$E$3:$E$106)+ROUNDDOWN(O89,1)*100)))</f>
        <v>95</v>
      </c>
      <c r="U89" s="67">
        <f t="array" ref="U89">XLOOKUP(D89,RUC!$B$3:$B$110,RUC!$F$3:$F$110)</f>
        <v>80</v>
      </c>
      <c r="V89" s="67">
        <v>1.1023</v>
      </c>
      <c r="Y89" s="57" t="str">
        <f t="array" ref="Y89">XLOOKUP(D89,RUC!$B$3:$B$110,RUC!$G$3:$G$110)</f>
        <v/>
      </c>
      <c r="Z89" s="69">
        <f t="array" ref="Z89">XLOOKUP(D89,RUC!$B$3:$B$110,RUC!$H$3:$H$110)</f>
        <v>10</v>
      </c>
      <c r="AA89" s="70">
        <f t="shared" si="5"/>
        <v>10</v>
      </c>
      <c r="AB89" s="71">
        <f t="shared" si="36"/>
        <v>361.7399033</v>
      </c>
      <c r="AC89" s="71">
        <f>+(S89-T89)*V89-'data 1'!$F$4</f>
        <v>24.7185</v>
      </c>
      <c r="AD89" s="71">
        <f t="shared" si="6"/>
        <v>76.7286465</v>
      </c>
      <c r="AE89" s="71">
        <f t="shared" si="7"/>
        <v>-58.977</v>
      </c>
      <c r="AF89" s="71">
        <f t="shared" si="8"/>
        <v>26.58438246</v>
      </c>
      <c r="AG89" s="72">
        <f t="shared" si="38"/>
        <v>139.054529</v>
      </c>
      <c r="AH89" s="193">
        <f t="shared" si="9"/>
        <v>21.814</v>
      </c>
      <c r="AI89" s="193">
        <f t="shared" si="10"/>
        <v>22.253</v>
      </c>
      <c r="AJ89" s="73">
        <f t="shared" si="11"/>
        <v>-11.75200685</v>
      </c>
      <c r="AK89" s="73">
        <f t="shared" si="12"/>
        <v>18.04362831</v>
      </c>
      <c r="AL89" s="11"/>
      <c r="AM89" s="51">
        <f t="shared" si="13"/>
        <v>1544.629387</v>
      </c>
      <c r="AN89" s="51" t="str">
        <f t="array" ref="AN89">XLOOKUP(D89,RUC!$B$3:$B$565,RUC!$M$3:$M$565)</f>
        <v>Melchor Vera</v>
      </c>
      <c r="AO89" s="131" t="s">
        <v>547</v>
      </c>
      <c r="AP89" s="57" t="s">
        <v>1300</v>
      </c>
      <c r="AQ89" s="57" t="s">
        <v>1301</v>
      </c>
    </row>
    <row r="90" ht="15.0" customHeight="1">
      <c r="A90" s="116" t="s">
        <v>1307</v>
      </c>
      <c r="B90" s="56">
        <v>45911.0</v>
      </c>
      <c r="C90" s="182">
        <v>45906.0</v>
      </c>
      <c r="D90" s="57" t="s">
        <v>74</v>
      </c>
      <c r="E90" s="3">
        <f t="array" ref="E90">XLOOKUP(D90,RUC!$B$3:$B$110,RUC!$D$3:$D$110)</f>
        <v>10082235774</v>
      </c>
      <c r="G90" s="141">
        <v>33.0</v>
      </c>
      <c r="H90" s="3" t="s">
        <v>47</v>
      </c>
      <c r="I90" s="6">
        <v>3.34</v>
      </c>
      <c r="J90" s="58">
        <v>1.35</v>
      </c>
      <c r="K90" s="59">
        <f t="shared" si="3"/>
        <v>3.295</v>
      </c>
      <c r="L90" s="60">
        <v>0.137</v>
      </c>
      <c r="M90" s="60">
        <v>0.13</v>
      </c>
      <c r="N90" s="62">
        <v>0.13</v>
      </c>
      <c r="O90" s="60">
        <f t="shared" si="37"/>
        <v>0.13</v>
      </c>
      <c r="P90" s="63">
        <v>85.0</v>
      </c>
      <c r="Q90" s="58">
        <v>94.16</v>
      </c>
      <c r="R90" s="65">
        <v>3594.55</v>
      </c>
      <c r="S90" s="133">
        <f t="array" ref="S90">IF((XLOOKUP(D90,RUC!$B$3:$B$106,RUC!$E$3:$E$106)+ROUNDDOWN(O90,1)*100)&lt;95,95,((XLOOKUP(D90,RUC!$B$3:$B$106,RUC!$E$3:$E$106)+ROUNDDOWN(O90,1)*100)))</f>
        <v>95</v>
      </c>
      <c r="U90" s="67">
        <f t="array" ref="U90">XLOOKUP(D90,RUC!$B$3:$B$110,RUC!$F$3:$F$110)</f>
        <v>80</v>
      </c>
      <c r="V90" s="67">
        <v>1.1023</v>
      </c>
      <c r="Y90" s="57" t="str">
        <f t="array" ref="Y90">XLOOKUP(D90,RUC!$B$3:$B$110,RUC!$G$3:$G$110)</f>
        <v/>
      </c>
      <c r="Z90" s="69">
        <f t="array" ref="Z90">XLOOKUP(D90,RUC!$B$3:$B$110,RUC!$H$3:$H$110)</f>
        <v>10</v>
      </c>
      <c r="AA90" s="70">
        <f t="shared" si="5"/>
        <v>10</v>
      </c>
      <c r="AB90" s="71">
        <f t="shared" si="36"/>
        <v>312.3452754</v>
      </c>
      <c r="AC90" s="71">
        <f>+(S90-T90)*V90-'data 1'!$F$4</f>
        <v>24.7185</v>
      </c>
      <c r="AD90" s="71">
        <f t="shared" si="6"/>
        <v>48.61671096</v>
      </c>
      <c r="AE90" s="71">
        <f t="shared" si="7"/>
        <v>-58.977</v>
      </c>
      <c r="AF90" s="71">
        <f t="shared" si="8"/>
        <v>25.53489189</v>
      </c>
      <c r="AG90" s="72">
        <f t="shared" si="38"/>
        <v>109.8931029</v>
      </c>
      <c r="AH90" s="193">
        <f t="shared" si="9"/>
        <v>14.573</v>
      </c>
      <c r="AI90" s="193">
        <f t="shared" si="10"/>
        <v>15.477</v>
      </c>
      <c r="AJ90" s="73">
        <f t="shared" si="11"/>
        <v>-10.17411079</v>
      </c>
      <c r="AK90" s="73">
        <f t="shared" si="12"/>
        <v>12.48322408</v>
      </c>
      <c r="AL90" s="11"/>
      <c r="AM90" s="51">
        <f t="shared" si="13"/>
        <v>1029.177682</v>
      </c>
      <c r="AN90" s="51" t="str">
        <f t="array" ref="AN90">XLOOKUP(D90,RUC!$B$3:$B$565,RUC!$M$3:$M$565)</f>
        <v>Melchor Vera</v>
      </c>
      <c r="AO90" s="131" t="s">
        <v>549</v>
      </c>
      <c r="AP90" s="57" t="s">
        <v>1300</v>
      </c>
      <c r="AQ90" s="57" t="s">
        <v>1301</v>
      </c>
    </row>
    <row r="91" ht="15.0" customHeight="1">
      <c r="A91" s="116" t="s">
        <v>1308</v>
      </c>
      <c r="B91" s="56">
        <v>45914.0</v>
      </c>
      <c r="C91" s="182">
        <v>45908.0</v>
      </c>
      <c r="D91" s="57" t="s">
        <v>295</v>
      </c>
      <c r="E91" s="3">
        <f t="array" ref="E91">XLOOKUP(D91,RUC!$B$3:$B$110,RUC!$D$3:$D$110)</f>
        <v>20601769396</v>
      </c>
      <c r="G91" s="141">
        <v>50.0</v>
      </c>
      <c r="H91" s="3" t="s">
        <v>339</v>
      </c>
      <c r="I91" s="6">
        <v>3.49</v>
      </c>
      <c r="J91" s="58">
        <v>14.33</v>
      </c>
      <c r="K91" s="59">
        <f t="shared" si="3"/>
        <v>2.99</v>
      </c>
      <c r="L91" s="3">
        <v>0.275</v>
      </c>
      <c r="M91" s="60">
        <v>0.26</v>
      </c>
      <c r="N91" s="62">
        <v>0.26</v>
      </c>
      <c r="O91" s="60">
        <f t="shared" si="37"/>
        <v>0.26</v>
      </c>
      <c r="P91" s="63">
        <v>90.0</v>
      </c>
      <c r="Q91" s="58">
        <v>92.73</v>
      </c>
      <c r="R91" s="65">
        <v>3632.65</v>
      </c>
      <c r="S91" s="66">
        <f t="array" ref="S91">IF((XLOOKUP(D91,RUC!$B$3:$B$106,RUC!$E$3:$E$106)+ROUNDDOWN(O91,1)*100)&lt;95,95,((XLOOKUP(D91,RUC!$B$3:$B$106,RUC!$E$3:$E$106)+ROUNDDOWN(O91,1)*100)))</f>
        <v>110</v>
      </c>
      <c r="U91" s="67">
        <f t="array" ref="U91">XLOOKUP(D91,RUC!$B$3:$B$110,RUC!$F$3:$F$110)</f>
        <v>120</v>
      </c>
      <c r="V91" s="67">
        <v>1.1023</v>
      </c>
      <c r="Y91" s="57">
        <f t="array" ref="Y91">XLOOKUP(D91,RUC!$B$3:$B$110,RUC!$G$3:$G$110)</f>
        <v>20</v>
      </c>
      <c r="Z91" s="69">
        <f t="array" ref="Z91">XLOOKUP(D91,RUC!$B$3:$B$110,RUC!$H$3:$H$110)</f>
        <v>30</v>
      </c>
      <c r="AA91" s="70">
        <f t="shared" si="5"/>
        <v>50</v>
      </c>
      <c r="AB91" s="71">
        <f t="shared" si="36"/>
        <v>729.6786182</v>
      </c>
      <c r="AC91" s="71">
        <f>+(S91-T91)*V91-'data 1'!$F$4</f>
        <v>41.253</v>
      </c>
      <c r="AD91" s="71">
        <f t="shared" si="6"/>
        <v>29.06899567</v>
      </c>
      <c r="AE91" s="71">
        <f t="shared" si="7"/>
        <v>-14.885</v>
      </c>
      <c r="AF91" s="71">
        <f t="shared" si="8"/>
        <v>53.85750186</v>
      </c>
      <c r="AG91" s="72">
        <f t="shared" ref="AG91:AG104" si="39">AC91+AD91+AE91+AF91+70-53</f>
        <v>126.2944975</v>
      </c>
      <c r="AH91" s="193">
        <f t="shared" si="9"/>
        <v>26.142</v>
      </c>
      <c r="AI91" s="193">
        <f t="shared" si="10"/>
        <v>28.191</v>
      </c>
      <c r="AJ91" s="73">
        <f t="shared" si="11"/>
        <v>-19.57825054</v>
      </c>
      <c r="AK91" s="73">
        <f t="shared" si="12"/>
        <v>23.9881146</v>
      </c>
      <c r="AL91" s="11"/>
      <c r="AM91" s="51">
        <f t="shared" si="13"/>
        <v>2181.739069</v>
      </c>
      <c r="AN91" s="51" t="str">
        <f t="array" ref="AN91">XLOOKUP(D91,RUC!$B$3:$B$565,RUC!$M$3:$M$565)</f>
        <v>Evelyn</v>
      </c>
      <c r="AO91" s="131" t="s">
        <v>549</v>
      </c>
      <c r="AP91" s="57" t="s">
        <v>1309</v>
      </c>
      <c r="AQ91" s="57" t="s">
        <v>1310</v>
      </c>
    </row>
    <row r="92" ht="15.0" customHeight="1">
      <c r="A92" s="116" t="s">
        <v>1311</v>
      </c>
      <c r="B92" s="56">
        <v>45915.0</v>
      </c>
      <c r="C92" s="182">
        <v>45908.0</v>
      </c>
      <c r="D92" s="57" t="s">
        <v>295</v>
      </c>
      <c r="E92" s="3">
        <f t="array" ref="E92">XLOOKUP(D92,RUC!$B$3:$B$110,RUC!$D$3:$D$110)</f>
        <v>20601769396</v>
      </c>
      <c r="G92" s="141">
        <v>50.0</v>
      </c>
      <c r="H92" s="3" t="s">
        <v>339</v>
      </c>
      <c r="I92" s="6">
        <v>2.75</v>
      </c>
      <c r="J92" s="58">
        <v>30.75</v>
      </c>
      <c r="K92" s="59">
        <f t="shared" si="3"/>
        <v>1.904</v>
      </c>
      <c r="L92" s="3">
        <v>0.295</v>
      </c>
      <c r="M92" s="60">
        <v>0.28</v>
      </c>
      <c r="N92" s="62">
        <v>0.28</v>
      </c>
      <c r="O92" s="60">
        <f t="shared" si="37"/>
        <v>0.28</v>
      </c>
      <c r="P92" s="63">
        <v>90.0</v>
      </c>
      <c r="Q92" s="58">
        <v>91.53</v>
      </c>
      <c r="R92" s="65">
        <v>3632.65</v>
      </c>
      <c r="S92" s="66">
        <f t="array" ref="S92">IF((XLOOKUP(D92,RUC!$B$3:$B$106,RUC!$E$3:$E$106)+ROUNDDOWN(O92,1)*100)&lt;95,95,((XLOOKUP(D92,RUC!$B$3:$B$106,RUC!$E$3:$E$106)+ROUNDDOWN(O92,1)*100)))</f>
        <v>110</v>
      </c>
      <c r="U92" s="67">
        <f t="array" ref="U92">XLOOKUP(D92,RUC!$B$3:$B$110,RUC!$F$3:$F$110)</f>
        <v>120</v>
      </c>
      <c r="V92" s="67">
        <v>1.1023</v>
      </c>
      <c r="Y92" s="57">
        <f t="array" ref="Y92">XLOOKUP(D92,RUC!$B$3:$B$110,RUC!$G$3:$G$110)</f>
        <v>20</v>
      </c>
      <c r="Z92" s="69">
        <f t="array" ref="Z92">XLOOKUP(D92,RUC!$B$3:$B$110,RUC!$H$3:$H$110)</f>
        <v>30</v>
      </c>
      <c r="AA92" s="70">
        <f t="shared" si="5"/>
        <v>50</v>
      </c>
      <c r="AB92" s="71">
        <f t="shared" si="36"/>
        <v>799.3745119</v>
      </c>
      <c r="AC92" s="71">
        <f>+(S92-T92)*V92-'data 1'!$F$4</f>
        <v>41.253</v>
      </c>
      <c r="AD92" s="71">
        <f t="shared" si="6"/>
        <v>17.47624535</v>
      </c>
      <c r="AE92" s="71">
        <f t="shared" si="7"/>
        <v>-14.885</v>
      </c>
      <c r="AF92" s="71">
        <f t="shared" si="8"/>
        <v>53.16054293</v>
      </c>
      <c r="AG92" s="72">
        <f t="shared" si="39"/>
        <v>114.0047883</v>
      </c>
      <c r="AH92" s="193">
        <f t="shared" si="9"/>
        <v>17.626</v>
      </c>
      <c r="AI92" s="193">
        <f t="shared" si="10"/>
        <v>19.257</v>
      </c>
      <c r="AJ92" s="73">
        <f t="shared" si="11"/>
        <v>-20.73033912</v>
      </c>
      <c r="AK92" s="73">
        <f t="shared" si="12"/>
        <v>16.45040347</v>
      </c>
      <c r="AL92" s="11"/>
      <c r="AM92" s="51">
        <f t="shared" si="13"/>
        <v>1522.009071</v>
      </c>
      <c r="AN92" s="51" t="str">
        <f t="array" ref="AN92">XLOOKUP(D92,RUC!$B$3:$B$565,RUC!$M$3:$M$565)</f>
        <v>Evelyn</v>
      </c>
      <c r="AO92" s="131" t="s">
        <v>549</v>
      </c>
      <c r="AP92" s="57" t="s">
        <v>1309</v>
      </c>
      <c r="AQ92" s="57" t="s">
        <v>1310</v>
      </c>
    </row>
    <row r="93" ht="15.0" customHeight="1">
      <c r="A93" s="116" t="s">
        <v>1312</v>
      </c>
      <c r="B93" s="56">
        <v>45915.0</v>
      </c>
      <c r="C93" s="182">
        <v>45908.0</v>
      </c>
      <c r="D93" s="57" t="s">
        <v>295</v>
      </c>
      <c r="E93" s="3">
        <f t="array" ref="E93">XLOOKUP(D93,RUC!$B$3:$B$110,RUC!$D$3:$D$110)</f>
        <v>20601769396</v>
      </c>
      <c r="G93" s="141">
        <v>50.0</v>
      </c>
      <c r="H93" s="3" t="s">
        <v>339</v>
      </c>
      <c r="I93" s="6">
        <v>3.36</v>
      </c>
      <c r="J93" s="58">
        <v>24.87</v>
      </c>
      <c r="K93" s="59">
        <f t="shared" si="3"/>
        <v>2.524</v>
      </c>
      <c r="L93" s="3">
        <v>0.292</v>
      </c>
      <c r="M93" s="60">
        <v>0.277</v>
      </c>
      <c r="N93" s="62">
        <v>0.277</v>
      </c>
      <c r="O93" s="60">
        <f t="shared" si="37"/>
        <v>0.277</v>
      </c>
      <c r="P93" s="63">
        <v>90.0</v>
      </c>
      <c r="Q93" s="58">
        <v>90.75</v>
      </c>
      <c r="R93" s="65">
        <v>3632.65</v>
      </c>
      <c r="S93" s="66">
        <f t="array" ref="S93">IF((XLOOKUP(D93,RUC!$B$3:$B$106,RUC!$E$3:$E$106)+ROUNDDOWN(O93,1)*100)&lt;95,95,((XLOOKUP(D93,RUC!$B$3:$B$106,RUC!$E$3:$E$106)+ROUNDDOWN(O93,1)*100)))</f>
        <v>110</v>
      </c>
      <c r="U93" s="67">
        <f t="array" ref="U93">XLOOKUP(D93,RUC!$B$3:$B$110,RUC!$F$3:$F$110)</f>
        <v>120</v>
      </c>
      <c r="V93" s="67">
        <v>1.1023</v>
      </c>
      <c r="Y93" s="57">
        <f t="array" ref="Y93">XLOOKUP(D93,RUC!$B$3:$B$110,RUC!$G$3:$G$110)</f>
        <v>20</v>
      </c>
      <c r="Z93" s="69">
        <f t="array" ref="Z93">XLOOKUP(D93,RUC!$B$3:$B$110,RUC!$H$3:$H$110)</f>
        <v>30</v>
      </c>
      <c r="AA93" s="70">
        <f t="shared" si="5"/>
        <v>50</v>
      </c>
      <c r="AB93" s="71">
        <f t="shared" si="36"/>
        <v>788.9201279</v>
      </c>
      <c r="AC93" s="71">
        <f>+(S93-T93)*V93-'data 1'!$F$4</f>
        <v>41.253</v>
      </c>
      <c r="AD93" s="71">
        <f t="shared" si="6"/>
        <v>8.479667068</v>
      </c>
      <c r="AE93" s="71">
        <f t="shared" si="7"/>
        <v>-14.885</v>
      </c>
      <c r="AF93" s="71">
        <f t="shared" si="8"/>
        <v>52.70751962</v>
      </c>
      <c r="AG93" s="72">
        <f t="shared" si="39"/>
        <v>104.5551867</v>
      </c>
      <c r="AH93" s="193">
        <f t="shared" si="9"/>
        <v>22.931</v>
      </c>
      <c r="AI93" s="193">
        <f t="shared" si="10"/>
        <v>25.269</v>
      </c>
      <c r="AJ93" s="73">
        <f t="shared" si="11"/>
        <v>-20.34465892</v>
      </c>
      <c r="AK93" s="73">
        <f t="shared" si="12"/>
        <v>21.57350444</v>
      </c>
      <c r="AL93" s="11"/>
      <c r="AM93" s="51">
        <f t="shared" si="13"/>
        <v>1991.234403</v>
      </c>
      <c r="AN93" s="51" t="str">
        <f t="array" ref="AN93">XLOOKUP(D93,RUC!$B$3:$B$565,RUC!$M$3:$M$565)</f>
        <v>Evelyn</v>
      </c>
      <c r="AO93" s="131" t="s">
        <v>549</v>
      </c>
      <c r="AP93" s="57" t="s">
        <v>1309</v>
      </c>
      <c r="AQ93" s="57" t="s">
        <v>1310</v>
      </c>
    </row>
    <row r="94" ht="15.0" customHeight="1">
      <c r="A94" s="116" t="s">
        <v>1313</v>
      </c>
      <c r="B94" s="56">
        <v>45915.0</v>
      </c>
      <c r="C94" s="182">
        <v>45908.0</v>
      </c>
      <c r="D94" s="57" t="s">
        <v>295</v>
      </c>
      <c r="E94" s="3">
        <f t="array" ref="E94">XLOOKUP(D94,RUC!$B$3:$B$110,RUC!$D$3:$D$110)</f>
        <v>20601769396</v>
      </c>
      <c r="G94" s="141">
        <v>50.0</v>
      </c>
      <c r="H94" s="3" t="s">
        <v>339</v>
      </c>
      <c r="I94" s="6">
        <v>3.36</v>
      </c>
      <c r="J94" s="58">
        <v>23.97</v>
      </c>
      <c r="K94" s="59">
        <f t="shared" si="3"/>
        <v>2.555</v>
      </c>
      <c r="L94" s="3">
        <v>0.268</v>
      </c>
      <c r="M94" s="60">
        <v>0.253</v>
      </c>
      <c r="N94" s="62">
        <v>0.253</v>
      </c>
      <c r="O94" s="60">
        <f t="shared" si="37"/>
        <v>0.253</v>
      </c>
      <c r="P94" s="63">
        <v>90.0</v>
      </c>
      <c r="Q94" s="58">
        <v>92.16</v>
      </c>
      <c r="R94" s="65">
        <v>3632.65</v>
      </c>
      <c r="S94" s="66">
        <f t="array" ref="S94">IF((XLOOKUP(D94,RUC!$B$3:$B$106,RUC!$E$3:$E$106)+ROUNDDOWN(O94,1)*100)&lt;95,95,((XLOOKUP(D94,RUC!$B$3:$B$106,RUC!$E$3:$E$106)+ROUNDDOWN(O94,1)*100)))</f>
        <v>110</v>
      </c>
      <c r="U94" s="67">
        <f t="array" ref="U94">XLOOKUP(D94,RUC!$B$3:$B$110,RUC!$F$3:$F$110)</f>
        <v>120</v>
      </c>
      <c r="V94" s="67">
        <v>1.1023</v>
      </c>
      <c r="Y94" s="57">
        <f t="array" ref="Y94">XLOOKUP(D94,RUC!$B$3:$B$110,RUC!$G$3:$G$110)</f>
        <v>20</v>
      </c>
      <c r="Z94" s="69">
        <f t="array" ref="Z94">XLOOKUP(D94,RUC!$B$3:$B$110,RUC!$H$3:$H$110)</f>
        <v>30</v>
      </c>
      <c r="AA94" s="70">
        <f t="shared" si="5"/>
        <v>50</v>
      </c>
      <c r="AB94" s="71">
        <f t="shared" si="36"/>
        <v>705.2850554</v>
      </c>
      <c r="AC94" s="71">
        <f>+(S94-T94)*V94-'data 1'!$F$4</f>
        <v>41.253</v>
      </c>
      <c r="AD94" s="71">
        <f t="shared" si="6"/>
        <v>22.41419942</v>
      </c>
      <c r="AE94" s="71">
        <f t="shared" si="7"/>
        <v>-14.885</v>
      </c>
      <c r="AF94" s="71">
        <f t="shared" si="8"/>
        <v>53.52644637</v>
      </c>
      <c r="AG94" s="72">
        <f t="shared" si="39"/>
        <v>119.3086458</v>
      </c>
      <c r="AH94" s="193">
        <f t="shared" si="9"/>
        <v>21.636</v>
      </c>
      <c r="AI94" s="193">
        <f t="shared" si="10"/>
        <v>23.477</v>
      </c>
      <c r="AJ94" s="73">
        <f t="shared" si="11"/>
        <v>-18.96261328</v>
      </c>
      <c r="AK94" s="73">
        <f t="shared" si="12"/>
        <v>19.9463302</v>
      </c>
      <c r="AL94" s="11"/>
      <c r="AM94" s="51">
        <f t="shared" si="13"/>
        <v>1802.003317</v>
      </c>
      <c r="AN94" s="51" t="str">
        <f t="array" ref="AN94">XLOOKUP(D94,RUC!$B$3:$B$565,RUC!$M$3:$M$565)</f>
        <v>Evelyn</v>
      </c>
      <c r="AO94" s="131" t="s">
        <v>549</v>
      </c>
      <c r="AP94" s="57" t="s">
        <v>1309</v>
      </c>
      <c r="AQ94" s="57" t="s">
        <v>1310</v>
      </c>
    </row>
    <row r="95" ht="15.0" customHeight="1">
      <c r="A95" s="116" t="s">
        <v>1314</v>
      </c>
      <c r="B95" s="56">
        <v>45915.0</v>
      </c>
      <c r="C95" s="182">
        <v>45908.0</v>
      </c>
      <c r="D95" s="57" t="s">
        <v>295</v>
      </c>
      <c r="E95" s="3">
        <f t="array" ref="E95">XLOOKUP(D95,RUC!$B$3:$B$110,RUC!$D$3:$D$110)</f>
        <v>20601769396</v>
      </c>
      <c r="G95" s="141">
        <v>50.0</v>
      </c>
      <c r="H95" s="3" t="s">
        <v>339</v>
      </c>
      <c r="I95" s="6">
        <v>3.38</v>
      </c>
      <c r="J95" s="58">
        <v>22.67</v>
      </c>
      <c r="K95" s="59">
        <f t="shared" si="3"/>
        <v>2.614</v>
      </c>
      <c r="L95" s="3">
        <v>0.292</v>
      </c>
      <c r="M95" s="60">
        <v>0.272</v>
      </c>
      <c r="N95" s="62">
        <v>0.272</v>
      </c>
      <c r="O95" s="60">
        <f t="shared" si="37"/>
        <v>0.272</v>
      </c>
      <c r="P95" s="63">
        <v>86.0</v>
      </c>
      <c r="Q95" s="58">
        <v>86.99</v>
      </c>
      <c r="R95" s="65">
        <v>3632.65</v>
      </c>
      <c r="S95" s="66">
        <f t="array" ref="S95">IF((XLOOKUP(D95,RUC!$B$3:$B$106,RUC!$E$3:$E$106)+ROUNDDOWN(O95,1)*100)&lt;95,95,((XLOOKUP(D95,RUC!$B$3:$B$106,RUC!$E$3:$E$106)+ROUNDDOWN(O95,1)*100)))</f>
        <v>110</v>
      </c>
      <c r="U95" s="67">
        <f t="array" ref="U95">XLOOKUP(D95,RUC!$B$3:$B$110,RUC!$F$3:$F$110)</f>
        <v>120</v>
      </c>
      <c r="V95" s="67">
        <v>1.1023</v>
      </c>
      <c r="Y95" s="57">
        <f t="array" ref="Y95">XLOOKUP(D95,RUC!$B$3:$B$110,RUC!$G$3:$G$110)</f>
        <v>20</v>
      </c>
      <c r="Z95" s="69">
        <f t="array" ref="Z95">XLOOKUP(D95,RUC!$B$3:$B$110,RUC!$H$3:$H$110)</f>
        <v>30</v>
      </c>
      <c r="AA95" s="70">
        <f t="shared" si="5"/>
        <v>50</v>
      </c>
      <c r="AB95" s="71">
        <f t="shared" si="36"/>
        <v>729.3688587</v>
      </c>
      <c r="AC95" s="71">
        <f>+(S95-T95)*V95-'data 1'!$F$4</f>
        <v>41.253</v>
      </c>
      <c r="AD95" s="71">
        <f t="shared" si="6"/>
        <v>11.19316053</v>
      </c>
      <c r="AE95" s="71">
        <f t="shared" si="7"/>
        <v>-14.885</v>
      </c>
      <c r="AF95" s="71">
        <f t="shared" si="8"/>
        <v>67.36495326</v>
      </c>
      <c r="AG95" s="72">
        <f t="shared" si="39"/>
        <v>121.9261138</v>
      </c>
      <c r="AH95" s="193">
        <f t="shared" si="9"/>
        <v>22.765</v>
      </c>
      <c r="AI95" s="193">
        <f t="shared" si="10"/>
        <v>26.17</v>
      </c>
      <c r="AJ95" s="73">
        <f t="shared" si="11"/>
        <v>-19.5017287</v>
      </c>
      <c r="AK95" s="73">
        <f t="shared" si="12"/>
        <v>20.96437926</v>
      </c>
      <c r="AL95" s="11"/>
      <c r="AM95" s="51">
        <f t="shared" si="13"/>
        <v>1906.570197</v>
      </c>
      <c r="AN95" s="51" t="str">
        <f t="array" ref="AN95">XLOOKUP(D95,RUC!$B$3:$B$565,RUC!$M$3:$M$565)</f>
        <v>Evelyn</v>
      </c>
      <c r="AO95" s="131" t="s">
        <v>549</v>
      </c>
      <c r="AP95" s="57" t="s">
        <v>1309</v>
      </c>
      <c r="AQ95" s="57" t="s">
        <v>1310</v>
      </c>
    </row>
    <row r="96" ht="15.0" customHeight="1">
      <c r="A96" s="116" t="s">
        <v>1315</v>
      </c>
      <c r="B96" s="56">
        <v>45922.0</v>
      </c>
      <c r="C96" s="182">
        <v>45909.0</v>
      </c>
      <c r="D96" s="57" t="s">
        <v>602</v>
      </c>
      <c r="E96" s="3">
        <f t="array" ref="E96">XLOOKUP(D96,RUC!$B$3:$B$110,RUC!$D$3:$D$110)</f>
        <v>20169040231</v>
      </c>
      <c r="G96" s="141">
        <v>63.0</v>
      </c>
      <c r="H96" s="3" t="s">
        <v>47</v>
      </c>
      <c r="I96" s="6">
        <v>5.88</v>
      </c>
      <c r="J96" s="58">
        <v>2.2</v>
      </c>
      <c r="K96" s="59">
        <f t="shared" si="3"/>
        <v>5.751</v>
      </c>
      <c r="L96" s="3">
        <v>0.411</v>
      </c>
      <c r="M96" s="60">
        <v>0.39</v>
      </c>
      <c r="N96" s="62">
        <v>0.39</v>
      </c>
      <c r="O96" s="60">
        <f t="shared" si="37"/>
        <v>0.39</v>
      </c>
      <c r="P96" s="63">
        <v>90.0</v>
      </c>
      <c r="Q96" s="58">
        <v>89.05</v>
      </c>
      <c r="R96" s="65">
        <v>3649.55</v>
      </c>
      <c r="S96" s="66">
        <f t="array" ref="S96">IF((XLOOKUP(D96,RUC!$B$3:$B$106,RUC!$E$3:$E$106)+ROUNDDOWN(O96,1)*100)&lt;95,95,((XLOOKUP(D96,RUC!$B$3:$B$106,RUC!$E$3:$E$106)+ROUNDDOWN(O96,1)*100)))</f>
        <v>115</v>
      </c>
      <c r="U96" s="67">
        <f t="array" ref="U96">XLOOKUP(D96,RUC!$B$3:$B$110,RUC!$F$3:$F$110)</f>
        <v>120</v>
      </c>
      <c r="V96" s="67">
        <v>1.1023</v>
      </c>
      <c r="Y96" s="199">
        <v>25.0</v>
      </c>
      <c r="Z96" s="69">
        <f t="array" ref="Z96">XLOOKUP(D96,RUC!$B$3:$B$110,RUC!$H$3:$H$110)</f>
        <v>30</v>
      </c>
      <c r="AA96" s="70">
        <f t="shared" si="5"/>
        <v>55</v>
      </c>
      <c r="AB96" s="71">
        <f t="shared" si="36"/>
        <v>1178.217661</v>
      </c>
      <c r="AC96" s="71">
        <f>+(S96-T96)*V96-'data 1'!$F$4</f>
        <v>46.7645</v>
      </c>
      <c r="AD96" s="71">
        <f t="shared" si="6"/>
        <v>-15.19093737</v>
      </c>
      <c r="AE96" s="71">
        <f t="shared" si="7"/>
        <v>-9.3735</v>
      </c>
      <c r="AF96" s="71">
        <f t="shared" si="8"/>
        <v>72.75659476</v>
      </c>
      <c r="AG96" s="72">
        <f t="shared" si="39"/>
        <v>111.9566574</v>
      </c>
      <c r="AH96" s="193">
        <f t="shared" si="9"/>
        <v>72.165</v>
      </c>
      <c r="AI96" s="193">
        <f t="shared" si="10"/>
        <v>81.039</v>
      </c>
      <c r="AJ96" s="73">
        <f t="shared" si="11"/>
        <v>-34.91745847</v>
      </c>
      <c r="AK96" s="73">
        <f t="shared" si="12"/>
        <v>69.2085186</v>
      </c>
      <c r="AL96" s="11"/>
      <c r="AM96" s="51">
        <f t="shared" si="13"/>
        <v>6775.929767</v>
      </c>
      <c r="AN96" s="51" t="str">
        <f t="array" ref="AN96">XLOOKUP(D96,RUC!$B$3:$B$565,RUC!$M$3:$M$565)</f>
        <v>Ronald Miranda</v>
      </c>
      <c r="AO96" s="131" t="s">
        <v>549</v>
      </c>
      <c r="AP96" s="57" t="s">
        <v>1316</v>
      </c>
      <c r="AQ96" s="57" t="s">
        <v>1317</v>
      </c>
    </row>
    <row r="97" ht="15.0" customHeight="1">
      <c r="A97" s="116" t="s">
        <v>1318</v>
      </c>
      <c r="B97" s="56">
        <v>45922.0</v>
      </c>
      <c r="C97" s="182">
        <v>45909.0</v>
      </c>
      <c r="D97" s="57" t="s">
        <v>602</v>
      </c>
      <c r="E97" s="3">
        <f t="array" ref="E97">XLOOKUP(D97,RUC!$B$3:$B$110,RUC!$D$3:$D$110)</f>
        <v>20169040231</v>
      </c>
      <c r="G97" s="141">
        <v>101.0</v>
      </c>
      <c r="H97" s="3" t="s">
        <v>47</v>
      </c>
      <c r="I97" s="6">
        <v>9.81</v>
      </c>
      <c r="J97" s="58">
        <v>2.65</v>
      </c>
      <c r="K97" s="59">
        <f t="shared" si="3"/>
        <v>9.55</v>
      </c>
      <c r="L97" s="3">
        <v>0.206</v>
      </c>
      <c r="M97" s="60">
        <v>0.191</v>
      </c>
      <c r="N97" s="62">
        <v>0.191</v>
      </c>
      <c r="O97" s="60">
        <f t="shared" si="37"/>
        <v>0.191</v>
      </c>
      <c r="P97" s="63">
        <v>90.0</v>
      </c>
      <c r="Q97" s="58">
        <v>89.32</v>
      </c>
      <c r="R97" s="65">
        <v>3649.55</v>
      </c>
      <c r="S97" s="66">
        <f t="array" ref="S97">IF((XLOOKUP(D97,RUC!$B$3:$B$106,RUC!$E$3:$E$106)+ROUNDDOWN(O97,1)*100)&lt;95,95,((XLOOKUP(D97,RUC!$B$3:$B$106,RUC!$E$3:$E$106)+ROUNDDOWN(O97,1)*100)))</f>
        <v>95</v>
      </c>
      <c r="U97" s="67">
        <f t="array" ref="U97">XLOOKUP(D97,RUC!$B$3:$B$110,RUC!$F$3:$F$110)</f>
        <v>120</v>
      </c>
      <c r="V97" s="67">
        <v>1.1023</v>
      </c>
      <c r="Y97" s="199">
        <v>25.0</v>
      </c>
      <c r="Z97" s="69">
        <f t="array" ref="Z97">XLOOKUP(D97,RUC!$B$3:$B$110,RUC!$H$3:$H$110)</f>
        <v>30</v>
      </c>
      <c r="AA97" s="70">
        <f t="shared" si="5"/>
        <v>55</v>
      </c>
      <c r="AB97" s="71">
        <f t="shared" si="36"/>
        <v>503.4530877</v>
      </c>
      <c r="AC97" s="71">
        <f>+(S97-T97)*V97-'data 1'!$F$4</f>
        <v>24.7185</v>
      </c>
      <c r="AD97" s="71">
        <f t="shared" si="6"/>
        <v>-5.449984649</v>
      </c>
      <c r="AE97" s="71">
        <f t="shared" si="7"/>
        <v>-9.3735</v>
      </c>
      <c r="AF97" s="71">
        <f t="shared" si="8"/>
        <v>52.12656649</v>
      </c>
      <c r="AG97" s="72">
        <f t="shared" si="39"/>
        <v>79.02158184</v>
      </c>
      <c r="AH97" s="193">
        <f t="shared" si="9"/>
        <v>60.246</v>
      </c>
      <c r="AI97" s="193">
        <f t="shared" si="10"/>
        <v>67.45</v>
      </c>
      <c r="AJ97" s="73">
        <f t="shared" si="11"/>
        <v>-17.55427164</v>
      </c>
      <c r="AK97" s="73">
        <f t="shared" si="12"/>
        <v>56.28443587</v>
      </c>
      <c r="AL97" s="11"/>
      <c r="AM97" s="51">
        <f t="shared" si="13"/>
        <v>4807.976987</v>
      </c>
      <c r="AN97" s="51" t="str">
        <f t="array" ref="AN97">XLOOKUP(D97,RUC!$B$3:$B$565,RUC!$M$3:$M$565)</f>
        <v>Ronald Miranda</v>
      </c>
      <c r="AO97" s="131" t="s">
        <v>561</v>
      </c>
      <c r="AP97" s="57" t="s">
        <v>1316</v>
      </c>
      <c r="AQ97" s="57" t="s">
        <v>1317</v>
      </c>
    </row>
    <row r="98" ht="15.0" customHeight="1">
      <c r="A98" s="116" t="s">
        <v>1319</v>
      </c>
      <c r="B98" s="56">
        <v>45922.0</v>
      </c>
      <c r="C98" s="182">
        <v>45909.0</v>
      </c>
      <c r="D98" s="57" t="s">
        <v>602</v>
      </c>
      <c r="E98" s="3">
        <f t="array" ref="E98">XLOOKUP(D98,RUC!$B$3:$B$110,RUC!$D$3:$D$110)</f>
        <v>20169040231</v>
      </c>
      <c r="G98" s="141">
        <v>104.0</v>
      </c>
      <c r="H98" s="3" t="s">
        <v>47</v>
      </c>
      <c r="I98" s="6">
        <v>10.43</v>
      </c>
      <c r="J98" s="58">
        <v>2.7</v>
      </c>
      <c r="K98" s="59">
        <f t="shared" si="3"/>
        <v>10.148</v>
      </c>
      <c r="L98" s="3">
        <v>0.155</v>
      </c>
      <c r="M98" s="60">
        <v>0.14</v>
      </c>
      <c r="N98" s="62">
        <v>0.14</v>
      </c>
      <c r="O98" s="60">
        <f t="shared" si="37"/>
        <v>0.14</v>
      </c>
      <c r="P98" s="63">
        <v>85.0</v>
      </c>
      <c r="Q98" s="58">
        <v>96.13</v>
      </c>
      <c r="R98" s="65">
        <v>3649.55</v>
      </c>
      <c r="S98" s="66">
        <f t="array" ref="S98">IF((XLOOKUP(D98,RUC!$B$3:$B$106,RUC!$E$3:$E$106)+ROUNDDOWN(O98,1)*100)&lt;95,95,((XLOOKUP(D98,RUC!$B$3:$B$106,RUC!$E$3:$E$106)+ROUNDDOWN(O98,1)*100)))</f>
        <v>95</v>
      </c>
      <c r="U98" s="67">
        <f t="array" ref="U98">XLOOKUP(D98,RUC!$B$3:$B$110,RUC!$F$3:$F$110)</f>
        <v>120</v>
      </c>
      <c r="V98" s="67">
        <v>1.1023</v>
      </c>
      <c r="Y98" s="57">
        <f t="array" ref="Y98">XLOOKUP(D98,RUC!$B$3:$B$110,RUC!$G$3:$G$110)</f>
        <v>20</v>
      </c>
      <c r="Z98" s="69">
        <f t="array" ref="Z98">XLOOKUP(D98,RUC!$B$3:$B$110,RUC!$H$3:$H$110)</f>
        <v>30</v>
      </c>
      <c r="AA98" s="70">
        <f t="shared" si="5"/>
        <v>50</v>
      </c>
      <c r="AB98" s="71">
        <f t="shared" si="36"/>
        <v>303.1506328</v>
      </c>
      <c r="AC98" s="71">
        <f>+(S98-T98)*V98-'data 1'!$F$4</f>
        <v>24.7185</v>
      </c>
      <c r="AD98" s="71">
        <f t="shared" si="6"/>
        <v>67.11908208</v>
      </c>
      <c r="AE98" s="71">
        <f t="shared" si="7"/>
        <v>-14.885</v>
      </c>
      <c r="AF98" s="71">
        <f t="shared" si="8"/>
        <v>56.10083784</v>
      </c>
      <c r="AG98" s="72">
        <f t="shared" si="39"/>
        <v>150.0534199</v>
      </c>
      <c r="AH98" s="193">
        <f t="shared" si="9"/>
        <v>51.842</v>
      </c>
      <c r="AI98" s="193">
        <f t="shared" si="10"/>
        <v>53.929</v>
      </c>
      <c r="AJ98" s="73">
        <f t="shared" si="11"/>
        <v>-14.21534879</v>
      </c>
      <c r="AK98" s="73">
        <f t="shared" si="12"/>
        <v>41.40344603</v>
      </c>
      <c r="AL98" s="11"/>
      <c r="AM98" s="51">
        <f t="shared" si="13"/>
        <v>3076.372622</v>
      </c>
      <c r="AN98" s="51" t="str">
        <f t="array" ref="AN98">XLOOKUP(D98,RUC!$B$3:$B$565,RUC!$M$3:$M$565)</f>
        <v>Ronald Miranda</v>
      </c>
      <c r="AO98" s="131" t="s">
        <v>561</v>
      </c>
      <c r="AP98" s="57" t="s">
        <v>1316</v>
      </c>
      <c r="AQ98" s="57" t="s">
        <v>1317</v>
      </c>
    </row>
    <row r="99" ht="15.0" customHeight="1">
      <c r="A99" s="116" t="s">
        <v>1320</v>
      </c>
      <c r="B99" s="56">
        <v>45922.0</v>
      </c>
      <c r="C99" s="182">
        <v>45910.0</v>
      </c>
      <c r="D99" s="57" t="s">
        <v>665</v>
      </c>
      <c r="E99" s="3">
        <f t="array" ref="E99">XLOOKUP(D99,RUC!$B$3:$B$110,RUC!$D$3:$D$110)</f>
        <v>20608774000</v>
      </c>
      <c r="G99" s="141">
        <v>25.0</v>
      </c>
      <c r="H99" s="3" t="s">
        <v>47</v>
      </c>
      <c r="I99" s="6">
        <v>2.42</v>
      </c>
      <c r="J99" s="58">
        <v>2.45</v>
      </c>
      <c r="K99" s="59">
        <f t="shared" si="3"/>
        <v>2.361</v>
      </c>
      <c r="L99" s="60">
        <v>0.65</v>
      </c>
      <c r="M99" s="3">
        <v>0.618</v>
      </c>
      <c r="N99" s="427">
        <v>0.618</v>
      </c>
      <c r="O99" s="60">
        <f t="shared" si="37"/>
        <v>0.618</v>
      </c>
      <c r="P99" s="63">
        <v>90.0</v>
      </c>
      <c r="Q99" s="58">
        <v>90.46</v>
      </c>
      <c r="R99" s="65">
        <v>3650.75</v>
      </c>
      <c r="S99" s="66">
        <f t="array" ref="S99">IF((XLOOKUP(D99,RUC!$B$3:$B$106,RUC!$E$3:$E$106)+ROUNDDOWN(O99,1)*100)&lt;95,95,((XLOOKUP(D99,RUC!$B$3:$B$106,RUC!$E$3:$E$106)+ROUNDDOWN(O99,1)*100)))</f>
        <v>145</v>
      </c>
      <c r="U99" s="67">
        <f t="array" ref="U99">XLOOKUP(D99,RUC!$B$3:$B$110,RUC!$F$3:$F$110)</f>
        <v>120</v>
      </c>
      <c r="V99" s="67">
        <v>1.1023</v>
      </c>
      <c r="Y99" s="57">
        <f t="array" ref="Y99">XLOOKUP(D99,RUC!$B$3:$B$110,RUC!$G$3:$G$110)</f>
        <v>20</v>
      </c>
      <c r="Z99" s="69">
        <f t="array" ref="Z99">XLOOKUP(D99,RUC!$B$3:$B$110,RUC!$H$3:$H$110)</f>
        <v>30</v>
      </c>
      <c r="AA99" s="70">
        <f t="shared" si="5"/>
        <v>50</v>
      </c>
      <c r="AB99" s="71">
        <f t="shared" si="36"/>
        <v>1949.751712</v>
      </c>
      <c r="AC99" s="71">
        <f>+(S99-T99)*V99-'data 1'!$F$4</f>
        <v>79.8335</v>
      </c>
      <c r="AD99" s="71">
        <f t="shared" si="6"/>
        <v>11.63691772</v>
      </c>
      <c r="AE99" s="71">
        <f t="shared" si="7"/>
        <v>-14.885</v>
      </c>
      <c r="AF99" s="71">
        <f t="shared" si="8"/>
        <v>112.6609313</v>
      </c>
      <c r="AG99" s="72">
        <f t="shared" si="39"/>
        <v>206.246349</v>
      </c>
      <c r="AH99" s="193">
        <f t="shared" si="9"/>
        <v>47.596</v>
      </c>
      <c r="AI99" s="193">
        <f t="shared" si="10"/>
        <v>52.616</v>
      </c>
      <c r="AJ99" s="73">
        <f t="shared" si="11"/>
        <v>-56.87440583</v>
      </c>
      <c r="AK99" s="73">
        <f t="shared" si="12"/>
        <v>45.02316702</v>
      </c>
      <c r="AL99" s="11"/>
      <c r="AM99" s="51">
        <f t="shared" si="13"/>
        <v>4603.363793</v>
      </c>
      <c r="AN99" s="51" t="str">
        <f t="array" ref="AN99">XLOOKUP(D99,RUC!$B$3:$B$565,RUC!$M$3:$M$565)</f>
        <v>Ronald Miranda</v>
      </c>
      <c r="AO99" s="131" t="s">
        <v>561</v>
      </c>
      <c r="AP99" s="57" t="s">
        <v>1321</v>
      </c>
      <c r="AQ99" s="57" t="s">
        <v>1322</v>
      </c>
    </row>
    <row r="100" ht="15.0" customHeight="1">
      <c r="A100" s="116" t="s">
        <v>1323</v>
      </c>
      <c r="B100" s="56">
        <v>45922.0</v>
      </c>
      <c r="C100" s="182">
        <v>45910.0</v>
      </c>
      <c r="D100" s="57" t="s">
        <v>665</v>
      </c>
      <c r="E100" s="3">
        <f t="array" ref="E100">XLOOKUP(D100,RUC!$B$3:$B$110,RUC!$D$3:$D$110)</f>
        <v>20608774000</v>
      </c>
      <c r="G100" s="141">
        <v>53.0</v>
      </c>
      <c r="H100" s="3" t="s">
        <v>47</v>
      </c>
      <c r="I100" s="6">
        <v>5.02</v>
      </c>
      <c r="J100" s="58">
        <v>4.5</v>
      </c>
      <c r="K100" s="59">
        <f t="shared" si="3"/>
        <v>4.794</v>
      </c>
      <c r="L100" s="3">
        <v>0.234</v>
      </c>
      <c r="M100" s="3">
        <v>0.219</v>
      </c>
      <c r="N100" s="427">
        <v>0.219</v>
      </c>
      <c r="O100" s="60">
        <f t="shared" si="37"/>
        <v>0.219</v>
      </c>
      <c r="P100" s="63">
        <v>90.0</v>
      </c>
      <c r="Q100" s="58">
        <v>93.16</v>
      </c>
      <c r="R100" s="65">
        <v>3650.75</v>
      </c>
      <c r="S100" s="66">
        <f t="array" ref="S100">IF((XLOOKUP(D100,RUC!$B$3:$B$106,RUC!$E$3:$E$106)+ROUNDDOWN(O100,1)*100)&lt;95,95,((XLOOKUP(D100,RUC!$B$3:$B$106,RUC!$E$3:$E$106)+ROUNDDOWN(O100,1)*100)))</f>
        <v>105</v>
      </c>
      <c r="U100" s="67">
        <f t="array" ref="U100">XLOOKUP(D100,RUC!$B$3:$B$110,RUC!$F$3:$F$110)</f>
        <v>120</v>
      </c>
      <c r="V100" s="67">
        <v>1.1023</v>
      </c>
      <c r="Y100" s="57">
        <f t="array" ref="Y100">XLOOKUP(D100,RUC!$B$3:$B$110,RUC!$G$3:$G$110)</f>
        <v>20</v>
      </c>
      <c r="Z100" s="69">
        <f t="array" ref="Z100">XLOOKUP(D100,RUC!$B$3:$B$110,RUC!$H$3:$H$110)</f>
        <v>30</v>
      </c>
      <c r="AA100" s="70">
        <f t="shared" si="5"/>
        <v>50</v>
      </c>
      <c r="AB100" s="71">
        <f t="shared" si="36"/>
        <v>596.2460024</v>
      </c>
      <c r="AC100" s="71">
        <f>+(S100-T100)*V100-'data 1'!$F$4</f>
        <v>35.7415</v>
      </c>
      <c r="AD100" s="71">
        <f t="shared" si="6"/>
        <v>28.77860347</v>
      </c>
      <c r="AE100" s="71">
        <f t="shared" si="7"/>
        <v>-14.885</v>
      </c>
      <c r="AF100" s="71">
        <f t="shared" si="8"/>
        <v>54.38604956</v>
      </c>
      <c r="AG100" s="72">
        <f t="shared" si="39"/>
        <v>121.021153</v>
      </c>
      <c r="AH100" s="193">
        <f t="shared" si="9"/>
        <v>35.83</v>
      </c>
      <c r="AI100" s="193">
        <f t="shared" si="10"/>
        <v>38.461</v>
      </c>
      <c r="AJ100" s="73">
        <f t="shared" si="11"/>
        <v>-21.08590618</v>
      </c>
      <c r="AK100" s="73">
        <f t="shared" si="12"/>
        <v>32.39617403</v>
      </c>
      <c r="AL100" s="11"/>
      <c r="AM100" s="51">
        <f t="shared" si="13"/>
        <v>2858.403335</v>
      </c>
      <c r="AN100" s="51" t="str">
        <f t="array" ref="AN100">XLOOKUP(D100,RUC!$B$3:$B$565,RUC!$M$3:$M$565)</f>
        <v>Ronald Miranda</v>
      </c>
      <c r="AO100" s="131" t="s">
        <v>561</v>
      </c>
      <c r="AP100" s="57" t="s">
        <v>1321</v>
      </c>
      <c r="AQ100" s="57" t="s">
        <v>1322</v>
      </c>
    </row>
    <row r="101" ht="15.0" customHeight="1">
      <c r="A101" s="116" t="s">
        <v>1324</v>
      </c>
      <c r="B101" s="56">
        <v>45920.0</v>
      </c>
      <c r="C101" s="182">
        <v>45910.0</v>
      </c>
      <c r="D101" s="57" t="s">
        <v>306</v>
      </c>
      <c r="E101" s="3">
        <f t="array" ref="E101">XLOOKUP(D101,RUC!$B$3:$B$110,RUC!$D$3:$D$110)</f>
        <v>20612921866</v>
      </c>
      <c r="G101" s="141">
        <v>11.0</v>
      </c>
      <c r="H101" s="3" t="s">
        <v>47</v>
      </c>
      <c r="I101" s="6">
        <v>1.26</v>
      </c>
      <c r="J101" s="58">
        <v>1.9</v>
      </c>
      <c r="K101" s="6">
        <f t="shared" si="3"/>
        <v>1.236</v>
      </c>
      <c r="L101" s="3">
        <v>0.194</v>
      </c>
      <c r="M101" s="3">
        <v>0.179</v>
      </c>
      <c r="N101" s="427">
        <v>0.179</v>
      </c>
      <c r="O101" s="60">
        <f t="shared" si="37"/>
        <v>0.179</v>
      </c>
      <c r="P101" s="63">
        <v>90.0</v>
      </c>
      <c r="Q101" s="58">
        <v>94.85</v>
      </c>
      <c r="R101" s="65">
        <v>3650.75</v>
      </c>
      <c r="S101" s="66">
        <f t="array" ref="S101">IF((XLOOKUP(D101,RUC!$B$3:$B$106,RUC!$E$3:$E$106)+ROUNDDOWN(O101,1)*100)&lt;95,95,((XLOOKUP(D101,RUC!$B$3:$B$106,RUC!$E$3:$E$106)+ROUNDDOWN(O101,1)*100)))</f>
        <v>95</v>
      </c>
      <c r="U101" s="67">
        <f t="array" ref="U101">XLOOKUP(D101,RUC!$B$3:$B$110,RUC!$F$3:$F$110)</f>
        <v>100</v>
      </c>
      <c r="V101" s="67">
        <v>1.1023</v>
      </c>
      <c r="Y101" s="57" t="str">
        <f t="array" ref="Y101">XLOOKUP(D101,RUC!$B$3:$B$110,RUC!$G$3:$G$110)</f>
        <v/>
      </c>
      <c r="Z101" s="69">
        <f t="array" ref="Z101">XLOOKUP(D101,RUC!$B$3:$B$110,RUC!$H$3:$H$110)</f>
        <v>30</v>
      </c>
      <c r="AA101" s="70">
        <f t="shared" si="5"/>
        <v>30</v>
      </c>
      <c r="AB101" s="7">
        <f t="shared" si="36"/>
        <v>492.7565669</v>
      </c>
      <c r="AC101" s="108">
        <f>+(S101-T101)*V101-'data 1'!$F$4</f>
        <v>24.7185</v>
      </c>
      <c r="AD101" s="108">
        <f t="shared" si="6"/>
        <v>36.82674814</v>
      </c>
      <c r="AE101" s="108">
        <f t="shared" si="7"/>
        <v>-36.931</v>
      </c>
      <c r="AF101" s="108">
        <f t="shared" si="8"/>
        <v>55.68631727</v>
      </c>
      <c r="AG101" s="72">
        <f t="shared" si="39"/>
        <v>97.30056541</v>
      </c>
      <c r="AH101" s="193">
        <f t="shared" si="9"/>
        <v>7.798</v>
      </c>
      <c r="AI101" s="193">
        <f t="shared" si="10"/>
        <v>8.221</v>
      </c>
      <c r="AJ101" s="73">
        <f t="shared" si="11"/>
        <v>-21.85526876</v>
      </c>
      <c r="AK101" s="73">
        <f t="shared" si="12"/>
        <v>6.826892754</v>
      </c>
      <c r="AL101" s="11"/>
      <c r="AM101" s="51">
        <f t="shared" si="13"/>
        <v>609.0471167</v>
      </c>
      <c r="AN101" s="51" t="str">
        <f t="array" ref="AN101">XLOOKUP(D101,RUC!$B$3:$B$565,RUC!$M$3:$M$565)</f>
        <v>Ronald Garibay</v>
      </c>
      <c r="AO101" s="131" t="s">
        <v>561</v>
      </c>
      <c r="AP101" s="57" t="s">
        <v>1325</v>
      </c>
      <c r="AQ101" s="57" t="s">
        <v>1326</v>
      </c>
    </row>
    <row r="102" ht="15.0" customHeight="1">
      <c r="A102" s="116" t="s">
        <v>1327</v>
      </c>
      <c r="B102" s="56">
        <v>45926.0</v>
      </c>
      <c r="C102" s="182">
        <v>45915.0</v>
      </c>
      <c r="D102" s="57" t="s">
        <v>225</v>
      </c>
      <c r="E102" s="3">
        <f t="array" ref="E102">XLOOKUP(D102,RUC!$B$3:$B$110,RUC!$D$3:$D$110)</f>
        <v>10761932735</v>
      </c>
      <c r="G102" s="141">
        <v>101.0</v>
      </c>
      <c r="H102" s="3" t="s">
        <v>47</v>
      </c>
      <c r="I102" s="6">
        <v>9.26</v>
      </c>
      <c r="J102" s="58">
        <v>18.9</v>
      </c>
      <c r="K102" s="6">
        <f t="shared" si="3"/>
        <v>7.51</v>
      </c>
      <c r="L102" s="3">
        <v>0.165</v>
      </c>
      <c r="M102" s="60">
        <v>0.15</v>
      </c>
      <c r="N102" s="75">
        <v>0.174</v>
      </c>
      <c r="O102" s="60">
        <f t="shared" si="37"/>
        <v>0.162</v>
      </c>
      <c r="P102" s="63">
        <v>90.0</v>
      </c>
      <c r="Q102" s="58">
        <v>92.73</v>
      </c>
      <c r="R102" s="65">
        <v>3657.65</v>
      </c>
      <c r="S102" s="66">
        <f t="array" ref="S102">IF((XLOOKUP(D102,RUC!$B$3:$B$106,RUC!$E$3:$E$106)+ROUNDDOWN(O102,1)*100)&lt;95,95,((XLOOKUP(D102,RUC!$B$3:$B$106,RUC!$E$3:$E$106)+ROUNDDOWN(O102,1)*100)))</f>
        <v>100</v>
      </c>
      <c r="U102" s="67">
        <f t="array" ref="U102">XLOOKUP(D102,RUC!$B$3:$B$110,RUC!$F$3:$F$110)</f>
        <v>120</v>
      </c>
      <c r="V102" s="67">
        <v>1.1023</v>
      </c>
      <c r="Y102" s="57">
        <f t="array" ref="Y102">XLOOKUP(D102,RUC!$B$3:$B$110,RUC!$G$3:$G$110)</f>
        <v>20</v>
      </c>
      <c r="Z102" s="69">
        <f t="array" ref="Z102">XLOOKUP(D102,RUC!$B$3:$B$110,RUC!$H$3:$H$110)</f>
        <v>30</v>
      </c>
      <c r="AA102" s="70">
        <f t="shared" si="5"/>
        <v>50</v>
      </c>
      <c r="AB102" s="71">
        <f t="shared" si="36"/>
        <v>403.2096226</v>
      </c>
      <c r="AC102" s="71">
        <f>+(S102-T102)*V102-'data 1'!$F$4</f>
        <v>30.23</v>
      </c>
      <c r="AD102" s="71">
        <f t="shared" si="6"/>
        <v>17.56553016</v>
      </c>
      <c r="AE102" s="71">
        <f t="shared" si="7"/>
        <v>-14.885</v>
      </c>
      <c r="AF102" s="71">
        <f t="shared" si="8"/>
        <v>10.84816258</v>
      </c>
      <c r="AG102" s="72">
        <f t="shared" si="39"/>
        <v>60.75869274</v>
      </c>
      <c r="AH102" s="193">
        <f t="shared" si="9"/>
        <v>39.396</v>
      </c>
      <c r="AI102" s="193">
        <f t="shared" si="10"/>
        <v>42.485</v>
      </c>
      <c r="AJ102" s="73">
        <f t="shared" si="11"/>
        <v>-15.96337183</v>
      </c>
      <c r="AK102" s="73">
        <f t="shared" si="12"/>
        <v>37.54105993</v>
      </c>
      <c r="AL102" s="11"/>
      <c r="AM102" s="51">
        <f t="shared" si="13"/>
        <v>3028.104265</v>
      </c>
      <c r="AN102" s="51" t="str">
        <f t="array" ref="AN102">XLOOKUP(D102,RUC!$B$3:$B$565,RUC!$M$3:$M$565)</f>
        <v>Richard Sapacayo</v>
      </c>
      <c r="AO102" s="131" t="s">
        <v>561</v>
      </c>
      <c r="AP102" s="57" t="s">
        <v>1328</v>
      </c>
      <c r="AQ102" s="57" t="s">
        <v>1329</v>
      </c>
    </row>
    <row r="103" ht="15.0" customHeight="1">
      <c r="A103" s="116" t="s">
        <v>1330</v>
      </c>
      <c r="B103" s="56">
        <v>45926.0</v>
      </c>
      <c r="C103" s="182">
        <v>45915.0</v>
      </c>
      <c r="D103" s="57" t="s">
        <v>225</v>
      </c>
      <c r="E103" s="3">
        <f t="array" ref="E103">XLOOKUP(D103,RUC!$B$3:$B$110,RUC!$D$3:$D$110)</f>
        <v>10761932735</v>
      </c>
      <c r="G103" s="141">
        <v>17.0</v>
      </c>
      <c r="H103" s="3" t="s">
        <v>47</v>
      </c>
      <c r="I103" s="6">
        <v>1.57</v>
      </c>
      <c r="J103" s="58">
        <v>18.6</v>
      </c>
      <c r="K103" s="6">
        <f t="shared" si="3"/>
        <v>1.278</v>
      </c>
      <c r="L103" s="3">
        <v>0.877</v>
      </c>
      <c r="M103" s="3">
        <v>0.833</v>
      </c>
      <c r="N103" s="427">
        <v>0.833</v>
      </c>
      <c r="O103" s="60">
        <f t="shared" si="37"/>
        <v>0.833</v>
      </c>
      <c r="P103" s="63">
        <v>90.0</v>
      </c>
      <c r="Q103" s="58">
        <v>95.67</v>
      </c>
      <c r="R103" s="65">
        <v>3657.65</v>
      </c>
      <c r="S103" s="66">
        <f t="array" ref="S103">IF((XLOOKUP(D103,RUC!$B$3:$B$106,RUC!$E$3:$E$106)+ROUNDDOWN(O103,1)*100)&lt;95,95,((XLOOKUP(D103,RUC!$B$3:$B$106,RUC!$E$3:$E$106)+ROUNDDOWN(O103,1)*100)))</f>
        <v>170</v>
      </c>
      <c r="U103" s="67">
        <f t="array" ref="U103">XLOOKUP(D103,RUC!$B$3:$B$110,RUC!$F$3:$F$110)</f>
        <v>120</v>
      </c>
      <c r="V103" s="67">
        <v>1.1023</v>
      </c>
      <c r="Y103" s="57">
        <f t="array" ref="Y103">XLOOKUP(D103,RUC!$B$3:$B$110,RUC!$G$3:$G$110)</f>
        <v>20</v>
      </c>
      <c r="Z103" s="69">
        <f t="array" ref="Z103">XLOOKUP(D103,RUC!$B$3:$B$110,RUC!$H$3:$H$110)</f>
        <v>30</v>
      </c>
      <c r="AA103" s="70">
        <f t="shared" si="5"/>
        <v>50</v>
      </c>
      <c r="AB103" s="71">
        <f t="shared" si="36"/>
        <v>2680.987831</v>
      </c>
      <c r="AC103" s="71">
        <f>+(S103-T103)*V103-'data 1'!$F$4</f>
        <v>107.391</v>
      </c>
      <c r="AD103" s="71">
        <f t="shared" si="6"/>
        <v>193.9087127</v>
      </c>
      <c r="AE103" s="71">
        <f t="shared" si="7"/>
        <v>-14.885</v>
      </c>
      <c r="AF103" s="71">
        <f t="shared" si="8"/>
        <v>164.1508445</v>
      </c>
      <c r="AG103" s="72">
        <f t="shared" si="39"/>
        <v>467.5655571</v>
      </c>
      <c r="AH103" s="193">
        <f t="shared" si="9"/>
        <v>36.763</v>
      </c>
      <c r="AI103" s="193">
        <f t="shared" si="10"/>
        <v>38.427</v>
      </c>
      <c r="AJ103" s="73">
        <f t="shared" si="11"/>
        <v>-87.53783332</v>
      </c>
      <c r="AK103" s="73">
        <f t="shared" si="12"/>
        <v>32.84939943</v>
      </c>
      <c r="AL103" s="11"/>
      <c r="AM103" s="51">
        <f t="shared" si="13"/>
        <v>3426.302448</v>
      </c>
      <c r="AN103" s="51" t="str">
        <f t="array" ref="AN103">XLOOKUP(D103,RUC!$B$3:$B$565,RUC!$M$3:$M$565)</f>
        <v>Richard Sapacayo</v>
      </c>
      <c r="AO103" s="131" t="s">
        <v>549</v>
      </c>
      <c r="AP103" s="57" t="s">
        <v>1328</v>
      </c>
      <c r="AQ103" s="57" t="s">
        <v>1329</v>
      </c>
    </row>
    <row r="104" ht="15.0" customHeight="1">
      <c r="A104" s="116" t="s">
        <v>1331</v>
      </c>
      <c r="B104" s="56">
        <v>45926.0</v>
      </c>
      <c r="C104" s="182">
        <v>45915.0</v>
      </c>
      <c r="D104" s="57" t="s">
        <v>225</v>
      </c>
      <c r="E104" s="3">
        <f t="array" ref="E104">XLOOKUP(D104,RUC!$B$3:$B$110,RUC!$D$3:$D$110)</f>
        <v>10761932735</v>
      </c>
      <c r="G104" s="141" t="s">
        <v>46</v>
      </c>
      <c r="H104" s="3" t="s">
        <v>47</v>
      </c>
      <c r="I104" s="6">
        <v>14.99</v>
      </c>
      <c r="J104" s="58">
        <v>14.7</v>
      </c>
      <c r="K104" s="6">
        <f t="shared" si="3"/>
        <v>12.786</v>
      </c>
      <c r="L104" s="3">
        <v>0.315</v>
      </c>
      <c r="M104" s="3">
        <v>0.299</v>
      </c>
      <c r="N104" s="131">
        <v>0.332</v>
      </c>
      <c r="O104" s="60">
        <f t="shared" si="37"/>
        <v>0.316</v>
      </c>
      <c r="P104" s="63">
        <v>90.0</v>
      </c>
      <c r="Q104" s="58">
        <v>98.73</v>
      </c>
      <c r="R104" s="65">
        <v>3657.65</v>
      </c>
      <c r="S104" s="66">
        <f t="array" ref="S104">IF((XLOOKUP(D104,RUC!$B$3:$B$106,RUC!$E$3:$E$106)+ROUNDDOWN(O104,1)*100)&lt;95,95,((XLOOKUP(D104,RUC!$B$3:$B$106,RUC!$E$3:$E$106)+ROUNDDOWN(O104,1)*100)))</f>
        <v>120</v>
      </c>
      <c r="U104" s="67">
        <f t="array" ref="U104">XLOOKUP(D104,RUC!$B$3:$B$110,RUC!$F$3:$F$110)</f>
        <v>120</v>
      </c>
      <c r="V104" s="67">
        <v>1.1023</v>
      </c>
      <c r="Y104" s="57">
        <f t="array" ref="Y104">XLOOKUP(D104,RUC!$B$3:$B$110,RUC!$G$3:$G$110)</f>
        <v>20</v>
      </c>
      <c r="Z104" s="69">
        <f t="array" ref="Z104">XLOOKUP(D104,RUC!$B$3:$B$110,RUC!$H$3:$H$110)</f>
        <v>30</v>
      </c>
      <c r="AA104" s="70">
        <f t="shared" si="5"/>
        <v>50</v>
      </c>
      <c r="AB104" s="71">
        <f t="shared" si="36"/>
        <v>921.6414736</v>
      </c>
      <c r="AC104" s="71">
        <f>+(S104-T104)*V104-'data 1'!$F$4</f>
        <v>52.276</v>
      </c>
      <c r="AD104" s="71">
        <f t="shared" si="6"/>
        <v>107.2357191</v>
      </c>
      <c r="AE104" s="71">
        <f t="shared" si="7"/>
        <v>-14.885</v>
      </c>
      <c r="AF104" s="71">
        <f t="shared" si="8"/>
        <v>-3.85002729</v>
      </c>
      <c r="AG104" s="72">
        <f t="shared" si="39"/>
        <v>157.7766918</v>
      </c>
      <c r="AH104" s="193">
        <f t="shared" si="9"/>
        <v>136.334</v>
      </c>
      <c r="AI104" s="193">
        <f t="shared" si="10"/>
        <v>138.087</v>
      </c>
      <c r="AJ104" s="73">
        <f t="shared" si="11"/>
        <v>-32.44741598</v>
      </c>
      <c r="AK104" s="73">
        <f t="shared" si="12"/>
        <v>124.6732731</v>
      </c>
      <c r="AL104" s="11"/>
      <c r="AM104" s="51">
        <f t="shared" si="13"/>
        <v>11784.10788</v>
      </c>
      <c r="AN104" s="51" t="str">
        <f t="array" ref="AN104">XLOOKUP(D104,RUC!$B$3:$B$565,RUC!$M$3:$M$565)</f>
        <v>Richard Sapacayo</v>
      </c>
      <c r="AO104" s="131" t="s">
        <v>549</v>
      </c>
      <c r="AP104" s="57" t="s">
        <v>1328</v>
      </c>
      <c r="AQ104" s="57" t="s">
        <v>1329</v>
      </c>
    </row>
    <row r="105" ht="15.0" customHeight="1">
      <c r="A105" s="116" t="s">
        <v>1332</v>
      </c>
      <c r="B105" s="56">
        <v>45923.0</v>
      </c>
      <c r="C105" s="182">
        <v>45918.0</v>
      </c>
      <c r="D105" s="57" t="s">
        <v>74</v>
      </c>
      <c r="E105" s="3">
        <f t="array" ref="E105">XLOOKUP(D105,RUC!$B$3:$B$110,RUC!$D$3:$D$110)</f>
        <v>10082235774</v>
      </c>
      <c r="G105" s="141">
        <v>88.0</v>
      </c>
      <c r="H105" s="3" t="s">
        <v>47</v>
      </c>
      <c r="I105" s="6">
        <v>8.61</v>
      </c>
      <c r="J105" s="58">
        <v>1.1</v>
      </c>
      <c r="K105" s="6">
        <f t="shared" si="3"/>
        <v>8.515</v>
      </c>
      <c r="L105" s="3">
        <v>0.466</v>
      </c>
      <c r="M105" s="3">
        <v>0.459</v>
      </c>
      <c r="N105" s="131">
        <v>0.479</v>
      </c>
      <c r="O105" s="60">
        <f t="shared" si="37"/>
        <v>0.469</v>
      </c>
      <c r="P105" s="63">
        <v>90.0</v>
      </c>
      <c r="Q105" s="58">
        <v>97.21</v>
      </c>
      <c r="R105" s="65">
        <v>3643.7</v>
      </c>
      <c r="S105" s="133">
        <v>115.0</v>
      </c>
      <c r="U105" s="67">
        <f t="array" ref="U105">XLOOKUP(D105,RUC!$B$3:$B$110,RUC!$F$3:$F$110)</f>
        <v>80</v>
      </c>
      <c r="V105" s="67">
        <v>1.1023</v>
      </c>
      <c r="Y105" s="57" t="str">
        <f t="array" ref="Y105">XLOOKUP(D105,RUC!$B$3:$B$110,RUC!$G$3:$G$110)</f>
        <v/>
      </c>
      <c r="Z105" s="69">
        <f t="array" ref="Z105">XLOOKUP(D105,RUC!$B$3:$B$110,RUC!$H$3:$H$110)</f>
        <v>10</v>
      </c>
      <c r="AA105" s="70">
        <f t="shared" si="5"/>
        <v>10</v>
      </c>
      <c r="AB105" s="71">
        <f t="shared" si="36"/>
        <v>1520.333794</v>
      </c>
      <c r="AC105" s="71">
        <f>+(S105-T105)*V105-'data 1'!$F$4</f>
        <v>46.7645</v>
      </c>
      <c r="AD105" s="71">
        <f t="shared" si="6"/>
        <v>131.9842552</v>
      </c>
      <c r="AE105" s="71">
        <f t="shared" si="7"/>
        <v>-58.977</v>
      </c>
      <c r="AF105" s="71">
        <f t="shared" si="8"/>
        <v>-11.45600362</v>
      </c>
      <c r="AG105" s="72">
        <f t="shared" ref="AG105:AG106" si="40">AC105+AD105+AE105+AF105+70</f>
        <v>178.3157515</v>
      </c>
      <c r="AH105" s="193">
        <f t="shared" si="9"/>
        <v>132.248</v>
      </c>
      <c r="AI105" s="193">
        <f t="shared" si="10"/>
        <v>136.044</v>
      </c>
      <c r="AJ105" s="73">
        <f t="shared" si="11"/>
        <v>-60.27038106</v>
      </c>
      <c r="AK105" s="73">
        <f t="shared" si="12"/>
        <v>123.2279074</v>
      </c>
      <c r="AM105" s="51">
        <f t="shared" si="13"/>
        <v>12945.64225</v>
      </c>
      <c r="AN105" s="51" t="str">
        <f t="array" ref="AN105">XLOOKUP(D105,RUC!$B$3:$B$565,RUC!$M$3:$M$565)</f>
        <v>Melchor Vera</v>
      </c>
      <c r="AO105" s="131" t="s">
        <v>561</v>
      </c>
      <c r="AP105" s="57" t="s">
        <v>1333</v>
      </c>
      <c r="AQ105" s="57" t="s">
        <v>1334</v>
      </c>
    </row>
    <row r="106" ht="15.0" customHeight="1">
      <c r="A106" s="116" t="s">
        <v>1335</v>
      </c>
      <c r="B106" s="56">
        <v>45923.0</v>
      </c>
      <c r="C106" s="182">
        <v>45918.0</v>
      </c>
      <c r="D106" s="57" t="s">
        <v>74</v>
      </c>
      <c r="E106" s="3">
        <f t="array" ref="E106">XLOOKUP(D106,RUC!$B$3:$B$110,RUC!$D$3:$D$110)</f>
        <v>10082235774</v>
      </c>
      <c r="G106" s="141">
        <v>74.0</v>
      </c>
      <c r="H106" s="3" t="s">
        <v>47</v>
      </c>
      <c r="I106" s="6">
        <v>7.41</v>
      </c>
      <c r="J106" s="58">
        <v>1.3</v>
      </c>
      <c r="K106" s="6">
        <f t="shared" si="3"/>
        <v>7.314</v>
      </c>
      <c r="L106" s="3">
        <v>0.155</v>
      </c>
      <c r="M106" s="3">
        <v>0.148</v>
      </c>
      <c r="N106" s="427">
        <v>0.148</v>
      </c>
      <c r="O106" s="60">
        <f t="shared" si="37"/>
        <v>0.148</v>
      </c>
      <c r="P106" s="63">
        <v>85.0</v>
      </c>
      <c r="Q106" s="58">
        <v>95.48</v>
      </c>
      <c r="R106" s="65">
        <v>3643.7</v>
      </c>
      <c r="S106" s="133">
        <v>95.0</v>
      </c>
      <c r="U106" s="67">
        <f t="array" ref="U106">XLOOKUP(D106,RUC!$B$3:$B$110,RUC!$F$3:$F$110)</f>
        <v>80</v>
      </c>
      <c r="V106" s="67">
        <v>1.1023</v>
      </c>
      <c r="Y106" s="57" t="str">
        <f t="array" ref="Y106">XLOOKUP(D106,RUC!$B$3:$B$110,RUC!$G$3:$G$110)</f>
        <v/>
      </c>
      <c r="Z106" s="69">
        <f t="array" ref="Z106">XLOOKUP(D106,RUC!$B$3:$B$110,RUC!$H$3:$H$110)</f>
        <v>10</v>
      </c>
      <c r="AA106" s="70">
        <f t="shared" si="5"/>
        <v>10</v>
      </c>
      <c r="AB106" s="71">
        <f t="shared" si="36"/>
        <v>378.434427</v>
      </c>
      <c r="AC106" s="71">
        <f>+(S106-T106)*V106-'data 1'!$F$4</f>
        <v>24.7185</v>
      </c>
      <c r="AD106" s="71">
        <f t="shared" si="6"/>
        <v>63.81076119</v>
      </c>
      <c r="AE106" s="71">
        <f t="shared" si="7"/>
        <v>-58.977</v>
      </c>
      <c r="AF106" s="71">
        <f t="shared" si="8"/>
        <v>26.25496205</v>
      </c>
      <c r="AG106" s="72">
        <f t="shared" si="40"/>
        <v>125.8072232</v>
      </c>
      <c r="AH106" s="193">
        <f t="shared" si="9"/>
        <v>37.111</v>
      </c>
      <c r="AI106" s="193">
        <f t="shared" si="10"/>
        <v>38.868</v>
      </c>
      <c r="AJ106" s="73">
        <f t="shared" si="11"/>
        <v>-19.69024799</v>
      </c>
      <c r="AK106" s="73">
        <f t="shared" si="12"/>
        <v>31.54602669</v>
      </c>
      <c r="AM106" s="51">
        <f t="shared" si="13"/>
        <v>2767.869399</v>
      </c>
      <c r="AN106" s="51" t="str">
        <f t="array" ref="AN106">XLOOKUP(D106,RUC!$B$3:$B$565,RUC!$M$3:$M$565)</f>
        <v>Melchor Vera</v>
      </c>
      <c r="AO106" s="131" t="s">
        <v>561</v>
      </c>
      <c r="AP106" s="57" t="s">
        <v>1333</v>
      </c>
      <c r="AQ106" s="57" t="s">
        <v>1334</v>
      </c>
    </row>
    <row r="107" ht="15.0" customHeight="1">
      <c r="A107" s="116" t="s">
        <v>1336</v>
      </c>
      <c r="B107" s="56">
        <v>45923.0</v>
      </c>
      <c r="C107" s="182">
        <v>45918.0</v>
      </c>
      <c r="D107" s="57" t="s">
        <v>602</v>
      </c>
      <c r="E107" s="3">
        <f t="array" ref="E107">XLOOKUP(D107,RUC!$B$3:$B$110,RUC!$D$3:$D$110)</f>
        <v>20169040231</v>
      </c>
      <c r="G107" s="141">
        <v>52.0</v>
      </c>
      <c r="H107" s="3" t="s">
        <v>47</v>
      </c>
      <c r="I107" s="6">
        <v>4.32</v>
      </c>
      <c r="J107" s="58">
        <v>1.2</v>
      </c>
      <c r="K107" s="6">
        <f t="shared" si="3"/>
        <v>4.268</v>
      </c>
      <c r="L107" s="60">
        <v>1.177</v>
      </c>
      <c r="M107" s="3">
        <v>1.118</v>
      </c>
      <c r="N107" s="427">
        <v>1.118</v>
      </c>
      <c r="O107" s="60">
        <f t="shared" si="37"/>
        <v>1.118</v>
      </c>
      <c r="P107" s="63">
        <v>90.0</v>
      </c>
      <c r="Q107" s="58">
        <v>97.85</v>
      </c>
      <c r="R107" s="65">
        <v>3643.7</v>
      </c>
      <c r="S107" s="66">
        <f t="array" ref="S107">IF((XLOOKUP(D107,RUC!$B$3:$B$106,RUC!$E$3:$E$106)+ROUNDDOWN(O107,1)*100)&lt;95,95,((XLOOKUP(D107,RUC!$B$3:$B$106,RUC!$E$3:$E$106)+ROUNDDOWN(O107,1)*100)))</f>
        <v>195</v>
      </c>
      <c r="U107" s="67">
        <f t="array" ref="U107">XLOOKUP(D107,RUC!$B$3:$B$110,RUC!$F$3:$F$110)</f>
        <v>120</v>
      </c>
      <c r="V107" s="67">
        <v>1.1023</v>
      </c>
      <c r="Y107" s="57">
        <f t="array" ref="Y107">XLOOKUP(D107,RUC!$B$3:$B$110,RUC!$G$3:$G$110)</f>
        <v>20</v>
      </c>
      <c r="Z107" s="140">
        <v>35.0</v>
      </c>
      <c r="AA107" s="70">
        <f t="shared" si="5"/>
        <v>55</v>
      </c>
      <c r="AB107" s="71">
        <f t="shared" si="36"/>
        <v>3632.681392</v>
      </c>
      <c r="AC107" s="71">
        <f>+(S107-T107)*V107-'data 1'!$F$4</f>
        <v>134.9485</v>
      </c>
      <c r="AD107" s="71">
        <f t="shared" si="6"/>
        <v>358.8763618</v>
      </c>
      <c r="AE107" s="71">
        <f t="shared" si="7"/>
        <v>-9.3735</v>
      </c>
      <c r="AF107" s="71">
        <f t="shared" si="8"/>
        <v>224.2392207</v>
      </c>
      <c r="AG107" s="72">
        <f t="shared" ref="AG107:AG109" si="41">AC107+AD107+AE107+AF107+70-53</f>
        <v>725.6905825</v>
      </c>
      <c r="AH107" s="193">
        <f t="shared" si="9"/>
        <v>168.527</v>
      </c>
      <c r="AI107" s="193">
        <f t="shared" si="10"/>
        <v>172.23</v>
      </c>
      <c r="AJ107" s="73">
        <f t="shared" si="11"/>
        <v>-102.4496868</v>
      </c>
      <c r="AK107" s="73">
        <f t="shared" si="12"/>
        <v>147.2372824</v>
      </c>
      <c r="AM107" s="51">
        <f t="shared" si="13"/>
        <v>15504.28418</v>
      </c>
      <c r="AN107" s="51" t="str">
        <f t="array" ref="AN107">XLOOKUP(D107,RUC!$B$3:$B$565,RUC!$M$3:$M$565)</f>
        <v>Ronald Miranda</v>
      </c>
      <c r="AO107" s="131" t="s">
        <v>549</v>
      </c>
      <c r="AP107" s="57" t="s">
        <v>1337</v>
      </c>
      <c r="AQ107" s="57" t="s">
        <v>1338</v>
      </c>
    </row>
    <row r="108" ht="15.0" customHeight="1">
      <c r="A108" s="116" t="s">
        <v>1339</v>
      </c>
      <c r="B108" s="56">
        <v>45924.0</v>
      </c>
      <c r="C108" s="182">
        <v>45918.0</v>
      </c>
      <c r="D108" s="57" t="s">
        <v>602</v>
      </c>
      <c r="E108" s="3">
        <f t="array" ref="E108">XLOOKUP(D108,RUC!$B$3:$B$110,RUC!$D$3:$D$110)</f>
        <v>20169040231</v>
      </c>
      <c r="G108" s="141">
        <v>56.0</v>
      </c>
      <c r="H108" s="3" t="s">
        <v>47</v>
      </c>
      <c r="I108" s="6">
        <v>4.91</v>
      </c>
      <c r="J108" s="58">
        <v>1.1</v>
      </c>
      <c r="K108" s="6">
        <f t="shared" si="3"/>
        <v>4.856</v>
      </c>
      <c r="L108" s="3">
        <v>0.507</v>
      </c>
      <c r="M108" s="3">
        <v>0.482</v>
      </c>
      <c r="N108" s="131">
        <v>0.533</v>
      </c>
      <c r="O108" s="60">
        <f t="shared" si="37"/>
        <v>0.508</v>
      </c>
      <c r="P108" s="63">
        <v>85.0</v>
      </c>
      <c r="Q108" s="58">
        <v>86.19</v>
      </c>
      <c r="R108" s="65">
        <v>3643.7</v>
      </c>
      <c r="S108" s="66">
        <f t="array" ref="S108">IF((XLOOKUP(D108,RUC!$B$3:$B$106,RUC!$E$3:$E$106)+ROUNDDOWN(O108,1)*100)&lt;95,95,((XLOOKUP(D108,RUC!$B$3:$B$106,RUC!$E$3:$E$106)+ROUNDDOWN(O108,1)*100)))</f>
        <v>135</v>
      </c>
      <c r="U108" s="67">
        <f t="array" ref="U108">XLOOKUP(D108,RUC!$B$3:$B$110,RUC!$F$3:$F$110)</f>
        <v>120</v>
      </c>
      <c r="V108" s="67">
        <v>1.1023</v>
      </c>
      <c r="Y108" s="199">
        <v>25.0</v>
      </c>
      <c r="Z108" s="140">
        <v>35.0</v>
      </c>
      <c r="AA108" s="70">
        <f t="shared" si="5"/>
        <v>60</v>
      </c>
      <c r="AB108" s="71">
        <f t="shared" si="36"/>
        <v>1462.238053</v>
      </c>
      <c r="AC108" s="71">
        <f>+(S108-T108)*V108-'data 1'!$F$4</f>
        <v>68.8105</v>
      </c>
      <c r="AD108" s="71">
        <f t="shared" si="6"/>
        <v>23.43439007</v>
      </c>
      <c r="AE108" s="71">
        <f t="shared" si="7"/>
        <v>-3.862</v>
      </c>
      <c r="AF108" s="71">
        <f t="shared" si="8"/>
        <v>-3.34777001</v>
      </c>
      <c r="AG108" s="72">
        <f t="shared" si="41"/>
        <v>102.0351201</v>
      </c>
      <c r="AH108" s="193">
        <f t="shared" si="9"/>
        <v>72.753</v>
      </c>
      <c r="AI108" s="193">
        <f t="shared" si="10"/>
        <v>84.41</v>
      </c>
      <c r="AJ108" s="73">
        <f t="shared" si="11"/>
        <v>-38.87211601</v>
      </c>
      <c r="AK108" s="73">
        <f t="shared" si="12"/>
        <v>71.8903148</v>
      </c>
      <c r="AM108" s="51">
        <f t="shared" si="13"/>
        <v>7100.627987</v>
      </c>
      <c r="AN108" s="51" t="str">
        <f t="array" ref="AN108">XLOOKUP(D108,RUC!$B$3:$B$565,RUC!$M$3:$M$565)</f>
        <v>Ronald Miranda</v>
      </c>
      <c r="AO108" s="131" t="s">
        <v>561</v>
      </c>
      <c r="AP108" s="57" t="s">
        <v>1337</v>
      </c>
      <c r="AQ108" s="57" t="s">
        <v>1338</v>
      </c>
    </row>
    <row r="109" ht="15.0" customHeight="1">
      <c r="A109" s="116" t="s">
        <v>1340</v>
      </c>
      <c r="B109" s="56">
        <v>45924.0</v>
      </c>
      <c r="C109" s="182">
        <v>45918.0</v>
      </c>
      <c r="D109" s="57" t="s">
        <v>602</v>
      </c>
      <c r="E109" s="3">
        <f t="array" ref="E109">XLOOKUP(D109,RUC!$B$3:$B$110,RUC!$D$3:$D$110)</f>
        <v>20169040231</v>
      </c>
      <c r="G109" s="141">
        <v>57.0</v>
      </c>
      <c r="H109" s="3" t="s">
        <v>47</v>
      </c>
      <c r="I109" s="6">
        <v>4.83</v>
      </c>
      <c r="J109" s="58">
        <v>1.2</v>
      </c>
      <c r="K109" s="6">
        <f t="shared" si="3"/>
        <v>4.772</v>
      </c>
      <c r="L109" s="3">
        <v>0.507</v>
      </c>
      <c r="M109" s="3">
        <v>0.482</v>
      </c>
      <c r="N109" s="131">
        <v>0.557</v>
      </c>
      <c r="O109" s="60">
        <f t="shared" si="37"/>
        <v>0.52</v>
      </c>
      <c r="P109" s="63">
        <v>84.0</v>
      </c>
      <c r="Q109" s="58">
        <v>90.82</v>
      </c>
      <c r="R109" s="65">
        <v>3643.7</v>
      </c>
      <c r="S109" s="66">
        <f t="array" ref="S109">IF((XLOOKUP(D109,RUC!$B$3:$B$106,RUC!$E$3:$E$106)+ROUNDDOWN(O109,1)*100)&lt;95,95,((XLOOKUP(D109,RUC!$B$3:$B$106,RUC!$E$3:$E$106)+ROUNDDOWN(O109,1)*100)))</f>
        <v>135</v>
      </c>
      <c r="U109" s="67">
        <f t="array" ref="U109">XLOOKUP(D109,RUC!$B$3:$B$110,RUC!$F$3:$F$110)</f>
        <v>120</v>
      </c>
      <c r="V109" s="67">
        <v>1.1023</v>
      </c>
      <c r="Y109" s="199">
        <v>30.0</v>
      </c>
      <c r="Z109" s="140">
        <v>35.0</v>
      </c>
      <c r="AA109" s="70">
        <f t="shared" si="5"/>
        <v>65</v>
      </c>
      <c r="AB109" s="71">
        <f t="shared" si="36"/>
        <v>1476.147426</v>
      </c>
      <c r="AC109" s="71">
        <f>+(S109-T109)*V109-'data 1'!$F$4</f>
        <v>68.8105</v>
      </c>
      <c r="AD109" s="71">
        <f t="shared" si="6"/>
        <v>134.3046557</v>
      </c>
      <c r="AE109" s="71">
        <f t="shared" si="7"/>
        <v>1.6495</v>
      </c>
      <c r="AF109" s="71">
        <f t="shared" si="8"/>
        <v>-45.85889477</v>
      </c>
      <c r="AG109" s="72">
        <f t="shared" si="41"/>
        <v>175.9057609</v>
      </c>
      <c r="AH109" s="193">
        <f t="shared" si="9"/>
        <v>75.335</v>
      </c>
      <c r="AI109" s="193">
        <f t="shared" si="10"/>
        <v>82.95</v>
      </c>
      <c r="AJ109" s="73">
        <f t="shared" si="11"/>
        <v>-40.9602689</v>
      </c>
      <c r="AK109" s="73">
        <f t="shared" si="12"/>
        <v>71.46479199</v>
      </c>
      <c r="AM109" s="51">
        <f t="shared" si="13"/>
        <v>7044.175517</v>
      </c>
      <c r="AN109" s="51" t="str">
        <f t="array" ref="AN109">XLOOKUP(D109,RUC!$B$3:$B$565,RUC!$M$3:$M$565)</f>
        <v>Ronald Miranda</v>
      </c>
      <c r="AO109" s="131" t="s">
        <v>561</v>
      </c>
      <c r="AP109" s="57" t="s">
        <v>1337</v>
      </c>
      <c r="AQ109" s="57" t="s">
        <v>1338</v>
      </c>
    </row>
    <row r="110" ht="15.0" customHeight="1">
      <c r="C110" s="3"/>
      <c r="G110" s="141"/>
      <c r="H110" s="3"/>
      <c r="L110" s="3"/>
      <c r="M110" s="3"/>
      <c r="R110" s="65"/>
      <c r="AG110" s="91"/>
    </row>
    <row r="111" ht="15.0" customHeight="1">
      <c r="C111" s="3"/>
      <c r="G111" s="141"/>
      <c r="H111" s="3"/>
      <c r="L111" s="3"/>
      <c r="M111" s="3"/>
      <c r="R111" s="65"/>
      <c r="AG111" s="91"/>
    </row>
    <row r="112" ht="15.0" customHeight="1">
      <c r="C112" s="3"/>
      <c r="G112" s="141"/>
      <c r="H112" s="3"/>
      <c r="L112" s="3"/>
      <c r="M112" s="3"/>
      <c r="R112" s="65"/>
      <c r="AG112" s="91"/>
    </row>
    <row r="113" ht="15.0" customHeight="1">
      <c r="C113" s="3"/>
      <c r="G113" s="141"/>
      <c r="H113" s="3"/>
      <c r="L113" s="3"/>
      <c r="M113" s="3"/>
      <c r="R113" s="65"/>
      <c r="AG113" s="91"/>
    </row>
    <row r="114" ht="15.0" customHeight="1">
      <c r="C114" s="3"/>
      <c r="G114" s="141"/>
      <c r="H114" s="3"/>
      <c r="L114" s="3"/>
      <c r="M114" s="3"/>
      <c r="R114" s="65"/>
      <c r="AG114" s="91"/>
    </row>
    <row r="115" ht="15.0" customHeight="1">
      <c r="C115" s="3"/>
      <c r="G115" s="141"/>
      <c r="H115" s="3"/>
      <c r="L115" s="3"/>
      <c r="M115" s="3"/>
      <c r="R115" s="65"/>
      <c r="AG115" s="91"/>
    </row>
    <row r="116" ht="15.0" customHeight="1">
      <c r="C116" s="3"/>
      <c r="G116" s="141"/>
      <c r="H116" s="3"/>
      <c r="L116" s="3"/>
      <c r="M116" s="3"/>
      <c r="R116" s="65"/>
      <c r="AG116" s="91"/>
    </row>
    <row r="117" ht="15.0" customHeight="1">
      <c r="C117" s="3"/>
      <c r="G117" s="141"/>
      <c r="H117" s="3"/>
      <c r="L117" s="3"/>
      <c r="M117" s="3"/>
      <c r="R117" s="65"/>
      <c r="AG117" s="91"/>
    </row>
    <row r="118" ht="15.0" customHeight="1">
      <c r="C118" s="3"/>
      <c r="G118" s="141"/>
      <c r="H118" s="3"/>
      <c r="L118" s="3"/>
      <c r="M118" s="3"/>
      <c r="R118" s="65"/>
      <c r="AG118" s="91"/>
    </row>
    <row r="119" ht="15.0" customHeight="1">
      <c r="C119" s="3"/>
      <c r="G119" s="141"/>
      <c r="H119" s="3"/>
      <c r="L119" s="3"/>
      <c r="M119" s="3"/>
      <c r="R119" s="65"/>
      <c r="AG119" s="91"/>
    </row>
    <row r="120" ht="15.0" customHeight="1">
      <c r="C120" s="3"/>
      <c r="G120" s="141"/>
      <c r="H120" s="3"/>
      <c r="L120" s="3"/>
      <c r="M120" s="3"/>
      <c r="R120" s="65"/>
      <c r="AG120" s="91"/>
    </row>
    <row r="121" ht="15.0" customHeight="1">
      <c r="C121" s="3"/>
      <c r="G121" s="141"/>
      <c r="H121" s="3"/>
      <c r="L121" s="3"/>
      <c r="M121" s="3"/>
      <c r="R121" s="65"/>
      <c r="AG121" s="91"/>
    </row>
    <row r="122" ht="15.0" customHeight="1">
      <c r="C122" s="3"/>
      <c r="G122" s="141"/>
      <c r="H122" s="3"/>
      <c r="L122" s="3"/>
      <c r="M122" s="3"/>
      <c r="R122" s="65"/>
      <c r="AG122" s="91"/>
    </row>
    <row r="123" ht="15.0" customHeight="1">
      <c r="C123" s="3"/>
      <c r="G123" s="141"/>
      <c r="H123" s="3"/>
      <c r="L123" s="3"/>
      <c r="M123" s="3"/>
      <c r="R123" s="65"/>
      <c r="AG123" s="91"/>
    </row>
    <row r="124" ht="15.0" customHeight="1">
      <c r="C124" s="3"/>
      <c r="G124" s="141"/>
      <c r="H124" s="3"/>
      <c r="L124" s="3"/>
      <c r="M124" s="3"/>
      <c r="R124" s="65"/>
      <c r="AG124" s="91"/>
    </row>
    <row r="125" ht="15.0" customHeight="1">
      <c r="C125" s="3"/>
      <c r="G125" s="141"/>
      <c r="H125" s="3"/>
      <c r="L125" s="3"/>
      <c r="M125" s="3"/>
      <c r="R125" s="65"/>
      <c r="AG125" s="91"/>
    </row>
    <row r="126" ht="15.0" customHeight="1">
      <c r="C126" s="3"/>
      <c r="G126" s="141"/>
      <c r="H126" s="3"/>
      <c r="L126" s="3"/>
      <c r="M126" s="3"/>
      <c r="R126" s="65"/>
      <c r="AG126" s="91"/>
    </row>
    <row r="127" ht="15.0" customHeight="1">
      <c r="C127" s="3"/>
      <c r="G127" s="141"/>
      <c r="H127" s="3"/>
      <c r="L127" s="3"/>
      <c r="M127" s="3"/>
      <c r="R127" s="65"/>
      <c r="AG127" s="91"/>
    </row>
    <row r="128" ht="15.0" customHeight="1">
      <c r="C128" s="3"/>
      <c r="G128" s="141"/>
      <c r="H128" s="3"/>
      <c r="L128" s="3"/>
      <c r="M128" s="3"/>
      <c r="R128" s="65"/>
      <c r="AG128" s="91"/>
    </row>
    <row r="129" ht="15.0" customHeight="1">
      <c r="C129" s="3"/>
      <c r="G129" s="141"/>
      <c r="H129" s="3"/>
      <c r="L129" s="3"/>
      <c r="M129" s="3"/>
      <c r="R129" s="65"/>
      <c r="AG129" s="91"/>
    </row>
    <row r="130" ht="15.0" customHeight="1">
      <c r="C130" s="3"/>
      <c r="G130" s="141"/>
      <c r="H130" s="3"/>
      <c r="L130" s="3"/>
      <c r="M130" s="3"/>
      <c r="R130" s="65"/>
      <c r="AG130" s="91"/>
    </row>
    <row r="131" ht="15.0" customHeight="1">
      <c r="C131" s="3"/>
      <c r="G131" s="141"/>
      <c r="H131" s="3"/>
      <c r="L131" s="3"/>
      <c r="M131" s="3"/>
      <c r="R131" s="65"/>
      <c r="AG131" s="91"/>
    </row>
    <row r="132" ht="15.0" customHeight="1">
      <c r="C132" s="3"/>
      <c r="G132" s="141"/>
      <c r="H132" s="3"/>
      <c r="L132" s="3"/>
      <c r="M132" s="3"/>
      <c r="R132" s="65"/>
      <c r="AG132" s="91"/>
    </row>
    <row r="133" ht="15.0" customHeight="1">
      <c r="C133" s="3"/>
      <c r="G133" s="141"/>
      <c r="H133" s="3"/>
      <c r="L133" s="3"/>
      <c r="M133" s="3"/>
      <c r="R133" s="65"/>
      <c r="AG133" s="91"/>
    </row>
    <row r="134" ht="15.0" customHeight="1">
      <c r="C134" s="3"/>
      <c r="G134" s="141"/>
      <c r="H134" s="3"/>
      <c r="L134" s="3"/>
      <c r="M134" s="3"/>
      <c r="R134" s="65"/>
      <c r="AG134" s="91"/>
    </row>
    <row r="135" ht="15.0" customHeight="1">
      <c r="C135" s="3"/>
      <c r="G135" s="141"/>
      <c r="H135" s="3"/>
      <c r="L135" s="3"/>
      <c r="M135" s="3"/>
      <c r="R135" s="65"/>
      <c r="AG135" s="91"/>
    </row>
    <row r="136" ht="15.0" customHeight="1">
      <c r="C136" s="3"/>
      <c r="G136" s="141"/>
      <c r="H136" s="3"/>
      <c r="L136" s="3"/>
      <c r="M136" s="3"/>
      <c r="R136" s="65"/>
      <c r="AG136" s="91"/>
    </row>
    <row r="137" ht="15.0" customHeight="1">
      <c r="C137" s="3"/>
      <c r="G137" s="141"/>
      <c r="H137" s="3"/>
      <c r="L137" s="3"/>
      <c r="M137" s="3"/>
      <c r="R137" s="65"/>
      <c r="AG137" s="91"/>
    </row>
    <row r="138" ht="15.0" customHeight="1">
      <c r="C138" s="3"/>
      <c r="G138" s="141"/>
      <c r="H138" s="3"/>
      <c r="L138" s="3"/>
      <c r="M138" s="3"/>
      <c r="R138" s="65"/>
      <c r="AG138" s="91"/>
    </row>
    <row r="139" ht="15.0" customHeight="1">
      <c r="C139" s="3"/>
      <c r="G139" s="141"/>
      <c r="H139" s="3"/>
      <c r="L139" s="3"/>
      <c r="M139" s="3"/>
      <c r="R139" s="65"/>
      <c r="AG139" s="91"/>
    </row>
    <row r="140" ht="15.0" customHeight="1">
      <c r="C140" s="3"/>
      <c r="G140" s="141"/>
      <c r="H140" s="3"/>
      <c r="L140" s="3"/>
      <c r="M140" s="3"/>
      <c r="R140" s="65"/>
      <c r="AG140" s="91"/>
    </row>
    <row r="141" ht="15.0" customHeight="1">
      <c r="C141" s="3"/>
      <c r="G141" s="141"/>
      <c r="H141" s="3"/>
      <c r="L141" s="3"/>
      <c r="M141" s="3"/>
      <c r="R141" s="65"/>
      <c r="AG141" s="91"/>
    </row>
    <row r="142" ht="15.0" customHeight="1">
      <c r="C142" s="3"/>
      <c r="G142" s="141"/>
      <c r="H142" s="3"/>
      <c r="L142" s="3"/>
      <c r="M142" s="3"/>
      <c r="R142" s="65"/>
      <c r="AG142" s="91"/>
    </row>
    <row r="143" ht="15.0" customHeight="1">
      <c r="C143" s="3"/>
      <c r="G143" s="141"/>
      <c r="H143" s="3"/>
      <c r="L143" s="3"/>
      <c r="M143" s="3"/>
      <c r="R143" s="65"/>
      <c r="AG143" s="91"/>
    </row>
    <row r="144" ht="15.0" customHeight="1">
      <c r="C144" s="3"/>
      <c r="G144" s="141"/>
      <c r="H144" s="3"/>
      <c r="L144" s="3"/>
      <c r="M144" s="3"/>
      <c r="R144" s="65"/>
      <c r="AG144" s="91"/>
    </row>
    <row r="145" ht="15.0" customHeight="1">
      <c r="C145" s="3"/>
      <c r="G145" s="141"/>
      <c r="H145" s="3"/>
      <c r="L145" s="3"/>
      <c r="M145" s="3"/>
      <c r="R145" s="65"/>
      <c r="AG145" s="91"/>
    </row>
    <row r="146" ht="15.0" customHeight="1">
      <c r="C146" s="3"/>
      <c r="G146" s="141"/>
      <c r="H146" s="3"/>
      <c r="L146" s="3"/>
      <c r="M146" s="3"/>
      <c r="R146" s="65"/>
      <c r="AG146" s="91"/>
    </row>
    <row r="147" ht="15.0" customHeight="1">
      <c r="C147" s="3"/>
      <c r="G147" s="141"/>
      <c r="H147" s="3"/>
      <c r="L147" s="3"/>
      <c r="M147" s="3"/>
      <c r="R147" s="65"/>
      <c r="AG147" s="91"/>
    </row>
    <row r="148" ht="15.0" customHeight="1">
      <c r="C148" s="3"/>
      <c r="G148" s="141"/>
      <c r="H148" s="3"/>
      <c r="L148" s="3"/>
      <c r="M148" s="3"/>
      <c r="R148" s="65"/>
      <c r="AG148" s="91"/>
    </row>
    <row r="149" ht="15.0" customHeight="1">
      <c r="C149" s="3"/>
      <c r="G149" s="141"/>
      <c r="H149" s="3"/>
      <c r="L149" s="3"/>
      <c r="M149" s="3"/>
      <c r="R149" s="65"/>
      <c r="AG149" s="91"/>
    </row>
    <row r="150" ht="15.0" customHeight="1">
      <c r="C150" s="3"/>
      <c r="G150" s="141"/>
      <c r="H150" s="3"/>
      <c r="L150" s="3"/>
      <c r="M150" s="3"/>
      <c r="R150" s="65"/>
      <c r="AG150" s="91"/>
    </row>
    <row r="151" ht="15.0" customHeight="1">
      <c r="C151" s="3"/>
      <c r="G151" s="141"/>
      <c r="H151" s="3"/>
      <c r="L151" s="3"/>
      <c r="M151" s="3"/>
      <c r="R151" s="65"/>
      <c r="AG151" s="91"/>
    </row>
    <row r="152" ht="15.0" customHeight="1">
      <c r="C152" s="3"/>
      <c r="G152" s="141"/>
      <c r="H152" s="3"/>
      <c r="L152" s="3"/>
      <c r="M152" s="3"/>
      <c r="R152" s="65"/>
      <c r="AG152" s="91"/>
    </row>
    <row r="153" ht="15.0" customHeight="1">
      <c r="C153" s="3"/>
      <c r="G153" s="141"/>
      <c r="H153" s="3"/>
      <c r="L153" s="3"/>
      <c r="M153" s="3"/>
      <c r="R153" s="65"/>
      <c r="AG153" s="91"/>
    </row>
    <row r="154" ht="15.0" customHeight="1">
      <c r="C154" s="3"/>
      <c r="G154" s="141"/>
      <c r="H154" s="3"/>
      <c r="L154" s="3"/>
      <c r="M154" s="3"/>
      <c r="R154" s="65"/>
      <c r="AG154" s="91"/>
    </row>
    <row r="155" ht="15.0" customHeight="1">
      <c r="C155" s="3"/>
      <c r="G155" s="141"/>
      <c r="H155" s="3"/>
      <c r="L155" s="3"/>
      <c r="M155" s="3"/>
      <c r="R155" s="65"/>
      <c r="AG155" s="91"/>
    </row>
    <row r="156" ht="15.0" customHeight="1">
      <c r="C156" s="3"/>
      <c r="G156" s="141"/>
      <c r="H156" s="3"/>
      <c r="L156" s="3"/>
      <c r="M156" s="3"/>
      <c r="R156" s="65"/>
      <c r="AG156" s="91"/>
    </row>
    <row r="157" ht="15.0" customHeight="1">
      <c r="C157" s="3"/>
      <c r="G157" s="141"/>
      <c r="H157" s="3"/>
      <c r="L157" s="3"/>
      <c r="M157" s="3"/>
      <c r="R157" s="65"/>
      <c r="AG157" s="91"/>
    </row>
    <row r="158" ht="15.0" customHeight="1">
      <c r="C158" s="3"/>
      <c r="G158" s="141"/>
      <c r="H158" s="3"/>
      <c r="L158" s="3"/>
      <c r="M158" s="3"/>
      <c r="R158" s="65"/>
      <c r="AG158" s="91"/>
    </row>
    <row r="159" ht="15.0" customHeight="1">
      <c r="C159" s="3"/>
      <c r="G159" s="141"/>
      <c r="H159" s="3"/>
      <c r="L159" s="3"/>
      <c r="M159" s="3"/>
      <c r="R159" s="65"/>
      <c r="AG159" s="91"/>
    </row>
    <row r="160" ht="15.0" customHeight="1">
      <c r="C160" s="3"/>
      <c r="G160" s="141"/>
      <c r="H160" s="3"/>
      <c r="L160" s="3"/>
      <c r="M160" s="3"/>
      <c r="R160" s="65"/>
      <c r="AG160" s="91"/>
    </row>
    <row r="161" ht="15.0" customHeight="1">
      <c r="C161" s="3"/>
      <c r="G161" s="141"/>
      <c r="H161" s="3"/>
      <c r="L161" s="3"/>
      <c r="M161" s="3"/>
      <c r="R161" s="65"/>
      <c r="AG161" s="91"/>
    </row>
    <row r="162" ht="15.0" customHeight="1">
      <c r="C162" s="3"/>
      <c r="G162" s="141"/>
      <c r="H162" s="3"/>
      <c r="L162" s="3"/>
      <c r="M162" s="3"/>
      <c r="R162" s="65"/>
      <c r="AG162" s="91"/>
    </row>
    <row r="163" ht="15.0" customHeight="1">
      <c r="C163" s="3"/>
      <c r="G163" s="141"/>
      <c r="H163" s="3"/>
      <c r="L163" s="3"/>
      <c r="M163" s="3"/>
      <c r="R163" s="65"/>
      <c r="AG163" s="91"/>
    </row>
    <row r="164" ht="15.0" customHeight="1">
      <c r="C164" s="3"/>
      <c r="G164" s="141"/>
      <c r="H164" s="3"/>
      <c r="L164" s="3"/>
      <c r="M164" s="3"/>
      <c r="R164" s="65"/>
      <c r="AG164" s="91"/>
    </row>
    <row r="165" ht="15.0" customHeight="1">
      <c r="C165" s="3"/>
      <c r="G165" s="141"/>
      <c r="H165" s="3"/>
      <c r="L165" s="3"/>
      <c r="M165" s="3"/>
      <c r="R165" s="65"/>
      <c r="AG165" s="91"/>
    </row>
    <row r="166" ht="15.0" customHeight="1">
      <c r="C166" s="3"/>
      <c r="G166" s="141"/>
      <c r="H166" s="3"/>
      <c r="L166" s="3"/>
      <c r="M166" s="3"/>
      <c r="R166" s="65"/>
      <c r="AG166" s="91"/>
    </row>
    <row r="167" ht="15.0" customHeight="1">
      <c r="C167" s="3"/>
      <c r="G167" s="141"/>
      <c r="H167" s="3"/>
      <c r="L167" s="3"/>
      <c r="M167" s="3"/>
      <c r="R167" s="65"/>
      <c r="AG167" s="91"/>
    </row>
    <row r="168" ht="15.0" customHeight="1">
      <c r="C168" s="3"/>
      <c r="G168" s="141"/>
      <c r="H168" s="3"/>
      <c r="L168" s="3"/>
      <c r="M168" s="3"/>
      <c r="R168" s="65"/>
      <c r="AG168" s="91"/>
    </row>
    <row r="169" ht="15.0" customHeight="1">
      <c r="C169" s="3"/>
      <c r="G169" s="141"/>
      <c r="H169" s="3"/>
      <c r="L169" s="3"/>
      <c r="M169" s="3"/>
      <c r="R169" s="65"/>
      <c r="AG169" s="91"/>
    </row>
    <row r="170" ht="15.0" customHeight="1">
      <c r="C170" s="3"/>
      <c r="G170" s="141"/>
      <c r="H170" s="3"/>
      <c r="L170" s="3"/>
      <c r="M170" s="3"/>
      <c r="R170" s="65"/>
      <c r="AG170" s="91"/>
    </row>
    <row r="171" ht="15.0" customHeight="1">
      <c r="C171" s="3"/>
      <c r="G171" s="141"/>
      <c r="H171" s="3"/>
      <c r="L171" s="3"/>
      <c r="M171" s="3"/>
      <c r="R171" s="65"/>
      <c r="AG171" s="91"/>
    </row>
    <row r="172" ht="15.0" customHeight="1">
      <c r="C172" s="3"/>
      <c r="G172" s="141"/>
      <c r="H172" s="3"/>
      <c r="L172" s="3"/>
      <c r="M172" s="3"/>
      <c r="R172" s="65"/>
      <c r="AG172" s="91"/>
    </row>
    <row r="173" ht="15.0" customHeight="1">
      <c r="C173" s="3"/>
      <c r="G173" s="141"/>
      <c r="H173" s="3"/>
      <c r="L173" s="3"/>
      <c r="M173" s="3"/>
      <c r="R173" s="65"/>
      <c r="AG173" s="91"/>
    </row>
    <row r="174" ht="15.0" customHeight="1">
      <c r="C174" s="3"/>
      <c r="G174" s="141"/>
      <c r="H174" s="3"/>
      <c r="L174" s="3"/>
      <c r="M174" s="3"/>
      <c r="R174" s="65"/>
      <c r="AG174" s="91"/>
    </row>
    <row r="175" ht="15.0" customHeight="1">
      <c r="C175" s="3"/>
      <c r="G175" s="141"/>
      <c r="H175" s="3"/>
      <c r="L175" s="3"/>
      <c r="M175" s="3"/>
      <c r="R175" s="65"/>
      <c r="AG175" s="91"/>
    </row>
    <row r="176" ht="15.0" customHeight="1">
      <c r="C176" s="3"/>
      <c r="G176" s="141"/>
      <c r="H176" s="3"/>
      <c r="L176" s="3"/>
      <c r="M176" s="3"/>
      <c r="R176" s="65"/>
      <c r="AG176" s="91"/>
    </row>
    <row r="177" ht="15.0" customHeight="1">
      <c r="C177" s="3"/>
      <c r="G177" s="141"/>
      <c r="H177" s="3"/>
      <c r="L177" s="3"/>
      <c r="M177" s="3"/>
      <c r="R177" s="65"/>
      <c r="AG177" s="91"/>
    </row>
    <row r="178" ht="15.0" customHeight="1">
      <c r="C178" s="3"/>
      <c r="G178" s="141"/>
      <c r="H178" s="3"/>
      <c r="L178" s="3"/>
      <c r="M178" s="3"/>
      <c r="R178" s="65"/>
      <c r="AG178" s="91"/>
    </row>
    <row r="179" ht="15.0" customHeight="1">
      <c r="C179" s="3"/>
      <c r="G179" s="141"/>
      <c r="H179" s="3"/>
      <c r="L179" s="3"/>
      <c r="M179" s="3"/>
      <c r="R179" s="65"/>
      <c r="AG179" s="91"/>
    </row>
    <row r="180" ht="15.0" customHeight="1">
      <c r="C180" s="3"/>
      <c r="G180" s="141"/>
      <c r="H180" s="3"/>
      <c r="L180" s="3"/>
      <c r="M180" s="3"/>
      <c r="R180" s="65"/>
      <c r="AG180" s="91"/>
    </row>
    <row r="181" ht="15.0" customHeight="1">
      <c r="C181" s="3"/>
      <c r="G181" s="141"/>
      <c r="H181" s="3"/>
      <c r="L181" s="3"/>
      <c r="M181" s="3"/>
      <c r="R181" s="65"/>
      <c r="AG181" s="91"/>
    </row>
    <row r="182" ht="15.0" customHeight="1">
      <c r="C182" s="3"/>
      <c r="G182" s="141"/>
      <c r="H182" s="3"/>
      <c r="L182" s="3"/>
      <c r="M182" s="3"/>
      <c r="R182" s="65"/>
      <c r="AG182" s="91"/>
    </row>
    <row r="183" ht="15.0" customHeight="1">
      <c r="C183" s="3"/>
      <c r="G183" s="141"/>
      <c r="H183" s="3"/>
      <c r="L183" s="3"/>
      <c r="M183" s="3"/>
      <c r="R183" s="65"/>
      <c r="AG183" s="91"/>
    </row>
    <row r="184" ht="15.0" customHeight="1">
      <c r="C184" s="3"/>
      <c r="G184" s="141"/>
      <c r="H184" s="3"/>
      <c r="L184" s="3"/>
      <c r="M184" s="3"/>
      <c r="R184" s="65"/>
      <c r="AG184" s="91"/>
    </row>
    <row r="185" ht="15.0" customHeight="1">
      <c r="C185" s="3"/>
      <c r="G185" s="141"/>
      <c r="H185" s="3"/>
      <c r="L185" s="3"/>
      <c r="M185" s="3"/>
      <c r="R185" s="65"/>
      <c r="AG185" s="91"/>
    </row>
    <row r="186" ht="15.0" customHeight="1">
      <c r="C186" s="3"/>
      <c r="G186" s="141"/>
      <c r="H186" s="3"/>
      <c r="L186" s="3"/>
      <c r="M186" s="3"/>
      <c r="R186" s="65"/>
      <c r="AG186" s="91"/>
    </row>
    <row r="187" ht="15.0" customHeight="1">
      <c r="C187" s="3"/>
      <c r="G187" s="141"/>
      <c r="H187" s="3"/>
      <c r="L187" s="3"/>
      <c r="M187" s="3"/>
      <c r="R187" s="65"/>
      <c r="AG187" s="91"/>
    </row>
    <row r="188" ht="15.0" customHeight="1">
      <c r="C188" s="3"/>
      <c r="G188" s="141"/>
      <c r="H188" s="3"/>
      <c r="L188" s="3"/>
      <c r="M188" s="3"/>
      <c r="R188" s="65"/>
      <c r="AG188" s="91"/>
    </row>
    <row r="189" ht="15.0" customHeight="1">
      <c r="C189" s="3"/>
      <c r="G189" s="141"/>
      <c r="H189" s="3"/>
      <c r="L189" s="3"/>
      <c r="M189" s="3"/>
      <c r="R189" s="65"/>
      <c r="AG189" s="91"/>
    </row>
    <row r="190" ht="15.0" customHeight="1">
      <c r="C190" s="3"/>
      <c r="G190" s="141"/>
      <c r="H190" s="3"/>
      <c r="L190" s="3"/>
      <c r="M190" s="3"/>
      <c r="R190" s="65"/>
      <c r="AG190" s="91"/>
    </row>
    <row r="191" ht="15.0" customHeight="1">
      <c r="C191" s="3"/>
      <c r="G191" s="141"/>
      <c r="H191" s="3"/>
      <c r="L191" s="3"/>
      <c r="M191" s="3"/>
      <c r="R191" s="65"/>
      <c r="AG191" s="91"/>
    </row>
    <row r="192" ht="15.0" customHeight="1">
      <c r="C192" s="3"/>
      <c r="G192" s="141"/>
      <c r="H192" s="3"/>
      <c r="L192" s="3"/>
      <c r="M192" s="3"/>
      <c r="R192" s="65"/>
      <c r="AG192" s="91"/>
    </row>
    <row r="193" ht="15.0" customHeight="1">
      <c r="C193" s="3"/>
      <c r="G193" s="141"/>
      <c r="H193" s="3"/>
      <c r="L193" s="3"/>
      <c r="M193" s="3"/>
      <c r="R193" s="65"/>
      <c r="AG193" s="91"/>
    </row>
    <row r="194" ht="15.0" customHeight="1">
      <c r="C194" s="3"/>
      <c r="G194" s="141"/>
      <c r="H194" s="3"/>
      <c r="L194" s="3"/>
      <c r="M194" s="3"/>
      <c r="R194" s="65"/>
      <c r="AG194" s="91"/>
    </row>
    <row r="195" ht="15.0" customHeight="1">
      <c r="C195" s="3"/>
      <c r="G195" s="141"/>
      <c r="H195" s="3"/>
      <c r="L195" s="3"/>
      <c r="M195" s="3"/>
      <c r="R195" s="65"/>
      <c r="AG195" s="91"/>
    </row>
    <row r="196" ht="15.0" customHeight="1">
      <c r="C196" s="3"/>
      <c r="G196" s="141"/>
      <c r="H196" s="3"/>
      <c r="L196" s="3"/>
      <c r="M196" s="3"/>
      <c r="R196" s="65"/>
      <c r="AG196" s="91"/>
    </row>
    <row r="197" ht="15.0" customHeight="1">
      <c r="C197" s="3"/>
      <c r="G197" s="141"/>
      <c r="H197" s="3"/>
      <c r="L197" s="3"/>
      <c r="M197" s="3"/>
      <c r="R197" s="65"/>
      <c r="AG197" s="91"/>
    </row>
    <row r="198" ht="15.0" customHeight="1">
      <c r="C198" s="3"/>
      <c r="G198" s="141"/>
      <c r="H198" s="3"/>
      <c r="L198" s="3"/>
      <c r="M198" s="3"/>
      <c r="R198" s="65"/>
      <c r="AG198" s="91"/>
    </row>
    <row r="199" ht="15.0" customHeight="1">
      <c r="C199" s="3"/>
      <c r="G199" s="141"/>
      <c r="H199" s="3"/>
      <c r="L199" s="3"/>
      <c r="M199" s="3"/>
      <c r="R199" s="65"/>
      <c r="AG199" s="91"/>
    </row>
    <row r="200" ht="15.0" customHeight="1">
      <c r="C200" s="3"/>
      <c r="G200" s="141"/>
      <c r="H200" s="3"/>
      <c r="L200" s="3"/>
      <c r="M200" s="3"/>
      <c r="R200" s="65"/>
      <c r="AG200" s="91"/>
    </row>
    <row r="201" ht="15.0" customHeight="1">
      <c r="C201" s="3"/>
      <c r="G201" s="141"/>
      <c r="H201" s="3"/>
      <c r="L201" s="3"/>
      <c r="M201" s="3"/>
      <c r="R201" s="65"/>
      <c r="AG201" s="91"/>
    </row>
    <row r="202" ht="15.0" customHeight="1">
      <c r="C202" s="3"/>
      <c r="G202" s="141"/>
      <c r="H202" s="3"/>
      <c r="L202" s="3"/>
      <c r="M202" s="3"/>
      <c r="R202" s="65"/>
      <c r="AG202" s="91"/>
    </row>
    <row r="203" ht="15.0" customHeight="1">
      <c r="C203" s="3"/>
      <c r="G203" s="141"/>
      <c r="H203" s="3"/>
      <c r="L203" s="3"/>
      <c r="M203" s="3"/>
      <c r="R203" s="65"/>
      <c r="AG203" s="91"/>
    </row>
    <row r="204" ht="15.0" customHeight="1">
      <c r="C204" s="3"/>
      <c r="G204" s="141"/>
      <c r="H204" s="3"/>
      <c r="L204" s="3"/>
      <c r="M204" s="3"/>
      <c r="R204" s="65"/>
      <c r="AG204" s="91"/>
    </row>
    <row r="205" ht="15.0" customHeight="1">
      <c r="C205" s="3"/>
      <c r="G205" s="141"/>
      <c r="H205" s="3"/>
      <c r="L205" s="3"/>
      <c r="M205" s="3"/>
      <c r="R205" s="65"/>
      <c r="AG205" s="91"/>
    </row>
    <row r="206" ht="15.0" customHeight="1">
      <c r="C206" s="3"/>
      <c r="G206" s="141"/>
      <c r="H206" s="3"/>
      <c r="L206" s="3"/>
      <c r="M206" s="3"/>
      <c r="R206" s="65"/>
      <c r="AG206" s="91"/>
    </row>
    <row r="207" ht="15.0" customHeight="1">
      <c r="C207" s="3"/>
      <c r="G207" s="141"/>
      <c r="H207" s="3"/>
      <c r="L207" s="3"/>
      <c r="M207" s="3"/>
      <c r="R207" s="65"/>
      <c r="AG207" s="91"/>
    </row>
    <row r="208" ht="15.0" customHeight="1">
      <c r="C208" s="3"/>
      <c r="G208" s="141"/>
      <c r="H208" s="3"/>
      <c r="L208" s="3"/>
      <c r="M208" s="3"/>
      <c r="R208" s="65"/>
      <c r="AG208" s="91"/>
    </row>
    <row r="209" ht="15.0" customHeight="1">
      <c r="C209" s="3"/>
      <c r="G209" s="141"/>
      <c r="H209" s="3"/>
      <c r="L209" s="3"/>
      <c r="M209" s="3"/>
      <c r="R209" s="65"/>
      <c r="AG209" s="91"/>
    </row>
    <row r="210" ht="15.0" customHeight="1">
      <c r="C210" s="3"/>
      <c r="G210" s="141"/>
      <c r="H210" s="3"/>
      <c r="L210" s="3"/>
      <c r="M210" s="3"/>
      <c r="R210" s="65"/>
      <c r="AG210" s="91"/>
    </row>
    <row r="211" ht="15.0" customHeight="1">
      <c r="C211" s="3"/>
      <c r="G211" s="141"/>
      <c r="H211" s="3"/>
      <c r="L211" s="3"/>
      <c r="M211" s="3"/>
      <c r="R211" s="65"/>
      <c r="AG211" s="91"/>
    </row>
    <row r="212" ht="15.0" customHeight="1">
      <c r="C212" s="3"/>
      <c r="G212" s="141"/>
      <c r="H212" s="3"/>
      <c r="L212" s="3"/>
      <c r="M212" s="3"/>
      <c r="R212" s="65"/>
      <c r="AG212" s="91"/>
    </row>
    <row r="213" ht="15.0" customHeight="1">
      <c r="C213" s="3"/>
      <c r="G213" s="141"/>
      <c r="H213" s="3"/>
      <c r="L213" s="3"/>
      <c r="M213" s="3"/>
      <c r="R213" s="65"/>
      <c r="AG213" s="91"/>
    </row>
    <row r="214" ht="15.0" customHeight="1">
      <c r="C214" s="3"/>
      <c r="G214" s="141"/>
      <c r="H214" s="3"/>
      <c r="L214" s="3"/>
      <c r="M214" s="3"/>
      <c r="R214" s="65"/>
      <c r="AG214" s="91"/>
    </row>
    <row r="215" ht="15.0" customHeight="1">
      <c r="C215" s="3"/>
      <c r="G215" s="141"/>
      <c r="H215" s="3"/>
      <c r="L215" s="3"/>
      <c r="M215" s="3"/>
      <c r="R215" s="65"/>
      <c r="AG215" s="91"/>
    </row>
    <row r="216" ht="15.0" customHeight="1">
      <c r="C216" s="3"/>
      <c r="G216" s="141"/>
      <c r="H216" s="3"/>
      <c r="L216" s="3"/>
      <c r="M216" s="3"/>
      <c r="R216" s="65"/>
      <c r="AG216" s="91"/>
    </row>
    <row r="217" ht="15.0" customHeight="1">
      <c r="C217" s="3"/>
      <c r="G217" s="141"/>
      <c r="H217" s="3"/>
      <c r="L217" s="3"/>
      <c r="M217" s="3"/>
      <c r="R217" s="65"/>
      <c r="AG217" s="91"/>
    </row>
    <row r="218" ht="15.0" customHeight="1">
      <c r="C218" s="3"/>
      <c r="G218" s="141"/>
      <c r="H218" s="3"/>
      <c r="L218" s="3"/>
      <c r="M218" s="3"/>
      <c r="R218" s="65"/>
      <c r="AG218" s="91"/>
    </row>
    <row r="219" ht="15.0" customHeight="1">
      <c r="C219" s="3"/>
      <c r="G219" s="141"/>
      <c r="H219" s="3"/>
      <c r="L219" s="3"/>
      <c r="M219" s="3"/>
      <c r="R219" s="65"/>
      <c r="AG219" s="91"/>
    </row>
    <row r="220" ht="15.0" customHeight="1">
      <c r="C220" s="3"/>
      <c r="G220" s="141"/>
      <c r="H220" s="3"/>
      <c r="L220" s="3"/>
      <c r="M220" s="3"/>
      <c r="R220" s="65"/>
      <c r="AG220" s="91"/>
    </row>
    <row r="221" ht="15.0" customHeight="1">
      <c r="C221" s="3"/>
      <c r="G221" s="141"/>
      <c r="H221" s="3"/>
      <c r="L221" s="3"/>
      <c r="M221" s="3"/>
      <c r="R221" s="65"/>
      <c r="AG221" s="91"/>
    </row>
    <row r="222" ht="15.0" customHeight="1">
      <c r="C222" s="3"/>
      <c r="G222" s="141"/>
      <c r="H222" s="3"/>
      <c r="L222" s="3"/>
      <c r="M222" s="3"/>
      <c r="R222" s="65"/>
      <c r="AG222" s="91"/>
    </row>
    <row r="223" ht="15.0" customHeight="1">
      <c r="C223" s="3"/>
      <c r="G223" s="141"/>
      <c r="H223" s="3"/>
      <c r="L223" s="3"/>
      <c r="M223" s="3"/>
      <c r="R223" s="65"/>
      <c r="AG223" s="91"/>
    </row>
    <row r="224" ht="15.0" customHeight="1">
      <c r="C224" s="3"/>
      <c r="G224" s="141"/>
      <c r="H224" s="3"/>
      <c r="L224" s="3"/>
      <c r="M224" s="3"/>
      <c r="R224" s="65"/>
      <c r="AG224" s="91"/>
    </row>
    <row r="225" ht="15.0" customHeight="1">
      <c r="C225" s="3"/>
      <c r="G225" s="141"/>
      <c r="H225" s="3"/>
      <c r="L225" s="3"/>
      <c r="M225" s="3"/>
      <c r="R225" s="65"/>
      <c r="AG225" s="91"/>
    </row>
    <row r="226" ht="15.0" customHeight="1">
      <c r="C226" s="3"/>
      <c r="G226" s="141"/>
      <c r="H226" s="3"/>
      <c r="L226" s="3"/>
      <c r="M226" s="3"/>
      <c r="R226" s="65"/>
      <c r="AG226" s="91"/>
    </row>
    <row r="227" ht="15.0" customHeight="1">
      <c r="C227" s="3"/>
      <c r="G227" s="141"/>
      <c r="H227" s="3"/>
      <c r="L227" s="3"/>
      <c r="M227" s="3"/>
      <c r="R227" s="65"/>
      <c r="AG227" s="91"/>
    </row>
    <row r="228" ht="15.0" customHeight="1">
      <c r="C228" s="3"/>
      <c r="G228" s="141"/>
      <c r="H228" s="3"/>
      <c r="L228" s="3"/>
      <c r="M228" s="3"/>
      <c r="R228" s="65"/>
      <c r="AG228" s="91"/>
    </row>
    <row r="229" ht="15.0" customHeight="1">
      <c r="C229" s="3"/>
      <c r="G229" s="141"/>
      <c r="H229" s="3"/>
      <c r="L229" s="3"/>
      <c r="M229" s="3"/>
      <c r="R229" s="65"/>
      <c r="AG229" s="91"/>
    </row>
    <row r="230" ht="15.0" customHeight="1">
      <c r="C230" s="3"/>
      <c r="G230" s="141"/>
      <c r="H230" s="3"/>
      <c r="L230" s="3"/>
      <c r="M230" s="3"/>
      <c r="R230" s="65"/>
      <c r="AG230" s="91"/>
    </row>
    <row r="231" ht="15.0" customHeight="1">
      <c r="C231" s="3"/>
      <c r="G231" s="141"/>
      <c r="H231" s="3"/>
      <c r="L231" s="3"/>
      <c r="M231" s="3"/>
      <c r="R231" s="65"/>
      <c r="AG231" s="91"/>
    </row>
    <row r="232" ht="15.0" customHeight="1">
      <c r="C232" s="3"/>
      <c r="G232" s="141"/>
      <c r="H232" s="3"/>
      <c r="L232" s="3"/>
      <c r="M232" s="3"/>
      <c r="R232" s="65"/>
      <c r="AG232" s="91"/>
    </row>
    <row r="233" ht="15.0" customHeight="1">
      <c r="C233" s="3"/>
      <c r="G233" s="141"/>
      <c r="H233" s="3"/>
      <c r="L233" s="3"/>
      <c r="M233" s="3"/>
      <c r="R233" s="65"/>
      <c r="AG233" s="91"/>
    </row>
    <row r="234" ht="15.0" customHeight="1">
      <c r="C234" s="3"/>
      <c r="G234" s="141"/>
      <c r="H234" s="3"/>
      <c r="L234" s="3"/>
      <c r="M234" s="3"/>
      <c r="R234" s="65"/>
      <c r="AG234" s="91"/>
    </row>
    <row r="235" ht="15.0" customHeight="1">
      <c r="C235" s="3"/>
      <c r="G235" s="141"/>
      <c r="H235" s="3"/>
      <c r="L235" s="3"/>
      <c r="M235" s="3"/>
      <c r="R235" s="65"/>
      <c r="AG235" s="91"/>
    </row>
    <row r="236" ht="15.0" customHeight="1">
      <c r="C236" s="3"/>
      <c r="G236" s="141"/>
      <c r="H236" s="3"/>
      <c r="L236" s="3"/>
      <c r="M236" s="3"/>
      <c r="R236" s="65"/>
      <c r="AG236" s="91"/>
    </row>
    <row r="237" ht="15.0" customHeight="1">
      <c r="C237" s="3"/>
      <c r="G237" s="141"/>
      <c r="H237" s="3"/>
      <c r="L237" s="3"/>
      <c r="M237" s="3"/>
      <c r="R237" s="65"/>
      <c r="AG237" s="91"/>
    </row>
    <row r="238" ht="15.0" customHeight="1">
      <c r="C238" s="3"/>
      <c r="G238" s="141"/>
      <c r="H238" s="3"/>
      <c r="L238" s="3"/>
      <c r="M238" s="3"/>
      <c r="R238" s="65"/>
      <c r="AG238" s="91"/>
    </row>
    <row r="239" ht="15.0" customHeight="1">
      <c r="C239" s="3"/>
      <c r="G239" s="141"/>
      <c r="H239" s="3"/>
      <c r="L239" s="3"/>
      <c r="M239" s="3"/>
      <c r="R239" s="65"/>
      <c r="AG239" s="91"/>
    </row>
    <row r="240" ht="15.0" customHeight="1">
      <c r="C240" s="3"/>
      <c r="G240" s="141"/>
      <c r="H240" s="3"/>
      <c r="L240" s="3"/>
      <c r="M240" s="3"/>
      <c r="R240" s="65"/>
      <c r="AG240" s="91"/>
    </row>
    <row r="241" ht="15.0" customHeight="1">
      <c r="C241" s="3"/>
      <c r="G241" s="141"/>
      <c r="H241" s="3"/>
      <c r="L241" s="3"/>
      <c r="M241" s="3"/>
      <c r="R241" s="65"/>
      <c r="AG241" s="91"/>
    </row>
    <row r="242" ht="15.0" customHeight="1">
      <c r="C242" s="3"/>
      <c r="G242" s="141"/>
      <c r="H242" s="3"/>
      <c r="L242" s="3"/>
      <c r="M242" s="3"/>
      <c r="R242" s="65"/>
      <c r="AG242" s="91"/>
    </row>
    <row r="243" ht="15.0" customHeight="1">
      <c r="C243" s="3"/>
      <c r="G243" s="141"/>
      <c r="H243" s="3"/>
      <c r="L243" s="3"/>
      <c r="M243" s="3"/>
      <c r="R243" s="65"/>
      <c r="AG243" s="91"/>
    </row>
    <row r="244" ht="15.0" customHeight="1">
      <c r="C244" s="3"/>
      <c r="G244" s="141"/>
      <c r="H244" s="3"/>
      <c r="L244" s="3"/>
      <c r="M244" s="3"/>
      <c r="R244" s="65"/>
      <c r="AG244" s="91"/>
    </row>
    <row r="245" ht="15.0" customHeight="1">
      <c r="C245" s="3"/>
      <c r="G245" s="141"/>
      <c r="H245" s="3"/>
      <c r="L245" s="3"/>
      <c r="M245" s="3"/>
      <c r="R245" s="65"/>
      <c r="AG245" s="91"/>
    </row>
    <row r="246" ht="15.0" customHeight="1">
      <c r="C246" s="3"/>
      <c r="G246" s="141"/>
      <c r="H246" s="3"/>
      <c r="L246" s="3"/>
      <c r="M246" s="3"/>
      <c r="R246" s="65"/>
      <c r="AG246" s="91"/>
    </row>
    <row r="247" ht="15.0" customHeight="1">
      <c r="C247" s="3"/>
      <c r="G247" s="141"/>
      <c r="H247" s="3"/>
      <c r="L247" s="3"/>
      <c r="M247" s="3"/>
      <c r="R247" s="65"/>
      <c r="AG247" s="91"/>
    </row>
    <row r="248" ht="15.0" customHeight="1">
      <c r="C248" s="3"/>
      <c r="G248" s="141"/>
      <c r="H248" s="3"/>
      <c r="L248" s="3"/>
      <c r="M248" s="3"/>
      <c r="R248" s="65"/>
      <c r="AG248" s="91"/>
    </row>
    <row r="249" ht="15.0" customHeight="1">
      <c r="C249" s="3"/>
      <c r="G249" s="141"/>
      <c r="H249" s="3"/>
      <c r="L249" s="3"/>
      <c r="M249" s="3"/>
      <c r="R249" s="65"/>
      <c r="AG249" s="91"/>
    </row>
    <row r="250" ht="15.0" customHeight="1">
      <c r="C250" s="3"/>
      <c r="G250" s="141"/>
      <c r="H250" s="3"/>
      <c r="L250" s="3"/>
      <c r="M250" s="3"/>
      <c r="R250" s="65"/>
      <c r="AG250" s="91"/>
    </row>
    <row r="251" ht="15.0" customHeight="1">
      <c r="C251" s="3"/>
      <c r="G251" s="141"/>
      <c r="H251" s="3"/>
      <c r="L251" s="3"/>
      <c r="M251" s="3"/>
      <c r="R251" s="65"/>
      <c r="AG251" s="91"/>
    </row>
    <row r="252" ht="15.0" customHeight="1">
      <c r="C252" s="3"/>
      <c r="G252" s="141"/>
      <c r="H252" s="3"/>
      <c r="L252" s="3"/>
      <c r="M252" s="3"/>
      <c r="R252" s="65"/>
      <c r="AG252" s="91"/>
    </row>
    <row r="253" ht="15.0" customHeight="1">
      <c r="C253" s="3"/>
      <c r="G253" s="141"/>
      <c r="H253" s="3"/>
      <c r="L253" s="3"/>
      <c r="M253" s="3"/>
      <c r="R253" s="65"/>
      <c r="AG253" s="91"/>
    </row>
    <row r="254" ht="15.0" customHeight="1">
      <c r="C254" s="3"/>
      <c r="G254" s="141"/>
      <c r="H254" s="3"/>
      <c r="L254" s="3"/>
      <c r="M254" s="3"/>
      <c r="R254" s="65"/>
      <c r="AG254" s="91"/>
    </row>
    <row r="255" ht="15.0" customHeight="1">
      <c r="C255" s="3"/>
      <c r="G255" s="141"/>
      <c r="H255" s="3"/>
      <c r="L255" s="3"/>
      <c r="M255" s="3"/>
      <c r="R255" s="65"/>
      <c r="AG255" s="91"/>
    </row>
    <row r="256" ht="15.0" customHeight="1">
      <c r="C256" s="3"/>
      <c r="G256" s="141"/>
      <c r="H256" s="3"/>
      <c r="L256" s="3"/>
      <c r="M256" s="3"/>
      <c r="R256" s="65"/>
      <c r="AG256" s="91"/>
    </row>
    <row r="257" ht="15.0" customHeight="1">
      <c r="C257" s="3"/>
      <c r="G257" s="141"/>
      <c r="H257" s="3"/>
      <c r="L257" s="3"/>
      <c r="M257" s="3"/>
      <c r="R257" s="65"/>
      <c r="AG257" s="91"/>
    </row>
    <row r="258" ht="15.0" customHeight="1">
      <c r="C258" s="3"/>
      <c r="G258" s="141"/>
      <c r="H258" s="3"/>
      <c r="L258" s="3"/>
      <c r="M258" s="3"/>
      <c r="R258" s="65"/>
      <c r="AG258" s="91"/>
    </row>
    <row r="259" ht="15.0" customHeight="1">
      <c r="C259" s="3"/>
      <c r="G259" s="141"/>
      <c r="H259" s="3"/>
      <c r="L259" s="3"/>
      <c r="M259" s="3"/>
      <c r="R259" s="65"/>
      <c r="AG259" s="91"/>
    </row>
    <row r="260" ht="15.0" customHeight="1">
      <c r="C260" s="3"/>
      <c r="G260" s="141"/>
      <c r="H260" s="3"/>
      <c r="L260" s="3"/>
      <c r="M260" s="3"/>
      <c r="R260" s="65"/>
      <c r="AG260" s="91"/>
    </row>
    <row r="261" ht="15.0" customHeight="1">
      <c r="C261" s="3"/>
      <c r="G261" s="141"/>
      <c r="H261" s="3"/>
      <c r="L261" s="3"/>
      <c r="M261" s="3"/>
      <c r="R261" s="65"/>
      <c r="AG261" s="91"/>
    </row>
    <row r="262" ht="15.0" customHeight="1">
      <c r="C262" s="3"/>
      <c r="G262" s="141"/>
      <c r="H262" s="3"/>
      <c r="L262" s="3"/>
      <c r="M262" s="3"/>
      <c r="R262" s="65"/>
      <c r="AG262" s="91"/>
    </row>
    <row r="263" ht="15.0" customHeight="1">
      <c r="C263" s="3"/>
      <c r="G263" s="141"/>
      <c r="H263" s="3"/>
      <c r="L263" s="3"/>
      <c r="M263" s="3"/>
      <c r="R263" s="65"/>
      <c r="AG263" s="91"/>
    </row>
    <row r="264" ht="15.0" customHeight="1">
      <c r="C264" s="3"/>
      <c r="G264" s="141"/>
      <c r="H264" s="3"/>
      <c r="L264" s="3"/>
      <c r="M264" s="3"/>
      <c r="R264" s="65"/>
      <c r="AG264" s="91"/>
    </row>
    <row r="265" ht="15.0" customHeight="1">
      <c r="C265" s="3"/>
      <c r="G265" s="141"/>
      <c r="H265" s="3"/>
      <c r="L265" s="3"/>
      <c r="M265" s="3"/>
      <c r="R265" s="65"/>
      <c r="AG265" s="91"/>
    </row>
    <row r="266" ht="15.0" customHeight="1">
      <c r="C266" s="3"/>
      <c r="G266" s="141"/>
      <c r="H266" s="3"/>
      <c r="L266" s="3"/>
      <c r="M266" s="3"/>
      <c r="R266" s="65"/>
      <c r="AG266" s="91"/>
    </row>
    <row r="267" ht="15.0" customHeight="1">
      <c r="C267" s="3"/>
      <c r="G267" s="141"/>
      <c r="H267" s="3"/>
      <c r="L267" s="3"/>
      <c r="M267" s="3"/>
      <c r="R267" s="65"/>
      <c r="AG267" s="91"/>
    </row>
    <row r="268" ht="15.0" customHeight="1">
      <c r="C268" s="3"/>
      <c r="G268" s="141"/>
      <c r="H268" s="3"/>
      <c r="L268" s="3"/>
      <c r="M268" s="3"/>
      <c r="R268" s="65"/>
      <c r="AG268" s="91"/>
    </row>
    <row r="269" ht="15.0" customHeight="1">
      <c r="C269" s="3"/>
      <c r="G269" s="141"/>
      <c r="H269" s="3"/>
      <c r="L269" s="3"/>
      <c r="M269" s="3"/>
      <c r="R269" s="65"/>
      <c r="AG269" s="91"/>
    </row>
    <row r="270" ht="15.0" customHeight="1">
      <c r="C270" s="3"/>
      <c r="G270" s="141"/>
      <c r="H270" s="3"/>
      <c r="L270" s="3"/>
      <c r="M270" s="3"/>
      <c r="R270" s="65"/>
      <c r="AG270" s="91"/>
    </row>
    <row r="271" ht="15.0" customHeight="1">
      <c r="C271" s="3"/>
      <c r="G271" s="141"/>
      <c r="H271" s="3"/>
      <c r="L271" s="3"/>
      <c r="M271" s="3"/>
      <c r="R271" s="65"/>
      <c r="AG271" s="91"/>
    </row>
    <row r="272" ht="15.0" customHeight="1">
      <c r="C272" s="3"/>
      <c r="G272" s="141"/>
      <c r="H272" s="3"/>
      <c r="L272" s="3"/>
      <c r="M272" s="3"/>
      <c r="R272" s="65"/>
      <c r="AG272" s="91"/>
    </row>
    <row r="273" ht="15.0" customHeight="1">
      <c r="C273" s="3"/>
      <c r="G273" s="141"/>
      <c r="H273" s="3"/>
      <c r="L273" s="3"/>
      <c r="M273" s="3"/>
      <c r="R273" s="65"/>
      <c r="AG273" s="91"/>
    </row>
    <row r="274" ht="15.0" customHeight="1">
      <c r="C274" s="3"/>
      <c r="G274" s="141"/>
      <c r="H274" s="3"/>
      <c r="R274" s="65"/>
      <c r="AG274" s="91"/>
    </row>
    <row r="275" ht="15.0" customHeight="1">
      <c r="C275" s="3"/>
      <c r="G275" s="141"/>
      <c r="H275" s="3"/>
      <c r="R275" s="65"/>
      <c r="AG275" s="91"/>
    </row>
    <row r="276" ht="15.0" customHeight="1">
      <c r="C276" s="3"/>
      <c r="G276" s="141"/>
      <c r="H276" s="3"/>
      <c r="R276" s="65"/>
      <c r="AG276" s="91"/>
    </row>
    <row r="277" ht="15.0" customHeight="1">
      <c r="C277" s="3"/>
      <c r="G277" s="141"/>
      <c r="H277" s="3"/>
      <c r="R277" s="65"/>
      <c r="AG277" s="91"/>
    </row>
    <row r="278" ht="15.0" customHeight="1">
      <c r="C278" s="3"/>
      <c r="G278" s="141"/>
      <c r="H278" s="3"/>
      <c r="R278" s="65"/>
      <c r="AG278" s="91"/>
    </row>
    <row r="279" ht="15.0" customHeight="1">
      <c r="C279" s="3"/>
      <c r="G279" s="141"/>
      <c r="H279" s="3"/>
      <c r="R279" s="65"/>
      <c r="AG279" s="91"/>
    </row>
    <row r="280" ht="15.0" customHeight="1">
      <c r="C280" s="3"/>
      <c r="G280" s="141"/>
      <c r="H280" s="3"/>
      <c r="R280" s="65"/>
      <c r="AG280" s="91"/>
    </row>
    <row r="281" ht="15.0" customHeight="1">
      <c r="C281" s="3"/>
      <c r="G281" s="141"/>
      <c r="H281" s="3"/>
      <c r="R281" s="65"/>
      <c r="AG281" s="91"/>
    </row>
    <row r="282" ht="15.0" customHeight="1">
      <c r="C282" s="3"/>
      <c r="G282" s="141"/>
      <c r="H282" s="3"/>
      <c r="R282" s="65"/>
      <c r="AG282" s="91"/>
    </row>
    <row r="283" ht="15.0" customHeight="1">
      <c r="C283" s="3"/>
      <c r="G283" s="141"/>
      <c r="H283" s="3"/>
      <c r="R283" s="65"/>
      <c r="AG283" s="91"/>
    </row>
    <row r="284" ht="15.0" customHeight="1">
      <c r="C284" s="3"/>
      <c r="G284" s="141"/>
      <c r="H284" s="3"/>
      <c r="R284" s="65"/>
      <c r="AG284" s="91"/>
    </row>
    <row r="285" ht="15.0" customHeight="1">
      <c r="C285" s="3"/>
      <c r="G285" s="141"/>
      <c r="H285" s="3"/>
      <c r="R285" s="65"/>
      <c r="AG285" s="91"/>
    </row>
    <row r="286" ht="15.0" customHeight="1">
      <c r="C286" s="3"/>
      <c r="G286" s="141"/>
      <c r="H286" s="3"/>
      <c r="R286" s="65"/>
      <c r="AG286" s="91"/>
    </row>
    <row r="287" ht="15.0" customHeight="1">
      <c r="C287" s="3"/>
      <c r="G287" s="141"/>
      <c r="H287" s="3"/>
      <c r="R287" s="65"/>
      <c r="AG287" s="91"/>
    </row>
    <row r="288" ht="15.0" customHeight="1">
      <c r="C288" s="3"/>
      <c r="G288" s="141"/>
      <c r="H288" s="3"/>
      <c r="R288" s="65"/>
      <c r="AG288" s="91"/>
    </row>
    <row r="289" ht="15.0" customHeight="1">
      <c r="C289" s="3"/>
      <c r="G289" s="141"/>
      <c r="H289" s="3"/>
      <c r="R289" s="65"/>
      <c r="AG289" s="91"/>
    </row>
    <row r="290" ht="15.0" customHeight="1">
      <c r="C290" s="3"/>
      <c r="G290" s="141"/>
      <c r="H290" s="3"/>
      <c r="R290" s="65"/>
      <c r="AG290" s="91"/>
    </row>
    <row r="291" ht="15.0" customHeight="1">
      <c r="C291" s="3"/>
      <c r="G291" s="141"/>
      <c r="H291" s="3"/>
      <c r="R291" s="65"/>
      <c r="AG291" s="91"/>
    </row>
    <row r="292" ht="15.0" customHeight="1">
      <c r="C292" s="3"/>
      <c r="G292" s="141"/>
      <c r="H292" s="3"/>
      <c r="R292" s="65"/>
      <c r="AG292" s="91"/>
    </row>
    <row r="293" ht="15.0" customHeight="1">
      <c r="C293" s="3"/>
      <c r="G293" s="141"/>
      <c r="H293" s="3"/>
      <c r="R293" s="65"/>
      <c r="AG293" s="91"/>
    </row>
    <row r="294" ht="15.0" customHeight="1">
      <c r="C294" s="3"/>
      <c r="G294" s="141"/>
      <c r="H294" s="3"/>
      <c r="R294" s="65"/>
      <c r="AG294" s="91"/>
    </row>
    <row r="295" ht="15.0" customHeight="1">
      <c r="C295" s="3"/>
      <c r="G295" s="141"/>
      <c r="H295" s="3"/>
      <c r="R295" s="65"/>
      <c r="AG295" s="91"/>
    </row>
    <row r="296" ht="15.0" customHeight="1">
      <c r="C296" s="3"/>
      <c r="G296" s="141"/>
      <c r="H296" s="3"/>
      <c r="R296" s="65"/>
      <c r="AG296" s="91"/>
    </row>
    <row r="297" ht="15.0" customHeight="1">
      <c r="C297" s="3"/>
      <c r="G297" s="141"/>
      <c r="H297" s="3"/>
      <c r="R297" s="65"/>
      <c r="AG297" s="91"/>
    </row>
    <row r="298" ht="15.0" customHeight="1">
      <c r="C298" s="3"/>
      <c r="G298" s="141"/>
      <c r="H298" s="3"/>
      <c r="R298" s="65"/>
      <c r="AG298" s="91"/>
    </row>
    <row r="299" ht="15.0" customHeight="1">
      <c r="C299" s="3"/>
      <c r="G299" s="141"/>
      <c r="H299" s="3"/>
      <c r="R299" s="65"/>
      <c r="AG299" s="91"/>
    </row>
    <row r="300" ht="15.0" customHeight="1">
      <c r="C300" s="3"/>
      <c r="G300" s="141"/>
      <c r="H300" s="3"/>
      <c r="R300" s="65"/>
      <c r="AG300" s="91"/>
    </row>
    <row r="301" ht="15.0" customHeight="1">
      <c r="C301" s="3"/>
      <c r="G301" s="141"/>
      <c r="H301" s="3"/>
      <c r="R301" s="65"/>
      <c r="AG301" s="91"/>
    </row>
    <row r="302" ht="15.0" customHeight="1">
      <c r="C302" s="3"/>
      <c r="G302" s="141"/>
      <c r="H302" s="3"/>
      <c r="R302" s="65"/>
      <c r="AG302" s="91"/>
    </row>
    <row r="303" ht="15.0" customHeight="1">
      <c r="C303" s="3"/>
      <c r="G303" s="141"/>
      <c r="H303" s="3"/>
      <c r="R303" s="65"/>
      <c r="AG303" s="91"/>
    </row>
    <row r="304" ht="15.0" customHeight="1">
      <c r="C304" s="3"/>
      <c r="G304" s="141"/>
      <c r="H304" s="3"/>
      <c r="R304" s="65"/>
      <c r="AG304" s="91"/>
    </row>
    <row r="305" ht="15.0" customHeight="1">
      <c r="C305" s="3"/>
      <c r="G305" s="141"/>
      <c r="H305" s="3"/>
      <c r="R305" s="65"/>
      <c r="AG305" s="91"/>
    </row>
    <row r="306" ht="15.0" customHeight="1">
      <c r="C306" s="3"/>
      <c r="G306" s="141"/>
      <c r="H306" s="3"/>
      <c r="R306" s="65"/>
      <c r="AG306" s="91"/>
    </row>
    <row r="307" ht="15.0" customHeight="1">
      <c r="C307" s="3"/>
      <c r="G307" s="141"/>
      <c r="H307" s="3"/>
      <c r="R307" s="65"/>
      <c r="AG307" s="91"/>
    </row>
    <row r="308" ht="15.0" customHeight="1">
      <c r="C308" s="3"/>
      <c r="G308" s="141"/>
      <c r="H308" s="3"/>
      <c r="R308" s="65"/>
      <c r="AG308" s="91"/>
    </row>
    <row r="309" ht="15.0" customHeight="1">
      <c r="C309" s="3"/>
      <c r="G309" s="141"/>
      <c r="H309" s="3"/>
      <c r="R309" s="65"/>
      <c r="AG309" s="91"/>
    </row>
    <row r="310" ht="15.75" customHeight="1">
      <c r="C310" s="3"/>
      <c r="H310" s="3"/>
      <c r="AG310" s="91"/>
    </row>
    <row r="311" ht="15.75" customHeight="1">
      <c r="C311" s="3"/>
      <c r="H311" s="3"/>
      <c r="AG311" s="91"/>
    </row>
    <row r="312" ht="15.75" customHeight="1">
      <c r="C312" s="3"/>
      <c r="H312" s="3"/>
      <c r="AG312" s="91"/>
    </row>
    <row r="313" ht="15.75" customHeight="1">
      <c r="C313" s="3"/>
      <c r="H313" s="3"/>
      <c r="AG313" s="91"/>
    </row>
    <row r="314" ht="15.75" customHeight="1">
      <c r="C314" s="3"/>
      <c r="H314" s="3"/>
      <c r="AG314" s="91"/>
    </row>
    <row r="315" ht="15.75" customHeight="1">
      <c r="C315" s="3"/>
      <c r="H315" s="3"/>
      <c r="AG315" s="91"/>
    </row>
    <row r="316" ht="15.75" customHeight="1">
      <c r="C316" s="3"/>
      <c r="H316" s="3"/>
      <c r="AG316" s="91"/>
    </row>
    <row r="317" ht="15.75" customHeight="1">
      <c r="C317" s="3"/>
      <c r="H317" s="3"/>
      <c r="AG317" s="91"/>
    </row>
    <row r="318" ht="15.75" customHeight="1">
      <c r="C318" s="3"/>
      <c r="H318" s="3"/>
      <c r="AG318" s="91"/>
    </row>
    <row r="319" ht="15.75" customHeight="1">
      <c r="C319" s="3"/>
      <c r="H319" s="3"/>
      <c r="AG319" s="91"/>
    </row>
    <row r="320" ht="15.75" customHeight="1">
      <c r="C320" s="3"/>
      <c r="H320" s="3"/>
      <c r="AG320" s="91"/>
    </row>
    <row r="321" ht="15.75" customHeight="1">
      <c r="C321" s="3"/>
      <c r="H321" s="3"/>
      <c r="AG321" s="91"/>
    </row>
    <row r="322" ht="15.75" customHeight="1">
      <c r="C322" s="3"/>
      <c r="H322" s="3"/>
      <c r="AG322" s="91"/>
    </row>
    <row r="323" ht="15.75" customHeight="1">
      <c r="C323" s="3"/>
      <c r="H323" s="3"/>
      <c r="AG323" s="91"/>
    </row>
    <row r="324" ht="15.75" customHeight="1">
      <c r="C324" s="3"/>
      <c r="H324" s="3"/>
      <c r="AG324" s="91"/>
    </row>
    <row r="325" ht="15.75" customHeight="1">
      <c r="C325" s="3"/>
      <c r="H325" s="3"/>
      <c r="AG325" s="91"/>
    </row>
    <row r="326" ht="15.75" customHeight="1">
      <c r="C326" s="3"/>
      <c r="H326" s="3"/>
      <c r="AG326" s="91"/>
    </row>
    <row r="327" ht="15.75" customHeight="1">
      <c r="C327" s="3"/>
      <c r="H327" s="3"/>
      <c r="AG327" s="91"/>
    </row>
    <row r="328" ht="15.75" customHeight="1">
      <c r="C328" s="3"/>
      <c r="H328" s="3"/>
      <c r="AG328" s="91"/>
    </row>
    <row r="329" ht="15.75" customHeight="1">
      <c r="C329" s="3"/>
      <c r="H329" s="3"/>
      <c r="AG329" s="91"/>
    </row>
    <row r="330" ht="15.75" customHeight="1">
      <c r="C330" s="3"/>
      <c r="H330" s="3"/>
      <c r="AG330" s="91"/>
    </row>
    <row r="331" ht="15.75" customHeight="1">
      <c r="C331" s="3"/>
      <c r="H331" s="3"/>
      <c r="AG331" s="91"/>
    </row>
    <row r="332" ht="15.75" customHeight="1">
      <c r="C332" s="3"/>
      <c r="H332" s="3"/>
      <c r="AG332" s="91"/>
    </row>
    <row r="333" ht="15.75" customHeight="1">
      <c r="C333" s="3"/>
      <c r="H333" s="3"/>
      <c r="AG333" s="91"/>
    </row>
    <row r="334" ht="15.75" customHeight="1">
      <c r="C334" s="3"/>
      <c r="H334" s="3"/>
      <c r="AG334" s="91"/>
    </row>
    <row r="335" ht="15.75" customHeight="1">
      <c r="C335" s="3"/>
      <c r="H335" s="3"/>
      <c r="AG335" s="91"/>
    </row>
    <row r="336" ht="15.75" customHeight="1">
      <c r="C336" s="3"/>
      <c r="H336" s="3"/>
      <c r="AG336" s="91"/>
    </row>
    <row r="337" ht="15.75" customHeight="1">
      <c r="C337" s="3"/>
      <c r="H337" s="3"/>
      <c r="AG337" s="91"/>
    </row>
    <row r="338" ht="15.75" customHeight="1">
      <c r="C338" s="3"/>
      <c r="H338" s="3"/>
      <c r="AG338" s="91"/>
    </row>
    <row r="339" ht="15.75" customHeight="1">
      <c r="C339" s="3"/>
      <c r="H339" s="3"/>
      <c r="AG339" s="91"/>
    </row>
    <row r="340" ht="15.75" customHeight="1">
      <c r="C340" s="3"/>
      <c r="H340" s="3"/>
      <c r="AG340" s="91"/>
    </row>
    <row r="341" ht="15.75" customHeight="1">
      <c r="C341" s="3"/>
      <c r="H341" s="3"/>
      <c r="AG341" s="91"/>
    </row>
    <row r="342" ht="15.75" customHeight="1">
      <c r="C342" s="3"/>
      <c r="H342" s="3"/>
      <c r="AG342" s="91"/>
    </row>
    <row r="343" ht="15.75" customHeight="1">
      <c r="C343" s="3"/>
      <c r="H343" s="3"/>
      <c r="AG343" s="91"/>
    </row>
    <row r="344" ht="15.75" customHeight="1">
      <c r="C344" s="3"/>
      <c r="H344" s="3"/>
      <c r="AG344" s="91"/>
    </row>
    <row r="345" ht="15.75" customHeight="1">
      <c r="C345" s="3"/>
      <c r="H345" s="3"/>
      <c r="AG345" s="91"/>
    </row>
    <row r="346" ht="15.75" customHeight="1">
      <c r="C346" s="3"/>
      <c r="H346" s="3"/>
      <c r="AG346" s="91"/>
    </row>
    <row r="347" ht="15.75" customHeight="1">
      <c r="C347" s="3"/>
      <c r="H347" s="3"/>
      <c r="AG347" s="91"/>
    </row>
    <row r="348" ht="15.75" customHeight="1">
      <c r="C348" s="3"/>
      <c r="H348" s="3"/>
      <c r="AG348" s="91"/>
    </row>
    <row r="349" ht="15.75" customHeight="1">
      <c r="C349" s="3"/>
      <c r="H349" s="3"/>
      <c r="AG349" s="91"/>
    </row>
    <row r="350" ht="15.75" customHeight="1">
      <c r="C350" s="3"/>
      <c r="H350" s="3"/>
      <c r="AG350" s="91"/>
    </row>
    <row r="351" ht="15.75" customHeight="1">
      <c r="C351" s="3"/>
      <c r="H351" s="3"/>
      <c r="AG351" s="91"/>
    </row>
    <row r="352" ht="15.75" customHeight="1">
      <c r="C352" s="3"/>
      <c r="H352" s="3"/>
      <c r="AG352" s="91"/>
    </row>
    <row r="353" ht="15.75" customHeight="1">
      <c r="C353" s="3"/>
      <c r="H353" s="3"/>
      <c r="AG353" s="91"/>
    </row>
    <row r="354" ht="15.75" customHeight="1">
      <c r="C354" s="3"/>
      <c r="H354" s="3"/>
      <c r="AG354" s="91"/>
    </row>
    <row r="355" ht="15.75" customHeight="1">
      <c r="C355" s="3"/>
      <c r="H355" s="3"/>
      <c r="AG355" s="91"/>
    </row>
    <row r="356" ht="15.75" customHeight="1">
      <c r="C356" s="3"/>
      <c r="H356" s="3"/>
      <c r="AG356" s="91"/>
    </row>
    <row r="357" ht="15.75" customHeight="1">
      <c r="C357" s="3"/>
      <c r="H357" s="3"/>
      <c r="AG357" s="91"/>
    </row>
    <row r="358" ht="15.75" customHeight="1">
      <c r="C358" s="3"/>
      <c r="H358" s="3"/>
      <c r="AG358" s="91"/>
    </row>
    <row r="359" ht="15.75" customHeight="1">
      <c r="C359" s="3"/>
      <c r="H359" s="3"/>
      <c r="AG359" s="91"/>
    </row>
    <row r="360" ht="15.75" customHeight="1">
      <c r="C360" s="3"/>
      <c r="H360" s="3"/>
      <c r="AG360" s="91"/>
    </row>
    <row r="361" ht="15.75" customHeight="1">
      <c r="C361" s="3"/>
      <c r="H361" s="3"/>
      <c r="AG361" s="91"/>
    </row>
    <row r="362" ht="15.75" customHeight="1">
      <c r="C362" s="3"/>
      <c r="H362" s="3"/>
      <c r="AG362" s="91"/>
    </row>
    <row r="363" ht="15.75" customHeight="1">
      <c r="C363" s="3"/>
      <c r="H363" s="3"/>
      <c r="AG363" s="91"/>
    </row>
    <row r="364" ht="15.75" customHeight="1">
      <c r="C364" s="3"/>
      <c r="H364" s="3"/>
      <c r="AG364" s="91"/>
    </row>
    <row r="365" ht="15.75" customHeight="1">
      <c r="C365" s="3"/>
      <c r="H365" s="3"/>
      <c r="AG365" s="91"/>
    </row>
    <row r="366" ht="15.75" customHeight="1">
      <c r="C366" s="3"/>
      <c r="H366" s="3"/>
      <c r="AG366" s="91"/>
    </row>
    <row r="367" ht="15.75" customHeight="1">
      <c r="C367" s="3"/>
      <c r="H367" s="3"/>
      <c r="AG367" s="91"/>
    </row>
    <row r="368" ht="15.75" customHeight="1">
      <c r="C368" s="3"/>
      <c r="H368" s="3"/>
      <c r="AG368" s="91"/>
    </row>
    <row r="369" ht="15.75" customHeight="1">
      <c r="C369" s="3"/>
      <c r="H369" s="3"/>
      <c r="AG369" s="91"/>
    </row>
    <row r="370" ht="15.75" customHeight="1">
      <c r="C370" s="3"/>
      <c r="H370" s="3"/>
      <c r="AG370" s="91"/>
    </row>
    <row r="371" ht="15.75" customHeight="1">
      <c r="C371" s="3"/>
      <c r="H371" s="3"/>
      <c r="AG371" s="91"/>
    </row>
    <row r="372" ht="15.75" customHeight="1">
      <c r="C372" s="3"/>
      <c r="H372" s="3"/>
      <c r="AG372" s="91"/>
    </row>
    <row r="373" ht="15.75" customHeight="1">
      <c r="C373" s="3"/>
      <c r="H373" s="3"/>
      <c r="AG373" s="91"/>
    </row>
    <row r="374" ht="15.75" customHeight="1">
      <c r="C374" s="3"/>
      <c r="H374" s="3"/>
      <c r="AG374" s="91"/>
    </row>
    <row r="375" ht="15.75" customHeight="1">
      <c r="C375" s="3"/>
      <c r="H375" s="3"/>
      <c r="AG375" s="91"/>
    </row>
    <row r="376" ht="15.75" customHeight="1">
      <c r="C376" s="3"/>
      <c r="H376" s="3"/>
      <c r="AG376" s="91"/>
    </row>
    <row r="377" ht="15.75" customHeight="1">
      <c r="C377" s="3"/>
      <c r="H377" s="3"/>
      <c r="AG377" s="91"/>
    </row>
    <row r="378" ht="15.75" customHeight="1">
      <c r="C378" s="3"/>
      <c r="H378" s="3"/>
      <c r="AG378" s="91"/>
    </row>
    <row r="379" ht="15.75" customHeight="1">
      <c r="C379" s="3"/>
      <c r="H379" s="3"/>
      <c r="AG379" s="91"/>
    </row>
    <row r="380" ht="15.75" customHeight="1">
      <c r="C380" s="3"/>
      <c r="H380" s="3"/>
      <c r="AG380" s="91"/>
    </row>
    <row r="381" ht="15.75" customHeight="1">
      <c r="C381" s="3"/>
      <c r="H381" s="3"/>
      <c r="AG381" s="91"/>
    </row>
    <row r="382" ht="15.75" customHeight="1">
      <c r="C382" s="3"/>
      <c r="H382" s="3"/>
      <c r="AG382" s="91"/>
    </row>
    <row r="383" ht="15.75" customHeight="1">
      <c r="C383" s="3"/>
      <c r="H383" s="3"/>
      <c r="AG383" s="91"/>
    </row>
    <row r="384" ht="15.75" customHeight="1">
      <c r="C384" s="3"/>
      <c r="H384" s="3"/>
      <c r="AG384" s="91"/>
    </row>
    <row r="385" ht="15.75" customHeight="1">
      <c r="C385" s="3"/>
      <c r="H385" s="3"/>
      <c r="AG385" s="91"/>
    </row>
    <row r="386" ht="15.75" customHeight="1">
      <c r="C386" s="3"/>
      <c r="H386" s="3"/>
      <c r="AG386" s="91"/>
    </row>
    <row r="387" ht="15.75" customHeight="1">
      <c r="C387" s="3"/>
      <c r="H387" s="3"/>
      <c r="AG387" s="91"/>
    </row>
    <row r="388" ht="15.75" customHeight="1">
      <c r="C388" s="3"/>
      <c r="H388" s="3"/>
      <c r="AG388" s="91"/>
    </row>
    <row r="389" ht="15.75" customHeight="1">
      <c r="C389" s="3"/>
      <c r="H389" s="3"/>
      <c r="AG389" s="91"/>
    </row>
    <row r="390" ht="15.75" customHeight="1">
      <c r="C390" s="3"/>
      <c r="H390" s="3"/>
      <c r="AG390" s="91"/>
    </row>
    <row r="391" ht="15.75" customHeight="1">
      <c r="C391" s="3"/>
      <c r="H391" s="3"/>
      <c r="AG391" s="91"/>
    </row>
    <row r="392" ht="15.75" customHeight="1">
      <c r="C392" s="3"/>
      <c r="H392" s="3"/>
      <c r="AG392" s="91"/>
    </row>
    <row r="393" ht="15.75" customHeight="1">
      <c r="C393" s="3"/>
      <c r="H393" s="3"/>
      <c r="AG393" s="91"/>
    </row>
    <row r="394" ht="15.75" customHeight="1">
      <c r="C394" s="3"/>
      <c r="H394" s="3"/>
      <c r="AG394" s="91"/>
    </row>
    <row r="395" ht="15.75" customHeight="1">
      <c r="C395" s="3"/>
      <c r="H395" s="3"/>
      <c r="AG395" s="91"/>
    </row>
    <row r="396" ht="15.75" customHeight="1">
      <c r="C396" s="3"/>
      <c r="H396" s="3"/>
      <c r="AG396" s="91"/>
    </row>
    <row r="397" ht="15.75" customHeight="1">
      <c r="C397" s="3"/>
      <c r="H397" s="3"/>
      <c r="AG397" s="91"/>
    </row>
    <row r="398" ht="15.75" customHeight="1">
      <c r="C398" s="3"/>
      <c r="H398" s="3"/>
      <c r="AG398" s="91"/>
    </row>
    <row r="399" ht="15.75" customHeight="1">
      <c r="C399" s="3"/>
      <c r="H399" s="3"/>
      <c r="AG399" s="91"/>
    </row>
    <row r="400" ht="15.75" customHeight="1">
      <c r="C400" s="3"/>
      <c r="H400" s="3"/>
      <c r="AG400" s="91"/>
    </row>
    <row r="401" ht="15.75" customHeight="1">
      <c r="C401" s="3"/>
      <c r="H401" s="3"/>
      <c r="AG401" s="91"/>
    </row>
    <row r="402" ht="15.75" customHeight="1">
      <c r="C402" s="3"/>
      <c r="H402" s="3"/>
      <c r="AG402" s="91"/>
    </row>
    <row r="403" ht="15.75" customHeight="1">
      <c r="C403" s="3"/>
      <c r="H403" s="3"/>
      <c r="AG403" s="91"/>
    </row>
    <row r="404" ht="15.75" customHeight="1">
      <c r="C404" s="3"/>
      <c r="H404" s="3"/>
      <c r="AG404" s="91"/>
    </row>
    <row r="405" ht="15.75" customHeight="1">
      <c r="C405" s="3"/>
      <c r="H405" s="3"/>
      <c r="AG405" s="91"/>
    </row>
    <row r="406" ht="15.75" customHeight="1">
      <c r="C406" s="3"/>
      <c r="H406" s="3"/>
      <c r="AG406" s="91"/>
    </row>
    <row r="407" ht="15.75" customHeight="1">
      <c r="C407" s="3"/>
      <c r="H407" s="3"/>
      <c r="AG407" s="91"/>
    </row>
    <row r="408" ht="15.75" customHeight="1">
      <c r="C408" s="3"/>
      <c r="H408" s="3"/>
      <c r="AG408" s="91"/>
    </row>
    <row r="409" ht="15.75" customHeight="1">
      <c r="C409" s="3"/>
      <c r="H409" s="3"/>
      <c r="AG409" s="91"/>
    </row>
    <row r="410" ht="15.75" customHeight="1">
      <c r="C410" s="3"/>
      <c r="H410" s="3"/>
      <c r="AG410" s="91"/>
    </row>
    <row r="411" ht="15.75" customHeight="1">
      <c r="C411" s="3"/>
      <c r="H411" s="3"/>
      <c r="AG411" s="91"/>
    </row>
    <row r="412" ht="15.75" customHeight="1">
      <c r="C412" s="3"/>
      <c r="H412" s="3"/>
      <c r="AG412" s="91"/>
    </row>
    <row r="413" ht="15.75" customHeight="1">
      <c r="C413" s="3"/>
      <c r="H413" s="3"/>
      <c r="AG413" s="91"/>
    </row>
    <row r="414" ht="15.75" customHeight="1">
      <c r="C414" s="3"/>
      <c r="H414" s="3"/>
      <c r="AG414" s="91"/>
    </row>
    <row r="415" ht="15.75" customHeight="1">
      <c r="C415" s="3"/>
      <c r="H415" s="3"/>
      <c r="AG415" s="91"/>
    </row>
    <row r="416" ht="15.75" customHeight="1">
      <c r="C416" s="3"/>
      <c r="H416" s="3"/>
      <c r="AG416" s="91"/>
    </row>
    <row r="417" ht="15.75" customHeight="1">
      <c r="C417" s="3"/>
      <c r="H417" s="3"/>
      <c r="AG417" s="91"/>
    </row>
    <row r="418" ht="15.75" customHeight="1">
      <c r="C418" s="3"/>
      <c r="H418" s="3"/>
      <c r="AG418" s="91"/>
    </row>
    <row r="419" ht="15.75" customHeight="1">
      <c r="C419" s="3"/>
      <c r="H419" s="3"/>
      <c r="AG419" s="91"/>
    </row>
    <row r="420" ht="15.75" customHeight="1">
      <c r="C420" s="3"/>
      <c r="H420" s="3"/>
      <c r="AG420" s="91"/>
    </row>
    <row r="421" ht="15.75" customHeight="1">
      <c r="C421" s="3"/>
      <c r="H421" s="3"/>
      <c r="AG421" s="91"/>
    </row>
    <row r="422" ht="15.75" customHeight="1">
      <c r="C422" s="3"/>
      <c r="H422" s="3"/>
      <c r="AG422" s="91"/>
    </row>
    <row r="423" ht="15.75" customHeight="1">
      <c r="C423" s="3"/>
      <c r="H423" s="3"/>
      <c r="AG423" s="91"/>
    </row>
    <row r="424" ht="15.75" customHeight="1">
      <c r="C424" s="3"/>
      <c r="H424" s="3"/>
      <c r="AG424" s="91"/>
    </row>
    <row r="425" ht="15.75" customHeight="1">
      <c r="C425" s="3"/>
      <c r="H425" s="3"/>
      <c r="AG425" s="91"/>
    </row>
    <row r="426" ht="15.75" customHeight="1">
      <c r="C426" s="3"/>
      <c r="H426" s="3"/>
      <c r="AG426" s="91"/>
    </row>
    <row r="427" ht="15.75" customHeight="1">
      <c r="C427" s="3"/>
      <c r="H427" s="3"/>
      <c r="AG427" s="91"/>
    </row>
    <row r="428" ht="15.75" customHeight="1">
      <c r="C428" s="3"/>
      <c r="H428" s="3"/>
      <c r="AG428" s="91"/>
    </row>
    <row r="429" ht="15.75" customHeight="1">
      <c r="C429" s="3"/>
      <c r="H429" s="3"/>
      <c r="AG429" s="91"/>
    </row>
    <row r="430" ht="15.75" customHeight="1">
      <c r="C430" s="3"/>
      <c r="H430" s="3"/>
      <c r="AG430" s="91"/>
    </row>
    <row r="431" ht="15.75" customHeight="1">
      <c r="C431" s="3"/>
      <c r="H431" s="3"/>
      <c r="AG431" s="91"/>
    </row>
    <row r="432" ht="15.75" customHeight="1">
      <c r="C432" s="3"/>
      <c r="H432" s="3"/>
      <c r="AG432" s="91"/>
    </row>
    <row r="433" ht="15.75" customHeight="1">
      <c r="C433" s="3"/>
      <c r="H433" s="3"/>
      <c r="AG433" s="91"/>
    </row>
    <row r="434" ht="15.75" customHeight="1">
      <c r="C434" s="3"/>
      <c r="H434" s="3"/>
      <c r="AG434" s="91"/>
    </row>
    <row r="435" ht="15.75" customHeight="1">
      <c r="C435" s="3"/>
      <c r="H435" s="3"/>
      <c r="AG435" s="91"/>
    </row>
    <row r="436" ht="15.75" customHeight="1">
      <c r="C436" s="3"/>
      <c r="H436" s="3"/>
      <c r="AG436" s="91"/>
    </row>
    <row r="437" ht="15.75" customHeight="1">
      <c r="C437" s="3"/>
      <c r="H437" s="3"/>
      <c r="AG437" s="91"/>
    </row>
    <row r="438" ht="15.75" customHeight="1">
      <c r="C438" s="3"/>
      <c r="H438" s="3"/>
      <c r="AG438" s="91"/>
    </row>
    <row r="439" ht="15.75" customHeight="1">
      <c r="C439" s="3"/>
      <c r="H439" s="3"/>
      <c r="AG439" s="91"/>
    </row>
    <row r="440" ht="15.75" customHeight="1">
      <c r="C440" s="3"/>
      <c r="H440" s="3"/>
      <c r="AG440" s="91"/>
    </row>
    <row r="441" ht="15.75" customHeight="1">
      <c r="C441" s="3"/>
      <c r="H441" s="3"/>
      <c r="AG441" s="91"/>
    </row>
    <row r="442" ht="15.75" customHeight="1">
      <c r="C442" s="3"/>
      <c r="H442" s="3"/>
      <c r="AG442" s="91"/>
    </row>
    <row r="443" ht="15.75" customHeight="1">
      <c r="C443" s="3"/>
      <c r="H443" s="3"/>
      <c r="AG443" s="91"/>
    </row>
    <row r="444" ht="15.75" customHeight="1">
      <c r="C444" s="3"/>
      <c r="H444" s="3"/>
      <c r="AG444" s="91"/>
    </row>
    <row r="445" ht="15.75" customHeight="1">
      <c r="C445" s="3"/>
      <c r="H445" s="3"/>
      <c r="AG445" s="91"/>
    </row>
    <row r="446" ht="15.75" customHeight="1">
      <c r="C446" s="3"/>
      <c r="H446" s="3"/>
      <c r="AG446" s="91"/>
    </row>
    <row r="447" ht="15.75" customHeight="1">
      <c r="C447" s="3"/>
      <c r="H447" s="3"/>
      <c r="AG447" s="91"/>
    </row>
    <row r="448" ht="15.75" customHeight="1">
      <c r="C448" s="3"/>
      <c r="H448" s="3"/>
      <c r="AG448" s="91"/>
    </row>
    <row r="449" ht="15.75" customHeight="1">
      <c r="C449" s="3"/>
      <c r="H449" s="3"/>
      <c r="AG449" s="91"/>
    </row>
    <row r="450" ht="15.75" customHeight="1">
      <c r="C450" s="3"/>
      <c r="H450" s="3"/>
      <c r="AG450" s="91"/>
    </row>
    <row r="451" ht="15.75" customHeight="1">
      <c r="C451" s="3"/>
      <c r="H451" s="3"/>
      <c r="AG451" s="91"/>
    </row>
    <row r="452" ht="15.75" customHeight="1">
      <c r="C452" s="3"/>
      <c r="H452" s="3"/>
      <c r="AG452" s="91"/>
    </row>
    <row r="453" ht="15.75" customHeight="1">
      <c r="C453" s="3"/>
      <c r="H453" s="3"/>
      <c r="AG453" s="91"/>
    </row>
    <row r="454" ht="15.75" customHeight="1">
      <c r="C454" s="3"/>
      <c r="H454" s="3"/>
      <c r="AG454" s="91"/>
    </row>
    <row r="455" ht="15.75" customHeight="1">
      <c r="C455" s="3"/>
      <c r="H455" s="3"/>
      <c r="AG455" s="91"/>
    </row>
    <row r="456" ht="15.75" customHeight="1">
      <c r="C456" s="3"/>
      <c r="H456" s="3"/>
      <c r="AG456" s="91"/>
    </row>
    <row r="457" ht="15.75" customHeight="1">
      <c r="C457" s="3"/>
      <c r="H457" s="3"/>
      <c r="AG457" s="91"/>
    </row>
    <row r="458" ht="15.75" customHeight="1">
      <c r="C458" s="3"/>
      <c r="H458" s="3"/>
      <c r="AG458" s="91"/>
    </row>
    <row r="459" ht="15.75" customHeight="1">
      <c r="C459" s="3"/>
      <c r="H459" s="3"/>
      <c r="AG459" s="91"/>
    </row>
    <row r="460" ht="15.75" customHeight="1">
      <c r="C460" s="3"/>
      <c r="H460" s="3"/>
      <c r="AG460" s="91"/>
    </row>
    <row r="461" ht="15.75" customHeight="1">
      <c r="C461" s="3"/>
      <c r="H461" s="3"/>
      <c r="AG461" s="91"/>
    </row>
    <row r="462" ht="15.75" customHeight="1">
      <c r="C462" s="3"/>
      <c r="H462" s="3"/>
      <c r="AG462" s="91"/>
    </row>
    <row r="463" ht="15.75" customHeight="1">
      <c r="C463" s="3"/>
      <c r="H463" s="3"/>
      <c r="AG463" s="91"/>
    </row>
    <row r="464" ht="15.75" customHeight="1">
      <c r="C464" s="3"/>
      <c r="H464" s="3"/>
      <c r="AG464" s="91"/>
    </row>
    <row r="465" ht="15.75" customHeight="1">
      <c r="C465" s="3"/>
      <c r="H465" s="3"/>
      <c r="AG465" s="91"/>
    </row>
    <row r="466" ht="15.75" customHeight="1">
      <c r="C466" s="3"/>
      <c r="H466" s="3"/>
      <c r="AG466" s="91"/>
    </row>
    <row r="467" ht="15.75" customHeight="1">
      <c r="C467" s="3"/>
      <c r="H467" s="3"/>
      <c r="AG467" s="91"/>
    </row>
    <row r="468" ht="15.75" customHeight="1">
      <c r="C468" s="3"/>
      <c r="H468" s="3"/>
      <c r="AG468" s="91"/>
    </row>
    <row r="469" ht="15.75" customHeight="1">
      <c r="C469" s="3"/>
      <c r="H469" s="3"/>
      <c r="AG469" s="91"/>
    </row>
    <row r="470" ht="15.75" customHeight="1">
      <c r="C470" s="3"/>
      <c r="H470" s="3"/>
      <c r="AG470" s="91"/>
    </row>
    <row r="471" ht="15.75" customHeight="1">
      <c r="C471" s="3"/>
      <c r="H471" s="3"/>
      <c r="AG471" s="91"/>
    </row>
    <row r="472" ht="15.75" customHeight="1">
      <c r="C472" s="3"/>
      <c r="H472" s="3"/>
      <c r="AG472" s="91"/>
    </row>
    <row r="473" ht="15.75" customHeight="1">
      <c r="C473" s="3"/>
      <c r="H473" s="3"/>
      <c r="AG473" s="91"/>
    </row>
    <row r="474" ht="15.75" customHeight="1">
      <c r="C474" s="3"/>
      <c r="H474" s="3"/>
      <c r="AG474" s="91"/>
    </row>
    <row r="475" ht="15.75" customHeight="1">
      <c r="C475" s="3"/>
      <c r="H475" s="3"/>
      <c r="AG475" s="91"/>
    </row>
    <row r="476" ht="15.75" customHeight="1">
      <c r="C476" s="3"/>
      <c r="H476" s="3"/>
      <c r="AG476" s="91"/>
    </row>
    <row r="477" ht="15.75" customHeight="1">
      <c r="C477" s="3"/>
      <c r="H477" s="3"/>
      <c r="AG477" s="91"/>
    </row>
    <row r="478" ht="15.75" customHeight="1">
      <c r="C478" s="3"/>
      <c r="H478" s="3"/>
      <c r="AG478" s="91"/>
    </row>
    <row r="479" ht="15.75" customHeight="1">
      <c r="C479" s="3"/>
      <c r="H479" s="3"/>
      <c r="AG479" s="91"/>
    </row>
    <row r="480" ht="15.75" customHeight="1">
      <c r="C480" s="3"/>
      <c r="H480" s="3"/>
      <c r="AG480" s="91"/>
    </row>
    <row r="481" ht="15.75" customHeight="1">
      <c r="C481" s="3"/>
      <c r="H481" s="3"/>
      <c r="AG481" s="91"/>
    </row>
    <row r="482" ht="15.75" customHeight="1">
      <c r="C482" s="3"/>
      <c r="H482" s="3"/>
      <c r="AG482" s="91"/>
    </row>
    <row r="483" ht="15.75" customHeight="1">
      <c r="C483" s="3"/>
      <c r="H483" s="3"/>
      <c r="AG483" s="91"/>
    </row>
    <row r="484" ht="15.75" customHeight="1">
      <c r="C484" s="3"/>
      <c r="H484" s="3"/>
      <c r="AG484" s="91"/>
    </row>
    <row r="485" ht="15.75" customHeight="1">
      <c r="C485" s="3"/>
      <c r="H485" s="3"/>
      <c r="AG485" s="91"/>
    </row>
    <row r="486" ht="15.75" customHeight="1">
      <c r="C486" s="3"/>
      <c r="H486" s="3"/>
      <c r="AG486" s="91"/>
    </row>
    <row r="487" ht="15.75" customHeight="1">
      <c r="C487" s="3"/>
      <c r="H487" s="3"/>
      <c r="AG487" s="91"/>
    </row>
    <row r="488" ht="15.75" customHeight="1">
      <c r="C488" s="3"/>
      <c r="H488" s="3"/>
      <c r="AG488" s="91"/>
    </row>
    <row r="489" ht="15.75" customHeight="1">
      <c r="C489" s="3"/>
      <c r="H489" s="3"/>
      <c r="AG489" s="91"/>
    </row>
    <row r="490" ht="15.75" customHeight="1">
      <c r="C490" s="3"/>
      <c r="H490" s="3"/>
      <c r="AG490" s="91"/>
    </row>
    <row r="491" ht="15.75" customHeight="1">
      <c r="C491" s="3"/>
      <c r="H491" s="3"/>
      <c r="AG491" s="91"/>
    </row>
    <row r="492" ht="15.75" customHeight="1">
      <c r="C492" s="3"/>
      <c r="H492" s="3"/>
      <c r="AG492" s="91"/>
    </row>
    <row r="493" ht="15.75" customHeight="1">
      <c r="C493" s="3"/>
      <c r="H493" s="3"/>
      <c r="AG493" s="91"/>
    </row>
    <row r="494" ht="15.75" customHeight="1">
      <c r="C494" s="3"/>
      <c r="H494" s="3"/>
      <c r="AG494" s="91"/>
    </row>
    <row r="495" ht="15.75" customHeight="1">
      <c r="C495" s="3"/>
      <c r="H495" s="3"/>
      <c r="AG495" s="91"/>
    </row>
    <row r="496" ht="15.75" customHeight="1">
      <c r="C496" s="3"/>
      <c r="H496" s="3"/>
      <c r="AG496" s="91"/>
    </row>
    <row r="497" ht="15.75" customHeight="1">
      <c r="C497" s="3"/>
      <c r="H497" s="3"/>
      <c r="AG497" s="91"/>
    </row>
    <row r="498" ht="15.75" customHeight="1">
      <c r="C498" s="3"/>
      <c r="H498" s="3"/>
      <c r="AG498" s="91"/>
    </row>
    <row r="499" ht="15.75" customHeight="1">
      <c r="C499" s="3"/>
      <c r="H499" s="3"/>
      <c r="AG499" s="91"/>
    </row>
    <row r="500" ht="15.75" customHeight="1">
      <c r="C500" s="3"/>
      <c r="H500" s="3"/>
      <c r="AG500" s="91"/>
    </row>
    <row r="501" ht="15.75" customHeight="1">
      <c r="C501" s="3"/>
      <c r="H501" s="3"/>
      <c r="AG501" s="91"/>
    </row>
    <row r="502" ht="15.75" customHeight="1">
      <c r="C502" s="3"/>
      <c r="H502" s="3"/>
      <c r="AG502" s="91"/>
    </row>
    <row r="503" ht="15.75" customHeight="1">
      <c r="C503" s="3"/>
      <c r="H503" s="3"/>
      <c r="AG503" s="91"/>
    </row>
    <row r="504" ht="15.75" customHeight="1">
      <c r="C504" s="3"/>
      <c r="H504" s="3"/>
      <c r="AG504" s="91"/>
    </row>
    <row r="505" ht="15.75" customHeight="1">
      <c r="C505" s="3"/>
      <c r="H505" s="3"/>
      <c r="AG505" s="91"/>
    </row>
    <row r="506" ht="15.75" customHeight="1">
      <c r="C506" s="3"/>
      <c r="H506" s="3"/>
      <c r="AG506" s="91"/>
    </row>
    <row r="507" ht="15.75" customHeight="1">
      <c r="C507" s="3"/>
      <c r="H507" s="3"/>
      <c r="AG507" s="91"/>
    </row>
    <row r="508" ht="15.75" customHeight="1">
      <c r="C508" s="3"/>
      <c r="H508" s="3"/>
      <c r="AG508" s="91"/>
    </row>
    <row r="509" ht="15.75" customHeight="1">
      <c r="C509" s="3"/>
      <c r="H509" s="3"/>
      <c r="AG509" s="91"/>
    </row>
    <row r="510" ht="15.75" customHeight="1">
      <c r="C510" s="3"/>
      <c r="H510" s="3"/>
      <c r="AG510" s="91"/>
    </row>
    <row r="511" ht="15.75" customHeight="1">
      <c r="C511" s="3"/>
      <c r="H511" s="3"/>
      <c r="AG511" s="91"/>
    </row>
    <row r="512" ht="15.75" customHeight="1">
      <c r="C512" s="3"/>
      <c r="H512" s="3"/>
      <c r="AG512" s="91"/>
    </row>
    <row r="513" ht="15.75" customHeight="1">
      <c r="C513" s="3"/>
      <c r="H513" s="3"/>
      <c r="AG513" s="91"/>
    </row>
    <row r="514" ht="15.75" customHeight="1">
      <c r="C514" s="3"/>
      <c r="H514" s="3"/>
      <c r="AG514" s="91"/>
    </row>
    <row r="515" ht="15.75" customHeight="1">
      <c r="C515" s="3"/>
      <c r="H515" s="3"/>
      <c r="AG515" s="91"/>
    </row>
    <row r="516" ht="15.75" customHeight="1">
      <c r="C516" s="3"/>
      <c r="H516" s="3"/>
      <c r="AG516" s="91"/>
    </row>
    <row r="517" ht="15.75" customHeight="1">
      <c r="C517" s="3"/>
      <c r="H517" s="3"/>
      <c r="AG517" s="91"/>
    </row>
    <row r="518" ht="15.75" customHeight="1">
      <c r="C518" s="3"/>
      <c r="H518" s="3"/>
      <c r="AG518" s="91"/>
    </row>
    <row r="519" ht="15.75" customHeight="1">
      <c r="C519" s="3"/>
      <c r="H519" s="3"/>
      <c r="AG519" s="91"/>
    </row>
    <row r="520" ht="15.75" customHeight="1">
      <c r="C520" s="3"/>
      <c r="H520" s="3"/>
      <c r="AG520" s="91"/>
    </row>
    <row r="521" ht="15.75" customHeight="1">
      <c r="C521" s="3"/>
      <c r="H521" s="3"/>
      <c r="AG521" s="91"/>
    </row>
    <row r="522" ht="15.75" customHeight="1">
      <c r="C522" s="3"/>
      <c r="H522" s="3"/>
      <c r="AG522" s="91"/>
    </row>
    <row r="523" ht="15.75" customHeight="1">
      <c r="C523" s="3"/>
      <c r="H523" s="3"/>
      <c r="AG523" s="91"/>
    </row>
    <row r="524" ht="15.75" customHeight="1">
      <c r="C524" s="3"/>
      <c r="H524" s="3"/>
      <c r="AG524" s="91"/>
    </row>
    <row r="525" ht="15.75" customHeight="1">
      <c r="C525" s="3"/>
      <c r="H525" s="3"/>
      <c r="AG525" s="91"/>
    </row>
    <row r="526" ht="15.75" customHeight="1">
      <c r="C526" s="3"/>
      <c r="H526" s="3"/>
      <c r="AG526" s="91"/>
    </row>
    <row r="527" ht="15.75" customHeight="1">
      <c r="C527" s="3"/>
      <c r="H527" s="3"/>
      <c r="AG527" s="91"/>
    </row>
    <row r="528" ht="15.75" customHeight="1">
      <c r="C528" s="3"/>
      <c r="H528" s="3"/>
      <c r="AG528" s="91"/>
    </row>
    <row r="529" ht="15.75" customHeight="1">
      <c r="C529" s="3"/>
      <c r="H529" s="3"/>
      <c r="AG529" s="91"/>
    </row>
    <row r="530" ht="15.75" customHeight="1">
      <c r="C530" s="3"/>
      <c r="H530" s="3"/>
      <c r="AG530" s="91"/>
    </row>
    <row r="531" ht="15.75" customHeight="1">
      <c r="C531" s="3"/>
      <c r="H531" s="3"/>
      <c r="AG531" s="91"/>
    </row>
    <row r="532" ht="15.75" customHeight="1">
      <c r="C532" s="3"/>
      <c r="H532" s="3"/>
      <c r="AG532" s="91"/>
    </row>
    <row r="533" ht="15.75" customHeight="1">
      <c r="C533" s="3"/>
      <c r="H533" s="3"/>
      <c r="AG533" s="91"/>
    </row>
    <row r="534" ht="15.75" customHeight="1">
      <c r="C534" s="3"/>
      <c r="H534" s="3"/>
      <c r="AG534" s="91"/>
    </row>
    <row r="535" ht="15.75" customHeight="1">
      <c r="C535" s="3"/>
      <c r="H535" s="3"/>
      <c r="AG535" s="91"/>
    </row>
    <row r="536" ht="15.75" customHeight="1">
      <c r="C536" s="3"/>
      <c r="H536" s="3"/>
      <c r="AG536" s="91"/>
    </row>
    <row r="537" ht="15.75" customHeight="1">
      <c r="C537" s="3"/>
      <c r="H537" s="3"/>
      <c r="AG537" s="91"/>
    </row>
    <row r="538" ht="15.75" customHeight="1">
      <c r="C538" s="3"/>
      <c r="H538" s="3"/>
      <c r="AG538" s="91"/>
    </row>
    <row r="539" ht="15.75" customHeight="1">
      <c r="C539" s="3"/>
      <c r="H539" s="3"/>
      <c r="AG539" s="91"/>
    </row>
    <row r="540" ht="15.75" customHeight="1">
      <c r="C540" s="3"/>
      <c r="H540" s="3"/>
      <c r="AG540" s="91"/>
    </row>
    <row r="541" ht="15.75" customHeight="1">
      <c r="C541" s="3"/>
      <c r="H541" s="3"/>
      <c r="AG541" s="91"/>
    </row>
    <row r="542" ht="15.75" customHeight="1">
      <c r="C542" s="3"/>
      <c r="H542" s="3"/>
      <c r="AG542" s="91"/>
    </row>
    <row r="543" ht="15.75" customHeight="1">
      <c r="C543" s="3"/>
      <c r="H543" s="3"/>
      <c r="AG543" s="91"/>
    </row>
    <row r="544" ht="15.75" customHeight="1">
      <c r="C544" s="3"/>
      <c r="H544" s="3"/>
      <c r="AG544" s="91"/>
    </row>
    <row r="545" ht="15.75" customHeight="1">
      <c r="C545" s="3"/>
      <c r="H545" s="3"/>
      <c r="AG545" s="91"/>
    </row>
    <row r="546" ht="15.75" customHeight="1">
      <c r="C546" s="3"/>
      <c r="H546" s="3"/>
      <c r="AG546" s="91"/>
    </row>
    <row r="547" ht="15.75" customHeight="1">
      <c r="C547" s="3"/>
      <c r="H547" s="3"/>
      <c r="AG547" s="91"/>
    </row>
    <row r="548" ht="15.75" customHeight="1">
      <c r="C548" s="3"/>
      <c r="H548" s="3"/>
      <c r="AG548" s="91"/>
    </row>
    <row r="549" ht="15.75" customHeight="1">
      <c r="C549" s="3"/>
      <c r="H549" s="3"/>
      <c r="AG549" s="91"/>
    </row>
    <row r="550" ht="15.75" customHeight="1">
      <c r="C550" s="3"/>
      <c r="H550" s="3"/>
      <c r="AG550" s="91"/>
    </row>
    <row r="551" ht="15.75" customHeight="1">
      <c r="C551" s="3"/>
      <c r="H551" s="3"/>
      <c r="AG551" s="91"/>
    </row>
    <row r="552" ht="15.75" customHeight="1">
      <c r="C552" s="3"/>
      <c r="H552" s="3"/>
      <c r="AG552" s="91"/>
    </row>
    <row r="553" ht="15.75" customHeight="1">
      <c r="C553" s="3"/>
      <c r="H553" s="3"/>
      <c r="AG553" s="91"/>
    </row>
    <row r="554" ht="15.75" customHeight="1">
      <c r="C554" s="3"/>
      <c r="H554" s="3"/>
      <c r="AG554" s="91"/>
    </row>
    <row r="555" ht="15.75" customHeight="1">
      <c r="C555" s="3"/>
      <c r="H555" s="3"/>
      <c r="AG555" s="91"/>
    </row>
    <row r="556" ht="15.75" customHeight="1">
      <c r="C556" s="3"/>
      <c r="H556" s="3"/>
      <c r="AG556" s="91"/>
    </row>
    <row r="557" ht="15.75" customHeight="1">
      <c r="C557" s="3"/>
      <c r="H557" s="3"/>
      <c r="AG557" s="91"/>
    </row>
    <row r="558" ht="15.75" customHeight="1">
      <c r="C558" s="3"/>
      <c r="H558" s="3"/>
      <c r="AG558" s="91"/>
    </row>
    <row r="559" ht="15.75" customHeight="1">
      <c r="C559" s="3"/>
      <c r="H559" s="3"/>
      <c r="AG559" s="91"/>
    </row>
    <row r="560" ht="15.75" customHeight="1">
      <c r="C560" s="3"/>
      <c r="H560" s="3"/>
      <c r="AG560" s="91"/>
    </row>
    <row r="561" ht="15.75" customHeight="1">
      <c r="C561" s="3"/>
      <c r="H561" s="3"/>
      <c r="AG561" s="91"/>
    </row>
    <row r="562" ht="15.75" customHeight="1">
      <c r="C562" s="3"/>
      <c r="H562" s="3"/>
      <c r="AG562" s="91"/>
    </row>
    <row r="563" ht="15.75" customHeight="1">
      <c r="C563" s="3"/>
      <c r="H563" s="3"/>
      <c r="AG563" s="91"/>
    </row>
    <row r="564" ht="15.75" customHeight="1">
      <c r="C564" s="3"/>
      <c r="H564" s="3"/>
      <c r="AG564" s="91"/>
    </row>
    <row r="565" ht="15.75" customHeight="1">
      <c r="C565" s="3"/>
      <c r="H565" s="3"/>
      <c r="AG565" s="91"/>
    </row>
    <row r="566" ht="15.75" customHeight="1">
      <c r="C566" s="3"/>
      <c r="H566" s="3"/>
      <c r="AG566" s="91"/>
    </row>
    <row r="567" ht="15.75" customHeight="1">
      <c r="C567" s="3"/>
      <c r="H567" s="3"/>
      <c r="AG567" s="91"/>
    </row>
    <row r="568" ht="15.75" customHeight="1">
      <c r="C568" s="3"/>
      <c r="H568" s="3"/>
      <c r="AG568" s="91"/>
    </row>
    <row r="569" ht="15.75" customHeight="1">
      <c r="C569" s="3"/>
      <c r="H569" s="3"/>
      <c r="AG569" s="91"/>
    </row>
    <row r="570" ht="15.75" customHeight="1">
      <c r="C570" s="3"/>
      <c r="H570" s="3"/>
      <c r="AG570" s="91"/>
    </row>
    <row r="571" ht="15.75" customHeight="1">
      <c r="C571" s="3"/>
      <c r="H571" s="3"/>
      <c r="AG571" s="91"/>
    </row>
    <row r="572" ht="15.75" customHeight="1">
      <c r="C572" s="3"/>
      <c r="H572" s="3"/>
      <c r="AG572" s="91"/>
    </row>
    <row r="573" ht="15.75" customHeight="1">
      <c r="C573" s="3"/>
      <c r="H573" s="3"/>
      <c r="AG573" s="91"/>
    </row>
    <row r="574" ht="15.75" customHeight="1">
      <c r="C574" s="3"/>
      <c r="H574" s="3"/>
      <c r="AG574" s="91"/>
    </row>
    <row r="575" ht="15.75" customHeight="1">
      <c r="C575" s="3"/>
      <c r="H575" s="3"/>
      <c r="AG575" s="91"/>
    </row>
    <row r="576" ht="15.75" customHeight="1">
      <c r="C576" s="3"/>
      <c r="H576" s="3"/>
      <c r="AG576" s="91"/>
    </row>
    <row r="577" ht="15.75" customHeight="1">
      <c r="C577" s="3"/>
      <c r="H577" s="3"/>
      <c r="AG577" s="91"/>
    </row>
    <row r="578" ht="15.75" customHeight="1">
      <c r="C578" s="3"/>
      <c r="H578" s="3"/>
      <c r="AG578" s="91"/>
    </row>
    <row r="579" ht="15.75" customHeight="1">
      <c r="C579" s="3"/>
      <c r="H579" s="3"/>
      <c r="AG579" s="91"/>
    </row>
    <row r="580" ht="15.75" customHeight="1">
      <c r="C580" s="3"/>
      <c r="H580" s="3"/>
      <c r="AG580" s="91"/>
    </row>
    <row r="581" ht="15.75" customHeight="1">
      <c r="C581" s="3"/>
      <c r="H581" s="3"/>
      <c r="AG581" s="91"/>
    </row>
    <row r="582" ht="15.75" customHeight="1">
      <c r="C582" s="3"/>
      <c r="H582" s="3"/>
      <c r="AG582" s="91"/>
    </row>
    <row r="583" ht="15.75" customHeight="1">
      <c r="C583" s="3"/>
      <c r="H583" s="3"/>
      <c r="AG583" s="91"/>
    </row>
    <row r="584" ht="15.75" customHeight="1">
      <c r="C584" s="3"/>
      <c r="H584" s="3"/>
      <c r="AG584" s="91"/>
    </row>
    <row r="585" ht="15.75" customHeight="1">
      <c r="C585" s="3"/>
      <c r="H585" s="3"/>
      <c r="AG585" s="91"/>
    </row>
    <row r="586" ht="15.75" customHeight="1">
      <c r="C586" s="3"/>
      <c r="H586" s="3"/>
      <c r="AG586" s="91"/>
    </row>
    <row r="587" ht="15.75" customHeight="1">
      <c r="C587" s="3"/>
      <c r="H587" s="3"/>
      <c r="AG587" s="91"/>
    </row>
    <row r="588" ht="15.75" customHeight="1">
      <c r="C588" s="3"/>
      <c r="H588" s="3"/>
      <c r="AG588" s="91"/>
    </row>
    <row r="589" ht="15.75" customHeight="1">
      <c r="C589" s="3"/>
      <c r="H589" s="3"/>
      <c r="AG589" s="91"/>
    </row>
    <row r="590" ht="15.75" customHeight="1">
      <c r="C590" s="3"/>
      <c r="H590" s="3"/>
      <c r="AG590" s="91"/>
    </row>
    <row r="591" ht="15.75" customHeight="1">
      <c r="C591" s="3"/>
      <c r="H591" s="3"/>
      <c r="AG591" s="91"/>
    </row>
    <row r="592" ht="15.75" customHeight="1">
      <c r="C592" s="3"/>
      <c r="H592" s="3"/>
      <c r="AG592" s="91"/>
    </row>
    <row r="593" ht="15.75" customHeight="1">
      <c r="C593" s="3"/>
      <c r="H593" s="3"/>
      <c r="AG593" s="91"/>
    </row>
    <row r="594" ht="15.75" customHeight="1">
      <c r="C594" s="3"/>
      <c r="H594" s="3"/>
      <c r="AG594" s="91"/>
    </row>
    <row r="595" ht="15.75" customHeight="1">
      <c r="C595" s="3"/>
      <c r="H595" s="3"/>
      <c r="AG595" s="91"/>
    </row>
    <row r="596" ht="15.75" customHeight="1">
      <c r="C596" s="3"/>
      <c r="H596" s="3"/>
      <c r="AG596" s="91"/>
    </row>
    <row r="597" ht="15.75" customHeight="1">
      <c r="C597" s="3"/>
      <c r="H597" s="3"/>
      <c r="AG597" s="91"/>
    </row>
    <row r="598" ht="15.75" customHeight="1">
      <c r="C598" s="3"/>
      <c r="H598" s="3"/>
      <c r="AG598" s="91"/>
    </row>
    <row r="599" ht="15.75" customHeight="1">
      <c r="C599" s="3"/>
      <c r="H599" s="3"/>
      <c r="AG599" s="91"/>
    </row>
    <row r="600" ht="15.75" customHeight="1">
      <c r="C600" s="3"/>
      <c r="H600" s="3"/>
      <c r="AG600" s="91"/>
    </row>
    <row r="601" ht="15.75" customHeight="1">
      <c r="C601" s="3"/>
      <c r="H601" s="3"/>
      <c r="AG601" s="91"/>
    </row>
    <row r="602" ht="15.75" customHeight="1">
      <c r="C602" s="3"/>
      <c r="H602" s="3"/>
      <c r="AG602" s="91"/>
    </row>
    <row r="603" ht="15.75" customHeight="1">
      <c r="C603" s="3"/>
      <c r="H603" s="3"/>
      <c r="AG603" s="91"/>
    </row>
    <row r="604" ht="15.75" customHeight="1">
      <c r="C604" s="3"/>
      <c r="H604" s="3"/>
      <c r="AG604" s="91"/>
    </row>
    <row r="605" ht="15.75" customHeight="1">
      <c r="C605" s="3"/>
      <c r="H605" s="3"/>
      <c r="AG605" s="91"/>
    </row>
    <row r="606" ht="15.75" customHeight="1">
      <c r="C606" s="3"/>
      <c r="H606" s="3"/>
      <c r="AG606" s="91"/>
    </row>
    <row r="607" ht="15.75" customHeight="1">
      <c r="C607" s="3"/>
      <c r="H607" s="3"/>
      <c r="AG607" s="91"/>
    </row>
    <row r="608" ht="15.75" customHeight="1">
      <c r="C608" s="3"/>
      <c r="H608" s="3"/>
      <c r="AG608" s="91"/>
    </row>
    <row r="609" ht="15.75" customHeight="1">
      <c r="C609" s="3"/>
      <c r="H609" s="3"/>
      <c r="AG609" s="91"/>
    </row>
    <row r="610" ht="15.75" customHeight="1">
      <c r="C610" s="3"/>
      <c r="H610" s="3"/>
      <c r="AG610" s="91"/>
    </row>
    <row r="611" ht="15.75" customHeight="1">
      <c r="C611" s="3"/>
      <c r="H611" s="3"/>
      <c r="AG611" s="91"/>
    </row>
    <row r="612" ht="15.75" customHeight="1">
      <c r="C612" s="3"/>
      <c r="H612" s="3"/>
      <c r="AG612" s="91"/>
    </row>
    <row r="613" ht="15.75" customHeight="1">
      <c r="C613" s="3"/>
      <c r="H613" s="3"/>
      <c r="AG613" s="91"/>
    </row>
    <row r="614" ht="15.75" customHeight="1">
      <c r="C614" s="3"/>
      <c r="H614" s="3"/>
      <c r="AG614" s="91"/>
    </row>
    <row r="615" ht="15.75" customHeight="1">
      <c r="C615" s="3"/>
      <c r="H615" s="3"/>
      <c r="AG615" s="91"/>
    </row>
    <row r="616" ht="15.75" customHeight="1">
      <c r="C616" s="3"/>
      <c r="H616" s="3"/>
      <c r="AG616" s="91"/>
    </row>
    <row r="617" ht="15.75" customHeight="1">
      <c r="C617" s="3"/>
      <c r="H617" s="3"/>
      <c r="AG617" s="91"/>
    </row>
    <row r="618" ht="15.75" customHeight="1">
      <c r="C618" s="3"/>
      <c r="H618" s="3"/>
      <c r="AG618" s="91"/>
    </row>
    <row r="619" ht="15.75" customHeight="1">
      <c r="C619" s="3"/>
      <c r="H619" s="3"/>
      <c r="AG619" s="91"/>
    </row>
    <row r="620" ht="15.75" customHeight="1">
      <c r="C620" s="3"/>
      <c r="H620" s="3"/>
      <c r="AG620" s="91"/>
    </row>
    <row r="621" ht="15.75" customHeight="1">
      <c r="C621" s="3"/>
      <c r="H621" s="3"/>
      <c r="AG621" s="91"/>
    </row>
    <row r="622" ht="15.75" customHeight="1">
      <c r="C622" s="3"/>
      <c r="H622" s="3"/>
      <c r="AG622" s="91"/>
    </row>
    <row r="623" ht="15.75" customHeight="1">
      <c r="C623" s="3"/>
      <c r="H623" s="3"/>
      <c r="AG623" s="91"/>
    </row>
    <row r="624" ht="15.75" customHeight="1">
      <c r="C624" s="3"/>
      <c r="H624" s="3"/>
      <c r="AG624" s="91"/>
    </row>
    <row r="625" ht="15.75" customHeight="1">
      <c r="C625" s="3"/>
      <c r="H625" s="3"/>
      <c r="AG625" s="91"/>
    </row>
    <row r="626" ht="15.75" customHeight="1">
      <c r="C626" s="3"/>
      <c r="H626" s="3"/>
      <c r="AG626" s="91"/>
    </row>
    <row r="627" ht="15.75" customHeight="1">
      <c r="C627" s="3"/>
      <c r="H627" s="3"/>
      <c r="AG627" s="91"/>
    </row>
    <row r="628" ht="15.75" customHeight="1">
      <c r="C628" s="3"/>
      <c r="H628" s="3"/>
      <c r="AG628" s="91"/>
    </row>
    <row r="629" ht="15.75" customHeight="1">
      <c r="C629" s="3"/>
      <c r="H629" s="3"/>
      <c r="AG629" s="91"/>
    </row>
    <row r="630" ht="15.75" customHeight="1">
      <c r="C630" s="3"/>
      <c r="H630" s="3"/>
      <c r="AG630" s="91"/>
    </row>
    <row r="631" ht="15.75" customHeight="1">
      <c r="C631" s="3"/>
      <c r="H631" s="3"/>
      <c r="AG631" s="91"/>
    </row>
    <row r="632" ht="15.75" customHeight="1">
      <c r="C632" s="3"/>
      <c r="H632" s="3"/>
      <c r="AG632" s="91"/>
    </row>
    <row r="633" ht="15.75" customHeight="1">
      <c r="C633" s="3"/>
      <c r="H633" s="3"/>
      <c r="AG633" s="91"/>
    </row>
    <row r="634" ht="15.75" customHeight="1">
      <c r="C634" s="3"/>
      <c r="H634" s="3"/>
      <c r="AG634" s="91"/>
    </row>
    <row r="635" ht="15.75" customHeight="1">
      <c r="C635" s="3"/>
      <c r="H635" s="3"/>
      <c r="AG635" s="91"/>
    </row>
    <row r="636" ht="15.75" customHeight="1">
      <c r="C636" s="3"/>
      <c r="H636" s="3"/>
      <c r="AG636" s="91"/>
    </row>
    <row r="637" ht="15.75" customHeight="1">
      <c r="C637" s="3"/>
      <c r="H637" s="3"/>
      <c r="AG637" s="91"/>
    </row>
    <row r="638" ht="15.75" customHeight="1">
      <c r="C638" s="3"/>
      <c r="H638" s="3"/>
      <c r="AG638" s="91"/>
    </row>
    <row r="639" ht="15.75" customHeight="1">
      <c r="C639" s="3"/>
      <c r="H639" s="3"/>
      <c r="AG639" s="91"/>
    </row>
    <row r="640" ht="15.75" customHeight="1">
      <c r="C640" s="3"/>
      <c r="H640" s="3"/>
      <c r="AG640" s="91"/>
    </row>
    <row r="641" ht="15.75" customHeight="1">
      <c r="C641" s="3"/>
      <c r="H641" s="3"/>
      <c r="AG641" s="91"/>
    </row>
    <row r="642" ht="15.75" customHeight="1">
      <c r="C642" s="3"/>
      <c r="H642" s="3"/>
      <c r="AG642" s="91"/>
    </row>
    <row r="643" ht="15.75" customHeight="1">
      <c r="C643" s="3"/>
      <c r="H643" s="3"/>
      <c r="AG643" s="91"/>
    </row>
    <row r="644" ht="15.75" customHeight="1">
      <c r="C644" s="3"/>
      <c r="H644" s="3"/>
      <c r="AG644" s="91"/>
    </row>
    <row r="645" ht="15.75" customHeight="1">
      <c r="C645" s="3"/>
      <c r="H645" s="3"/>
      <c r="AG645" s="91"/>
    </row>
    <row r="646" ht="15.75" customHeight="1">
      <c r="C646" s="3"/>
      <c r="H646" s="3"/>
      <c r="AG646" s="91"/>
    </row>
    <row r="647" ht="15.75" customHeight="1">
      <c r="C647" s="3"/>
      <c r="H647" s="3"/>
      <c r="AG647" s="91"/>
    </row>
    <row r="648" ht="15.75" customHeight="1">
      <c r="C648" s="3"/>
      <c r="H648" s="3"/>
      <c r="AG648" s="91"/>
    </row>
    <row r="649" ht="15.75" customHeight="1">
      <c r="C649" s="3"/>
      <c r="H649" s="3"/>
      <c r="AG649" s="91"/>
    </row>
    <row r="650" ht="15.75" customHeight="1">
      <c r="C650" s="3"/>
      <c r="H650" s="3"/>
      <c r="AG650" s="91"/>
    </row>
    <row r="651" ht="15.75" customHeight="1">
      <c r="C651" s="3"/>
      <c r="H651" s="3"/>
      <c r="AG651" s="91"/>
    </row>
    <row r="652" ht="15.75" customHeight="1">
      <c r="C652" s="3"/>
      <c r="H652" s="3"/>
      <c r="AG652" s="91"/>
    </row>
    <row r="653" ht="15.75" customHeight="1">
      <c r="C653" s="3"/>
      <c r="H653" s="3"/>
      <c r="AG653" s="91"/>
    </row>
    <row r="654" ht="15.75" customHeight="1">
      <c r="C654" s="3"/>
      <c r="H654" s="3"/>
      <c r="AG654" s="91"/>
    </row>
    <row r="655" ht="15.75" customHeight="1">
      <c r="C655" s="3"/>
      <c r="H655" s="3"/>
      <c r="AG655" s="91"/>
    </row>
    <row r="656" ht="15.75" customHeight="1">
      <c r="C656" s="3"/>
      <c r="H656" s="3"/>
      <c r="AG656" s="91"/>
    </row>
    <row r="657" ht="15.75" customHeight="1">
      <c r="C657" s="3"/>
      <c r="H657" s="3"/>
      <c r="AG657" s="91"/>
    </row>
    <row r="658" ht="15.75" customHeight="1">
      <c r="C658" s="3"/>
      <c r="H658" s="3"/>
      <c r="AG658" s="91"/>
    </row>
    <row r="659" ht="15.75" customHeight="1">
      <c r="C659" s="3"/>
      <c r="H659" s="3"/>
      <c r="AG659" s="91"/>
    </row>
    <row r="660" ht="15.75" customHeight="1">
      <c r="C660" s="3"/>
      <c r="H660" s="3"/>
      <c r="AG660" s="91"/>
    </row>
    <row r="661" ht="15.75" customHeight="1">
      <c r="C661" s="3"/>
      <c r="H661" s="3"/>
      <c r="AG661" s="91"/>
    </row>
    <row r="662" ht="15.75" customHeight="1">
      <c r="C662" s="3"/>
      <c r="H662" s="3"/>
      <c r="AG662" s="91"/>
    </row>
    <row r="663" ht="15.75" customHeight="1">
      <c r="C663" s="3"/>
      <c r="H663" s="3"/>
      <c r="AG663" s="91"/>
    </row>
    <row r="664" ht="15.75" customHeight="1">
      <c r="C664" s="3"/>
      <c r="H664" s="3"/>
      <c r="AG664" s="91"/>
    </row>
    <row r="665" ht="15.75" customHeight="1">
      <c r="C665" s="3"/>
      <c r="H665" s="3"/>
      <c r="AG665" s="91"/>
    </row>
    <row r="666" ht="15.75" customHeight="1">
      <c r="C666" s="3"/>
      <c r="H666" s="3"/>
      <c r="AG666" s="91"/>
    </row>
    <row r="667" ht="15.75" customHeight="1">
      <c r="C667" s="3"/>
      <c r="H667" s="3"/>
      <c r="AG667" s="91"/>
    </row>
    <row r="668" ht="15.75" customHeight="1">
      <c r="C668" s="3"/>
      <c r="H668" s="3"/>
      <c r="AG668" s="91"/>
    </row>
    <row r="669" ht="15.75" customHeight="1">
      <c r="C669" s="3"/>
      <c r="H669" s="3"/>
      <c r="AG669" s="91"/>
    </row>
    <row r="670" ht="15.75" customHeight="1">
      <c r="C670" s="3"/>
      <c r="H670" s="3"/>
      <c r="AG670" s="91"/>
    </row>
    <row r="671" ht="15.75" customHeight="1">
      <c r="C671" s="3"/>
      <c r="H671" s="3"/>
      <c r="AG671" s="91"/>
    </row>
    <row r="672" ht="15.75" customHeight="1">
      <c r="C672" s="3"/>
      <c r="H672" s="3"/>
      <c r="AG672" s="91"/>
    </row>
    <row r="673" ht="15.75" customHeight="1">
      <c r="C673" s="3"/>
      <c r="H673" s="3"/>
      <c r="AG673" s="91"/>
    </row>
    <row r="674" ht="15.75" customHeight="1">
      <c r="C674" s="3"/>
      <c r="H674" s="3"/>
      <c r="AG674" s="91"/>
    </row>
    <row r="675" ht="15.75" customHeight="1">
      <c r="C675" s="3"/>
      <c r="H675" s="3"/>
      <c r="AG675" s="91"/>
    </row>
    <row r="676" ht="15.75" customHeight="1">
      <c r="C676" s="3"/>
      <c r="H676" s="3"/>
      <c r="AG676" s="91"/>
    </row>
    <row r="677" ht="15.75" customHeight="1">
      <c r="C677" s="3"/>
      <c r="H677" s="3"/>
      <c r="AG677" s="91"/>
    </row>
    <row r="678" ht="15.75" customHeight="1">
      <c r="C678" s="3"/>
      <c r="H678" s="3"/>
      <c r="AG678" s="91"/>
    </row>
    <row r="679" ht="15.75" customHeight="1">
      <c r="C679" s="3"/>
      <c r="H679" s="3"/>
      <c r="AG679" s="91"/>
    </row>
    <row r="680" ht="15.75" customHeight="1">
      <c r="C680" s="3"/>
      <c r="H680" s="3"/>
      <c r="AG680" s="91"/>
    </row>
    <row r="681" ht="15.75" customHeight="1">
      <c r="C681" s="3"/>
      <c r="H681" s="3"/>
      <c r="AG681" s="91"/>
    </row>
    <row r="682" ht="15.75" customHeight="1">
      <c r="C682" s="3"/>
      <c r="H682" s="3"/>
      <c r="AG682" s="91"/>
    </row>
    <row r="683" ht="15.75" customHeight="1">
      <c r="C683" s="3"/>
      <c r="H683" s="3"/>
      <c r="AG683" s="91"/>
    </row>
    <row r="684" ht="15.75" customHeight="1">
      <c r="C684" s="3"/>
      <c r="H684" s="3"/>
      <c r="AG684" s="91"/>
    </row>
    <row r="685" ht="15.75" customHeight="1">
      <c r="C685" s="3"/>
      <c r="H685" s="3"/>
      <c r="AG685" s="91"/>
    </row>
    <row r="686" ht="15.75" customHeight="1">
      <c r="C686" s="3"/>
      <c r="H686" s="3"/>
      <c r="AG686" s="91"/>
    </row>
    <row r="687" ht="15.75" customHeight="1">
      <c r="C687" s="3"/>
      <c r="H687" s="3"/>
      <c r="AG687" s="91"/>
    </row>
    <row r="688" ht="15.75" customHeight="1">
      <c r="C688" s="3"/>
      <c r="H688" s="3"/>
      <c r="AG688" s="91"/>
    </row>
    <row r="689" ht="15.75" customHeight="1">
      <c r="C689" s="3"/>
      <c r="H689" s="3"/>
      <c r="AG689" s="91"/>
    </row>
    <row r="690" ht="15.75" customHeight="1">
      <c r="C690" s="3"/>
      <c r="H690" s="3"/>
      <c r="AG690" s="91"/>
    </row>
    <row r="691" ht="15.75" customHeight="1">
      <c r="C691" s="3"/>
      <c r="H691" s="3"/>
      <c r="AG691" s="91"/>
    </row>
    <row r="692" ht="15.75" customHeight="1">
      <c r="C692" s="3"/>
      <c r="H692" s="3"/>
      <c r="AG692" s="91"/>
    </row>
    <row r="693" ht="15.75" customHeight="1">
      <c r="C693" s="3"/>
      <c r="H693" s="3"/>
      <c r="AG693" s="91"/>
    </row>
    <row r="694" ht="15.75" customHeight="1">
      <c r="C694" s="3"/>
      <c r="H694" s="3"/>
      <c r="AG694" s="91"/>
    </row>
    <row r="695" ht="15.75" customHeight="1">
      <c r="C695" s="3"/>
      <c r="H695" s="3"/>
      <c r="AG695" s="91"/>
    </row>
    <row r="696" ht="15.75" customHeight="1">
      <c r="C696" s="3"/>
      <c r="H696" s="3"/>
      <c r="AG696" s="91"/>
    </row>
    <row r="697" ht="15.75" customHeight="1">
      <c r="C697" s="3"/>
      <c r="H697" s="3"/>
      <c r="AG697" s="91"/>
    </row>
    <row r="698" ht="15.75" customHeight="1">
      <c r="C698" s="3"/>
      <c r="H698" s="3"/>
      <c r="AG698" s="91"/>
    </row>
    <row r="699" ht="15.75" customHeight="1">
      <c r="C699" s="3"/>
      <c r="H699" s="3"/>
      <c r="AG699" s="91"/>
    </row>
    <row r="700" ht="15.75" customHeight="1">
      <c r="C700" s="3"/>
      <c r="H700" s="3"/>
      <c r="AG700" s="91"/>
    </row>
    <row r="701" ht="15.75" customHeight="1">
      <c r="C701" s="3"/>
      <c r="H701" s="3"/>
      <c r="AG701" s="91"/>
    </row>
    <row r="702" ht="15.75" customHeight="1">
      <c r="C702" s="3"/>
      <c r="H702" s="3"/>
      <c r="AG702" s="91"/>
    </row>
    <row r="703" ht="15.75" customHeight="1">
      <c r="C703" s="3"/>
      <c r="H703" s="3"/>
      <c r="AG703" s="91"/>
    </row>
    <row r="704" ht="15.75" customHeight="1">
      <c r="C704" s="3"/>
      <c r="H704" s="3"/>
      <c r="AG704" s="91"/>
    </row>
    <row r="705" ht="15.75" customHeight="1">
      <c r="C705" s="3"/>
      <c r="H705" s="3"/>
      <c r="AG705" s="91"/>
    </row>
    <row r="706" ht="15.75" customHeight="1">
      <c r="C706" s="3"/>
      <c r="H706" s="3"/>
      <c r="AG706" s="91"/>
    </row>
    <row r="707" ht="15.75" customHeight="1">
      <c r="C707" s="3"/>
      <c r="H707" s="3"/>
      <c r="AG707" s="91"/>
    </row>
    <row r="708" ht="15.75" customHeight="1">
      <c r="C708" s="3"/>
      <c r="H708" s="3"/>
      <c r="AG708" s="91"/>
    </row>
    <row r="709" ht="15.75" customHeight="1">
      <c r="C709" s="3"/>
      <c r="H709" s="3"/>
      <c r="AG709" s="91"/>
    </row>
    <row r="710" ht="15.75" customHeight="1">
      <c r="C710" s="3"/>
      <c r="H710" s="3"/>
      <c r="AG710" s="91"/>
    </row>
    <row r="711" ht="15.75" customHeight="1">
      <c r="C711" s="3"/>
      <c r="H711" s="3"/>
      <c r="AG711" s="91"/>
    </row>
    <row r="712" ht="15.75" customHeight="1">
      <c r="C712" s="3"/>
      <c r="H712" s="3"/>
      <c r="AG712" s="91"/>
    </row>
    <row r="713" ht="15.75" customHeight="1">
      <c r="C713" s="3"/>
      <c r="H713" s="3"/>
      <c r="AG713" s="91"/>
    </row>
    <row r="714" ht="15.75" customHeight="1">
      <c r="C714" s="3"/>
      <c r="H714" s="3"/>
      <c r="AG714" s="91"/>
    </row>
    <row r="715" ht="15.75" customHeight="1">
      <c r="C715" s="3"/>
      <c r="H715" s="3"/>
      <c r="AG715" s="91"/>
    </row>
    <row r="716" ht="15.75" customHeight="1">
      <c r="C716" s="3"/>
      <c r="H716" s="3"/>
      <c r="AG716" s="91"/>
    </row>
    <row r="717" ht="15.75" customHeight="1">
      <c r="C717" s="3"/>
      <c r="H717" s="3"/>
      <c r="AG717" s="91"/>
    </row>
    <row r="718" ht="15.75" customHeight="1">
      <c r="C718" s="3"/>
      <c r="H718" s="3"/>
      <c r="AG718" s="91"/>
    </row>
    <row r="719" ht="15.75" customHeight="1">
      <c r="C719" s="3"/>
      <c r="H719" s="3"/>
      <c r="AG719" s="91"/>
    </row>
    <row r="720" ht="15.75" customHeight="1">
      <c r="C720" s="3"/>
      <c r="H720" s="3"/>
      <c r="AG720" s="91"/>
    </row>
    <row r="721" ht="15.75" customHeight="1">
      <c r="C721" s="3"/>
      <c r="H721" s="3"/>
      <c r="AG721" s="91"/>
    </row>
    <row r="722" ht="15.75" customHeight="1">
      <c r="C722" s="3"/>
      <c r="H722" s="3"/>
      <c r="AG722" s="91"/>
    </row>
    <row r="723" ht="15.75" customHeight="1">
      <c r="C723" s="3"/>
      <c r="H723" s="3"/>
      <c r="AG723" s="91"/>
    </row>
    <row r="724" ht="15.75" customHeight="1">
      <c r="C724" s="3"/>
      <c r="H724" s="3"/>
      <c r="AG724" s="91"/>
    </row>
    <row r="725" ht="15.75" customHeight="1">
      <c r="C725" s="3"/>
      <c r="H725" s="3"/>
      <c r="AG725" s="91"/>
    </row>
    <row r="726" ht="15.75" customHeight="1">
      <c r="C726" s="3"/>
      <c r="H726" s="3"/>
      <c r="AG726" s="91"/>
    </row>
    <row r="727" ht="15.75" customHeight="1">
      <c r="C727" s="3"/>
      <c r="H727" s="3"/>
      <c r="AG727" s="91"/>
    </row>
    <row r="728" ht="15.75" customHeight="1">
      <c r="C728" s="3"/>
      <c r="H728" s="3"/>
      <c r="AG728" s="91"/>
    </row>
    <row r="729" ht="15.75" customHeight="1">
      <c r="C729" s="3"/>
      <c r="H729" s="3"/>
      <c r="AG729" s="91"/>
    </row>
    <row r="730" ht="15.75" customHeight="1">
      <c r="C730" s="3"/>
      <c r="H730" s="3"/>
      <c r="AG730" s="91"/>
    </row>
    <row r="731" ht="15.75" customHeight="1">
      <c r="C731" s="3"/>
      <c r="H731" s="3"/>
      <c r="AG731" s="91"/>
    </row>
    <row r="732" ht="15.75" customHeight="1">
      <c r="C732" s="3"/>
      <c r="H732" s="3"/>
      <c r="AG732" s="91"/>
    </row>
    <row r="733" ht="15.75" customHeight="1">
      <c r="C733" s="3"/>
      <c r="H733" s="3"/>
      <c r="AG733" s="91"/>
    </row>
    <row r="734" ht="15.75" customHeight="1">
      <c r="C734" s="3"/>
      <c r="H734" s="3"/>
      <c r="AG734" s="91"/>
    </row>
    <row r="735" ht="15.75" customHeight="1">
      <c r="C735" s="3"/>
      <c r="H735" s="3"/>
      <c r="AG735" s="91"/>
    </row>
    <row r="736" ht="15.75" customHeight="1">
      <c r="C736" s="3"/>
      <c r="H736" s="3"/>
      <c r="AG736" s="91"/>
    </row>
    <row r="737" ht="15.75" customHeight="1">
      <c r="C737" s="3"/>
      <c r="H737" s="3"/>
      <c r="AG737" s="91"/>
    </row>
    <row r="738" ht="15.75" customHeight="1">
      <c r="C738" s="3"/>
      <c r="H738" s="3"/>
      <c r="AG738" s="91"/>
    </row>
    <row r="739" ht="15.75" customHeight="1">
      <c r="C739" s="3"/>
      <c r="H739" s="3"/>
      <c r="AG739" s="91"/>
    </row>
    <row r="740" ht="15.75" customHeight="1">
      <c r="C740" s="3"/>
      <c r="H740" s="3"/>
      <c r="AG740" s="91"/>
    </row>
    <row r="741" ht="15.75" customHeight="1">
      <c r="C741" s="3"/>
      <c r="H741" s="3"/>
      <c r="AG741" s="91"/>
    </row>
    <row r="742" ht="15.75" customHeight="1">
      <c r="C742" s="3"/>
      <c r="H742" s="3"/>
      <c r="AG742" s="91"/>
    </row>
    <row r="743" ht="15.75" customHeight="1">
      <c r="C743" s="3"/>
      <c r="H743" s="3"/>
      <c r="AG743" s="91"/>
    </row>
    <row r="744" ht="15.75" customHeight="1">
      <c r="C744" s="3"/>
      <c r="H744" s="3"/>
      <c r="AG744" s="91"/>
    </row>
    <row r="745" ht="15.75" customHeight="1">
      <c r="C745" s="3"/>
      <c r="H745" s="3"/>
      <c r="AG745" s="91"/>
    </row>
    <row r="746" ht="15.75" customHeight="1">
      <c r="C746" s="3"/>
      <c r="H746" s="3"/>
      <c r="AG746" s="91"/>
    </row>
    <row r="747" ht="15.75" customHeight="1">
      <c r="C747" s="3"/>
      <c r="H747" s="3"/>
      <c r="AG747" s="91"/>
    </row>
    <row r="748" ht="15.75" customHeight="1">
      <c r="C748" s="3"/>
      <c r="H748" s="3"/>
      <c r="AG748" s="91"/>
    </row>
    <row r="749" ht="15.75" customHeight="1">
      <c r="C749" s="3"/>
      <c r="H749" s="3"/>
      <c r="AG749" s="91"/>
    </row>
    <row r="750" ht="15.75" customHeight="1">
      <c r="C750" s="3"/>
      <c r="H750" s="3"/>
      <c r="AG750" s="91"/>
    </row>
    <row r="751" ht="15.75" customHeight="1">
      <c r="C751" s="3"/>
      <c r="H751" s="3"/>
      <c r="AG751" s="91"/>
    </row>
    <row r="752" ht="15.75" customHeight="1">
      <c r="C752" s="3"/>
      <c r="H752" s="3"/>
      <c r="AG752" s="91"/>
    </row>
    <row r="753" ht="15.75" customHeight="1">
      <c r="C753" s="3"/>
      <c r="H753" s="3"/>
      <c r="AG753" s="91"/>
    </row>
    <row r="754" ht="15.75" customHeight="1">
      <c r="C754" s="3"/>
      <c r="H754" s="3"/>
      <c r="AG754" s="91"/>
    </row>
    <row r="755" ht="15.75" customHeight="1">
      <c r="C755" s="3"/>
      <c r="H755" s="3"/>
      <c r="AG755" s="91"/>
    </row>
    <row r="756" ht="15.75" customHeight="1">
      <c r="C756" s="3"/>
      <c r="H756" s="3"/>
      <c r="AG756" s="91"/>
    </row>
    <row r="757" ht="15.75" customHeight="1">
      <c r="C757" s="3"/>
      <c r="H757" s="3"/>
      <c r="AG757" s="91"/>
    </row>
    <row r="758" ht="15.75" customHeight="1">
      <c r="C758" s="3"/>
      <c r="H758" s="3"/>
      <c r="AG758" s="91"/>
    </row>
    <row r="759" ht="15.75" customHeight="1">
      <c r="C759" s="3"/>
      <c r="H759" s="3"/>
      <c r="AG759" s="91"/>
    </row>
    <row r="760" ht="15.75" customHeight="1">
      <c r="C760" s="3"/>
      <c r="H760" s="3"/>
      <c r="AG760" s="91"/>
    </row>
    <row r="761" ht="15.75" customHeight="1">
      <c r="C761" s="3"/>
      <c r="H761" s="3"/>
      <c r="AG761" s="91"/>
    </row>
    <row r="762" ht="15.75" customHeight="1">
      <c r="C762" s="3"/>
      <c r="H762" s="3"/>
      <c r="AG762" s="91"/>
    </row>
    <row r="763" ht="15.75" customHeight="1">
      <c r="C763" s="3"/>
      <c r="H763" s="3"/>
      <c r="AG763" s="91"/>
    </row>
    <row r="764" ht="15.75" customHeight="1">
      <c r="C764" s="3"/>
      <c r="H764" s="3"/>
      <c r="AG764" s="91"/>
    </row>
    <row r="765" ht="15.75" customHeight="1">
      <c r="C765" s="3"/>
      <c r="H765" s="3"/>
      <c r="AG765" s="91"/>
    </row>
    <row r="766" ht="15.75" customHeight="1">
      <c r="C766" s="3"/>
      <c r="H766" s="3"/>
      <c r="AG766" s="91"/>
    </row>
    <row r="767" ht="15.75" customHeight="1">
      <c r="C767" s="3"/>
      <c r="H767" s="3"/>
      <c r="AG767" s="91"/>
    </row>
    <row r="768" ht="15.75" customHeight="1">
      <c r="C768" s="3"/>
      <c r="H768" s="3"/>
      <c r="AG768" s="91"/>
    </row>
    <row r="769" ht="15.75" customHeight="1">
      <c r="C769" s="3"/>
      <c r="H769" s="3"/>
      <c r="AG769" s="91"/>
    </row>
    <row r="770" ht="15.75" customHeight="1">
      <c r="C770" s="3"/>
      <c r="H770" s="3"/>
      <c r="AG770" s="91"/>
    </row>
    <row r="771" ht="15.75" customHeight="1">
      <c r="C771" s="3"/>
      <c r="H771" s="3"/>
      <c r="AG771" s="91"/>
    </row>
    <row r="772" ht="15.75" customHeight="1">
      <c r="C772" s="3"/>
      <c r="H772" s="3"/>
      <c r="AG772" s="91"/>
    </row>
    <row r="773" ht="15.75" customHeight="1">
      <c r="C773" s="3"/>
      <c r="H773" s="3"/>
      <c r="AG773" s="91"/>
    </row>
    <row r="774" ht="15.75" customHeight="1">
      <c r="C774" s="3"/>
      <c r="H774" s="3"/>
      <c r="AG774" s="91"/>
    </row>
    <row r="775" ht="15.75" customHeight="1">
      <c r="C775" s="3"/>
      <c r="H775" s="3"/>
      <c r="AG775" s="91"/>
    </row>
    <row r="776" ht="15.75" customHeight="1">
      <c r="C776" s="3"/>
      <c r="H776" s="3"/>
      <c r="AG776" s="91"/>
    </row>
    <row r="777" ht="15.75" customHeight="1">
      <c r="C777" s="3"/>
      <c r="H777" s="3"/>
      <c r="AG777" s="91"/>
    </row>
    <row r="778" ht="15.75" customHeight="1">
      <c r="C778" s="3"/>
      <c r="H778" s="3"/>
      <c r="AG778" s="91"/>
    </row>
    <row r="779" ht="15.75" customHeight="1">
      <c r="C779" s="3"/>
      <c r="H779" s="3"/>
      <c r="AG779" s="91"/>
    </row>
    <row r="780" ht="15.75" customHeight="1">
      <c r="C780" s="3"/>
      <c r="H780" s="3"/>
      <c r="AG780" s="91"/>
    </row>
    <row r="781" ht="15.75" customHeight="1">
      <c r="C781" s="3"/>
      <c r="H781" s="3"/>
      <c r="AG781" s="91"/>
    </row>
    <row r="782" ht="15.75" customHeight="1">
      <c r="C782" s="3"/>
      <c r="H782" s="3"/>
      <c r="AG782" s="91"/>
    </row>
    <row r="783" ht="15.75" customHeight="1">
      <c r="C783" s="3"/>
      <c r="H783" s="3"/>
      <c r="AG783" s="91"/>
    </row>
    <row r="784" ht="15.75" customHeight="1">
      <c r="C784" s="3"/>
      <c r="H784" s="3"/>
      <c r="AG784" s="91"/>
    </row>
    <row r="785" ht="15.75" customHeight="1">
      <c r="C785" s="3"/>
      <c r="H785" s="3"/>
      <c r="AG785" s="91"/>
    </row>
    <row r="786" ht="15.75" customHeight="1">
      <c r="C786" s="3"/>
      <c r="H786" s="3"/>
      <c r="AG786" s="91"/>
    </row>
    <row r="787" ht="15.75" customHeight="1">
      <c r="C787" s="3"/>
      <c r="H787" s="3"/>
      <c r="AG787" s="91"/>
    </row>
    <row r="788" ht="15.75" customHeight="1">
      <c r="C788" s="3"/>
      <c r="H788" s="3"/>
      <c r="AG788" s="91"/>
    </row>
    <row r="789" ht="15.75" customHeight="1">
      <c r="C789" s="3"/>
      <c r="H789" s="3"/>
      <c r="AG789" s="91"/>
    </row>
    <row r="790" ht="15.75" customHeight="1">
      <c r="C790" s="3"/>
      <c r="H790" s="3"/>
      <c r="AG790" s="91"/>
    </row>
    <row r="791" ht="15.75" customHeight="1">
      <c r="C791" s="3"/>
      <c r="H791" s="3"/>
      <c r="AG791" s="91"/>
    </row>
    <row r="792" ht="15.75" customHeight="1">
      <c r="C792" s="3"/>
      <c r="H792" s="3"/>
      <c r="AG792" s="91"/>
    </row>
    <row r="793" ht="15.75" customHeight="1">
      <c r="C793" s="3"/>
      <c r="H793" s="3"/>
      <c r="AG793" s="91"/>
    </row>
    <row r="794" ht="15.75" customHeight="1">
      <c r="C794" s="3"/>
      <c r="H794" s="3"/>
      <c r="AG794" s="91"/>
    </row>
    <row r="795" ht="15.75" customHeight="1">
      <c r="C795" s="3"/>
      <c r="H795" s="3"/>
      <c r="AG795" s="91"/>
    </row>
    <row r="796" ht="15.75" customHeight="1">
      <c r="C796" s="3"/>
      <c r="H796" s="3"/>
      <c r="AG796" s="91"/>
    </row>
    <row r="797" ht="15.75" customHeight="1">
      <c r="C797" s="3"/>
      <c r="H797" s="3"/>
      <c r="AG797" s="91"/>
    </row>
    <row r="798" ht="15.75" customHeight="1">
      <c r="C798" s="3"/>
      <c r="H798" s="3"/>
      <c r="AG798" s="91"/>
    </row>
    <row r="799" ht="15.75" customHeight="1">
      <c r="C799" s="3"/>
      <c r="H799" s="3"/>
      <c r="AG799" s="91"/>
    </row>
    <row r="800" ht="15.75" customHeight="1">
      <c r="C800" s="3"/>
      <c r="H800" s="3"/>
      <c r="AG800" s="91"/>
    </row>
    <row r="801" ht="15.75" customHeight="1">
      <c r="C801" s="3"/>
      <c r="H801" s="3"/>
      <c r="AG801" s="91"/>
    </row>
    <row r="802" ht="15.75" customHeight="1">
      <c r="C802" s="3"/>
      <c r="H802" s="3"/>
      <c r="AG802" s="91"/>
    </row>
    <row r="803" ht="15.75" customHeight="1">
      <c r="C803" s="3"/>
      <c r="H803" s="3"/>
      <c r="AG803" s="91"/>
    </row>
    <row r="804" ht="15.75" customHeight="1">
      <c r="C804" s="3"/>
      <c r="H804" s="3"/>
      <c r="AG804" s="91"/>
    </row>
    <row r="805" ht="15.75" customHeight="1">
      <c r="C805" s="3"/>
      <c r="H805" s="3"/>
      <c r="AG805" s="91"/>
    </row>
    <row r="806" ht="15.75" customHeight="1">
      <c r="C806" s="3"/>
      <c r="H806" s="3"/>
      <c r="AG806" s="91"/>
    </row>
    <row r="807" ht="15.75" customHeight="1">
      <c r="C807" s="3"/>
      <c r="H807" s="3"/>
      <c r="AG807" s="91"/>
    </row>
    <row r="808" ht="15.75" customHeight="1">
      <c r="C808" s="3"/>
      <c r="H808" s="3"/>
      <c r="AG808" s="91"/>
    </row>
    <row r="809" ht="15.75" customHeight="1">
      <c r="C809" s="3"/>
      <c r="H809" s="3"/>
      <c r="AG809" s="91"/>
    </row>
    <row r="810" ht="15.75" customHeight="1">
      <c r="C810" s="3"/>
      <c r="H810" s="3"/>
      <c r="AG810" s="91"/>
    </row>
    <row r="811" ht="15.75" customHeight="1">
      <c r="C811" s="3"/>
      <c r="H811" s="3"/>
      <c r="AG811" s="91"/>
    </row>
    <row r="812" ht="15.75" customHeight="1">
      <c r="C812" s="3"/>
      <c r="H812" s="3"/>
      <c r="AG812" s="91"/>
    </row>
    <row r="813" ht="15.75" customHeight="1">
      <c r="C813" s="3"/>
      <c r="H813" s="3"/>
      <c r="AG813" s="91"/>
    </row>
    <row r="814" ht="15.75" customHeight="1">
      <c r="C814" s="3"/>
      <c r="H814" s="3"/>
      <c r="AG814" s="91"/>
    </row>
    <row r="815" ht="15.75" customHeight="1">
      <c r="C815" s="3"/>
      <c r="H815" s="3"/>
      <c r="AG815" s="91"/>
    </row>
    <row r="816" ht="15.75" customHeight="1">
      <c r="C816" s="3"/>
      <c r="H816" s="3"/>
      <c r="AG816" s="91"/>
    </row>
    <row r="817" ht="15.75" customHeight="1">
      <c r="C817" s="3"/>
      <c r="H817" s="3"/>
      <c r="AG817" s="91"/>
    </row>
    <row r="818" ht="15.75" customHeight="1">
      <c r="C818" s="3"/>
      <c r="H818" s="3"/>
      <c r="AG818" s="91"/>
    </row>
    <row r="819" ht="15.75" customHeight="1">
      <c r="C819" s="3"/>
      <c r="H819" s="3"/>
      <c r="AG819" s="91"/>
    </row>
    <row r="820" ht="15.75" customHeight="1">
      <c r="C820" s="3"/>
      <c r="H820" s="3"/>
      <c r="AG820" s="91"/>
    </row>
    <row r="821" ht="15.75" customHeight="1">
      <c r="C821" s="3"/>
      <c r="H821" s="3"/>
      <c r="AG821" s="91"/>
    </row>
    <row r="822" ht="15.75" customHeight="1">
      <c r="C822" s="3"/>
      <c r="H822" s="3"/>
      <c r="AG822" s="91"/>
    </row>
    <row r="823" ht="15.75" customHeight="1">
      <c r="C823" s="3"/>
      <c r="H823" s="3"/>
      <c r="AG823" s="91"/>
    </row>
    <row r="824" ht="15.75" customHeight="1">
      <c r="C824" s="3"/>
      <c r="H824" s="3"/>
      <c r="AG824" s="91"/>
    </row>
    <row r="825" ht="15.75" customHeight="1">
      <c r="C825" s="3"/>
      <c r="H825" s="3"/>
      <c r="AG825" s="91"/>
    </row>
    <row r="826" ht="15.75" customHeight="1">
      <c r="C826" s="3"/>
      <c r="H826" s="3"/>
      <c r="AG826" s="91"/>
    </row>
    <row r="827" ht="15.75" customHeight="1">
      <c r="C827" s="3"/>
      <c r="H827" s="3"/>
      <c r="AG827" s="91"/>
    </row>
    <row r="828" ht="15.75" customHeight="1">
      <c r="C828" s="3"/>
      <c r="H828" s="3"/>
      <c r="AG828" s="91"/>
    </row>
    <row r="829" ht="15.75" customHeight="1">
      <c r="C829" s="3"/>
      <c r="H829" s="3"/>
      <c r="AG829" s="91"/>
    </row>
    <row r="830" ht="15.75" customHeight="1">
      <c r="C830" s="3"/>
      <c r="H830" s="3"/>
      <c r="AG830" s="91"/>
    </row>
    <row r="831" ht="15.75" customHeight="1">
      <c r="C831" s="3"/>
      <c r="H831" s="3"/>
      <c r="AG831" s="91"/>
    </row>
    <row r="832" ht="15.75" customHeight="1">
      <c r="C832" s="3"/>
      <c r="H832" s="3"/>
      <c r="AG832" s="91"/>
    </row>
    <row r="833" ht="15.75" customHeight="1">
      <c r="C833" s="3"/>
      <c r="H833" s="3"/>
      <c r="AG833" s="91"/>
    </row>
    <row r="834" ht="15.75" customHeight="1">
      <c r="C834" s="3"/>
      <c r="H834" s="3"/>
      <c r="AG834" s="91"/>
    </row>
    <row r="835" ht="15.75" customHeight="1">
      <c r="C835" s="3"/>
      <c r="H835" s="3"/>
      <c r="AG835" s="91"/>
    </row>
    <row r="836" ht="15.75" customHeight="1">
      <c r="C836" s="3"/>
      <c r="H836" s="3"/>
      <c r="AG836" s="91"/>
    </row>
    <row r="837" ht="15.75" customHeight="1">
      <c r="C837" s="3"/>
      <c r="H837" s="3"/>
      <c r="AG837" s="91"/>
    </row>
    <row r="838" ht="15.75" customHeight="1">
      <c r="C838" s="3"/>
      <c r="H838" s="3"/>
      <c r="AG838" s="91"/>
    </row>
    <row r="839" ht="15.75" customHeight="1">
      <c r="C839" s="3"/>
      <c r="H839" s="3"/>
      <c r="AG839" s="91"/>
    </row>
    <row r="840" ht="15.75" customHeight="1">
      <c r="C840" s="3"/>
      <c r="H840" s="3"/>
      <c r="AG840" s="91"/>
    </row>
    <row r="841" ht="15.75" customHeight="1">
      <c r="C841" s="3"/>
      <c r="H841" s="3"/>
      <c r="AG841" s="91"/>
    </row>
    <row r="842" ht="15.75" customHeight="1">
      <c r="C842" s="3"/>
      <c r="H842" s="3"/>
      <c r="AG842" s="91"/>
    </row>
    <row r="843" ht="15.75" customHeight="1">
      <c r="C843" s="3"/>
      <c r="H843" s="3"/>
      <c r="AG843" s="91"/>
    </row>
    <row r="844" ht="15.75" customHeight="1">
      <c r="C844" s="3"/>
      <c r="H844" s="3"/>
      <c r="AG844" s="91"/>
    </row>
    <row r="845" ht="15.75" customHeight="1">
      <c r="C845" s="3"/>
      <c r="H845" s="3"/>
      <c r="AG845" s="91"/>
    </row>
    <row r="846" ht="15.75" customHeight="1">
      <c r="C846" s="3"/>
      <c r="H846" s="3"/>
      <c r="AG846" s="91"/>
    </row>
    <row r="847" ht="15.75" customHeight="1">
      <c r="C847" s="3"/>
      <c r="H847" s="3"/>
      <c r="AG847" s="91"/>
    </row>
    <row r="848" ht="15.75" customHeight="1">
      <c r="C848" s="3"/>
      <c r="H848" s="3"/>
      <c r="AG848" s="91"/>
    </row>
    <row r="849" ht="15.75" customHeight="1">
      <c r="C849" s="3"/>
      <c r="H849" s="3"/>
      <c r="AG849" s="91"/>
    </row>
    <row r="850" ht="15.75" customHeight="1">
      <c r="C850" s="3"/>
      <c r="H850" s="3"/>
      <c r="AG850" s="91"/>
    </row>
    <row r="851" ht="15.75" customHeight="1">
      <c r="C851" s="3"/>
      <c r="H851" s="3"/>
      <c r="AG851" s="91"/>
    </row>
    <row r="852" ht="15.75" customHeight="1">
      <c r="C852" s="3"/>
      <c r="H852" s="3"/>
      <c r="AG852" s="91"/>
    </row>
    <row r="853" ht="15.75" customHeight="1">
      <c r="C853" s="3"/>
      <c r="H853" s="3"/>
      <c r="AG853" s="91"/>
    </row>
    <row r="854" ht="15.75" customHeight="1">
      <c r="C854" s="3"/>
      <c r="H854" s="3"/>
      <c r="AG854" s="91"/>
    </row>
    <row r="855" ht="15.75" customHeight="1">
      <c r="C855" s="3"/>
      <c r="H855" s="3"/>
      <c r="AG855" s="91"/>
    </row>
    <row r="856" ht="15.75" customHeight="1">
      <c r="C856" s="3"/>
      <c r="H856" s="3"/>
      <c r="AG856" s="91"/>
    </row>
    <row r="857" ht="15.75" customHeight="1">
      <c r="C857" s="3"/>
      <c r="H857" s="3"/>
      <c r="AG857" s="91"/>
    </row>
    <row r="858" ht="15.75" customHeight="1">
      <c r="C858" s="3"/>
      <c r="H858" s="3"/>
      <c r="AG858" s="91"/>
    </row>
    <row r="859" ht="15.75" customHeight="1">
      <c r="C859" s="3"/>
      <c r="H859" s="3"/>
      <c r="AG859" s="91"/>
    </row>
    <row r="860" ht="15.75" customHeight="1">
      <c r="C860" s="3"/>
      <c r="H860" s="3"/>
      <c r="AG860" s="91"/>
    </row>
    <row r="861" ht="15.75" customHeight="1">
      <c r="C861" s="3"/>
      <c r="H861" s="3"/>
      <c r="AG861" s="91"/>
    </row>
    <row r="862" ht="15.75" customHeight="1">
      <c r="C862" s="3"/>
      <c r="H862" s="3"/>
      <c r="AG862" s="91"/>
    </row>
    <row r="863" ht="15.75" customHeight="1">
      <c r="C863" s="3"/>
      <c r="H863" s="3"/>
      <c r="AG863" s="91"/>
    </row>
    <row r="864" ht="15.75" customHeight="1">
      <c r="C864" s="3"/>
      <c r="H864" s="3"/>
      <c r="AG864" s="91"/>
    </row>
    <row r="865" ht="15.75" customHeight="1">
      <c r="C865" s="3"/>
      <c r="H865" s="3"/>
      <c r="AG865" s="91"/>
    </row>
    <row r="866" ht="15.75" customHeight="1">
      <c r="C866" s="3"/>
      <c r="H866" s="3"/>
      <c r="AG866" s="91"/>
    </row>
    <row r="867" ht="15.75" customHeight="1">
      <c r="C867" s="3"/>
      <c r="H867" s="3"/>
      <c r="AG867" s="91"/>
    </row>
    <row r="868" ht="15.75" customHeight="1">
      <c r="C868" s="3"/>
      <c r="H868" s="3"/>
      <c r="AG868" s="91"/>
    </row>
    <row r="869" ht="15.75" customHeight="1">
      <c r="C869" s="3"/>
      <c r="H869" s="3"/>
      <c r="AG869" s="91"/>
    </row>
    <row r="870" ht="15.75" customHeight="1">
      <c r="C870" s="3"/>
      <c r="H870" s="3"/>
      <c r="AG870" s="91"/>
    </row>
    <row r="871" ht="15.75" customHeight="1">
      <c r="C871" s="3"/>
      <c r="H871" s="3"/>
      <c r="AG871" s="91"/>
    </row>
    <row r="872" ht="15.75" customHeight="1">
      <c r="C872" s="3"/>
      <c r="H872" s="3"/>
      <c r="AG872" s="91"/>
    </row>
    <row r="873" ht="15.75" customHeight="1">
      <c r="C873" s="3"/>
      <c r="H873" s="3"/>
      <c r="AG873" s="91"/>
    </row>
    <row r="874" ht="15.75" customHeight="1">
      <c r="C874" s="3"/>
      <c r="H874" s="3"/>
      <c r="AG874" s="91"/>
    </row>
    <row r="875" ht="15.75" customHeight="1">
      <c r="C875" s="3"/>
      <c r="H875" s="3"/>
      <c r="AG875" s="91"/>
    </row>
    <row r="876" ht="15.75" customHeight="1">
      <c r="C876" s="3"/>
      <c r="H876" s="3"/>
      <c r="AG876" s="91"/>
    </row>
    <row r="877" ht="15.75" customHeight="1">
      <c r="C877" s="3"/>
      <c r="H877" s="3"/>
      <c r="AG877" s="91"/>
    </row>
    <row r="878" ht="15.75" customHeight="1">
      <c r="C878" s="3"/>
      <c r="H878" s="3"/>
      <c r="AG878" s="91"/>
    </row>
    <row r="879" ht="15.75" customHeight="1">
      <c r="C879" s="3"/>
      <c r="H879" s="3"/>
      <c r="AG879" s="91"/>
    </row>
    <row r="880" ht="15.75" customHeight="1">
      <c r="C880" s="3"/>
      <c r="H880" s="3"/>
      <c r="AG880" s="91"/>
    </row>
    <row r="881" ht="15.75" customHeight="1">
      <c r="C881" s="3"/>
      <c r="H881" s="3"/>
      <c r="AG881" s="91"/>
    </row>
    <row r="882" ht="15.75" customHeight="1">
      <c r="C882" s="3"/>
      <c r="H882" s="3"/>
      <c r="AG882" s="91"/>
    </row>
    <row r="883" ht="15.75" customHeight="1">
      <c r="C883" s="3"/>
      <c r="H883" s="3"/>
      <c r="AG883" s="91"/>
    </row>
    <row r="884" ht="15.75" customHeight="1">
      <c r="C884" s="3"/>
      <c r="H884" s="3"/>
      <c r="AG884" s="91"/>
    </row>
    <row r="885" ht="15.75" customHeight="1">
      <c r="C885" s="3"/>
      <c r="H885" s="3"/>
      <c r="AG885" s="91"/>
    </row>
    <row r="886" ht="15.75" customHeight="1">
      <c r="C886" s="3"/>
      <c r="H886" s="3"/>
      <c r="AG886" s="91"/>
    </row>
    <row r="887" ht="15.75" customHeight="1">
      <c r="C887" s="3"/>
      <c r="H887" s="3"/>
      <c r="AG887" s="91"/>
    </row>
    <row r="888" ht="15.75" customHeight="1">
      <c r="C888" s="3"/>
      <c r="H888" s="3"/>
      <c r="AG888" s="91"/>
    </row>
    <row r="889" ht="15.75" customHeight="1">
      <c r="C889" s="3"/>
      <c r="H889" s="3"/>
      <c r="AG889" s="91"/>
    </row>
    <row r="890" ht="15.75" customHeight="1">
      <c r="C890" s="3"/>
      <c r="H890" s="3"/>
      <c r="AG890" s="91"/>
    </row>
    <row r="891" ht="15.75" customHeight="1">
      <c r="C891" s="3"/>
      <c r="H891" s="3"/>
      <c r="AG891" s="91"/>
    </row>
    <row r="892" ht="15.75" customHeight="1">
      <c r="C892" s="3"/>
      <c r="H892" s="3"/>
      <c r="AG892" s="91"/>
    </row>
    <row r="893" ht="15.75" customHeight="1">
      <c r="C893" s="3"/>
      <c r="H893" s="3"/>
      <c r="AG893" s="91"/>
    </row>
    <row r="894" ht="15.75" customHeight="1">
      <c r="C894" s="3"/>
      <c r="H894" s="3"/>
      <c r="AG894" s="91"/>
    </row>
    <row r="895" ht="15.75" customHeight="1">
      <c r="C895" s="3"/>
      <c r="H895" s="3"/>
      <c r="AG895" s="91"/>
    </row>
    <row r="896" ht="15.75" customHeight="1">
      <c r="C896" s="3"/>
      <c r="H896" s="3"/>
      <c r="AG896" s="91"/>
    </row>
    <row r="897" ht="15.75" customHeight="1">
      <c r="C897" s="3"/>
      <c r="H897" s="3"/>
      <c r="AG897" s="91"/>
    </row>
    <row r="898" ht="15.75" customHeight="1">
      <c r="C898" s="3"/>
      <c r="H898" s="3"/>
      <c r="AG898" s="91"/>
    </row>
    <row r="899" ht="15.75" customHeight="1">
      <c r="C899" s="3"/>
      <c r="H899" s="3"/>
      <c r="AG899" s="91"/>
    </row>
    <row r="900" ht="15.75" customHeight="1">
      <c r="C900" s="3"/>
      <c r="H900" s="3"/>
      <c r="AG900" s="91"/>
    </row>
    <row r="901" ht="15.75" customHeight="1">
      <c r="C901" s="3"/>
      <c r="H901" s="3"/>
      <c r="AG901" s="91"/>
    </row>
    <row r="902" ht="15.75" customHeight="1">
      <c r="C902" s="3"/>
      <c r="H902" s="3"/>
      <c r="AG902" s="91"/>
    </row>
    <row r="903" ht="15.75" customHeight="1">
      <c r="C903" s="3"/>
      <c r="H903" s="3"/>
      <c r="AG903" s="91"/>
    </row>
    <row r="904" ht="15.75" customHeight="1">
      <c r="C904" s="3"/>
      <c r="H904" s="3"/>
      <c r="AG904" s="91"/>
    </row>
    <row r="905" ht="15.75" customHeight="1">
      <c r="C905" s="3"/>
      <c r="H905" s="3"/>
      <c r="AG905" s="91"/>
    </row>
    <row r="906" ht="15.75" customHeight="1">
      <c r="C906" s="3"/>
      <c r="H906" s="3"/>
      <c r="AG906" s="91"/>
    </row>
    <row r="907" ht="15.75" customHeight="1">
      <c r="C907" s="3"/>
      <c r="H907" s="3"/>
      <c r="AG907" s="91"/>
    </row>
    <row r="908" ht="15.75" customHeight="1">
      <c r="C908" s="3"/>
      <c r="H908" s="3"/>
      <c r="AG908" s="91"/>
    </row>
    <row r="909" ht="15.75" customHeight="1">
      <c r="C909" s="3"/>
      <c r="H909" s="3"/>
      <c r="AG909" s="91"/>
    </row>
    <row r="910" ht="15.75" customHeight="1">
      <c r="C910" s="3"/>
      <c r="H910" s="3"/>
      <c r="AG910" s="91"/>
    </row>
    <row r="911" ht="15.75" customHeight="1">
      <c r="C911" s="3"/>
      <c r="H911" s="3"/>
      <c r="AG911" s="91"/>
    </row>
    <row r="912" ht="15.75" customHeight="1">
      <c r="C912" s="3"/>
      <c r="H912" s="3"/>
      <c r="AG912" s="91"/>
    </row>
    <row r="913" ht="15.75" customHeight="1">
      <c r="C913" s="3"/>
      <c r="H913" s="3"/>
      <c r="AG913" s="91"/>
    </row>
    <row r="914" ht="15.75" customHeight="1">
      <c r="C914" s="3"/>
      <c r="H914" s="3"/>
      <c r="AG914" s="91"/>
    </row>
    <row r="915" ht="15.75" customHeight="1">
      <c r="C915" s="3"/>
      <c r="H915" s="3"/>
      <c r="AG915" s="91"/>
    </row>
    <row r="916" ht="15.75" customHeight="1">
      <c r="C916" s="3"/>
      <c r="H916" s="3"/>
      <c r="AG916" s="91"/>
    </row>
    <row r="917" ht="15.75" customHeight="1">
      <c r="C917" s="3"/>
      <c r="H917" s="3"/>
      <c r="AG917" s="91"/>
    </row>
    <row r="918" ht="15.75" customHeight="1">
      <c r="C918" s="3"/>
      <c r="H918" s="3"/>
      <c r="AG918" s="91"/>
    </row>
    <row r="919" ht="15.75" customHeight="1">
      <c r="C919" s="3"/>
      <c r="H919" s="3"/>
      <c r="AG919" s="91"/>
    </row>
    <row r="920" ht="15.75" customHeight="1">
      <c r="C920" s="3"/>
      <c r="H920" s="3"/>
      <c r="AG920" s="91"/>
    </row>
    <row r="921" ht="15.75" customHeight="1">
      <c r="C921" s="3"/>
      <c r="H921" s="3"/>
      <c r="AG921" s="91"/>
    </row>
    <row r="922" ht="15.75" customHeight="1">
      <c r="C922" s="3"/>
      <c r="H922" s="3"/>
      <c r="AG922" s="91"/>
    </row>
    <row r="923" ht="15.75" customHeight="1">
      <c r="C923" s="3"/>
      <c r="H923" s="3"/>
      <c r="AG923" s="91"/>
    </row>
    <row r="924" ht="15.75" customHeight="1">
      <c r="C924" s="3"/>
      <c r="H924" s="3"/>
      <c r="AG924" s="91"/>
    </row>
    <row r="925" ht="15.75" customHeight="1">
      <c r="C925" s="3"/>
      <c r="H925" s="3"/>
      <c r="AG925" s="91"/>
    </row>
    <row r="926" ht="15.75" customHeight="1">
      <c r="C926" s="3"/>
      <c r="H926" s="3"/>
      <c r="AG926" s="91"/>
    </row>
    <row r="927" ht="15.75" customHeight="1">
      <c r="C927" s="3"/>
      <c r="H927" s="3"/>
      <c r="AG927" s="91"/>
    </row>
    <row r="928" ht="15.75" customHeight="1">
      <c r="C928" s="3"/>
      <c r="H928" s="3"/>
      <c r="AG928" s="91"/>
    </row>
    <row r="929" ht="15.75" customHeight="1">
      <c r="C929" s="3"/>
      <c r="H929" s="3"/>
      <c r="AG929" s="91"/>
    </row>
    <row r="930" ht="15.75" customHeight="1">
      <c r="C930" s="3"/>
      <c r="H930" s="3"/>
      <c r="AG930" s="91"/>
    </row>
    <row r="931" ht="15.75" customHeight="1">
      <c r="C931" s="3"/>
      <c r="H931" s="3"/>
      <c r="AG931" s="91"/>
    </row>
    <row r="932" ht="15.75" customHeight="1">
      <c r="C932" s="3"/>
      <c r="H932" s="3"/>
      <c r="AG932" s="91"/>
    </row>
    <row r="933" ht="15.75" customHeight="1">
      <c r="C933" s="3"/>
      <c r="H933" s="3"/>
      <c r="AG933" s="91"/>
    </row>
    <row r="934" ht="15.75" customHeight="1">
      <c r="C934" s="3"/>
      <c r="H934" s="3"/>
      <c r="AG934" s="91"/>
    </row>
    <row r="935" ht="15.75" customHeight="1">
      <c r="C935" s="3"/>
      <c r="H935" s="3"/>
      <c r="AG935" s="91"/>
    </row>
    <row r="936" ht="15.75" customHeight="1">
      <c r="C936" s="3"/>
      <c r="H936" s="3"/>
      <c r="AG936" s="91"/>
    </row>
    <row r="937" ht="15.75" customHeight="1">
      <c r="C937" s="3"/>
      <c r="H937" s="3"/>
      <c r="AG937" s="91"/>
    </row>
    <row r="938" ht="15.75" customHeight="1">
      <c r="C938" s="3"/>
      <c r="H938" s="3"/>
      <c r="AG938" s="91"/>
    </row>
    <row r="939" ht="15.75" customHeight="1">
      <c r="C939" s="3"/>
      <c r="H939" s="3"/>
      <c r="AG939" s="91"/>
    </row>
    <row r="940" ht="15.75" customHeight="1">
      <c r="C940" s="3"/>
      <c r="H940" s="3"/>
      <c r="AG940" s="91"/>
    </row>
    <row r="941" ht="15.75" customHeight="1">
      <c r="C941" s="3"/>
      <c r="H941" s="3"/>
      <c r="AG941" s="91"/>
    </row>
    <row r="942" ht="15.75" customHeight="1">
      <c r="C942" s="3"/>
      <c r="H942" s="3"/>
      <c r="AG942" s="91"/>
    </row>
    <row r="943" ht="15.75" customHeight="1">
      <c r="C943" s="3"/>
      <c r="H943" s="3"/>
      <c r="AG943" s="91"/>
    </row>
    <row r="944" ht="15.75" customHeight="1">
      <c r="C944" s="3"/>
      <c r="H944" s="3"/>
      <c r="AG944" s="91"/>
    </row>
    <row r="945" ht="15.75" customHeight="1">
      <c r="C945" s="3"/>
      <c r="H945" s="3"/>
      <c r="AG945" s="91"/>
    </row>
    <row r="946" ht="15.75" customHeight="1">
      <c r="C946" s="3"/>
      <c r="H946" s="3"/>
      <c r="AG946" s="91"/>
    </row>
    <row r="947" ht="15.75" customHeight="1">
      <c r="C947" s="3"/>
      <c r="H947" s="3"/>
      <c r="AG947" s="91"/>
    </row>
    <row r="948" ht="15.75" customHeight="1">
      <c r="C948" s="3"/>
      <c r="H948" s="3"/>
      <c r="AG948" s="91"/>
    </row>
    <row r="949" ht="15.75" customHeight="1">
      <c r="C949" s="3"/>
      <c r="H949" s="3"/>
      <c r="AG949" s="91"/>
    </row>
    <row r="950" ht="15.75" customHeight="1">
      <c r="C950" s="3"/>
      <c r="H950" s="3"/>
      <c r="AG950" s="91"/>
    </row>
    <row r="951" ht="15.75" customHeight="1">
      <c r="C951" s="3"/>
      <c r="H951" s="3"/>
      <c r="AG951" s="91"/>
    </row>
    <row r="952" ht="15.75" customHeight="1">
      <c r="C952" s="3"/>
      <c r="H952" s="3"/>
      <c r="AG952" s="91"/>
    </row>
    <row r="953" ht="15.75" customHeight="1">
      <c r="C953" s="3"/>
      <c r="H953" s="3"/>
      <c r="AG953" s="91"/>
    </row>
    <row r="954" ht="15.75" customHeight="1">
      <c r="C954" s="3"/>
      <c r="H954" s="3"/>
      <c r="AG954" s="91"/>
    </row>
    <row r="955" ht="15.75" customHeight="1">
      <c r="C955" s="3"/>
      <c r="H955" s="3"/>
      <c r="AG955" s="91"/>
    </row>
    <row r="956" ht="15.75" customHeight="1">
      <c r="C956" s="3"/>
      <c r="H956" s="3"/>
      <c r="AG956" s="91"/>
    </row>
    <row r="957" ht="15.75" customHeight="1">
      <c r="C957" s="3"/>
      <c r="H957" s="3"/>
      <c r="AG957" s="91"/>
    </row>
    <row r="958" ht="15.75" customHeight="1">
      <c r="C958" s="3"/>
      <c r="H958" s="3"/>
      <c r="AG958" s="91"/>
    </row>
    <row r="959" ht="15.75" customHeight="1">
      <c r="C959" s="3"/>
      <c r="H959" s="3"/>
      <c r="AG959" s="91"/>
    </row>
    <row r="960" ht="15.75" customHeight="1">
      <c r="C960" s="3"/>
      <c r="H960" s="3"/>
      <c r="AG960" s="91"/>
    </row>
    <row r="961" ht="15.75" customHeight="1">
      <c r="C961" s="3"/>
      <c r="H961" s="3"/>
      <c r="AG961" s="91"/>
    </row>
    <row r="962" ht="15.75" customHeight="1">
      <c r="C962" s="3"/>
      <c r="H962" s="3"/>
      <c r="AG962" s="91"/>
    </row>
    <row r="963" ht="15.75" customHeight="1">
      <c r="C963" s="3"/>
      <c r="H963" s="3"/>
      <c r="AG963" s="91"/>
    </row>
    <row r="964" ht="15.75" customHeight="1">
      <c r="C964" s="3"/>
      <c r="H964" s="3"/>
      <c r="AG964" s="91"/>
    </row>
    <row r="965" ht="15.75" customHeight="1">
      <c r="C965" s="3"/>
      <c r="H965" s="3"/>
      <c r="AG965" s="91"/>
    </row>
    <row r="966" ht="15.75" customHeight="1">
      <c r="C966" s="3"/>
      <c r="H966" s="3"/>
      <c r="AG966" s="91"/>
    </row>
    <row r="967" ht="15.75" customHeight="1">
      <c r="C967" s="3"/>
      <c r="H967" s="3"/>
      <c r="AG967" s="91"/>
    </row>
    <row r="968" ht="15.75" customHeight="1">
      <c r="C968" s="3"/>
      <c r="H968" s="3"/>
      <c r="AG968" s="91"/>
    </row>
    <row r="969" ht="15.75" customHeight="1">
      <c r="C969" s="3"/>
      <c r="H969" s="3"/>
      <c r="AG969" s="91"/>
    </row>
    <row r="970" ht="15.75" customHeight="1">
      <c r="C970" s="3"/>
      <c r="H970" s="3"/>
      <c r="AG970" s="91"/>
    </row>
    <row r="971" ht="15.75" customHeight="1">
      <c r="C971" s="3"/>
      <c r="H971" s="3"/>
      <c r="AG971" s="91"/>
    </row>
    <row r="972" ht="15.75" customHeight="1">
      <c r="C972" s="3"/>
      <c r="H972" s="3"/>
      <c r="AG972" s="91"/>
    </row>
    <row r="973" ht="15.75" customHeight="1">
      <c r="C973" s="3"/>
      <c r="H973" s="3"/>
      <c r="AG973" s="91"/>
    </row>
    <row r="974" ht="15.75" customHeight="1">
      <c r="C974" s="3"/>
      <c r="H974" s="3"/>
      <c r="AG974" s="91"/>
    </row>
    <row r="975" ht="15.75" customHeight="1">
      <c r="C975" s="3"/>
      <c r="H975" s="3"/>
      <c r="AG975" s="91"/>
    </row>
    <row r="976" ht="15.75" customHeight="1">
      <c r="C976" s="3"/>
      <c r="H976" s="3"/>
      <c r="AG976" s="91"/>
    </row>
    <row r="977" ht="15.75" customHeight="1">
      <c r="C977" s="3"/>
      <c r="H977" s="3"/>
      <c r="AG977" s="91"/>
    </row>
    <row r="978" ht="15.75" customHeight="1">
      <c r="C978" s="3"/>
      <c r="H978" s="3"/>
      <c r="AG978" s="91"/>
    </row>
    <row r="979" ht="15.75" customHeight="1">
      <c r="C979" s="3"/>
      <c r="H979" s="3"/>
      <c r="AG979" s="91"/>
    </row>
    <row r="980" ht="15.75" customHeight="1">
      <c r="C980" s="3"/>
      <c r="H980" s="3"/>
      <c r="AG980" s="91"/>
    </row>
    <row r="981" ht="15.75" customHeight="1">
      <c r="C981" s="3"/>
      <c r="H981" s="3"/>
      <c r="AG981" s="91"/>
    </row>
    <row r="982" ht="15.75" customHeight="1">
      <c r="C982" s="3"/>
      <c r="H982" s="3"/>
      <c r="AG982" s="91"/>
    </row>
    <row r="983" ht="15.75" customHeight="1">
      <c r="C983" s="3"/>
      <c r="H983" s="3"/>
      <c r="AG983" s="91"/>
    </row>
    <row r="984" ht="15.75" customHeight="1">
      <c r="C984" s="3"/>
      <c r="H984" s="3"/>
      <c r="AG984" s="91"/>
    </row>
    <row r="985" ht="15.75" customHeight="1">
      <c r="C985" s="3"/>
      <c r="H985" s="3"/>
      <c r="AG985" s="91"/>
    </row>
    <row r="986" ht="15.75" customHeight="1">
      <c r="C986" s="3"/>
      <c r="H986" s="3"/>
      <c r="AG986" s="91"/>
    </row>
    <row r="987" ht="15.75" customHeight="1">
      <c r="C987" s="3"/>
      <c r="H987" s="3"/>
      <c r="AG987" s="91"/>
    </row>
    <row r="988" ht="15.75" customHeight="1">
      <c r="C988" s="3"/>
      <c r="H988" s="3"/>
      <c r="AG988" s="91"/>
    </row>
    <row r="989" ht="15.75" customHeight="1">
      <c r="C989" s="3"/>
      <c r="H989" s="3"/>
      <c r="AG989" s="91"/>
    </row>
    <row r="990" ht="15.75" customHeight="1">
      <c r="C990" s="3"/>
      <c r="H990" s="3"/>
      <c r="AG990" s="91"/>
    </row>
    <row r="991" ht="15.75" customHeight="1">
      <c r="C991" s="3"/>
      <c r="H991" s="3"/>
      <c r="AG991" s="91"/>
    </row>
    <row r="992" ht="15.75" customHeight="1">
      <c r="C992" s="3"/>
      <c r="H992" s="3"/>
      <c r="AG992" s="91"/>
    </row>
    <row r="993" ht="15.75" customHeight="1">
      <c r="C993" s="3"/>
      <c r="H993" s="3"/>
      <c r="AG993" s="91"/>
    </row>
    <row r="994" ht="15.75" customHeight="1">
      <c r="C994" s="3"/>
      <c r="H994" s="3"/>
      <c r="AG994" s="91"/>
    </row>
    <row r="995" ht="15.75" customHeight="1">
      <c r="C995" s="3"/>
      <c r="H995" s="3"/>
      <c r="AG995" s="91"/>
    </row>
    <row r="996" ht="15.75" customHeight="1">
      <c r="C996" s="3"/>
      <c r="H996" s="3"/>
      <c r="AG996" s="91"/>
    </row>
    <row r="997" ht="15.75" customHeight="1">
      <c r="C997" s="3"/>
      <c r="H997" s="3"/>
      <c r="AG997" s="91"/>
    </row>
    <row r="998" ht="15.75" customHeight="1">
      <c r="C998" s="3"/>
      <c r="H998" s="3"/>
      <c r="AG998" s="91"/>
    </row>
    <row r="999" ht="15.75" customHeight="1">
      <c r="C999" s="3"/>
      <c r="H999" s="3"/>
      <c r="AG999" s="91"/>
    </row>
    <row r="1000" ht="15.75" customHeight="1">
      <c r="C1000" s="3"/>
      <c r="H1000" s="3"/>
      <c r="AG1000" s="91"/>
    </row>
  </sheetData>
  <autoFilter ref="$A$3:$AO$109"/>
  <mergeCells count="3">
    <mergeCell ref="AV4:BD4"/>
    <mergeCell ref="AV19:BA19"/>
    <mergeCell ref="AR77:AS79"/>
  </mergeCells>
  <printOptions/>
  <pageMargins bottom="0.75" footer="0.0" header="0.0" left="0.7" right="0.7" top="0.75"/>
  <pageSetup fitToHeight="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1.86"/>
    <col customWidth="1" min="3" max="3" width="11.71"/>
    <col customWidth="1" min="4" max="4" width="42.57"/>
    <col customWidth="1" min="5" max="5" width="13.14"/>
    <col customWidth="1" min="6" max="6" width="17.29"/>
    <col customWidth="1" min="7" max="7" width="11.71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5.29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C1" s="3"/>
      <c r="D1" s="97" t="s">
        <v>540</v>
      </c>
      <c r="E1" s="98">
        <f>+AI3</f>
        <v>5138.948</v>
      </c>
      <c r="F1" s="97" t="s">
        <v>241</v>
      </c>
      <c r="G1" s="98">
        <f>+$AM3</f>
        <v>412362.0433</v>
      </c>
      <c r="H1" s="183"/>
      <c r="I1" s="5"/>
      <c r="AB1" s="7">
        <f>SUM(AB6:AB104)</f>
        <v>102436.8561</v>
      </c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65"/>
      <c r="C2" s="3"/>
      <c r="D2" s="97" t="s">
        <v>242</v>
      </c>
      <c r="E2" s="98">
        <f>+AH3</f>
        <v>4707.252</v>
      </c>
      <c r="F2" s="99" t="s">
        <v>243</v>
      </c>
      <c r="G2" s="100">
        <f>+Q2</f>
        <v>91.87814547</v>
      </c>
      <c r="H2" s="13"/>
      <c r="I2" s="184">
        <f>SUBTOTAL(9,I4:I1638)</f>
        <v>557.81</v>
      </c>
      <c r="J2" s="4"/>
      <c r="K2" s="14">
        <f>SUBTOTAL(9,K4:K1638)</f>
        <v>523.207</v>
      </c>
      <c r="L2" s="126">
        <f>+SUMPRODUCT(L5:L1638,K5:K1638)/K2</f>
        <v>0.2864782008</v>
      </c>
      <c r="M2" s="2"/>
      <c r="P2" s="16">
        <f>+SUMPRODUCT(P4:P1638,AH4:AH1638)/SUM(AH4:AH1638)</f>
        <v>87.41142815</v>
      </c>
      <c r="Q2" s="16">
        <f>+SUMPRODUCT(Q4:Q1638,AH4:AH1638)/SUM(AH4:AH1638)</f>
        <v>91.87814547</v>
      </c>
      <c r="R2" s="12">
        <f>+SUMPRODUCT(R4:R1638,AH4:AH1638)/SUM(AH4:AH1638)</f>
        <v>3711.097587</v>
      </c>
      <c r="S2" s="2"/>
      <c r="AB2" s="7"/>
      <c r="AC2" s="7"/>
      <c r="AD2" s="7"/>
      <c r="AE2" s="7"/>
      <c r="AF2" s="7"/>
      <c r="AG2" s="17">
        <f>SUMPRODUCT($AG4:$AG1638,$K4:$K1638)/SUM($K4:$K1638)</f>
        <v>134.5901879</v>
      </c>
      <c r="AH2" s="18"/>
      <c r="AI2" s="2"/>
      <c r="AJ2" s="19">
        <v>4000.0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2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SUBTOTAL(9,AH4:AH1638)</f>
        <v>4707.252</v>
      </c>
      <c r="AI3" s="186">
        <f t="shared" si="1"/>
        <v>5138.948</v>
      </c>
      <c r="AJ3" s="187">
        <f>SUMPRODUCT(K4:K1638,AJ4:AJ1638)/K2</f>
        <v>115.4294508</v>
      </c>
      <c r="AK3" s="39">
        <f>SUBTOTAL(9,AK4:AK1638)</f>
        <v>4330.568589</v>
      </c>
      <c r="AL3" s="11"/>
      <c r="AM3" s="39">
        <f>SUBTOTAL(9,AM4:AM1638)</f>
        <v>412362.0433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2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32" t="s">
        <v>1341</v>
      </c>
      <c r="B5" s="56">
        <v>45857.0</v>
      </c>
      <c r="C5" s="182">
        <v>45853.0</v>
      </c>
      <c r="D5" s="57" t="s">
        <v>225</v>
      </c>
      <c r="E5" s="57">
        <f t="array" ref="E5">XLOOKUP(D5,RUC!$B$3:$B$110,RUC!$D$3:$D$110)</f>
        <v>10761932735</v>
      </c>
      <c r="G5" s="3" t="s">
        <v>46</v>
      </c>
      <c r="H5" s="3" t="s">
        <v>47</v>
      </c>
      <c r="I5" s="6">
        <v>32.23</v>
      </c>
      <c r="J5" s="58">
        <v>6.9</v>
      </c>
      <c r="K5" s="59">
        <f t="shared" ref="K5:K104" si="2">ROUND(+I5-(I5*(J5/100)),3)</f>
        <v>30.006</v>
      </c>
      <c r="L5" s="60">
        <v>0.091</v>
      </c>
      <c r="M5" s="60">
        <v>0.076</v>
      </c>
      <c r="N5" s="62">
        <v>0.076</v>
      </c>
      <c r="O5" s="60">
        <f t="shared" ref="O5:O104" si="3">+ROUND((M5+N5)/2,3)</f>
        <v>0.076</v>
      </c>
      <c r="P5" s="63">
        <v>80.0</v>
      </c>
      <c r="Q5" s="58">
        <v>93.18</v>
      </c>
      <c r="R5" s="65">
        <v>3345.1</v>
      </c>
      <c r="S5" s="66">
        <f>IF((90+ROUNDDOWN(O5,1)*100)&lt;95,95,(90+ROUNDDOWN(O5,1)*100))</f>
        <v>95</v>
      </c>
      <c r="U5" s="67">
        <f t="array" ref="U5">XLOOKUP(D5,RUC!$B$3:$B$110,RUC!$F$3:$F$110)</f>
        <v>120</v>
      </c>
      <c r="V5" s="67">
        <v>1.1023</v>
      </c>
      <c r="Y5" s="57">
        <f t="array" ref="Y5">XLOOKUP(D5,RUC!$B$3:$B$110,RUC!$G$3:$G$110)</f>
        <v>20</v>
      </c>
      <c r="Z5" s="69">
        <f t="array" ref="Z5">XLOOKUP(D5,RUC!$B$3:$B$110,RUC!$H$3:$H$110)</f>
        <v>30</v>
      </c>
      <c r="AA5" s="70">
        <f t="shared" ref="AA5:AA104" si="4">+Y5+Z5</f>
        <v>50</v>
      </c>
      <c r="AB5" s="71">
        <v>0.01</v>
      </c>
      <c r="AC5" s="71">
        <f>+(S5-T5)*V5-'data 1'!$F$4</f>
        <v>24.7185</v>
      </c>
      <c r="AD5" s="71">
        <f t="shared" ref="AD5:AD104" si="5">+(Q5-P5)*(R5-U5)*L5*V5/100</f>
        <v>42.63829159</v>
      </c>
      <c r="AE5" s="71">
        <f t="shared" ref="AE5:AE104" si="6">+(Y5*V5-70)+V5*(Z5-IF(D5="UNTUCA",IF(+((W5-3)*2.5+(X5-3)*3.1)&gt;0,+((W5-3)*1.5+(X5-3)*3.1),0),IF(+((W5-3)*1.5+(X5-3)*3.1)&gt;0,+((W5-3)*1.5+(X5-3)*3.1),0)))</f>
        <v>-14.885</v>
      </c>
      <c r="AF5" s="71">
        <f t="shared" ref="AF5:AF104" si="7">(L5-O5)*(R5-U5)*Q5*V5/100</f>
        <v>49.68862258</v>
      </c>
      <c r="AG5" s="72">
        <f>AC5+AD5+AE5+AF5+70-53+56</f>
        <v>175.1604142</v>
      </c>
      <c r="AH5" s="193">
        <f t="shared" ref="AH5:AH104" si="8">ROUND((31.1035*L5*Q5*1.1023*K5/100),3)</f>
        <v>87.233</v>
      </c>
      <c r="AI5" s="193">
        <f t="shared" ref="AI5:AI104" si="9">ROUND((31.1035*L5*1.1023*K5),3)</f>
        <v>93.618</v>
      </c>
      <c r="AJ5" s="73">
        <f t="shared" ref="AJ5:AJ104" si="10">+((+$AJ$2-R5+U5)*L5*Q5*V5)/100</f>
        <v>72.42851263</v>
      </c>
      <c r="AK5" s="73">
        <f t="shared" ref="AK5:AK104" si="11">31.1035*1.1023*K5*P5*O5/100</f>
        <v>62.54905511</v>
      </c>
      <c r="AL5" s="11"/>
      <c r="AM5" s="51">
        <f t="shared" ref="AM5:AM104" si="12">+IF(AB5*K5&gt;0,AB5*K5,0)</f>
        <v>0.30006</v>
      </c>
      <c r="AN5" s="51" t="str">
        <f t="array" ref="AN5">XLOOKUP(D5,RUC!$B$3:$B$565,RUC!$M$3:$M$565)</f>
        <v>Richard Sapacayo</v>
      </c>
      <c r="AO5" s="131" t="s">
        <v>551</v>
      </c>
      <c r="AP5" s="2" t="s">
        <v>1342</v>
      </c>
      <c r="AQ5" s="2" t="s">
        <v>1343</v>
      </c>
      <c r="AS5" s="65"/>
    </row>
    <row r="6" ht="15.0" customHeight="1">
      <c r="A6" s="116" t="s">
        <v>1344</v>
      </c>
      <c r="B6" s="56">
        <v>45889.0</v>
      </c>
      <c r="C6" s="182">
        <v>45881.0</v>
      </c>
      <c r="D6" s="57" t="s">
        <v>74</v>
      </c>
      <c r="E6" s="57">
        <f t="array" ref="E6">XLOOKUP(D6,RUC!$B$3:$B$110,RUC!$D$3:$D$110)</f>
        <v>10082235774</v>
      </c>
      <c r="G6" s="141">
        <v>69.0</v>
      </c>
      <c r="H6" s="3" t="s">
        <v>47</v>
      </c>
      <c r="I6" s="6">
        <v>6.73</v>
      </c>
      <c r="J6" s="58">
        <v>2.75</v>
      </c>
      <c r="K6" s="59">
        <f t="shared" si="2"/>
        <v>6.545</v>
      </c>
      <c r="L6" s="60">
        <v>0.147</v>
      </c>
      <c r="M6" s="60">
        <v>0.14</v>
      </c>
      <c r="N6" s="75">
        <v>0.16</v>
      </c>
      <c r="O6" s="60">
        <f t="shared" si="3"/>
        <v>0.15</v>
      </c>
      <c r="P6" s="63">
        <v>85.0</v>
      </c>
      <c r="Q6" s="58">
        <v>91.84</v>
      </c>
      <c r="R6" s="65">
        <v>3343.3</v>
      </c>
      <c r="S6" s="133">
        <v>95.0</v>
      </c>
      <c r="U6" s="67">
        <f t="array" ref="U6">XLOOKUP(D6,RUC!$B$3:$B$110,RUC!$F$3:$F$110)</f>
        <v>80</v>
      </c>
      <c r="V6" s="67">
        <v>1.1023</v>
      </c>
      <c r="Y6" s="57" t="str">
        <f t="array" ref="Y6">XLOOKUP(D6,RUC!$B$3:$B$110,RUC!$G$3:$G$110)</f>
        <v/>
      </c>
      <c r="Z6" s="69">
        <f t="array" ref="Z6">XLOOKUP(D6,RUC!$B$3:$B$110,RUC!$H$3:$H$110)</f>
        <v>10</v>
      </c>
      <c r="AA6" s="70">
        <f t="shared" si="4"/>
        <v>10</v>
      </c>
      <c r="AB6" s="71">
        <f>+((O6*P6*(R6-U6)/100)-S6-AA6+T6)*V6</f>
        <v>342.8932877</v>
      </c>
      <c r="AC6" s="71">
        <f>+(S6-T6)*V6-'data 1'!$F$4</f>
        <v>24.7185</v>
      </c>
      <c r="AD6" s="71">
        <f t="shared" si="5"/>
        <v>36.16847893</v>
      </c>
      <c r="AE6" s="71">
        <f t="shared" si="6"/>
        <v>-58.977</v>
      </c>
      <c r="AF6" s="71">
        <f t="shared" si="7"/>
        <v>-9.910827978</v>
      </c>
      <c r="AG6" s="72">
        <f>AC6+AD6+AE6+AF6+70</f>
        <v>61.99915095</v>
      </c>
      <c r="AH6" s="193">
        <f t="shared" si="8"/>
        <v>30.295</v>
      </c>
      <c r="AI6" s="193">
        <f t="shared" si="9"/>
        <v>32.986</v>
      </c>
      <c r="AJ6" s="73">
        <f t="shared" si="10"/>
        <v>109.6325933</v>
      </c>
      <c r="AK6" s="73">
        <f t="shared" si="11"/>
        <v>28.61072776</v>
      </c>
      <c r="AL6" s="11"/>
      <c r="AM6" s="51">
        <f t="shared" si="12"/>
        <v>2244.236568</v>
      </c>
      <c r="AN6" s="51" t="str">
        <f t="array" ref="AN6">XLOOKUP(D6,RUC!$B$3:$B$565,RUC!$M$3:$M$565)</f>
        <v>Melchor Vera</v>
      </c>
      <c r="AO6" s="131" t="s">
        <v>551</v>
      </c>
      <c r="AP6" s="57" t="s">
        <v>1185</v>
      </c>
      <c r="AQ6" s="57" t="s">
        <v>1186</v>
      </c>
      <c r="AS6" s="65"/>
      <c r="AV6" s="149" t="s">
        <v>1345</v>
      </c>
      <c r="AW6" s="150"/>
      <c r="AX6" s="150"/>
      <c r="AY6" s="150"/>
      <c r="AZ6" s="150"/>
      <c r="BA6" s="150"/>
      <c r="BB6" s="150"/>
      <c r="BC6" s="150"/>
      <c r="BD6" s="151"/>
    </row>
    <row r="7" ht="15.0" customHeight="1">
      <c r="A7" s="132" t="s">
        <v>1346</v>
      </c>
      <c r="B7" s="56"/>
      <c r="C7" s="182">
        <v>45883.0</v>
      </c>
      <c r="D7" s="57" t="s">
        <v>295</v>
      </c>
      <c r="E7" s="57">
        <f t="array" ref="E7">XLOOKUP(D7,RUC!$B$3:$B$110,RUC!$D$3:$D$110)</f>
        <v>20601769396</v>
      </c>
      <c r="G7" s="141">
        <v>34.0</v>
      </c>
      <c r="H7" s="3" t="s">
        <v>40</v>
      </c>
      <c r="I7" s="6">
        <v>2.62</v>
      </c>
      <c r="J7" s="58">
        <v>10.45</v>
      </c>
      <c r="K7" s="59">
        <f t="shared" si="2"/>
        <v>2.346</v>
      </c>
      <c r="L7" s="3">
        <v>0.095</v>
      </c>
      <c r="M7" s="3">
        <v>0.081</v>
      </c>
      <c r="N7" s="62">
        <v>0.081</v>
      </c>
      <c r="O7" s="60">
        <f t="shared" si="3"/>
        <v>0.081</v>
      </c>
      <c r="P7" s="63">
        <v>44.0</v>
      </c>
      <c r="Q7" s="58">
        <v>44.21</v>
      </c>
      <c r="R7" s="65">
        <v>3343.85</v>
      </c>
      <c r="S7" s="66">
        <f t="array" ref="S7">IF((XLOOKUP(D7,RUC!$B$3:$B$110,RUC!$E$3:$E$110)+ROUNDDOWN(O7,1)*100)&lt;95,95,((XLOOKUP(D7,RUC!$B$3:$B$110,RUC!$E$3:$E$110)+ROUNDDOWN(O7,1)*100)))</f>
        <v>95</v>
      </c>
      <c r="U7" s="67">
        <f t="array" ref="U7">XLOOKUP(D7,RUC!$B$3:$B$110,RUC!$F$3:$F$110)</f>
        <v>120</v>
      </c>
      <c r="V7" s="67">
        <v>1.1023</v>
      </c>
      <c r="Y7" s="57">
        <f t="array" ref="Y7">XLOOKUP(D7,RUC!$B$3:$B$110,RUC!$G$3:$G$110)</f>
        <v>20</v>
      </c>
      <c r="Z7" s="69">
        <f t="array" ref="Z7">XLOOKUP(D7,RUC!$B$3:$B$110,RUC!$H$3:$H$110)</f>
        <v>30</v>
      </c>
      <c r="AA7" s="70">
        <f t="shared" si="4"/>
        <v>50</v>
      </c>
      <c r="AB7" s="71">
        <v>0.01</v>
      </c>
      <c r="AC7" s="71">
        <f>+(S7-T7)*V7-'data 1'!$F$4</f>
        <v>24.7185</v>
      </c>
      <c r="AD7" s="71">
        <f t="shared" si="5"/>
        <v>0.7089531461</v>
      </c>
      <c r="AE7" s="71">
        <f t="shared" si="6"/>
        <v>-14.885</v>
      </c>
      <c r="AF7" s="71">
        <f t="shared" si="7"/>
        <v>21.99496041</v>
      </c>
      <c r="AG7" s="72">
        <f>AC7+AD7+AE7+AF7+70-53-33.18</f>
        <v>16.35741356</v>
      </c>
      <c r="AH7" s="193">
        <f t="shared" si="8"/>
        <v>3.378</v>
      </c>
      <c r="AI7" s="193">
        <f t="shared" si="9"/>
        <v>7.641</v>
      </c>
      <c r="AJ7" s="73">
        <f t="shared" si="10"/>
        <v>35.93267831</v>
      </c>
      <c r="AK7" s="73">
        <f t="shared" si="11"/>
        <v>2.866650666</v>
      </c>
      <c r="AL7" s="11"/>
      <c r="AM7" s="51">
        <f t="shared" si="12"/>
        <v>0.02346</v>
      </c>
      <c r="AN7" s="51" t="str">
        <f t="array" ref="AN7">XLOOKUP(D7,RUC!$B$3:$B$565,RUC!$M$3:$M$565)</f>
        <v>Evelyn</v>
      </c>
      <c r="AO7" s="131" t="s">
        <v>551</v>
      </c>
      <c r="AP7" s="2" t="s">
        <v>1197</v>
      </c>
      <c r="AQ7" s="2" t="s">
        <v>1198</v>
      </c>
      <c r="AW7" s="195">
        <f>SUM(AW9:AW18)</f>
        <v>523.207</v>
      </c>
      <c r="AX7" s="196">
        <f>SUMPRODUCT(AW9:AW18,AX9:AX18)/SUM(AW9:AW18)</f>
        <v>0.2864782008</v>
      </c>
      <c r="AY7" s="197"/>
      <c r="AZ7" s="198">
        <f>SUMPRODUCT(AZ9:AZ18,$BB9:$BB18)/SUM($BB9:$BB18)/100</f>
        <v>0.9187814547</v>
      </c>
      <c r="BA7" s="82">
        <f t="shared" ref="BA7:BB7" si="13">SUM(BA9:BA18)</f>
        <v>5138.947673</v>
      </c>
      <c r="BB7" s="82">
        <f t="shared" si="13"/>
        <v>4707.252</v>
      </c>
    </row>
    <row r="8" ht="15.0" customHeight="1">
      <c r="A8" s="132" t="s">
        <v>1347</v>
      </c>
      <c r="B8" s="109">
        <v>45900.0</v>
      </c>
      <c r="C8" s="182">
        <v>45895.0</v>
      </c>
      <c r="D8" s="57" t="s">
        <v>602</v>
      </c>
      <c r="E8" s="3">
        <f t="array" ref="E8">XLOOKUP(D8,RUC!$B$3:$B$110,RUC!$D$3:$D$110)</f>
        <v>20169040231</v>
      </c>
      <c r="G8" s="3">
        <v>43.0</v>
      </c>
      <c r="H8" s="3" t="s">
        <v>47</v>
      </c>
      <c r="I8" s="6">
        <v>3.75</v>
      </c>
      <c r="J8" s="58">
        <v>1.0</v>
      </c>
      <c r="K8" s="59">
        <f t="shared" si="2"/>
        <v>3.713</v>
      </c>
      <c r="L8" s="141">
        <v>0.075</v>
      </c>
      <c r="M8" s="139">
        <v>0.06</v>
      </c>
      <c r="N8" s="435">
        <v>0.06</v>
      </c>
      <c r="O8" s="60">
        <f t="shared" si="3"/>
        <v>0.06</v>
      </c>
      <c r="P8" s="63">
        <v>80.0</v>
      </c>
      <c r="Q8" s="57">
        <v>89.33</v>
      </c>
      <c r="R8" s="65">
        <v>3367.1</v>
      </c>
      <c r="S8" s="66">
        <f t="array" ref="S8">IF((XLOOKUP(D8,RUC!$B$3:$B$63,RUC!$E$3:$E$63)+ROUNDDOWN(O8,1)*100)&lt;95,95,((XLOOKUP(D8,RUC!$B$3:$B$63,RUC!$E$3:$E$63)+ROUNDDOWN(O8,1)*100)))</f>
        <v>95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77">
        <v>35.0</v>
      </c>
      <c r="AA8" s="70">
        <f t="shared" si="4"/>
        <v>55</v>
      </c>
      <c r="AB8" s="71">
        <v>0.001</v>
      </c>
      <c r="AC8" s="71">
        <f>+(S8-T8)*V8-'data 1'!$F$4</f>
        <v>24.7185</v>
      </c>
      <c r="AD8" s="71">
        <f t="shared" si="5"/>
        <v>25.04600011</v>
      </c>
      <c r="AE8" s="71">
        <f t="shared" si="6"/>
        <v>-9.3735</v>
      </c>
      <c r="AF8" s="71">
        <f t="shared" si="7"/>
        <v>47.96053998</v>
      </c>
      <c r="AG8" s="72">
        <f>AC8+AD8+AE8+AF8+70-53-22.71</f>
        <v>82.6415401</v>
      </c>
      <c r="AH8" s="193">
        <f t="shared" si="8"/>
        <v>8.529</v>
      </c>
      <c r="AI8" s="193">
        <f t="shared" si="9"/>
        <v>9.548</v>
      </c>
      <c r="AJ8" s="73">
        <f t="shared" si="10"/>
        <v>55.60267709</v>
      </c>
      <c r="AK8" s="73">
        <f t="shared" si="11"/>
        <v>6.110479</v>
      </c>
      <c r="AL8" s="11"/>
      <c r="AM8" s="51">
        <f t="shared" si="12"/>
        <v>0.003713</v>
      </c>
      <c r="AN8" s="51" t="str">
        <f t="array" ref="AN8">XLOOKUP(D8,RUC!$B$3:$B$565,RUC!$M$3:$M$565)</f>
        <v>Ronald Miranda</v>
      </c>
      <c r="AO8" s="131" t="s">
        <v>558</v>
      </c>
      <c r="AP8" s="57" t="s">
        <v>1220</v>
      </c>
      <c r="AQ8" s="57" t="s">
        <v>1221</v>
      </c>
      <c r="AV8" s="3"/>
      <c r="AW8" s="3" t="s">
        <v>14</v>
      </c>
      <c r="AX8" s="3" t="s">
        <v>683</v>
      </c>
      <c r="AY8" s="143" t="s">
        <v>683</v>
      </c>
      <c r="AZ8" s="3" t="s">
        <v>685</v>
      </c>
      <c r="BA8" s="3" t="s">
        <v>686</v>
      </c>
      <c r="BB8" s="3" t="s">
        <v>687</v>
      </c>
      <c r="BC8" s="3" t="s">
        <v>698</v>
      </c>
      <c r="BD8" s="65" t="s">
        <v>699</v>
      </c>
    </row>
    <row r="9" ht="15.0" customHeight="1">
      <c r="A9" s="116" t="s">
        <v>1348</v>
      </c>
      <c r="B9" s="56">
        <v>45903.0</v>
      </c>
      <c r="C9" s="182">
        <v>45895.0</v>
      </c>
      <c r="D9" s="57" t="s">
        <v>602</v>
      </c>
      <c r="E9" s="3">
        <f t="array" ref="E9">XLOOKUP(D9,RUC!$B$3:$B$110,RUC!$D$3:$D$110)</f>
        <v>20169040231</v>
      </c>
      <c r="G9" s="3">
        <v>17.0</v>
      </c>
      <c r="H9" s="3" t="s">
        <v>47</v>
      </c>
      <c r="I9" s="6">
        <v>1.63</v>
      </c>
      <c r="J9" s="58">
        <v>1.4</v>
      </c>
      <c r="K9" s="59">
        <f t="shared" si="2"/>
        <v>1.607</v>
      </c>
      <c r="L9" s="141">
        <v>0.362</v>
      </c>
      <c r="M9" s="141">
        <v>0.344</v>
      </c>
      <c r="N9" s="434">
        <v>0.344</v>
      </c>
      <c r="O9" s="60">
        <f t="shared" si="3"/>
        <v>0.344</v>
      </c>
      <c r="P9" s="63">
        <v>85.0</v>
      </c>
      <c r="Q9" s="57">
        <v>84.53</v>
      </c>
      <c r="R9" s="65">
        <v>3367.1</v>
      </c>
      <c r="S9" s="66">
        <f t="array" ref="S9">IF((XLOOKUP(D9,RUC!$B$3:$B$63,RUC!$E$3:$E$63)+ROUNDDOWN(O9,1)*100)&lt;95,95,((XLOOKUP(D9,RUC!$B$3:$B$63,RUC!$E$3:$E$63)+ROUNDDOWN(O9,1)*100)))</f>
        <v>115</v>
      </c>
      <c r="U9" s="67">
        <f t="array" ref="U9">XLOOKUP(D9,RUC!$B$3:$B$110,RUC!$F$3:$F$110)</f>
        <v>120</v>
      </c>
      <c r="V9" s="67">
        <v>1.1023</v>
      </c>
      <c r="Y9" s="57">
        <f t="array" ref="Y9">XLOOKUP(D9,RUC!$B$3:$B$110,RUC!$G$3:$G$110)</f>
        <v>20</v>
      </c>
      <c r="Z9" s="69">
        <f t="array" ref="Z9">XLOOKUP(D9,RUC!$B$3:$B$110,RUC!$H$3:$H$110)</f>
        <v>30</v>
      </c>
      <c r="AA9" s="70">
        <f t="shared" si="4"/>
        <v>50</v>
      </c>
      <c r="AB9" s="71">
        <f t="shared" ref="AB9:AB12" si="14">+((O9*P9*(R9-U9)/100)-S9-AA9+T9)*V9</f>
        <v>864.7014837</v>
      </c>
      <c r="AC9" s="71">
        <f>+(S9-T9)*V9-'data 1'!$F$4</f>
        <v>46.7645</v>
      </c>
      <c r="AD9" s="71">
        <f t="shared" si="5"/>
        <v>-6.089784151</v>
      </c>
      <c r="AE9" s="71">
        <f t="shared" si="6"/>
        <v>-14.885</v>
      </c>
      <c r="AF9" s="71">
        <f t="shared" si="7"/>
        <v>54.4601515</v>
      </c>
      <c r="AG9" s="72">
        <f t="shared" ref="AG9:AG12" si="15">AC9+AD9+AE9+AF9+70-53</f>
        <v>97.24986735</v>
      </c>
      <c r="AH9" s="193">
        <f t="shared" si="8"/>
        <v>16.859</v>
      </c>
      <c r="AI9" s="193">
        <f t="shared" si="9"/>
        <v>19.945</v>
      </c>
      <c r="AJ9" s="73">
        <f t="shared" si="10"/>
        <v>253.9548691</v>
      </c>
      <c r="AK9" s="73">
        <f t="shared" si="11"/>
        <v>16.11025128</v>
      </c>
      <c r="AL9" s="11"/>
      <c r="AM9" s="51">
        <f t="shared" si="12"/>
        <v>1389.575284</v>
      </c>
      <c r="AN9" s="51" t="str">
        <f t="array" ref="AN9">XLOOKUP(D9,RUC!$B$3:$B$565,RUC!$M$3:$M$565)</f>
        <v>Ronald Miranda</v>
      </c>
      <c r="AO9" s="131" t="s">
        <v>558</v>
      </c>
      <c r="AP9" s="57" t="s">
        <v>1220</v>
      </c>
      <c r="AQ9" s="57" t="s">
        <v>1221</v>
      </c>
      <c r="AV9" s="152" t="s">
        <v>558</v>
      </c>
      <c r="AW9" s="154">
        <f t="shared" ref="AW9:AW18" si="16">SUMIF($AO$4:$AO$1746,AV9,$K$4:$K$1746)</f>
        <v>102.481</v>
      </c>
      <c r="AX9" s="154">
        <f t="array" ref="AX9">+SUMPRODUCT(IF($AO$4:$AO$1746=AV9,$L$4:$L$1746*$K$4:$K$1746/AW9))</f>
        <v>0.2802697964</v>
      </c>
      <c r="AY9" s="155">
        <f t="shared" ref="AY9:AY18" si="17">31.1035*1.1023*AX9*(100-AZ9)/100</f>
        <v>0.7094067911</v>
      </c>
      <c r="AZ9" s="157">
        <f t="array" ref="AZ9">+SUMPRODUCT(IF($AO$4:$AO$1746=AV9,($Q$4:$Q$1746*$AH$4:$AH$1746)/SUMIF($AO$4:$AO$1746,$AV9,$AH$4:$AH$1746)))</f>
        <v>92.61738919</v>
      </c>
      <c r="BA9" s="200">
        <f t="shared" ref="BA9:BA18" si="18">+AX9*31.1035*1.1023*AW9</f>
        <v>984.7561955</v>
      </c>
      <c r="BB9" s="156">
        <f t="shared" ref="BB9:BB18" si="19">SUMIF($AO$4:$AO$846,$AV9,$AH$4:$AH$846)</f>
        <v>909.736</v>
      </c>
      <c r="BC9" s="157">
        <f>+BA9-BB9</f>
        <v>75.02019546</v>
      </c>
      <c r="BD9" s="158">
        <f>+AW9</f>
        <v>102.481</v>
      </c>
    </row>
    <row r="10" ht="15.0" customHeight="1">
      <c r="A10" s="116" t="s">
        <v>1349</v>
      </c>
      <c r="B10" s="56">
        <v>45901.0</v>
      </c>
      <c r="C10" s="182">
        <v>45896.0</v>
      </c>
      <c r="D10" s="2" t="s">
        <v>665</v>
      </c>
      <c r="E10" s="3">
        <f t="array" ref="E10">XLOOKUP(D10,RUC!$B$3:$B$110,RUC!$D$3:$D$110)</f>
        <v>20608774000</v>
      </c>
      <c r="G10" s="141">
        <v>60.0</v>
      </c>
      <c r="H10" s="3" t="s">
        <v>40</v>
      </c>
      <c r="I10" s="6">
        <v>4.58</v>
      </c>
      <c r="J10" s="58">
        <v>39.0</v>
      </c>
      <c r="K10" s="59">
        <f t="shared" si="2"/>
        <v>2.794</v>
      </c>
      <c r="L10" s="3">
        <v>0.604</v>
      </c>
      <c r="M10" s="141">
        <v>0.574</v>
      </c>
      <c r="N10" s="434">
        <v>0.574</v>
      </c>
      <c r="O10" s="60">
        <f t="shared" si="3"/>
        <v>0.574</v>
      </c>
      <c r="P10" s="63">
        <v>85.0</v>
      </c>
      <c r="Q10" s="58">
        <v>84.77</v>
      </c>
      <c r="R10" s="65">
        <v>3376.35</v>
      </c>
      <c r="S10" s="66">
        <f t="array" ref="S10">IF((XLOOKUP(D10,RUC!$B$3:$B$63,RUC!$E$3:$E$63)+ROUNDDOWN(O10,1)*100)&lt;95,95,((XLOOKUP(D10,RUC!$B$3:$B$63,RUC!$E$3:$E$63)+ROUNDDOWN(O10,1)*100)))</f>
        <v>135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77">
        <v>35.0</v>
      </c>
      <c r="AA10" s="70">
        <f t="shared" si="4"/>
        <v>55</v>
      </c>
      <c r="AB10" s="71">
        <f t="shared" si="14"/>
        <v>1541.86766</v>
      </c>
      <c r="AC10" s="71">
        <f>+(S10-T10)*V10-'data 1'!$F$4</f>
        <v>68.8105</v>
      </c>
      <c r="AD10" s="71">
        <f t="shared" si="5"/>
        <v>-4.986498121</v>
      </c>
      <c r="AE10" s="71">
        <f t="shared" si="6"/>
        <v>-9.3735</v>
      </c>
      <c r="AF10" s="71">
        <f t="shared" si="7"/>
        <v>91.28392868</v>
      </c>
      <c r="AG10" s="72">
        <f t="shared" si="15"/>
        <v>162.7344306</v>
      </c>
      <c r="AH10" s="193">
        <f t="shared" si="8"/>
        <v>49.047</v>
      </c>
      <c r="AI10" s="193">
        <f t="shared" si="9"/>
        <v>57.859</v>
      </c>
      <c r="AJ10" s="73">
        <f t="shared" si="10"/>
        <v>419.7082553</v>
      </c>
      <c r="AK10" s="73">
        <f t="shared" si="11"/>
        <v>46.73758728</v>
      </c>
      <c r="AL10" s="11"/>
      <c r="AM10" s="51">
        <f t="shared" si="12"/>
        <v>4307.978241</v>
      </c>
      <c r="AN10" s="51" t="str">
        <f t="array" ref="AN10">XLOOKUP(D10,RUC!$B$3:$B$565,RUC!$M$3:$M$565)</f>
        <v>Ronald Miranda</v>
      </c>
      <c r="AO10" s="131" t="s">
        <v>558</v>
      </c>
      <c r="AP10" s="57" t="s">
        <v>1237</v>
      </c>
      <c r="AQ10" s="57" t="s">
        <v>1238</v>
      </c>
      <c r="AV10" s="160" t="s">
        <v>551</v>
      </c>
      <c r="AW10" s="6">
        <f t="shared" si="16"/>
        <v>103.523</v>
      </c>
      <c r="AX10" s="6">
        <f t="array" ref="AX10">+SUMPRODUCT(IF($AO$4:$AO$1746=AV10,$L$4:$L$1746*$K$4:$K$1746/AW10))</f>
        <v>0.2801794191</v>
      </c>
      <c r="AY10" s="145">
        <f t="shared" si="17"/>
        <v>0.7953929253</v>
      </c>
      <c r="AZ10" s="58">
        <f t="array" ref="AZ10">+SUMPRODUCT(IF($AO$4:$AO$1746=AV10,($Q$4:$Q$1746*$AH$4:$AH$1746)/SUMIF($AO$4:$AO$1746,$AV10,$AH$4:$AH$1746)))</f>
        <v>91.71988394</v>
      </c>
      <c r="BA10" s="5">
        <f t="shared" si="18"/>
        <v>994.4481604</v>
      </c>
      <c r="BB10" s="65">
        <f t="shared" si="19"/>
        <v>908.868</v>
      </c>
      <c r="BC10" s="58">
        <f t="shared" ref="BC10:BC18" si="20">+BC9+BA10-BB10</f>
        <v>160.6003559</v>
      </c>
      <c r="BD10" s="161">
        <f t="shared" ref="BD10:BD18" si="21">+BD9+AW10</f>
        <v>206.004</v>
      </c>
    </row>
    <row r="11" ht="15.0" customHeight="1">
      <c r="A11" s="116" t="s">
        <v>1350</v>
      </c>
      <c r="B11" s="56">
        <v>45903.0</v>
      </c>
      <c r="C11" s="182">
        <v>45898.0</v>
      </c>
      <c r="D11" s="57" t="s">
        <v>602</v>
      </c>
      <c r="E11" s="3">
        <f t="array" ref="E11">XLOOKUP(D11,RUC!$B$3:$B$110,RUC!$D$3:$D$110)</f>
        <v>20169040231</v>
      </c>
      <c r="G11" s="141">
        <v>61.0</v>
      </c>
      <c r="H11" s="3" t="s">
        <v>47</v>
      </c>
      <c r="I11" s="6">
        <v>5.88</v>
      </c>
      <c r="J11" s="58">
        <v>4.8</v>
      </c>
      <c r="K11" s="59">
        <f t="shared" si="2"/>
        <v>5.598</v>
      </c>
      <c r="L11" s="60">
        <v>0.298</v>
      </c>
      <c r="M11" s="139">
        <v>0.283</v>
      </c>
      <c r="N11" s="435">
        <v>0.283</v>
      </c>
      <c r="O11" s="60">
        <f t="shared" si="3"/>
        <v>0.283</v>
      </c>
      <c r="P11" s="63">
        <v>85.0</v>
      </c>
      <c r="Q11" s="58">
        <v>82.89</v>
      </c>
      <c r="R11" s="65">
        <v>3429.15</v>
      </c>
      <c r="S11" s="66">
        <f t="array" ref="S11">IF((XLOOKUP(D11,RUC!$B$3:$B$63,RUC!$E$3:$E$63)+ROUNDDOWN(O11,1)*100)&lt;95,95,((XLOOKUP(D11,RUC!$B$3:$B$63,RUC!$E$3:$E$63)+ROUNDDOWN(O11,1)*100)))</f>
        <v>105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4"/>
        <v>50</v>
      </c>
      <c r="AB11" s="71">
        <f t="shared" si="14"/>
        <v>706.5919726</v>
      </c>
      <c r="AC11" s="71">
        <f>+(S11-T11)*V11-'data 1'!$F$4</f>
        <v>35.7415</v>
      </c>
      <c r="AD11" s="71">
        <f t="shared" si="5"/>
        <v>-22.93585744</v>
      </c>
      <c r="AE11" s="71">
        <f t="shared" si="6"/>
        <v>-14.885</v>
      </c>
      <c r="AF11" s="71">
        <f t="shared" si="7"/>
        <v>45.35338011</v>
      </c>
      <c r="AG11" s="72">
        <f t="shared" si="15"/>
        <v>60.27402267</v>
      </c>
      <c r="AH11" s="193">
        <f t="shared" si="8"/>
        <v>47.409</v>
      </c>
      <c r="AI11" s="193">
        <f t="shared" si="9"/>
        <v>57.195</v>
      </c>
      <c r="AJ11" s="73">
        <f t="shared" si="10"/>
        <v>188.1057075</v>
      </c>
      <c r="AK11" s="73">
        <f t="shared" si="11"/>
        <v>46.16866583</v>
      </c>
      <c r="AL11" s="11"/>
      <c r="AM11" s="51">
        <f t="shared" si="12"/>
        <v>3955.501863</v>
      </c>
      <c r="AN11" s="51" t="str">
        <f t="array" ref="AN11">XLOOKUP(D11,RUC!$B$3:$B$565,RUC!$M$3:$M$565)</f>
        <v>Ronald Miranda</v>
      </c>
      <c r="AO11" s="131" t="s">
        <v>558</v>
      </c>
      <c r="AP11" s="57" t="s">
        <v>1255</v>
      </c>
      <c r="AQ11" s="57" t="s">
        <v>1256</v>
      </c>
      <c r="AV11" s="160" t="s">
        <v>547</v>
      </c>
      <c r="AW11" s="6">
        <f t="shared" si="16"/>
        <v>107.253</v>
      </c>
      <c r="AX11" s="6">
        <f t="array" ref="AX11">+SUMPRODUCT(IF($AO$4:$AO$1746=AV11,$L$4:$L$1746*$K$4:$K$1746/AW11))</f>
        <v>0.2810676345</v>
      </c>
      <c r="AY11" s="145">
        <f t="shared" si="17"/>
        <v>0.7353047699</v>
      </c>
      <c r="AZ11" s="58">
        <f t="array" ref="AZ11">+SUMPRODUCT(IF($AO$4:$AO$1746=AV11,($Q$4:$Q$1746*$AH$4:$AH$1746)/SUMIF($AO$4:$AO$1746,$AV11,$AH$4:$AH$1746)))</f>
        <v>92.36959701</v>
      </c>
      <c r="BA11" s="65">
        <f t="shared" si="18"/>
        <v>1033.54492</v>
      </c>
      <c r="BB11" s="65">
        <f t="shared" si="19"/>
        <v>953.22</v>
      </c>
      <c r="BC11" s="58">
        <f t="shared" si="20"/>
        <v>240.9252756</v>
      </c>
      <c r="BD11" s="161">
        <f t="shared" si="21"/>
        <v>313.257</v>
      </c>
    </row>
    <row r="12" ht="15.0" customHeight="1">
      <c r="A12" s="116" t="s">
        <v>1351</v>
      </c>
      <c r="B12" s="56">
        <v>45912.0</v>
      </c>
      <c r="C12" s="182">
        <v>45898.0</v>
      </c>
      <c r="D12" s="57" t="s">
        <v>602</v>
      </c>
      <c r="E12" s="3">
        <f t="array" ref="E12">XLOOKUP(D12,RUC!$B$3:$B$110,RUC!$D$3:$D$110)</f>
        <v>20169040231</v>
      </c>
      <c r="G12" s="141">
        <v>13.0</v>
      </c>
      <c r="H12" s="3" t="s">
        <v>47</v>
      </c>
      <c r="I12" s="6">
        <v>1.29</v>
      </c>
      <c r="J12" s="58">
        <v>1.3</v>
      </c>
      <c r="K12" s="59">
        <f t="shared" si="2"/>
        <v>1.273</v>
      </c>
      <c r="L12" s="60">
        <v>0.13</v>
      </c>
      <c r="M12" s="60">
        <v>0.106</v>
      </c>
      <c r="N12" s="62">
        <v>0.106</v>
      </c>
      <c r="O12" s="60">
        <f t="shared" si="3"/>
        <v>0.106</v>
      </c>
      <c r="P12" s="63">
        <v>80.0</v>
      </c>
      <c r="Q12" s="58">
        <v>85.95</v>
      </c>
      <c r="R12" s="65">
        <v>3429.15</v>
      </c>
      <c r="S12" s="66">
        <f t="array" ref="S12">IF((XLOOKUP(D12,RUC!$B$3:$B$63,RUC!$E$3:$E$63)+ROUNDDOWN(O12,1)*100)&lt;95,95,((XLOOKUP(D12,RUC!$B$3:$B$63,RUC!$E$3:$E$63)+ROUNDDOWN(O12,1)*100)))</f>
        <v>95</v>
      </c>
      <c r="U12" s="67">
        <f t="array" ref="U12">XLOOKUP(D12,RUC!$B$3:$B$110,RUC!$F$3:$F$110)</f>
        <v>120</v>
      </c>
      <c r="V12" s="67">
        <v>1.1023</v>
      </c>
      <c r="Y12" s="57">
        <f t="array" ref="Y12">XLOOKUP(D12,RUC!$B$3:$B$110,RUC!$G$3:$G$110)</f>
        <v>20</v>
      </c>
      <c r="Z12" s="69">
        <f t="array" ref="Z12">XLOOKUP(D12,RUC!$B$3:$B$110,RUC!$H$3:$H$110)</f>
        <v>30</v>
      </c>
      <c r="AA12" s="70">
        <f t="shared" si="4"/>
        <v>50</v>
      </c>
      <c r="AB12" s="71">
        <f t="shared" si="14"/>
        <v>149.4894286</v>
      </c>
      <c r="AC12" s="71">
        <f>+(S12-T12)*V12-'data 1'!$F$4</f>
        <v>24.7185</v>
      </c>
      <c r="AD12" s="71">
        <f t="shared" si="5"/>
        <v>28.21477421</v>
      </c>
      <c r="AE12" s="71">
        <f t="shared" si="6"/>
        <v>-14.885</v>
      </c>
      <c r="AF12" s="71">
        <f t="shared" si="7"/>
        <v>75.24426146</v>
      </c>
      <c r="AG12" s="72">
        <f t="shared" si="15"/>
        <v>130.2925357</v>
      </c>
      <c r="AH12" s="193">
        <f t="shared" si="8"/>
        <v>4.877</v>
      </c>
      <c r="AI12" s="193">
        <f t="shared" si="9"/>
        <v>5.674</v>
      </c>
      <c r="AJ12" s="73">
        <f t="shared" si="10"/>
        <v>85.08887911</v>
      </c>
      <c r="AK12" s="73">
        <f t="shared" si="11"/>
        <v>3.701121354</v>
      </c>
      <c r="AL12" s="11"/>
      <c r="AM12" s="51">
        <f t="shared" si="12"/>
        <v>190.3000426</v>
      </c>
      <c r="AN12" s="51" t="str">
        <f t="array" ref="AN12">XLOOKUP(D12,RUC!$B$3:$B$565,RUC!$M$3:$M$565)</f>
        <v>Ronald Miranda</v>
      </c>
      <c r="AO12" s="131" t="s">
        <v>558</v>
      </c>
      <c r="AP12" s="57" t="s">
        <v>1255</v>
      </c>
      <c r="AQ12" s="57" t="s">
        <v>1256</v>
      </c>
      <c r="AV12" s="160" t="s">
        <v>549</v>
      </c>
      <c r="AW12" s="6">
        <f t="shared" si="16"/>
        <v>109.761</v>
      </c>
      <c r="AX12" s="6">
        <f t="array" ref="AX12">+SUMPRODUCT(IF($AO$4:$AO$1746=AV12,$L$4:$L$1746*$K$4:$K$1746/AW12))</f>
        <v>0.2909783439</v>
      </c>
      <c r="AY12" s="145">
        <f t="shared" si="17"/>
        <v>0.8894964275</v>
      </c>
      <c r="AZ12" s="58">
        <f t="array" ref="AZ12">+SUMPRODUCT(IF($AO$4:$AO$1746=AV12,($Q$4:$Q$1746*$AH$4:$AH$1746)/SUMIF($AO$4:$AO$1746,$AV12,$AH$4:$AH$1746)))</f>
        <v>91.08390943</v>
      </c>
      <c r="BA12" s="65">
        <f t="shared" si="18"/>
        <v>1095.009261</v>
      </c>
      <c r="BB12" s="65">
        <f t="shared" si="19"/>
        <v>992.545</v>
      </c>
      <c r="BC12" s="58">
        <f t="shared" si="20"/>
        <v>343.3895363</v>
      </c>
      <c r="BD12" s="161">
        <f t="shared" si="21"/>
        <v>423.018</v>
      </c>
    </row>
    <row r="13" ht="15.0" customHeight="1">
      <c r="A13" s="132" t="s">
        <v>1352</v>
      </c>
      <c r="B13" s="109">
        <v>45904.0</v>
      </c>
      <c r="C13" s="182">
        <v>45898.0</v>
      </c>
      <c r="D13" s="57" t="s">
        <v>602</v>
      </c>
      <c r="E13" s="3">
        <f t="array" ref="E13">XLOOKUP(D13,RUC!$B$3:$B$110,RUC!$D$3:$D$110)</f>
        <v>20169040231</v>
      </c>
      <c r="G13" s="141">
        <v>50.0</v>
      </c>
      <c r="H13" s="3" t="s">
        <v>47</v>
      </c>
      <c r="I13" s="6">
        <v>4.77</v>
      </c>
      <c r="J13" s="58">
        <v>2.65</v>
      </c>
      <c r="K13" s="59">
        <f t="shared" si="2"/>
        <v>4.644</v>
      </c>
      <c r="L13" s="60">
        <v>0.113</v>
      </c>
      <c r="M13" s="60">
        <v>0.098</v>
      </c>
      <c r="N13" s="62">
        <v>0.098</v>
      </c>
      <c r="O13" s="60">
        <f t="shared" si="3"/>
        <v>0.098</v>
      </c>
      <c r="P13" s="63">
        <v>80.0</v>
      </c>
      <c r="Q13" s="58">
        <v>97.35</v>
      </c>
      <c r="R13" s="65">
        <v>3429.15</v>
      </c>
      <c r="S13" s="66">
        <f t="array" ref="S13">IF((XLOOKUP(D13,RUC!$B$3:$B$63,RUC!$E$3:$E$63)+ROUNDDOWN(O13,1)*100)&lt;95,95,((XLOOKUP(D13,RUC!$B$3:$B$63,RUC!$E$3:$E$63)+ROUNDDOWN(O13,1)*100)))</f>
        <v>95</v>
      </c>
      <c r="U13" s="67">
        <f t="array" ref="U13">XLOOKUP(D13,RUC!$B$3:$B$110,RUC!$F$3:$F$110)</f>
        <v>120</v>
      </c>
      <c r="V13" s="67">
        <v>1.1023</v>
      </c>
      <c r="Y13" s="57">
        <f t="array" ref="Y13">XLOOKUP(D13,RUC!$B$3:$B$110,RUC!$G$3:$G$110)</f>
        <v>20</v>
      </c>
      <c r="Z13" s="69">
        <f t="array" ref="Z13">XLOOKUP(D13,RUC!$B$3:$B$110,RUC!$H$3:$H$110)</f>
        <v>30</v>
      </c>
      <c r="AA13" s="70">
        <f t="shared" si="4"/>
        <v>50</v>
      </c>
      <c r="AB13" s="7">
        <v>0.001</v>
      </c>
      <c r="AC13" s="71">
        <f>+(S13-T13)*V13-'data 1'!$F$4</f>
        <v>24.7185</v>
      </c>
      <c r="AD13" s="71">
        <f t="shared" si="5"/>
        <v>71.5145127</v>
      </c>
      <c r="AE13" s="71">
        <f t="shared" si="6"/>
        <v>-14.885</v>
      </c>
      <c r="AF13" s="71">
        <f t="shared" si="7"/>
        <v>53.26518945</v>
      </c>
      <c r="AG13" s="72">
        <f>AC13+AD13+AE13+AF13+70-53-126.14</f>
        <v>25.47320215</v>
      </c>
      <c r="AH13" s="193">
        <f t="shared" si="8"/>
        <v>17.515</v>
      </c>
      <c r="AI13" s="193">
        <f t="shared" si="9"/>
        <v>17.992</v>
      </c>
      <c r="AJ13" s="73">
        <f t="shared" si="10"/>
        <v>83.77182343</v>
      </c>
      <c r="AK13" s="73">
        <f t="shared" si="11"/>
        <v>12.48295322</v>
      </c>
      <c r="AL13" s="11"/>
      <c r="AM13" s="51">
        <f t="shared" si="12"/>
        <v>0.004644</v>
      </c>
      <c r="AN13" s="51" t="str">
        <f t="array" ref="AN13">XLOOKUP(D13,RUC!$B$3:$B$565,RUC!$M$3:$M$565)</f>
        <v>Ronald Miranda</v>
      </c>
      <c r="AO13" s="131" t="s">
        <v>547</v>
      </c>
      <c r="AP13" s="57" t="s">
        <v>1255</v>
      </c>
      <c r="AQ13" s="57" t="s">
        <v>1256</v>
      </c>
      <c r="AV13" s="160" t="s">
        <v>561</v>
      </c>
      <c r="AW13" s="6">
        <f t="shared" si="16"/>
        <v>100.189</v>
      </c>
      <c r="AX13" s="6">
        <f t="array" ref="AX13">+SUMPRODUCT(IF($AO$4:$AO$1746=AV13,$L$4:$L$1746*$K$4:$K$1746/AW13))</f>
        <v>0.3001989839</v>
      </c>
      <c r="AY13" s="145">
        <f t="shared" si="17"/>
        <v>0.8587319878</v>
      </c>
      <c r="AZ13" s="58">
        <f t="array" ref="AZ13">+SUMPRODUCT(IF($AO$4:$AO$1746=AV13,($Q$4:$Q$1746*$AH$4:$AH$1746)/SUMIF($AO$4:$AO$1746,$AV13,$AH$4:$AH$1746)))</f>
        <v>91.6566713</v>
      </c>
      <c r="BA13" s="65">
        <f t="shared" si="18"/>
        <v>1031.189136</v>
      </c>
      <c r="BB13" s="65">
        <f t="shared" si="19"/>
        <v>942.883</v>
      </c>
      <c r="BC13" s="58">
        <f t="shared" si="20"/>
        <v>431.6956728</v>
      </c>
      <c r="BD13" s="161">
        <f t="shared" si="21"/>
        <v>523.207</v>
      </c>
    </row>
    <row r="14" ht="15.0" customHeight="1">
      <c r="A14" s="116" t="s">
        <v>1353</v>
      </c>
      <c r="B14" s="56">
        <v>45909.0</v>
      </c>
      <c r="C14" s="182">
        <v>45902.0</v>
      </c>
      <c r="D14" s="57" t="s">
        <v>225</v>
      </c>
      <c r="E14" s="3">
        <f t="array" ref="E14">XLOOKUP(D14,RUC!$B$3:$B$110,RUC!$D$3:$D$110)</f>
        <v>10761932735</v>
      </c>
      <c r="G14" s="141" t="s">
        <v>46</v>
      </c>
      <c r="H14" s="3" t="s">
        <v>339</v>
      </c>
      <c r="I14" s="6">
        <v>4.3</v>
      </c>
      <c r="J14" s="58">
        <v>4.4</v>
      </c>
      <c r="K14" s="59">
        <f t="shared" si="2"/>
        <v>4.111</v>
      </c>
      <c r="L14" s="60">
        <v>0.1</v>
      </c>
      <c r="M14" s="3">
        <v>0.085</v>
      </c>
      <c r="N14" s="75">
        <v>0.135</v>
      </c>
      <c r="O14" s="60">
        <f t="shared" si="3"/>
        <v>0.11</v>
      </c>
      <c r="P14" s="63">
        <v>80.0</v>
      </c>
      <c r="Q14" s="58">
        <v>92.11</v>
      </c>
      <c r="R14" s="65">
        <v>3490.0</v>
      </c>
      <c r="S14" s="66">
        <f t="array" ref="S14">IF((XLOOKUP(D14,RUC!$B$3:$B$106,RUC!$E$3:$E$106)+ROUNDDOWN(O14,1)*100)&lt;95,95,((XLOOKUP(D14,RUC!$B$3:$B$106,RUC!$E$3:$E$106)+ROUNDDOWN(O14,1)*100)))</f>
        <v>100</v>
      </c>
      <c r="U14" s="67">
        <f t="array" ref="U14">XLOOKUP(D14,RUC!$B$3:$B$110,RUC!$F$3:$F$110)</f>
        <v>120</v>
      </c>
      <c r="V14" s="67">
        <v>1.1023</v>
      </c>
      <c r="Y14" s="199">
        <v>30.0</v>
      </c>
      <c r="Z14" s="69">
        <f t="array" ref="Z14">XLOOKUP(D14,RUC!$B$3:$B$110,RUC!$H$3:$H$110)</f>
        <v>30</v>
      </c>
      <c r="AA14" s="70">
        <f t="shared" si="4"/>
        <v>60</v>
      </c>
      <c r="AB14" s="71">
        <f t="shared" ref="AB14:AB104" si="22">+((O14*P14*(R14-U14)/100)-S14-AA14+T14)*V14</f>
        <v>150.530088</v>
      </c>
      <c r="AC14" s="71">
        <f>+(S14-T14)*V14-'data 1'!$F$4</f>
        <v>30.23</v>
      </c>
      <c r="AD14" s="71">
        <f t="shared" si="5"/>
        <v>44.98563461</v>
      </c>
      <c r="AE14" s="71">
        <f t="shared" si="6"/>
        <v>-3.862</v>
      </c>
      <c r="AF14" s="71">
        <f t="shared" si="7"/>
        <v>-34.21657146</v>
      </c>
      <c r="AG14" s="72">
        <f t="shared" ref="AG14:AG15" si="23">AC14+AD14+AE14+AF14+70-53</f>
        <v>54.13706315</v>
      </c>
      <c r="AH14" s="193">
        <f t="shared" si="8"/>
        <v>12.983</v>
      </c>
      <c r="AI14" s="193">
        <f t="shared" si="9"/>
        <v>14.095</v>
      </c>
      <c r="AJ14" s="73">
        <f t="shared" si="10"/>
        <v>63.96569739</v>
      </c>
      <c r="AK14" s="73">
        <f t="shared" si="11"/>
        <v>12.40335626</v>
      </c>
      <c r="AL14" s="11"/>
      <c r="AM14" s="51">
        <f t="shared" si="12"/>
        <v>618.8291918</v>
      </c>
      <c r="AN14" s="51" t="str">
        <f t="array" ref="AN14">XLOOKUP(D14,RUC!$B$3:$B$565,RUC!$M$3:$M$565)</f>
        <v>Richard Sapacayo</v>
      </c>
      <c r="AO14" s="131" t="s">
        <v>558</v>
      </c>
      <c r="AP14" s="57" t="s">
        <v>1291</v>
      </c>
      <c r="AQ14" s="57" t="s">
        <v>1292</v>
      </c>
      <c r="AV14" s="160" t="s">
        <v>689</v>
      </c>
      <c r="AW14" s="6">
        <f t="shared" si="16"/>
        <v>0</v>
      </c>
      <c r="AX14" s="6">
        <f t="array" ref="AX14">+SUMPRODUCT(IF($AO$4:$AO$1746=AV14,$L$4:$L$1746*$K$4:$K$1746/AW14))</f>
        <v>0</v>
      </c>
      <c r="AY14" s="145">
        <f t="shared" si="17"/>
        <v>0</v>
      </c>
      <c r="AZ14" s="58">
        <f t="array" ref="AZ14">+SUMPRODUCT(IF('28'!$AO$4:$AO$1638=AV14,('28'!$Q$4:$Q$1638*'28'!$AH$4:$AH$1638)/SUMIF('28'!$AO$4:$AO$1638,#REF!,'28'!$AH$4:$AH$1638)))</f>
        <v>0</v>
      </c>
      <c r="BA14" s="65">
        <f t="shared" si="18"/>
        <v>0</v>
      </c>
      <c r="BB14" s="65">
        <f t="shared" si="19"/>
        <v>0</v>
      </c>
      <c r="BC14" s="58">
        <f t="shared" si="20"/>
        <v>431.6956728</v>
      </c>
      <c r="BD14" s="161">
        <f t="shared" si="21"/>
        <v>523.207</v>
      </c>
    </row>
    <row r="15" ht="15.0" customHeight="1">
      <c r="A15" s="116" t="s">
        <v>1354</v>
      </c>
      <c r="B15" s="56">
        <v>45917.0</v>
      </c>
      <c r="C15" s="182">
        <v>45905.0</v>
      </c>
      <c r="D15" s="57" t="s">
        <v>602</v>
      </c>
      <c r="E15" s="3">
        <f t="array" ref="E15">XLOOKUP(D15,RUC!$B$3:$B$110,RUC!$D$3:$D$110)</f>
        <v>20169040231</v>
      </c>
      <c r="G15" s="141">
        <v>80.0</v>
      </c>
      <c r="H15" s="3" t="s">
        <v>47</v>
      </c>
      <c r="I15" s="6">
        <v>7.24</v>
      </c>
      <c r="J15" s="58">
        <v>1.3</v>
      </c>
      <c r="K15" s="59">
        <f t="shared" si="2"/>
        <v>7.146</v>
      </c>
      <c r="L15" s="61">
        <v>0.118</v>
      </c>
      <c r="M15" s="60">
        <v>0.119</v>
      </c>
      <c r="N15" s="62">
        <v>0.119</v>
      </c>
      <c r="O15" s="60">
        <f t="shared" si="3"/>
        <v>0.119</v>
      </c>
      <c r="P15" s="63">
        <v>80.0</v>
      </c>
      <c r="Q15" s="58">
        <v>98.51</v>
      </c>
      <c r="R15" s="65">
        <v>3594.55</v>
      </c>
      <c r="S15" s="66">
        <f t="array" ref="S15">IF((XLOOKUP(D15,RUC!$B$3:$B$106,RUC!$E$3:$E$106)+ROUNDDOWN(O15,1)*100)&lt;95,95,((XLOOKUP(D15,RUC!$B$3:$B$106,RUC!$E$3:$E$106)+ROUNDDOWN(O15,1)*100)))</f>
        <v>95</v>
      </c>
      <c r="U15" s="67">
        <f t="array" ref="U15">XLOOKUP(D15,RUC!$B$3:$B$110,RUC!$F$3:$F$110)</f>
        <v>120</v>
      </c>
      <c r="V15" s="67">
        <v>1.1023</v>
      </c>
      <c r="Y15" s="57">
        <f t="array" ref="Y15">XLOOKUP(D15,RUC!$B$3:$B$110,RUC!$G$3:$G$110)</f>
        <v>20</v>
      </c>
      <c r="Z15" s="77">
        <v>35.0</v>
      </c>
      <c r="AA15" s="70">
        <f t="shared" si="4"/>
        <v>55</v>
      </c>
      <c r="AB15" s="71">
        <f t="shared" si="22"/>
        <v>199.2706635</v>
      </c>
      <c r="AC15" s="71">
        <f>+(S15-T15)*V15-'data 1'!$F$4</f>
        <v>24.7185</v>
      </c>
      <c r="AD15" s="71">
        <f t="shared" si="5"/>
        <v>83.65401679</v>
      </c>
      <c r="AE15" s="71">
        <f t="shared" si="6"/>
        <v>-9.3735</v>
      </c>
      <c r="AF15" s="71">
        <f t="shared" si="7"/>
        <v>-3.772929518</v>
      </c>
      <c r="AG15" s="72">
        <f t="shared" si="23"/>
        <v>112.2260873</v>
      </c>
      <c r="AH15" s="193">
        <f t="shared" si="8"/>
        <v>28.48</v>
      </c>
      <c r="AI15" s="193">
        <f t="shared" si="9"/>
        <v>28.91</v>
      </c>
      <c r="AJ15" s="73">
        <f t="shared" si="10"/>
        <v>67.32766147</v>
      </c>
      <c r="AK15" s="73">
        <f t="shared" si="11"/>
        <v>23.32432206</v>
      </c>
      <c r="AL15" s="11"/>
      <c r="AM15" s="51">
        <f t="shared" si="12"/>
        <v>1423.988161</v>
      </c>
      <c r="AN15" s="51" t="str">
        <f t="array" ref="AN15">XLOOKUP(D15,RUC!$B$3:$B$565,RUC!$M$3:$M$565)</f>
        <v>Ronald Miranda</v>
      </c>
      <c r="AO15" s="131" t="s">
        <v>547</v>
      </c>
      <c r="AP15" s="57" t="s">
        <v>1355</v>
      </c>
      <c r="AQ15" s="57" t="s">
        <v>1356</v>
      </c>
      <c r="AR15" s="57" t="s">
        <v>1357</v>
      </c>
      <c r="AV15" s="160" t="s">
        <v>690</v>
      </c>
      <c r="AW15" s="6">
        <f t="shared" si="16"/>
        <v>0</v>
      </c>
      <c r="AX15" s="6">
        <f t="array" ref="AX15">+SUMPRODUCT(IF($AO$4:$AO$1746=AV15,$L$4:$L$1746*$K$4:$K$1746/AW15))</f>
        <v>0</v>
      </c>
      <c r="AY15" s="145">
        <f t="shared" si="17"/>
        <v>0</v>
      </c>
      <c r="AZ15" s="58">
        <f t="array" ref="AZ15">+SUMPRODUCT(IF('28'!$AO$4:$AO$1638=AV15,('28'!$Q$4:$Q$1638*'28'!$AH$4:$AH$1638)/SUMIF('28'!$AO$4:$AO$1638,#REF!,'28'!$AH$4:$AH$1638)))</f>
        <v>0</v>
      </c>
      <c r="BA15" s="65">
        <f t="shared" si="18"/>
        <v>0</v>
      </c>
      <c r="BB15" s="65">
        <f t="shared" si="19"/>
        <v>0</v>
      </c>
      <c r="BC15" s="58">
        <f t="shared" si="20"/>
        <v>431.6956728</v>
      </c>
      <c r="BD15" s="161">
        <f t="shared" si="21"/>
        <v>523.207</v>
      </c>
    </row>
    <row r="16" ht="15.0" customHeight="1">
      <c r="A16" s="116" t="s">
        <v>1358</v>
      </c>
      <c r="B16" s="56">
        <v>45911.0</v>
      </c>
      <c r="C16" s="182">
        <v>45906.0</v>
      </c>
      <c r="D16" s="57" t="s">
        <v>74</v>
      </c>
      <c r="E16" s="3">
        <f t="array" ref="E16">XLOOKUP(D16,RUC!$B$3:$B$110,RUC!$D$3:$D$110)</f>
        <v>10082235774</v>
      </c>
      <c r="G16" s="141">
        <v>55.0</v>
      </c>
      <c r="H16" s="3" t="s">
        <v>47</v>
      </c>
      <c r="I16" s="6">
        <v>5.37</v>
      </c>
      <c r="J16" s="58">
        <v>1.2</v>
      </c>
      <c r="K16" s="59">
        <f t="shared" si="2"/>
        <v>5.306</v>
      </c>
      <c r="L16" s="60">
        <v>0.112</v>
      </c>
      <c r="M16" s="60">
        <v>0.105</v>
      </c>
      <c r="N16" s="62">
        <v>0.105</v>
      </c>
      <c r="O16" s="60">
        <f t="shared" si="3"/>
        <v>0.105</v>
      </c>
      <c r="P16" s="63">
        <v>85.0</v>
      </c>
      <c r="Q16" s="58">
        <v>96.43</v>
      </c>
      <c r="R16" s="65">
        <v>3594.55</v>
      </c>
      <c r="S16" s="133">
        <f t="array" ref="S16">IF((XLOOKUP(D16,RUC!$B$3:$B$106,RUC!$E$3:$E$106)+ROUNDDOWN(O16,1)*100)&lt;95,95,((XLOOKUP(D16,RUC!$B$3:$B$106,RUC!$E$3:$E$106)+ROUNDDOWN(O16,1)*100)))</f>
        <v>95</v>
      </c>
      <c r="U16" s="67">
        <f t="array" ref="U16">XLOOKUP(D16,RUC!$B$3:$B$110,RUC!$F$3:$F$110)</f>
        <v>80</v>
      </c>
      <c r="V16" s="67">
        <v>1.1023</v>
      </c>
      <c r="Y16" s="57" t="str">
        <f t="array" ref="Y16">XLOOKUP(D16,RUC!$B$3:$B$110,RUC!$G$3:$G$110)</f>
        <v/>
      </c>
      <c r="Z16" s="69">
        <f t="array" ref="Z16">XLOOKUP(D16,RUC!$B$3:$B$110,RUC!$H$3:$H$110)</f>
        <v>10</v>
      </c>
      <c r="AA16" s="70">
        <f t="shared" si="4"/>
        <v>10</v>
      </c>
      <c r="AB16" s="71">
        <f t="shared" si="22"/>
        <v>230.0208955</v>
      </c>
      <c r="AC16" s="71">
        <f>+(S16-T16)*V16-'data 1'!$F$4</f>
        <v>24.7185</v>
      </c>
      <c r="AD16" s="71">
        <f t="shared" si="5"/>
        <v>49.59453089</v>
      </c>
      <c r="AE16" s="71">
        <f t="shared" si="6"/>
        <v>-58.977</v>
      </c>
      <c r="AF16" s="71">
        <f t="shared" si="7"/>
        <v>26.15048455</v>
      </c>
      <c r="AG16" s="72">
        <f>AC16+AD16+AE16+AF16+70</f>
        <v>111.4865154</v>
      </c>
      <c r="AH16" s="193">
        <f t="shared" si="8"/>
        <v>19.647</v>
      </c>
      <c r="AI16" s="193">
        <f t="shared" si="9"/>
        <v>20.375</v>
      </c>
      <c r="AJ16" s="73">
        <f t="shared" si="10"/>
        <v>57.79290196</v>
      </c>
      <c r="AK16" s="73">
        <f t="shared" si="11"/>
        <v>16.23620551</v>
      </c>
      <c r="AL16" s="11"/>
      <c r="AM16" s="51">
        <f t="shared" si="12"/>
        <v>1220.490872</v>
      </c>
      <c r="AN16" s="51" t="str">
        <f t="array" ref="AN16">XLOOKUP(D16,RUC!$B$3:$B$565,RUC!$M$3:$M$565)</f>
        <v>Melchor Vera</v>
      </c>
      <c r="AO16" s="131" t="s">
        <v>547</v>
      </c>
      <c r="AP16" s="57" t="s">
        <v>1300</v>
      </c>
      <c r="AQ16" s="57" t="s">
        <v>1301</v>
      </c>
      <c r="AV16" s="160" t="s">
        <v>691</v>
      </c>
      <c r="AW16" s="6">
        <f t="shared" si="16"/>
        <v>0</v>
      </c>
      <c r="AX16" s="6">
        <f t="array" ref="AX16">+SUMPRODUCT(IF($AO$4:$AO$1746=AV16,$L$4:$L$1746*$K$4:$K$1746/AW16))</f>
        <v>0</v>
      </c>
      <c r="AY16" s="145">
        <f t="shared" si="17"/>
        <v>0</v>
      </c>
      <c r="AZ16" s="58">
        <f t="array" ref="AZ16">+SUMPRODUCT(IF('28'!$AO$4:$AO$1638=AV16,('28'!$Q$4:$Q$1638*'28'!$AH$4:$AH$1638)/SUMIF('28'!$AO$4:$AO$1638,#REF!,'28'!$AH$4:$AH$1638)))</f>
        <v>0</v>
      </c>
      <c r="BA16" s="65">
        <f t="shared" si="18"/>
        <v>0</v>
      </c>
      <c r="BB16" s="65">
        <f t="shared" si="19"/>
        <v>0</v>
      </c>
      <c r="BC16" s="58">
        <f t="shared" si="20"/>
        <v>431.6956728</v>
      </c>
      <c r="BD16" s="161">
        <f t="shared" si="21"/>
        <v>523.207</v>
      </c>
    </row>
    <row r="17" ht="15.0" customHeight="1">
      <c r="A17" s="116" t="s">
        <v>1359</v>
      </c>
      <c r="B17" s="56">
        <v>45914.0</v>
      </c>
      <c r="C17" s="182">
        <v>45908.0</v>
      </c>
      <c r="D17" s="57" t="s">
        <v>295</v>
      </c>
      <c r="E17" s="3">
        <f t="array" ref="E17">XLOOKUP(D17,RUC!$B$3:$B$110,RUC!$D$3:$D$110)</f>
        <v>20601769396</v>
      </c>
      <c r="G17" s="141">
        <v>50.0</v>
      </c>
      <c r="H17" s="3" t="s">
        <v>339</v>
      </c>
      <c r="I17" s="6">
        <v>3.73</v>
      </c>
      <c r="J17" s="58">
        <v>15.05</v>
      </c>
      <c r="K17" s="59">
        <f t="shared" si="2"/>
        <v>3.169</v>
      </c>
      <c r="L17" s="3">
        <v>0.164</v>
      </c>
      <c r="M17" s="60">
        <v>0.149</v>
      </c>
      <c r="N17" s="62">
        <v>0.149</v>
      </c>
      <c r="O17" s="60">
        <f t="shared" si="3"/>
        <v>0.149</v>
      </c>
      <c r="P17" s="63">
        <v>85.0</v>
      </c>
      <c r="Q17" s="58">
        <v>93.9</v>
      </c>
      <c r="R17" s="65">
        <v>3632.65</v>
      </c>
      <c r="S17" s="66">
        <f t="array" ref="S17">IF((XLOOKUP(D17,RUC!$B$3:$B$106,RUC!$E$3:$E$106)+ROUNDDOWN(O17,1)*100)&lt;95,95,((XLOOKUP(D17,RUC!$B$3:$B$106,RUC!$E$3:$E$106)+ROUNDDOWN(O17,1)*100)))</f>
        <v>100</v>
      </c>
      <c r="U17" s="67">
        <f t="array" ref="U17">XLOOKUP(D17,RUC!$B$3:$B$110,RUC!$F$3:$F$110)</f>
        <v>120</v>
      </c>
      <c r="V17" s="67">
        <v>1.1023</v>
      </c>
      <c r="Y17" s="57">
        <f t="array" ref="Y17">XLOOKUP(D17,RUC!$B$3:$B$110,RUC!$G$3:$G$110)</f>
        <v>20</v>
      </c>
      <c r="Z17" s="69">
        <f t="array" ref="Z17">XLOOKUP(D17,RUC!$B$3:$B$110,RUC!$H$3:$H$110)</f>
        <v>30</v>
      </c>
      <c r="AA17" s="70">
        <f t="shared" si="4"/>
        <v>50</v>
      </c>
      <c r="AB17" s="71">
        <f t="shared" si="22"/>
        <v>325.0430521</v>
      </c>
      <c r="AC17" s="71">
        <f>+(S17-T17)*V17-'data 1'!$F$4</f>
        <v>30.23</v>
      </c>
      <c r="AD17" s="71">
        <f t="shared" si="5"/>
        <v>56.51562581</v>
      </c>
      <c r="AE17" s="71">
        <f t="shared" si="6"/>
        <v>-14.885</v>
      </c>
      <c r="AF17" s="71">
        <f t="shared" si="7"/>
        <v>54.53703683</v>
      </c>
      <c r="AG17" s="72">
        <f t="shared" ref="AG17:AG24" si="24">AC17+AD17+AE17+AF17+70-53</f>
        <v>143.3976626</v>
      </c>
      <c r="AH17" s="193">
        <f t="shared" si="8"/>
        <v>16.732</v>
      </c>
      <c r="AI17" s="193">
        <f t="shared" si="9"/>
        <v>17.819</v>
      </c>
      <c r="AJ17" s="73">
        <f t="shared" si="10"/>
        <v>82.72756055</v>
      </c>
      <c r="AK17" s="73">
        <f t="shared" si="11"/>
        <v>13.76057249</v>
      </c>
      <c r="AL17" s="11"/>
      <c r="AM17" s="51">
        <f t="shared" si="12"/>
        <v>1030.061432</v>
      </c>
      <c r="AN17" s="51" t="str">
        <f t="array" ref="AN17">XLOOKUP(D17,RUC!$B$3:$B$565,RUC!$M$3:$M$565)</f>
        <v>Evelyn</v>
      </c>
      <c r="AO17" s="131" t="s">
        <v>558</v>
      </c>
      <c r="AP17" s="57" t="s">
        <v>1309</v>
      </c>
      <c r="AQ17" s="57" t="s">
        <v>1310</v>
      </c>
      <c r="AV17" s="160" t="s">
        <v>692</v>
      </c>
      <c r="AW17" s="6">
        <f t="shared" si="16"/>
        <v>0</v>
      </c>
      <c r="AX17" s="6">
        <f t="array" ref="AX17">+SUMPRODUCT(IF($AO$4:$AO$1746=AV17,$L$4:$L$1746*$K$4:$K$1746/AW17))</f>
        <v>0</v>
      </c>
      <c r="AY17" s="145">
        <f t="shared" si="17"/>
        <v>0</v>
      </c>
      <c r="AZ17" s="58">
        <f t="array" ref="AZ17">+SUMPRODUCT(IF('28'!$AO$4:$AO$1638=AV17,('28'!$Q$4:$Q$1638*'28'!$AH$4:$AH$1638)/SUMIF('28'!$AO$4:$AO$1638,#REF!,'28'!$AH$4:$AH$1638)))</f>
        <v>0</v>
      </c>
      <c r="BA17" s="65">
        <f t="shared" si="18"/>
        <v>0</v>
      </c>
      <c r="BB17" s="65">
        <f t="shared" si="19"/>
        <v>0</v>
      </c>
      <c r="BC17" s="58">
        <f t="shared" si="20"/>
        <v>431.6956728</v>
      </c>
      <c r="BD17" s="161">
        <f t="shared" si="21"/>
        <v>523.207</v>
      </c>
    </row>
    <row r="18" ht="15.0" customHeight="1">
      <c r="A18" s="116" t="s">
        <v>1360</v>
      </c>
      <c r="B18" s="56">
        <v>45923.0</v>
      </c>
      <c r="C18" s="182">
        <v>45909.0</v>
      </c>
      <c r="D18" s="57" t="s">
        <v>665</v>
      </c>
      <c r="E18" s="3">
        <f t="array" ref="E18">XLOOKUP(D18,RUC!$B$3:$B$110,RUC!$D$3:$D$110)</f>
        <v>20608774000</v>
      </c>
      <c r="G18" s="141">
        <v>10.0</v>
      </c>
      <c r="H18" s="3" t="s">
        <v>47</v>
      </c>
      <c r="I18" s="6">
        <v>0.85</v>
      </c>
      <c r="J18" s="58">
        <v>2.15</v>
      </c>
      <c r="K18" s="59">
        <f t="shared" si="2"/>
        <v>0.832</v>
      </c>
      <c r="L18" s="3">
        <v>0.357</v>
      </c>
      <c r="M18" s="60">
        <v>0.339</v>
      </c>
      <c r="N18" s="62">
        <v>0.339</v>
      </c>
      <c r="O18" s="60">
        <f t="shared" si="3"/>
        <v>0.339</v>
      </c>
      <c r="P18" s="63">
        <v>80.0</v>
      </c>
      <c r="Q18" s="58">
        <v>81.51</v>
      </c>
      <c r="R18" s="65">
        <v>3649.55</v>
      </c>
      <c r="S18" s="66">
        <f t="array" ref="S18">IF((XLOOKUP(D18,RUC!$B$3:$B$106,RUC!$E$3:$E$106)+ROUNDDOWN(O18,1)*100)&lt;95,95,((XLOOKUP(D18,RUC!$B$3:$B$106,RUC!$E$3:$E$106)+ROUNDDOWN(O18,1)*100)))</f>
        <v>115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69">
        <f t="array" ref="Z18">XLOOKUP(D18,RUC!$B$3:$B$110,RUC!$H$3:$H$110)</f>
        <v>30</v>
      </c>
      <c r="AA18" s="70">
        <f t="shared" si="4"/>
        <v>50</v>
      </c>
      <c r="AB18" s="71">
        <f t="shared" si="22"/>
        <v>873.2574481</v>
      </c>
      <c r="AC18" s="71">
        <f>+(S18-T18)*V18-'data 1'!$F$4</f>
        <v>46.7645</v>
      </c>
      <c r="AD18" s="71">
        <f t="shared" si="5"/>
        <v>20.97318122</v>
      </c>
      <c r="AE18" s="71">
        <f t="shared" si="6"/>
        <v>-14.885</v>
      </c>
      <c r="AF18" s="71">
        <f t="shared" si="7"/>
        <v>57.08244202</v>
      </c>
      <c r="AG18" s="72">
        <f t="shared" si="24"/>
        <v>126.9351232</v>
      </c>
      <c r="AH18" s="193">
        <f t="shared" si="8"/>
        <v>8.301</v>
      </c>
      <c r="AI18" s="193">
        <f t="shared" si="9"/>
        <v>10.184</v>
      </c>
      <c r="AJ18" s="73">
        <f t="shared" si="10"/>
        <v>150.9010944</v>
      </c>
      <c r="AK18" s="73">
        <f t="shared" si="11"/>
        <v>7.736100103</v>
      </c>
      <c r="AL18" s="11"/>
      <c r="AM18" s="51">
        <f t="shared" si="12"/>
        <v>726.5501968</v>
      </c>
      <c r="AN18" s="51" t="str">
        <f t="array" ref="AN18">XLOOKUP(D18,RUC!$B$3:$B$565,RUC!$M$3:$M$565)</f>
        <v>Ronald Miranda</v>
      </c>
      <c r="AO18" s="131" t="s">
        <v>561</v>
      </c>
      <c r="AP18" s="57" t="s">
        <v>1361</v>
      </c>
      <c r="AQ18" s="57" t="s">
        <v>1362</v>
      </c>
      <c r="AV18" s="163" t="s">
        <v>693</v>
      </c>
      <c r="AW18" s="165">
        <f t="shared" si="16"/>
        <v>0</v>
      </c>
      <c r="AX18" s="165">
        <f t="array" ref="AX18">+SUMPRODUCT(IF('28'!$AO$4:$AO$1638=AV18,'28'!$L$4:$L$1638*'28'!$K$4:$K$1638/AW18))</f>
        <v>0</v>
      </c>
      <c r="AY18" s="166">
        <f t="shared" si="17"/>
        <v>0</v>
      </c>
      <c r="AZ18" s="168">
        <f t="array" ref="AZ18">+SUMPRODUCT(IF('28'!$AO$4:$AO$1638=AV18,('28'!$Q$4:$Q$1638*'28'!$AH$4:$AH$1638)/SUMIF('28'!$AO$4:$AO$1638,#REF!,'28'!$AH$4:$AH$1638)))</f>
        <v>0</v>
      </c>
      <c r="BA18" s="167">
        <f t="shared" si="18"/>
        <v>0</v>
      </c>
      <c r="BB18" s="167">
        <f t="shared" si="19"/>
        <v>0</v>
      </c>
      <c r="BC18" s="168">
        <f t="shared" si="20"/>
        <v>431.6956728</v>
      </c>
      <c r="BD18" s="169">
        <f t="shared" si="21"/>
        <v>523.207</v>
      </c>
    </row>
    <row r="19" ht="15.0" customHeight="1">
      <c r="A19" s="116" t="s">
        <v>1363</v>
      </c>
      <c r="B19" s="56">
        <v>45922.0</v>
      </c>
      <c r="C19" s="182">
        <v>45910.0</v>
      </c>
      <c r="D19" s="57" t="s">
        <v>665</v>
      </c>
      <c r="E19" s="3">
        <f t="array" ref="E19">XLOOKUP(D19,RUC!$B$3:$B$110,RUC!$D$3:$D$110)</f>
        <v>20608774000</v>
      </c>
      <c r="G19" s="141">
        <v>75.0</v>
      </c>
      <c r="H19" s="3" t="s">
        <v>47</v>
      </c>
      <c r="I19" s="6">
        <v>7.77</v>
      </c>
      <c r="J19" s="58">
        <v>2.3</v>
      </c>
      <c r="K19" s="59">
        <f t="shared" si="2"/>
        <v>7.591</v>
      </c>
      <c r="L19" s="3">
        <v>0.145</v>
      </c>
      <c r="M19" s="60">
        <v>0.13</v>
      </c>
      <c r="N19" s="62">
        <v>0.13</v>
      </c>
      <c r="O19" s="60">
        <f t="shared" si="3"/>
        <v>0.13</v>
      </c>
      <c r="P19" s="63">
        <v>84.0</v>
      </c>
      <c r="Q19" s="58">
        <v>84.83</v>
      </c>
      <c r="R19" s="65">
        <v>3650.75</v>
      </c>
      <c r="S19" s="66">
        <f t="array" ref="S19">IF((XLOOKUP(D19,RUC!$B$3:$B$106,RUC!$E$3:$E$106)+ROUNDDOWN(O19,1)*100)&lt;95,95,((XLOOKUP(D19,RUC!$B$3:$B$106,RUC!$E$3:$E$106)+ROUNDDOWN(O19,1)*100)))</f>
        <v>95</v>
      </c>
      <c r="U19" s="67">
        <f t="array" ref="U19">XLOOKUP(D19,RUC!$B$3:$B$110,RUC!$F$3:$F$110)</f>
        <v>120</v>
      </c>
      <c r="V19" s="67">
        <v>1.1023</v>
      </c>
      <c r="Y19" s="57">
        <f t="array" ref="Y19">XLOOKUP(D19,RUC!$B$3:$B$110,RUC!$G$3:$G$110)</f>
        <v>20</v>
      </c>
      <c r="Z19" s="69">
        <f t="array" ref="Z19">XLOOKUP(D19,RUC!$B$3:$B$110,RUC!$H$3:$H$110)</f>
        <v>30</v>
      </c>
      <c r="AA19" s="70">
        <f t="shared" si="4"/>
        <v>50</v>
      </c>
      <c r="AB19" s="71">
        <f t="shared" si="22"/>
        <v>265.1669732</v>
      </c>
      <c r="AC19" s="71">
        <f>+(S19-T19)*V19-'data 1'!$F$4</f>
        <v>24.7185</v>
      </c>
      <c r="AD19" s="71">
        <f t="shared" si="5"/>
        <v>4.68395668</v>
      </c>
      <c r="AE19" s="71">
        <f t="shared" si="6"/>
        <v>-14.885</v>
      </c>
      <c r="AF19" s="71">
        <f t="shared" si="7"/>
        <v>49.52306338</v>
      </c>
      <c r="AG19" s="72">
        <f t="shared" si="24"/>
        <v>81.04052006</v>
      </c>
      <c r="AH19" s="193">
        <f t="shared" si="8"/>
        <v>32.013</v>
      </c>
      <c r="AI19" s="193">
        <f t="shared" si="9"/>
        <v>37.738</v>
      </c>
      <c r="AJ19" s="73">
        <f t="shared" si="10"/>
        <v>63.62408621</v>
      </c>
      <c r="AK19" s="73">
        <f t="shared" si="11"/>
        <v>28.42043357</v>
      </c>
      <c r="AL19" s="11"/>
      <c r="AM19" s="51">
        <f t="shared" si="12"/>
        <v>2012.882493</v>
      </c>
      <c r="AN19" s="51" t="str">
        <f t="array" ref="AN19">XLOOKUP(D19,RUC!$B$3:$B$565,RUC!$M$3:$M$565)</f>
        <v>Ronald Miranda</v>
      </c>
      <c r="AO19" s="131" t="s">
        <v>547</v>
      </c>
      <c r="AP19" s="57" t="s">
        <v>1321</v>
      </c>
      <c r="AQ19" s="57" t="s">
        <v>1322</v>
      </c>
    </row>
    <row r="20" ht="15.0" customHeight="1">
      <c r="A20" s="116" t="s">
        <v>1364</v>
      </c>
      <c r="B20" s="56">
        <v>45922.0</v>
      </c>
      <c r="C20" s="182">
        <v>45910.0</v>
      </c>
      <c r="D20" s="57" t="s">
        <v>665</v>
      </c>
      <c r="E20" s="3">
        <f t="array" ref="E20">XLOOKUP(D20,RUC!$B$3:$B$110,RUC!$D$3:$D$110)</f>
        <v>20608774000</v>
      </c>
      <c r="G20" s="141">
        <v>50.0</v>
      </c>
      <c r="H20" s="3" t="s">
        <v>47</v>
      </c>
      <c r="I20" s="6">
        <v>4.67</v>
      </c>
      <c r="J20" s="58">
        <v>2.4</v>
      </c>
      <c r="K20" s="59">
        <f t="shared" si="2"/>
        <v>4.558</v>
      </c>
      <c r="L20" s="3">
        <v>0.254</v>
      </c>
      <c r="M20" s="3">
        <v>0.236</v>
      </c>
      <c r="N20" s="62">
        <v>0.236</v>
      </c>
      <c r="O20" s="60">
        <f t="shared" si="3"/>
        <v>0.236</v>
      </c>
      <c r="P20" s="63">
        <v>90.0</v>
      </c>
      <c r="Q20" s="58">
        <v>93.7</v>
      </c>
      <c r="R20" s="65">
        <v>3650.75</v>
      </c>
      <c r="S20" s="66">
        <f t="array" ref="S20">IF((XLOOKUP(D20,RUC!$B$3:$B$106,RUC!$E$3:$E$106)+ROUNDDOWN(O20,1)*100)&lt;95,95,((XLOOKUP(D20,RUC!$B$3:$B$106,RUC!$E$3:$E$106)+ROUNDDOWN(O20,1)*100)))</f>
        <v>105</v>
      </c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69">
        <f t="array" ref="Z20">XLOOKUP(D20,RUC!$B$3:$B$110,RUC!$H$3:$H$110)</f>
        <v>30</v>
      </c>
      <c r="AA20" s="70">
        <f t="shared" si="4"/>
        <v>50</v>
      </c>
      <c r="AB20" s="71">
        <f t="shared" si="22"/>
        <v>655.792772</v>
      </c>
      <c r="AC20" s="71">
        <f>+(S20-T20)*V20-'data 1'!$F$4</f>
        <v>35.7415</v>
      </c>
      <c r="AD20" s="71">
        <f t="shared" si="5"/>
        <v>36.57650592</v>
      </c>
      <c r="AE20" s="71">
        <f t="shared" si="6"/>
        <v>-14.885</v>
      </c>
      <c r="AF20" s="71">
        <f t="shared" si="7"/>
        <v>65.6415566</v>
      </c>
      <c r="AG20" s="72">
        <f t="shared" si="24"/>
        <v>140.0745625</v>
      </c>
      <c r="AH20" s="193">
        <f t="shared" si="8"/>
        <v>37.193</v>
      </c>
      <c r="AI20" s="193">
        <f t="shared" si="9"/>
        <v>39.693</v>
      </c>
      <c r="AJ20" s="73">
        <f t="shared" si="10"/>
        <v>123.1054829</v>
      </c>
      <c r="AK20" s="73">
        <f t="shared" si="11"/>
        <v>33.19234245</v>
      </c>
      <c r="AL20" s="11"/>
      <c r="AM20" s="51">
        <f t="shared" si="12"/>
        <v>2989.103455</v>
      </c>
      <c r="AN20" s="51" t="str">
        <f t="array" ref="AN20">XLOOKUP(D20,RUC!$B$3:$B$565,RUC!$M$3:$M$565)</f>
        <v>Ronald Miranda</v>
      </c>
      <c r="AO20" s="131" t="s">
        <v>558</v>
      </c>
      <c r="AP20" s="57" t="s">
        <v>1321</v>
      </c>
      <c r="AQ20" s="57" t="s">
        <v>1322</v>
      </c>
    </row>
    <row r="21" ht="15.0" customHeight="1">
      <c r="A21" s="116" t="s">
        <v>1365</v>
      </c>
      <c r="B21" s="56">
        <v>45924.0</v>
      </c>
      <c r="C21" s="182">
        <v>45910.0</v>
      </c>
      <c r="D21" s="57" t="s">
        <v>602</v>
      </c>
      <c r="E21" s="3">
        <f t="array" ref="E21">XLOOKUP(D21,RUC!$B$3:$B$110,RUC!$D$3:$D$110)</f>
        <v>20169040231</v>
      </c>
      <c r="G21" s="141">
        <v>70.0</v>
      </c>
      <c r="H21" s="3" t="s">
        <v>47</v>
      </c>
      <c r="I21" s="6">
        <v>7.63</v>
      </c>
      <c r="J21" s="58">
        <v>4.7</v>
      </c>
      <c r="K21" s="6">
        <f t="shared" si="2"/>
        <v>7.271</v>
      </c>
      <c r="L21" s="3">
        <v>0.195</v>
      </c>
      <c r="M21" s="60">
        <v>0.18</v>
      </c>
      <c r="N21" s="62">
        <v>0.18</v>
      </c>
      <c r="O21" s="60">
        <f t="shared" si="3"/>
        <v>0.18</v>
      </c>
      <c r="P21" s="63">
        <v>85.0</v>
      </c>
      <c r="Q21" s="58">
        <v>85.13</v>
      </c>
      <c r="R21" s="65">
        <v>3650.75</v>
      </c>
      <c r="S21" s="66">
        <f t="array" ref="S21">IF((XLOOKUP(D21,RUC!$B$3:$B$106,RUC!$E$3:$E$106)+ROUNDDOWN(O21,1)*100)&lt;95,95,((XLOOKUP(D21,RUC!$B$3:$B$106,RUC!$E$3:$E$106)+ROUNDDOWN(O21,1)*100)))</f>
        <v>95</v>
      </c>
      <c r="U21" s="67">
        <f t="array" ref="U21">XLOOKUP(D21,RUC!$B$3:$B$110,RUC!$F$3:$F$110)</f>
        <v>120</v>
      </c>
      <c r="V21" s="67">
        <v>1.1023</v>
      </c>
      <c r="Y21" s="57">
        <f t="array" ref="Y21">XLOOKUP(D21,RUC!$B$3:$B$110,RUC!$G$3:$G$110)</f>
        <v>20</v>
      </c>
      <c r="Z21" s="69">
        <f t="array" ref="Z21">XLOOKUP(D21,RUC!$B$3:$B$110,RUC!$H$3:$H$110)</f>
        <v>30</v>
      </c>
      <c r="AA21" s="70">
        <f t="shared" si="4"/>
        <v>50</v>
      </c>
      <c r="AB21" s="71">
        <f t="shared" si="22"/>
        <v>435.6341959</v>
      </c>
      <c r="AC21" s="71">
        <f>+(S21-T21)*V21-'data 1'!$F$4</f>
        <v>24.7185</v>
      </c>
      <c r="AD21" s="71">
        <f t="shared" si="5"/>
        <v>0.9866082413</v>
      </c>
      <c r="AE21" s="71">
        <f t="shared" si="6"/>
        <v>-14.885</v>
      </c>
      <c r="AF21" s="71">
        <f t="shared" si="7"/>
        <v>49.69820094</v>
      </c>
      <c r="AG21" s="72">
        <f t="shared" si="24"/>
        <v>77.51830918</v>
      </c>
      <c r="AH21" s="193">
        <f t="shared" si="8"/>
        <v>41.383</v>
      </c>
      <c r="AI21" s="193">
        <f t="shared" si="9"/>
        <v>48.611</v>
      </c>
      <c r="AJ21" s="73">
        <f t="shared" si="10"/>
        <v>85.86602004</v>
      </c>
      <c r="AK21" s="73">
        <f t="shared" si="11"/>
        <v>38.14122565</v>
      </c>
      <c r="AL21" s="11"/>
      <c r="AM21" s="51">
        <f t="shared" si="12"/>
        <v>3167.496239</v>
      </c>
      <c r="AN21" s="51" t="str">
        <f t="array" ref="AN21">XLOOKUP(D21,RUC!$B$3:$B$565,RUC!$M$3:$M$565)</f>
        <v>Ronald Miranda</v>
      </c>
      <c r="AO21" s="131" t="s">
        <v>558</v>
      </c>
      <c r="AP21" s="57" t="s">
        <v>1366</v>
      </c>
      <c r="AQ21" s="57" t="s">
        <v>1367</v>
      </c>
      <c r="AV21" s="149" t="s">
        <v>1368</v>
      </c>
      <c r="AW21" s="150"/>
      <c r="AX21" s="150"/>
      <c r="AY21" s="150"/>
      <c r="AZ21" s="150"/>
      <c r="BA21" s="151"/>
    </row>
    <row r="22" ht="15.0" customHeight="1">
      <c r="A22" s="116" t="s">
        <v>1369</v>
      </c>
      <c r="B22" s="56">
        <v>45924.0</v>
      </c>
      <c r="C22" s="182">
        <v>45910.0</v>
      </c>
      <c r="D22" s="57" t="s">
        <v>602</v>
      </c>
      <c r="E22" s="3">
        <f t="array" ref="E22">XLOOKUP(D22,RUC!$B$3:$B$110,RUC!$D$3:$D$110)</f>
        <v>20169040231</v>
      </c>
      <c r="G22" s="141">
        <v>80.0</v>
      </c>
      <c r="H22" s="3" t="s">
        <v>47</v>
      </c>
      <c r="I22" s="6">
        <v>8.15</v>
      </c>
      <c r="J22" s="58">
        <v>2.4</v>
      </c>
      <c r="K22" s="6">
        <f t="shared" si="2"/>
        <v>7.954</v>
      </c>
      <c r="L22" s="3">
        <v>0.169</v>
      </c>
      <c r="M22" s="3">
        <v>0.154</v>
      </c>
      <c r="N22" s="427">
        <v>0.154</v>
      </c>
      <c r="O22" s="60">
        <f t="shared" si="3"/>
        <v>0.154</v>
      </c>
      <c r="P22" s="63">
        <v>85.0</v>
      </c>
      <c r="Q22" s="58">
        <v>88.76</v>
      </c>
      <c r="R22" s="65">
        <v>3650.75</v>
      </c>
      <c r="S22" s="66">
        <f t="array" ref="S22">IF((XLOOKUP(D22,RUC!$B$3:$B$106,RUC!$E$3:$E$106)+ROUNDDOWN(O22,1)*100)&lt;95,95,((XLOOKUP(D22,RUC!$B$3:$B$106,RUC!$E$3:$E$106)+ROUNDDOWN(O22,1)*100)))</f>
        <v>95</v>
      </c>
      <c r="U22" s="67">
        <f t="array" ref="U22">XLOOKUP(D22,RUC!$B$3:$B$110,RUC!$F$3:$F$110)</f>
        <v>120</v>
      </c>
      <c r="V22" s="67">
        <v>1.1023</v>
      </c>
      <c r="Y22" s="57">
        <f t="array" ref="Y22">XLOOKUP(D22,RUC!$B$3:$B$110,RUC!$G$3:$G$110)</f>
        <v>20</v>
      </c>
      <c r="Z22" s="69">
        <f t="array" ref="Z22">XLOOKUP(D22,RUC!$B$3:$B$110,RUC!$H$3:$H$110)</f>
        <v>30</v>
      </c>
      <c r="AA22" s="70">
        <f t="shared" si="4"/>
        <v>50</v>
      </c>
      <c r="AB22" s="71">
        <f t="shared" si="22"/>
        <v>349.6221954</v>
      </c>
      <c r="AC22" s="71">
        <f>+(S22-T22)*V22-'data 1'!$F$4</f>
        <v>24.7185</v>
      </c>
      <c r="AD22" s="71">
        <f t="shared" si="5"/>
        <v>24.73097991</v>
      </c>
      <c r="AE22" s="71">
        <f t="shared" si="6"/>
        <v>-14.885</v>
      </c>
      <c r="AF22" s="71">
        <f t="shared" si="7"/>
        <v>51.81736538</v>
      </c>
      <c r="AG22" s="72">
        <f t="shared" si="24"/>
        <v>103.3818453</v>
      </c>
      <c r="AH22" s="193">
        <f t="shared" si="8"/>
        <v>40.907</v>
      </c>
      <c r="AI22" s="193">
        <f t="shared" si="9"/>
        <v>46.087</v>
      </c>
      <c r="AJ22" s="73">
        <f t="shared" si="10"/>
        <v>77.59041717</v>
      </c>
      <c r="AK22" s="73">
        <f t="shared" si="11"/>
        <v>35.69721233</v>
      </c>
      <c r="AL22" s="11"/>
      <c r="AM22" s="51">
        <f t="shared" si="12"/>
        <v>2780.894942</v>
      </c>
      <c r="AN22" s="51" t="str">
        <f t="array" ref="AN22">XLOOKUP(D22,RUC!$B$3:$B$565,RUC!$M$3:$M$565)</f>
        <v>Ronald Miranda</v>
      </c>
      <c r="AO22" s="131" t="s">
        <v>558</v>
      </c>
      <c r="AP22" s="57" t="s">
        <v>1366</v>
      </c>
      <c r="AQ22" s="57" t="s">
        <v>1367</v>
      </c>
      <c r="BA22" s="203">
        <f>SUM(BA24:BA33)</f>
        <v>3292.64613</v>
      </c>
    </row>
    <row r="23" ht="15.0" customHeight="1">
      <c r="A23" s="116" t="s">
        <v>1370</v>
      </c>
      <c r="B23" s="56">
        <v>45923.0</v>
      </c>
      <c r="C23" s="182">
        <v>45911.0</v>
      </c>
      <c r="D23" s="57" t="s">
        <v>602</v>
      </c>
      <c r="E23" s="3">
        <f t="array" ref="E23">XLOOKUP(D23,RUC!$B$3:$B$110,RUC!$D$3:$D$110)</f>
        <v>20169040231</v>
      </c>
      <c r="G23" s="141">
        <v>78.0</v>
      </c>
      <c r="H23" s="3" t="s">
        <v>47</v>
      </c>
      <c r="I23" s="6">
        <v>8.23</v>
      </c>
      <c r="J23" s="58">
        <v>2.6</v>
      </c>
      <c r="K23" s="6">
        <f t="shared" si="2"/>
        <v>8.016</v>
      </c>
      <c r="L23" s="3">
        <v>0.715</v>
      </c>
      <c r="M23" s="3">
        <v>0.679</v>
      </c>
      <c r="N23" s="131">
        <v>0.743</v>
      </c>
      <c r="O23" s="60">
        <f t="shared" si="3"/>
        <v>0.711</v>
      </c>
      <c r="P23" s="63">
        <v>80.0</v>
      </c>
      <c r="Q23" s="58">
        <v>81.26</v>
      </c>
      <c r="R23" s="65">
        <v>3629.55</v>
      </c>
      <c r="S23" s="66">
        <f t="array" ref="S23">IF((XLOOKUP(D23,RUC!$B$3:$B$106,RUC!$E$3:$E$106)+ROUNDDOWN(O23,1)*100)&lt;95,95,((XLOOKUP(D23,RUC!$B$3:$B$106,RUC!$E$3:$E$106)+ROUNDDOWN(O23,1)*100)))</f>
        <v>155</v>
      </c>
      <c r="U23" s="67">
        <f t="array" ref="U23">XLOOKUP(D23,RUC!$B$3:$B$110,RUC!$F$3:$F$110)</f>
        <v>120</v>
      </c>
      <c r="V23" s="67">
        <v>1.1023</v>
      </c>
      <c r="Y23" s="57">
        <f t="array" ref="Y23">XLOOKUP(D23,RUC!$B$3:$B$110,RUC!$G$3:$G$110)</f>
        <v>20</v>
      </c>
      <c r="Z23" s="140">
        <v>35.0</v>
      </c>
      <c r="AA23" s="70">
        <f t="shared" si="4"/>
        <v>55</v>
      </c>
      <c r="AB23" s="71">
        <f t="shared" si="22"/>
        <v>1968.963578</v>
      </c>
      <c r="AC23" s="71">
        <f>+(S23-T23)*V23-'data 1'!$F$4</f>
        <v>90.8565</v>
      </c>
      <c r="AD23" s="71">
        <f t="shared" si="5"/>
        <v>34.85200988</v>
      </c>
      <c r="AE23" s="71">
        <f t="shared" si="6"/>
        <v>-9.3735</v>
      </c>
      <c r="AF23" s="71">
        <f t="shared" si="7"/>
        <v>12.57442257</v>
      </c>
      <c r="AG23" s="72">
        <f t="shared" si="24"/>
        <v>145.9094324</v>
      </c>
      <c r="AH23" s="193">
        <f t="shared" si="8"/>
        <v>159.68</v>
      </c>
      <c r="AI23" s="193">
        <f t="shared" si="9"/>
        <v>196.505</v>
      </c>
      <c r="AJ23" s="73">
        <f t="shared" si="10"/>
        <v>314.1068489</v>
      </c>
      <c r="AK23" s="73">
        <f t="shared" si="11"/>
        <v>156.3242542</v>
      </c>
      <c r="AL23" s="11"/>
      <c r="AM23" s="51">
        <f t="shared" si="12"/>
        <v>15783.21204</v>
      </c>
      <c r="AN23" s="51" t="str">
        <f t="array" ref="AN23">XLOOKUP(D23,RUC!$B$3:$B$565,RUC!$M$3:$M$565)</f>
        <v>Ronald Miranda</v>
      </c>
      <c r="AO23" s="131" t="s">
        <v>549</v>
      </c>
      <c r="AP23" s="57" t="s">
        <v>1371</v>
      </c>
      <c r="AQ23" s="57" t="s">
        <v>1372</v>
      </c>
      <c r="AV23" s="3"/>
      <c r="AW23" s="3" t="s">
        <v>14</v>
      </c>
      <c r="AX23" s="3" t="s">
        <v>683</v>
      </c>
      <c r="AY23" s="3" t="s">
        <v>686</v>
      </c>
      <c r="AZ23" s="204" t="s">
        <v>700</v>
      </c>
      <c r="BA23" s="3" t="s">
        <v>687</v>
      </c>
    </row>
    <row r="24" ht="15.0" customHeight="1">
      <c r="A24" s="116" t="s">
        <v>1373</v>
      </c>
      <c r="B24" s="56">
        <v>45923.0</v>
      </c>
      <c r="C24" s="182">
        <v>45911.0</v>
      </c>
      <c r="D24" s="57" t="s">
        <v>602</v>
      </c>
      <c r="E24" s="3">
        <f t="array" ref="E24">XLOOKUP(D24,RUC!$B$3:$B$110,RUC!$D$3:$D$110)</f>
        <v>20169040231</v>
      </c>
      <c r="G24" s="141">
        <v>78.0</v>
      </c>
      <c r="H24" s="3" t="s">
        <v>47</v>
      </c>
      <c r="I24" s="6">
        <v>8.11</v>
      </c>
      <c r="J24" s="58">
        <v>2.5</v>
      </c>
      <c r="K24" s="6">
        <f t="shared" si="2"/>
        <v>7.907</v>
      </c>
      <c r="L24" s="3">
        <v>0.666</v>
      </c>
      <c r="M24" s="3">
        <v>0.619</v>
      </c>
      <c r="N24" s="427">
        <v>0.619</v>
      </c>
      <c r="O24" s="60">
        <f t="shared" si="3"/>
        <v>0.619</v>
      </c>
      <c r="P24" s="63">
        <v>85.0</v>
      </c>
      <c r="Q24" s="58">
        <v>85.74</v>
      </c>
      <c r="R24" s="65">
        <v>3629.55</v>
      </c>
      <c r="S24" s="66">
        <f t="array" ref="S24">IF((XLOOKUP(D24,RUC!$B$3:$B$106,RUC!$E$3:$E$106)+ROUNDDOWN(O24,1)*100)&lt;95,95,((XLOOKUP(D24,RUC!$B$3:$B$106,RUC!$E$3:$E$106)+ROUNDDOWN(O24,1)*100)))</f>
        <v>145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140">
        <v>35.0</v>
      </c>
      <c r="AA24" s="70">
        <f t="shared" si="4"/>
        <v>55</v>
      </c>
      <c r="AB24" s="71">
        <f t="shared" si="22"/>
        <v>1814.99177</v>
      </c>
      <c r="AC24" s="71">
        <f>+(S24-T24)*V24-'data 1'!$F$4</f>
        <v>79.8335</v>
      </c>
      <c r="AD24" s="71">
        <f t="shared" si="5"/>
        <v>19.06589471</v>
      </c>
      <c r="AE24" s="71">
        <f t="shared" si="6"/>
        <v>-9.3735</v>
      </c>
      <c r="AF24" s="71">
        <f t="shared" si="7"/>
        <v>155.8951408</v>
      </c>
      <c r="AG24" s="72">
        <f t="shared" si="24"/>
        <v>262.4210355</v>
      </c>
      <c r="AH24" s="193">
        <f t="shared" si="8"/>
        <v>154.803</v>
      </c>
      <c r="AI24" s="193">
        <f t="shared" si="9"/>
        <v>180.549</v>
      </c>
      <c r="AJ24" s="73">
        <f t="shared" si="10"/>
        <v>308.7111067</v>
      </c>
      <c r="AK24" s="73">
        <f t="shared" si="11"/>
        <v>142.6364045</v>
      </c>
      <c r="AL24" s="11"/>
      <c r="AM24" s="51">
        <f t="shared" si="12"/>
        <v>14351.13993</v>
      </c>
      <c r="AN24" s="51" t="str">
        <f t="array" ref="AN24">XLOOKUP(D24,RUC!$B$3:$B$565,RUC!$M$3:$M$565)</f>
        <v>Ronald Miranda</v>
      </c>
      <c r="AO24" s="131" t="s">
        <v>549</v>
      </c>
      <c r="AP24" s="57" t="s">
        <v>1371</v>
      </c>
      <c r="AQ24" s="57" t="s">
        <v>1372</v>
      </c>
      <c r="AV24" s="152" t="s">
        <v>558</v>
      </c>
      <c r="AW24" s="154">
        <f t="shared" ref="AW24:AW33" si="25">SUMIF($AO$4:$AO$1746,AV24,$K$4:$K$1746)</f>
        <v>102.481</v>
      </c>
      <c r="AX24" s="154">
        <v>0.522</v>
      </c>
      <c r="AY24" s="157">
        <f t="shared" ref="AY24:AY33" si="26">AW24*AX24*31.1035*1.1023</f>
        <v>1834.099645</v>
      </c>
      <c r="AZ24" s="58">
        <v>83.63</v>
      </c>
      <c r="BA24" s="159">
        <f t="shared" ref="BA24:BA33" si="27">AY24*AZ24/100</f>
        <v>1533.857533</v>
      </c>
      <c r="BB24" s="431" t="s">
        <v>1374</v>
      </c>
      <c r="BC24" s="432">
        <f>+BB7</f>
        <v>4707.252</v>
      </c>
    </row>
    <row r="25" ht="15.0" customHeight="1">
      <c r="A25" s="116" t="s">
        <v>1375</v>
      </c>
      <c r="B25" s="56">
        <v>45927.0</v>
      </c>
      <c r="C25" s="182">
        <v>45913.0</v>
      </c>
      <c r="D25" s="57" t="s">
        <v>306</v>
      </c>
      <c r="E25" s="3">
        <f t="array" ref="E25">XLOOKUP(D25,RUC!$B$3:$B$110,RUC!$D$3:$D$110)</f>
        <v>20612921866</v>
      </c>
      <c r="G25" s="141">
        <v>8.0</v>
      </c>
      <c r="H25" s="3" t="s">
        <v>47</v>
      </c>
      <c r="I25" s="6">
        <v>1.02</v>
      </c>
      <c r="J25" s="58">
        <v>1.8</v>
      </c>
      <c r="K25" s="6">
        <f t="shared" si="2"/>
        <v>1.002</v>
      </c>
      <c r="L25" s="3">
        <v>0.287</v>
      </c>
      <c r="M25" s="3">
        <v>0.272</v>
      </c>
      <c r="N25" s="427">
        <v>0.272</v>
      </c>
      <c r="O25" s="60">
        <f t="shared" si="3"/>
        <v>0.272</v>
      </c>
      <c r="P25" s="63">
        <v>90.0</v>
      </c>
      <c r="Q25" s="58">
        <v>90.24</v>
      </c>
      <c r="R25" s="65">
        <v>3651.1</v>
      </c>
      <c r="S25" s="66">
        <f t="array" ref="S25">IF((XLOOKUP(D25,RUC!$B$3:$B$106,RUC!$E$3:$E$106)+ROUNDDOWN(O25,1)*100)&lt;95,95,((XLOOKUP(D25,RUC!$B$3:$B$106,RUC!$E$3:$E$106)+ROUNDDOWN(O25,1)*100)))</f>
        <v>100</v>
      </c>
      <c r="U25" s="67">
        <f t="array" ref="U25">XLOOKUP(D25,RUC!$B$3:$B$110,RUC!$F$3:$F$110)</f>
        <v>100</v>
      </c>
      <c r="V25" s="67">
        <v>1.1023</v>
      </c>
      <c r="Y25" s="57" t="str">
        <f t="array" ref="Y25">XLOOKUP(D25,RUC!$B$3:$B$110,RUC!$G$3:$G$110)</f>
        <v/>
      </c>
      <c r="Z25" s="69">
        <f t="array" ref="Z25">XLOOKUP(D25,RUC!$B$3:$B$110,RUC!$H$3:$H$110)</f>
        <v>30</v>
      </c>
      <c r="AA25" s="70">
        <f t="shared" si="4"/>
        <v>30</v>
      </c>
      <c r="AB25" s="71">
        <f t="shared" si="22"/>
        <v>814.9406193</v>
      </c>
      <c r="AC25" s="71">
        <f>+(S25-T25)*V25-'data 1'!$F$4</f>
        <v>30.23</v>
      </c>
      <c r="AD25" s="71">
        <f t="shared" si="5"/>
        <v>2.696223243</v>
      </c>
      <c r="AE25" s="71">
        <f t="shared" si="6"/>
        <v>-36.931</v>
      </c>
      <c r="AF25" s="71">
        <f t="shared" si="7"/>
        <v>52.98501425</v>
      </c>
      <c r="AG25" s="72">
        <f t="shared" ref="AG25:AG26" si="28">AC25+AD25+AE25+AF25+70-10</f>
        <v>108.9802375</v>
      </c>
      <c r="AH25" s="193">
        <f t="shared" si="8"/>
        <v>8.897</v>
      </c>
      <c r="AI25" s="193">
        <f t="shared" si="9"/>
        <v>9.86</v>
      </c>
      <c r="AJ25" s="73">
        <f t="shared" si="10"/>
        <v>128.1534777</v>
      </c>
      <c r="AK25" s="73">
        <f t="shared" si="11"/>
        <v>8.409849121</v>
      </c>
      <c r="AL25" s="11"/>
      <c r="AM25" s="51">
        <f t="shared" si="12"/>
        <v>816.5705006</v>
      </c>
      <c r="AN25" s="51" t="str">
        <f t="array" ref="AN25">XLOOKUP(D25,RUC!$B$3:$B$565,RUC!$M$3:$M$565)</f>
        <v>Ronald Garibay</v>
      </c>
      <c r="AO25" s="131" t="s">
        <v>558</v>
      </c>
      <c r="AP25" s="57" t="s">
        <v>1376</v>
      </c>
      <c r="AQ25" s="57" t="s">
        <v>1377</v>
      </c>
      <c r="AV25" s="160" t="s">
        <v>551</v>
      </c>
      <c r="AW25" s="6">
        <f t="shared" si="25"/>
        <v>103.523</v>
      </c>
      <c r="AX25" s="6">
        <v>0.082</v>
      </c>
      <c r="AY25" s="58">
        <f t="shared" si="26"/>
        <v>291.0447506</v>
      </c>
      <c r="AZ25" s="58">
        <v>95.11</v>
      </c>
      <c r="BA25" s="162">
        <f t="shared" si="27"/>
        <v>276.8126623</v>
      </c>
      <c r="BB25" s="431" t="s">
        <v>1378</v>
      </c>
      <c r="BC25" s="432">
        <f>+'27'!BC25+'27'!BC26</f>
        <v>540.899</v>
      </c>
    </row>
    <row r="26" ht="15.0" customHeight="1">
      <c r="A26" s="116" t="s">
        <v>1379</v>
      </c>
      <c r="B26" s="56">
        <v>45927.0</v>
      </c>
      <c r="C26" s="182">
        <v>45913.0</v>
      </c>
      <c r="D26" s="57" t="s">
        <v>306</v>
      </c>
      <c r="E26" s="3">
        <f t="array" ref="E26">XLOOKUP(D26,RUC!$B$3:$B$110,RUC!$D$3:$D$110)</f>
        <v>20612921866</v>
      </c>
      <c r="G26" s="141">
        <v>55.0</v>
      </c>
      <c r="H26" s="3" t="s">
        <v>47</v>
      </c>
      <c r="I26" s="6">
        <v>5.5</v>
      </c>
      <c r="J26" s="58">
        <v>5.3</v>
      </c>
      <c r="K26" s="6">
        <f t="shared" si="2"/>
        <v>5.209</v>
      </c>
      <c r="L26" s="3">
        <v>0.178</v>
      </c>
      <c r="M26" s="3">
        <v>0.163</v>
      </c>
      <c r="N26" s="131">
        <v>0.209</v>
      </c>
      <c r="O26" s="60">
        <f t="shared" si="3"/>
        <v>0.186</v>
      </c>
      <c r="P26" s="63">
        <v>88.0</v>
      </c>
      <c r="Q26" s="58">
        <v>89.33</v>
      </c>
      <c r="R26" s="65">
        <v>3651.1</v>
      </c>
      <c r="S26" s="66">
        <f t="array" ref="S26">IF((XLOOKUP(D26,RUC!$B$3:$B$106,RUC!$E$3:$E$106)+ROUNDDOWN(O26,1)*100)&lt;95,95,((XLOOKUP(D26,RUC!$B$3:$B$106,RUC!$E$3:$E$106)+ROUNDDOWN(O26,1)*100)))</f>
        <v>95</v>
      </c>
      <c r="U26" s="67">
        <f t="array" ref="U26">XLOOKUP(D26,RUC!$B$3:$B$110,RUC!$F$3:$F$110)</f>
        <v>100</v>
      </c>
      <c r="V26" s="67">
        <v>1.1023</v>
      </c>
      <c r="Y26" s="57" t="str">
        <f t="array" ref="Y26">XLOOKUP(D26,RUC!$B$3:$B$110,RUC!$G$3:$G$110)</f>
        <v/>
      </c>
      <c r="Z26" s="69">
        <f t="array" ref="Z26">XLOOKUP(D26,RUC!$B$3:$B$110,RUC!$H$3:$H$110)</f>
        <v>30</v>
      </c>
      <c r="AA26" s="70">
        <f t="shared" si="4"/>
        <v>30</v>
      </c>
      <c r="AB26" s="71">
        <f t="shared" si="22"/>
        <v>502.9178141</v>
      </c>
      <c r="AC26" s="71">
        <f>+(S26-T26)*V26-'data 1'!$F$4</f>
        <v>24.7185</v>
      </c>
      <c r="AD26" s="71">
        <f t="shared" si="5"/>
        <v>9.266897365</v>
      </c>
      <c r="AE26" s="71">
        <f t="shared" si="6"/>
        <v>-36.931</v>
      </c>
      <c r="AF26" s="71">
        <f t="shared" si="7"/>
        <v>-27.97370758</v>
      </c>
      <c r="AG26" s="72">
        <f t="shared" si="28"/>
        <v>29.08068978</v>
      </c>
      <c r="AH26" s="193">
        <f t="shared" si="8"/>
        <v>28.398</v>
      </c>
      <c r="AI26" s="193">
        <f t="shared" si="9"/>
        <v>31.789</v>
      </c>
      <c r="AJ26" s="73">
        <f t="shared" si="10"/>
        <v>78.68043442</v>
      </c>
      <c r="AK26" s="73">
        <f t="shared" si="11"/>
        <v>29.23203453</v>
      </c>
      <c r="AL26" s="11"/>
      <c r="AM26" s="51">
        <f t="shared" si="12"/>
        <v>2619.698894</v>
      </c>
      <c r="AN26" s="51" t="str">
        <f t="array" ref="AN26">XLOOKUP(D26,RUC!$B$3:$B$565,RUC!$M$3:$M$565)</f>
        <v>Ronald Garibay</v>
      </c>
      <c r="AO26" s="131" t="s">
        <v>558</v>
      </c>
      <c r="AP26" s="57" t="s">
        <v>1376</v>
      </c>
      <c r="AQ26" s="57" t="s">
        <v>1377</v>
      </c>
      <c r="AV26" s="160" t="s">
        <v>547</v>
      </c>
      <c r="AW26" s="6">
        <f t="shared" si="25"/>
        <v>107.253</v>
      </c>
      <c r="AX26" s="6">
        <v>0.135</v>
      </c>
      <c r="AY26" s="58">
        <f t="shared" si="26"/>
        <v>496.4234478</v>
      </c>
      <c r="AZ26" s="58">
        <v>74.41</v>
      </c>
      <c r="BA26" s="162">
        <f t="shared" si="27"/>
        <v>369.3886875</v>
      </c>
      <c r="BB26" s="431" t="s">
        <v>1380</v>
      </c>
      <c r="BC26" s="432">
        <v>4678.15</v>
      </c>
    </row>
    <row r="27" ht="15.0" customHeight="1">
      <c r="A27" s="116" t="s">
        <v>1381</v>
      </c>
      <c r="B27" s="56">
        <v>45923.0</v>
      </c>
      <c r="C27" s="182">
        <v>45918.0</v>
      </c>
      <c r="D27" s="57" t="s">
        <v>74</v>
      </c>
      <c r="E27" s="3">
        <f t="array" ref="E27">XLOOKUP(D27,RUC!$B$3:$B$110,RUC!$D$3:$D$110)</f>
        <v>10082235774</v>
      </c>
      <c r="G27" s="141">
        <v>60.0</v>
      </c>
      <c r="H27" s="3" t="s">
        <v>47</v>
      </c>
      <c r="I27" s="6">
        <v>5.97</v>
      </c>
      <c r="J27" s="58">
        <v>1.4</v>
      </c>
      <c r="K27" s="6">
        <f t="shared" si="2"/>
        <v>5.886</v>
      </c>
      <c r="L27" s="3">
        <v>0.147</v>
      </c>
      <c r="M27" s="60">
        <v>0.13999999999999999</v>
      </c>
      <c r="N27" s="62">
        <v>0.13999999999999999</v>
      </c>
      <c r="O27" s="60">
        <f t="shared" si="3"/>
        <v>0.14</v>
      </c>
      <c r="P27" s="63">
        <v>85.0</v>
      </c>
      <c r="Q27" s="58">
        <v>99.32</v>
      </c>
      <c r="R27" s="65">
        <v>3643.7</v>
      </c>
      <c r="S27" s="133">
        <v>95.0</v>
      </c>
      <c r="U27" s="67">
        <f t="array" ref="U27">XLOOKUP(D27,RUC!$B$3:$B$110,RUC!$F$3:$F$110)</f>
        <v>80</v>
      </c>
      <c r="V27" s="67">
        <v>1.1023</v>
      </c>
      <c r="Y27" s="57" t="str">
        <f t="array" ref="Y27">XLOOKUP(D27,RUC!$B$3:$B$110,RUC!$G$3:$G$110)</f>
        <v/>
      </c>
      <c r="Z27" s="69">
        <f t="array" ref="Z27">XLOOKUP(D27,RUC!$B$3:$B$110,RUC!$H$3:$H$110)</f>
        <v>10</v>
      </c>
      <c r="AA27" s="70">
        <f t="shared" si="4"/>
        <v>10</v>
      </c>
      <c r="AB27" s="71">
        <f t="shared" si="22"/>
        <v>351.7222147</v>
      </c>
      <c r="AC27" s="71">
        <f>+(S27-T27)*V27-'data 1'!$F$4</f>
        <v>24.7185</v>
      </c>
      <c r="AD27" s="71">
        <f t="shared" si="5"/>
        <v>82.69158134</v>
      </c>
      <c r="AE27" s="71">
        <f t="shared" si="6"/>
        <v>-58.977</v>
      </c>
      <c r="AF27" s="71">
        <f t="shared" si="7"/>
        <v>27.31088008</v>
      </c>
      <c r="AG27" s="72">
        <f t="shared" ref="AG27:AG29" si="29">AC27+AD27+AE27+AF27+70</f>
        <v>145.7439614</v>
      </c>
      <c r="AH27" s="193">
        <f t="shared" si="8"/>
        <v>29.463</v>
      </c>
      <c r="AI27" s="193">
        <f t="shared" si="9"/>
        <v>29.665</v>
      </c>
      <c r="AJ27" s="73">
        <f t="shared" si="10"/>
        <v>70.21648191</v>
      </c>
      <c r="AK27" s="73">
        <f t="shared" si="11"/>
        <v>24.01465149</v>
      </c>
      <c r="AM27" s="51">
        <f t="shared" si="12"/>
        <v>2070.236956</v>
      </c>
      <c r="AN27" s="51" t="str">
        <f t="array" ref="AN27">XLOOKUP(D27,RUC!$B$3:$B$565,RUC!$M$3:$M$565)</f>
        <v>Melchor Vera</v>
      </c>
      <c r="AO27" s="131" t="s">
        <v>551</v>
      </c>
      <c r="AP27" s="57" t="s">
        <v>1333</v>
      </c>
      <c r="AQ27" s="57" t="s">
        <v>1334</v>
      </c>
      <c r="AV27" s="160" t="s">
        <v>549</v>
      </c>
      <c r="AW27" s="6">
        <f t="shared" si="25"/>
        <v>109.761</v>
      </c>
      <c r="AX27" s="6">
        <v>0.218</v>
      </c>
      <c r="AY27" s="58">
        <f t="shared" si="26"/>
        <v>820.3772682</v>
      </c>
      <c r="AZ27" s="58">
        <v>82.4</v>
      </c>
      <c r="BA27" s="162">
        <f t="shared" si="27"/>
        <v>675.990869</v>
      </c>
      <c r="BB27" s="431" t="s">
        <v>1382</v>
      </c>
      <c r="BC27" s="432">
        <v>596.19</v>
      </c>
    </row>
    <row r="28" ht="15.0" customHeight="1">
      <c r="A28" s="116" t="s">
        <v>1383</v>
      </c>
      <c r="B28" s="56">
        <v>45923.0</v>
      </c>
      <c r="C28" s="182">
        <v>45918.0</v>
      </c>
      <c r="D28" s="57" t="s">
        <v>74</v>
      </c>
      <c r="E28" s="3">
        <f t="array" ref="E28">XLOOKUP(D28,RUC!$B$3:$B$110,RUC!$D$3:$D$110)</f>
        <v>10082235774</v>
      </c>
      <c r="G28" s="141">
        <v>57.0</v>
      </c>
      <c r="H28" s="3" t="s">
        <v>47</v>
      </c>
      <c r="I28" s="6">
        <v>5.62</v>
      </c>
      <c r="J28" s="58">
        <v>1.2</v>
      </c>
      <c r="K28" s="6">
        <f t="shared" si="2"/>
        <v>5.553</v>
      </c>
      <c r="L28" s="3">
        <v>0.164</v>
      </c>
      <c r="M28" s="3">
        <v>0.157</v>
      </c>
      <c r="N28" s="427">
        <v>0.157</v>
      </c>
      <c r="O28" s="60">
        <f t="shared" si="3"/>
        <v>0.157</v>
      </c>
      <c r="P28" s="63">
        <v>85.0</v>
      </c>
      <c r="Q28" s="58">
        <v>96.34</v>
      </c>
      <c r="R28" s="65">
        <v>3643.7</v>
      </c>
      <c r="S28" s="133">
        <v>95.0</v>
      </c>
      <c r="U28" s="67">
        <f t="array" ref="U28">XLOOKUP(D28,RUC!$B$3:$B$110,RUC!$F$3:$F$110)</f>
        <v>80</v>
      </c>
      <c r="V28" s="67">
        <v>1.1023</v>
      </c>
      <c r="Y28" s="57" t="str">
        <f t="array" ref="Y28">XLOOKUP(D28,RUC!$B$3:$B$110,RUC!$G$3:$G$110)</f>
        <v/>
      </c>
      <c r="Z28" s="69">
        <f t="array" ref="Z28">XLOOKUP(D28,RUC!$B$3:$B$110,RUC!$H$3:$H$110)</f>
        <v>10</v>
      </c>
      <c r="AA28" s="70">
        <f t="shared" si="4"/>
        <v>10</v>
      </c>
      <c r="AB28" s="71">
        <f t="shared" si="22"/>
        <v>408.4856658</v>
      </c>
      <c r="AC28" s="71">
        <f>+(S28-T28)*V28-'data 1'!$F$4</f>
        <v>24.7185</v>
      </c>
      <c r="AD28" s="71">
        <f t="shared" si="5"/>
        <v>73.05632925</v>
      </c>
      <c r="AE28" s="71">
        <f t="shared" si="6"/>
        <v>-58.977</v>
      </c>
      <c r="AF28" s="71">
        <f t="shared" si="7"/>
        <v>26.49144369</v>
      </c>
      <c r="AG28" s="72">
        <f t="shared" si="29"/>
        <v>135.2892729</v>
      </c>
      <c r="AH28" s="193">
        <f t="shared" si="8"/>
        <v>30.081</v>
      </c>
      <c r="AI28" s="193">
        <f t="shared" si="9"/>
        <v>31.223</v>
      </c>
      <c r="AJ28" s="73">
        <f t="shared" si="10"/>
        <v>75.98633718</v>
      </c>
      <c r="AK28" s="73">
        <f t="shared" si="11"/>
        <v>25.4071131</v>
      </c>
      <c r="AM28" s="51">
        <f t="shared" si="12"/>
        <v>2268.320902</v>
      </c>
      <c r="AN28" s="51" t="str">
        <f t="array" ref="AN28">XLOOKUP(D28,RUC!$B$3:$B$565,RUC!$M$3:$M$565)</f>
        <v>Melchor Vera</v>
      </c>
      <c r="AO28" s="131" t="s">
        <v>558</v>
      </c>
      <c r="AP28" s="57" t="s">
        <v>1333</v>
      </c>
      <c r="AQ28" s="57" t="s">
        <v>1334</v>
      </c>
      <c r="AV28" s="160" t="s">
        <v>561</v>
      </c>
      <c r="AW28" s="6">
        <f t="shared" si="25"/>
        <v>100.189</v>
      </c>
      <c r="AX28" s="6">
        <v>0.139</v>
      </c>
      <c r="AY28" s="58">
        <f t="shared" si="26"/>
        <v>477.4676053</v>
      </c>
      <c r="AZ28" s="58">
        <v>91.44</v>
      </c>
      <c r="BA28" s="162">
        <f t="shared" si="27"/>
        <v>436.5963783</v>
      </c>
      <c r="BB28" s="431" t="s">
        <v>1384</v>
      </c>
      <c r="BC28" s="432">
        <v>70.68</v>
      </c>
    </row>
    <row r="29" ht="15.0" customHeight="1">
      <c r="A29" s="116" t="s">
        <v>1385</v>
      </c>
      <c r="B29" s="56">
        <v>45923.0</v>
      </c>
      <c r="C29" s="182">
        <v>45918.0</v>
      </c>
      <c r="D29" s="57" t="s">
        <v>74</v>
      </c>
      <c r="E29" s="3">
        <f t="array" ref="E29">XLOOKUP(D29,RUC!$B$3:$B$110,RUC!$D$3:$D$110)</f>
        <v>10082235774</v>
      </c>
      <c r="G29" s="3">
        <v>56.0</v>
      </c>
      <c r="H29" s="3" t="s">
        <v>47</v>
      </c>
      <c r="I29" s="6">
        <v>5.56</v>
      </c>
      <c r="J29" s="58">
        <v>1.4</v>
      </c>
      <c r="K29" s="6">
        <f t="shared" si="2"/>
        <v>5.482</v>
      </c>
      <c r="L29" s="139">
        <v>0.119</v>
      </c>
      <c r="M29" s="60">
        <v>0.11199999999999999</v>
      </c>
      <c r="N29" s="62">
        <v>0.11199999999999999</v>
      </c>
      <c r="O29" s="60">
        <f t="shared" si="3"/>
        <v>0.112</v>
      </c>
      <c r="P29" s="63">
        <v>85.0</v>
      </c>
      <c r="Q29" s="58">
        <v>97.48</v>
      </c>
      <c r="R29" s="65">
        <v>3643.7</v>
      </c>
      <c r="S29" s="133">
        <v>95.0</v>
      </c>
      <c r="U29" s="67">
        <f t="array" ref="U29">XLOOKUP(D29,RUC!$B$3:$B$110,RUC!$F$3:$F$110)</f>
        <v>80</v>
      </c>
      <c r="V29" s="67">
        <v>1.1023</v>
      </c>
      <c r="Y29" s="57" t="str">
        <f t="array" ref="Y29">XLOOKUP(D29,RUC!$B$3:$B$110,RUC!$G$3:$G$110)</f>
        <v/>
      </c>
      <c r="Z29" s="69">
        <f t="array" ref="Z29">XLOOKUP(D29,RUC!$B$3:$B$110,RUC!$H$3:$H$110)</f>
        <v>10</v>
      </c>
      <c r="AA29" s="70">
        <f t="shared" si="4"/>
        <v>10</v>
      </c>
      <c r="AB29" s="71">
        <f t="shared" si="22"/>
        <v>258.2294718</v>
      </c>
      <c r="AC29" s="71">
        <f>+(S29-T29)*V29-'data 1'!$F$4</f>
        <v>24.7185</v>
      </c>
      <c r="AD29" s="71">
        <f t="shared" si="5"/>
        <v>58.33947159</v>
      </c>
      <c r="AE29" s="71">
        <f t="shared" si="6"/>
        <v>-58.977</v>
      </c>
      <c r="AF29" s="71">
        <f t="shared" si="7"/>
        <v>26.80491936</v>
      </c>
      <c r="AG29" s="72">
        <f t="shared" si="29"/>
        <v>120.885891</v>
      </c>
      <c r="AH29" s="193">
        <f t="shared" si="8"/>
        <v>21.803</v>
      </c>
      <c r="AI29" s="193">
        <f t="shared" si="9"/>
        <v>22.366</v>
      </c>
      <c r="AJ29" s="73">
        <f t="shared" si="10"/>
        <v>55.78886196</v>
      </c>
      <c r="AK29" s="73">
        <f t="shared" si="11"/>
        <v>17.89307774</v>
      </c>
      <c r="AL29" s="11"/>
      <c r="AM29" s="51">
        <f t="shared" si="12"/>
        <v>1415.613964</v>
      </c>
      <c r="AN29" s="51" t="str">
        <f t="array" ref="AN29">XLOOKUP(D29,RUC!$B$3:$B$565,RUC!$M$3:$M$565)</f>
        <v>Melchor Vera</v>
      </c>
      <c r="AO29" s="131" t="s">
        <v>551</v>
      </c>
      <c r="AP29" s="2" t="s">
        <v>1333</v>
      </c>
      <c r="AQ29" s="2" t="s">
        <v>1334</v>
      </c>
      <c r="AS29" s="65"/>
      <c r="AV29" s="160" t="s">
        <v>689</v>
      </c>
      <c r="AW29" s="6">
        <f t="shared" si="25"/>
        <v>0</v>
      </c>
      <c r="AX29" s="2"/>
      <c r="AY29" s="58">
        <f t="shared" si="26"/>
        <v>0</v>
      </c>
      <c r="AZ29" s="2"/>
      <c r="BA29" s="162">
        <f t="shared" si="27"/>
        <v>0</v>
      </c>
      <c r="BB29" s="68" t="s">
        <v>1206</v>
      </c>
      <c r="BC29" s="433">
        <f>-BC24-BC25+BC26+BC27+BC28</f>
        <v>96.869</v>
      </c>
    </row>
    <row r="30" ht="15.0" customHeight="1">
      <c r="A30" s="116" t="s">
        <v>1386</v>
      </c>
      <c r="B30" s="56">
        <v>45927.0</v>
      </c>
      <c r="C30" s="182">
        <v>45918.0</v>
      </c>
      <c r="D30" s="57" t="s">
        <v>602</v>
      </c>
      <c r="E30" s="3">
        <f t="array" ref="E30">XLOOKUP(D30,RUC!$B$3:$B$110,RUC!$D$3:$D$110)</f>
        <v>20169040231</v>
      </c>
      <c r="G30" s="141">
        <v>71.0</v>
      </c>
      <c r="H30" s="3" t="s">
        <v>47</v>
      </c>
      <c r="I30" s="6">
        <v>7.1</v>
      </c>
      <c r="J30" s="58">
        <v>1.2</v>
      </c>
      <c r="K30" s="6">
        <f t="shared" si="2"/>
        <v>7.015</v>
      </c>
      <c r="L30" s="3">
        <v>0.151</v>
      </c>
      <c r="M30" s="3">
        <v>0.136</v>
      </c>
      <c r="N30" s="427">
        <v>0.136</v>
      </c>
      <c r="O30" s="60">
        <f t="shared" si="3"/>
        <v>0.136</v>
      </c>
      <c r="P30" s="63">
        <v>85.0</v>
      </c>
      <c r="Q30" s="58">
        <v>92.05</v>
      </c>
      <c r="R30" s="65">
        <v>3643.7</v>
      </c>
      <c r="S30" s="66">
        <f t="array" ref="S30">IF((XLOOKUP(D30,RUC!$B$3:$B$106,RUC!$E$3:$E$106)+ROUNDDOWN(O30,1)*100)&lt;95,95,((XLOOKUP(D30,RUC!$B$3:$B$106,RUC!$E$3:$E$106)+ROUNDDOWN(O30,1)*100)))</f>
        <v>95</v>
      </c>
      <c r="U30" s="67">
        <f t="array" ref="U30">XLOOKUP(D30,RUC!$B$3:$B$110,RUC!$F$3:$F$110)</f>
        <v>120</v>
      </c>
      <c r="V30" s="67">
        <v>1.1023</v>
      </c>
      <c r="Y30" s="57">
        <f t="array" ref="Y30">XLOOKUP(D30,RUC!$B$3:$B$110,RUC!$G$3:$G$110)</f>
        <v>20</v>
      </c>
      <c r="Z30" s="69">
        <f t="array" ref="Z30">XLOOKUP(D30,RUC!$B$3:$B$110,RUC!$H$3:$H$110)</f>
        <v>30</v>
      </c>
      <c r="AA30" s="70">
        <f t="shared" si="4"/>
        <v>50</v>
      </c>
      <c r="AB30" s="71">
        <f t="shared" si="22"/>
        <v>289.1770734</v>
      </c>
      <c r="AC30" s="71">
        <f>+(S30-T30)*V30-'data 1'!$F$4</f>
        <v>24.7185</v>
      </c>
      <c r="AD30" s="71">
        <f t="shared" si="5"/>
        <v>41.34897975</v>
      </c>
      <c r="AE30" s="71">
        <f t="shared" si="6"/>
        <v>-14.885</v>
      </c>
      <c r="AF30" s="71">
        <f t="shared" si="7"/>
        <v>53.63073955</v>
      </c>
      <c r="AG30" s="72">
        <f t="shared" ref="AG30:AG32" si="30">AC30+AD30+AE30+AF30+70-53</f>
        <v>121.8132193</v>
      </c>
      <c r="AH30" s="193">
        <f t="shared" si="8"/>
        <v>33.43</v>
      </c>
      <c r="AI30" s="193">
        <f t="shared" si="9"/>
        <v>36.317</v>
      </c>
      <c r="AJ30" s="73">
        <f t="shared" si="10"/>
        <v>72.9761805</v>
      </c>
      <c r="AK30" s="73">
        <f t="shared" si="11"/>
        <v>27.80318687</v>
      </c>
      <c r="AM30" s="51">
        <f t="shared" si="12"/>
        <v>2028.57717</v>
      </c>
      <c r="AN30" s="51" t="str">
        <f t="array" ref="AN30">XLOOKUP(D30,RUC!$B$3:$B$565,RUC!$M$3:$M$565)</f>
        <v>Ronald Miranda</v>
      </c>
      <c r="AO30" s="131" t="s">
        <v>547</v>
      </c>
      <c r="AP30" s="57" t="s">
        <v>1337</v>
      </c>
      <c r="AQ30" s="57" t="s">
        <v>1338</v>
      </c>
      <c r="AV30" s="160" t="s">
        <v>690</v>
      </c>
      <c r="AW30" s="6">
        <f t="shared" si="25"/>
        <v>0</v>
      </c>
      <c r="AX30" s="2"/>
      <c r="AY30" s="58">
        <f t="shared" si="26"/>
        <v>0</v>
      </c>
      <c r="AZ30" s="2"/>
      <c r="BA30" s="162">
        <f t="shared" si="27"/>
        <v>0</v>
      </c>
    </row>
    <row r="31" ht="15.0" customHeight="1">
      <c r="A31" s="116" t="s">
        <v>1387</v>
      </c>
      <c r="B31" s="56">
        <v>45927.0</v>
      </c>
      <c r="C31" s="182">
        <v>45918.0</v>
      </c>
      <c r="D31" s="57" t="s">
        <v>602</v>
      </c>
      <c r="E31" s="3">
        <f t="array" ref="E31">XLOOKUP(D31,RUC!$B$3:$B$110,RUC!$D$3:$D$110)</f>
        <v>20169040231</v>
      </c>
      <c r="G31" s="141">
        <v>70.0</v>
      </c>
      <c r="H31" s="3" t="s">
        <v>47</v>
      </c>
      <c r="I31" s="6">
        <v>7.29</v>
      </c>
      <c r="J31" s="58">
        <v>1.1</v>
      </c>
      <c r="K31" s="6">
        <f t="shared" si="2"/>
        <v>7.21</v>
      </c>
      <c r="L31" s="60">
        <v>0.19</v>
      </c>
      <c r="M31" s="3">
        <v>0.175</v>
      </c>
      <c r="N31" s="427">
        <v>0.175</v>
      </c>
      <c r="O31" s="60">
        <f t="shared" si="3"/>
        <v>0.175</v>
      </c>
      <c r="P31" s="63">
        <v>90.0</v>
      </c>
      <c r="Q31" s="58">
        <v>97.89</v>
      </c>
      <c r="R31" s="65">
        <v>3643.7</v>
      </c>
      <c r="S31" s="66">
        <f t="array" ref="S31">IF((XLOOKUP(D31,RUC!$B$3:$B$106,RUC!$E$3:$E$106)+ROUNDDOWN(O31,1)*100)&lt;95,95,((XLOOKUP(D31,RUC!$B$3:$B$106,RUC!$E$3:$E$106)+ROUNDDOWN(O31,1)*100)))</f>
        <v>95</v>
      </c>
      <c r="U31" s="67">
        <f t="array" ref="U31">XLOOKUP(D31,RUC!$B$3:$B$110,RUC!$F$3:$F$110)</f>
        <v>120</v>
      </c>
      <c r="V31" s="67">
        <v>1.1023</v>
      </c>
      <c r="Y31" s="57">
        <f t="array" ref="Y31">XLOOKUP(D31,RUC!$B$3:$B$110,RUC!$G$3:$G$110)</f>
        <v>20</v>
      </c>
      <c r="Z31" s="69">
        <f t="array" ref="Z31">XLOOKUP(D31,RUC!$B$3:$B$110,RUC!$H$3:$H$110)</f>
        <v>30</v>
      </c>
      <c r="AA31" s="70">
        <f t="shared" si="4"/>
        <v>50</v>
      </c>
      <c r="AB31" s="71">
        <f t="shared" si="22"/>
        <v>451.9239853</v>
      </c>
      <c r="AC31" s="71">
        <f>+(S31-T31)*V31-'data 1'!$F$4</f>
        <v>24.7185</v>
      </c>
      <c r="AD31" s="71">
        <f t="shared" si="5"/>
        <v>58.22766008</v>
      </c>
      <c r="AE31" s="71">
        <f t="shared" si="6"/>
        <v>-14.885</v>
      </c>
      <c r="AF31" s="71">
        <f t="shared" si="7"/>
        <v>57.03327642</v>
      </c>
      <c r="AG31" s="72">
        <f t="shared" si="30"/>
        <v>142.0944365</v>
      </c>
      <c r="AH31" s="193">
        <f t="shared" si="8"/>
        <v>45.977</v>
      </c>
      <c r="AI31" s="193">
        <f t="shared" si="9"/>
        <v>46.968</v>
      </c>
      <c r="AJ31" s="73">
        <f t="shared" si="10"/>
        <v>97.65001591</v>
      </c>
      <c r="AK31" s="73">
        <f t="shared" si="11"/>
        <v>38.93362953</v>
      </c>
      <c r="AM31" s="51">
        <f t="shared" si="12"/>
        <v>3258.371934</v>
      </c>
      <c r="AN31" s="51" t="str">
        <f t="array" ref="AN31">XLOOKUP(D31,RUC!$B$3:$B$565,RUC!$M$3:$M$565)</f>
        <v>Ronald Miranda</v>
      </c>
      <c r="AO31" s="131" t="s">
        <v>547</v>
      </c>
      <c r="AP31" s="57" t="s">
        <v>1337</v>
      </c>
      <c r="AQ31" s="57" t="s">
        <v>1338</v>
      </c>
      <c r="AV31" s="160" t="s">
        <v>691</v>
      </c>
      <c r="AW31" s="6">
        <f t="shared" si="25"/>
        <v>0</v>
      </c>
      <c r="AX31" s="2"/>
      <c r="AY31" s="58">
        <f t="shared" si="26"/>
        <v>0</v>
      </c>
      <c r="AZ31" s="2"/>
      <c r="BA31" s="162">
        <f t="shared" si="27"/>
        <v>0</v>
      </c>
    </row>
    <row r="32" ht="15.0" customHeight="1">
      <c r="A32" s="116" t="s">
        <v>1388</v>
      </c>
      <c r="B32" s="56">
        <v>45929.0</v>
      </c>
      <c r="C32" s="182">
        <v>45918.0</v>
      </c>
      <c r="D32" s="57" t="s">
        <v>665</v>
      </c>
      <c r="E32" s="3">
        <f t="array" ref="E32">XLOOKUP(D32,RUC!$B$3:$B$110,RUC!$D$3:$D$110)</f>
        <v>20608774000</v>
      </c>
      <c r="G32" s="141">
        <v>30.0</v>
      </c>
      <c r="H32" s="3" t="s">
        <v>40</v>
      </c>
      <c r="I32" s="6">
        <v>2.58</v>
      </c>
      <c r="J32" s="58">
        <v>18.35</v>
      </c>
      <c r="K32" s="6">
        <f t="shared" si="2"/>
        <v>2.107</v>
      </c>
      <c r="L32" s="3">
        <v>1.707</v>
      </c>
      <c r="M32" s="3">
        <v>1.628</v>
      </c>
      <c r="N32" s="62">
        <v>1.628</v>
      </c>
      <c r="O32" s="60">
        <f t="shared" si="3"/>
        <v>1.628</v>
      </c>
      <c r="P32" s="63">
        <v>87.0</v>
      </c>
      <c r="Q32" s="58">
        <v>87.69</v>
      </c>
      <c r="R32" s="65">
        <v>3643.7</v>
      </c>
      <c r="S32" s="66">
        <f t="array" ref="S32">IF((XLOOKUP(D32,RUC!$B$3:$B$106,RUC!$E$3:$E$106)+ROUNDDOWN(O32,1)*100)&lt;95,95,((XLOOKUP(D32,RUC!$B$3:$B$106,RUC!$E$3:$E$106)+ROUNDDOWN(O32,1)*100)))</f>
        <v>245</v>
      </c>
      <c r="U32" s="67">
        <f t="array" ref="U32">XLOOKUP(D32,RUC!$B$3:$B$110,RUC!$F$3:$F$110)</f>
        <v>120</v>
      </c>
      <c r="V32" s="67">
        <v>1.1023</v>
      </c>
      <c r="Y32" s="57">
        <f t="array" ref="Y32">XLOOKUP(D32,RUC!$B$3:$B$110,RUC!$G$3:$G$110)</f>
        <v>20</v>
      </c>
      <c r="Z32" s="69">
        <f t="array" ref="Z32">XLOOKUP(D32,RUC!$B$3:$B$110,RUC!$H$3:$H$110)</f>
        <v>30</v>
      </c>
      <c r="AA32" s="70">
        <f t="shared" si="4"/>
        <v>50</v>
      </c>
      <c r="AB32" s="71">
        <f t="shared" si="22"/>
        <v>5176.210909</v>
      </c>
      <c r="AC32" s="71">
        <f>+(S32-T32)*V32-'data 1'!$F$4</f>
        <v>190.0635</v>
      </c>
      <c r="AD32" s="71">
        <f t="shared" si="5"/>
        <v>45.74897263</v>
      </c>
      <c r="AE32" s="71">
        <f t="shared" si="6"/>
        <v>-14.885</v>
      </c>
      <c r="AF32" s="71">
        <f t="shared" si="7"/>
        <v>269.0765776</v>
      </c>
      <c r="AG32" s="72">
        <f t="shared" si="30"/>
        <v>507.0040502</v>
      </c>
      <c r="AH32" s="193">
        <f t="shared" si="8"/>
        <v>108.133</v>
      </c>
      <c r="AI32" s="193">
        <f t="shared" si="9"/>
        <v>123.313</v>
      </c>
      <c r="AJ32" s="73">
        <f t="shared" si="10"/>
        <v>785.8940127</v>
      </c>
      <c r="AK32" s="73">
        <f t="shared" si="11"/>
        <v>102.3168728</v>
      </c>
      <c r="AM32" s="51">
        <f t="shared" si="12"/>
        <v>10906.27639</v>
      </c>
      <c r="AN32" s="51" t="str">
        <f t="array" ref="AN32">XLOOKUP(D32,RUC!$B$3:$B$565,RUC!$M$3:$M$565)</f>
        <v>Ronald Miranda</v>
      </c>
      <c r="AO32" s="131" t="s">
        <v>547</v>
      </c>
      <c r="AP32" s="57" t="s">
        <v>1389</v>
      </c>
      <c r="AQ32" s="57" t="s">
        <v>1390</v>
      </c>
      <c r="AV32" s="160" t="s">
        <v>692</v>
      </c>
      <c r="AW32" s="6">
        <f t="shared" si="25"/>
        <v>0</v>
      </c>
      <c r="AX32" s="2"/>
      <c r="AY32" s="58">
        <f t="shared" si="26"/>
        <v>0</v>
      </c>
      <c r="AZ32" s="2"/>
      <c r="BA32" s="162">
        <f t="shared" si="27"/>
        <v>0</v>
      </c>
    </row>
    <row r="33" ht="15.0" customHeight="1">
      <c r="A33" s="116" t="s">
        <v>1391</v>
      </c>
      <c r="B33" s="56">
        <v>45927.0</v>
      </c>
      <c r="C33" s="182">
        <v>45919.0</v>
      </c>
      <c r="D33" s="57" t="s">
        <v>306</v>
      </c>
      <c r="E33" s="3">
        <f t="array" ref="E33">XLOOKUP(D33,RUC!$B$3:$B$110,RUC!$D$3:$D$110)</f>
        <v>20612921866</v>
      </c>
      <c r="G33" s="141">
        <v>50.0</v>
      </c>
      <c r="H33" s="3" t="s">
        <v>47</v>
      </c>
      <c r="I33" s="6">
        <v>5.16</v>
      </c>
      <c r="J33" s="58">
        <v>1.1</v>
      </c>
      <c r="K33" s="6">
        <f t="shared" si="2"/>
        <v>5.103</v>
      </c>
      <c r="L33" s="60">
        <v>0.85</v>
      </c>
      <c r="M33" s="3">
        <v>0.808</v>
      </c>
      <c r="N33" s="427">
        <v>0.808</v>
      </c>
      <c r="O33" s="60">
        <f t="shared" si="3"/>
        <v>0.808</v>
      </c>
      <c r="P33" s="63">
        <v>90.0</v>
      </c>
      <c r="Q33" s="58">
        <v>93.06</v>
      </c>
      <c r="R33" s="65">
        <v>3663.15</v>
      </c>
      <c r="S33" s="66">
        <f t="array" ref="S33">IF((XLOOKUP(D33,RUC!$B$3:$B$106,RUC!$E$3:$E$106)+ROUNDDOWN(O33,1)*100)&lt;95,95,((XLOOKUP(D33,RUC!$B$3:$B$106,RUC!$E$3:$E$106)+ROUNDDOWN(O33,1)*100)))</f>
        <v>160</v>
      </c>
      <c r="U33" s="67">
        <f t="array" ref="U33">XLOOKUP(D33,RUC!$B$3:$B$110,RUC!$F$3:$F$110)</f>
        <v>100</v>
      </c>
      <c r="V33" s="67">
        <v>1.1023</v>
      </c>
      <c r="Y33" s="57" t="str">
        <f t="array" ref="Y33">XLOOKUP(D33,RUC!$B$3:$B$110,RUC!$G$3:$G$110)</f>
        <v/>
      </c>
      <c r="Z33" s="69">
        <f t="array" ref="Z33">XLOOKUP(D33,RUC!$B$3:$B$110,RUC!$H$3:$H$110)</f>
        <v>30</v>
      </c>
      <c r="AA33" s="70">
        <f t="shared" si="4"/>
        <v>30</v>
      </c>
      <c r="AB33" s="71">
        <f t="shared" si="22"/>
        <v>2646.75753</v>
      </c>
      <c r="AC33" s="71">
        <f>+(S33-T33)*V33-'data 1'!$F$4</f>
        <v>96.368</v>
      </c>
      <c r="AD33" s="71">
        <f t="shared" si="5"/>
        <v>102.158443</v>
      </c>
      <c r="AE33" s="71">
        <f t="shared" si="6"/>
        <v>-36.931</v>
      </c>
      <c r="AF33" s="71">
        <f t="shared" si="7"/>
        <v>153.5133862</v>
      </c>
      <c r="AG33" s="72">
        <f t="shared" ref="AG33:AG34" si="31">AC33+AD33+AE33+AF33+70-10</f>
        <v>375.1088292</v>
      </c>
      <c r="AH33" s="193">
        <f t="shared" si="8"/>
        <v>138.394</v>
      </c>
      <c r="AI33" s="193">
        <f t="shared" si="9"/>
        <v>148.715</v>
      </c>
      <c r="AJ33" s="73">
        <f t="shared" si="10"/>
        <v>380.9027616</v>
      </c>
      <c r="AK33" s="73">
        <f t="shared" si="11"/>
        <v>127.2297014</v>
      </c>
      <c r="AM33" s="51">
        <f t="shared" si="12"/>
        <v>13506.40368</v>
      </c>
      <c r="AN33" s="51" t="str">
        <f t="array" ref="AN33">XLOOKUP(D33,RUC!$B$3:$B$565,RUC!$M$3:$M$565)</f>
        <v>Ronald Garibay</v>
      </c>
      <c r="AO33" s="131" t="s">
        <v>558</v>
      </c>
      <c r="AP33" s="57" t="s">
        <v>1392</v>
      </c>
      <c r="AQ33" s="57" t="s">
        <v>1393</v>
      </c>
      <c r="AV33" s="163" t="s">
        <v>693</v>
      </c>
      <c r="AW33" s="165">
        <f t="shared" si="25"/>
        <v>0</v>
      </c>
      <c r="AX33" s="170"/>
      <c r="AY33" s="168">
        <f t="shared" si="26"/>
        <v>0</v>
      </c>
      <c r="AZ33" s="170"/>
      <c r="BA33" s="171">
        <f t="shared" si="27"/>
        <v>0</v>
      </c>
    </row>
    <row r="34" ht="15.0" customHeight="1">
      <c r="A34" s="116" t="s">
        <v>1394</v>
      </c>
      <c r="B34" s="56">
        <v>45927.0</v>
      </c>
      <c r="C34" s="182">
        <v>45919.0</v>
      </c>
      <c r="D34" s="57" t="s">
        <v>306</v>
      </c>
      <c r="E34" s="3">
        <f t="array" ref="E34">XLOOKUP(D34,RUC!$B$3:$B$110,RUC!$D$3:$D$110)</f>
        <v>20612921866</v>
      </c>
      <c r="G34" s="141" t="s">
        <v>46</v>
      </c>
      <c r="H34" s="3" t="s">
        <v>47</v>
      </c>
      <c r="I34" s="6">
        <v>20.56</v>
      </c>
      <c r="J34" s="58">
        <v>1.2</v>
      </c>
      <c r="K34" s="6">
        <f t="shared" si="2"/>
        <v>20.313</v>
      </c>
      <c r="L34" s="60">
        <v>0.279</v>
      </c>
      <c r="M34" s="3">
        <v>0.264</v>
      </c>
      <c r="N34" s="131">
        <v>0.354</v>
      </c>
      <c r="O34" s="60">
        <f t="shared" si="3"/>
        <v>0.309</v>
      </c>
      <c r="P34" s="63">
        <v>90.0</v>
      </c>
      <c r="Q34" s="58">
        <v>93.55</v>
      </c>
      <c r="R34" s="65">
        <v>3663.15</v>
      </c>
      <c r="S34" s="66">
        <f t="array" ref="S34">IF((XLOOKUP(D34,RUC!$B$3:$B$106,RUC!$E$3:$E$106)+ROUNDDOWN(O34,1)*100)&lt;95,95,((XLOOKUP(D34,RUC!$B$3:$B$106,RUC!$E$3:$E$106)+ROUNDDOWN(O34,1)*100)))</f>
        <v>110</v>
      </c>
      <c r="U34" s="67">
        <f t="array" ref="U34">XLOOKUP(D34,RUC!$B$3:$B$110,RUC!$F$3:$F$110)</f>
        <v>100</v>
      </c>
      <c r="V34" s="67">
        <v>1.1023</v>
      </c>
      <c r="Y34" s="57" t="str">
        <f t="array" ref="Y34">XLOOKUP(D34,RUC!$B$3:$B$110,RUC!$G$3:$G$110)</f>
        <v/>
      </c>
      <c r="Z34" s="69">
        <f t="array" ref="Z34">XLOOKUP(D34,RUC!$B$3:$B$110,RUC!$H$3:$H$110)</f>
        <v>30</v>
      </c>
      <c r="AA34" s="70">
        <f t="shared" si="4"/>
        <v>30</v>
      </c>
      <c r="AB34" s="71">
        <f t="shared" si="22"/>
        <v>937.9603141</v>
      </c>
      <c r="AC34" s="71">
        <f>+(S34-T34)*V34-'data 1'!$F$4</f>
        <v>41.253</v>
      </c>
      <c r="AD34" s="71">
        <f t="shared" si="5"/>
        <v>38.9015109</v>
      </c>
      <c r="AE34" s="71">
        <f t="shared" si="6"/>
        <v>-36.931</v>
      </c>
      <c r="AF34" s="71">
        <f t="shared" si="7"/>
        <v>-110.2297848</v>
      </c>
      <c r="AG34" s="72">
        <f t="shared" si="31"/>
        <v>-7.006273879</v>
      </c>
      <c r="AH34" s="193">
        <f t="shared" si="8"/>
        <v>181.774</v>
      </c>
      <c r="AI34" s="193">
        <f t="shared" si="9"/>
        <v>194.307</v>
      </c>
      <c r="AJ34" s="73">
        <f t="shared" si="10"/>
        <v>125.684043</v>
      </c>
      <c r="AK34" s="73">
        <f t="shared" si="11"/>
        <v>193.6797102</v>
      </c>
      <c r="AM34" s="51">
        <f t="shared" si="12"/>
        <v>19052.78786</v>
      </c>
      <c r="AN34" s="51" t="str">
        <f t="array" ref="AN34">XLOOKUP(D34,RUC!$B$3:$B$565,RUC!$M$3:$M$565)</f>
        <v>Ronald Garibay</v>
      </c>
      <c r="AO34" s="131" t="s">
        <v>558</v>
      </c>
      <c r="AP34" s="57" t="s">
        <v>1395</v>
      </c>
      <c r="AQ34" s="57" t="s">
        <v>1396</v>
      </c>
    </row>
    <row r="35" ht="15.0" customHeight="1">
      <c r="A35" s="116" t="s">
        <v>1397</v>
      </c>
      <c r="B35" s="56">
        <v>45930.0</v>
      </c>
      <c r="C35" s="182">
        <v>45919.0</v>
      </c>
      <c r="D35" s="57" t="s">
        <v>225</v>
      </c>
      <c r="E35" s="3">
        <f t="array" ref="E35">XLOOKUP(D35,RUC!$B$3:$B$110,RUC!$D$3:$D$110)</f>
        <v>10761932735</v>
      </c>
      <c r="G35" s="141">
        <v>30.0</v>
      </c>
      <c r="H35" s="3" t="s">
        <v>47</v>
      </c>
      <c r="I35" s="6">
        <v>2.58</v>
      </c>
      <c r="J35" s="58">
        <v>3.95</v>
      </c>
      <c r="K35" s="6">
        <f t="shared" si="2"/>
        <v>2.478</v>
      </c>
      <c r="L35" s="3">
        <v>0.195</v>
      </c>
      <c r="M35" s="60">
        <v>0.18</v>
      </c>
      <c r="N35" s="62">
        <v>0.18</v>
      </c>
      <c r="O35" s="60">
        <f t="shared" si="3"/>
        <v>0.18</v>
      </c>
      <c r="P35" s="63">
        <v>90.0</v>
      </c>
      <c r="Q35" s="58">
        <v>96.41</v>
      </c>
      <c r="R35" s="65">
        <v>3663.15</v>
      </c>
      <c r="S35" s="66">
        <f t="array" ref="S35">IF((XLOOKUP(D35,RUC!$B$3:$B$106,RUC!$E$3:$E$106)+ROUNDDOWN(O35,1)*100)&lt;95,95,((XLOOKUP(D35,RUC!$B$3:$B$106,RUC!$E$3:$E$106)+ROUNDDOWN(O35,1)*100)))</f>
        <v>100</v>
      </c>
      <c r="U35" s="67">
        <f t="array" ref="U35">XLOOKUP(D35,RUC!$B$3:$B$110,RUC!$F$3:$F$110)</f>
        <v>120</v>
      </c>
      <c r="V35" s="67">
        <v>1.1023</v>
      </c>
      <c r="Y35" s="57">
        <f t="array" ref="Y35">XLOOKUP(D35,RUC!$B$3:$B$110,RUC!$G$3:$G$110)</f>
        <v>20</v>
      </c>
      <c r="Z35" s="69">
        <f t="array" ref="Z35">XLOOKUP(D35,RUC!$B$3:$B$110,RUC!$H$3:$H$110)</f>
        <v>30</v>
      </c>
      <c r="AA35" s="70">
        <f t="shared" si="4"/>
        <v>50</v>
      </c>
      <c r="AB35" s="71">
        <f t="shared" si="22"/>
        <v>467.3645077</v>
      </c>
      <c r="AC35" s="71">
        <f>+(S35-T35)*V35-'data 1'!$F$4</f>
        <v>30.23</v>
      </c>
      <c r="AD35" s="71">
        <f t="shared" si="5"/>
        <v>48.81822526</v>
      </c>
      <c r="AE35" s="71">
        <f t="shared" si="6"/>
        <v>-14.885</v>
      </c>
      <c r="AF35" s="71">
        <f t="shared" si="7"/>
        <v>56.4810404</v>
      </c>
      <c r="AG35" s="72">
        <f t="shared" ref="AG35:AG41" si="32">AC35+AD35+AE35+AF35+70-53</f>
        <v>137.6442657</v>
      </c>
      <c r="AH35" s="193">
        <f t="shared" si="8"/>
        <v>15.972</v>
      </c>
      <c r="AI35" s="193">
        <f t="shared" si="9"/>
        <v>16.567</v>
      </c>
      <c r="AJ35" s="73">
        <f t="shared" si="10"/>
        <v>94.67387015</v>
      </c>
      <c r="AK35" s="73">
        <f t="shared" si="11"/>
        <v>13.76338904</v>
      </c>
      <c r="AM35" s="51">
        <f t="shared" si="12"/>
        <v>1158.12925</v>
      </c>
      <c r="AN35" s="51" t="str">
        <f t="array" ref="AN35">XLOOKUP(D35,RUC!$B$3:$B$565,RUC!$M$3:$M$565)</f>
        <v>Richard Sapacayo</v>
      </c>
      <c r="AO35" s="131" t="s">
        <v>547</v>
      </c>
      <c r="AP35" s="57" t="s">
        <v>1398</v>
      </c>
      <c r="AQ35" s="57" t="s">
        <v>1399</v>
      </c>
    </row>
    <row r="36" ht="15.0" customHeight="1">
      <c r="A36" s="116" t="s">
        <v>1400</v>
      </c>
      <c r="B36" s="56">
        <v>45930.0</v>
      </c>
      <c r="C36" s="182">
        <v>45919.0</v>
      </c>
      <c r="D36" s="57" t="s">
        <v>225</v>
      </c>
      <c r="E36" s="3">
        <f t="array" ref="E36">XLOOKUP(D36,RUC!$B$3:$B$110,RUC!$D$3:$D$110)</f>
        <v>10761932735</v>
      </c>
      <c r="G36" s="141">
        <v>31.0</v>
      </c>
      <c r="H36" s="3" t="s">
        <v>47</v>
      </c>
      <c r="I36" s="6">
        <v>2.51</v>
      </c>
      <c r="J36" s="58">
        <v>10.85</v>
      </c>
      <c r="K36" s="6">
        <f t="shared" si="2"/>
        <v>2.238</v>
      </c>
      <c r="L36" s="3">
        <v>0.352</v>
      </c>
      <c r="M36" s="3">
        <v>0.334</v>
      </c>
      <c r="N36" s="427">
        <v>0.334</v>
      </c>
      <c r="O36" s="60">
        <f t="shared" si="3"/>
        <v>0.334</v>
      </c>
      <c r="P36" s="63">
        <v>90.0</v>
      </c>
      <c r="Q36" s="58">
        <v>97.44</v>
      </c>
      <c r="R36" s="65">
        <v>3663.15</v>
      </c>
      <c r="S36" s="66">
        <f t="array" ref="S36">IF((XLOOKUP(D36,RUC!$B$3:$B$106,RUC!$E$3:$E$106)+ROUNDDOWN(O36,1)*100)&lt;95,95,((XLOOKUP(D36,RUC!$B$3:$B$106,RUC!$E$3:$E$106)+ROUNDDOWN(O36,1)*100)))</f>
        <v>120</v>
      </c>
      <c r="U36" s="67">
        <f t="array" ref="U36">XLOOKUP(D36,RUC!$B$3:$B$110,RUC!$F$3:$F$110)</f>
        <v>120</v>
      </c>
      <c r="V36" s="67">
        <v>1.1023</v>
      </c>
      <c r="Y36" s="57">
        <f t="array" ref="Y36">XLOOKUP(D36,RUC!$B$3:$B$110,RUC!$G$3:$G$110)</f>
        <v>20</v>
      </c>
      <c r="Z36" s="69">
        <f t="array" ref="Z36">XLOOKUP(D36,RUC!$B$3:$B$110,RUC!$H$3:$H$110)</f>
        <v>30</v>
      </c>
      <c r="AA36" s="70">
        <f t="shared" si="4"/>
        <v>50</v>
      </c>
      <c r="AB36" s="71">
        <f t="shared" si="22"/>
        <v>986.636642</v>
      </c>
      <c r="AC36" s="71">
        <f>+(S36-T36)*V36-'data 1'!$F$4</f>
        <v>52.276</v>
      </c>
      <c r="AD36" s="71">
        <f t="shared" si="5"/>
        <v>102.2833503</v>
      </c>
      <c r="AE36" s="71">
        <f t="shared" si="6"/>
        <v>-14.885</v>
      </c>
      <c r="AF36" s="71">
        <f t="shared" si="7"/>
        <v>68.50134937</v>
      </c>
      <c r="AG36" s="72">
        <f t="shared" si="32"/>
        <v>225.1756997</v>
      </c>
      <c r="AH36" s="193">
        <f t="shared" si="8"/>
        <v>26.318</v>
      </c>
      <c r="AI36" s="193">
        <f t="shared" si="9"/>
        <v>27.009</v>
      </c>
      <c r="AJ36" s="73">
        <f t="shared" si="10"/>
        <v>172.7242738</v>
      </c>
      <c r="AK36" s="73">
        <f t="shared" si="11"/>
        <v>23.06524796</v>
      </c>
      <c r="AM36" s="51">
        <f t="shared" si="12"/>
        <v>2208.092805</v>
      </c>
      <c r="AN36" s="51" t="str">
        <f t="array" ref="AN36">XLOOKUP(D36,RUC!$B$3:$B$565,RUC!$M$3:$M$565)</f>
        <v>Richard Sapacayo</v>
      </c>
      <c r="AO36" s="131" t="s">
        <v>547</v>
      </c>
      <c r="AP36" s="57" t="s">
        <v>1398</v>
      </c>
      <c r="AQ36" s="57" t="s">
        <v>1399</v>
      </c>
    </row>
    <row r="37" ht="15.0" customHeight="1">
      <c r="A37" s="116" t="s">
        <v>1401</v>
      </c>
      <c r="B37" s="56">
        <v>45930.0</v>
      </c>
      <c r="C37" s="182">
        <v>45919.0</v>
      </c>
      <c r="D37" s="57" t="s">
        <v>225</v>
      </c>
      <c r="E37" s="3">
        <f t="array" ref="E37">XLOOKUP(D37,RUC!$B$3:$B$110,RUC!$D$3:$D$110)</f>
        <v>10761932735</v>
      </c>
      <c r="G37" s="141">
        <v>46.0</v>
      </c>
      <c r="H37" s="3" t="s">
        <v>47</v>
      </c>
      <c r="I37" s="6">
        <v>4.28</v>
      </c>
      <c r="J37" s="58">
        <v>4.8</v>
      </c>
      <c r="K37" s="6">
        <f t="shared" si="2"/>
        <v>4.075</v>
      </c>
      <c r="L37" s="3">
        <v>0.191</v>
      </c>
      <c r="M37" s="3">
        <v>0.176</v>
      </c>
      <c r="N37" s="131">
        <v>0.195</v>
      </c>
      <c r="O37" s="60">
        <f t="shared" si="3"/>
        <v>0.186</v>
      </c>
      <c r="P37" s="63">
        <v>90.0</v>
      </c>
      <c r="Q37" s="58">
        <v>97.91</v>
      </c>
      <c r="R37" s="65">
        <v>3663.15</v>
      </c>
      <c r="S37" s="66">
        <f t="array" ref="S37">IF((XLOOKUP(D37,RUC!$B$3:$B$106,RUC!$E$3:$E$106)+ROUNDDOWN(O37,1)*100)&lt;95,95,((XLOOKUP(D37,RUC!$B$3:$B$106,RUC!$E$3:$E$106)+ROUNDDOWN(O37,1)*100)))</f>
        <v>100</v>
      </c>
      <c r="U37" s="67">
        <f t="array" ref="U37">XLOOKUP(D37,RUC!$B$3:$B$110,RUC!$F$3:$F$110)</f>
        <v>120</v>
      </c>
      <c r="V37" s="67">
        <v>1.1023</v>
      </c>
      <c r="Y37" s="57">
        <f t="array" ref="Y37">XLOOKUP(D37,RUC!$B$3:$B$110,RUC!$G$3:$G$110)</f>
        <v>20</v>
      </c>
      <c r="Z37" s="69">
        <f t="array" ref="Z37">XLOOKUP(D37,RUC!$B$3:$B$110,RUC!$H$3:$H$110)</f>
        <v>30</v>
      </c>
      <c r="AA37" s="70">
        <f t="shared" si="4"/>
        <v>50</v>
      </c>
      <c r="AB37" s="71">
        <f t="shared" si="22"/>
        <v>488.4548246</v>
      </c>
      <c r="AC37" s="71">
        <f>+(S37-T37)*V37-'data 1'!$F$4</f>
        <v>30.23</v>
      </c>
      <c r="AD37" s="71">
        <f t="shared" si="5"/>
        <v>59.00641057</v>
      </c>
      <c r="AE37" s="71">
        <f t="shared" si="6"/>
        <v>-14.885</v>
      </c>
      <c r="AF37" s="71">
        <f t="shared" si="7"/>
        <v>19.11993454</v>
      </c>
      <c r="AG37" s="72">
        <f t="shared" si="32"/>
        <v>110.4713451</v>
      </c>
      <c r="AH37" s="193">
        <f t="shared" si="8"/>
        <v>26.127</v>
      </c>
      <c r="AI37" s="193">
        <f t="shared" si="9"/>
        <v>26.685</v>
      </c>
      <c r="AJ37" s="73">
        <f t="shared" si="10"/>
        <v>94.17461523</v>
      </c>
      <c r="AK37" s="73">
        <f t="shared" si="11"/>
        <v>23.38794889</v>
      </c>
      <c r="AM37" s="51">
        <f t="shared" si="12"/>
        <v>1990.45341</v>
      </c>
      <c r="AN37" s="51" t="str">
        <f t="array" ref="AN37">XLOOKUP(D37,RUC!$B$3:$B$565,RUC!$M$3:$M$565)</f>
        <v>Richard Sapacayo</v>
      </c>
      <c r="AO37" s="131" t="s">
        <v>547</v>
      </c>
      <c r="AP37" s="57" t="s">
        <v>1398</v>
      </c>
      <c r="AQ37" s="57" t="s">
        <v>1399</v>
      </c>
    </row>
    <row r="38" ht="15.0" customHeight="1">
      <c r="A38" s="116" t="s">
        <v>1402</v>
      </c>
      <c r="B38" s="56">
        <v>45930.0</v>
      </c>
      <c r="C38" s="182">
        <v>45919.0</v>
      </c>
      <c r="D38" s="57" t="s">
        <v>225</v>
      </c>
      <c r="E38" s="3">
        <f t="array" ref="E38">XLOOKUP(D38,RUC!$B$3:$B$110,RUC!$D$3:$D$110)</f>
        <v>10761932735</v>
      </c>
      <c r="G38" s="141">
        <v>23.0</v>
      </c>
      <c r="H38" s="3" t="s">
        <v>47</v>
      </c>
      <c r="I38" s="6">
        <v>2.1</v>
      </c>
      <c r="J38" s="58">
        <v>8.3</v>
      </c>
      <c r="K38" s="6">
        <f t="shared" si="2"/>
        <v>1.926</v>
      </c>
      <c r="L38" s="3">
        <v>0.297</v>
      </c>
      <c r="M38" s="3">
        <v>0.282</v>
      </c>
      <c r="N38" s="131">
        <v>0.316</v>
      </c>
      <c r="O38" s="60">
        <f t="shared" si="3"/>
        <v>0.299</v>
      </c>
      <c r="P38" s="63">
        <v>90.0</v>
      </c>
      <c r="Q38" s="58">
        <v>97.98</v>
      </c>
      <c r="R38" s="65">
        <v>3663.15</v>
      </c>
      <c r="S38" s="66">
        <f t="array" ref="S38">IF((XLOOKUP(D38,RUC!$B$3:$B$106,RUC!$E$3:$E$106)+ROUNDDOWN(O38,1)*100)&lt;95,95,((XLOOKUP(D38,RUC!$B$3:$B$106,RUC!$E$3:$E$106)+ROUNDDOWN(O38,1)*100)))</f>
        <v>110</v>
      </c>
      <c r="U38" s="67">
        <f t="array" ref="U38">XLOOKUP(D38,RUC!$B$3:$B$110,RUC!$F$3:$F$110)</f>
        <v>120</v>
      </c>
      <c r="V38" s="67">
        <v>1.1023</v>
      </c>
      <c r="Y38" s="57">
        <f t="array" ref="Y38">XLOOKUP(D38,RUC!$B$3:$B$110,RUC!$G$3:$G$110)</f>
        <v>20</v>
      </c>
      <c r="Z38" s="69">
        <f t="array" ref="Z38">XLOOKUP(D38,RUC!$B$3:$B$110,RUC!$H$3:$H$110)</f>
        <v>30</v>
      </c>
      <c r="AA38" s="70">
        <f t="shared" si="4"/>
        <v>50</v>
      </c>
      <c r="AB38" s="71">
        <f t="shared" si="22"/>
        <v>874.6327933</v>
      </c>
      <c r="AC38" s="71">
        <f>+(S38-T38)*V38-'data 1'!$F$4</f>
        <v>41.253</v>
      </c>
      <c r="AD38" s="71">
        <f t="shared" si="5"/>
        <v>92.56540098</v>
      </c>
      <c r="AE38" s="71">
        <f t="shared" si="6"/>
        <v>-14.885</v>
      </c>
      <c r="AF38" s="71">
        <f t="shared" si="7"/>
        <v>-7.653441675</v>
      </c>
      <c r="AG38" s="72">
        <f t="shared" si="32"/>
        <v>128.2799593</v>
      </c>
      <c r="AH38" s="193">
        <f t="shared" si="8"/>
        <v>19.216</v>
      </c>
      <c r="AI38" s="193">
        <f t="shared" si="9"/>
        <v>19.612</v>
      </c>
      <c r="AJ38" s="73">
        <f t="shared" si="10"/>
        <v>146.5437569</v>
      </c>
      <c r="AK38" s="73">
        <f t="shared" si="11"/>
        <v>17.7696572</v>
      </c>
      <c r="AM38" s="51">
        <f t="shared" si="12"/>
        <v>1684.54276</v>
      </c>
      <c r="AN38" s="51" t="str">
        <f t="array" ref="AN38">XLOOKUP(D38,RUC!$B$3:$B$565,RUC!$M$3:$M$565)</f>
        <v>Richard Sapacayo</v>
      </c>
      <c r="AO38" s="131" t="s">
        <v>561</v>
      </c>
      <c r="AP38" s="57" t="s">
        <v>1398</v>
      </c>
      <c r="AQ38" s="57" t="s">
        <v>1399</v>
      </c>
    </row>
    <row r="39" ht="15.0" customHeight="1">
      <c r="A39" s="116" t="s">
        <v>1403</v>
      </c>
      <c r="B39" s="56">
        <v>45930.0</v>
      </c>
      <c r="C39" s="182">
        <v>45919.0</v>
      </c>
      <c r="D39" s="57" t="s">
        <v>225</v>
      </c>
      <c r="E39" s="3">
        <f t="array" ref="E39">XLOOKUP(D39,RUC!$B$3:$B$110,RUC!$D$3:$D$110)</f>
        <v>10761932735</v>
      </c>
      <c r="G39" s="141">
        <v>52.0</v>
      </c>
      <c r="H39" s="3" t="s">
        <v>47</v>
      </c>
      <c r="I39" s="6">
        <v>4.62</v>
      </c>
      <c r="J39" s="58">
        <v>9.4</v>
      </c>
      <c r="K39" s="6">
        <f t="shared" si="2"/>
        <v>4.186</v>
      </c>
      <c r="L39" s="3">
        <v>0.281</v>
      </c>
      <c r="M39" s="3">
        <v>0.266</v>
      </c>
      <c r="N39" s="131">
        <v>0.267</v>
      </c>
      <c r="O39" s="60">
        <f t="shared" si="3"/>
        <v>0.267</v>
      </c>
      <c r="P39" s="63">
        <v>90.0</v>
      </c>
      <c r="Q39" s="58">
        <v>94.31</v>
      </c>
      <c r="R39" s="65">
        <v>3663.15</v>
      </c>
      <c r="S39" s="66">
        <f t="array" ref="S39">IF((XLOOKUP(D39,RUC!$B$3:$B$106,RUC!$E$3:$E$106)+ROUNDDOWN(O39,1)*100)&lt;95,95,((XLOOKUP(D39,RUC!$B$3:$B$106,RUC!$E$3:$E$106)+ROUNDDOWN(O39,1)*100)))</f>
        <v>110</v>
      </c>
      <c r="U39" s="67">
        <f t="array" ref="U39">XLOOKUP(D39,RUC!$B$3:$B$110,RUC!$F$3:$F$110)</f>
        <v>120</v>
      </c>
      <c r="V39" s="67">
        <v>1.1023</v>
      </c>
      <c r="Y39" s="57">
        <f t="array" ref="Y39">XLOOKUP(D39,RUC!$B$3:$B$110,RUC!$G$3:$G$110)</f>
        <v>20</v>
      </c>
      <c r="Z39" s="69">
        <f t="array" ref="Z39">XLOOKUP(D39,RUC!$B$3:$B$110,RUC!$H$3:$H$110)</f>
        <v>30</v>
      </c>
      <c r="AA39" s="70">
        <f t="shared" si="4"/>
        <v>50</v>
      </c>
      <c r="AB39" s="71">
        <f t="shared" si="22"/>
        <v>762.1511031</v>
      </c>
      <c r="AC39" s="71">
        <f>+(S39-T39)*V39-'data 1'!$F$4</f>
        <v>41.253</v>
      </c>
      <c r="AD39" s="71">
        <f t="shared" si="5"/>
        <v>47.30128468</v>
      </c>
      <c r="AE39" s="71">
        <f t="shared" si="6"/>
        <v>-14.885</v>
      </c>
      <c r="AF39" s="71">
        <f t="shared" si="7"/>
        <v>51.56738712</v>
      </c>
      <c r="AG39" s="72">
        <f t="shared" si="32"/>
        <v>142.2366718</v>
      </c>
      <c r="AH39" s="193">
        <f t="shared" si="8"/>
        <v>38.034</v>
      </c>
      <c r="AI39" s="193">
        <f t="shared" si="9"/>
        <v>40.329</v>
      </c>
      <c r="AJ39" s="73">
        <f t="shared" si="10"/>
        <v>133.4558149</v>
      </c>
      <c r="AK39" s="73">
        <f t="shared" si="11"/>
        <v>34.48752784</v>
      </c>
      <c r="AM39" s="51">
        <f t="shared" si="12"/>
        <v>3190.364517</v>
      </c>
      <c r="AN39" s="51" t="str">
        <f t="array" ref="AN39">XLOOKUP(D39,RUC!$B$3:$B$565,RUC!$M$3:$M$565)</f>
        <v>Richard Sapacayo</v>
      </c>
      <c r="AO39" s="131" t="s">
        <v>549</v>
      </c>
      <c r="AP39" s="57" t="s">
        <v>1398</v>
      </c>
      <c r="AQ39" s="57" t="s">
        <v>1399</v>
      </c>
    </row>
    <row r="40" ht="15.0" customHeight="1">
      <c r="A40" s="132" t="s">
        <v>1404</v>
      </c>
      <c r="B40" s="109">
        <v>45930.0</v>
      </c>
      <c r="C40" s="438">
        <v>45919.0</v>
      </c>
      <c r="D40" s="57" t="s">
        <v>225</v>
      </c>
      <c r="E40" s="3">
        <f t="array" ref="E40">XLOOKUP(D40,RUC!$B$3:$B$110,RUC!$D$3:$D$110)</f>
        <v>10761932735</v>
      </c>
      <c r="G40" s="141">
        <v>68.0</v>
      </c>
      <c r="H40" s="3" t="s">
        <v>47</v>
      </c>
      <c r="I40" s="6">
        <v>4.73</v>
      </c>
      <c r="J40" s="58">
        <v>3.45</v>
      </c>
      <c r="K40" s="6">
        <f t="shared" si="2"/>
        <v>4.567</v>
      </c>
      <c r="L40" s="3">
        <v>0.051</v>
      </c>
      <c r="M40" s="3">
        <v>0.036</v>
      </c>
      <c r="N40" s="427">
        <v>0.036</v>
      </c>
      <c r="O40" s="60">
        <f t="shared" si="3"/>
        <v>0.036</v>
      </c>
      <c r="P40" s="63">
        <v>90.0</v>
      </c>
      <c r="Q40" s="58">
        <v>94.12</v>
      </c>
      <c r="R40" s="65">
        <v>3663.15</v>
      </c>
      <c r="S40" s="66">
        <f t="array" ref="S40">IF((XLOOKUP(D40,RUC!$B$3:$B$106,RUC!$E$3:$E$106)+ROUNDDOWN(O40,1)*100)&lt;95,95,((XLOOKUP(D40,RUC!$B$3:$B$106,RUC!$E$3:$E$106)+ROUNDDOWN(O40,1)*100)))</f>
        <v>95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69">
        <f t="array" ref="Z40">XLOOKUP(D40,RUC!$B$3:$B$110,RUC!$H$3:$H$110)</f>
        <v>30</v>
      </c>
      <c r="AA40" s="70">
        <f t="shared" si="4"/>
        <v>50</v>
      </c>
      <c r="AB40" s="71">
        <f t="shared" si="22"/>
        <v>-33.29159846</v>
      </c>
      <c r="AC40" s="71">
        <f>+(S40-T40)*V40-'data 1'!$F$4</f>
        <v>24.7185</v>
      </c>
      <c r="AD40" s="71">
        <f t="shared" si="5"/>
        <v>8.206476652</v>
      </c>
      <c r="AE40" s="71">
        <f t="shared" si="6"/>
        <v>-14.885</v>
      </c>
      <c r="AF40" s="71">
        <f t="shared" si="7"/>
        <v>55.13946191</v>
      </c>
      <c r="AG40" s="72">
        <f t="shared" si="32"/>
        <v>90.17943856</v>
      </c>
      <c r="AH40" s="193">
        <f t="shared" si="8"/>
        <v>7.516</v>
      </c>
      <c r="AI40" s="193">
        <f t="shared" si="9"/>
        <v>7.986</v>
      </c>
      <c r="AJ40" s="73">
        <f t="shared" si="10"/>
        <v>24.17272054</v>
      </c>
      <c r="AK40" s="73">
        <f t="shared" si="11"/>
        <v>5.073236298</v>
      </c>
      <c r="AM40" s="51">
        <f t="shared" si="12"/>
        <v>0</v>
      </c>
      <c r="AN40" s="51" t="str">
        <f t="array" ref="AN40">XLOOKUP(D40,RUC!$B$3:$B$565,RUC!$M$3:$M$565)</f>
        <v>Richard Sapacayo</v>
      </c>
      <c r="AO40" s="131" t="s">
        <v>547</v>
      </c>
      <c r="AP40" s="57" t="s">
        <v>1398</v>
      </c>
      <c r="AQ40" s="57" t="s">
        <v>1399</v>
      </c>
    </row>
    <row r="41" ht="15.0" customHeight="1">
      <c r="A41" s="116" t="s">
        <v>1405</v>
      </c>
      <c r="B41" s="56">
        <v>45927.0</v>
      </c>
      <c r="C41" s="182">
        <v>45919.0</v>
      </c>
      <c r="D41" s="57" t="s">
        <v>1203</v>
      </c>
      <c r="E41" s="3">
        <f t="array" ref="E41">XLOOKUP(D41,RUC!$B$3:$B$110,RUC!$D$3:$D$110)</f>
        <v>20601463173</v>
      </c>
      <c r="G41" s="141" t="s">
        <v>46</v>
      </c>
      <c r="H41" s="3" t="s">
        <v>40</v>
      </c>
      <c r="I41" s="6">
        <v>9.52</v>
      </c>
      <c r="J41" s="58">
        <v>1.1</v>
      </c>
      <c r="K41" s="6">
        <f t="shared" si="2"/>
        <v>9.415</v>
      </c>
      <c r="L41" s="3">
        <v>0.124</v>
      </c>
      <c r="M41" s="3">
        <v>0.109</v>
      </c>
      <c r="N41" s="427">
        <v>0.109</v>
      </c>
      <c r="O41" s="60">
        <f t="shared" si="3"/>
        <v>0.109</v>
      </c>
      <c r="P41" s="63">
        <v>80.0</v>
      </c>
      <c r="Q41" s="58">
        <v>96.77</v>
      </c>
      <c r="R41" s="65">
        <v>3663.15</v>
      </c>
      <c r="S41" s="66">
        <f t="array" ref="S41">IF((XLOOKUP(D41,RUC!$B$3:$B$106,RUC!$E$3:$E$106)+ROUNDDOWN(O41,1)*100)&lt;95,95,((XLOOKUP(D41,RUC!$B$3:$B$106,RUC!$E$3:$E$106)+ROUNDDOWN(O41,1)*100)))</f>
        <v>100</v>
      </c>
      <c r="U41" s="67">
        <f t="array" ref="U41">XLOOKUP(D41,RUC!$B$3:$B$110,RUC!$F$3:$F$110)</f>
        <v>100</v>
      </c>
      <c r="V41" s="67">
        <v>1.1023</v>
      </c>
      <c r="Y41" s="57" t="str">
        <f t="array" ref="Y41">XLOOKUP(D41,RUC!$B$3:$B$110,RUC!$G$3:$G$110)</f>
        <v/>
      </c>
      <c r="Z41" s="69">
        <f t="array" ref="Z41">XLOOKUP(D41,RUC!$B$3:$B$110,RUC!$H$3:$H$110)</f>
        <v>30</v>
      </c>
      <c r="AA41" s="70">
        <f t="shared" si="4"/>
        <v>30</v>
      </c>
      <c r="AB41" s="71">
        <f t="shared" si="22"/>
        <v>199.1929734</v>
      </c>
      <c r="AC41" s="71">
        <f>+(S41-T41)*V41-'data 1'!$F$4</f>
        <v>30.23</v>
      </c>
      <c r="AD41" s="71">
        <f t="shared" si="5"/>
        <v>81.67490926</v>
      </c>
      <c r="AE41" s="71">
        <f t="shared" si="6"/>
        <v>-36.931</v>
      </c>
      <c r="AF41" s="71">
        <f t="shared" si="7"/>
        <v>57.01195229</v>
      </c>
      <c r="AG41" s="72">
        <f t="shared" si="32"/>
        <v>148.9858615</v>
      </c>
      <c r="AH41" s="193">
        <f t="shared" si="8"/>
        <v>38.734</v>
      </c>
      <c r="AI41" s="193">
        <f t="shared" si="9"/>
        <v>40.027</v>
      </c>
      <c r="AJ41" s="73">
        <f t="shared" si="10"/>
        <v>57.78226659</v>
      </c>
      <c r="AK41" s="73">
        <f t="shared" si="11"/>
        <v>28.14789216</v>
      </c>
      <c r="AM41" s="51">
        <f t="shared" si="12"/>
        <v>1875.401844</v>
      </c>
      <c r="AN41" s="51" t="str">
        <f t="array" ref="AN41">XLOOKUP(D41,RUC!$B$3:$B$565,RUC!$M$3:$M$565)</f>
        <v>Yuri Rospigliossi</v>
      </c>
      <c r="AO41" s="131" t="s">
        <v>551</v>
      </c>
      <c r="AP41" s="57" t="s">
        <v>1406</v>
      </c>
      <c r="AQ41" s="57" t="s">
        <v>1407</v>
      </c>
    </row>
    <row r="42" ht="15.0" customHeight="1">
      <c r="A42" s="116" t="s">
        <v>1408</v>
      </c>
      <c r="B42" s="56">
        <v>45927.0</v>
      </c>
      <c r="C42" s="182">
        <v>45920.0</v>
      </c>
      <c r="D42" s="57" t="s">
        <v>306</v>
      </c>
      <c r="E42" s="3">
        <f t="array" ref="E42">XLOOKUP(D42,RUC!$B$3:$B$110,RUC!$D$3:$D$110)</f>
        <v>20612921866</v>
      </c>
      <c r="G42" s="141" t="s">
        <v>46</v>
      </c>
      <c r="H42" s="3" t="s">
        <v>47</v>
      </c>
      <c r="I42" s="6">
        <v>20.64</v>
      </c>
      <c r="J42" s="58">
        <v>1.2</v>
      </c>
      <c r="K42" s="6">
        <f t="shared" si="2"/>
        <v>20.392</v>
      </c>
      <c r="L42" s="3">
        <v>0.286</v>
      </c>
      <c r="M42" s="3">
        <v>0.271</v>
      </c>
      <c r="N42" s="427">
        <v>0.271</v>
      </c>
      <c r="O42" s="60">
        <f t="shared" si="3"/>
        <v>0.271</v>
      </c>
      <c r="P42" s="63">
        <v>90.0</v>
      </c>
      <c r="Q42" s="58">
        <v>97.9</v>
      </c>
      <c r="R42" s="65">
        <v>3663.15</v>
      </c>
      <c r="S42" s="66">
        <f t="array" ref="S42">IF((XLOOKUP(D42,RUC!$B$3:$B$106,RUC!$E$3:$E$106)+ROUNDDOWN(O42,1)*100)&lt;95,95,((XLOOKUP(D42,RUC!$B$3:$B$106,RUC!$E$3:$E$106)+ROUNDDOWN(O42,1)*100)))</f>
        <v>100</v>
      </c>
      <c r="U42" s="67">
        <f t="array" ref="U42">XLOOKUP(D42,RUC!$B$3:$B$110,RUC!$F$3:$F$110)</f>
        <v>100</v>
      </c>
      <c r="V42" s="67">
        <v>1.1023</v>
      </c>
      <c r="Y42" s="57" t="str">
        <f t="array" ref="Y42">XLOOKUP(D42,RUC!$B$3:$B$110,RUC!$G$3:$G$110)</f>
        <v/>
      </c>
      <c r="Z42" s="69">
        <f t="array" ref="Z42">XLOOKUP(D42,RUC!$B$3:$B$110,RUC!$H$3:$H$110)</f>
        <v>30</v>
      </c>
      <c r="AA42" s="70">
        <f t="shared" si="4"/>
        <v>30</v>
      </c>
      <c r="AB42" s="71">
        <f t="shared" si="22"/>
        <v>814.6573338</v>
      </c>
      <c r="AC42" s="71">
        <f>+(S42-T42)*V42-'data 1'!$F$4</f>
        <v>30.23</v>
      </c>
      <c r="AD42" s="71">
        <f t="shared" si="5"/>
        <v>88.74155558</v>
      </c>
      <c r="AE42" s="71">
        <f t="shared" si="6"/>
        <v>-36.931</v>
      </c>
      <c r="AF42" s="71">
        <f t="shared" si="7"/>
        <v>57.6776907</v>
      </c>
      <c r="AG42" s="72">
        <f>AC42+AD42+AE42+AF42+70-10</f>
        <v>199.7182463</v>
      </c>
      <c r="AH42" s="193">
        <f t="shared" si="8"/>
        <v>195.757</v>
      </c>
      <c r="AI42" s="193">
        <f t="shared" si="9"/>
        <v>199.956</v>
      </c>
      <c r="AJ42" s="73">
        <f t="shared" si="10"/>
        <v>134.8282422</v>
      </c>
      <c r="AK42" s="73">
        <f t="shared" si="11"/>
        <v>170.5221077</v>
      </c>
      <c r="AM42" s="51">
        <f t="shared" si="12"/>
        <v>16612.49235</v>
      </c>
      <c r="AN42" s="51" t="str">
        <f t="array" ref="AN42">XLOOKUP(D42,RUC!$B$3:$B$565,RUC!$M$3:$M$565)</f>
        <v>Ronald Garibay</v>
      </c>
      <c r="AO42" s="131" t="s">
        <v>558</v>
      </c>
      <c r="AP42" s="57" t="s">
        <v>1409</v>
      </c>
      <c r="AQ42" s="57" t="s">
        <v>1410</v>
      </c>
    </row>
    <row r="43" ht="15.0" customHeight="1">
      <c r="A43" s="116" t="s">
        <v>1411</v>
      </c>
      <c r="B43" s="56">
        <v>45933.0</v>
      </c>
      <c r="C43" s="182">
        <v>45920.0</v>
      </c>
      <c r="D43" s="57" t="s">
        <v>602</v>
      </c>
      <c r="E43" s="3">
        <f t="array" ref="E43">XLOOKUP(D43,RUC!$B$3:$B$110,RUC!$D$3:$D$110)</f>
        <v>20169040231</v>
      </c>
      <c r="G43" s="141">
        <v>100.0</v>
      </c>
      <c r="H43" s="3" t="s">
        <v>47</v>
      </c>
      <c r="I43" s="6">
        <v>9.76</v>
      </c>
      <c r="J43" s="58">
        <v>1.1</v>
      </c>
      <c r="K43" s="6">
        <f t="shared" si="2"/>
        <v>9.653</v>
      </c>
      <c r="L43" s="60">
        <v>0.234</v>
      </c>
      <c r="M43" s="3">
        <v>0.219</v>
      </c>
      <c r="N43" s="427">
        <v>0.219</v>
      </c>
      <c r="O43" s="60">
        <f t="shared" si="3"/>
        <v>0.219</v>
      </c>
      <c r="P43" s="63">
        <v>90.0</v>
      </c>
      <c r="Q43" s="58">
        <v>93.16</v>
      </c>
      <c r="R43" s="65">
        <v>3663.15</v>
      </c>
      <c r="S43" s="66">
        <f t="array" ref="S43">IF((XLOOKUP(D43,RUC!$B$3:$B$106,RUC!$E$3:$E$106)+ROUNDDOWN(O43,1)*100)&lt;95,95,((XLOOKUP(D43,RUC!$B$3:$B$106,RUC!$E$3:$E$106)+ROUNDDOWN(O43,1)*100)))</f>
        <v>105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4"/>
        <v>50</v>
      </c>
      <c r="AB43" s="71">
        <f t="shared" si="22"/>
        <v>598.9400677</v>
      </c>
      <c r="AC43" s="71">
        <f>+(S43-T43)*V43-'data 1'!$F$4</f>
        <v>35.7415</v>
      </c>
      <c r="AD43" s="71">
        <f t="shared" si="5"/>
        <v>28.87967397</v>
      </c>
      <c r="AE43" s="71">
        <f t="shared" si="6"/>
        <v>-14.885</v>
      </c>
      <c r="AF43" s="71">
        <f t="shared" si="7"/>
        <v>54.57705346</v>
      </c>
      <c r="AG43" s="72">
        <f t="shared" ref="AG43:AG46" si="33">AC43+AD43+AE43+AF43+70-53</f>
        <v>121.3132274</v>
      </c>
      <c r="AH43" s="193">
        <f t="shared" si="8"/>
        <v>72.147</v>
      </c>
      <c r="AI43" s="193">
        <f t="shared" si="9"/>
        <v>77.444</v>
      </c>
      <c r="AJ43" s="73">
        <f t="shared" si="10"/>
        <v>109.7788745</v>
      </c>
      <c r="AK43" s="73">
        <f t="shared" si="11"/>
        <v>65.2315953</v>
      </c>
      <c r="AM43" s="51">
        <f t="shared" si="12"/>
        <v>5781.568473</v>
      </c>
      <c r="AN43" s="51" t="str">
        <f t="array" ref="AN43">XLOOKUP(D43,RUC!$B$3:$B$565,RUC!$M$3:$M$565)</f>
        <v>Ronald Miranda</v>
      </c>
      <c r="AO43" s="131" t="s">
        <v>561</v>
      </c>
      <c r="AP43" s="57" t="s">
        <v>1412</v>
      </c>
      <c r="AQ43" s="57" t="s">
        <v>1413</v>
      </c>
    </row>
    <row r="44" ht="15.0" customHeight="1">
      <c r="A44" s="116" t="s">
        <v>1414</v>
      </c>
      <c r="B44" s="56">
        <v>45934.0</v>
      </c>
      <c r="C44" s="182">
        <v>45920.0</v>
      </c>
      <c r="D44" s="57" t="s">
        <v>225</v>
      </c>
      <c r="E44" s="3">
        <f t="array" ref="E44">XLOOKUP(D44,RUC!$B$3:$B$110,RUC!$D$3:$D$110)</f>
        <v>10761932735</v>
      </c>
      <c r="G44" s="141">
        <v>12.0</v>
      </c>
      <c r="H44" s="3" t="s">
        <v>47</v>
      </c>
      <c r="I44" s="6">
        <v>1.0</v>
      </c>
      <c r="J44" s="58">
        <v>11.95</v>
      </c>
      <c r="K44" s="6">
        <f t="shared" si="2"/>
        <v>0.881</v>
      </c>
      <c r="L44" s="3">
        <v>1.248</v>
      </c>
      <c r="M44" s="3">
        <v>1.186</v>
      </c>
      <c r="N44" s="131">
        <v>1.234</v>
      </c>
      <c r="O44" s="60">
        <f t="shared" si="3"/>
        <v>1.21</v>
      </c>
      <c r="P44" s="63">
        <v>90.0</v>
      </c>
      <c r="Q44" s="58">
        <v>99.18</v>
      </c>
      <c r="R44" s="65">
        <v>3663.15</v>
      </c>
      <c r="S44" s="66">
        <f t="array" ref="S44">IF((XLOOKUP(D44,RUC!$B$3:$B$106,RUC!$E$3:$E$106)+ROUNDDOWN(O44,1)*100)&lt;95,95,((XLOOKUP(D44,RUC!$B$3:$B$106,RUC!$E$3:$E$106)+ROUNDDOWN(O44,1)*100)))</f>
        <v>210</v>
      </c>
      <c r="U44" s="67">
        <f t="array" ref="U44">XLOOKUP(D44,RUC!$B$3:$B$110,RUC!$F$3:$F$110)</f>
        <v>120</v>
      </c>
      <c r="V44" s="67">
        <v>1.1023</v>
      </c>
      <c r="Y44" s="57">
        <f t="array" ref="Y44">XLOOKUP(D44,RUC!$B$3:$B$110,RUC!$G$3:$G$110)</f>
        <v>20</v>
      </c>
      <c r="Z44" s="69">
        <f t="array" ref="Z44">XLOOKUP(D44,RUC!$B$3:$B$110,RUC!$H$3:$H$110)</f>
        <v>30</v>
      </c>
      <c r="AA44" s="70">
        <f t="shared" si="4"/>
        <v>50</v>
      </c>
      <c r="AB44" s="71">
        <f t="shared" si="22"/>
        <v>3966.615913</v>
      </c>
      <c r="AC44" s="71">
        <f>+(S44-T44)*V44-'data 1'!$F$4</f>
        <v>151.483</v>
      </c>
      <c r="AD44" s="71">
        <f t="shared" si="5"/>
        <v>447.4521638</v>
      </c>
      <c r="AE44" s="71">
        <f t="shared" si="6"/>
        <v>-14.885</v>
      </c>
      <c r="AF44" s="71">
        <f t="shared" si="7"/>
        <v>147.1963519</v>
      </c>
      <c r="AG44" s="72">
        <f t="shared" si="33"/>
        <v>748.2465157</v>
      </c>
      <c r="AH44" s="193">
        <f t="shared" si="8"/>
        <v>37.387</v>
      </c>
      <c r="AI44" s="193">
        <f t="shared" si="9"/>
        <v>37.696</v>
      </c>
      <c r="AJ44" s="73">
        <f t="shared" si="10"/>
        <v>623.3215271</v>
      </c>
      <c r="AK44" s="73">
        <f t="shared" si="11"/>
        <v>32.89370986</v>
      </c>
      <c r="AM44" s="51">
        <f t="shared" si="12"/>
        <v>3494.588619</v>
      </c>
      <c r="AN44" s="51" t="str">
        <f t="array" ref="AN44">XLOOKUP(D44,RUC!$B$3:$B$565,RUC!$M$3:$M$565)</f>
        <v>Richard Sapacayo</v>
      </c>
      <c r="AO44" s="131" t="s">
        <v>551</v>
      </c>
      <c r="AP44" s="57" t="s">
        <v>1415</v>
      </c>
      <c r="AQ44" s="57" t="s">
        <v>1416</v>
      </c>
    </row>
    <row r="45" ht="15.0" customHeight="1">
      <c r="A45" s="116" t="s">
        <v>1417</v>
      </c>
      <c r="B45" s="56">
        <v>45934.0</v>
      </c>
      <c r="C45" s="182">
        <v>45920.0</v>
      </c>
      <c r="D45" s="57" t="s">
        <v>225</v>
      </c>
      <c r="E45" s="3">
        <f t="array" ref="E45">XLOOKUP(D45,RUC!$B$3:$B$110,RUC!$D$3:$D$110)</f>
        <v>10761932735</v>
      </c>
      <c r="G45" s="141">
        <v>8.0</v>
      </c>
      <c r="H45" s="3" t="s">
        <v>47</v>
      </c>
      <c r="I45" s="6">
        <v>0.87</v>
      </c>
      <c r="J45" s="58">
        <v>5.75</v>
      </c>
      <c r="K45" s="6">
        <f t="shared" si="2"/>
        <v>0.82</v>
      </c>
      <c r="L45" s="3">
        <v>0.167</v>
      </c>
      <c r="M45" s="3">
        <v>0.152</v>
      </c>
      <c r="N45" s="427">
        <v>0.152</v>
      </c>
      <c r="O45" s="60">
        <f t="shared" si="3"/>
        <v>0.152</v>
      </c>
      <c r="P45" s="63">
        <v>90.0</v>
      </c>
      <c r="Q45" s="58">
        <v>97.06</v>
      </c>
      <c r="R45" s="65">
        <v>3663.15</v>
      </c>
      <c r="S45" s="66">
        <f t="array" ref="S45">IF((XLOOKUP(D45,RUC!$B$3:$B$106,RUC!$E$3:$E$106)+ROUNDDOWN(O45,1)*100)&lt;95,95,((XLOOKUP(D45,RUC!$B$3:$B$106,RUC!$E$3:$E$106)+ROUNDDOWN(O45,1)*100)))</f>
        <v>100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si="4"/>
        <v>50</v>
      </c>
      <c r="AB45" s="71">
        <f t="shared" si="22"/>
        <v>368.9430287</v>
      </c>
      <c r="AC45" s="71">
        <f>+(S45-T45)*V45-'data 1'!$F$4</f>
        <v>30.23</v>
      </c>
      <c r="AD45" s="71">
        <f t="shared" si="5"/>
        <v>46.04797307</v>
      </c>
      <c r="AE45" s="71">
        <f t="shared" si="6"/>
        <v>-14.885</v>
      </c>
      <c r="AF45" s="71">
        <f t="shared" si="7"/>
        <v>56.86183779</v>
      </c>
      <c r="AG45" s="72">
        <f t="shared" si="33"/>
        <v>135.2548109</v>
      </c>
      <c r="AH45" s="193">
        <f t="shared" si="8"/>
        <v>4.557</v>
      </c>
      <c r="AI45" s="193">
        <f t="shared" si="9"/>
        <v>4.695</v>
      </c>
      <c r="AJ45" s="73">
        <f t="shared" si="10"/>
        <v>81.62631575</v>
      </c>
      <c r="AK45" s="73">
        <f t="shared" si="11"/>
        <v>3.84599769</v>
      </c>
      <c r="AM45" s="51">
        <f t="shared" si="12"/>
        <v>302.5332835</v>
      </c>
      <c r="AN45" s="51" t="str">
        <f t="array" ref="AN45">XLOOKUP(D45,RUC!$B$3:$B$565,RUC!$M$3:$M$565)</f>
        <v>Richard Sapacayo</v>
      </c>
      <c r="AO45" s="131" t="s">
        <v>551</v>
      </c>
      <c r="AP45" s="57" t="s">
        <v>1415</v>
      </c>
      <c r="AQ45" s="57" t="s">
        <v>1416</v>
      </c>
    </row>
    <row r="46" ht="15.0" customHeight="1">
      <c r="A46" s="116" t="s">
        <v>1418</v>
      </c>
      <c r="B46" s="56">
        <v>45930.0</v>
      </c>
      <c r="C46" s="182">
        <v>45920.0</v>
      </c>
      <c r="D46" s="57" t="s">
        <v>225</v>
      </c>
      <c r="E46" s="3">
        <f t="array" ref="E46">XLOOKUP(D46,RUC!$B$3:$B$110,RUC!$D$3:$D$110)</f>
        <v>10761932735</v>
      </c>
      <c r="G46" s="141" t="s">
        <v>46</v>
      </c>
      <c r="H46" s="3" t="s">
        <v>47</v>
      </c>
      <c r="I46" s="6">
        <v>28.59</v>
      </c>
      <c r="J46" s="58">
        <v>11.96</v>
      </c>
      <c r="K46" s="6">
        <f t="shared" si="2"/>
        <v>25.171</v>
      </c>
      <c r="L46" s="3">
        <v>0.127</v>
      </c>
      <c r="M46" s="3">
        <v>0.112</v>
      </c>
      <c r="N46" s="131">
        <v>0.175</v>
      </c>
      <c r="O46" s="60">
        <f t="shared" si="3"/>
        <v>0.144</v>
      </c>
      <c r="P46" s="63">
        <v>85.0</v>
      </c>
      <c r="Q46" s="58">
        <v>95.42</v>
      </c>
      <c r="R46" s="65">
        <v>3663.15</v>
      </c>
      <c r="S46" s="66">
        <f t="array" ref="S46">IF((XLOOKUP(D46,RUC!$B$3:$B$106,RUC!$E$3:$E$106)+ROUNDDOWN(O46,1)*100)&lt;95,95,((XLOOKUP(D46,RUC!$B$3:$B$106,RUC!$E$3:$E$106)+ROUNDDOWN(O46,1)*100)))</f>
        <v>100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4"/>
        <v>50</v>
      </c>
      <c r="AB46" s="71">
        <f t="shared" si="22"/>
        <v>312.7021836</v>
      </c>
      <c r="AC46" s="71">
        <f>+(S46-T46)*V46-'data 1'!$F$4</f>
        <v>30.23</v>
      </c>
      <c r="AD46" s="71">
        <f t="shared" si="5"/>
        <v>51.68455555</v>
      </c>
      <c r="AE46" s="71">
        <f t="shared" si="6"/>
        <v>-14.885</v>
      </c>
      <c r="AF46" s="71">
        <f t="shared" si="7"/>
        <v>-63.35453091</v>
      </c>
      <c r="AG46" s="72">
        <f t="shared" si="33"/>
        <v>20.67502464</v>
      </c>
      <c r="AH46" s="193">
        <f t="shared" si="8"/>
        <v>104.581</v>
      </c>
      <c r="AI46" s="193">
        <f t="shared" si="9"/>
        <v>109.601</v>
      </c>
      <c r="AJ46" s="73">
        <f t="shared" si="10"/>
        <v>61.02623398</v>
      </c>
      <c r="AK46" s="73">
        <f t="shared" si="11"/>
        <v>105.6308943</v>
      </c>
      <c r="AM46" s="51">
        <f t="shared" si="12"/>
        <v>7871.026663</v>
      </c>
      <c r="AN46" s="51" t="str">
        <f t="array" ref="AN46">XLOOKUP(D46,RUC!$B$3:$B$565,RUC!$M$3:$M$565)</f>
        <v>Richard Sapacayo</v>
      </c>
      <c r="AO46" s="131" t="s">
        <v>547</v>
      </c>
      <c r="AP46" s="57" t="s">
        <v>1415</v>
      </c>
      <c r="AQ46" s="57" t="s">
        <v>1416</v>
      </c>
    </row>
    <row r="47" ht="15.0" customHeight="1">
      <c r="A47" s="116" t="s">
        <v>1419</v>
      </c>
      <c r="B47" s="56">
        <v>45931.0</v>
      </c>
      <c r="C47" s="182">
        <v>45920.0</v>
      </c>
      <c r="D47" s="57" t="s">
        <v>306</v>
      </c>
      <c r="E47" s="3">
        <f t="array" ref="E47">XLOOKUP(D47,RUC!$B$3:$B$110,RUC!$D$3:$D$110)</f>
        <v>20612921866</v>
      </c>
      <c r="G47" s="141">
        <v>63.0</v>
      </c>
      <c r="H47" s="3" t="s">
        <v>47</v>
      </c>
      <c r="I47" s="6">
        <v>8.11</v>
      </c>
      <c r="J47" s="58">
        <v>1.3</v>
      </c>
      <c r="K47" s="6">
        <f t="shared" si="2"/>
        <v>8.005</v>
      </c>
      <c r="L47" s="3">
        <v>0.256</v>
      </c>
      <c r="M47" s="3">
        <v>0.241</v>
      </c>
      <c r="N47" s="131">
        <v>0.285</v>
      </c>
      <c r="O47" s="60">
        <f t="shared" si="3"/>
        <v>0.263</v>
      </c>
      <c r="P47" s="63">
        <v>90.0</v>
      </c>
      <c r="Q47" s="58">
        <v>97.37</v>
      </c>
      <c r="R47" s="65">
        <v>3663.15</v>
      </c>
      <c r="S47" s="66">
        <f t="array" ref="S47">IF((XLOOKUP(D47,RUC!$B$3:$B$106,RUC!$E$3:$E$106)+ROUNDDOWN(O47,1)*100)&lt;95,95,((XLOOKUP(D47,RUC!$B$3:$B$106,RUC!$E$3:$E$106)+ROUNDDOWN(O47,1)*100)))</f>
        <v>100</v>
      </c>
      <c r="U47" s="67">
        <f t="array" ref="U47">XLOOKUP(D47,RUC!$B$3:$B$110,RUC!$F$3:$F$110)</f>
        <v>100</v>
      </c>
      <c r="V47" s="67">
        <v>1.1023</v>
      </c>
      <c r="Y47" s="57" t="str">
        <f t="array" ref="Y47">XLOOKUP(D47,RUC!$B$3:$B$110,RUC!$G$3:$G$110)</f>
        <v/>
      </c>
      <c r="Z47" s="69">
        <f t="array" ref="Z47">XLOOKUP(D47,RUC!$B$3:$B$110,RUC!$H$3:$H$110)</f>
        <v>30</v>
      </c>
      <c r="AA47" s="70">
        <f t="shared" si="4"/>
        <v>30</v>
      </c>
      <c r="AB47" s="71">
        <f t="shared" si="22"/>
        <v>786.37818</v>
      </c>
      <c r="AC47" s="71">
        <f>+(S47-T47)*V47-'data 1'!$F$4</f>
        <v>30.23</v>
      </c>
      <c r="AD47" s="71">
        <f t="shared" si="5"/>
        <v>74.10395137</v>
      </c>
      <c r="AE47" s="71">
        <f t="shared" si="6"/>
        <v>-36.931</v>
      </c>
      <c r="AF47" s="71">
        <f t="shared" si="7"/>
        <v>-26.77053946</v>
      </c>
      <c r="AG47" s="72">
        <f t="shared" ref="AG47:AG48" si="34">AC47+AD47+AE47+AF47+70-10</f>
        <v>100.6324119</v>
      </c>
      <c r="AH47" s="193">
        <f t="shared" si="8"/>
        <v>68.413</v>
      </c>
      <c r="AI47" s="193">
        <f t="shared" si="9"/>
        <v>70.26</v>
      </c>
      <c r="AJ47" s="73">
        <f t="shared" si="10"/>
        <v>120.0320664</v>
      </c>
      <c r="AK47" s="73">
        <f t="shared" si="11"/>
        <v>64.96338757</v>
      </c>
      <c r="AM47" s="51">
        <f t="shared" si="12"/>
        <v>6294.957331</v>
      </c>
      <c r="AN47" s="51" t="str">
        <f t="array" ref="AN47">XLOOKUP(D47,RUC!$B$3:$B$565,RUC!$M$3:$M$565)</f>
        <v>Ronald Garibay</v>
      </c>
      <c r="AO47" s="131" t="s">
        <v>549</v>
      </c>
      <c r="AP47" s="57" t="s">
        <v>1420</v>
      </c>
      <c r="AQ47" s="57" t="s">
        <v>1421</v>
      </c>
    </row>
    <row r="48" ht="15.0" customHeight="1">
      <c r="A48" s="116" t="s">
        <v>1422</v>
      </c>
      <c r="B48" s="56">
        <v>45929.0</v>
      </c>
      <c r="C48" s="182">
        <v>45920.0</v>
      </c>
      <c r="D48" s="57" t="s">
        <v>306</v>
      </c>
      <c r="E48" s="3">
        <f t="array" ref="E48">XLOOKUP(D48,RUC!$B$3:$B$110,RUC!$D$3:$D$110)</f>
        <v>20612921866</v>
      </c>
      <c r="G48" s="141">
        <v>41.0</v>
      </c>
      <c r="H48" s="3" t="s">
        <v>40</v>
      </c>
      <c r="I48" s="6">
        <v>3.1</v>
      </c>
      <c r="J48" s="58">
        <v>7.7</v>
      </c>
      <c r="K48" s="6">
        <f t="shared" si="2"/>
        <v>2.861</v>
      </c>
      <c r="L48" s="3">
        <v>0.534</v>
      </c>
      <c r="M48" s="3">
        <v>0.507</v>
      </c>
      <c r="N48" s="427">
        <v>0.507</v>
      </c>
      <c r="O48" s="60">
        <f t="shared" si="3"/>
        <v>0.507</v>
      </c>
      <c r="P48" s="63">
        <v>90.0</v>
      </c>
      <c r="Q48" s="58">
        <v>96.44</v>
      </c>
      <c r="R48" s="65">
        <v>3663.15</v>
      </c>
      <c r="S48" s="66">
        <f t="array" ref="S48">IF((XLOOKUP(D48,RUC!$B$3:$B$106,RUC!$E$3:$E$106)+ROUNDDOWN(O48,1)*100)&lt;95,95,((XLOOKUP(D48,RUC!$B$3:$B$106,RUC!$E$3:$E$106)+ROUNDDOWN(O48,1)*100)))</f>
        <v>130</v>
      </c>
      <c r="U48" s="199">
        <v>120.0</v>
      </c>
      <c r="V48" s="67">
        <v>1.1023</v>
      </c>
      <c r="Y48" s="57" t="str">
        <f t="array" ref="Y48">XLOOKUP(D48,RUC!$B$3:$B$110,RUC!$G$3:$G$110)</f>
        <v/>
      </c>
      <c r="Z48" s="69">
        <f t="array" ref="Z48">XLOOKUP(D48,RUC!$B$3:$B$110,RUC!$H$3:$H$110)</f>
        <v>30</v>
      </c>
      <c r="AA48" s="70">
        <f t="shared" si="4"/>
        <v>30</v>
      </c>
      <c r="AB48" s="71">
        <f t="shared" si="22"/>
        <v>1605.76378</v>
      </c>
      <c r="AC48" s="71">
        <f>+(S48-T48)*V48-'data 1'!$F$4</f>
        <v>63.299</v>
      </c>
      <c r="AD48" s="71">
        <f t="shared" si="5"/>
        <v>134.3125116</v>
      </c>
      <c r="AE48" s="71">
        <f t="shared" si="6"/>
        <v>-36.931</v>
      </c>
      <c r="AF48" s="71">
        <f t="shared" si="7"/>
        <v>101.6975082</v>
      </c>
      <c r="AG48" s="72">
        <f t="shared" si="34"/>
        <v>322.3780198</v>
      </c>
      <c r="AH48" s="193">
        <f t="shared" si="8"/>
        <v>50.516</v>
      </c>
      <c r="AI48" s="193">
        <f t="shared" si="9"/>
        <v>52.38</v>
      </c>
      <c r="AJ48" s="73">
        <f t="shared" si="10"/>
        <v>259.3414265</v>
      </c>
      <c r="AK48" s="73">
        <f t="shared" si="11"/>
        <v>44.75869296</v>
      </c>
      <c r="AM48" s="51">
        <f t="shared" si="12"/>
        <v>4594.090175</v>
      </c>
      <c r="AN48" s="51" t="str">
        <f t="array" ref="AN48">XLOOKUP(D48,RUC!$B$3:$B$565,RUC!$M$3:$M$565)</f>
        <v>Ronald Garibay</v>
      </c>
      <c r="AO48" s="131" t="s">
        <v>558</v>
      </c>
      <c r="AP48" s="57" t="s">
        <v>1423</v>
      </c>
      <c r="AQ48" s="57" t="s">
        <v>1424</v>
      </c>
      <c r="AR48" s="2" t="s">
        <v>1425</v>
      </c>
    </row>
    <row r="49" ht="15.0" customHeight="1">
      <c r="A49" s="116" t="s">
        <v>1426</v>
      </c>
      <c r="B49" s="56">
        <v>45933.0</v>
      </c>
      <c r="C49" s="182">
        <v>45921.0</v>
      </c>
      <c r="D49" s="57" t="s">
        <v>602</v>
      </c>
      <c r="E49" s="3">
        <f t="array" ref="E49">XLOOKUP(D49,RUC!$B$3:$B$110,RUC!$D$3:$D$110)</f>
        <v>20169040231</v>
      </c>
      <c r="G49" s="141">
        <v>66.0</v>
      </c>
      <c r="H49" s="3" t="s">
        <v>47</v>
      </c>
      <c r="I49" s="6">
        <v>5.5</v>
      </c>
      <c r="J49" s="58">
        <v>1.2</v>
      </c>
      <c r="K49" s="6">
        <f t="shared" si="2"/>
        <v>5.434</v>
      </c>
      <c r="L49" s="60">
        <v>1.031</v>
      </c>
      <c r="M49" s="3">
        <v>0.979</v>
      </c>
      <c r="N49" s="62">
        <v>0.979</v>
      </c>
      <c r="O49" s="60">
        <f t="shared" si="3"/>
        <v>0.979</v>
      </c>
      <c r="P49" s="63">
        <v>87.0</v>
      </c>
      <c r="Q49" s="2">
        <v>87.29</v>
      </c>
      <c r="R49" s="65">
        <v>3719.7</v>
      </c>
      <c r="S49" s="66">
        <f t="array" ref="S49">IF((XLOOKUP(D49,RUC!$B$3:$B$106,RUC!$E$3:$E$106)+ROUNDDOWN(O49,1)*100)&lt;95,95,((XLOOKUP(D49,RUC!$B$3:$B$106,RUC!$E$3:$E$106)+ROUNDDOWN(O49,1)*100)))</f>
        <v>175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140">
        <v>35.0</v>
      </c>
      <c r="AA49" s="70">
        <f t="shared" si="4"/>
        <v>55</v>
      </c>
      <c r="AB49" s="71">
        <f t="shared" si="22"/>
        <v>3126.092466</v>
      </c>
      <c r="AC49" s="71">
        <f>+(S49-T49)*V49-'data 1'!$F$4</f>
        <v>112.9025</v>
      </c>
      <c r="AD49" s="71">
        <f t="shared" si="5"/>
        <v>11.86377164</v>
      </c>
      <c r="AE49" s="71">
        <f t="shared" si="6"/>
        <v>-9.3735</v>
      </c>
      <c r="AF49" s="71">
        <f t="shared" si="7"/>
        <v>180.1083935</v>
      </c>
      <c r="AG49" s="72">
        <f t="shared" ref="AG49:AG61" si="35">AC49+AD49+AE49+AF49+70-53</f>
        <v>312.5011652</v>
      </c>
      <c r="AH49" s="193">
        <f t="shared" si="8"/>
        <v>167.669</v>
      </c>
      <c r="AI49" s="193">
        <f t="shared" si="9"/>
        <v>192.082</v>
      </c>
      <c r="AJ49" s="73">
        <f t="shared" si="10"/>
        <v>397.1079268</v>
      </c>
      <c r="AK49" s="73">
        <f t="shared" si="11"/>
        <v>158.6830896</v>
      </c>
      <c r="AM49" s="51">
        <f t="shared" si="12"/>
        <v>16987.18646</v>
      </c>
      <c r="AN49" s="51" t="str">
        <f t="array" ref="AN49">XLOOKUP(D49,RUC!$B$3:$B$565,RUC!$M$3:$M$565)</f>
        <v>Ronald Miranda</v>
      </c>
      <c r="AO49" s="131" t="s">
        <v>551</v>
      </c>
      <c r="AP49" s="57" t="s">
        <v>1427</v>
      </c>
      <c r="AQ49" s="57" t="s">
        <v>1428</v>
      </c>
    </row>
    <row r="50" ht="15.0" customHeight="1">
      <c r="A50" s="116" t="s">
        <v>1429</v>
      </c>
      <c r="B50" s="56">
        <v>45934.0</v>
      </c>
      <c r="C50" s="182">
        <v>45922.0</v>
      </c>
      <c r="D50" s="57" t="s">
        <v>665</v>
      </c>
      <c r="E50" s="3">
        <f t="array" ref="E50">XLOOKUP(D50,RUC!$B$3:$B$110,RUC!$D$3:$D$110)</f>
        <v>20608774000</v>
      </c>
      <c r="G50" s="141">
        <v>59.0</v>
      </c>
      <c r="H50" s="3" t="s">
        <v>40</v>
      </c>
      <c r="I50" s="6">
        <v>4.24</v>
      </c>
      <c r="J50" s="58">
        <v>18.13</v>
      </c>
      <c r="K50" s="6">
        <f t="shared" si="2"/>
        <v>3.471</v>
      </c>
      <c r="L50" s="60">
        <v>0.696</v>
      </c>
      <c r="M50" s="60">
        <v>0.654</v>
      </c>
      <c r="N50" s="75">
        <v>0.756</v>
      </c>
      <c r="O50" s="60">
        <f t="shared" si="3"/>
        <v>0.705</v>
      </c>
      <c r="P50" s="63">
        <v>89.0</v>
      </c>
      <c r="Q50" s="58">
        <v>89.57</v>
      </c>
      <c r="R50" s="65">
        <v>3719.7</v>
      </c>
      <c r="S50" s="66">
        <f t="array" ref="S50">IF((XLOOKUP(D50,RUC!$B$3:$B$106,RUC!$E$3:$E$106)+ROUNDDOWN(O50,1)*100)&lt;95,95,((XLOOKUP(D50,RUC!$B$3:$B$106,RUC!$E$3:$E$106)+ROUNDDOWN(O50,1)*100)))</f>
        <v>155</v>
      </c>
      <c r="U50" s="67">
        <f t="array" ref="U50">XLOOKUP(D50,RUC!$B$3:$B$110,RUC!$F$3:$F$110)</f>
        <v>120</v>
      </c>
      <c r="V50" s="67">
        <v>1.1023</v>
      </c>
      <c r="Y50" s="199">
        <v>40.0</v>
      </c>
      <c r="Z50" s="140">
        <v>35.0</v>
      </c>
      <c r="AA50" s="70">
        <f t="shared" si="4"/>
        <v>75</v>
      </c>
      <c r="AB50" s="71">
        <f t="shared" si="22"/>
        <v>2236.160795</v>
      </c>
      <c r="AC50" s="71">
        <f>+(S50-T50)*V50-'data 1'!$F$4</f>
        <v>90.8565</v>
      </c>
      <c r="AD50" s="71">
        <f t="shared" si="5"/>
        <v>15.7416485</v>
      </c>
      <c r="AE50" s="71">
        <f t="shared" si="6"/>
        <v>12.6725</v>
      </c>
      <c r="AF50" s="71">
        <f t="shared" si="7"/>
        <v>-31.98682977</v>
      </c>
      <c r="AG50" s="72">
        <f t="shared" si="35"/>
        <v>104.2838187</v>
      </c>
      <c r="AH50" s="193">
        <f t="shared" si="8"/>
        <v>74.188</v>
      </c>
      <c r="AI50" s="193">
        <f t="shared" si="9"/>
        <v>82.827</v>
      </c>
      <c r="AJ50" s="73">
        <f t="shared" si="10"/>
        <v>275.0788572</v>
      </c>
      <c r="AK50" s="73">
        <f t="shared" si="11"/>
        <v>74.66942493</v>
      </c>
      <c r="AM50" s="51">
        <f t="shared" si="12"/>
        <v>7761.714118</v>
      </c>
      <c r="AN50" s="51" t="str">
        <f t="array" ref="AN50">XLOOKUP(D50,RUC!$B$3:$B$565,RUC!$M$3:$M$565)</f>
        <v>Ronald Miranda</v>
      </c>
      <c r="AO50" s="131" t="s">
        <v>547</v>
      </c>
      <c r="AP50" s="57" t="s">
        <v>1430</v>
      </c>
      <c r="AQ50" s="57" t="s">
        <v>1431</v>
      </c>
    </row>
    <row r="51" ht="15.0" customHeight="1">
      <c r="A51" s="116" t="s">
        <v>1432</v>
      </c>
      <c r="B51" s="56">
        <v>45933.0</v>
      </c>
      <c r="C51" s="182">
        <v>45922.0</v>
      </c>
      <c r="D51" s="57" t="s">
        <v>602</v>
      </c>
      <c r="E51" s="3">
        <f t="array" ref="E51">XLOOKUP(D51,RUC!$B$3:$B$110,RUC!$D$3:$D$110)</f>
        <v>20169040231</v>
      </c>
      <c r="G51" s="141">
        <v>66.0</v>
      </c>
      <c r="H51" s="3" t="s">
        <v>47</v>
      </c>
      <c r="I51" s="6">
        <v>5.36</v>
      </c>
      <c r="J51" s="58">
        <v>1.1</v>
      </c>
      <c r="K51" s="6">
        <f t="shared" si="2"/>
        <v>5.301</v>
      </c>
      <c r="L51" s="60">
        <v>1.429</v>
      </c>
      <c r="M51" s="60">
        <v>1.358</v>
      </c>
      <c r="N51" s="62">
        <v>1.358</v>
      </c>
      <c r="O51" s="60">
        <f t="shared" si="3"/>
        <v>1.358</v>
      </c>
      <c r="P51" s="63">
        <v>90.0</v>
      </c>
      <c r="Q51" s="58">
        <v>90.53</v>
      </c>
      <c r="R51" s="65">
        <v>3719.7</v>
      </c>
      <c r="S51" s="66">
        <f t="array" ref="S51">IF((XLOOKUP(D51,RUC!$B$3:$B$106,RUC!$E$3:$E$106)+ROUNDDOWN(O51,1)*100)&lt;95,95,((XLOOKUP(D51,RUC!$B$3:$B$106,RUC!$E$3:$E$106)+ROUNDDOWN(O51,1)*100)))</f>
        <v>215</v>
      </c>
      <c r="U51" s="67">
        <f t="array" ref="U51">XLOOKUP(D51,RUC!$B$3:$B$110,RUC!$F$3:$F$110)</f>
        <v>120</v>
      </c>
      <c r="V51" s="67">
        <v>1.1023</v>
      </c>
      <c r="Y51" s="57">
        <f t="array" ref="Y51">XLOOKUP(D51,RUC!$B$3:$B$110,RUC!$G$3:$G$110)</f>
        <v>20</v>
      </c>
      <c r="Z51" s="140">
        <v>35.0</v>
      </c>
      <c r="AA51" s="70">
        <f t="shared" si="4"/>
        <v>55</v>
      </c>
      <c r="AB51" s="71">
        <f t="shared" si="22"/>
        <v>4552.006647</v>
      </c>
      <c r="AC51" s="71">
        <f>+(S51-T51)*V51-'data 1'!$F$4</f>
        <v>156.9945</v>
      </c>
      <c r="AD51" s="71">
        <f t="shared" si="5"/>
        <v>30.05205769</v>
      </c>
      <c r="AE51" s="71">
        <f t="shared" si="6"/>
        <v>-9.3735</v>
      </c>
      <c r="AF51" s="71">
        <f t="shared" si="7"/>
        <v>255.0451002</v>
      </c>
      <c r="AG51" s="72">
        <f t="shared" si="35"/>
        <v>449.7181579</v>
      </c>
      <c r="AH51" s="193">
        <f t="shared" si="8"/>
        <v>235.121</v>
      </c>
      <c r="AI51" s="193">
        <f t="shared" si="9"/>
        <v>259.716</v>
      </c>
      <c r="AJ51" s="73">
        <f t="shared" si="10"/>
        <v>570.8344128</v>
      </c>
      <c r="AK51" s="73">
        <f t="shared" si="11"/>
        <v>222.1309904</v>
      </c>
      <c r="AM51" s="51">
        <f t="shared" si="12"/>
        <v>24130.18723</v>
      </c>
      <c r="AN51" s="51" t="str">
        <f t="array" ref="AN51">XLOOKUP(D51,RUC!$B$3:$B$565,RUC!$M$3:$M$565)</f>
        <v>Ronald Miranda</v>
      </c>
      <c r="AO51" s="131" t="s">
        <v>551</v>
      </c>
      <c r="AP51" s="57" t="s">
        <v>1427</v>
      </c>
      <c r="AQ51" s="57" t="s">
        <v>1428</v>
      </c>
    </row>
    <row r="52" ht="15.0" customHeight="1">
      <c r="A52" s="116" t="s">
        <v>1433</v>
      </c>
      <c r="B52" s="56">
        <v>45934.0</v>
      </c>
      <c r="C52" s="182">
        <v>45922.0</v>
      </c>
      <c r="D52" s="57" t="s">
        <v>665</v>
      </c>
      <c r="E52" s="3">
        <f t="array" ref="E52">XLOOKUP(D52,RUC!$B$3:$B$110,RUC!$D$3:$D$110)</f>
        <v>20608774000</v>
      </c>
      <c r="G52" s="141">
        <v>19.0</v>
      </c>
      <c r="H52" s="3" t="s">
        <v>40</v>
      </c>
      <c r="I52" s="6">
        <v>1.46</v>
      </c>
      <c r="J52" s="58">
        <v>25.22</v>
      </c>
      <c r="K52" s="6">
        <f t="shared" si="2"/>
        <v>1.092</v>
      </c>
      <c r="L52" s="60">
        <v>0.549</v>
      </c>
      <c r="M52" s="60">
        <v>0.522</v>
      </c>
      <c r="N52" s="62">
        <v>0.522</v>
      </c>
      <c r="O52" s="60">
        <f t="shared" si="3"/>
        <v>0.522</v>
      </c>
      <c r="P52" s="63">
        <v>90.0</v>
      </c>
      <c r="Q52" s="58">
        <v>93.18</v>
      </c>
      <c r="R52" s="65">
        <v>3719.7</v>
      </c>
      <c r="S52" s="66">
        <f t="array" ref="S52">IF((XLOOKUP(D52,RUC!$B$3:$B$106,RUC!$E$3:$E$106)+ROUNDDOWN(O52,1)*100)&lt;95,95,((XLOOKUP(D52,RUC!$B$3:$B$106,RUC!$E$3:$E$106)+ROUNDDOWN(O52,1)*100)))</f>
        <v>135</v>
      </c>
      <c r="U52" s="67">
        <f t="array" ref="U52">XLOOKUP(D52,RUC!$B$3:$B$110,RUC!$F$3:$F$110)</f>
        <v>120</v>
      </c>
      <c r="V52" s="67">
        <v>1.1023</v>
      </c>
      <c r="Y52" s="57">
        <f t="array" ref="Y52">XLOOKUP(D52,RUC!$B$3:$B$110,RUC!$G$3:$G$110)</f>
        <v>20</v>
      </c>
      <c r="Z52" s="140">
        <v>35.0</v>
      </c>
      <c r="AA52" s="70">
        <f t="shared" si="4"/>
        <v>55</v>
      </c>
      <c r="AB52" s="71">
        <f t="shared" si="22"/>
        <v>1654.705586</v>
      </c>
      <c r="AC52" s="71">
        <f>+(S52-T52)*V52-'data 1'!$F$4</f>
        <v>68.8105</v>
      </c>
      <c r="AD52" s="71">
        <f t="shared" si="5"/>
        <v>69.27325264</v>
      </c>
      <c r="AE52" s="71">
        <f t="shared" si="6"/>
        <v>-9.3735</v>
      </c>
      <c r="AF52" s="71">
        <f t="shared" si="7"/>
        <v>99.82804951</v>
      </c>
      <c r="AG52" s="72">
        <f t="shared" si="35"/>
        <v>245.5383022</v>
      </c>
      <c r="AH52" s="193">
        <f t="shared" si="8"/>
        <v>19.153</v>
      </c>
      <c r="AI52" s="193">
        <f t="shared" si="9"/>
        <v>20.554</v>
      </c>
      <c r="AJ52" s="73">
        <f t="shared" si="10"/>
        <v>225.7254087</v>
      </c>
      <c r="AK52" s="73">
        <f t="shared" si="11"/>
        <v>17.58914463</v>
      </c>
      <c r="AM52" s="51">
        <f t="shared" si="12"/>
        <v>1806.9385</v>
      </c>
      <c r="AN52" s="51" t="str">
        <f t="array" ref="AN52">XLOOKUP(D52,RUC!$B$3:$B$565,RUC!$M$3:$M$565)</f>
        <v>Ronald Miranda</v>
      </c>
      <c r="AO52" s="131" t="s">
        <v>551</v>
      </c>
      <c r="AP52" s="57" t="s">
        <v>1430</v>
      </c>
      <c r="AQ52" s="57" t="s">
        <v>1431</v>
      </c>
    </row>
    <row r="53" ht="15.0" customHeight="1">
      <c r="A53" s="116" t="s">
        <v>1434</v>
      </c>
      <c r="B53" s="56">
        <v>45933.0</v>
      </c>
      <c r="C53" s="182">
        <v>45923.0</v>
      </c>
      <c r="D53" s="57" t="s">
        <v>602</v>
      </c>
      <c r="E53" s="3">
        <f t="array" ref="E53">XLOOKUP(D53,RUC!$B$3:$B$110,RUC!$D$3:$D$110)</f>
        <v>20169040231</v>
      </c>
      <c r="G53" s="141">
        <v>100.0</v>
      </c>
      <c r="H53" s="3" t="s">
        <v>47</v>
      </c>
      <c r="I53" s="6">
        <v>9.63</v>
      </c>
      <c r="J53" s="58">
        <v>1.45</v>
      </c>
      <c r="K53" s="6">
        <f t="shared" si="2"/>
        <v>9.49</v>
      </c>
      <c r="L53" s="60">
        <v>0.281</v>
      </c>
      <c r="M53" s="60">
        <v>0.266</v>
      </c>
      <c r="N53" s="62">
        <v>0.266</v>
      </c>
      <c r="O53" s="60">
        <f t="shared" si="3"/>
        <v>0.266</v>
      </c>
      <c r="P53" s="63">
        <v>89.0</v>
      </c>
      <c r="Q53" s="58">
        <v>89.68</v>
      </c>
      <c r="R53" s="65">
        <v>3783.8</v>
      </c>
      <c r="S53" s="66">
        <f t="array" ref="S53">IF((XLOOKUP(D53,RUC!$B$3:$B$106,RUC!$E$3:$E$106)+ROUNDDOWN(O53,1)*100)&lt;95,95,((XLOOKUP(D53,RUC!$B$3:$B$106,RUC!$E$3:$E$106)+ROUNDDOWN(O53,1)*100)))</f>
        <v>105</v>
      </c>
      <c r="U53" s="67">
        <f t="array" ref="U53">XLOOKUP(D53,RUC!$B$3:$B$110,RUC!$F$3:$F$110)</f>
        <v>120</v>
      </c>
      <c r="V53" s="67">
        <v>1.1023</v>
      </c>
      <c r="Y53" s="57">
        <f t="array" ref="Y53">XLOOKUP(D53,RUC!$B$3:$B$110,RUC!$G$3:$G$110)</f>
        <v>20</v>
      </c>
      <c r="Z53" s="69">
        <f t="array" ref="Z53">XLOOKUP(D53,RUC!$B$3:$B$110,RUC!$H$3:$H$110)</f>
        <v>30</v>
      </c>
      <c r="AA53" s="70">
        <f t="shared" si="4"/>
        <v>50</v>
      </c>
      <c r="AB53" s="71">
        <f t="shared" si="22"/>
        <v>785.2432596</v>
      </c>
      <c r="AC53" s="71">
        <f>+(S53-T53)*V53-'data 1'!$F$4</f>
        <v>35.7415</v>
      </c>
      <c r="AD53" s="71">
        <f t="shared" si="5"/>
        <v>7.716969759</v>
      </c>
      <c r="AE53" s="71">
        <f t="shared" si="6"/>
        <v>-14.885</v>
      </c>
      <c r="AF53" s="71">
        <f t="shared" si="7"/>
        <v>54.32733787</v>
      </c>
      <c r="AG53" s="72">
        <f t="shared" si="35"/>
        <v>99.90080763</v>
      </c>
      <c r="AH53" s="193">
        <f t="shared" si="8"/>
        <v>81.993</v>
      </c>
      <c r="AI53" s="193">
        <f t="shared" si="9"/>
        <v>91.429</v>
      </c>
      <c r="AJ53" s="73">
        <f t="shared" si="10"/>
        <v>93.38979799</v>
      </c>
      <c r="AK53" s="73">
        <f t="shared" si="11"/>
        <v>77.02769906</v>
      </c>
      <c r="AM53" s="51">
        <f t="shared" si="12"/>
        <v>7451.958534</v>
      </c>
      <c r="AN53" s="51" t="str">
        <f t="array" ref="AN53">XLOOKUP(D53,RUC!$B$3:$B$565,RUC!$M$3:$M$565)</f>
        <v>Ronald Miranda</v>
      </c>
      <c r="AO53" s="131" t="s">
        <v>549</v>
      </c>
      <c r="AP53" s="57" t="s">
        <v>1435</v>
      </c>
      <c r="AQ53" s="57" t="s">
        <v>1436</v>
      </c>
    </row>
    <row r="54" ht="15.0" customHeight="1">
      <c r="A54" s="116" t="s">
        <v>1437</v>
      </c>
      <c r="B54" s="56">
        <v>45931.0</v>
      </c>
      <c r="C54" s="182">
        <v>45923.0</v>
      </c>
      <c r="D54" s="57" t="s">
        <v>665</v>
      </c>
      <c r="E54" s="3">
        <f t="array" ref="E54">XLOOKUP(D54,RUC!$B$3:$B$110,RUC!$D$3:$D$110)</f>
        <v>20608774000</v>
      </c>
      <c r="G54" s="141">
        <v>30.0</v>
      </c>
      <c r="H54" s="3" t="s">
        <v>40</v>
      </c>
      <c r="I54" s="6">
        <v>2.65</v>
      </c>
      <c r="J54" s="58">
        <v>29.8</v>
      </c>
      <c r="K54" s="6">
        <f t="shared" si="2"/>
        <v>1.86</v>
      </c>
      <c r="L54" s="60">
        <v>4.476</v>
      </c>
      <c r="M54" s="60">
        <v>4.252</v>
      </c>
      <c r="N54" s="75">
        <v>4.62</v>
      </c>
      <c r="O54" s="60">
        <f t="shared" si="3"/>
        <v>4.436</v>
      </c>
      <c r="P54" s="63">
        <v>90.0</v>
      </c>
      <c r="Q54" s="58">
        <v>91.2</v>
      </c>
      <c r="R54" s="65">
        <v>3783.8</v>
      </c>
      <c r="S54" s="66">
        <f t="array" ref="S54">IF((XLOOKUP(D54,RUC!$B$3:$B$106,RUC!$E$3:$E$106)+ROUNDDOWN(O54,1)*100)&lt;95,95,((XLOOKUP(D54,RUC!$B$3:$B$106,RUC!$E$3:$E$106)+ROUNDDOWN(O54,1)*100)))</f>
        <v>525</v>
      </c>
      <c r="U54" s="199">
        <v>80.0</v>
      </c>
      <c r="V54" s="67">
        <v>1.1023</v>
      </c>
      <c r="Y54" s="57">
        <f t="array" ref="Y54">XLOOKUP(D54,RUC!$B$3:$B$110,RUC!$G$3:$G$110)</f>
        <v>20</v>
      </c>
      <c r="Z54" s="140">
        <v>35.0</v>
      </c>
      <c r="AA54" s="70">
        <f t="shared" si="4"/>
        <v>55</v>
      </c>
      <c r="AB54" s="71">
        <f t="shared" si="22"/>
        <v>15660.43245</v>
      </c>
      <c r="AC54" s="71">
        <f>+(S54-T54)*V54-'data 1'!$F$4</f>
        <v>498.7075</v>
      </c>
      <c r="AD54" s="71">
        <f t="shared" si="5"/>
        <v>219.2899147</v>
      </c>
      <c r="AE54" s="71">
        <f t="shared" si="6"/>
        <v>-9.3735</v>
      </c>
      <c r="AF54" s="71">
        <f t="shared" si="7"/>
        <v>148.93685</v>
      </c>
      <c r="AG54" s="72">
        <f t="shared" si="35"/>
        <v>874.5607648</v>
      </c>
      <c r="AH54" s="193">
        <f t="shared" si="8"/>
        <v>260.32</v>
      </c>
      <c r="AI54" s="193">
        <f t="shared" si="9"/>
        <v>285.438</v>
      </c>
      <c r="AJ54" s="73">
        <f t="shared" si="10"/>
        <v>1332.814711</v>
      </c>
      <c r="AK54" s="73">
        <f t="shared" si="11"/>
        <v>254.5986288</v>
      </c>
      <c r="AM54" s="51">
        <f t="shared" si="12"/>
        <v>29128.40436</v>
      </c>
      <c r="AN54" s="51" t="str">
        <f t="array" ref="AN54">XLOOKUP(D54,RUC!$B$3:$B$565,RUC!$M$3:$M$565)</f>
        <v>Ronald Miranda</v>
      </c>
      <c r="AO54" s="131" t="s">
        <v>547</v>
      </c>
      <c r="AP54" s="57" t="s">
        <v>1438</v>
      </c>
      <c r="AQ54" s="57" t="s">
        <v>1439</v>
      </c>
      <c r="AR54" s="2" t="s">
        <v>1440</v>
      </c>
    </row>
    <row r="55" ht="15.0" customHeight="1">
      <c r="A55" s="116" t="s">
        <v>1441</v>
      </c>
      <c r="B55" s="56">
        <v>45931.0</v>
      </c>
      <c r="C55" s="182">
        <v>45892.0</v>
      </c>
      <c r="D55" s="57" t="s">
        <v>665</v>
      </c>
      <c r="E55" s="3">
        <f t="array" ref="E55">XLOOKUP(D55,RUC!$B$3:$B$110,RUC!$D$3:$D$110)</f>
        <v>20608774000</v>
      </c>
      <c r="G55" s="141">
        <v>18.0</v>
      </c>
      <c r="H55" s="3" t="s">
        <v>47</v>
      </c>
      <c r="I55" s="6">
        <v>1.57</v>
      </c>
      <c r="J55" s="58">
        <v>6.4</v>
      </c>
      <c r="K55" s="6">
        <f t="shared" si="2"/>
        <v>1.47</v>
      </c>
      <c r="L55" s="60">
        <v>0.25</v>
      </c>
      <c r="M55" s="60">
        <v>0.235</v>
      </c>
      <c r="N55" s="62">
        <v>0.235</v>
      </c>
      <c r="O55" s="60">
        <f t="shared" si="3"/>
        <v>0.235</v>
      </c>
      <c r="P55" s="63">
        <v>81.0</v>
      </c>
      <c r="Q55" s="58">
        <v>88.8</v>
      </c>
      <c r="R55" s="65">
        <v>3783.8</v>
      </c>
      <c r="S55" s="66">
        <f t="array" ref="S55">IF((XLOOKUP(D55,RUC!$B$3:$B$106,RUC!$E$3:$E$106)+ROUNDDOWN(O55,1)*100)&lt;95,95,((XLOOKUP(D55,RUC!$B$3:$B$106,RUC!$E$3:$E$106)+ROUNDDOWN(O55,1)*100)))</f>
        <v>105</v>
      </c>
      <c r="U55" s="199">
        <v>80.0</v>
      </c>
      <c r="V55" s="67">
        <v>1.1023</v>
      </c>
      <c r="Y55" s="57">
        <f t="array" ref="Y55">XLOOKUP(D55,RUC!$B$3:$B$110,RUC!$G$3:$G$110)</f>
        <v>20</v>
      </c>
      <c r="Z55" s="140">
        <v>35.0</v>
      </c>
      <c r="AA55" s="70">
        <f t="shared" si="4"/>
        <v>55</v>
      </c>
      <c r="AB55" s="71">
        <f t="shared" si="22"/>
        <v>600.7737052</v>
      </c>
      <c r="AC55" s="71">
        <f>+(S55-T55)*V55-'data 1'!$F$4</f>
        <v>35.7415</v>
      </c>
      <c r="AD55" s="71">
        <f t="shared" si="5"/>
        <v>79.61262543</v>
      </c>
      <c r="AE55" s="71">
        <f t="shared" si="6"/>
        <v>-9.3735</v>
      </c>
      <c r="AF55" s="71">
        <f t="shared" si="7"/>
        <v>54.38154722</v>
      </c>
      <c r="AG55" s="72">
        <f t="shared" si="35"/>
        <v>177.3621726</v>
      </c>
      <c r="AH55" s="193">
        <f t="shared" si="8"/>
        <v>11.189</v>
      </c>
      <c r="AI55" s="193">
        <f t="shared" si="9"/>
        <v>12.6</v>
      </c>
      <c r="AJ55" s="73">
        <f t="shared" si="10"/>
        <v>72.48327972</v>
      </c>
      <c r="AK55" s="73">
        <f t="shared" si="11"/>
        <v>9.593548715</v>
      </c>
      <c r="AM55" s="51">
        <f t="shared" si="12"/>
        <v>883.1373466</v>
      </c>
      <c r="AN55" s="51" t="str">
        <f t="array" ref="AN55">XLOOKUP(D55,RUC!$B$3:$B$565,RUC!$M$3:$M$565)</f>
        <v>Ronald Miranda</v>
      </c>
      <c r="AO55" s="131" t="s">
        <v>561</v>
      </c>
      <c r="AP55" s="57" t="s">
        <v>1438</v>
      </c>
      <c r="AQ55" s="57" t="s">
        <v>1439</v>
      </c>
      <c r="AR55" s="2" t="s">
        <v>1440</v>
      </c>
    </row>
    <row r="56" ht="15.0" customHeight="1">
      <c r="A56" s="116" t="s">
        <v>1442</v>
      </c>
      <c r="B56" s="56">
        <v>45931.0</v>
      </c>
      <c r="C56" s="182">
        <v>45923.0</v>
      </c>
      <c r="D56" s="57" t="s">
        <v>665</v>
      </c>
      <c r="E56" s="3">
        <f t="array" ref="E56">XLOOKUP(D56,RUC!$B$3:$B$110,RUC!$D$3:$D$110)</f>
        <v>20608774000</v>
      </c>
      <c r="G56" s="141">
        <v>36.0</v>
      </c>
      <c r="H56" s="3" t="s">
        <v>47</v>
      </c>
      <c r="I56" s="6">
        <v>2.7</v>
      </c>
      <c r="J56" s="58">
        <v>8.45</v>
      </c>
      <c r="K56" s="6">
        <f t="shared" si="2"/>
        <v>2.472</v>
      </c>
      <c r="L56" s="60">
        <v>0.28</v>
      </c>
      <c r="M56" s="60">
        <v>0.275</v>
      </c>
      <c r="N56" s="62">
        <v>0.275</v>
      </c>
      <c r="O56" s="60">
        <f t="shared" si="3"/>
        <v>0.275</v>
      </c>
      <c r="P56" s="63">
        <v>86.0</v>
      </c>
      <c r="Q56" s="58">
        <v>93.1</v>
      </c>
      <c r="R56" s="65">
        <v>3783.8</v>
      </c>
      <c r="S56" s="66">
        <f t="array" ref="S56">IF((XLOOKUP(D56,RUC!$B$3:$B$106,RUC!$E$3:$E$106)+ROUNDDOWN(O56,1)*100)&lt;95,95,((XLOOKUP(D56,RUC!$B$3:$B$106,RUC!$E$3:$E$106)+ROUNDDOWN(O56,1)*100)))</f>
        <v>105</v>
      </c>
      <c r="U56" s="199">
        <v>80.0</v>
      </c>
      <c r="V56" s="67">
        <v>1.1023</v>
      </c>
      <c r="Y56" s="57">
        <f t="array" ref="Y56">XLOOKUP(D56,RUC!$B$3:$B$110,RUC!$G$3:$G$110)</f>
        <v>20</v>
      </c>
      <c r="Z56" s="140">
        <v>35.0</v>
      </c>
      <c r="AA56" s="70">
        <f t="shared" si="4"/>
        <v>55</v>
      </c>
      <c r="AB56" s="71">
        <f t="shared" si="22"/>
        <v>789.190252</v>
      </c>
      <c r="AC56" s="71">
        <f>+(S56-T56)*V56-'data 1'!$F$4</f>
        <v>35.7415</v>
      </c>
      <c r="AD56" s="71">
        <f t="shared" si="5"/>
        <v>81.16405095</v>
      </c>
      <c r="AE56" s="71">
        <f t="shared" si="6"/>
        <v>-9.3735</v>
      </c>
      <c r="AF56" s="71">
        <f t="shared" si="7"/>
        <v>19.00496263</v>
      </c>
      <c r="AG56" s="72">
        <f t="shared" si="35"/>
        <v>143.5370136</v>
      </c>
      <c r="AH56" s="193">
        <f t="shared" si="8"/>
        <v>22.094</v>
      </c>
      <c r="AI56" s="193">
        <f t="shared" si="9"/>
        <v>23.731</v>
      </c>
      <c r="AJ56" s="73">
        <f t="shared" si="10"/>
        <v>85.11234846</v>
      </c>
      <c r="AK56" s="73">
        <f t="shared" si="11"/>
        <v>20.04419784</v>
      </c>
      <c r="AM56" s="51">
        <f t="shared" si="12"/>
        <v>1950.878303</v>
      </c>
      <c r="AN56" s="51" t="str">
        <f t="array" ref="AN56">XLOOKUP(D56,RUC!$B$3:$B$565,RUC!$M$3:$M$565)</f>
        <v>Ronald Miranda</v>
      </c>
      <c r="AO56" s="131" t="s">
        <v>561</v>
      </c>
      <c r="AP56" s="57" t="s">
        <v>1438</v>
      </c>
      <c r="AQ56" s="57" t="s">
        <v>1439</v>
      </c>
      <c r="AR56" s="2" t="s">
        <v>1440</v>
      </c>
    </row>
    <row r="57" ht="15.0" customHeight="1">
      <c r="A57" s="116" t="s">
        <v>1443</v>
      </c>
      <c r="B57" s="56">
        <v>45931.0</v>
      </c>
      <c r="C57" s="182">
        <v>45923.0</v>
      </c>
      <c r="D57" s="57" t="s">
        <v>665</v>
      </c>
      <c r="E57" s="3">
        <f t="array" ref="E57">XLOOKUP(D57,RUC!$B$3:$B$110,RUC!$D$3:$D$110)</f>
        <v>20608774000</v>
      </c>
      <c r="G57" s="141">
        <v>35.0</v>
      </c>
      <c r="H57" s="3" t="s">
        <v>47</v>
      </c>
      <c r="I57" s="6">
        <v>2.84</v>
      </c>
      <c r="J57" s="58">
        <v>8.15</v>
      </c>
      <c r="K57" s="6">
        <f t="shared" si="2"/>
        <v>2.609</v>
      </c>
      <c r="L57" s="60">
        <v>0.422</v>
      </c>
      <c r="M57" s="60">
        <v>0.401</v>
      </c>
      <c r="N57" s="62">
        <v>0.401</v>
      </c>
      <c r="O57" s="60">
        <f t="shared" si="3"/>
        <v>0.401</v>
      </c>
      <c r="P57" s="63">
        <v>90.0</v>
      </c>
      <c r="Q57" s="58">
        <v>90.28</v>
      </c>
      <c r="R57" s="65">
        <v>3783.8</v>
      </c>
      <c r="S57" s="66">
        <f t="array" ref="S57">IF((XLOOKUP(D57,RUC!$B$3:$B$106,RUC!$E$3:$E$106)+ROUNDDOWN(O57,1)*100)&lt;95,95,((XLOOKUP(D57,RUC!$B$3:$B$106,RUC!$E$3:$E$106)+ROUNDDOWN(O57,1)*100)))</f>
        <v>125</v>
      </c>
      <c r="U57" s="199">
        <v>80.0</v>
      </c>
      <c r="V57" s="67">
        <v>1.1023</v>
      </c>
      <c r="Y57" s="57">
        <f t="array" ref="Y57">XLOOKUP(D57,RUC!$B$3:$B$110,RUC!$G$3:$G$110)</f>
        <v>20</v>
      </c>
      <c r="Z57" s="140">
        <v>35.0</v>
      </c>
      <c r="AA57" s="70">
        <f t="shared" si="4"/>
        <v>55</v>
      </c>
      <c r="AB57" s="71">
        <f t="shared" si="22"/>
        <v>1275.031975</v>
      </c>
      <c r="AC57" s="71">
        <f>+(S57-T57)*V57-'data 1'!$F$4</f>
        <v>57.7875</v>
      </c>
      <c r="AD57" s="71">
        <f t="shared" si="5"/>
        <v>4.824116831</v>
      </c>
      <c r="AE57" s="71">
        <f t="shared" si="6"/>
        <v>-9.3735</v>
      </c>
      <c r="AF57" s="71">
        <f t="shared" si="7"/>
        <v>77.40306887</v>
      </c>
      <c r="AG57" s="72">
        <f t="shared" si="35"/>
        <v>147.6411857</v>
      </c>
      <c r="AH57" s="193">
        <f t="shared" si="8"/>
        <v>34.079</v>
      </c>
      <c r="AI57" s="193">
        <f t="shared" si="9"/>
        <v>37.748</v>
      </c>
      <c r="AJ57" s="73">
        <f t="shared" si="10"/>
        <v>124.3909724</v>
      </c>
      <c r="AK57" s="73">
        <f t="shared" si="11"/>
        <v>32.28271339</v>
      </c>
      <c r="AM57" s="51">
        <f t="shared" si="12"/>
        <v>3326.558423</v>
      </c>
      <c r="AN57" s="51" t="str">
        <f t="array" ref="AN57">XLOOKUP(D57,RUC!$B$3:$B$565,RUC!$M$3:$M$565)</f>
        <v>Ronald Miranda</v>
      </c>
      <c r="AO57" s="131" t="s">
        <v>561</v>
      </c>
      <c r="AP57" s="57" t="s">
        <v>1438</v>
      </c>
      <c r="AQ57" s="57" t="s">
        <v>1439</v>
      </c>
      <c r="AR57" s="2" t="s">
        <v>1440</v>
      </c>
    </row>
    <row r="58" ht="15.0" customHeight="1">
      <c r="A58" s="116" t="s">
        <v>1444</v>
      </c>
      <c r="B58" s="56">
        <v>45933.0</v>
      </c>
      <c r="C58" s="182">
        <v>45923.0</v>
      </c>
      <c r="D58" s="57" t="s">
        <v>665</v>
      </c>
      <c r="E58" s="3">
        <f t="array" ref="E58">XLOOKUP(D58,RUC!$B$3:$B$110,RUC!$D$3:$D$110)</f>
        <v>20608774000</v>
      </c>
      <c r="G58" s="141">
        <v>40.0</v>
      </c>
      <c r="H58" s="3" t="s">
        <v>47</v>
      </c>
      <c r="I58" s="6">
        <v>3.95</v>
      </c>
      <c r="J58" s="58">
        <v>1.4</v>
      </c>
      <c r="K58" s="6">
        <f t="shared" si="2"/>
        <v>3.895</v>
      </c>
      <c r="L58" s="60">
        <v>0.684</v>
      </c>
      <c r="M58" s="60">
        <v>0.65</v>
      </c>
      <c r="N58" s="62">
        <v>0.65</v>
      </c>
      <c r="O58" s="60">
        <f t="shared" si="3"/>
        <v>0.65</v>
      </c>
      <c r="P58" s="63">
        <v>90.0</v>
      </c>
      <c r="Q58" s="439">
        <v>93.57</v>
      </c>
      <c r="R58" s="65">
        <v>3783.8</v>
      </c>
      <c r="S58" s="66">
        <f t="array" ref="S58">IF((XLOOKUP(D58,RUC!$B$3:$B$106,RUC!$E$3:$E$106)+ROUNDDOWN(O58,1)*100)&lt;95,95,((XLOOKUP(D58,RUC!$B$3:$B$106,RUC!$E$3:$E$106)+ROUNDDOWN(O58,1)*100)))</f>
        <v>145</v>
      </c>
      <c r="U58" s="67">
        <f t="array" ref="U58">XLOOKUP(D58,RUC!$B$3:$B$110,RUC!$F$3:$F$110)</f>
        <v>120</v>
      </c>
      <c r="V58" s="67">
        <v>1.1023</v>
      </c>
      <c r="Y58" s="57">
        <f t="array" ref="Y58">XLOOKUP(D58,RUC!$B$3:$B$110,RUC!$G$3:$G$110)</f>
        <v>20</v>
      </c>
      <c r="Z58" s="140">
        <v>35.0</v>
      </c>
      <c r="AA58" s="70">
        <f t="shared" si="4"/>
        <v>55</v>
      </c>
      <c r="AB58" s="71">
        <f t="shared" si="22"/>
        <v>2142.124943</v>
      </c>
      <c r="AC58" s="71">
        <f>+(S58-T58)*V58-'data 1'!$F$4</f>
        <v>79.8335</v>
      </c>
      <c r="AD58" s="71">
        <f t="shared" si="5"/>
        <v>98.61793026</v>
      </c>
      <c r="AE58" s="71">
        <f t="shared" si="6"/>
        <v>-9.3735</v>
      </c>
      <c r="AF58" s="71">
        <f t="shared" si="7"/>
        <v>128.4834271</v>
      </c>
      <c r="AG58" s="72">
        <f t="shared" si="35"/>
        <v>314.5613574</v>
      </c>
      <c r="AH58" s="193">
        <f t="shared" si="8"/>
        <v>85.469</v>
      </c>
      <c r="AI58" s="193">
        <f t="shared" si="9"/>
        <v>91.342</v>
      </c>
      <c r="AJ58" s="73">
        <f t="shared" si="10"/>
        <v>237.1866536</v>
      </c>
      <c r="AK58" s="73">
        <f t="shared" si="11"/>
        <v>78.12182808</v>
      </c>
      <c r="AM58" s="51">
        <f t="shared" si="12"/>
        <v>8343.576653</v>
      </c>
      <c r="AN58" s="51" t="str">
        <f t="array" ref="AN58">XLOOKUP(D58,RUC!$B$3:$B$565,RUC!$M$3:$M$565)</f>
        <v>Ronald Miranda</v>
      </c>
      <c r="AO58" s="131" t="s">
        <v>549</v>
      </c>
      <c r="AP58" s="57" t="s">
        <v>1445</v>
      </c>
      <c r="AQ58" s="57" t="s">
        <v>1446</v>
      </c>
    </row>
    <row r="59" ht="15.0" customHeight="1">
      <c r="A59" s="116" t="s">
        <v>1447</v>
      </c>
      <c r="B59" s="56">
        <v>45933.0</v>
      </c>
      <c r="C59" s="182">
        <v>45923.0</v>
      </c>
      <c r="D59" s="57" t="s">
        <v>665</v>
      </c>
      <c r="E59" s="3">
        <f t="array" ref="E59">XLOOKUP(D59,RUC!$B$3:$B$110,RUC!$D$3:$D$110)</f>
        <v>20608774000</v>
      </c>
      <c r="G59" s="141">
        <v>37.0</v>
      </c>
      <c r="H59" s="3" t="s">
        <v>47</v>
      </c>
      <c r="I59" s="6">
        <v>3.61</v>
      </c>
      <c r="J59" s="58">
        <v>1.6</v>
      </c>
      <c r="K59" s="6">
        <f t="shared" si="2"/>
        <v>3.552</v>
      </c>
      <c r="L59" s="60">
        <v>0.193</v>
      </c>
      <c r="M59" s="60">
        <v>0.178</v>
      </c>
      <c r="N59" s="62">
        <v>0.178</v>
      </c>
      <c r="O59" s="60">
        <f t="shared" si="3"/>
        <v>0.178</v>
      </c>
      <c r="P59" s="63">
        <v>90.0</v>
      </c>
      <c r="Q59" s="439">
        <v>94.82</v>
      </c>
      <c r="R59" s="65">
        <v>3783.8</v>
      </c>
      <c r="S59" s="66">
        <f t="array" ref="S59">IF((XLOOKUP(D59,RUC!$B$3:$B$106,RUC!$E$3:$E$106)+ROUNDDOWN(O59,1)*100)&lt;95,95,((XLOOKUP(D59,RUC!$B$3:$B$106,RUC!$E$3:$E$106)+ROUNDDOWN(O59,1)*100)))</f>
        <v>95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140">
        <v>35.0</v>
      </c>
      <c r="AA59" s="70">
        <f t="shared" si="4"/>
        <v>55</v>
      </c>
      <c r="AB59" s="71">
        <f t="shared" si="22"/>
        <v>481.6397997</v>
      </c>
      <c r="AC59" s="71">
        <f>+(S59-T59)*V59-'data 1'!$F$4</f>
        <v>24.7185</v>
      </c>
      <c r="AD59" s="71">
        <f t="shared" si="5"/>
        <v>37.56954306</v>
      </c>
      <c r="AE59" s="71">
        <f t="shared" si="6"/>
        <v>-9.3735</v>
      </c>
      <c r="AF59" s="71">
        <f t="shared" si="7"/>
        <v>57.44110366</v>
      </c>
      <c r="AG59" s="72">
        <f t="shared" si="35"/>
        <v>127.3556467</v>
      </c>
      <c r="AH59" s="193">
        <f t="shared" si="8"/>
        <v>22.286</v>
      </c>
      <c r="AI59" s="193">
        <f t="shared" si="9"/>
        <v>23.504</v>
      </c>
      <c r="AJ59" s="73">
        <f t="shared" si="10"/>
        <v>67.81953012</v>
      </c>
      <c r="AK59" s="73">
        <f t="shared" si="11"/>
        <v>19.50942808</v>
      </c>
      <c r="AM59" s="51">
        <f t="shared" si="12"/>
        <v>1710.784569</v>
      </c>
      <c r="AN59" s="51" t="str">
        <f t="array" ref="AN59">XLOOKUP(D59,RUC!$B$3:$B$565,RUC!$M$3:$M$565)</f>
        <v>Ronald Miranda</v>
      </c>
      <c r="AO59" s="131" t="s">
        <v>549</v>
      </c>
      <c r="AP59" s="57" t="s">
        <v>1445</v>
      </c>
      <c r="AQ59" s="57" t="s">
        <v>1446</v>
      </c>
    </row>
    <row r="60" ht="15.0" customHeight="1">
      <c r="A60" s="116" t="s">
        <v>1448</v>
      </c>
      <c r="B60" s="56">
        <v>45936.0</v>
      </c>
      <c r="C60" s="182">
        <v>45923.0</v>
      </c>
      <c r="D60" s="57" t="s">
        <v>602</v>
      </c>
      <c r="E60" s="3">
        <f t="array" ref="E60">XLOOKUP(D60,RUC!$B$3:$B$110,RUC!$D$3:$D$110)</f>
        <v>20169040231</v>
      </c>
      <c r="G60" s="141">
        <v>15.0</v>
      </c>
      <c r="H60" s="3" t="s">
        <v>47</v>
      </c>
      <c r="I60" s="6">
        <v>1.59</v>
      </c>
      <c r="J60" s="58">
        <v>2.1</v>
      </c>
      <c r="K60" s="6">
        <f t="shared" si="2"/>
        <v>1.557</v>
      </c>
      <c r="L60" s="60">
        <v>0.263</v>
      </c>
      <c r="M60" s="60">
        <v>0.248</v>
      </c>
      <c r="N60" s="62">
        <v>0.248</v>
      </c>
      <c r="O60" s="60">
        <f t="shared" si="3"/>
        <v>0.248</v>
      </c>
      <c r="P60" s="63">
        <v>90.0</v>
      </c>
      <c r="Q60" s="439">
        <v>97.34</v>
      </c>
      <c r="R60" s="65">
        <v>3783.8</v>
      </c>
      <c r="S60" s="66">
        <f t="array" ref="S60">IF((XLOOKUP(D60,RUC!$B$3:$B$106,RUC!$E$3:$E$106)+ROUNDDOWN(O60,1)*100)&lt;95,95,((XLOOKUP(D60,RUC!$B$3:$B$106,RUC!$E$3:$E$106)+ROUNDDOWN(O60,1)*100)))</f>
        <v>105</v>
      </c>
      <c r="U60" s="67">
        <f t="array" ref="U60">XLOOKUP(D60,RUC!$B$3:$B$110,RUC!$F$3:$F$110)</f>
        <v>120</v>
      </c>
      <c r="V60" s="67">
        <v>1.1023</v>
      </c>
      <c r="Y60" s="57">
        <f t="array" ref="Y60">XLOOKUP(D60,RUC!$B$3:$B$110,RUC!$G$3:$G$110)</f>
        <v>20</v>
      </c>
      <c r="Z60" s="69">
        <f t="array" ref="Z60">XLOOKUP(D60,RUC!$B$3:$B$110,RUC!$H$3:$H$110)</f>
        <v>30</v>
      </c>
      <c r="AA60" s="70">
        <f t="shared" si="4"/>
        <v>50</v>
      </c>
      <c r="AB60" s="71">
        <f t="shared" si="22"/>
        <v>730.5605244</v>
      </c>
      <c r="AC60" s="71">
        <f>+(S60-T60)*V60-'data 1'!$F$4</f>
        <v>35.7415</v>
      </c>
      <c r="AD60" s="71">
        <f t="shared" si="5"/>
        <v>77.96207223</v>
      </c>
      <c r="AE60" s="71">
        <f t="shared" si="6"/>
        <v>-14.885</v>
      </c>
      <c r="AF60" s="71">
        <f t="shared" si="7"/>
        <v>58.96769701</v>
      </c>
      <c r="AG60" s="72">
        <f t="shared" si="35"/>
        <v>174.7862692</v>
      </c>
      <c r="AH60" s="193">
        <f t="shared" si="8"/>
        <v>13.666</v>
      </c>
      <c r="AI60" s="193">
        <f t="shared" si="9"/>
        <v>14.04</v>
      </c>
      <c r="AJ60" s="73">
        <f t="shared" si="10"/>
        <v>94.87343105</v>
      </c>
      <c r="AK60" s="73">
        <f t="shared" si="11"/>
        <v>11.91494034</v>
      </c>
      <c r="AM60" s="51">
        <f t="shared" si="12"/>
        <v>1137.482736</v>
      </c>
      <c r="AN60" s="51" t="str">
        <f t="array" ref="AN60">XLOOKUP(D60,RUC!$B$3:$B$565,RUC!$M$3:$M$565)</f>
        <v>Ronald Miranda</v>
      </c>
      <c r="AO60" s="131" t="s">
        <v>561</v>
      </c>
      <c r="AP60" s="57" t="s">
        <v>1449</v>
      </c>
      <c r="AQ60" s="57" t="s">
        <v>1450</v>
      </c>
    </row>
    <row r="61" ht="15.0" customHeight="1">
      <c r="A61" s="116" t="s">
        <v>1451</v>
      </c>
      <c r="B61" s="56">
        <v>45936.0</v>
      </c>
      <c r="C61" s="182">
        <v>45923.0</v>
      </c>
      <c r="D61" s="57" t="s">
        <v>602</v>
      </c>
      <c r="E61" s="3">
        <f t="array" ref="E61">XLOOKUP(D61,RUC!$B$3:$B$110,RUC!$D$3:$D$110)</f>
        <v>20169040231</v>
      </c>
      <c r="G61" s="141">
        <v>84.0</v>
      </c>
      <c r="H61" s="3" t="s">
        <v>47</v>
      </c>
      <c r="I61" s="6">
        <v>9.15</v>
      </c>
      <c r="J61" s="58">
        <v>3.0</v>
      </c>
      <c r="K61" s="6">
        <f t="shared" si="2"/>
        <v>8.876</v>
      </c>
      <c r="L61" s="60">
        <v>0.563</v>
      </c>
      <c r="M61" s="60">
        <v>0.535</v>
      </c>
      <c r="N61" s="62">
        <v>0.535</v>
      </c>
      <c r="O61" s="60">
        <f t="shared" si="3"/>
        <v>0.535</v>
      </c>
      <c r="P61" s="63">
        <v>84.0</v>
      </c>
      <c r="Q61" s="439">
        <v>84.37</v>
      </c>
      <c r="R61" s="65">
        <v>3783.8</v>
      </c>
      <c r="S61" s="66">
        <f t="array" ref="S61">IF((XLOOKUP(D61,RUC!$B$3:$B$106,RUC!$E$3:$E$106)+ROUNDDOWN(O61,1)*100)&lt;95,95,((XLOOKUP(D61,RUC!$B$3:$B$106,RUC!$E$3:$E$106)+ROUNDDOWN(O61,1)*100)))</f>
        <v>135</v>
      </c>
      <c r="U61" s="67">
        <f t="array" ref="U61">XLOOKUP(D61,RUC!$B$3:$B$110,RUC!$F$3:$F$110)</f>
        <v>120</v>
      </c>
      <c r="V61" s="67">
        <v>1.1023</v>
      </c>
      <c r="Y61" s="57">
        <f t="array" ref="Y61">XLOOKUP(D61,RUC!$B$3:$B$110,RUC!$G$3:$G$110)</f>
        <v>20</v>
      </c>
      <c r="Z61" s="69">
        <f t="array" ref="Z61">XLOOKUP(D61,RUC!$B$3:$B$110,RUC!$H$3:$H$110)</f>
        <v>30</v>
      </c>
      <c r="AA61" s="70">
        <f t="shared" si="4"/>
        <v>50</v>
      </c>
      <c r="AB61" s="71">
        <f t="shared" si="22"/>
        <v>1611.024369</v>
      </c>
      <c r="AC61" s="71">
        <f>+(S61-T61)*V61-'data 1'!$F$4</f>
        <v>68.8105</v>
      </c>
      <c r="AD61" s="71">
        <f t="shared" si="5"/>
        <v>8.4128217</v>
      </c>
      <c r="AE61" s="71">
        <f t="shared" si="6"/>
        <v>-14.885</v>
      </c>
      <c r="AF61" s="71">
        <f t="shared" si="7"/>
        <v>95.40643018</v>
      </c>
      <c r="AG61" s="72">
        <f t="shared" si="35"/>
        <v>174.7447519</v>
      </c>
      <c r="AH61" s="193">
        <f t="shared" si="8"/>
        <v>144.552</v>
      </c>
      <c r="AI61" s="193">
        <f t="shared" si="9"/>
        <v>171.331</v>
      </c>
      <c r="AJ61" s="73">
        <f t="shared" si="10"/>
        <v>176.0329473</v>
      </c>
      <c r="AK61" s="73">
        <f t="shared" si="11"/>
        <v>136.7601067</v>
      </c>
      <c r="AM61" s="51">
        <f t="shared" si="12"/>
        <v>14299.4523</v>
      </c>
      <c r="AN61" s="51" t="str">
        <f t="array" ref="AN61">XLOOKUP(D61,RUC!$B$3:$B$565,RUC!$M$3:$M$565)</f>
        <v>Ronald Miranda</v>
      </c>
      <c r="AO61" s="131" t="s">
        <v>561</v>
      </c>
      <c r="AP61" s="57" t="s">
        <v>1449</v>
      </c>
      <c r="AQ61" s="57" t="s">
        <v>1450</v>
      </c>
    </row>
    <row r="62" ht="15.0" customHeight="1">
      <c r="A62" s="116" t="s">
        <v>1452</v>
      </c>
      <c r="B62" s="56">
        <v>45932.0</v>
      </c>
      <c r="C62" s="182">
        <v>45925.0</v>
      </c>
      <c r="D62" s="57" t="s">
        <v>74</v>
      </c>
      <c r="E62" s="3">
        <f t="array" ref="E62">XLOOKUP(D62,RUC!$B$3:$B$110,RUC!$D$3:$D$110)</f>
        <v>10082235774</v>
      </c>
      <c r="G62" s="141">
        <v>69.0</v>
      </c>
      <c r="H62" s="3" t="s">
        <v>47</v>
      </c>
      <c r="I62" s="6">
        <v>6.85</v>
      </c>
      <c r="J62" s="58">
        <v>1.3</v>
      </c>
      <c r="K62" s="6">
        <f t="shared" si="2"/>
        <v>6.761</v>
      </c>
      <c r="L62" s="60">
        <v>0.287</v>
      </c>
      <c r="M62" s="60">
        <v>0.27999999999999997</v>
      </c>
      <c r="N62" s="62">
        <v>0.27999999999999997</v>
      </c>
      <c r="O62" s="60">
        <f t="shared" si="3"/>
        <v>0.28</v>
      </c>
      <c r="P62" s="63">
        <v>90.0</v>
      </c>
      <c r="Q62" s="439">
        <v>95.12</v>
      </c>
      <c r="R62" s="65">
        <v>3730.75</v>
      </c>
      <c r="S62" s="133">
        <v>105.0</v>
      </c>
      <c r="U62" s="67">
        <f t="array" ref="U62">XLOOKUP(D62,RUC!$B$3:$B$110,RUC!$F$3:$F$110)</f>
        <v>80</v>
      </c>
      <c r="V62" s="67">
        <v>1.1023</v>
      </c>
      <c r="Y62" s="57" t="str">
        <f t="array" ref="Y62">XLOOKUP(D62,RUC!$B$3:$B$110,RUC!$G$3:$G$110)</f>
        <v/>
      </c>
      <c r="Z62" s="69">
        <f t="array" ref="Z62">XLOOKUP(D62,RUC!$B$3:$B$110,RUC!$H$3:$H$110)</f>
        <v>10</v>
      </c>
      <c r="AA62" s="70">
        <f t="shared" si="4"/>
        <v>10</v>
      </c>
      <c r="AB62" s="71">
        <f t="shared" si="22"/>
        <v>887.3393747</v>
      </c>
      <c r="AC62" s="71">
        <f>+(S62-T62)*V62-'data 1'!$F$4</f>
        <v>35.7415</v>
      </c>
      <c r="AD62" s="71">
        <f t="shared" si="5"/>
        <v>59.13352372</v>
      </c>
      <c r="AE62" s="71">
        <f t="shared" si="6"/>
        <v>-58.977</v>
      </c>
      <c r="AF62" s="71">
        <f t="shared" si="7"/>
        <v>26.79487793</v>
      </c>
      <c r="AG62" s="72">
        <f t="shared" ref="AG62:AG67" si="36">AC62+AD62+AE62+AF62+70</f>
        <v>132.6929016</v>
      </c>
      <c r="AH62" s="193">
        <f t="shared" si="8"/>
        <v>63.281</v>
      </c>
      <c r="AI62" s="193">
        <f t="shared" si="9"/>
        <v>66.528</v>
      </c>
      <c r="AJ62" s="73">
        <f t="shared" si="10"/>
        <v>105.0969132</v>
      </c>
      <c r="AK62" s="73">
        <f t="shared" si="11"/>
        <v>58.41448417</v>
      </c>
      <c r="AM62" s="51">
        <f t="shared" si="12"/>
        <v>5999.301512</v>
      </c>
      <c r="AN62" s="51" t="str">
        <f t="array" ref="AN62">XLOOKUP(D62,RUC!$B$3:$B$565,RUC!$M$3:$M$565)</f>
        <v>Melchor Vera</v>
      </c>
      <c r="AO62" s="131" t="s">
        <v>547</v>
      </c>
      <c r="AP62" s="2" t="s">
        <v>1453</v>
      </c>
      <c r="AQ62" s="2" t="s">
        <v>1454</v>
      </c>
    </row>
    <row r="63" ht="15.0" customHeight="1">
      <c r="A63" s="116" t="s">
        <v>1455</v>
      </c>
      <c r="B63" s="56">
        <v>45932.0</v>
      </c>
      <c r="C63" s="182">
        <v>45925.0</v>
      </c>
      <c r="D63" s="57" t="s">
        <v>74</v>
      </c>
      <c r="E63" s="3">
        <f t="array" ref="E63">XLOOKUP(D63,RUC!$B$3:$B$110,RUC!$D$3:$D$110)</f>
        <v>10082235774</v>
      </c>
      <c r="G63" s="141">
        <v>49.0</v>
      </c>
      <c r="H63" s="3" t="s">
        <v>47</v>
      </c>
      <c r="I63" s="6">
        <v>4.84</v>
      </c>
      <c r="J63" s="58">
        <v>1.2</v>
      </c>
      <c r="K63" s="6">
        <f t="shared" si="2"/>
        <v>4.782</v>
      </c>
      <c r="L63" s="60">
        <v>0.147</v>
      </c>
      <c r="M63" s="60">
        <v>0.13999999999999999</v>
      </c>
      <c r="N63" s="62">
        <v>0.13999999999999999</v>
      </c>
      <c r="O63" s="60">
        <f t="shared" si="3"/>
        <v>0.14</v>
      </c>
      <c r="P63" s="63">
        <v>85.0</v>
      </c>
      <c r="Q63" s="58">
        <v>95.24</v>
      </c>
      <c r="R63" s="65">
        <v>3730.75</v>
      </c>
      <c r="S63" s="133">
        <f t="array" ref="S63">IF((XLOOKUP(D63,RUC!$B$3:$B$106,RUC!$E$3:$E$106)+ROUNDDOWN(O63,1)*100)&lt;95,95,((XLOOKUP(D63,RUC!$B$3:$B$106,RUC!$E$3:$E$106)+ROUNDDOWN(O63,1)*100)))</f>
        <v>95</v>
      </c>
      <c r="U63" s="67">
        <f t="array" ref="U63">XLOOKUP(D63,RUC!$B$3:$B$110,RUC!$F$3:$F$110)</f>
        <v>80</v>
      </c>
      <c r="V63" s="67">
        <v>1.1023</v>
      </c>
      <c r="Y63" s="57" t="str">
        <f t="array" ref="Y63">XLOOKUP(D63,RUC!$B$3:$B$110,RUC!$G$3:$G$110)</f>
        <v/>
      </c>
      <c r="Z63" s="69">
        <f t="array" ref="Z63">XLOOKUP(D63,RUC!$B$3:$B$110,RUC!$H$3:$H$110)</f>
        <v>10</v>
      </c>
      <c r="AA63" s="70">
        <f t="shared" si="4"/>
        <v>10</v>
      </c>
      <c r="AB63" s="71">
        <f t="shared" si="22"/>
        <v>363.1408853</v>
      </c>
      <c r="AC63" s="71">
        <f>+(S63-T63)*V63-'data 1'!$F$4</f>
        <v>24.7185</v>
      </c>
      <c r="AD63" s="71">
        <f t="shared" si="5"/>
        <v>60.57580478</v>
      </c>
      <c r="AE63" s="71">
        <f t="shared" si="6"/>
        <v>-58.977</v>
      </c>
      <c r="AF63" s="71">
        <f t="shared" si="7"/>
        <v>26.8286814</v>
      </c>
      <c r="AG63" s="72">
        <f t="shared" si="36"/>
        <v>123.1459862</v>
      </c>
      <c r="AH63" s="193">
        <f t="shared" si="8"/>
        <v>22.954</v>
      </c>
      <c r="AI63" s="193">
        <f t="shared" si="9"/>
        <v>24.101</v>
      </c>
      <c r="AJ63" s="73">
        <f t="shared" si="10"/>
        <v>53.89803644</v>
      </c>
      <c r="AK63" s="73">
        <f t="shared" si="11"/>
        <v>19.51037435</v>
      </c>
      <c r="AM63" s="51">
        <f t="shared" si="12"/>
        <v>1736.539713</v>
      </c>
      <c r="AN63" s="51" t="str">
        <f t="array" ref="AN63">XLOOKUP(D63,RUC!$B$3:$B$565,RUC!$M$3:$M$565)</f>
        <v>Melchor Vera</v>
      </c>
      <c r="AO63" s="131" t="s">
        <v>551</v>
      </c>
      <c r="AP63" s="2" t="s">
        <v>1453</v>
      </c>
      <c r="AQ63" s="2" t="s">
        <v>1454</v>
      </c>
    </row>
    <row r="64" ht="15.0" customHeight="1">
      <c r="A64" s="116" t="s">
        <v>1456</v>
      </c>
      <c r="B64" s="56">
        <v>45932.0</v>
      </c>
      <c r="C64" s="182">
        <v>45925.0</v>
      </c>
      <c r="D64" s="57" t="s">
        <v>74</v>
      </c>
      <c r="E64" s="3">
        <f t="array" ref="E64">XLOOKUP(D64,RUC!$B$3:$B$110,RUC!$D$3:$D$110)</f>
        <v>10082235774</v>
      </c>
      <c r="G64" s="141">
        <v>68.0</v>
      </c>
      <c r="H64" s="3" t="s">
        <v>47</v>
      </c>
      <c r="I64" s="6">
        <v>6.81</v>
      </c>
      <c r="J64" s="58">
        <v>1.4</v>
      </c>
      <c r="K64" s="6">
        <f t="shared" si="2"/>
        <v>6.715</v>
      </c>
      <c r="L64" s="60">
        <v>0.15</v>
      </c>
      <c r="M64" s="60">
        <v>0.143</v>
      </c>
      <c r="N64" s="62">
        <v>0.143</v>
      </c>
      <c r="O64" s="60">
        <f t="shared" si="3"/>
        <v>0.143</v>
      </c>
      <c r="P64" s="63">
        <v>85.0</v>
      </c>
      <c r="Q64" s="58">
        <v>87.33</v>
      </c>
      <c r="R64" s="65">
        <v>3730.75</v>
      </c>
      <c r="S64" s="133">
        <f t="array" ref="S64">IF((XLOOKUP(D64,RUC!$B$3:$B$106,RUC!$E$3:$E$106)+ROUNDDOWN(O64,1)*100)&lt;95,95,((XLOOKUP(D64,RUC!$B$3:$B$106,RUC!$E$3:$E$106)+ROUNDDOWN(O64,1)*100)))</f>
        <v>95</v>
      </c>
      <c r="U64" s="67">
        <f t="array" ref="U64">XLOOKUP(D64,RUC!$B$3:$B$110,RUC!$F$3:$F$110)</f>
        <v>80</v>
      </c>
      <c r="V64" s="67">
        <v>1.1023</v>
      </c>
      <c r="Y64" s="57" t="str">
        <f t="array" ref="Y64">XLOOKUP(D64,RUC!$B$3:$B$110,RUC!$G$3:$G$110)</f>
        <v/>
      </c>
      <c r="Z64" s="69">
        <f t="array" ref="Z64">XLOOKUP(D64,RUC!$B$3:$B$110,RUC!$H$3:$H$110)</f>
        <v>10</v>
      </c>
      <c r="AA64" s="70">
        <f t="shared" si="4"/>
        <v>10</v>
      </c>
      <c r="AB64" s="71">
        <f t="shared" si="22"/>
        <v>373.4026507</v>
      </c>
      <c r="AC64" s="71">
        <f>+(S64-T64)*V64-'data 1'!$F$4</f>
        <v>24.7185</v>
      </c>
      <c r="AD64" s="71">
        <f t="shared" si="5"/>
        <v>14.06465493</v>
      </c>
      <c r="AE64" s="71">
        <f t="shared" si="6"/>
        <v>-58.977</v>
      </c>
      <c r="AF64" s="71">
        <f t="shared" si="7"/>
        <v>24.60046983</v>
      </c>
      <c r="AG64" s="72">
        <f t="shared" si="36"/>
        <v>74.40662476</v>
      </c>
      <c r="AH64" s="193">
        <f t="shared" si="8"/>
        <v>30.159</v>
      </c>
      <c r="AI64" s="193">
        <f t="shared" si="9"/>
        <v>34.534</v>
      </c>
      <c r="AJ64" s="73">
        <f t="shared" si="10"/>
        <v>50.43022913</v>
      </c>
      <c r="AK64" s="73">
        <f t="shared" si="11"/>
        <v>27.98401658</v>
      </c>
      <c r="AM64" s="51">
        <f t="shared" si="12"/>
        <v>2507.398799</v>
      </c>
      <c r="AN64" s="51" t="str">
        <f t="array" ref="AN64">XLOOKUP(D64,RUC!$B$3:$B$565,RUC!$M$3:$M$565)</f>
        <v>Melchor Vera</v>
      </c>
      <c r="AO64" s="131" t="s">
        <v>547</v>
      </c>
      <c r="AP64" s="2" t="s">
        <v>1453</v>
      </c>
      <c r="AQ64" s="2" t="s">
        <v>1454</v>
      </c>
    </row>
    <row r="65" ht="15.0" customHeight="1">
      <c r="A65" s="116" t="s">
        <v>1457</v>
      </c>
      <c r="B65" s="56">
        <v>45932.0</v>
      </c>
      <c r="C65" s="182">
        <v>45925.0</v>
      </c>
      <c r="D65" s="57" t="s">
        <v>74</v>
      </c>
      <c r="E65" s="3">
        <f t="array" ref="E65">XLOOKUP(D65,RUC!$B$3:$B$110,RUC!$D$3:$D$110)</f>
        <v>10082235774</v>
      </c>
      <c r="G65" s="141">
        <v>53.0</v>
      </c>
      <c r="H65" s="3" t="s">
        <v>47</v>
      </c>
      <c r="I65" s="6">
        <v>5.21</v>
      </c>
      <c r="J65" s="58">
        <v>1.6</v>
      </c>
      <c r="K65" s="6">
        <f t="shared" si="2"/>
        <v>5.127</v>
      </c>
      <c r="L65" s="60">
        <v>0.154</v>
      </c>
      <c r="M65" s="60">
        <v>0.147</v>
      </c>
      <c r="N65" s="62">
        <v>0.147</v>
      </c>
      <c r="O65" s="60">
        <f t="shared" si="3"/>
        <v>0.147</v>
      </c>
      <c r="P65" s="63">
        <v>85.0</v>
      </c>
      <c r="Q65" s="58">
        <v>95.45</v>
      </c>
      <c r="R65" s="65">
        <v>3730.75</v>
      </c>
      <c r="S65" s="133">
        <f t="array" ref="S65">IF((XLOOKUP(D65,RUC!$B$3:$B$106,RUC!$E$3:$E$106)+ROUNDDOWN(O65,1)*100)&lt;95,95,((XLOOKUP(D65,RUC!$B$3:$B$106,RUC!$E$3:$E$106)+ROUNDDOWN(O65,1)*100)))</f>
        <v>95</v>
      </c>
      <c r="U65" s="67">
        <f t="array" ref="U65">XLOOKUP(D65,RUC!$B$3:$B$110,RUC!$F$3:$F$110)</f>
        <v>80</v>
      </c>
      <c r="V65" s="67">
        <v>1.1023</v>
      </c>
      <c r="Y65" s="57" t="str">
        <f t="array" ref="Y65">XLOOKUP(D65,RUC!$B$3:$B$110,RUC!$G$3:$G$110)</f>
        <v/>
      </c>
      <c r="Z65" s="69">
        <f t="array" ref="Z65">XLOOKUP(D65,RUC!$B$3:$B$110,RUC!$H$3:$H$110)</f>
        <v>10</v>
      </c>
      <c r="AA65" s="70">
        <f t="shared" si="4"/>
        <v>10</v>
      </c>
      <c r="AB65" s="71">
        <f t="shared" si="22"/>
        <v>387.0850045</v>
      </c>
      <c r="AC65" s="71">
        <f>+(S65-T65)*V65-'data 1'!$F$4</f>
        <v>24.7185</v>
      </c>
      <c r="AD65" s="71">
        <f t="shared" si="5"/>
        <v>64.76180022</v>
      </c>
      <c r="AE65" s="71">
        <f t="shared" si="6"/>
        <v>-58.977</v>
      </c>
      <c r="AF65" s="71">
        <f t="shared" si="7"/>
        <v>26.88783746</v>
      </c>
      <c r="AG65" s="72">
        <f t="shared" si="36"/>
        <v>127.3911377</v>
      </c>
      <c r="AH65" s="193">
        <f t="shared" si="8"/>
        <v>25.839</v>
      </c>
      <c r="AI65" s="193">
        <f t="shared" si="9"/>
        <v>27.07</v>
      </c>
      <c r="AJ65" s="73">
        <f t="shared" si="10"/>
        <v>56.58911158</v>
      </c>
      <c r="AK65" s="73">
        <f t="shared" si="11"/>
        <v>21.96385901</v>
      </c>
      <c r="AM65" s="51">
        <f t="shared" si="12"/>
        <v>1984.584818</v>
      </c>
      <c r="AN65" s="51" t="str">
        <f t="array" ref="AN65">XLOOKUP(D65,RUC!$B$3:$B$565,RUC!$M$3:$M$565)</f>
        <v>Melchor Vera</v>
      </c>
      <c r="AO65" s="131" t="s">
        <v>551</v>
      </c>
      <c r="AP65" s="2" t="s">
        <v>1453</v>
      </c>
      <c r="AQ65" s="2" t="s">
        <v>1454</v>
      </c>
    </row>
    <row r="66" ht="15.0" customHeight="1">
      <c r="A66" s="116" t="s">
        <v>1458</v>
      </c>
      <c r="B66" s="56">
        <v>45932.0</v>
      </c>
      <c r="C66" s="182">
        <v>45925.0</v>
      </c>
      <c r="D66" s="57" t="s">
        <v>74</v>
      </c>
      <c r="E66" s="3">
        <f t="array" ref="E66">XLOOKUP(D66,RUC!$B$3:$B$110,RUC!$D$3:$D$110)</f>
        <v>10082235774</v>
      </c>
      <c r="G66" s="141">
        <v>68.0</v>
      </c>
      <c r="H66" s="3" t="s">
        <v>47</v>
      </c>
      <c r="I66" s="6">
        <v>6.64</v>
      </c>
      <c r="J66" s="58">
        <v>1.5</v>
      </c>
      <c r="K66" s="6">
        <f t="shared" si="2"/>
        <v>6.54</v>
      </c>
      <c r="L66" s="60">
        <v>0.128</v>
      </c>
      <c r="M66" s="60">
        <v>0.121</v>
      </c>
      <c r="N66" s="62">
        <v>0.121</v>
      </c>
      <c r="O66" s="60">
        <f t="shared" si="3"/>
        <v>0.121</v>
      </c>
      <c r="P66" s="63">
        <v>85.0</v>
      </c>
      <c r="Q66" s="58">
        <v>90.63</v>
      </c>
      <c r="R66" s="65">
        <v>3730.75</v>
      </c>
      <c r="S66" s="133">
        <f t="array" ref="S66">IF((XLOOKUP(D66,RUC!$B$3:$B$106,RUC!$E$3:$E$106)+ROUNDDOWN(O66,1)*100)&lt;95,95,((XLOOKUP(D66,RUC!$B$3:$B$106,RUC!$E$3:$E$106)+ROUNDDOWN(O66,1)*100)))</f>
        <v>95</v>
      </c>
      <c r="U66" s="67">
        <f t="array" ref="U66">XLOOKUP(D66,RUC!$B$3:$B$110,RUC!$F$3:$F$110)</f>
        <v>80</v>
      </c>
      <c r="V66" s="67">
        <v>1.1023</v>
      </c>
      <c r="Y66" s="57" t="str">
        <f t="array" ref="Y66">XLOOKUP(D66,RUC!$B$3:$B$110,RUC!$G$3:$G$110)</f>
        <v/>
      </c>
      <c r="Z66" s="69">
        <f t="array" ref="Z66">XLOOKUP(D66,RUC!$B$3:$B$110,RUC!$H$3:$H$110)</f>
        <v>10</v>
      </c>
      <c r="AA66" s="70">
        <f t="shared" si="4"/>
        <v>10</v>
      </c>
      <c r="AB66" s="71">
        <f t="shared" si="22"/>
        <v>298.1497044</v>
      </c>
      <c r="AC66" s="71">
        <f>+(S66-T66)*V66-'data 1'!$F$4</f>
        <v>24.7185</v>
      </c>
      <c r="AD66" s="71">
        <f t="shared" si="5"/>
        <v>29.00015144</v>
      </c>
      <c r="AE66" s="71">
        <f t="shared" si="6"/>
        <v>-58.977</v>
      </c>
      <c r="AF66" s="71">
        <f t="shared" si="7"/>
        <v>25.53006505</v>
      </c>
      <c r="AG66" s="72">
        <f t="shared" si="36"/>
        <v>90.27171648</v>
      </c>
      <c r="AH66" s="193">
        <f t="shared" si="8"/>
        <v>26.012</v>
      </c>
      <c r="AI66" s="193">
        <f t="shared" si="9"/>
        <v>28.701</v>
      </c>
      <c r="AJ66" s="73">
        <f t="shared" si="10"/>
        <v>44.65994376</v>
      </c>
      <c r="AK66" s="73">
        <f t="shared" si="11"/>
        <v>23.06168913</v>
      </c>
      <c r="AM66" s="51">
        <f t="shared" si="12"/>
        <v>1949.899067</v>
      </c>
      <c r="AN66" s="51" t="str">
        <f t="array" ref="AN66">XLOOKUP(D66,RUC!$B$3:$B$565,RUC!$M$3:$M$565)</f>
        <v>Melchor Vera</v>
      </c>
      <c r="AO66" s="131" t="s">
        <v>547</v>
      </c>
      <c r="AP66" s="2" t="s">
        <v>1453</v>
      </c>
      <c r="AQ66" s="2" t="s">
        <v>1454</v>
      </c>
    </row>
    <row r="67" ht="15.0" customHeight="1">
      <c r="A67" s="116" t="s">
        <v>1459</v>
      </c>
      <c r="B67" s="56">
        <v>45932.0</v>
      </c>
      <c r="C67" s="182">
        <v>45925.0</v>
      </c>
      <c r="D67" s="57" t="s">
        <v>74</v>
      </c>
      <c r="E67" s="3">
        <f t="array" ref="E67">XLOOKUP(D67,RUC!$B$3:$B$110,RUC!$D$3:$D$110)</f>
        <v>10082235774</v>
      </c>
      <c r="G67" s="141">
        <v>49.0</v>
      </c>
      <c r="H67" s="3" t="s">
        <v>47</v>
      </c>
      <c r="I67" s="6">
        <v>4.63</v>
      </c>
      <c r="J67" s="58">
        <v>1.2</v>
      </c>
      <c r="K67" s="6">
        <f t="shared" si="2"/>
        <v>4.574</v>
      </c>
      <c r="L67" s="60">
        <v>0.124</v>
      </c>
      <c r="M67" s="60">
        <v>0.11699999999999999</v>
      </c>
      <c r="N67" s="62">
        <v>0.11699999999999999</v>
      </c>
      <c r="O67" s="60">
        <f t="shared" si="3"/>
        <v>0.117</v>
      </c>
      <c r="P67" s="63">
        <v>85.0</v>
      </c>
      <c r="Q67" s="58">
        <v>98.39</v>
      </c>
      <c r="R67" s="65">
        <v>3730.75</v>
      </c>
      <c r="S67" s="133">
        <f t="array" ref="S67">IF((XLOOKUP(D67,RUC!$B$3:$B$106,RUC!$E$3:$E$106)+ROUNDDOWN(O67,1)*100)&lt;95,95,((XLOOKUP(D67,RUC!$B$3:$B$106,RUC!$E$3:$E$106)+ROUNDDOWN(O67,1)*100)))</f>
        <v>95</v>
      </c>
      <c r="U67" s="67">
        <f t="array" ref="U67">XLOOKUP(D67,RUC!$B$3:$B$110,RUC!$F$3:$F$110)</f>
        <v>80</v>
      </c>
      <c r="V67" s="67">
        <v>1.1023</v>
      </c>
      <c r="Y67" s="57" t="str">
        <f t="array" ref="Y67">XLOOKUP(D67,RUC!$B$3:$B$110,RUC!$G$3:$G$110)</f>
        <v/>
      </c>
      <c r="Z67" s="69">
        <f t="array" ref="Z67">XLOOKUP(D67,RUC!$B$3:$B$110,RUC!$H$3:$H$110)</f>
        <v>10</v>
      </c>
      <c r="AA67" s="70">
        <f t="shared" si="4"/>
        <v>10</v>
      </c>
      <c r="AB67" s="71">
        <f t="shared" si="22"/>
        <v>284.4673506</v>
      </c>
      <c r="AC67" s="71">
        <f>+(S67-T67)*V67-'data 1'!$F$4</f>
        <v>24.7185</v>
      </c>
      <c r="AD67" s="71">
        <f t="shared" si="5"/>
        <v>66.81656783</v>
      </c>
      <c r="AE67" s="71">
        <f t="shared" si="6"/>
        <v>-58.977</v>
      </c>
      <c r="AF67" s="71">
        <f t="shared" si="7"/>
        <v>27.71602229</v>
      </c>
      <c r="AG67" s="72">
        <f t="shared" si="36"/>
        <v>130.2740901</v>
      </c>
      <c r="AH67" s="193">
        <f t="shared" si="8"/>
        <v>19.133</v>
      </c>
      <c r="AI67" s="193">
        <f t="shared" si="9"/>
        <v>19.446</v>
      </c>
      <c r="AJ67" s="73">
        <f t="shared" si="10"/>
        <v>46.96873547</v>
      </c>
      <c r="AK67" s="73">
        <f t="shared" si="11"/>
        <v>15.59588474</v>
      </c>
      <c r="AM67" s="51">
        <f t="shared" si="12"/>
        <v>1301.153661</v>
      </c>
      <c r="AN67" s="51" t="str">
        <f t="array" ref="AN67">XLOOKUP(D67,RUC!$B$3:$B$565,RUC!$M$3:$M$565)</f>
        <v>Melchor Vera</v>
      </c>
      <c r="AO67" s="131" t="s">
        <v>551</v>
      </c>
      <c r="AP67" s="2" t="s">
        <v>1453</v>
      </c>
      <c r="AQ67" s="2" t="s">
        <v>1454</v>
      </c>
    </row>
    <row r="68" ht="15.0" customHeight="1">
      <c r="A68" s="116" t="s">
        <v>1460</v>
      </c>
      <c r="B68" s="56">
        <v>45935.0</v>
      </c>
      <c r="C68" s="182">
        <v>45925.0</v>
      </c>
      <c r="D68" s="57" t="s">
        <v>602</v>
      </c>
      <c r="E68" s="3">
        <f t="array" ref="E68">XLOOKUP(D68,RUC!$B$3:$B$110,RUC!$D$3:$D$110)</f>
        <v>20169040231</v>
      </c>
      <c r="G68" s="141">
        <v>144.0</v>
      </c>
      <c r="H68" s="3" t="s">
        <v>47</v>
      </c>
      <c r="I68" s="6">
        <v>13.4</v>
      </c>
      <c r="J68" s="58">
        <v>1.7</v>
      </c>
      <c r="K68" s="6">
        <f t="shared" si="2"/>
        <v>13.172</v>
      </c>
      <c r="L68" s="60">
        <v>0.328</v>
      </c>
      <c r="M68" s="60">
        <v>0.312</v>
      </c>
      <c r="N68" s="62">
        <v>0.312</v>
      </c>
      <c r="O68" s="60">
        <f t="shared" si="3"/>
        <v>0.312</v>
      </c>
      <c r="P68" s="63">
        <v>89.0</v>
      </c>
      <c r="Q68" s="439">
        <v>89.94</v>
      </c>
      <c r="R68" s="65">
        <v>3730.75</v>
      </c>
      <c r="S68" s="66">
        <f t="array" ref="S68">IF((XLOOKUP(D68,RUC!$B$3:$B$106,RUC!$E$3:$E$106)+ROUNDDOWN(O68,1)*100)&lt;95,95,((XLOOKUP(D68,RUC!$B$3:$B$106,RUC!$E$3:$E$106)+ROUNDDOWN(O68,1)*100)))</f>
        <v>115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4"/>
        <v>50</v>
      </c>
      <c r="AB68" s="71">
        <f t="shared" si="22"/>
        <v>923.322922</v>
      </c>
      <c r="AC68" s="71">
        <f>+(S68-T68)*V68-'data 1'!$F$4</f>
        <v>46.7645</v>
      </c>
      <c r="AD68" s="71">
        <f t="shared" si="5"/>
        <v>12.27153597</v>
      </c>
      <c r="AE68" s="71">
        <f t="shared" si="6"/>
        <v>-14.885</v>
      </c>
      <c r="AF68" s="71">
        <f t="shared" si="7"/>
        <v>57.27565879</v>
      </c>
      <c r="AG68" s="72">
        <f t="shared" ref="AG68:AG97" si="37">AC68+AD68+AE68+AF68+70-53</f>
        <v>118.4266948</v>
      </c>
      <c r="AH68" s="193">
        <f t="shared" si="8"/>
        <v>133.226</v>
      </c>
      <c r="AI68" s="193">
        <f t="shared" si="9"/>
        <v>148.127</v>
      </c>
      <c r="AJ68" s="73">
        <f t="shared" si="10"/>
        <v>126.5771041</v>
      </c>
      <c r="AK68" s="73">
        <f t="shared" si="11"/>
        <v>125.4022682</v>
      </c>
      <c r="AM68" s="51">
        <f t="shared" si="12"/>
        <v>12162.00953</v>
      </c>
      <c r="AN68" s="51" t="str">
        <f t="array" ref="AN68">XLOOKUP(D68,RUC!$B$3:$B$565,RUC!$M$3:$M$565)</f>
        <v>Ronald Miranda</v>
      </c>
      <c r="AO68" s="131" t="s">
        <v>551</v>
      </c>
      <c r="AP68" s="57" t="s">
        <v>1461</v>
      </c>
      <c r="AQ68" s="57" t="s">
        <v>1462</v>
      </c>
    </row>
    <row r="69" ht="15.0" customHeight="1">
      <c r="A69" s="116" t="s">
        <v>1463</v>
      </c>
      <c r="B69" s="56">
        <v>45934.0</v>
      </c>
      <c r="C69" s="182">
        <v>45926.0</v>
      </c>
      <c r="D69" s="57" t="s">
        <v>225</v>
      </c>
      <c r="E69" s="3">
        <f t="array" ref="E69">XLOOKUP(D69,RUC!$B$3:$B$110,RUC!$D$3:$D$110)</f>
        <v>10761932735</v>
      </c>
      <c r="G69" s="141">
        <v>33.0</v>
      </c>
      <c r="H69" s="3" t="s">
        <v>47</v>
      </c>
      <c r="I69" s="6">
        <v>2.89</v>
      </c>
      <c r="J69" s="58">
        <v>7.85</v>
      </c>
      <c r="K69" s="6">
        <f t="shared" si="2"/>
        <v>2.663</v>
      </c>
      <c r="L69" s="60">
        <v>0.623</v>
      </c>
      <c r="M69" s="60">
        <v>0.592</v>
      </c>
      <c r="N69" s="75">
        <v>0.618</v>
      </c>
      <c r="O69" s="60">
        <f t="shared" si="3"/>
        <v>0.605</v>
      </c>
      <c r="P69" s="63">
        <v>90.0</v>
      </c>
      <c r="Q69" s="439">
        <v>97.43</v>
      </c>
      <c r="R69" s="65">
        <v>3769.85</v>
      </c>
      <c r="S69" s="66">
        <f t="array" ref="S69">IF((XLOOKUP(D69,RUC!$B$3:$B$106,RUC!$E$3:$E$106)+ROUNDDOWN(O69,1)*100)&lt;95,95,((XLOOKUP(D69,RUC!$B$3:$B$106,RUC!$E$3:$E$106)+ROUNDDOWN(O69,1)*100)))</f>
        <v>150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4"/>
        <v>50</v>
      </c>
      <c r="AB69" s="71">
        <f t="shared" si="22"/>
        <v>1970.188547</v>
      </c>
      <c r="AC69" s="71">
        <f>+(S69-T69)*V69-'data 1'!$F$4</f>
        <v>85.345</v>
      </c>
      <c r="AD69" s="71">
        <f t="shared" si="5"/>
        <v>186.2308752</v>
      </c>
      <c r="AE69" s="71">
        <f t="shared" si="6"/>
        <v>-14.885</v>
      </c>
      <c r="AF69" s="71">
        <f t="shared" si="7"/>
        <v>70.55698775</v>
      </c>
      <c r="AG69" s="72">
        <f t="shared" si="37"/>
        <v>344.2478629</v>
      </c>
      <c r="AH69" s="193">
        <f t="shared" si="8"/>
        <v>55.419</v>
      </c>
      <c r="AI69" s="193">
        <f t="shared" si="9"/>
        <v>56.881</v>
      </c>
      <c r="AJ69" s="73">
        <f t="shared" si="10"/>
        <v>234.2797151</v>
      </c>
      <c r="AK69" s="73">
        <f t="shared" si="11"/>
        <v>49.71393267</v>
      </c>
      <c r="AM69" s="51">
        <f t="shared" si="12"/>
        <v>5246.612101</v>
      </c>
      <c r="AN69" s="51" t="str">
        <f t="array" ref="AN69">XLOOKUP(D69,RUC!$B$3:$B$565,RUC!$M$3:$M$565)</f>
        <v>Richard Sapacayo</v>
      </c>
      <c r="AO69" s="131" t="s">
        <v>549</v>
      </c>
      <c r="AP69" s="57" t="s">
        <v>1464</v>
      </c>
      <c r="AQ69" s="57" t="s">
        <v>1465</v>
      </c>
    </row>
    <row r="70" ht="15.0" customHeight="1">
      <c r="A70" s="116" t="s">
        <v>1466</v>
      </c>
      <c r="B70" s="56">
        <v>45934.0</v>
      </c>
      <c r="C70" s="182">
        <v>45926.0</v>
      </c>
      <c r="D70" s="57" t="s">
        <v>225</v>
      </c>
      <c r="E70" s="3">
        <f t="array" ref="E70">XLOOKUP(D70,RUC!$B$3:$B$110,RUC!$D$3:$D$110)</f>
        <v>10761932735</v>
      </c>
      <c r="G70" s="141">
        <v>60.0</v>
      </c>
      <c r="H70" s="3" t="s">
        <v>47</v>
      </c>
      <c r="I70" s="6">
        <v>4.93</v>
      </c>
      <c r="J70" s="58">
        <v>10.88</v>
      </c>
      <c r="K70" s="6">
        <f t="shared" si="2"/>
        <v>4.394</v>
      </c>
      <c r="L70" s="60">
        <v>0.288</v>
      </c>
      <c r="M70" s="60">
        <v>0.273</v>
      </c>
      <c r="N70" s="75">
        <v>0.288</v>
      </c>
      <c r="O70" s="60">
        <f t="shared" si="3"/>
        <v>0.281</v>
      </c>
      <c r="P70" s="63">
        <v>90.0</v>
      </c>
      <c r="Q70" s="439">
        <v>95.14</v>
      </c>
      <c r="R70" s="65">
        <v>3769.85</v>
      </c>
      <c r="S70" s="66">
        <f t="array" ref="S70">IF((XLOOKUP(D70,RUC!$B$3:$B$106,RUC!$E$3:$E$106)+ROUNDDOWN(O70,1)*100)&lt;95,95,((XLOOKUP(D70,RUC!$B$3:$B$106,RUC!$E$3:$E$106)+ROUNDDOWN(O70,1)*100)))</f>
        <v>110</v>
      </c>
      <c r="U70" s="67">
        <f t="array" ref="U70">XLOOKUP(D70,RUC!$B$3:$B$110,RUC!$F$3:$F$110)</f>
        <v>120</v>
      </c>
      <c r="V70" s="67">
        <v>1.1023</v>
      </c>
      <c r="Y70" s="57">
        <f t="array" ref="Y70">XLOOKUP(D70,RUC!$B$3:$B$110,RUC!$G$3:$G$110)</f>
        <v>20</v>
      </c>
      <c r="Z70" s="69">
        <f t="array" ref="Z70">XLOOKUP(D70,RUC!$B$3:$B$110,RUC!$H$3:$H$110)</f>
        <v>30</v>
      </c>
      <c r="AA70" s="70">
        <f t="shared" si="4"/>
        <v>50</v>
      </c>
      <c r="AB70" s="71">
        <f t="shared" si="22"/>
        <v>841.1067797</v>
      </c>
      <c r="AC70" s="71">
        <f>+(S70-T70)*V70-'data 1'!$F$4</f>
        <v>41.253</v>
      </c>
      <c r="AD70" s="71">
        <f t="shared" si="5"/>
        <v>59.55667323</v>
      </c>
      <c r="AE70" s="71">
        <f t="shared" si="6"/>
        <v>-14.885</v>
      </c>
      <c r="AF70" s="71">
        <f t="shared" si="7"/>
        <v>26.79390486</v>
      </c>
      <c r="AG70" s="72">
        <f t="shared" si="37"/>
        <v>129.7185781</v>
      </c>
      <c r="AH70" s="193">
        <f t="shared" si="8"/>
        <v>41.279</v>
      </c>
      <c r="AI70" s="193">
        <f t="shared" si="9"/>
        <v>43.387</v>
      </c>
      <c r="AJ70" s="73">
        <f t="shared" si="10"/>
        <v>105.7571096</v>
      </c>
      <c r="AK70" s="73">
        <f t="shared" si="11"/>
        <v>38.09938376</v>
      </c>
      <c r="AM70" s="51">
        <f t="shared" si="12"/>
        <v>3695.82319</v>
      </c>
      <c r="AN70" s="51" t="str">
        <f t="array" ref="AN70">XLOOKUP(D70,RUC!$B$3:$B$565,RUC!$M$3:$M$565)</f>
        <v>Richard Sapacayo</v>
      </c>
      <c r="AO70" s="131" t="s">
        <v>561</v>
      </c>
      <c r="AP70" s="57" t="s">
        <v>1464</v>
      </c>
      <c r="AQ70" s="57" t="s">
        <v>1465</v>
      </c>
    </row>
    <row r="71" ht="15.0" customHeight="1">
      <c r="A71" s="116" t="s">
        <v>1467</v>
      </c>
      <c r="B71" s="56">
        <v>45935.0</v>
      </c>
      <c r="C71" s="182">
        <v>45929.0</v>
      </c>
      <c r="D71" s="57" t="s">
        <v>622</v>
      </c>
      <c r="E71" s="3">
        <f t="array" ref="E71">XLOOKUP(D71,RUC!$B$3:$B$110,RUC!$D$3:$D$110)</f>
        <v>20612719757</v>
      </c>
      <c r="G71" s="141">
        <v>40.0</v>
      </c>
      <c r="H71" s="3" t="s">
        <v>40</v>
      </c>
      <c r="I71" s="6">
        <v>3.04</v>
      </c>
      <c r="J71" s="58">
        <v>22.42</v>
      </c>
      <c r="K71" s="6">
        <f t="shared" si="2"/>
        <v>2.358</v>
      </c>
      <c r="L71" s="60">
        <v>0.446</v>
      </c>
      <c r="M71" s="60">
        <v>0.424</v>
      </c>
      <c r="N71" s="62">
        <f t="shared" ref="N71:N73" si="38">+M71</f>
        <v>0.424</v>
      </c>
      <c r="O71" s="60">
        <f t="shared" si="3"/>
        <v>0.424</v>
      </c>
      <c r="P71" s="63">
        <v>90.0</v>
      </c>
      <c r="Q71" s="58">
        <v>93.05</v>
      </c>
      <c r="R71" s="65">
        <v>3826.85</v>
      </c>
      <c r="S71" s="66">
        <f t="array" ref="S71">IF((XLOOKUP(D71,RUC!$B$3:$B$106,RUC!$E$3:$E$106)+ROUNDDOWN(O71,1)*100)&lt;95,95,((XLOOKUP(D71,RUC!$B$3:$B$106,RUC!$E$3:$E$106)+ROUNDDOWN(O71,1)*100)))</f>
        <v>130</v>
      </c>
      <c r="U71" s="67">
        <f t="array" ref="U71">XLOOKUP(D71,RUC!$B$3:$B$110,RUC!$F$3:$F$110)</f>
        <v>120</v>
      </c>
      <c r="V71" s="67">
        <v>1.1023</v>
      </c>
      <c r="Y71" s="57">
        <f t="array" ref="Y71">XLOOKUP(D71,RUC!$B$3:$B$110,RUC!$G$3:$G$110)</f>
        <v>20</v>
      </c>
      <c r="Z71" s="69">
        <f t="array" ref="Z71">XLOOKUP(D71,RUC!$B$3:$B$110,RUC!$H$3:$H$110)</f>
        <v>30</v>
      </c>
      <c r="AA71" s="70">
        <f t="shared" si="4"/>
        <v>50</v>
      </c>
      <c r="AB71" s="71">
        <f t="shared" si="22"/>
        <v>1360.826784</v>
      </c>
      <c r="AC71" s="71">
        <f>+(S71-T71)*V71-'data 1'!$F$4</f>
        <v>63.299</v>
      </c>
      <c r="AD71" s="71">
        <f t="shared" si="5"/>
        <v>55.58268445</v>
      </c>
      <c r="AE71" s="71">
        <f t="shared" si="6"/>
        <v>-14.885</v>
      </c>
      <c r="AF71" s="71">
        <f t="shared" si="7"/>
        <v>83.64574972</v>
      </c>
      <c r="AG71" s="72">
        <f t="shared" si="37"/>
        <v>204.6424342</v>
      </c>
      <c r="AH71" s="193">
        <f t="shared" si="8"/>
        <v>33.551</v>
      </c>
      <c r="AI71" s="193">
        <f t="shared" si="9"/>
        <v>36.057</v>
      </c>
      <c r="AJ71" s="73">
        <f t="shared" si="10"/>
        <v>134.1037561</v>
      </c>
      <c r="AK71" s="73">
        <f t="shared" si="11"/>
        <v>30.85043102</v>
      </c>
      <c r="AM71" s="51">
        <f t="shared" si="12"/>
        <v>3208.829557</v>
      </c>
      <c r="AN71" s="51" t="str">
        <f t="array" ref="AN71">XLOOKUP(D71,RUC!$B$3:$B$565,RUC!$M$3:$M$565)</f>
        <v>Walter Achulla </v>
      </c>
      <c r="AO71" s="131" t="s">
        <v>547</v>
      </c>
      <c r="AP71" s="57" t="s">
        <v>634</v>
      </c>
      <c r="AQ71" s="57" t="s">
        <v>1468</v>
      </c>
    </row>
    <row r="72" ht="15.0" customHeight="1">
      <c r="A72" s="116" t="s">
        <v>1469</v>
      </c>
      <c r="B72" s="56">
        <v>45935.0</v>
      </c>
      <c r="C72" s="182">
        <v>45929.0</v>
      </c>
      <c r="D72" s="57" t="s">
        <v>622</v>
      </c>
      <c r="E72" s="3">
        <f t="array" ref="E72">XLOOKUP(D72,RUC!$B$3:$B$110,RUC!$D$3:$D$110)</f>
        <v>20612719757</v>
      </c>
      <c r="G72" s="141">
        <v>38.0</v>
      </c>
      <c r="H72" s="3" t="s">
        <v>40</v>
      </c>
      <c r="I72" s="6">
        <v>3.15</v>
      </c>
      <c r="J72" s="58">
        <v>15.55</v>
      </c>
      <c r="K72" s="6">
        <f t="shared" si="2"/>
        <v>2.66</v>
      </c>
      <c r="L72" s="60">
        <v>0.38</v>
      </c>
      <c r="M72" s="60">
        <v>0.361</v>
      </c>
      <c r="N72" s="62">
        <f t="shared" si="38"/>
        <v>0.361</v>
      </c>
      <c r="O72" s="60">
        <f t="shared" si="3"/>
        <v>0.361</v>
      </c>
      <c r="P72" s="63">
        <v>90.0</v>
      </c>
      <c r="Q72" s="58">
        <v>95.0</v>
      </c>
      <c r="R72" s="65">
        <v>3826.85</v>
      </c>
      <c r="S72" s="66">
        <f t="array" ref="S72">IF((XLOOKUP(D72,RUC!$B$3:$B$106,RUC!$E$3:$E$106)+ROUNDDOWN(O72,1)*100)&lt;95,95,((XLOOKUP(D72,RUC!$B$3:$B$106,RUC!$E$3:$E$106)+ROUNDDOWN(O72,1)*100)))</f>
        <v>120</v>
      </c>
      <c r="U72" s="67">
        <f t="array" ref="U72">XLOOKUP(D72,RUC!$B$3:$B$110,RUC!$F$3:$F$110)</f>
        <v>120</v>
      </c>
      <c r="V72" s="67">
        <v>1.1023</v>
      </c>
      <c r="Y72" s="57">
        <f t="array" ref="Y72">XLOOKUP(D72,RUC!$B$3:$B$110,RUC!$G$3:$G$110)</f>
        <v>20</v>
      </c>
      <c r="Z72" s="69">
        <f t="array" ref="Z72">XLOOKUP(D72,RUC!$B$3:$B$110,RUC!$H$3:$H$110)</f>
        <v>30</v>
      </c>
      <c r="AA72" s="70">
        <f t="shared" si="4"/>
        <v>50</v>
      </c>
      <c r="AB72" s="71">
        <f t="shared" si="22"/>
        <v>1140.170139</v>
      </c>
      <c r="AC72" s="71">
        <f>+(S72-T72)*V72-'data 1'!$F$4</f>
        <v>52.276</v>
      </c>
      <c r="AD72" s="71">
        <f t="shared" si="5"/>
        <v>77.63515435</v>
      </c>
      <c r="AE72" s="71">
        <f t="shared" si="6"/>
        <v>-14.885</v>
      </c>
      <c r="AF72" s="71">
        <f t="shared" si="7"/>
        <v>73.75339663</v>
      </c>
      <c r="AG72" s="72">
        <f t="shared" si="37"/>
        <v>205.779551</v>
      </c>
      <c r="AH72" s="193">
        <f t="shared" si="8"/>
        <v>32.923</v>
      </c>
      <c r="AI72" s="193">
        <f t="shared" si="9"/>
        <v>34.656</v>
      </c>
      <c r="AJ72" s="73">
        <f t="shared" si="10"/>
        <v>116.6532674</v>
      </c>
      <c r="AK72" s="73">
        <f t="shared" si="11"/>
        <v>29.63059806</v>
      </c>
      <c r="AM72" s="51">
        <f t="shared" si="12"/>
        <v>3032.852571</v>
      </c>
      <c r="AN72" s="51" t="str">
        <f t="array" ref="AN72">XLOOKUP(D72,RUC!$B$3:$B$565,RUC!$M$3:$M$565)</f>
        <v>Walter Achulla </v>
      </c>
      <c r="AO72" s="131" t="s">
        <v>551</v>
      </c>
      <c r="AP72" s="57" t="s">
        <v>634</v>
      </c>
      <c r="AQ72" s="57" t="s">
        <v>1468</v>
      </c>
    </row>
    <row r="73" ht="15.0" customHeight="1">
      <c r="A73" s="116" t="s">
        <v>1470</v>
      </c>
      <c r="B73" s="56">
        <v>45935.0</v>
      </c>
      <c r="C73" s="182">
        <v>45929.0</v>
      </c>
      <c r="D73" s="57" t="s">
        <v>622</v>
      </c>
      <c r="E73" s="3">
        <f t="array" ref="E73">XLOOKUP(D73,RUC!$B$3:$B$110,RUC!$D$3:$D$110)</f>
        <v>20612719757</v>
      </c>
      <c r="G73" s="141">
        <v>40.0</v>
      </c>
      <c r="H73" s="3" t="s">
        <v>40</v>
      </c>
      <c r="I73" s="6">
        <v>3.1</v>
      </c>
      <c r="J73" s="58">
        <v>15.62</v>
      </c>
      <c r="K73" s="6">
        <f t="shared" si="2"/>
        <v>2.616</v>
      </c>
      <c r="L73" s="60">
        <v>0.361</v>
      </c>
      <c r="M73" s="60">
        <v>0.343</v>
      </c>
      <c r="N73" s="62">
        <f t="shared" si="38"/>
        <v>0.343</v>
      </c>
      <c r="O73" s="60">
        <f t="shared" si="3"/>
        <v>0.343</v>
      </c>
      <c r="P73" s="63">
        <v>90.0</v>
      </c>
      <c r="Q73" s="58">
        <v>93.91</v>
      </c>
      <c r="R73" s="65">
        <v>3826.85</v>
      </c>
      <c r="S73" s="66">
        <f t="array" ref="S73">IF((XLOOKUP(D73,RUC!$B$3:$B$106,RUC!$E$3:$E$106)+ROUNDDOWN(O73,1)*100)&lt;95,95,((XLOOKUP(D73,RUC!$B$3:$B$106,RUC!$E$3:$E$106)+ROUNDDOWN(O73,1)*100)))</f>
        <v>120</v>
      </c>
      <c r="U73" s="67">
        <f t="array" ref="U73">XLOOKUP(D73,RUC!$B$3:$B$110,RUC!$F$3:$F$110)</f>
        <v>120</v>
      </c>
      <c r="V73" s="67">
        <v>1.1023</v>
      </c>
      <c r="Y73" s="57">
        <f t="array" ref="Y73">XLOOKUP(D73,RUC!$B$3:$B$110,RUC!$G$3:$G$110)</f>
        <v>20</v>
      </c>
      <c r="Z73" s="69">
        <f t="array" ref="Z73">XLOOKUP(D73,RUC!$B$3:$B$110,RUC!$H$3:$H$110)</f>
        <v>30</v>
      </c>
      <c r="AA73" s="70">
        <f t="shared" si="4"/>
        <v>50</v>
      </c>
      <c r="AB73" s="71">
        <f t="shared" si="22"/>
        <v>1073.975955</v>
      </c>
      <c r="AC73" s="71">
        <f>+(S73-T73)*V73-'data 1'!$F$4</f>
        <v>52.276</v>
      </c>
      <c r="AD73" s="71">
        <f t="shared" si="5"/>
        <v>57.67515616</v>
      </c>
      <c r="AE73" s="71">
        <f t="shared" si="6"/>
        <v>-14.885</v>
      </c>
      <c r="AF73" s="71">
        <f t="shared" si="7"/>
        <v>69.06995379</v>
      </c>
      <c r="AG73" s="72">
        <f t="shared" si="37"/>
        <v>181.13611</v>
      </c>
      <c r="AH73" s="193">
        <f t="shared" si="8"/>
        <v>30.406</v>
      </c>
      <c r="AI73" s="193">
        <f t="shared" si="9"/>
        <v>32.378</v>
      </c>
      <c r="AJ73" s="73">
        <f t="shared" si="10"/>
        <v>109.5490835</v>
      </c>
      <c r="AK73" s="73">
        <f t="shared" si="11"/>
        <v>27.68748055</v>
      </c>
      <c r="AM73" s="51">
        <f t="shared" si="12"/>
        <v>2809.521098</v>
      </c>
      <c r="AN73" s="51" t="str">
        <f t="array" ref="AN73">XLOOKUP(D73,RUC!$B$3:$B$565,RUC!$M$3:$M$565)</f>
        <v>Walter Achulla </v>
      </c>
      <c r="AO73" s="131" t="s">
        <v>561</v>
      </c>
      <c r="AP73" s="57" t="s">
        <v>634</v>
      </c>
      <c r="AQ73" s="57" t="s">
        <v>1468</v>
      </c>
    </row>
    <row r="74" ht="15.0" customHeight="1">
      <c r="A74" s="132" t="s">
        <v>1471</v>
      </c>
      <c r="B74" s="440">
        <v>45936.0</v>
      </c>
      <c r="C74" s="182">
        <v>45929.0</v>
      </c>
      <c r="D74" s="57" t="s">
        <v>225</v>
      </c>
      <c r="E74" s="3">
        <f t="array" ref="E74">XLOOKUP(D74,RUC!$B$3:$B$110,RUC!$D$3:$D$110)</f>
        <v>10761932735</v>
      </c>
      <c r="G74" s="141">
        <v>116.0</v>
      </c>
      <c r="H74" s="3" t="s">
        <v>47</v>
      </c>
      <c r="I74" s="6">
        <v>9.96</v>
      </c>
      <c r="J74" s="58">
        <v>12.15</v>
      </c>
      <c r="K74" s="6">
        <f t="shared" si="2"/>
        <v>8.75</v>
      </c>
      <c r="L74" s="60">
        <v>0.083</v>
      </c>
      <c r="M74" s="60">
        <v>0.08</v>
      </c>
      <c r="N74" s="75">
        <v>0.106</v>
      </c>
      <c r="O74" s="60">
        <f t="shared" si="3"/>
        <v>0.093</v>
      </c>
      <c r="P74" s="63">
        <v>80.0</v>
      </c>
      <c r="Q74" s="58">
        <v>98.95</v>
      </c>
      <c r="R74" s="65">
        <v>3826.85</v>
      </c>
      <c r="S74" s="66">
        <f t="array" ref="S74">IF((XLOOKUP(D74,RUC!$B$3:$B$106,RUC!$E$3:$E$106)+ROUNDDOWN(O74,1)*100)&lt;95,95,((XLOOKUP(D74,RUC!$B$3:$B$106,RUC!$E$3:$E$106)+ROUNDDOWN(O74,1)*100)))</f>
        <v>95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69">
        <f t="array" ref="Z74">XLOOKUP(D74,RUC!$B$3:$B$110,RUC!$H$3:$H$110)</f>
        <v>30</v>
      </c>
      <c r="AA74" s="70">
        <f t="shared" si="4"/>
        <v>50</v>
      </c>
      <c r="AB74" s="71">
        <f t="shared" si="22"/>
        <v>144.1694202</v>
      </c>
      <c r="AC74" s="71">
        <f>+(S74-T74)*V74-'data 1'!$F$4</f>
        <v>24.7185</v>
      </c>
      <c r="AD74" s="71">
        <f t="shared" si="5"/>
        <v>64.26760659</v>
      </c>
      <c r="AE74" s="71">
        <f t="shared" si="6"/>
        <v>-14.885</v>
      </c>
      <c r="AF74" s="71">
        <f t="shared" si="7"/>
        <v>-40.43157117</v>
      </c>
      <c r="AG74" s="72">
        <f t="shared" si="37"/>
        <v>50.66953541</v>
      </c>
      <c r="AH74" s="193">
        <f t="shared" si="8"/>
        <v>24.638</v>
      </c>
      <c r="AI74" s="193">
        <f t="shared" si="9"/>
        <v>24.9</v>
      </c>
      <c r="AJ74" s="73">
        <f t="shared" si="10"/>
        <v>26.53894148</v>
      </c>
      <c r="AK74" s="73">
        <f t="shared" si="11"/>
        <v>22.31978762</v>
      </c>
      <c r="AM74" s="51">
        <f t="shared" si="12"/>
        <v>1261.482427</v>
      </c>
      <c r="AN74" s="51" t="str">
        <f t="array" ref="AN74">XLOOKUP(D74,RUC!$B$3:$B$565,RUC!$M$3:$M$565)</f>
        <v>Richard Sapacayo</v>
      </c>
      <c r="AO74" s="131" t="s">
        <v>549</v>
      </c>
      <c r="AP74" s="57" t="s">
        <v>1472</v>
      </c>
      <c r="AQ74" s="57" t="s">
        <v>1473</v>
      </c>
    </row>
    <row r="75" ht="15.0" customHeight="1">
      <c r="A75" s="116" t="s">
        <v>1474</v>
      </c>
      <c r="B75" s="56">
        <v>45936.0</v>
      </c>
      <c r="C75" s="182">
        <v>45929.0</v>
      </c>
      <c r="D75" s="57" t="s">
        <v>225</v>
      </c>
      <c r="E75" s="3">
        <f t="array" ref="E75">XLOOKUP(D75,RUC!$B$3:$B$110,RUC!$D$3:$D$110)</f>
        <v>10761932735</v>
      </c>
      <c r="G75" s="141">
        <v>61.0</v>
      </c>
      <c r="H75" s="3" t="s">
        <v>47</v>
      </c>
      <c r="I75" s="6">
        <v>5.57</v>
      </c>
      <c r="J75" s="58">
        <v>12.03</v>
      </c>
      <c r="K75" s="6">
        <f t="shared" si="2"/>
        <v>4.9</v>
      </c>
      <c r="L75" s="60">
        <v>0.265</v>
      </c>
      <c r="M75" s="60">
        <v>0.25</v>
      </c>
      <c r="N75" s="62">
        <f>+M75</f>
        <v>0.25</v>
      </c>
      <c r="O75" s="60">
        <f t="shared" si="3"/>
        <v>0.25</v>
      </c>
      <c r="P75" s="63">
        <v>90.0</v>
      </c>
      <c r="Q75" s="58">
        <v>94.72</v>
      </c>
      <c r="R75" s="65">
        <v>3826.85</v>
      </c>
      <c r="S75" s="66">
        <f t="array" ref="S75">IF((XLOOKUP(D75,RUC!$B$3:$B$106,RUC!$E$3:$E$106)+ROUNDDOWN(O75,1)*100)&lt;95,95,((XLOOKUP(D75,RUC!$B$3:$B$106,RUC!$E$3:$E$106)+ROUNDDOWN(O75,1)*100)))</f>
        <v>110</v>
      </c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69">
        <f t="array" ref="Z75">XLOOKUP(D75,RUC!$B$3:$B$110,RUC!$H$3:$H$110)</f>
        <v>30</v>
      </c>
      <c r="AA75" s="70">
        <f t="shared" si="4"/>
        <v>50</v>
      </c>
      <c r="AB75" s="71">
        <f t="shared" si="22"/>
        <v>742.9956699</v>
      </c>
      <c r="AC75" s="71">
        <f>+(S75-T75)*V75-'data 1'!$F$4</f>
        <v>41.253</v>
      </c>
      <c r="AD75" s="71">
        <f t="shared" si="5"/>
        <v>51.10844792</v>
      </c>
      <c r="AE75" s="71">
        <f t="shared" si="6"/>
        <v>-14.885</v>
      </c>
      <c r="AF75" s="71">
        <f t="shared" si="7"/>
        <v>58.05475121</v>
      </c>
      <c r="AG75" s="72">
        <f t="shared" si="37"/>
        <v>152.5311991</v>
      </c>
      <c r="AH75" s="193">
        <f t="shared" si="8"/>
        <v>42.169</v>
      </c>
      <c r="AI75" s="193">
        <f t="shared" si="9"/>
        <v>44.52</v>
      </c>
      <c r="AJ75" s="73">
        <f t="shared" si="10"/>
        <v>81.11053561</v>
      </c>
      <c r="AK75" s="73">
        <f t="shared" si="11"/>
        <v>37.79964033</v>
      </c>
      <c r="AM75" s="51">
        <f t="shared" si="12"/>
        <v>3640.678782</v>
      </c>
      <c r="AN75" s="51" t="str">
        <f t="array" ref="AN75">XLOOKUP(D75,RUC!$B$3:$B$565,RUC!$M$3:$M$565)</f>
        <v>Richard Sapacayo</v>
      </c>
      <c r="AO75" s="131" t="s">
        <v>561</v>
      </c>
      <c r="AP75" s="57" t="s">
        <v>1472</v>
      </c>
      <c r="AQ75" s="57" t="s">
        <v>1473</v>
      </c>
    </row>
    <row r="76" ht="15.0" customHeight="1">
      <c r="A76" s="116" t="s">
        <v>1475</v>
      </c>
      <c r="B76" s="56">
        <v>45936.0</v>
      </c>
      <c r="C76" s="182">
        <v>45929.0</v>
      </c>
      <c r="D76" s="57" t="s">
        <v>225</v>
      </c>
      <c r="E76" s="3">
        <f t="array" ref="E76">XLOOKUP(D76,RUC!$B$3:$B$110,RUC!$D$3:$D$110)</f>
        <v>10761932735</v>
      </c>
      <c r="G76" s="141">
        <v>20.0</v>
      </c>
      <c r="H76" s="3" t="s">
        <v>47</v>
      </c>
      <c r="I76" s="6">
        <v>1.76</v>
      </c>
      <c r="J76" s="58">
        <v>9.1</v>
      </c>
      <c r="K76" s="6">
        <f t="shared" si="2"/>
        <v>1.6</v>
      </c>
      <c r="L76" s="60">
        <v>0.376</v>
      </c>
      <c r="M76" s="60">
        <v>0.357</v>
      </c>
      <c r="N76" s="75">
        <v>0.377</v>
      </c>
      <c r="O76" s="60">
        <f t="shared" si="3"/>
        <v>0.367</v>
      </c>
      <c r="P76" s="63">
        <v>90.0</v>
      </c>
      <c r="Q76" s="58">
        <v>96.81</v>
      </c>
      <c r="R76" s="65">
        <v>3826.85</v>
      </c>
      <c r="S76" s="66">
        <f t="array" ref="S76">IF((XLOOKUP(D76,RUC!$B$3:$B$106,RUC!$E$3:$E$106)+ROUNDDOWN(O76,1)*100)&lt;95,95,((XLOOKUP(D76,RUC!$B$3:$B$106,RUC!$E$3:$E$106)+ROUNDDOWN(O76,1)*100)))</f>
        <v>120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69">
        <f t="array" ref="Z76">XLOOKUP(D76,RUC!$B$3:$B$110,RUC!$H$3:$H$110)</f>
        <v>30</v>
      </c>
      <c r="AA76" s="70">
        <f t="shared" si="4"/>
        <v>50</v>
      </c>
      <c r="AB76" s="71">
        <f t="shared" si="22"/>
        <v>1162.234867</v>
      </c>
      <c r="AC76" s="71">
        <f>+(S76-T76)*V76-'data 1'!$F$4</f>
        <v>52.276</v>
      </c>
      <c r="AD76" s="71">
        <f t="shared" si="5"/>
        <v>104.6260373</v>
      </c>
      <c r="AE76" s="71">
        <f t="shared" si="6"/>
        <v>-14.885</v>
      </c>
      <c r="AF76" s="71">
        <f t="shared" si="7"/>
        <v>35.60143875</v>
      </c>
      <c r="AG76" s="72">
        <f t="shared" si="37"/>
        <v>194.618476</v>
      </c>
      <c r="AH76" s="193">
        <f t="shared" si="8"/>
        <v>19.968</v>
      </c>
      <c r="AI76" s="193">
        <f t="shared" si="9"/>
        <v>20.626</v>
      </c>
      <c r="AJ76" s="73">
        <f t="shared" si="10"/>
        <v>117.6244948</v>
      </c>
      <c r="AK76" s="73">
        <f t="shared" si="11"/>
        <v>18.11914188</v>
      </c>
      <c r="AM76" s="51">
        <f t="shared" si="12"/>
        <v>1859.575788</v>
      </c>
      <c r="AN76" s="51" t="str">
        <f t="array" ref="AN76">XLOOKUP(D76,RUC!$B$3:$B$565,RUC!$M$3:$M$565)</f>
        <v>Richard Sapacayo</v>
      </c>
      <c r="AO76" s="131" t="s">
        <v>549</v>
      </c>
      <c r="AP76" s="57" t="s">
        <v>1472</v>
      </c>
      <c r="AQ76" s="57" t="s">
        <v>1473</v>
      </c>
    </row>
    <row r="77" ht="15.0" customHeight="1">
      <c r="A77" s="116" t="s">
        <v>1476</v>
      </c>
      <c r="B77" s="56">
        <v>45936.0</v>
      </c>
      <c r="C77" s="182">
        <v>45929.0</v>
      </c>
      <c r="D77" s="57" t="s">
        <v>225</v>
      </c>
      <c r="E77" s="3">
        <f t="array" ref="E77">XLOOKUP(D77,RUC!$B$3:$B$110,RUC!$D$3:$D$110)</f>
        <v>10761932735</v>
      </c>
      <c r="G77" s="141">
        <v>118.0</v>
      </c>
      <c r="H77" s="3" t="s">
        <v>47</v>
      </c>
      <c r="I77" s="6">
        <v>9.83</v>
      </c>
      <c r="J77" s="58">
        <v>12.8</v>
      </c>
      <c r="K77" s="6">
        <f t="shared" si="2"/>
        <v>8.572</v>
      </c>
      <c r="L77" s="60">
        <v>0.159</v>
      </c>
      <c r="M77" s="60">
        <v>0.144</v>
      </c>
      <c r="N77" s="75">
        <v>0.181</v>
      </c>
      <c r="O77" s="60">
        <f t="shared" si="3"/>
        <v>0.163</v>
      </c>
      <c r="P77" s="63">
        <v>90.0</v>
      </c>
      <c r="Q77" s="58">
        <v>95.6</v>
      </c>
      <c r="R77" s="65">
        <v>3826.85</v>
      </c>
      <c r="S77" s="66">
        <f t="array" ref="S77">IF((XLOOKUP(D77,RUC!$B$3:$B$106,RUC!$E$3:$E$106)+ROUNDDOWN(O77,1)*100)&lt;95,95,((XLOOKUP(D77,RUC!$B$3:$B$106,RUC!$E$3:$E$106)+ROUNDDOWN(O77,1)*100)))</f>
        <v>100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69">
        <f t="array" ref="Z77">XLOOKUP(D77,RUC!$B$3:$B$110,RUC!$H$3:$H$110)</f>
        <v>30</v>
      </c>
      <c r="AA77" s="70">
        <f t="shared" si="4"/>
        <v>50</v>
      </c>
      <c r="AB77" s="71">
        <f t="shared" si="22"/>
        <v>434.0801128</v>
      </c>
      <c r="AC77" s="71">
        <f>+(S77-T77)*V77-'data 1'!$F$4</f>
        <v>30.23</v>
      </c>
      <c r="AD77" s="71">
        <f t="shared" si="5"/>
        <v>36.38228496</v>
      </c>
      <c r="AE77" s="71">
        <f t="shared" si="6"/>
        <v>-14.885</v>
      </c>
      <c r="AF77" s="71">
        <f t="shared" si="7"/>
        <v>-15.62509633</v>
      </c>
      <c r="AG77" s="72">
        <f t="shared" si="37"/>
        <v>53.10218864</v>
      </c>
      <c r="AH77" s="193">
        <f t="shared" si="8"/>
        <v>44.673</v>
      </c>
      <c r="AI77" s="193">
        <f t="shared" si="9"/>
        <v>46.729</v>
      </c>
      <c r="AJ77" s="73">
        <f t="shared" si="10"/>
        <v>49.1184578</v>
      </c>
      <c r="AK77" s="73">
        <f t="shared" si="11"/>
        <v>43.11430061</v>
      </c>
      <c r="AM77" s="51">
        <f t="shared" si="12"/>
        <v>3720.934727</v>
      </c>
      <c r="AN77" s="51" t="str">
        <f t="array" ref="AN77">XLOOKUP(D77,RUC!$B$3:$B$565,RUC!$M$3:$M$565)</f>
        <v>Richard Sapacayo</v>
      </c>
      <c r="AO77" s="131" t="s">
        <v>549</v>
      </c>
      <c r="AP77" s="57" t="s">
        <v>1472</v>
      </c>
      <c r="AQ77" s="57" t="s">
        <v>1473</v>
      </c>
    </row>
    <row r="78" ht="15.0" customHeight="1">
      <c r="A78" s="116" t="s">
        <v>1477</v>
      </c>
      <c r="B78" s="56">
        <v>45936.0</v>
      </c>
      <c r="C78" s="182">
        <v>45929.0</v>
      </c>
      <c r="D78" s="57" t="s">
        <v>225</v>
      </c>
      <c r="E78" s="3">
        <f t="array" ref="E78">XLOOKUP(D78,RUC!$B$3:$B$110,RUC!$D$3:$D$110)</f>
        <v>10761932735</v>
      </c>
      <c r="G78" s="141" t="s">
        <v>735</v>
      </c>
      <c r="H78" s="3" t="s">
        <v>47</v>
      </c>
      <c r="I78" s="6">
        <v>8.22</v>
      </c>
      <c r="J78" s="58">
        <v>14.6</v>
      </c>
      <c r="K78" s="6">
        <f t="shared" si="2"/>
        <v>7.02</v>
      </c>
      <c r="L78" s="60">
        <v>0.148</v>
      </c>
      <c r="M78" s="60">
        <v>0.133</v>
      </c>
      <c r="N78" s="62">
        <f t="shared" ref="N78:N81" si="39">+M78</f>
        <v>0.133</v>
      </c>
      <c r="O78" s="60">
        <f t="shared" si="3"/>
        <v>0.133</v>
      </c>
      <c r="P78" s="63">
        <v>85.0</v>
      </c>
      <c r="Q78" s="58">
        <v>98.65</v>
      </c>
      <c r="R78" s="65">
        <v>3826.85</v>
      </c>
      <c r="S78" s="66">
        <f t="array" ref="S78">IF((XLOOKUP(D78,RUC!$B$3:$B$106,RUC!$E$3:$E$106)+ROUNDDOWN(O78,1)*100)&lt;95,95,((XLOOKUP(D78,RUC!$B$3:$B$106,RUC!$E$3:$E$106)+ROUNDDOWN(O78,1)*100)))</f>
        <v>100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69">
        <f t="array" ref="Z78">XLOOKUP(D78,RUC!$B$3:$B$110,RUC!$H$3:$H$110)</f>
        <v>30</v>
      </c>
      <c r="AA78" s="70">
        <f t="shared" si="4"/>
        <v>50</v>
      </c>
      <c r="AB78" s="71">
        <f t="shared" si="22"/>
        <v>296.5841684</v>
      </c>
      <c r="AC78" s="71">
        <f>+(S78-T78)*V78-'data 1'!$F$4</f>
        <v>30.23</v>
      </c>
      <c r="AD78" s="71">
        <f t="shared" si="5"/>
        <v>82.54659937</v>
      </c>
      <c r="AE78" s="71">
        <f t="shared" si="6"/>
        <v>-14.885</v>
      </c>
      <c r="AF78" s="71">
        <f t="shared" si="7"/>
        <v>60.46348402</v>
      </c>
      <c r="AG78" s="72">
        <f t="shared" si="37"/>
        <v>175.3550834</v>
      </c>
      <c r="AH78" s="193">
        <f t="shared" si="8"/>
        <v>35.14</v>
      </c>
      <c r="AI78" s="193">
        <f t="shared" si="9"/>
        <v>35.621</v>
      </c>
      <c r="AJ78" s="73">
        <f t="shared" si="10"/>
        <v>47.17897605</v>
      </c>
      <c r="AK78" s="73">
        <f t="shared" si="11"/>
        <v>27.2092611</v>
      </c>
      <c r="AM78" s="51">
        <f t="shared" si="12"/>
        <v>2082.020862</v>
      </c>
      <c r="AN78" s="51" t="str">
        <f t="array" ref="AN78">XLOOKUP(D78,RUC!$B$3:$B$565,RUC!$M$3:$M$565)</f>
        <v>Richard Sapacayo</v>
      </c>
      <c r="AO78" s="131" t="s">
        <v>549</v>
      </c>
      <c r="AP78" s="57" t="s">
        <v>1472</v>
      </c>
      <c r="AQ78" s="57" t="s">
        <v>1473</v>
      </c>
    </row>
    <row r="79" ht="15.0" customHeight="1">
      <c r="A79" s="116" t="s">
        <v>1478</v>
      </c>
      <c r="B79" s="56">
        <v>45936.0</v>
      </c>
      <c r="C79" s="182">
        <v>45930.0</v>
      </c>
      <c r="D79" s="57" t="s">
        <v>295</v>
      </c>
      <c r="E79" s="3">
        <f t="array" ref="E79">XLOOKUP(D79,RUC!$B$3:$B$110,RUC!$D$3:$D$110)</f>
        <v>20601769396</v>
      </c>
      <c r="G79" s="141">
        <v>28.0</v>
      </c>
      <c r="H79" s="3" t="s">
        <v>40</v>
      </c>
      <c r="I79" s="6">
        <v>1.99</v>
      </c>
      <c r="J79" s="58">
        <v>11.05</v>
      </c>
      <c r="K79" s="6">
        <f t="shared" si="2"/>
        <v>1.77</v>
      </c>
      <c r="L79" s="60">
        <v>0.168</v>
      </c>
      <c r="M79" s="60">
        <v>0.153</v>
      </c>
      <c r="N79" s="62">
        <f t="shared" si="39"/>
        <v>0.153</v>
      </c>
      <c r="O79" s="60">
        <f t="shared" si="3"/>
        <v>0.153</v>
      </c>
      <c r="P79" s="63">
        <v>90.0</v>
      </c>
      <c r="Q79" s="58">
        <v>96.51</v>
      </c>
      <c r="R79" s="65">
        <v>3825.3</v>
      </c>
      <c r="S79" s="66">
        <f t="array" ref="S79">IF((XLOOKUP(D79,RUC!$B$3:$B$106,RUC!$E$3:$E$106)+ROUNDDOWN(O79,1)*100)&lt;95,95,((XLOOKUP(D79,RUC!$B$3:$B$106,RUC!$E$3:$E$106)+ROUNDDOWN(O79,1)*100)))</f>
        <v>100</v>
      </c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69">
        <f t="array" ref="Z79">XLOOKUP(D79,RUC!$B$3:$B$110,RUC!$H$3:$H$110)</f>
        <v>30</v>
      </c>
      <c r="AA79" s="70">
        <f t="shared" si="4"/>
        <v>50</v>
      </c>
      <c r="AB79" s="71">
        <f t="shared" si="22"/>
        <v>397.0702966</v>
      </c>
      <c r="AC79" s="71">
        <f>+(S79-T79)*V79-'data 1'!$F$4</f>
        <v>30.23</v>
      </c>
      <c r="AD79" s="71">
        <f t="shared" si="5"/>
        <v>44.66974303</v>
      </c>
      <c r="AE79" s="71">
        <f t="shared" si="6"/>
        <v>-14.885</v>
      </c>
      <c r="AF79" s="71">
        <f t="shared" si="7"/>
        <v>59.12712448</v>
      </c>
      <c r="AG79" s="72">
        <f t="shared" si="37"/>
        <v>136.1418675</v>
      </c>
      <c r="AH79" s="193">
        <f t="shared" si="8"/>
        <v>9.839</v>
      </c>
      <c r="AI79" s="193">
        <f t="shared" si="9"/>
        <v>10.195</v>
      </c>
      <c r="AJ79" s="73">
        <f t="shared" si="10"/>
        <v>52.6697844</v>
      </c>
      <c r="AK79" s="73">
        <f t="shared" si="11"/>
        <v>8.356343344</v>
      </c>
      <c r="AM79" s="51">
        <f t="shared" si="12"/>
        <v>702.8144249</v>
      </c>
      <c r="AN79" s="51" t="str">
        <f t="array" ref="AN79">XLOOKUP(D79,RUC!$B$3:$B$565,RUC!$M$3:$M$565)</f>
        <v>Evelyn</v>
      </c>
      <c r="AO79" s="131" t="s">
        <v>549</v>
      </c>
      <c r="AP79" s="57" t="s">
        <v>1479</v>
      </c>
      <c r="AQ79" s="57" t="s">
        <v>574</v>
      </c>
    </row>
    <row r="80" ht="15.0" customHeight="1">
      <c r="A80" s="116" t="s">
        <v>1480</v>
      </c>
      <c r="B80" s="56">
        <v>45936.0</v>
      </c>
      <c r="C80" s="182">
        <v>45930.0</v>
      </c>
      <c r="D80" s="57" t="s">
        <v>295</v>
      </c>
      <c r="E80" s="3">
        <f t="array" ref="E80">XLOOKUP(D80,RUC!$B$3:$B$110,RUC!$D$3:$D$110)</f>
        <v>20601769396</v>
      </c>
      <c r="G80" s="141">
        <v>30.0</v>
      </c>
      <c r="H80" s="3" t="s">
        <v>40</v>
      </c>
      <c r="I80" s="6">
        <v>2.22</v>
      </c>
      <c r="J80" s="58">
        <v>8.5</v>
      </c>
      <c r="K80" s="6">
        <f t="shared" si="2"/>
        <v>2.031</v>
      </c>
      <c r="L80" s="60">
        <v>0.173</v>
      </c>
      <c r="M80" s="60">
        <v>0.158</v>
      </c>
      <c r="N80" s="62">
        <f t="shared" si="39"/>
        <v>0.158</v>
      </c>
      <c r="O80" s="60">
        <f t="shared" si="3"/>
        <v>0.158</v>
      </c>
      <c r="P80" s="63">
        <v>90.0</v>
      </c>
      <c r="Q80" s="58">
        <v>94.77</v>
      </c>
      <c r="R80" s="65">
        <v>3825.3</v>
      </c>
      <c r="S80" s="66">
        <f t="array" ref="S80">IF((XLOOKUP(D80,RUC!$B$3:$B$106,RUC!$E$3:$E$106)+ROUNDDOWN(O80,1)*100)&lt;95,95,((XLOOKUP(D80,RUC!$B$3:$B$106,RUC!$E$3:$E$106)+ROUNDDOWN(O80,1)*100)))</f>
        <v>100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69">
        <f t="array" ref="Z80">XLOOKUP(D80,RUC!$B$3:$B$110,RUC!$H$3:$H$110)</f>
        <v>30</v>
      </c>
      <c r="AA80" s="70">
        <f t="shared" si="4"/>
        <v>50</v>
      </c>
      <c r="AB80" s="71">
        <f t="shared" si="22"/>
        <v>415.4498814</v>
      </c>
      <c r="AC80" s="71">
        <f>+(S80-T80)*V80-'data 1'!$F$4</f>
        <v>30.23</v>
      </c>
      <c r="AD80" s="71">
        <f t="shared" si="5"/>
        <v>33.70448271</v>
      </c>
      <c r="AE80" s="71">
        <f t="shared" si="6"/>
        <v>-14.885</v>
      </c>
      <c r="AF80" s="71">
        <f t="shared" si="7"/>
        <v>58.06110856</v>
      </c>
      <c r="AG80" s="72">
        <f t="shared" si="37"/>
        <v>124.1105913</v>
      </c>
      <c r="AH80" s="193">
        <f t="shared" si="8"/>
        <v>11.417</v>
      </c>
      <c r="AI80" s="193">
        <f t="shared" si="9"/>
        <v>12.047</v>
      </c>
      <c r="AJ80" s="73">
        <f t="shared" si="10"/>
        <v>53.25948063</v>
      </c>
      <c r="AK80" s="73">
        <f t="shared" si="11"/>
        <v>9.901901209</v>
      </c>
      <c r="AM80" s="51">
        <f t="shared" si="12"/>
        <v>843.7787092</v>
      </c>
      <c r="AN80" s="51" t="str">
        <f t="array" ref="AN80">XLOOKUP(D80,RUC!$B$3:$B$565,RUC!$M$3:$M$565)</f>
        <v>Evelyn</v>
      </c>
      <c r="AO80" s="131" t="s">
        <v>549</v>
      </c>
      <c r="AP80" s="57" t="s">
        <v>1479</v>
      </c>
      <c r="AQ80" s="57" t="s">
        <v>574</v>
      </c>
    </row>
    <row r="81" ht="15.0" customHeight="1">
      <c r="A81" s="116" t="s">
        <v>1481</v>
      </c>
      <c r="B81" s="56">
        <v>45936.0</v>
      </c>
      <c r="C81" s="182">
        <v>45930.0</v>
      </c>
      <c r="D81" s="57" t="s">
        <v>295</v>
      </c>
      <c r="E81" s="3">
        <f t="array" ref="E81">XLOOKUP(D81,RUC!$B$3:$B$110,RUC!$D$3:$D$110)</f>
        <v>20601769396</v>
      </c>
      <c r="G81" s="141">
        <v>30.0</v>
      </c>
      <c r="H81" s="3" t="s">
        <v>40</v>
      </c>
      <c r="I81" s="6">
        <v>2.24</v>
      </c>
      <c r="J81" s="58">
        <v>11.89</v>
      </c>
      <c r="K81" s="6">
        <f t="shared" si="2"/>
        <v>1.974</v>
      </c>
      <c r="L81" s="60">
        <v>0.138</v>
      </c>
      <c r="M81" s="60">
        <v>0.123</v>
      </c>
      <c r="N81" s="62">
        <f t="shared" si="39"/>
        <v>0.123</v>
      </c>
      <c r="O81" s="60">
        <f t="shared" si="3"/>
        <v>0.123</v>
      </c>
      <c r="P81" s="63">
        <v>80.0</v>
      </c>
      <c r="Q81" s="58">
        <v>93.75</v>
      </c>
      <c r="R81" s="65">
        <v>3825.3</v>
      </c>
      <c r="S81" s="66">
        <f t="array" ref="S81">IF((XLOOKUP(D81,RUC!$B$3:$B$106,RUC!$E$3:$E$106)+ROUNDDOWN(O81,1)*100)&lt;95,95,((XLOOKUP(D81,RUC!$B$3:$B$106,RUC!$E$3:$E$106)+ROUNDDOWN(O81,1)*100)))</f>
        <v>100</v>
      </c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69">
        <f t="array" ref="Z81">XLOOKUP(D81,RUC!$B$3:$B$110,RUC!$H$3:$H$110)</f>
        <v>30</v>
      </c>
      <c r="AA81" s="70">
        <f t="shared" si="4"/>
        <v>50</v>
      </c>
      <c r="AB81" s="71">
        <f t="shared" si="22"/>
        <v>236.5552555</v>
      </c>
      <c r="AC81" s="71">
        <f>+(S81-T81)*V81-'data 1'!$F$4</f>
        <v>30.23</v>
      </c>
      <c r="AD81" s="71">
        <f t="shared" si="5"/>
        <v>77.50058281</v>
      </c>
      <c r="AE81" s="71">
        <f t="shared" si="6"/>
        <v>-14.885</v>
      </c>
      <c r="AF81" s="71">
        <f t="shared" si="7"/>
        <v>57.43620267</v>
      </c>
      <c r="AG81" s="72">
        <f t="shared" si="37"/>
        <v>167.2817855</v>
      </c>
      <c r="AH81" s="193">
        <f t="shared" si="8"/>
        <v>8.756</v>
      </c>
      <c r="AI81" s="193">
        <f t="shared" si="9"/>
        <v>9.34</v>
      </c>
      <c r="AJ81" s="73">
        <f t="shared" si="10"/>
        <v>42.02718542</v>
      </c>
      <c r="AK81" s="73">
        <f t="shared" si="11"/>
        <v>6.659648631</v>
      </c>
      <c r="AM81" s="51">
        <f t="shared" si="12"/>
        <v>466.9600743</v>
      </c>
      <c r="AN81" s="51" t="str">
        <f t="array" ref="AN81">XLOOKUP(D81,RUC!$B$3:$B$565,RUC!$M$3:$M$565)</f>
        <v>Evelyn</v>
      </c>
      <c r="AO81" s="131" t="s">
        <v>549</v>
      </c>
      <c r="AP81" s="57" t="s">
        <v>1479</v>
      </c>
      <c r="AQ81" s="57" t="s">
        <v>574</v>
      </c>
    </row>
    <row r="82" ht="15.0" customHeight="1">
      <c r="A82" s="116" t="s">
        <v>1482</v>
      </c>
      <c r="B82" s="56">
        <v>45936.0</v>
      </c>
      <c r="C82" s="182">
        <v>45930.0</v>
      </c>
      <c r="D82" s="57" t="s">
        <v>295</v>
      </c>
      <c r="E82" s="3">
        <f t="array" ref="E82">XLOOKUP(D82,RUC!$B$3:$B$110,RUC!$D$3:$D$110)</f>
        <v>20601769396</v>
      </c>
      <c r="G82" s="141">
        <v>35.0</v>
      </c>
      <c r="H82" s="3" t="s">
        <v>40</v>
      </c>
      <c r="I82" s="6">
        <v>3.66</v>
      </c>
      <c r="J82" s="58">
        <v>4.55</v>
      </c>
      <c r="K82" s="6">
        <f t="shared" si="2"/>
        <v>3.493</v>
      </c>
      <c r="L82" s="60">
        <v>0.245</v>
      </c>
      <c r="M82" s="60">
        <v>0.23</v>
      </c>
      <c r="N82" s="75">
        <v>0.315</v>
      </c>
      <c r="O82" s="60">
        <f t="shared" si="3"/>
        <v>0.273</v>
      </c>
      <c r="P82" s="63">
        <v>82.0</v>
      </c>
      <c r="Q82" s="58">
        <v>85.71</v>
      </c>
      <c r="R82" s="65">
        <v>3825.3</v>
      </c>
      <c r="S82" s="66">
        <f t="array" ref="S82">IF((XLOOKUP(D82,RUC!$B$3:$B$106,RUC!$E$3:$E$106)+ROUNDDOWN(O82,1)*100)&lt;95,95,((XLOOKUP(D82,RUC!$B$3:$B$106,RUC!$E$3:$E$106)+ROUNDDOWN(O82,1)*100)))</f>
        <v>110</v>
      </c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69">
        <f t="array" ref="Z82">XLOOKUP(D82,RUC!$B$3:$B$110,RUC!$H$3:$H$110)</f>
        <v>30</v>
      </c>
      <c r="AA82" s="70">
        <f t="shared" si="4"/>
        <v>50</v>
      </c>
      <c r="AB82" s="71">
        <f t="shared" si="22"/>
        <v>737.9550813</v>
      </c>
      <c r="AC82" s="71">
        <f>+(S82-T82)*V82-'data 1'!$F$4</f>
        <v>41.253</v>
      </c>
      <c r="AD82" s="71">
        <f t="shared" si="5"/>
        <v>37.12471923</v>
      </c>
      <c r="AE82" s="71">
        <f t="shared" si="6"/>
        <v>-14.885</v>
      </c>
      <c r="AF82" s="71">
        <f t="shared" si="7"/>
        <v>-98.01955134</v>
      </c>
      <c r="AG82" s="72">
        <f t="shared" si="37"/>
        <v>-17.52683211</v>
      </c>
      <c r="AH82" s="193">
        <f t="shared" si="8"/>
        <v>25.148</v>
      </c>
      <c r="AI82" s="193">
        <f t="shared" si="9"/>
        <v>29.341</v>
      </c>
      <c r="AJ82" s="73">
        <f t="shared" si="10"/>
        <v>68.2146292</v>
      </c>
      <c r="AK82" s="73">
        <f t="shared" si="11"/>
        <v>26.8092185</v>
      </c>
      <c r="AM82" s="51">
        <f t="shared" si="12"/>
        <v>2577.677099</v>
      </c>
      <c r="AN82" s="51" t="str">
        <f t="array" ref="AN82">XLOOKUP(D82,RUC!$B$3:$B$565,RUC!$M$3:$M$565)</f>
        <v>Evelyn</v>
      </c>
      <c r="AO82" s="131" t="s">
        <v>549</v>
      </c>
      <c r="AP82" s="57" t="s">
        <v>1479</v>
      </c>
      <c r="AQ82" s="57" t="s">
        <v>574</v>
      </c>
    </row>
    <row r="83" ht="15.0" customHeight="1">
      <c r="A83" s="116" t="s">
        <v>1483</v>
      </c>
      <c r="B83" s="56">
        <v>45936.0</v>
      </c>
      <c r="C83" s="182">
        <v>45930.0</v>
      </c>
      <c r="D83" s="57" t="s">
        <v>295</v>
      </c>
      <c r="E83" s="3">
        <f t="array" ref="E83">XLOOKUP(D83,RUC!$B$3:$B$110,RUC!$D$3:$D$110)</f>
        <v>20601769396</v>
      </c>
      <c r="G83" s="141">
        <v>35.0</v>
      </c>
      <c r="H83" s="3" t="s">
        <v>40</v>
      </c>
      <c r="I83" s="6">
        <v>3.67</v>
      </c>
      <c r="J83" s="58">
        <v>4.7</v>
      </c>
      <c r="K83" s="6">
        <f t="shared" si="2"/>
        <v>3.498</v>
      </c>
      <c r="L83" s="60">
        <v>0.252</v>
      </c>
      <c r="M83" s="60">
        <v>0.237</v>
      </c>
      <c r="N83" s="75">
        <v>0.298</v>
      </c>
      <c r="O83" s="60">
        <f t="shared" si="3"/>
        <v>0.268</v>
      </c>
      <c r="P83" s="63">
        <v>82.0</v>
      </c>
      <c r="Q83" s="58">
        <v>83.33</v>
      </c>
      <c r="R83" s="65">
        <v>3825.3</v>
      </c>
      <c r="S83" s="66">
        <f t="array" ref="S83">IF((XLOOKUP(D83,RUC!$B$3:$B$106,RUC!$E$3:$E$106)+ROUNDDOWN(O83,1)*100)&lt;95,95,((XLOOKUP(D83,RUC!$B$3:$B$106,RUC!$E$3:$E$106)+ROUNDDOWN(O83,1)*100)))</f>
        <v>110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4"/>
        <v>50</v>
      </c>
      <c r="AB83" s="71">
        <f t="shared" si="22"/>
        <v>721.2092373</v>
      </c>
      <c r="AC83" s="71">
        <f>+(S83-T83)*V83-'data 1'!$F$4</f>
        <v>41.253</v>
      </c>
      <c r="AD83" s="71">
        <f t="shared" si="5"/>
        <v>13.6891148</v>
      </c>
      <c r="AE83" s="71">
        <f t="shared" si="6"/>
        <v>-14.885</v>
      </c>
      <c r="AF83" s="71">
        <f t="shared" si="7"/>
        <v>-54.45585088</v>
      </c>
      <c r="AG83" s="72">
        <f t="shared" si="37"/>
        <v>2.601263921</v>
      </c>
      <c r="AH83" s="193">
        <f t="shared" si="8"/>
        <v>25.184</v>
      </c>
      <c r="AI83" s="193">
        <f t="shared" si="9"/>
        <v>30.222</v>
      </c>
      <c r="AJ83" s="73">
        <f t="shared" si="10"/>
        <v>68.21531138</v>
      </c>
      <c r="AK83" s="73">
        <f t="shared" si="11"/>
        <v>26.35587996</v>
      </c>
      <c r="AM83" s="51">
        <f t="shared" si="12"/>
        <v>2522.789912</v>
      </c>
      <c r="AN83" s="51" t="str">
        <f t="array" ref="AN83">XLOOKUP(D83,RUC!$B$3:$B$565,RUC!$M$3:$M$565)</f>
        <v>Evelyn</v>
      </c>
      <c r="AO83" s="131" t="s">
        <v>549</v>
      </c>
      <c r="AP83" s="57" t="s">
        <v>1479</v>
      </c>
      <c r="AQ83" s="57" t="s">
        <v>574</v>
      </c>
    </row>
    <row r="84" ht="15.0" customHeight="1">
      <c r="A84" s="116" t="s">
        <v>1484</v>
      </c>
      <c r="B84" s="56">
        <v>45936.0</v>
      </c>
      <c r="C84" s="182">
        <v>45930.0</v>
      </c>
      <c r="D84" s="57" t="s">
        <v>295</v>
      </c>
      <c r="E84" s="3">
        <f t="array" ref="E84">XLOOKUP(D84,RUC!$B$3:$B$110,RUC!$D$3:$D$110)</f>
        <v>20601769396</v>
      </c>
      <c r="G84" s="141">
        <v>34.0</v>
      </c>
      <c r="H84" s="3" t="s">
        <v>40</v>
      </c>
      <c r="I84" s="6">
        <v>3.5</v>
      </c>
      <c r="J84" s="58">
        <v>4.55</v>
      </c>
      <c r="K84" s="6">
        <f t="shared" si="2"/>
        <v>3.341</v>
      </c>
      <c r="L84" s="3">
        <v>0.527</v>
      </c>
      <c r="M84" s="3">
        <v>0.501</v>
      </c>
      <c r="N84" s="62">
        <f t="shared" ref="N84:N96" si="40">+M84</f>
        <v>0.501</v>
      </c>
      <c r="O84" s="60">
        <f t="shared" si="3"/>
        <v>0.501</v>
      </c>
      <c r="P84" s="63">
        <v>90.0</v>
      </c>
      <c r="Q84" s="58">
        <v>92.6</v>
      </c>
      <c r="R84" s="65">
        <v>3825.3</v>
      </c>
      <c r="S84" s="66">
        <f t="array" ref="S84">IF((XLOOKUP(D84,RUC!$B$3:$B$106,RUC!$E$3:$E$106)+ROUNDDOWN(O84,1)*100)&lt;95,95,((XLOOKUP(D84,RUC!$B$3:$B$106,RUC!$E$3:$E$106)+ROUNDDOWN(O84,1)*100)))</f>
        <v>140</v>
      </c>
      <c r="U84" s="67">
        <f t="array" ref="U84">XLOOKUP(D84,RUC!$B$3:$B$110,RUC!$F$3:$F$110)</f>
        <v>120</v>
      </c>
      <c r="V84" s="67">
        <v>1.1023</v>
      </c>
      <c r="Y84" s="57">
        <f t="array" ref="Y84">XLOOKUP(D84,RUC!$B$3:$B$110,RUC!$G$3:$G$110)</f>
        <v>20</v>
      </c>
      <c r="Z84" s="69">
        <f t="array" ref="Z84">XLOOKUP(D84,RUC!$B$3:$B$110,RUC!$H$3:$H$110)</f>
        <v>30</v>
      </c>
      <c r="AA84" s="70">
        <f t="shared" si="4"/>
        <v>50</v>
      </c>
      <c r="AB84" s="71">
        <f t="shared" si="22"/>
        <v>1632.197402</v>
      </c>
      <c r="AC84" s="71">
        <f>+(S84-T84)*V84-'data 1'!$F$4</f>
        <v>74.322</v>
      </c>
      <c r="AD84" s="71">
        <f t="shared" si="5"/>
        <v>55.96379371</v>
      </c>
      <c r="AE84" s="71">
        <f t="shared" si="6"/>
        <v>-14.885</v>
      </c>
      <c r="AF84" s="71">
        <f t="shared" si="7"/>
        <v>98.33486333</v>
      </c>
      <c r="AG84" s="72">
        <f t="shared" si="37"/>
        <v>230.735657</v>
      </c>
      <c r="AH84" s="193">
        <f t="shared" si="8"/>
        <v>55.899</v>
      </c>
      <c r="AI84" s="193">
        <f t="shared" si="9"/>
        <v>60.367</v>
      </c>
      <c r="AJ84" s="73">
        <f t="shared" si="10"/>
        <v>158.526381</v>
      </c>
      <c r="AK84" s="73">
        <f t="shared" si="11"/>
        <v>51.6494594</v>
      </c>
      <c r="AM84" s="51">
        <f t="shared" si="12"/>
        <v>5453.171522</v>
      </c>
      <c r="AN84" s="51" t="str">
        <f t="array" ref="AN84">XLOOKUP(D84,RUC!$B$3:$B$565,RUC!$M$3:$M$565)</f>
        <v>Evelyn</v>
      </c>
      <c r="AO84" s="131" t="s">
        <v>561</v>
      </c>
      <c r="AP84" s="57" t="s">
        <v>1479</v>
      </c>
      <c r="AQ84" s="57" t="s">
        <v>574</v>
      </c>
    </row>
    <row r="85" ht="15.0" customHeight="1">
      <c r="A85" s="116" t="s">
        <v>1485</v>
      </c>
      <c r="B85" s="56">
        <v>45936.0</v>
      </c>
      <c r="C85" s="182">
        <v>45930.0</v>
      </c>
      <c r="D85" s="57" t="s">
        <v>295</v>
      </c>
      <c r="E85" s="3">
        <f t="array" ref="E85">XLOOKUP(D85,RUC!$B$3:$B$110,RUC!$D$3:$D$110)</f>
        <v>20601769396</v>
      </c>
      <c r="G85" s="141">
        <v>29.0</v>
      </c>
      <c r="H85" s="3" t="s">
        <v>40</v>
      </c>
      <c r="I85" s="6">
        <v>2.12</v>
      </c>
      <c r="J85" s="58">
        <v>5.0</v>
      </c>
      <c r="K85" s="6">
        <f t="shared" si="2"/>
        <v>2.014</v>
      </c>
      <c r="L85" s="3">
        <v>0.218</v>
      </c>
      <c r="M85" s="3">
        <v>0.203</v>
      </c>
      <c r="N85" s="62">
        <f t="shared" si="40"/>
        <v>0.203</v>
      </c>
      <c r="O85" s="60">
        <f t="shared" si="3"/>
        <v>0.203</v>
      </c>
      <c r="P85" s="63">
        <v>90.0</v>
      </c>
      <c r="Q85" s="58">
        <v>95.09</v>
      </c>
      <c r="R85" s="65">
        <v>3825.3</v>
      </c>
      <c r="S85" s="66">
        <f t="array" ref="S85">IF((XLOOKUP(D85,RUC!$B$3:$B$106,RUC!$E$3:$E$106)+ROUNDDOWN(O85,1)*100)&lt;95,95,((XLOOKUP(D85,RUC!$B$3:$B$106,RUC!$E$3:$E$106)+ROUNDDOWN(O85,1)*100)))</f>
        <v>110</v>
      </c>
      <c r="U85" s="67">
        <f t="array" ref="U85">XLOOKUP(D85,RUC!$B$3:$B$110,RUC!$F$3:$F$110)</f>
        <v>120</v>
      </c>
      <c r="V85" s="67">
        <v>1.1023</v>
      </c>
      <c r="Y85" s="57">
        <f t="array" ref="Y85">XLOOKUP(D85,RUC!$B$3:$B$110,RUC!$G$3:$G$110)</f>
        <v>20</v>
      </c>
      <c r="Z85" s="69">
        <f t="array" ref="Z85">XLOOKUP(D85,RUC!$B$3:$B$110,RUC!$H$3:$H$110)</f>
        <v>30</v>
      </c>
      <c r="AA85" s="70">
        <f t="shared" si="4"/>
        <v>50</v>
      </c>
      <c r="AB85" s="71">
        <f t="shared" si="22"/>
        <v>569.8431451</v>
      </c>
      <c r="AC85" s="71">
        <f>+(S85-T85)*V85-'data 1'!$F$4</f>
        <v>41.253</v>
      </c>
      <c r="AD85" s="71">
        <f t="shared" si="5"/>
        <v>45.32078877</v>
      </c>
      <c r="AE85" s="71">
        <f t="shared" si="6"/>
        <v>-14.885</v>
      </c>
      <c r="AF85" s="71">
        <f t="shared" si="7"/>
        <v>58.25715746</v>
      </c>
      <c r="AG85" s="72">
        <f t="shared" si="37"/>
        <v>146.9459462</v>
      </c>
      <c r="AH85" s="193">
        <f t="shared" si="8"/>
        <v>14.314</v>
      </c>
      <c r="AI85" s="193">
        <f t="shared" si="9"/>
        <v>15.053</v>
      </c>
      <c r="AJ85" s="73">
        <f t="shared" si="10"/>
        <v>67.33971659</v>
      </c>
      <c r="AK85" s="73">
        <f t="shared" si="11"/>
        <v>12.61557596</v>
      </c>
      <c r="AM85" s="51">
        <f t="shared" si="12"/>
        <v>1147.664094</v>
      </c>
      <c r="AN85" s="51" t="str">
        <f t="array" ref="AN85">XLOOKUP(D85,RUC!$B$3:$B$565,RUC!$M$3:$M$565)</f>
        <v>Evelyn</v>
      </c>
      <c r="AO85" s="131" t="s">
        <v>549</v>
      </c>
      <c r="AP85" s="57" t="s">
        <v>1479</v>
      </c>
      <c r="AQ85" s="57" t="s">
        <v>574</v>
      </c>
    </row>
    <row r="86" ht="15.0" customHeight="1">
      <c r="A86" s="116" t="s">
        <v>1486</v>
      </c>
      <c r="B86" s="56">
        <v>45936.0</v>
      </c>
      <c r="C86" s="182">
        <v>45930.0</v>
      </c>
      <c r="D86" s="57" t="s">
        <v>295</v>
      </c>
      <c r="E86" s="3">
        <f t="array" ref="E86">XLOOKUP(D86,RUC!$B$3:$B$110,RUC!$D$3:$D$110)</f>
        <v>20601769396</v>
      </c>
      <c r="G86" s="141">
        <v>28.0</v>
      </c>
      <c r="H86" s="3" t="s">
        <v>40</v>
      </c>
      <c r="I86" s="6">
        <v>2.08</v>
      </c>
      <c r="J86" s="58">
        <v>6.25</v>
      </c>
      <c r="K86" s="6">
        <f t="shared" si="2"/>
        <v>1.95</v>
      </c>
      <c r="L86" s="3">
        <v>0.198</v>
      </c>
      <c r="M86" s="3">
        <v>0.183</v>
      </c>
      <c r="N86" s="62">
        <f t="shared" si="40"/>
        <v>0.183</v>
      </c>
      <c r="O86" s="60">
        <f t="shared" si="3"/>
        <v>0.183</v>
      </c>
      <c r="P86" s="63">
        <v>90.0</v>
      </c>
      <c r="Q86" s="58">
        <v>91.92</v>
      </c>
      <c r="R86" s="65">
        <v>3825.3</v>
      </c>
      <c r="S86" s="66">
        <f t="array" ref="S86">IF((XLOOKUP(D86,RUC!$B$3:$B$106,RUC!$E$3:$E$106)+ROUNDDOWN(O86,1)*100)&lt;95,95,((XLOOKUP(D86,RUC!$B$3:$B$106,RUC!$E$3:$E$106)+ROUNDDOWN(O86,1)*100)))</f>
        <v>100</v>
      </c>
      <c r="U86" s="67">
        <f t="array" ref="U86">XLOOKUP(D86,RUC!$B$3:$B$110,RUC!$F$3:$F$110)</f>
        <v>120</v>
      </c>
      <c r="V86" s="67">
        <v>1.1023</v>
      </c>
      <c r="Y86" s="57">
        <f t="array" ref="Y86">XLOOKUP(D86,RUC!$B$3:$B$110,RUC!$G$3:$G$110)</f>
        <v>20</v>
      </c>
      <c r="Z86" s="69">
        <f t="array" ref="Z86">XLOOKUP(D86,RUC!$B$3:$B$110,RUC!$H$3:$H$110)</f>
        <v>30</v>
      </c>
      <c r="AA86" s="70">
        <f t="shared" si="4"/>
        <v>50</v>
      </c>
      <c r="AB86" s="71">
        <f t="shared" si="22"/>
        <v>507.3478057</v>
      </c>
      <c r="AC86" s="71">
        <f>+(S86-T86)*V86-'data 1'!$F$4</f>
        <v>30.23</v>
      </c>
      <c r="AD86" s="71">
        <f t="shared" si="5"/>
        <v>15.52707329</v>
      </c>
      <c r="AE86" s="71">
        <f t="shared" si="6"/>
        <v>-14.885</v>
      </c>
      <c r="AF86" s="71">
        <f t="shared" si="7"/>
        <v>56.315048</v>
      </c>
      <c r="AG86" s="72">
        <f t="shared" si="37"/>
        <v>104.1871213</v>
      </c>
      <c r="AH86" s="193">
        <f t="shared" si="8"/>
        <v>12.168</v>
      </c>
      <c r="AI86" s="193">
        <f t="shared" si="9"/>
        <v>13.238</v>
      </c>
      <c r="AJ86" s="73">
        <f t="shared" si="10"/>
        <v>59.12282118</v>
      </c>
      <c r="AK86" s="73">
        <f t="shared" si="11"/>
        <v>11.01126665</v>
      </c>
      <c r="AM86" s="51">
        <f t="shared" si="12"/>
        <v>989.3282211</v>
      </c>
      <c r="AN86" s="51" t="str">
        <f t="array" ref="AN86">XLOOKUP(D86,RUC!$B$3:$B$565,RUC!$M$3:$M$565)</f>
        <v>Evelyn</v>
      </c>
      <c r="AO86" s="131" t="s">
        <v>561</v>
      </c>
      <c r="AP86" s="57" t="s">
        <v>1479</v>
      </c>
      <c r="AQ86" s="57" t="s">
        <v>574</v>
      </c>
    </row>
    <row r="87" ht="15.0" customHeight="1">
      <c r="A87" s="116" t="s">
        <v>1487</v>
      </c>
      <c r="B87" s="56">
        <v>45935.0</v>
      </c>
      <c r="C87" s="182">
        <v>45930.0</v>
      </c>
      <c r="D87" s="57" t="s">
        <v>602</v>
      </c>
      <c r="E87" s="3">
        <f t="array" ref="E87">XLOOKUP(D87,RUC!$B$3:$B$110,RUC!$D$3:$D$110)</f>
        <v>20169040231</v>
      </c>
      <c r="G87" s="141">
        <v>13.0</v>
      </c>
      <c r="H87" s="3" t="s">
        <v>47</v>
      </c>
      <c r="I87" s="6">
        <v>1.33</v>
      </c>
      <c r="J87" s="58">
        <v>1.4</v>
      </c>
      <c r="K87" s="6">
        <f t="shared" si="2"/>
        <v>1.311</v>
      </c>
      <c r="L87" s="3">
        <v>0.239</v>
      </c>
      <c r="M87" s="3">
        <v>0.224</v>
      </c>
      <c r="N87" s="62">
        <f t="shared" si="40"/>
        <v>0.224</v>
      </c>
      <c r="O87" s="60">
        <f t="shared" si="3"/>
        <v>0.224</v>
      </c>
      <c r="P87" s="63">
        <v>84.0</v>
      </c>
      <c r="Q87" s="58">
        <v>84.1</v>
      </c>
      <c r="R87" s="65">
        <v>3825.3</v>
      </c>
      <c r="S87" s="66">
        <f t="array" ref="S87">IF((XLOOKUP(D87,RUC!$B$3:$B$106,RUC!$E$3:$E$106)+ROUNDDOWN(O87,1)*100)&lt;95,95,((XLOOKUP(D87,RUC!$B$3:$B$106,RUC!$E$3:$E$106)+ROUNDDOWN(O87,1)*100)))</f>
        <v>105</v>
      </c>
      <c r="U87" s="67">
        <f t="array" ref="U87">XLOOKUP(D87,RUC!$B$3:$B$110,RUC!$F$3:$F$110)</f>
        <v>120</v>
      </c>
      <c r="V87" s="67">
        <v>1.1023</v>
      </c>
      <c r="Y87" s="57">
        <f t="array" ref="Y87">XLOOKUP(D87,RUC!$B$3:$B$110,RUC!$G$3:$G$110)</f>
        <v>20</v>
      </c>
      <c r="Z87" s="69">
        <f t="array" ref="Z87">XLOOKUP(D87,RUC!$B$3:$B$110,RUC!$H$3:$H$110)</f>
        <v>30</v>
      </c>
      <c r="AA87" s="70">
        <f t="shared" si="4"/>
        <v>50</v>
      </c>
      <c r="AB87" s="71">
        <f t="shared" si="22"/>
        <v>597.6552081</v>
      </c>
      <c r="AC87" s="71">
        <f>+(S87-T87)*V87-'data 1'!$F$4</f>
        <v>35.7415</v>
      </c>
      <c r="AD87" s="71">
        <f t="shared" si="5"/>
        <v>0.9761601734</v>
      </c>
      <c r="AE87" s="71">
        <f t="shared" si="6"/>
        <v>-14.885</v>
      </c>
      <c r="AF87" s="71">
        <f t="shared" si="7"/>
        <v>51.52410288</v>
      </c>
      <c r="AG87" s="72">
        <f t="shared" si="37"/>
        <v>90.35676305</v>
      </c>
      <c r="AH87" s="193">
        <f t="shared" si="8"/>
        <v>9.035</v>
      </c>
      <c r="AI87" s="193">
        <f t="shared" si="9"/>
        <v>10.743</v>
      </c>
      <c r="AJ87" s="73">
        <f t="shared" si="10"/>
        <v>65.29408496</v>
      </c>
      <c r="AK87" s="73">
        <f t="shared" si="11"/>
        <v>8.457442725</v>
      </c>
      <c r="AM87" s="51">
        <f t="shared" si="12"/>
        <v>783.5259778</v>
      </c>
      <c r="AN87" s="51" t="str">
        <f t="array" ref="AN87">XLOOKUP(D87,RUC!$B$3:$B$565,RUC!$M$3:$M$565)</f>
        <v>Ronald Miranda</v>
      </c>
      <c r="AO87" s="131" t="s">
        <v>561</v>
      </c>
      <c r="AP87" s="57" t="s">
        <v>1488</v>
      </c>
      <c r="AQ87" s="57" t="s">
        <v>1489</v>
      </c>
    </row>
    <row r="88" ht="15.0" customHeight="1">
      <c r="A88" s="116" t="s">
        <v>1490</v>
      </c>
      <c r="B88" s="56">
        <v>45936.0</v>
      </c>
      <c r="C88" s="182">
        <v>45931.0</v>
      </c>
      <c r="D88" s="57" t="s">
        <v>295</v>
      </c>
      <c r="E88" s="3">
        <f t="array" ref="E88">XLOOKUP(D88,RUC!$B$3:$B$110,RUC!$D$3:$D$110)</f>
        <v>20601769396</v>
      </c>
      <c r="G88" s="141">
        <v>51.0</v>
      </c>
      <c r="H88" s="3" t="s">
        <v>40</v>
      </c>
      <c r="I88" s="6">
        <v>3.59</v>
      </c>
      <c r="J88" s="58">
        <v>17.25</v>
      </c>
      <c r="K88" s="6">
        <f t="shared" si="2"/>
        <v>2.971</v>
      </c>
      <c r="L88" s="3">
        <v>0.457</v>
      </c>
      <c r="M88" s="3">
        <v>0.434</v>
      </c>
      <c r="N88" s="62">
        <f t="shared" si="40"/>
        <v>0.434</v>
      </c>
      <c r="O88" s="60">
        <f t="shared" si="3"/>
        <v>0.434</v>
      </c>
      <c r="P88" s="63">
        <v>90.0</v>
      </c>
      <c r="Q88" s="58">
        <v>90.59</v>
      </c>
      <c r="R88" s="65">
        <v>3872.0</v>
      </c>
      <c r="S88" s="66">
        <f t="array" ref="S88">IF((XLOOKUP(D88,RUC!$B$3:$B$106,RUC!$E$3:$E$106)+ROUNDDOWN(O88,1)*100)&lt;95,95,((XLOOKUP(D88,RUC!$B$3:$B$106,RUC!$E$3:$E$106)+ROUNDDOWN(O88,1)*100)))</f>
        <v>130</v>
      </c>
      <c r="U88" s="67">
        <f t="array" ref="U88">XLOOKUP(D88,RUC!$B$3:$B$110,RUC!$F$3:$F$110)</f>
        <v>120</v>
      </c>
      <c r="V88" s="67">
        <v>1.1023</v>
      </c>
      <c r="Y88" s="57">
        <f t="array" ref="Y88">XLOOKUP(D88,RUC!$B$3:$B$110,RUC!$G$3:$G$110)</f>
        <v>20</v>
      </c>
      <c r="Z88" s="69">
        <f t="array" ref="Z88">XLOOKUP(D88,RUC!$B$3:$B$110,RUC!$H$3:$H$110)</f>
        <v>30</v>
      </c>
      <c r="AA88" s="70">
        <f t="shared" si="4"/>
        <v>50</v>
      </c>
      <c r="AB88" s="71">
        <f t="shared" si="22"/>
        <v>1417.041042</v>
      </c>
      <c r="AC88" s="71">
        <f>+(S88-T88)*V88-'data 1'!$F$4</f>
        <v>63.299</v>
      </c>
      <c r="AD88" s="71">
        <f t="shared" si="5"/>
        <v>11.15143735</v>
      </c>
      <c r="AE88" s="71">
        <f t="shared" si="6"/>
        <v>-14.885</v>
      </c>
      <c r="AF88" s="71">
        <f t="shared" si="7"/>
        <v>86.1729048</v>
      </c>
      <c r="AG88" s="72">
        <f t="shared" si="37"/>
        <v>162.7383421</v>
      </c>
      <c r="AH88" s="193">
        <f t="shared" si="8"/>
        <v>42.17</v>
      </c>
      <c r="AI88" s="193">
        <f t="shared" si="9"/>
        <v>46.551</v>
      </c>
      <c r="AJ88" s="73">
        <f t="shared" si="10"/>
        <v>113.1743341</v>
      </c>
      <c r="AK88" s="73">
        <f t="shared" si="11"/>
        <v>39.78725341</v>
      </c>
      <c r="AM88" s="51">
        <f t="shared" si="12"/>
        <v>4210.028935</v>
      </c>
      <c r="AN88" s="51" t="str">
        <f t="array" ref="AN88">XLOOKUP(D88,RUC!$B$3:$B$565,RUC!$M$3:$M$565)</f>
        <v>Evelyn</v>
      </c>
      <c r="AO88" s="131" t="s">
        <v>561</v>
      </c>
      <c r="AP88" s="57" t="s">
        <v>1491</v>
      </c>
      <c r="AQ88" s="57" t="s">
        <v>1492</v>
      </c>
    </row>
    <row r="89" ht="15.0" customHeight="1">
      <c r="A89" s="116" t="s">
        <v>1493</v>
      </c>
      <c r="B89" s="56">
        <v>45936.0</v>
      </c>
      <c r="C89" s="182">
        <v>45931.0</v>
      </c>
      <c r="D89" s="57" t="s">
        <v>295</v>
      </c>
      <c r="E89" s="3">
        <f t="array" ref="E89">XLOOKUP(D89,RUC!$B$3:$B$110,RUC!$D$3:$D$110)</f>
        <v>20601769396</v>
      </c>
      <c r="G89" s="141">
        <v>50.0</v>
      </c>
      <c r="H89" s="3" t="s">
        <v>40</v>
      </c>
      <c r="I89" s="6">
        <v>3.47</v>
      </c>
      <c r="J89" s="58">
        <v>16.05</v>
      </c>
      <c r="K89" s="6">
        <f t="shared" si="2"/>
        <v>2.913</v>
      </c>
      <c r="L89" s="3">
        <v>0.344</v>
      </c>
      <c r="M89" s="3">
        <v>0.327</v>
      </c>
      <c r="N89" s="62">
        <f t="shared" si="40"/>
        <v>0.327</v>
      </c>
      <c r="O89" s="60">
        <f t="shared" si="3"/>
        <v>0.327</v>
      </c>
      <c r="P89" s="63">
        <v>90.0</v>
      </c>
      <c r="Q89" s="58">
        <v>93.9</v>
      </c>
      <c r="R89" s="65">
        <v>3872.0</v>
      </c>
      <c r="S89" s="66">
        <f t="array" ref="S89">IF((XLOOKUP(D89,RUC!$B$3:$B$106,RUC!$E$3:$E$106)+ROUNDDOWN(O89,1)*100)&lt;95,95,((XLOOKUP(D89,RUC!$B$3:$B$106,RUC!$E$3:$E$106)+ROUNDDOWN(O89,1)*100)))</f>
        <v>120</v>
      </c>
      <c r="U89" s="67">
        <f t="array" ref="U89">XLOOKUP(D89,RUC!$B$3:$B$110,RUC!$F$3:$F$110)</f>
        <v>120</v>
      </c>
      <c r="V89" s="67">
        <v>1.1023</v>
      </c>
      <c r="Y89" s="57">
        <f t="array" ref="Y89">XLOOKUP(D89,RUC!$B$3:$B$110,RUC!$G$3:$G$110)</f>
        <v>20</v>
      </c>
      <c r="Z89" s="69">
        <f t="array" ref="Z89">XLOOKUP(D89,RUC!$B$3:$B$110,RUC!$H$3:$H$110)</f>
        <v>30</v>
      </c>
      <c r="AA89" s="70">
        <f t="shared" si="4"/>
        <v>50</v>
      </c>
      <c r="AB89" s="71">
        <f t="shared" si="22"/>
        <v>1029.783651</v>
      </c>
      <c r="AC89" s="71">
        <f>+(S89-T89)*V89-'data 1'!$F$4</f>
        <v>52.276</v>
      </c>
      <c r="AD89" s="71">
        <f t="shared" si="5"/>
        <v>55.48628991</v>
      </c>
      <c r="AE89" s="71">
        <f t="shared" si="6"/>
        <v>-14.885</v>
      </c>
      <c r="AF89" s="71">
        <f t="shared" si="7"/>
        <v>66.0202479</v>
      </c>
      <c r="AG89" s="72">
        <f t="shared" si="37"/>
        <v>175.8975378</v>
      </c>
      <c r="AH89" s="193">
        <f t="shared" si="8"/>
        <v>32.261</v>
      </c>
      <c r="AI89" s="193">
        <f t="shared" si="9"/>
        <v>34.356</v>
      </c>
      <c r="AJ89" s="73">
        <f t="shared" si="10"/>
        <v>88.30301313</v>
      </c>
      <c r="AK89" s="73">
        <f t="shared" si="11"/>
        <v>29.39272261</v>
      </c>
      <c r="AM89" s="51">
        <f t="shared" si="12"/>
        <v>2999.759776</v>
      </c>
      <c r="AN89" s="51" t="str">
        <f t="array" ref="AN89">XLOOKUP(D89,RUC!$B$3:$B$565,RUC!$M$3:$M$565)</f>
        <v>Evelyn</v>
      </c>
      <c r="AO89" s="131" t="s">
        <v>561</v>
      </c>
      <c r="AP89" s="57" t="s">
        <v>1491</v>
      </c>
      <c r="AQ89" s="57" t="s">
        <v>1492</v>
      </c>
    </row>
    <row r="90" ht="15.0" customHeight="1">
      <c r="A90" s="116" t="s">
        <v>1494</v>
      </c>
      <c r="B90" s="56">
        <v>45936.0</v>
      </c>
      <c r="C90" s="182">
        <v>45931.0</v>
      </c>
      <c r="D90" s="57" t="s">
        <v>295</v>
      </c>
      <c r="E90" s="3">
        <f t="array" ref="E90">XLOOKUP(D90,RUC!$B$3:$B$110,RUC!$D$3:$D$110)</f>
        <v>20601769396</v>
      </c>
      <c r="G90" s="141">
        <v>50.0</v>
      </c>
      <c r="H90" s="3" t="s">
        <v>40</v>
      </c>
      <c r="I90" s="6">
        <v>3.48</v>
      </c>
      <c r="J90" s="58">
        <v>18.55</v>
      </c>
      <c r="K90" s="6">
        <f t="shared" si="2"/>
        <v>2.834</v>
      </c>
      <c r="L90" s="60">
        <v>0.35</v>
      </c>
      <c r="M90" s="3">
        <v>0.333</v>
      </c>
      <c r="N90" s="62">
        <f t="shared" si="40"/>
        <v>0.333</v>
      </c>
      <c r="O90" s="60">
        <f t="shared" si="3"/>
        <v>0.333</v>
      </c>
      <c r="P90" s="63">
        <v>90.0</v>
      </c>
      <c r="Q90" s="58">
        <v>95.43</v>
      </c>
      <c r="R90" s="65">
        <v>3872.0</v>
      </c>
      <c r="S90" s="66">
        <f t="array" ref="S90">IF((XLOOKUP(D90,RUC!$B$3:$B$106,RUC!$E$3:$E$106)+ROUNDDOWN(O90,1)*100)&lt;95,95,((XLOOKUP(D90,RUC!$B$3:$B$106,RUC!$E$3:$E$106)+ROUNDDOWN(O90,1)*100)))</f>
        <v>120</v>
      </c>
      <c r="U90" s="67">
        <f t="array" ref="U90">XLOOKUP(D90,RUC!$B$3:$B$110,RUC!$F$3:$F$110)</f>
        <v>120</v>
      </c>
      <c r="V90" s="67">
        <v>1.1023</v>
      </c>
      <c r="Y90" s="57">
        <f t="array" ref="Y90">XLOOKUP(D90,RUC!$B$3:$B$110,RUC!$G$3:$G$110)</f>
        <v>20</v>
      </c>
      <c r="Z90" s="69">
        <f t="array" ref="Z90">XLOOKUP(D90,RUC!$B$3:$B$110,RUC!$H$3:$H$110)</f>
        <v>30</v>
      </c>
      <c r="AA90" s="70">
        <f t="shared" si="4"/>
        <v>50</v>
      </c>
      <c r="AB90" s="71">
        <f t="shared" si="22"/>
        <v>1052.117131</v>
      </c>
      <c r="AC90" s="71">
        <f>+(S90-T90)*V90-'data 1'!$F$4</f>
        <v>52.276</v>
      </c>
      <c r="AD90" s="71">
        <f t="shared" si="5"/>
        <v>78.60144155</v>
      </c>
      <c r="AE90" s="71">
        <f t="shared" si="6"/>
        <v>-14.885</v>
      </c>
      <c r="AF90" s="71">
        <f t="shared" si="7"/>
        <v>67.09597718</v>
      </c>
      <c r="AG90" s="72">
        <f t="shared" si="37"/>
        <v>200.0884187</v>
      </c>
      <c r="AH90" s="193">
        <f t="shared" si="8"/>
        <v>32.454</v>
      </c>
      <c r="AI90" s="193">
        <f t="shared" si="9"/>
        <v>34.008</v>
      </c>
      <c r="AJ90" s="73">
        <f t="shared" si="10"/>
        <v>91.30708045</v>
      </c>
      <c r="AK90" s="73">
        <f t="shared" si="11"/>
        <v>29.12028748</v>
      </c>
      <c r="AM90" s="51">
        <f t="shared" si="12"/>
        <v>2981.69995</v>
      </c>
      <c r="AN90" s="51" t="str">
        <f t="array" ref="AN90">XLOOKUP(D90,RUC!$B$3:$B$565,RUC!$M$3:$M$565)</f>
        <v>Evelyn</v>
      </c>
      <c r="AO90" s="131" t="s">
        <v>561</v>
      </c>
      <c r="AP90" s="57" t="s">
        <v>1491</v>
      </c>
      <c r="AQ90" s="57" t="s">
        <v>1492</v>
      </c>
    </row>
    <row r="91" ht="15.0" customHeight="1">
      <c r="A91" s="116" t="s">
        <v>1495</v>
      </c>
      <c r="B91" s="56">
        <v>45936.0</v>
      </c>
      <c r="C91" s="182">
        <v>45931.0</v>
      </c>
      <c r="D91" s="57" t="s">
        <v>295</v>
      </c>
      <c r="E91" s="3">
        <f t="array" ref="E91">XLOOKUP(D91,RUC!$B$3:$B$110,RUC!$D$3:$D$110)</f>
        <v>20601769396</v>
      </c>
      <c r="G91" s="141">
        <v>24.0</v>
      </c>
      <c r="H91" s="3" t="s">
        <v>40</v>
      </c>
      <c r="I91" s="6">
        <v>1.56</v>
      </c>
      <c r="J91" s="58">
        <v>8.17</v>
      </c>
      <c r="K91" s="6">
        <f t="shared" si="2"/>
        <v>1.433</v>
      </c>
      <c r="L91" s="3">
        <v>0.253</v>
      </c>
      <c r="M91" s="3">
        <v>0.238</v>
      </c>
      <c r="N91" s="62">
        <f t="shared" si="40"/>
        <v>0.238</v>
      </c>
      <c r="O91" s="60">
        <f t="shared" si="3"/>
        <v>0.238</v>
      </c>
      <c r="P91" s="63">
        <v>90.0</v>
      </c>
      <c r="Q91" s="58">
        <v>96.05</v>
      </c>
      <c r="R91" s="65">
        <v>3872.0</v>
      </c>
      <c r="S91" s="66">
        <f t="array" ref="S91">IF((XLOOKUP(D91,RUC!$B$3:$B$106,RUC!$E$3:$E$106)+ROUNDDOWN(O91,1)*100)&lt;95,95,((XLOOKUP(D91,RUC!$B$3:$B$106,RUC!$E$3:$E$106)+ROUNDDOWN(O91,1)*100)))</f>
        <v>110</v>
      </c>
      <c r="U91" s="67">
        <f t="array" ref="U91">XLOOKUP(D91,RUC!$B$3:$B$110,RUC!$F$3:$F$110)</f>
        <v>120</v>
      </c>
      <c r="V91" s="67">
        <v>1.1023</v>
      </c>
      <c r="Y91" s="57">
        <f t="array" ref="Y91">XLOOKUP(D91,RUC!$B$3:$B$110,RUC!$G$3:$G$110)</f>
        <v>20</v>
      </c>
      <c r="Z91" s="69">
        <f t="array" ref="Z91">XLOOKUP(D91,RUC!$B$3:$B$110,RUC!$H$3:$H$110)</f>
        <v>30</v>
      </c>
      <c r="AA91" s="70">
        <f t="shared" si="4"/>
        <v>50</v>
      </c>
      <c r="AB91" s="71">
        <f t="shared" si="22"/>
        <v>709.5267003</v>
      </c>
      <c r="AC91" s="71">
        <f>+(S91-T91)*V91-'data 1'!$F$4</f>
        <v>41.253</v>
      </c>
      <c r="AD91" s="71">
        <f t="shared" si="5"/>
        <v>63.30507577</v>
      </c>
      <c r="AE91" s="71">
        <f t="shared" si="6"/>
        <v>-14.885</v>
      </c>
      <c r="AF91" s="71">
        <f t="shared" si="7"/>
        <v>59.58696496</v>
      </c>
      <c r="AG91" s="72">
        <f t="shared" si="37"/>
        <v>166.2600407</v>
      </c>
      <c r="AH91" s="193">
        <f t="shared" si="8"/>
        <v>11.939</v>
      </c>
      <c r="AI91" s="193">
        <f t="shared" si="9"/>
        <v>12.43</v>
      </c>
      <c r="AJ91" s="73">
        <f t="shared" si="10"/>
        <v>66.43078411</v>
      </c>
      <c r="AK91" s="73">
        <f t="shared" si="11"/>
        <v>10.52385186</v>
      </c>
      <c r="AM91" s="51">
        <f t="shared" si="12"/>
        <v>1016.751762</v>
      </c>
      <c r="AN91" s="51" t="str">
        <f t="array" ref="AN91">XLOOKUP(D91,RUC!$B$3:$B$565,RUC!$M$3:$M$565)</f>
        <v>Evelyn</v>
      </c>
      <c r="AO91" s="131" t="s">
        <v>561</v>
      </c>
      <c r="AP91" s="57" t="s">
        <v>1491</v>
      </c>
      <c r="AQ91" s="57" t="s">
        <v>1492</v>
      </c>
    </row>
    <row r="92" ht="15.0" customHeight="1">
      <c r="A92" s="116" t="s">
        <v>1496</v>
      </c>
      <c r="B92" s="56">
        <v>45936.0</v>
      </c>
      <c r="C92" s="182">
        <v>45931.0</v>
      </c>
      <c r="D92" s="57" t="s">
        <v>295</v>
      </c>
      <c r="E92" s="3">
        <f t="array" ref="E92">XLOOKUP(D92,RUC!$B$3:$B$110,RUC!$D$3:$D$110)</f>
        <v>20601769396</v>
      </c>
      <c r="G92" s="141">
        <v>45.0</v>
      </c>
      <c r="H92" s="3" t="s">
        <v>40</v>
      </c>
      <c r="I92" s="6">
        <v>3.42</v>
      </c>
      <c r="J92" s="58">
        <v>7.75</v>
      </c>
      <c r="K92" s="6">
        <f t="shared" si="2"/>
        <v>3.155</v>
      </c>
      <c r="L92" s="3">
        <v>0.165</v>
      </c>
      <c r="M92" s="60">
        <v>0.15</v>
      </c>
      <c r="N92" s="62">
        <f t="shared" si="40"/>
        <v>0.15</v>
      </c>
      <c r="O92" s="60">
        <f t="shared" si="3"/>
        <v>0.15</v>
      </c>
      <c r="P92" s="63">
        <v>85.0</v>
      </c>
      <c r="Q92" s="2">
        <v>89.09</v>
      </c>
      <c r="R92" s="65">
        <v>3872.0</v>
      </c>
      <c r="S92" s="66">
        <f t="array" ref="S92">IF((XLOOKUP(D92,RUC!$B$3:$B$106,RUC!$E$3:$E$106)+ROUNDDOWN(O92,1)*100)&lt;95,95,((XLOOKUP(D92,RUC!$B$3:$B$106,RUC!$E$3:$E$106)+ROUNDDOWN(O92,1)*100)))</f>
        <v>100</v>
      </c>
      <c r="U92" s="67">
        <f t="array" ref="U92">XLOOKUP(D92,RUC!$B$3:$B$110,RUC!$F$3:$F$110)</f>
        <v>120</v>
      </c>
      <c r="V92" s="67">
        <v>1.1023</v>
      </c>
      <c r="Y92" s="57">
        <f t="array" ref="Y92">XLOOKUP(D92,RUC!$B$3:$B$110,RUC!$G$3:$G$110)</f>
        <v>20</v>
      </c>
      <c r="Z92" s="69">
        <f t="array" ref="Z92">XLOOKUP(D92,RUC!$B$3:$B$110,RUC!$H$3:$H$110)</f>
        <v>30</v>
      </c>
      <c r="AA92" s="70">
        <f t="shared" si="4"/>
        <v>50</v>
      </c>
      <c r="AB92" s="71">
        <f t="shared" si="22"/>
        <v>361.973274</v>
      </c>
      <c r="AC92" s="71">
        <f>+(S92-T92)*V92-'data 1'!$F$4</f>
        <v>30.23</v>
      </c>
      <c r="AD92" s="71">
        <f t="shared" si="5"/>
        <v>27.91064606</v>
      </c>
      <c r="AE92" s="71">
        <f t="shared" si="6"/>
        <v>-14.885</v>
      </c>
      <c r="AF92" s="71">
        <f t="shared" si="7"/>
        <v>55.26915886</v>
      </c>
      <c r="AG92" s="72">
        <f t="shared" si="37"/>
        <v>115.5248049</v>
      </c>
      <c r="AH92" s="193">
        <f t="shared" si="8"/>
        <v>15.901</v>
      </c>
      <c r="AI92" s="193">
        <f t="shared" si="9"/>
        <v>17.848</v>
      </c>
      <c r="AJ92" s="73">
        <f t="shared" si="10"/>
        <v>40.18503874</v>
      </c>
      <c r="AK92" s="73">
        <f t="shared" si="11"/>
        <v>13.79172591</v>
      </c>
      <c r="AM92" s="51">
        <f t="shared" si="12"/>
        <v>1142.025679</v>
      </c>
      <c r="AN92" s="51" t="str">
        <f t="array" ref="AN92">XLOOKUP(D92,RUC!$B$3:$B$565,RUC!$M$3:$M$565)</f>
        <v>Evelyn</v>
      </c>
      <c r="AO92" s="131" t="s">
        <v>561</v>
      </c>
      <c r="AP92" s="57" t="s">
        <v>1491</v>
      </c>
      <c r="AQ92" s="57" t="s">
        <v>1492</v>
      </c>
    </row>
    <row r="93" ht="15.0" customHeight="1">
      <c r="A93" s="116" t="s">
        <v>1497</v>
      </c>
      <c r="B93" s="56">
        <v>45936.0</v>
      </c>
      <c r="C93" s="182">
        <v>45931.0</v>
      </c>
      <c r="D93" s="57" t="s">
        <v>295</v>
      </c>
      <c r="E93" s="3">
        <f t="array" ref="E93">XLOOKUP(D93,RUC!$B$3:$B$110,RUC!$D$3:$D$110)</f>
        <v>20601769396</v>
      </c>
      <c r="G93" s="141">
        <v>47.0</v>
      </c>
      <c r="H93" s="3" t="s">
        <v>40</v>
      </c>
      <c r="I93" s="6">
        <v>3.69</v>
      </c>
      <c r="J93" s="58">
        <v>9.2</v>
      </c>
      <c r="K93" s="6">
        <f t="shared" si="2"/>
        <v>3.351</v>
      </c>
      <c r="L93" s="3">
        <v>0.191</v>
      </c>
      <c r="M93" s="3">
        <v>0.176</v>
      </c>
      <c r="N93" s="62">
        <f t="shared" si="40"/>
        <v>0.176</v>
      </c>
      <c r="O93" s="60">
        <f t="shared" si="3"/>
        <v>0.176</v>
      </c>
      <c r="P93" s="63">
        <v>90.0</v>
      </c>
      <c r="Q93" s="2">
        <v>93.72</v>
      </c>
      <c r="R93" s="65">
        <v>3872.0</v>
      </c>
      <c r="S93" s="66">
        <f t="array" ref="S93">IF((XLOOKUP(D93,RUC!$B$3:$B$106,RUC!$E$3:$E$106)+ROUNDDOWN(O93,1)*100)&lt;95,95,((XLOOKUP(D93,RUC!$B$3:$B$106,RUC!$E$3:$E$106)+ROUNDDOWN(O93,1)*100)))</f>
        <v>100</v>
      </c>
      <c r="U93" s="67">
        <f t="array" ref="U93">XLOOKUP(D93,RUC!$B$3:$B$110,RUC!$F$3:$F$110)</f>
        <v>120</v>
      </c>
      <c r="V93" s="67">
        <v>1.1023</v>
      </c>
      <c r="Y93" s="57">
        <f t="array" ref="Y93">XLOOKUP(D93,RUC!$B$3:$B$110,RUC!$G$3:$G$110)</f>
        <v>20</v>
      </c>
      <c r="Z93" s="69">
        <f t="array" ref="Z93">XLOOKUP(D93,RUC!$B$3:$B$110,RUC!$H$3:$H$110)</f>
        <v>30</v>
      </c>
      <c r="AA93" s="70">
        <f t="shared" si="4"/>
        <v>50</v>
      </c>
      <c r="AB93" s="71">
        <f t="shared" si="22"/>
        <v>489.7704086</v>
      </c>
      <c r="AC93" s="71">
        <f>+(S93-T93)*V93-'data 1'!$F$4</f>
        <v>30.23</v>
      </c>
      <c r="AD93" s="71">
        <f t="shared" si="5"/>
        <v>29.38589647</v>
      </c>
      <c r="AE93" s="71">
        <f t="shared" si="6"/>
        <v>-14.885</v>
      </c>
      <c r="AF93" s="71">
        <f t="shared" si="7"/>
        <v>58.14149252</v>
      </c>
      <c r="AG93" s="72">
        <f t="shared" si="37"/>
        <v>119.872389</v>
      </c>
      <c r="AH93" s="193">
        <f t="shared" si="8"/>
        <v>20.566</v>
      </c>
      <c r="AI93" s="193">
        <f t="shared" si="9"/>
        <v>21.944</v>
      </c>
      <c r="AJ93" s="73">
        <f t="shared" si="10"/>
        <v>48.93472313</v>
      </c>
      <c r="AK93" s="73">
        <f t="shared" si="11"/>
        <v>18.19862912</v>
      </c>
      <c r="AM93" s="51">
        <f t="shared" si="12"/>
        <v>1641.220639</v>
      </c>
      <c r="AN93" s="51" t="str">
        <f t="array" ref="AN93">XLOOKUP(D93,RUC!$B$3:$B$565,RUC!$M$3:$M$565)</f>
        <v>Evelyn</v>
      </c>
      <c r="AO93" s="131" t="s">
        <v>561</v>
      </c>
      <c r="AP93" s="57" t="s">
        <v>1491</v>
      </c>
      <c r="AQ93" s="57" t="s">
        <v>1492</v>
      </c>
    </row>
    <row r="94" ht="15.0" customHeight="1">
      <c r="A94" s="116" t="s">
        <v>1498</v>
      </c>
      <c r="B94" s="56">
        <v>45936.0</v>
      </c>
      <c r="C94" s="182">
        <v>45931.0</v>
      </c>
      <c r="D94" s="57" t="s">
        <v>295</v>
      </c>
      <c r="E94" s="3">
        <f t="array" ref="E94">XLOOKUP(D94,RUC!$B$3:$B$110,RUC!$D$3:$D$110)</f>
        <v>20601769396</v>
      </c>
      <c r="G94" s="141">
        <v>15.0</v>
      </c>
      <c r="H94" s="3" t="s">
        <v>40</v>
      </c>
      <c r="I94" s="6">
        <v>1.13</v>
      </c>
      <c r="J94" s="58">
        <v>12.8</v>
      </c>
      <c r="K94" s="6">
        <f t="shared" si="2"/>
        <v>0.985</v>
      </c>
      <c r="L94" s="3">
        <v>0.329</v>
      </c>
      <c r="M94" s="3">
        <v>0.313</v>
      </c>
      <c r="N94" s="62">
        <f t="shared" si="40"/>
        <v>0.313</v>
      </c>
      <c r="O94" s="60">
        <f t="shared" si="3"/>
        <v>0.313</v>
      </c>
      <c r="P94" s="63">
        <v>90.0</v>
      </c>
      <c r="Q94" s="2">
        <v>93.92</v>
      </c>
      <c r="R94" s="65">
        <v>3872.0</v>
      </c>
      <c r="S94" s="66">
        <f t="array" ref="S94">IF((XLOOKUP(D94,RUC!$B$3:$B$106,RUC!$E$3:$E$106)+ROUNDDOWN(O94,1)*100)&lt;95,95,((XLOOKUP(D94,RUC!$B$3:$B$106,RUC!$E$3:$E$106)+ROUNDDOWN(O94,1)*100)))</f>
        <v>120</v>
      </c>
      <c r="U94" s="67">
        <f t="array" ref="U94">XLOOKUP(D94,RUC!$B$3:$B$110,RUC!$F$3:$F$110)</f>
        <v>120</v>
      </c>
      <c r="V94" s="67">
        <v>1.1023</v>
      </c>
      <c r="Y94" s="57">
        <f t="array" ref="Y94">XLOOKUP(D94,RUC!$B$3:$B$110,RUC!$G$3:$G$110)</f>
        <v>20</v>
      </c>
      <c r="Z94" s="69">
        <f t="array" ref="Z94">XLOOKUP(D94,RUC!$B$3:$B$110,RUC!$H$3:$H$110)</f>
        <v>30</v>
      </c>
      <c r="AA94" s="70">
        <f t="shared" si="4"/>
        <v>50</v>
      </c>
      <c r="AB94" s="71">
        <f t="shared" si="22"/>
        <v>977.6721983</v>
      </c>
      <c r="AC94" s="71">
        <f>+(S94-T94)*V94-'data 1'!$F$4</f>
        <v>52.276</v>
      </c>
      <c r="AD94" s="71">
        <f t="shared" si="5"/>
        <v>53.33896719</v>
      </c>
      <c r="AE94" s="71">
        <f t="shared" si="6"/>
        <v>-14.885</v>
      </c>
      <c r="AF94" s="71">
        <f t="shared" si="7"/>
        <v>62.14993857</v>
      </c>
      <c r="AG94" s="72">
        <f t="shared" si="37"/>
        <v>169.8799058</v>
      </c>
      <c r="AH94" s="193">
        <f t="shared" si="8"/>
        <v>10.435</v>
      </c>
      <c r="AI94" s="193">
        <f t="shared" si="9"/>
        <v>11.111</v>
      </c>
      <c r="AJ94" s="73">
        <f t="shared" si="10"/>
        <v>84.47057881</v>
      </c>
      <c r="AK94" s="73">
        <f t="shared" si="11"/>
        <v>9.513320906</v>
      </c>
      <c r="AM94" s="51">
        <f t="shared" si="12"/>
        <v>963.0071153</v>
      </c>
      <c r="AN94" s="51" t="str">
        <f t="array" ref="AN94">XLOOKUP(D94,RUC!$B$3:$B$565,RUC!$M$3:$M$565)</f>
        <v>Evelyn</v>
      </c>
      <c r="AO94" s="131" t="s">
        <v>549</v>
      </c>
      <c r="AP94" s="57" t="s">
        <v>1491</v>
      </c>
      <c r="AQ94" s="57" t="s">
        <v>1492</v>
      </c>
    </row>
    <row r="95" ht="15.0" customHeight="1">
      <c r="A95" s="116" t="s">
        <v>1499</v>
      </c>
      <c r="B95" s="56">
        <v>45936.0</v>
      </c>
      <c r="C95" s="182">
        <v>45931.0</v>
      </c>
      <c r="D95" s="57" t="s">
        <v>295</v>
      </c>
      <c r="E95" s="3">
        <f t="array" ref="E95">XLOOKUP(D95,RUC!$B$3:$B$110,RUC!$D$3:$D$110)</f>
        <v>20601769396</v>
      </c>
      <c r="G95" s="141">
        <v>31.0</v>
      </c>
      <c r="H95" s="3" t="s">
        <v>40</v>
      </c>
      <c r="I95" s="6">
        <v>2.2</v>
      </c>
      <c r="J95" s="58">
        <v>17.92</v>
      </c>
      <c r="K95" s="6">
        <f t="shared" si="2"/>
        <v>1.806</v>
      </c>
      <c r="L95" s="3">
        <v>0.541</v>
      </c>
      <c r="M95" s="3">
        <v>0.514</v>
      </c>
      <c r="N95" s="62">
        <f t="shared" si="40"/>
        <v>0.514</v>
      </c>
      <c r="O95" s="60">
        <f t="shared" si="3"/>
        <v>0.514</v>
      </c>
      <c r="P95" s="63">
        <v>90.0</v>
      </c>
      <c r="Q95" s="2">
        <v>95.93</v>
      </c>
      <c r="R95" s="65">
        <v>3872.0</v>
      </c>
      <c r="S95" s="66">
        <f t="array" ref="S95">IF((XLOOKUP(D95,RUC!$B$3:$B$106,RUC!$E$3:$E$106)+ROUNDDOWN(O95,1)*100)&lt;95,95,((XLOOKUP(D95,RUC!$B$3:$B$106,RUC!$E$3:$E$106)+ROUNDDOWN(O95,1)*100)))</f>
        <v>140</v>
      </c>
      <c r="U95" s="67">
        <f t="array" ref="U95">XLOOKUP(D95,RUC!$B$3:$B$110,RUC!$F$3:$F$110)</f>
        <v>120</v>
      </c>
      <c r="V95" s="67">
        <v>1.1023</v>
      </c>
      <c r="Y95" s="57">
        <f t="array" ref="Y95">XLOOKUP(D95,RUC!$B$3:$B$110,RUC!$G$3:$G$110)</f>
        <v>20</v>
      </c>
      <c r="Z95" s="69">
        <f t="array" ref="Z95">XLOOKUP(D95,RUC!$B$3:$B$110,RUC!$H$3:$H$110)</f>
        <v>30</v>
      </c>
      <c r="AA95" s="70">
        <f t="shared" si="4"/>
        <v>50</v>
      </c>
      <c r="AB95" s="71">
        <f t="shared" si="22"/>
        <v>1703.797773</v>
      </c>
      <c r="AC95" s="71">
        <f>+(S95-T95)*V95-'data 1'!$F$4</f>
        <v>74.322</v>
      </c>
      <c r="AD95" s="71">
        <f t="shared" si="5"/>
        <v>132.6827901</v>
      </c>
      <c r="AE95" s="71">
        <f t="shared" si="6"/>
        <v>-14.885</v>
      </c>
      <c r="AF95" s="71">
        <f t="shared" si="7"/>
        <v>107.1225361</v>
      </c>
      <c r="AG95" s="72">
        <f t="shared" si="37"/>
        <v>316.2423262</v>
      </c>
      <c r="AH95" s="193">
        <f t="shared" si="8"/>
        <v>32.135</v>
      </c>
      <c r="AI95" s="193">
        <f t="shared" si="9"/>
        <v>33.498</v>
      </c>
      <c r="AJ95" s="73">
        <f t="shared" si="10"/>
        <v>141.8741256</v>
      </c>
      <c r="AK95" s="73">
        <f t="shared" si="11"/>
        <v>28.64391944</v>
      </c>
      <c r="AM95" s="51">
        <f t="shared" si="12"/>
        <v>3077.058778</v>
      </c>
      <c r="AN95" s="51" t="str">
        <f t="array" ref="AN95">XLOOKUP(D95,RUC!$B$3:$B$565,RUC!$M$3:$M$565)</f>
        <v>Evelyn</v>
      </c>
      <c r="AO95" s="131" t="s">
        <v>561</v>
      </c>
      <c r="AP95" s="57" t="s">
        <v>1491</v>
      </c>
      <c r="AQ95" s="57" t="s">
        <v>1492</v>
      </c>
    </row>
    <row r="96" ht="15.0" customHeight="1">
      <c r="A96" s="116" t="s">
        <v>1500</v>
      </c>
      <c r="B96" s="56">
        <v>45937.0</v>
      </c>
      <c r="C96" s="182">
        <v>45931.0</v>
      </c>
      <c r="D96" s="57" t="s">
        <v>295</v>
      </c>
      <c r="E96" s="3">
        <f t="array" ref="E96">XLOOKUP(D96,RUC!$B$3:$B$110,RUC!$D$3:$D$110)</f>
        <v>20601769396</v>
      </c>
      <c r="G96" s="141">
        <v>50.0</v>
      </c>
      <c r="H96" s="3" t="s">
        <v>40</v>
      </c>
      <c r="I96" s="6">
        <v>3.41</v>
      </c>
      <c r="J96" s="58">
        <v>8.02</v>
      </c>
      <c r="K96" s="6">
        <f t="shared" si="2"/>
        <v>3.137</v>
      </c>
      <c r="L96" s="3">
        <v>0.472</v>
      </c>
      <c r="M96" s="3">
        <v>0.448</v>
      </c>
      <c r="N96" s="62">
        <f t="shared" si="40"/>
        <v>0.448</v>
      </c>
      <c r="O96" s="60">
        <f t="shared" si="3"/>
        <v>0.448</v>
      </c>
      <c r="P96" s="63">
        <v>90.0</v>
      </c>
      <c r="Q96" s="2">
        <v>95.76</v>
      </c>
      <c r="R96" s="65">
        <v>3872.0</v>
      </c>
      <c r="S96" s="66">
        <f t="array" ref="S96">IF((XLOOKUP(D96,RUC!$B$3:$B$106,RUC!$E$3:$E$106)+ROUNDDOWN(O96,1)*100)&lt;95,95,((XLOOKUP(D96,RUC!$B$3:$B$106,RUC!$E$3:$E$106)+ROUNDDOWN(O96,1)*100)))</f>
        <v>130</v>
      </c>
      <c r="U96" s="67">
        <f t="array" ref="U96">XLOOKUP(D96,RUC!$B$3:$B$110,RUC!$F$3:$F$110)</f>
        <v>120</v>
      </c>
      <c r="V96" s="67">
        <v>1.1023</v>
      </c>
      <c r="Y96" s="57">
        <f t="array" ref="Y96">XLOOKUP(D96,RUC!$B$3:$B$110,RUC!$G$3:$G$110)</f>
        <v>20</v>
      </c>
      <c r="Z96" s="69">
        <f t="array" ref="Z96">XLOOKUP(D96,RUC!$B$3:$B$110,RUC!$H$3:$H$110)</f>
        <v>30</v>
      </c>
      <c r="AA96" s="70">
        <f t="shared" si="4"/>
        <v>50</v>
      </c>
      <c r="AB96" s="71">
        <f t="shared" si="22"/>
        <v>1469.152495</v>
      </c>
      <c r="AC96" s="71">
        <f>+(S96-T96)*V96-'data 1'!$F$4</f>
        <v>63.299</v>
      </c>
      <c r="AD96" s="71">
        <f t="shared" si="5"/>
        <v>112.4416265</v>
      </c>
      <c r="AE96" s="71">
        <f t="shared" si="6"/>
        <v>-14.885</v>
      </c>
      <c r="AF96" s="71">
        <f t="shared" si="7"/>
        <v>95.0512902</v>
      </c>
      <c r="AG96" s="72">
        <f t="shared" si="37"/>
        <v>272.9069167</v>
      </c>
      <c r="AH96" s="193">
        <f t="shared" si="8"/>
        <v>48.613</v>
      </c>
      <c r="AI96" s="193">
        <f t="shared" si="9"/>
        <v>50.765</v>
      </c>
      <c r="AJ96" s="73">
        <f t="shared" si="10"/>
        <v>123.5599217</v>
      </c>
      <c r="AK96" s="73">
        <f t="shared" si="11"/>
        <v>43.36547536</v>
      </c>
      <c r="AM96" s="51">
        <f t="shared" si="12"/>
        <v>4608.731376</v>
      </c>
      <c r="AN96" s="51" t="str">
        <f t="array" ref="AN96">XLOOKUP(D96,RUC!$B$3:$B$565,RUC!$M$3:$M$565)</f>
        <v>Evelyn</v>
      </c>
      <c r="AO96" s="131" t="s">
        <v>561</v>
      </c>
      <c r="AP96" s="57" t="s">
        <v>1491</v>
      </c>
      <c r="AQ96" s="57" t="s">
        <v>1492</v>
      </c>
    </row>
    <row r="97" ht="15.0" customHeight="1">
      <c r="A97" s="116" t="s">
        <v>1501</v>
      </c>
      <c r="B97" s="56">
        <v>45937.0</v>
      </c>
      <c r="C97" s="182">
        <v>45931.0</v>
      </c>
      <c r="D97" s="57" t="s">
        <v>225</v>
      </c>
      <c r="E97" s="3">
        <f t="array" ref="E97">XLOOKUP(D97,RUC!$B$3:$B$110,RUC!$D$3:$D$110)</f>
        <v>10761932735</v>
      </c>
      <c r="G97" s="141" t="s">
        <v>735</v>
      </c>
      <c r="H97" s="3" t="s">
        <v>47</v>
      </c>
      <c r="I97" s="6">
        <v>24.61</v>
      </c>
      <c r="J97" s="58">
        <v>17.35</v>
      </c>
      <c r="K97" s="6">
        <f t="shared" si="2"/>
        <v>20.34</v>
      </c>
      <c r="L97" s="3">
        <v>0.142</v>
      </c>
      <c r="M97" s="3">
        <v>0.127</v>
      </c>
      <c r="N97" s="75">
        <v>0.148</v>
      </c>
      <c r="O97" s="60">
        <f t="shared" si="3"/>
        <v>0.138</v>
      </c>
      <c r="P97" s="63">
        <v>85.0</v>
      </c>
      <c r="Q97" s="58">
        <v>97.89</v>
      </c>
      <c r="R97" s="65">
        <v>3872.0</v>
      </c>
      <c r="S97" s="66">
        <f t="array" ref="S97">IF((XLOOKUP(D97,RUC!$B$3:$B$106,RUC!$E$3:$E$106)+ROUNDDOWN(O97,1)*100)&lt;95,95,((XLOOKUP(D97,RUC!$B$3:$B$106,RUC!$E$3:$E$106)+ROUNDDOWN(O97,1)*100)))</f>
        <v>100</v>
      </c>
      <c r="U97" s="67">
        <f t="array" ref="U97">XLOOKUP(D97,RUC!$B$3:$B$110,RUC!$F$3:$F$110)</f>
        <v>120</v>
      </c>
      <c r="V97" s="67">
        <v>1.1023</v>
      </c>
      <c r="Y97" s="57">
        <f t="array" ref="Y97">XLOOKUP(D97,RUC!$B$3:$B$110,RUC!$G$3:$G$110)</f>
        <v>20</v>
      </c>
      <c r="Z97" s="69">
        <f t="array" ref="Z97">XLOOKUP(D97,RUC!$B$3:$B$110,RUC!$H$3:$H$110)</f>
        <v>30</v>
      </c>
      <c r="AA97" s="70">
        <f t="shared" si="4"/>
        <v>50</v>
      </c>
      <c r="AB97" s="71">
        <f t="shared" si="22"/>
        <v>319.7878121</v>
      </c>
      <c r="AC97" s="71">
        <f>+(S97-T97)*V97-'data 1'!$F$4</f>
        <v>30.23</v>
      </c>
      <c r="AD97" s="71">
        <f t="shared" si="5"/>
        <v>75.70139783</v>
      </c>
      <c r="AE97" s="71">
        <f t="shared" si="6"/>
        <v>-14.885</v>
      </c>
      <c r="AF97" s="71">
        <f t="shared" si="7"/>
        <v>16.19425438</v>
      </c>
      <c r="AG97" s="72">
        <f t="shared" si="37"/>
        <v>124.2406522</v>
      </c>
      <c r="AH97" s="193">
        <f t="shared" si="8"/>
        <v>96.936</v>
      </c>
      <c r="AI97" s="193">
        <f t="shared" si="9"/>
        <v>99.026</v>
      </c>
      <c r="AJ97" s="73">
        <f t="shared" si="10"/>
        <v>37.99952441</v>
      </c>
      <c r="AK97" s="73">
        <f t="shared" si="11"/>
        <v>81.80089021</v>
      </c>
      <c r="AM97" s="51">
        <f t="shared" si="12"/>
        <v>6504.484098</v>
      </c>
      <c r="AN97" s="51" t="str">
        <f t="array" ref="AN97">XLOOKUP(D97,RUC!$B$3:$B$565,RUC!$M$3:$M$565)</f>
        <v>Richard Sapacayo</v>
      </c>
      <c r="AO97" s="131" t="s">
        <v>549</v>
      </c>
      <c r="AP97" s="57" t="s">
        <v>1376</v>
      </c>
      <c r="AQ97" s="57" t="s">
        <v>1502</v>
      </c>
    </row>
    <row r="98" ht="15.0" customHeight="1">
      <c r="A98" s="116" t="s">
        <v>1503</v>
      </c>
      <c r="B98" s="56">
        <v>45940.0</v>
      </c>
      <c r="C98" s="182">
        <v>45932.0</v>
      </c>
      <c r="D98" s="57" t="s">
        <v>74</v>
      </c>
      <c r="E98" s="3">
        <f t="array" ref="E98">XLOOKUP(D98,RUC!$B$3:$B$110,RUC!$D$3:$D$110)</f>
        <v>10082235774</v>
      </c>
      <c r="G98" s="141">
        <v>61.0</v>
      </c>
      <c r="H98" s="3" t="s">
        <v>47</v>
      </c>
      <c r="I98" s="6">
        <v>6.06</v>
      </c>
      <c r="J98" s="58">
        <v>1.3</v>
      </c>
      <c r="K98" s="6">
        <f t="shared" si="2"/>
        <v>5.981</v>
      </c>
      <c r="L98" s="3">
        <v>0.268</v>
      </c>
      <c r="M98" s="3">
        <v>0.261</v>
      </c>
      <c r="N98" s="62">
        <f t="shared" ref="N98:N104" si="41">+M98</f>
        <v>0.261</v>
      </c>
      <c r="O98" s="60">
        <f t="shared" si="3"/>
        <v>0.261</v>
      </c>
      <c r="P98" s="63">
        <v>90.0</v>
      </c>
      <c r="Q98" s="58">
        <v>94.4</v>
      </c>
      <c r="R98" s="65">
        <v>3878.1</v>
      </c>
      <c r="S98" s="133">
        <v>105.0</v>
      </c>
      <c r="U98" s="67">
        <f t="array" ref="U98">XLOOKUP(D98,RUC!$B$3:$B$110,RUC!$F$3:$F$110)</f>
        <v>80</v>
      </c>
      <c r="V98" s="67">
        <v>1.1023</v>
      </c>
      <c r="Y98" s="57" t="str">
        <f t="array" ref="Y98">XLOOKUP(D98,RUC!$B$3:$B$110,RUC!$G$3:$G$110)</f>
        <v/>
      </c>
      <c r="Z98" s="69">
        <f t="array" ref="Z98">XLOOKUP(D98,RUC!$B$3:$B$110,RUC!$H$3:$H$110)</f>
        <v>10</v>
      </c>
      <c r="AA98" s="70">
        <f t="shared" si="4"/>
        <v>10</v>
      </c>
      <c r="AB98" s="71">
        <f t="shared" si="22"/>
        <v>856.6785585</v>
      </c>
      <c r="AC98" s="71">
        <f>+(S98-T98)*V98-'data 1'!$F$4</f>
        <v>35.7415</v>
      </c>
      <c r="AD98" s="71">
        <f t="shared" si="5"/>
        <v>49.36892527</v>
      </c>
      <c r="AE98" s="71">
        <f t="shared" si="6"/>
        <v>-58.977</v>
      </c>
      <c r="AF98" s="71">
        <f t="shared" si="7"/>
        <v>27.66535432</v>
      </c>
      <c r="AG98" s="72">
        <f t="shared" ref="AG98:AG103" si="42">AC98+AD98+AE98+AF98+70</f>
        <v>123.7987796</v>
      </c>
      <c r="AH98" s="193">
        <f t="shared" si="8"/>
        <v>51.879</v>
      </c>
      <c r="AI98" s="193">
        <f t="shared" si="9"/>
        <v>54.956</v>
      </c>
      <c r="AJ98" s="73">
        <f t="shared" si="10"/>
        <v>56.30447518</v>
      </c>
      <c r="AK98" s="73">
        <f t="shared" si="11"/>
        <v>48.1688068</v>
      </c>
      <c r="AM98" s="51">
        <f t="shared" si="12"/>
        <v>5123.794458</v>
      </c>
      <c r="AN98" s="51" t="str">
        <f t="array" ref="AN98">XLOOKUP(D98,RUC!$B$3:$B$565,RUC!$M$3:$M$565)</f>
        <v>Melchor Vera</v>
      </c>
      <c r="AO98" s="131" t="s">
        <v>561</v>
      </c>
      <c r="AP98" s="57" t="s">
        <v>1504</v>
      </c>
      <c r="AQ98" s="57" t="s">
        <v>1505</v>
      </c>
    </row>
    <row r="99" ht="15.0" customHeight="1">
      <c r="A99" s="116" t="s">
        <v>1506</v>
      </c>
      <c r="B99" s="56">
        <v>45940.0</v>
      </c>
      <c r="C99" s="182">
        <v>45932.0</v>
      </c>
      <c r="D99" s="57" t="s">
        <v>74</v>
      </c>
      <c r="E99" s="3">
        <f t="array" ref="E99">XLOOKUP(D99,RUC!$B$3:$B$110,RUC!$D$3:$D$110)</f>
        <v>10082235774</v>
      </c>
      <c r="G99" s="141">
        <v>40.0</v>
      </c>
      <c r="H99" s="3" t="s">
        <v>47</v>
      </c>
      <c r="I99" s="6">
        <v>4.08</v>
      </c>
      <c r="J99" s="58">
        <v>1.5</v>
      </c>
      <c r="K99" s="6">
        <f t="shared" si="2"/>
        <v>4.019</v>
      </c>
      <c r="L99" s="3">
        <v>0.192</v>
      </c>
      <c r="M99" s="3">
        <v>0.185</v>
      </c>
      <c r="N99" s="62">
        <f t="shared" si="41"/>
        <v>0.185</v>
      </c>
      <c r="O99" s="60">
        <f t="shared" si="3"/>
        <v>0.185</v>
      </c>
      <c r="P99" s="63">
        <v>85.0</v>
      </c>
      <c r="Q99" s="58">
        <v>80.73</v>
      </c>
      <c r="R99" s="65">
        <v>3878.1</v>
      </c>
      <c r="S99" s="133">
        <f t="array" ref="S99">IF((XLOOKUP(D99,RUC!$B$3:$B$106,RUC!$E$3:$E$106)+ROUNDDOWN(O99,1)*100)&lt;95,95,((XLOOKUP(D99,RUC!$B$3:$B$106,RUC!$E$3:$E$106)+ROUNDDOWN(O99,1)*100)))</f>
        <v>95</v>
      </c>
      <c r="U99" s="67">
        <f t="array" ref="U99">XLOOKUP(D99,RUC!$B$3:$B$110,RUC!$F$3:$F$110)</f>
        <v>80</v>
      </c>
      <c r="V99" s="67">
        <v>1.1023</v>
      </c>
      <c r="Y99" s="57" t="str">
        <f t="array" ref="Y99">XLOOKUP(D99,RUC!$B$3:$B$110,RUC!$G$3:$G$110)</f>
        <v/>
      </c>
      <c r="Z99" s="69">
        <f t="array" ref="Z99">XLOOKUP(D99,RUC!$B$3:$B$110,RUC!$H$3:$H$110)</f>
        <v>10</v>
      </c>
      <c r="AA99" s="70">
        <f t="shared" si="4"/>
        <v>10</v>
      </c>
      <c r="AB99" s="71">
        <f t="shared" si="22"/>
        <v>542.6085253</v>
      </c>
      <c r="AC99" s="71">
        <f>+(S99-T99)*V99-'data 1'!$F$4</f>
        <v>24.7185</v>
      </c>
      <c r="AD99" s="71">
        <f t="shared" si="5"/>
        <v>-34.32379553</v>
      </c>
      <c r="AE99" s="71">
        <f t="shared" si="6"/>
        <v>-58.977</v>
      </c>
      <c r="AF99" s="71">
        <f t="shared" si="7"/>
        <v>23.65915312</v>
      </c>
      <c r="AG99" s="72">
        <f t="shared" si="42"/>
        <v>25.07685759</v>
      </c>
      <c r="AH99" s="193">
        <f t="shared" si="8"/>
        <v>21.358</v>
      </c>
      <c r="AI99" s="193">
        <f t="shared" si="9"/>
        <v>26.456</v>
      </c>
      <c r="AJ99" s="73">
        <f t="shared" si="10"/>
        <v>34.49628344</v>
      </c>
      <c r="AK99" s="73">
        <f t="shared" si="11"/>
        <v>21.66794525</v>
      </c>
      <c r="AM99" s="51">
        <f t="shared" si="12"/>
        <v>2180.743663</v>
      </c>
      <c r="AN99" s="51" t="str">
        <f t="array" ref="AN99">XLOOKUP(D99,RUC!$B$3:$B$565,RUC!$M$3:$M$565)</f>
        <v>Melchor Vera</v>
      </c>
      <c r="AO99" s="131" t="s">
        <v>561</v>
      </c>
      <c r="AP99" s="57" t="s">
        <v>1504</v>
      </c>
      <c r="AQ99" s="57" t="s">
        <v>1505</v>
      </c>
    </row>
    <row r="100" ht="15.0" customHeight="1">
      <c r="A100" s="116" t="s">
        <v>1507</v>
      </c>
      <c r="B100" s="56">
        <v>45940.0</v>
      </c>
      <c r="C100" s="182">
        <v>45932.0</v>
      </c>
      <c r="D100" s="57" t="s">
        <v>74</v>
      </c>
      <c r="E100" s="3">
        <f t="array" ref="E100">XLOOKUP(D100,RUC!$B$3:$B$110,RUC!$D$3:$D$110)</f>
        <v>10082235774</v>
      </c>
      <c r="G100" s="141">
        <v>67.0</v>
      </c>
      <c r="H100" s="3" t="s">
        <v>47</v>
      </c>
      <c r="I100" s="6">
        <v>6.74</v>
      </c>
      <c r="J100" s="58">
        <v>1.2</v>
      </c>
      <c r="K100" s="6">
        <f t="shared" si="2"/>
        <v>6.659</v>
      </c>
      <c r="L100" s="3">
        <v>0.233</v>
      </c>
      <c r="M100" s="3">
        <v>0.226</v>
      </c>
      <c r="N100" s="62">
        <f t="shared" si="41"/>
        <v>0.226</v>
      </c>
      <c r="O100" s="60">
        <f t="shared" si="3"/>
        <v>0.226</v>
      </c>
      <c r="P100" s="63">
        <v>85.0</v>
      </c>
      <c r="Q100" s="58">
        <v>89.7</v>
      </c>
      <c r="R100" s="65">
        <v>3878.1</v>
      </c>
      <c r="S100" s="133">
        <v>105.0</v>
      </c>
      <c r="U100" s="67">
        <f t="array" ref="U100">XLOOKUP(D100,RUC!$B$3:$B$110,RUC!$F$3:$F$110)</f>
        <v>80</v>
      </c>
      <c r="V100" s="67">
        <v>1.1023</v>
      </c>
      <c r="Y100" s="57" t="str">
        <f t="array" ref="Y100">XLOOKUP(D100,RUC!$B$3:$B$110,RUC!$G$3:$G$110)</f>
        <v/>
      </c>
      <c r="Z100" s="69">
        <f t="array" ref="Z100">XLOOKUP(D100,RUC!$B$3:$B$110,RUC!$H$3:$H$110)</f>
        <v>10</v>
      </c>
      <c r="AA100" s="70">
        <f t="shared" si="4"/>
        <v>10</v>
      </c>
      <c r="AB100" s="71">
        <f t="shared" si="22"/>
        <v>677.4901255</v>
      </c>
      <c r="AC100" s="71">
        <f>+(S100-T100)*V100-'data 1'!$F$4</f>
        <v>35.7415</v>
      </c>
      <c r="AD100" s="71">
        <f t="shared" si="5"/>
        <v>45.84795629</v>
      </c>
      <c r="AE100" s="71">
        <f t="shared" si="6"/>
        <v>-58.977</v>
      </c>
      <c r="AF100" s="71">
        <f t="shared" si="7"/>
        <v>26.28794791</v>
      </c>
      <c r="AG100" s="72">
        <f t="shared" si="42"/>
        <v>118.9004042</v>
      </c>
      <c r="AH100" s="193">
        <f t="shared" si="8"/>
        <v>47.716</v>
      </c>
      <c r="AI100" s="193">
        <f t="shared" si="9"/>
        <v>53.195</v>
      </c>
      <c r="AJ100" s="73">
        <f t="shared" si="10"/>
        <v>46.51408588</v>
      </c>
      <c r="AK100" s="73">
        <f t="shared" si="11"/>
        <v>43.85765925</v>
      </c>
      <c r="AM100" s="51">
        <f t="shared" si="12"/>
        <v>4511.406746</v>
      </c>
      <c r="AN100" s="51" t="str">
        <f t="array" ref="AN100">XLOOKUP(D100,RUC!$B$3:$B$565,RUC!$M$3:$M$565)</f>
        <v>Melchor Vera</v>
      </c>
      <c r="AO100" s="131" t="s">
        <v>561</v>
      </c>
      <c r="AP100" s="57" t="s">
        <v>1504</v>
      </c>
      <c r="AQ100" s="57" t="s">
        <v>1505</v>
      </c>
    </row>
    <row r="101" ht="15.0" customHeight="1">
      <c r="A101" s="116" t="s">
        <v>1508</v>
      </c>
      <c r="B101" s="56">
        <v>45940.0</v>
      </c>
      <c r="C101" s="182">
        <v>45932.0</v>
      </c>
      <c r="D101" s="57" t="s">
        <v>74</v>
      </c>
      <c r="E101" s="3">
        <f t="array" ref="E101">XLOOKUP(D101,RUC!$B$3:$B$110,RUC!$D$3:$D$110)</f>
        <v>10082235774</v>
      </c>
      <c r="G101" s="141">
        <v>59.0</v>
      </c>
      <c r="H101" s="3" t="s">
        <v>47</v>
      </c>
      <c r="I101" s="6">
        <v>5.32</v>
      </c>
      <c r="J101" s="58">
        <v>1.1</v>
      </c>
      <c r="K101" s="6">
        <f t="shared" si="2"/>
        <v>5.261</v>
      </c>
      <c r="L101" s="3">
        <v>0.119</v>
      </c>
      <c r="M101" s="3">
        <v>0.11199999999999999</v>
      </c>
      <c r="N101" s="62">
        <f t="shared" si="41"/>
        <v>0.112</v>
      </c>
      <c r="O101" s="60">
        <f t="shared" si="3"/>
        <v>0.112</v>
      </c>
      <c r="P101" s="63">
        <v>85.0</v>
      </c>
      <c r="Q101" s="58">
        <v>95.8</v>
      </c>
      <c r="R101" s="65">
        <v>3878.1</v>
      </c>
      <c r="S101" s="133">
        <f t="array" ref="S101">IF((XLOOKUP(D101,RUC!$B$3:$B$106,RUC!$E$3:$E$106)+ROUNDDOWN(O101,1)*100)&lt;95,95,((XLOOKUP(D101,RUC!$B$3:$B$106,RUC!$E$3:$E$106)+ROUNDDOWN(O101,1)*100)))</f>
        <v>95</v>
      </c>
      <c r="U101" s="67">
        <f t="array" ref="U101">XLOOKUP(D101,RUC!$B$3:$B$110,RUC!$F$3:$F$110)</f>
        <v>80</v>
      </c>
      <c r="V101" s="67">
        <v>1.1023</v>
      </c>
      <c r="Y101" s="57" t="str">
        <f t="array" ref="Y101">XLOOKUP(D101,RUC!$B$3:$B$110,RUC!$G$3:$G$110)</f>
        <v/>
      </c>
      <c r="Z101" s="69">
        <f t="array" ref="Z101">XLOOKUP(D101,RUC!$B$3:$B$110,RUC!$H$3:$H$110)</f>
        <v>10</v>
      </c>
      <c r="AA101" s="70">
        <f t="shared" si="4"/>
        <v>10</v>
      </c>
      <c r="AB101" s="71">
        <f t="shared" si="22"/>
        <v>282.827164</v>
      </c>
      <c r="AC101" s="71">
        <f>+(S101-T101)*V101-'data 1'!$F$4</f>
        <v>24.7185</v>
      </c>
      <c r="AD101" s="71">
        <f t="shared" si="5"/>
        <v>53.80676964</v>
      </c>
      <c r="AE101" s="71">
        <f t="shared" si="6"/>
        <v>-58.977</v>
      </c>
      <c r="AF101" s="71">
        <f t="shared" si="7"/>
        <v>28.07564559</v>
      </c>
      <c r="AG101" s="72">
        <f t="shared" si="42"/>
        <v>117.6239152</v>
      </c>
      <c r="AH101" s="193">
        <f t="shared" si="8"/>
        <v>20.563</v>
      </c>
      <c r="AI101" s="193">
        <f t="shared" si="9"/>
        <v>21.465</v>
      </c>
      <c r="AJ101" s="73">
        <f t="shared" si="10"/>
        <v>25.37164329</v>
      </c>
      <c r="AK101" s="73">
        <f t="shared" si="11"/>
        <v>17.17174061</v>
      </c>
      <c r="AM101" s="51">
        <f t="shared" si="12"/>
        <v>1487.95371</v>
      </c>
      <c r="AN101" s="51" t="str">
        <f t="array" ref="AN101">XLOOKUP(D101,RUC!$B$3:$B$565,RUC!$M$3:$M$565)</f>
        <v>Melchor Vera</v>
      </c>
      <c r="AO101" s="131" t="s">
        <v>561</v>
      </c>
      <c r="AP101" s="57" t="s">
        <v>1504</v>
      </c>
      <c r="AQ101" s="57" t="s">
        <v>1505</v>
      </c>
    </row>
    <row r="102" ht="15.0" customHeight="1">
      <c r="A102" s="116" t="s">
        <v>1509</v>
      </c>
      <c r="B102" s="56">
        <v>45940.0</v>
      </c>
      <c r="C102" s="182">
        <v>45932.0</v>
      </c>
      <c r="D102" s="57" t="s">
        <v>74</v>
      </c>
      <c r="E102" s="3">
        <f t="array" ref="E102">XLOOKUP(D102,RUC!$B$3:$B$110,RUC!$D$3:$D$110)</f>
        <v>10082235774</v>
      </c>
      <c r="G102" s="141">
        <v>25.0</v>
      </c>
      <c r="H102" s="3" t="s">
        <v>47</v>
      </c>
      <c r="I102" s="6">
        <v>2.35</v>
      </c>
      <c r="J102" s="58">
        <v>1.15</v>
      </c>
      <c r="K102" s="6">
        <f t="shared" si="2"/>
        <v>2.323</v>
      </c>
      <c r="L102" s="3">
        <v>0.247</v>
      </c>
      <c r="M102" s="60">
        <v>0.24</v>
      </c>
      <c r="N102" s="62">
        <f t="shared" si="41"/>
        <v>0.24</v>
      </c>
      <c r="O102" s="60">
        <f t="shared" si="3"/>
        <v>0.24</v>
      </c>
      <c r="P102" s="63">
        <v>85.0</v>
      </c>
      <c r="Q102" s="58">
        <v>93.93</v>
      </c>
      <c r="R102" s="65">
        <v>3878.1</v>
      </c>
      <c r="S102" s="133">
        <v>105.0</v>
      </c>
      <c r="U102" s="67">
        <f t="array" ref="U102">XLOOKUP(D102,RUC!$B$3:$B$110,RUC!$F$3:$F$110)</f>
        <v>80</v>
      </c>
      <c r="V102" s="67">
        <v>1.1023</v>
      </c>
      <c r="Y102" s="57" t="str">
        <f t="array" ref="Y102">XLOOKUP(D102,RUC!$B$3:$B$110,RUC!$G$3:$G$110)</f>
        <v/>
      </c>
      <c r="Z102" s="69">
        <f t="array" ref="Z102">XLOOKUP(D102,RUC!$B$3:$B$110,RUC!$H$3:$H$110)</f>
        <v>10</v>
      </c>
      <c r="AA102" s="70">
        <f t="shared" si="4"/>
        <v>10</v>
      </c>
      <c r="AB102" s="71">
        <f t="shared" si="22"/>
        <v>727.3112085</v>
      </c>
      <c r="AC102" s="71">
        <f>+(S102-T102)*V102-'data 1'!$F$4</f>
        <v>35.7415</v>
      </c>
      <c r="AD102" s="71">
        <f t="shared" si="5"/>
        <v>92.34526133</v>
      </c>
      <c r="AE102" s="71">
        <f t="shared" si="6"/>
        <v>-58.977</v>
      </c>
      <c r="AF102" s="71">
        <f t="shared" si="7"/>
        <v>27.52761368</v>
      </c>
      <c r="AG102" s="72">
        <f t="shared" si="42"/>
        <v>166.637375</v>
      </c>
      <c r="AH102" s="193">
        <f t="shared" si="8"/>
        <v>18.478</v>
      </c>
      <c r="AI102" s="193">
        <f t="shared" si="9"/>
        <v>19.672</v>
      </c>
      <c r="AJ102" s="73">
        <f t="shared" si="10"/>
        <v>51.63419398</v>
      </c>
      <c r="AK102" s="73">
        <f t="shared" si="11"/>
        <v>16.24757111</v>
      </c>
      <c r="AM102" s="51">
        <f t="shared" si="12"/>
        <v>1689.543937</v>
      </c>
      <c r="AN102" s="51" t="str">
        <f t="array" ref="AN102">XLOOKUP(D102,RUC!$B$3:$B$565,RUC!$M$3:$M$565)</f>
        <v>Melchor Vera</v>
      </c>
      <c r="AO102" s="131" t="s">
        <v>561</v>
      </c>
      <c r="AP102" s="57" t="s">
        <v>1504</v>
      </c>
      <c r="AQ102" s="57" t="s">
        <v>1505</v>
      </c>
    </row>
    <row r="103" ht="15.0" customHeight="1">
      <c r="A103" s="116" t="s">
        <v>1510</v>
      </c>
      <c r="B103" s="56">
        <v>45940.0</v>
      </c>
      <c r="C103" s="182">
        <v>45932.0</v>
      </c>
      <c r="D103" s="57" t="s">
        <v>74</v>
      </c>
      <c r="E103" s="3">
        <f t="array" ref="E103">XLOOKUP(D103,RUC!$B$3:$B$110,RUC!$D$3:$D$110)</f>
        <v>10082235774</v>
      </c>
      <c r="G103" s="141">
        <v>33.0</v>
      </c>
      <c r="H103" s="3" t="s">
        <v>47</v>
      </c>
      <c r="I103" s="6">
        <v>2.86</v>
      </c>
      <c r="J103" s="58">
        <v>1.1</v>
      </c>
      <c r="K103" s="6">
        <f t="shared" si="2"/>
        <v>2.829</v>
      </c>
      <c r="L103" s="3">
        <v>0.16</v>
      </c>
      <c r="M103" s="3">
        <v>0.153</v>
      </c>
      <c r="N103" s="62">
        <f t="shared" si="41"/>
        <v>0.153</v>
      </c>
      <c r="O103" s="60">
        <f t="shared" si="3"/>
        <v>0.153</v>
      </c>
      <c r="P103" s="63">
        <v>85.0</v>
      </c>
      <c r="Q103" s="58">
        <v>90.63</v>
      </c>
      <c r="R103" s="65">
        <v>3878.1</v>
      </c>
      <c r="S103" s="133">
        <f t="array" ref="S103">IF((XLOOKUP(D103,RUC!$B$3:$B$106,RUC!$E$3:$E$106)+ROUNDDOWN(O103,1)*100)&lt;95,95,((XLOOKUP(D103,RUC!$B$3:$B$106,RUC!$E$3:$E$106)+ROUNDDOWN(O103,1)*100)))</f>
        <v>95</v>
      </c>
      <c r="U103" s="67">
        <f t="array" ref="U103">XLOOKUP(D103,RUC!$B$3:$B$110,RUC!$F$3:$F$110)</f>
        <v>80</v>
      </c>
      <c r="V103" s="67">
        <v>1.1023</v>
      </c>
      <c r="Y103" s="57" t="str">
        <f t="array" ref="Y103">XLOOKUP(D103,RUC!$B$3:$B$110,RUC!$G$3:$G$110)</f>
        <v/>
      </c>
      <c r="Z103" s="69">
        <f t="array" ref="Z103">XLOOKUP(D103,RUC!$B$3:$B$110,RUC!$H$3:$H$110)</f>
        <v>10</v>
      </c>
      <c r="AA103" s="70">
        <f t="shared" si="4"/>
        <v>10</v>
      </c>
      <c r="AB103" s="71">
        <f t="shared" si="22"/>
        <v>428.7317642</v>
      </c>
      <c r="AC103" s="71">
        <f>+(S103-T103)*V103-'data 1'!$F$4</f>
        <v>24.7185</v>
      </c>
      <c r="AD103" s="71">
        <f t="shared" si="5"/>
        <v>37.71330384</v>
      </c>
      <c r="AE103" s="71">
        <f t="shared" si="6"/>
        <v>-58.977</v>
      </c>
      <c r="AF103" s="71">
        <f t="shared" si="7"/>
        <v>26.56049854</v>
      </c>
      <c r="AG103" s="72">
        <f t="shared" si="42"/>
        <v>100.0153024</v>
      </c>
      <c r="AH103" s="193">
        <f t="shared" si="8"/>
        <v>14.065</v>
      </c>
      <c r="AI103" s="193">
        <f t="shared" si="9"/>
        <v>15.519</v>
      </c>
      <c r="AJ103" s="73">
        <f t="shared" si="10"/>
        <v>32.27216408</v>
      </c>
      <c r="AK103" s="73">
        <f t="shared" si="11"/>
        <v>12.61398683</v>
      </c>
      <c r="AM103" s="51">
        <f t="shared" si="12"/>
        <v>1212.882161</v>
      </c>
      <c r="AN103" s="51" t="str">
        <f t="array" ref="AN103">XLOOKUP(D103,RUC!$B$3:$B$565,RUC!$M$3:$M$565)</f>
        <v>Melchor Vera</v>
      </c>
      <c r="AO103" s="131" t="s">
        <v>561</v>
      </c>
      <c r="AP103" s="57" t="s">
        <v>1504</v>
      </c>
      <c r="AQ103" s="57" t="s">
        <v>1505</v>
      </c>
    </row>
    <row r="104" ht="15.0" customHeight="1">
      <c r="A104" s="116" t="s">
        <v>1511</v>
      </c>
      <c r="B104" s="56">
        <v>45940.0</v>
      </c>
      <c r="C104" s="182">
        <v>45936.0</v>
      </c>
      <c r="D104" s="57" t="s">
        <v>306</v>
      </c>
      <c r="E104" s="3">
        <f t="array" ref="E104">XLOOKUP(D104,RUC!$B$3:$B$110,RUC!$D$3:$D$110)</f>
        <v>20612921866</v>
      </c>
      <c r="G104" s="141">
        <v>35.0</v>
      </c>
      <c r="H104" s="3" t="s">
        <v>47</v>
      </c>
      <c r="I104" s="6">
        <v>3.65</v>
      </c>
      <c r="J104" s="58">
        <v>1.1</v>
      </c>
      <c r="K104" s="6">
        <f t="shared" si="2"/>
        <v>3.61</v>
      </c>
      <c r="L104" s="3">
        <v>0.139</v>
      </c>
      <c r="M104" s="3">
        <v>0.124</v>
      </c>
      <c r="N104" s="62">
        <f t="shared" si="41"/>
        <v>0.124</v>
      </c>
      <c r="O104" s="60">
        <f t="shared" si="3"/>
        <v>0.124</v>
      </c>
      <c r="P104" s="63">
        <v>90.0</v>
      </c>
      <c r="Q104" s="58">
        <v>96.4</v>
      </c>
      <c r="R104" s="65">
        <v>3949.45</v>
      </c>
      <c r="S104" s="66">
        <f t="array" ref="S104">IF((XLOOKUP(D104,RUC!$B$3:$B$106,RUC!$E$3:$E$106)+ROUNDDOWN(O104,1)*100)&lt;95,95,((XLOOKUP(D104,RUC!$B$3:$B$106,RUC!$E$3:$E$106)+ROUNDDOWN(O104,1)*100)))</f>
        <v>95</v>
      </c>
      <c r="U104" s="67">
        <f t="array" ref="U104">XLOOKUP(D104,RUC!$B$3:$B$110,RUC!$F$3:$F$110)</f>
        <v>100</v>
      </c>
      <c r="V104" s="67">
        <v>1.1023</v>
      </c>
      <c r="Y104" s="57" t="str">
        <f t="array" ref="Y104">XLOOKUP(D104,RUC!$B$3:$B$110,RUC!$G$3:$G$110)</f>
        <v/>
      </c>
      <c r="Z104" s="69">
        <f t="array" ref="Z104">XLOOKUP(D104,RUC!$B$3:$B$110,RUC!$H$3:$H$110)</f>
        <v>30</v>
      </c>
      <c r="AA104" s="70">
        <f t="shared" si="4"/>
        <v>30</v>
      </c>
      <c r="AB104" s="71">
        <f t="shared" si="22"/>
        <v>335.7590588</v>
      </c>
      <c r="AC104" s="71">
        <f>+(S104-T104)*V104-'data 1'!$F$4</f>
        <v>24.7185</v>
      </c>
      <c r="AD104" s="71">
        <f t="shared" si="5"/>
        <v>37.74794075</v>
      </c>
      <c r="AE104" s="71">
        <f t="shared" si="6"/>
        <v>-36.931</v>
      </c>
      <c r="AF104" s="71">
        <f t="shared" si="7"/>
        <v>61.35737671</v>
      </c>
      <c r="AG104" s="72">
        <f>AC104+AD104+AE104+AF104+70-10</f>
        <v>146.8928175</v>
      </c>
      <c r="AH104" s="193">
        <f t="shared" si="8"/>
        <v>16.585</v>
      </c>
      <c r="AI104" s="193">
        <f t="shared" si="9"/>
        <v>17.204</v>
      </c>
      <c r="AJ104" s="73">
        <f t="shared" si="10"/>
        <v>22.2368057</v>
      </c>
      <c r="AK104" s="73">
        <f t="shared" si="11"/>
        <v>13.81276</v>
      </c>
      <c r="AM104" s="51">
        <f t="shared" si="12"/>
        <v>1212.090202</v>
      </c>
      <c r="AN104" s="51" t="str">
        <f t="array" ref="AN104">XLOOKUP(D104,RUC!$B$3:$B$565,RUC!$M$3:$M$565)</f>
        <v>Ronald Garibay</v>
      </c>
      <c r="AO104" s="131" t="s">
        <v>561</v>
      </c>
      <c r="AP104" s="57" t="s">
        <v>1512</v>
      </c>
      <c r="AQ104" s="57" t="s">
        <v>1513</v>
      </c>
    </row>
    <row r="105" ht="15.0" customHeight="1">
      <c r="C105" s="3"/>
      <c r="G105" s="141"/>
      <c r="H105" s="3"/>
      <c r="L105" s="3"/>
      <c r="M105" s="3"/>
      <c r="R105" s="65"/>
      <c r="AG105" s="91"/>
    </row>
    <row r="106" ht="15.0" customHeight="1">
      <c r="C106" s="3"/>
      <c r="G106" s="141"/>
      <c r="H106" s="3"/>
      <c r="L106" s="3"/>
      <c r="M106" s="3"/>
      <c r="R106" s="65"/>
      <c r="AG106" s="91"/>
    </row>
    <row r="107" ht="15.0" customHeight="1">
      <c r="C107" s="3"/>
      <c r="G107" s="141"/>
      <c r="H107" s="3"/>
      <c r="L107" s="3"/>
      <c r="M107" s="3"/>
      <c r="R107" s="65"/>
      <c r="AG107" s="91"/>
    </row>
    <row r="108" ht="15.0" customHeight="1">
      <c r="C108" s="3"/>
      <c r="G108" s="141"/>
      <c r="H108" s="3"/>
      <c r="L108" s="3"/>
      <c r="M108" s="3"/>
      <c r="R108" s="65"/>
      <c r="AG108" s="91"/>
    </row>
    <row r="109" ht="15.0" customHeight="1">
      <c r="C109" s="3"/>
      <c r="G109" s="141"/>
      <c r="H109" s="3"/>
      <c r="L109" s="3"/>
      <c r="M109" s="3"/>
      <c r="R109" s="65"/>
      <c r="AG109" s="91"/>
    </row>
    <row r="110" ht="15.0" customHeight="1">
      <c r="C110" s="3"/>
      <c r="G110" s="141"/>
      <c r="H110" s="3"/>
      <c r="L110" s="3"/>
      <c r="M110" s="3"/>
      <c r="R110" s="65"/>
      <c r="AG110" s="91"/>
    </row>
    <row r="111" ht="15.0" customHeight="1">
      <c r="C111" s="3"/>
      <c r="G111" s="141"/>
      <c r="H111" s="3"/>
      <c r="L111" s="3"/>
      <c r="M111" s="3"/>
      <c r="R111" s="65"/>
      <c r="AG111" s="91"/>
    </row>
    <row r="112" ht="15.0" customHeight="1">
      <c r="C112" s="3"/>
      <c r="G112" s="141"/>
      <c r="H112" s="3"/>
      <c r="L112" s="3"/>
      <c r="M112" s="3"/>
      <c r="R112" s="65"/>
      <c r="AG112" s="91"/>
    </row>
    <row r="113" ht="15.0" customHeight="1">
      <c r="C113" s="3"/>
      <c r="G113" s="141"/>
      <c r="H113" s="3"/>
      <c r="L113" s="3"/>
      <c r="M113" s="3"/>
      <c r="R113" s="65"/>
      <c r="AG113" s="91"/>
    </row>
    <row r="114" ht="15.0" customHeight="1">
      <c r="C114" s="3"/>
      <c r="G114" s="141"/>
      <c r="H114" s="3"/>
      <c r="L114" s="3"/>
      <c r="M114" s="3"/>
      <c r="R114" s="65"/>
      <c r="AG114" s="91"/>
    </row>
    <row r="115" ht="15.0" customHeight="1">
      <c r="C115" s="3"/>
      <c r="G115" s="141"/>
      <c r="H115" s="3"/>
      <c r="L115" s="3"/>
      <c r="M115" s="3"/>
      <c r="R115" s="65"/>
      <c r="AG115" s="91"/>
    </row>
    <row r="116" ht="15.0" customHeight="1">
      <c r="C116" s="3"/>
      <c r="G116" s="141"/>
      <c r="H116" s="3"/>
      <c r="L116" s="3"/>
      <c r="M116" s="3"/>
      <c r="R116" s="65"/>
      <c r="AG116" s="91"/>
    </row>
    <row r="117" ht="15.0" customHeight="1">
      <c r="C117" s="3"/>
      <c r="G117" s="141"/>
      <c r="H117" s="3"/>
      <c r="L117" s="3"/>
      <c r="M117" s="3"/>
      <c r="R117" s="65"/>
      <c r="AG117" s="91"/>
    </row>
    <row r="118" ht="15.0" customHeight="1">
      <c r="C118" s="3"/>
      <c r="G118" s="141"/>
      <c r="H118" s="3"/>
      <c r="L118" s="3"/>
      <c r="M118" s="3"/>
      <c r="R118" s="65"/>
      <c r="AG118" s="91"/>
    </row>
    <row r="119" ht="15.0" customHeight="1">
      <c r="C119" s="3"/>
      <c r="G119" s="141"/>
      <c r="H119" s="3"/>
      <c r="L119" s="3"/>
      <c r="M119" s="3"/>
      <c r="R119" s="65"/>
      <c r="AG119" s="91"/>
    </row>
    <row r="120" ht="15.0" customHeight="1">
      <c r="C120" s="3"/>
      <c r="G120" s="141"/>
      <c r="H120" s="3"/>
      <c r="L120" s="3"/>
      <c r="M120" s="3"/>
      <c r="R120" s="65"/>
      <c r="AG120" s="91"/>
    </row>
    <row r="121" ht="15.0" customHeight="1">
      <c r="C121" s="3"/>
      <c r="G121" s="141"/>
      <c r="H121" s="3"/>
      <c r="L121" s="3"/>
      <c r="M121" s="3"/>
      <c r="R121" s="65"/>
      <c r="AG121" s="91"/>
    </row>
    <row r="122" ht="15.0" customHeight="1">
      <c r="C122" s="3"/>
      <c r="G122" s="141"/>
      <c r="H122" s="3"/>
      <c r="L122" s="3"/>
      <c r="M122" s="3"/>
      <c r="R122" s="65"/>
      <c r="AG122" s="91"/>
    </row>
    <row r="123" ht="15.0" customHeight="1">
      <c r="C123" s="3"/>
      <c r="G123" s="141"/>
      <c r="H123" s="3"/>
      <c r="L123" s="3"/>
      <c r="M123" s="3"/>
      <c r="R123" s="65"/>
      <c r="AG123" s="91"/>
    </row>
    <row r="124" ht="15.0" customHeight="1">
      <c r="C124" s="3"/>
      <c r="G124" s="141"/>
      <c r="H124" s="3"/>
      <c r="L124" s="3"/>
      <c r="M124" s="3"/>
      <c r="R124" s="65"/>
      <c r="AG124" s="91"/>
    </row>
    <row r="125" ht="15.0" customHeight="1">
      <c r="C125" s="3"/>
      <c r="G125" s="141"/>
      <c r="H125" s="3"/>
      <c r="L125" s="3"/>
      <c r="M125" s="3"/>
      <c r="R125" s="65"/>
      <c r="AG125" s="91"/>
    </row>
    <row r="126" ht="15.0" customHeight="1">
      <c r="C126" s="3"/>
      <c r="G126" s="141"/>
      <c r="H126" s="3"/>
      <c r="L126" s="3"/>
      <c r="M126" s="3"/>
      <c r="R126" s="65"/>
      <c r="AG126" s="91"/>
    </row>
    <row r="127" ht="15.0" customHeight="1">
      <c r="C127" s="3"/>
      <c r="G127" s="141"/>
      <c r="H127" s="3"/>
      <c r="L127" s="3"/>
      <c r="M127" s="3"/>
      <c r="R127" s="65"/>
      <c r="AG127" s="91"/>
    </row>
    <row r="128" ht="15.0" customHeight="1">
      <c r="C128" s="3"/>
      <c r="G128" s="141"/>
      <c r="H128" s="3"/>
      <c r="L128" s="3"/>
      <c r="M128" s="3"/>
      <c r="R128" s="65"/>
      <c r="AG128" s="91"/>
    </row>
    <row r="129" ht="15.0" customHeight="1">
      <c r="C129" s="3"/>
      <c r="G129" s="141"/>
      <c r="H129" s="3"/>
      <c r="L129" s="3"/>
      <c r="M129" s="3"/>
      <c r="R129" s="65"/>
      <c r="AG129" s="91"/>
    </row>
    <row r="130" ht="15.0" customHeight="1">
      <c r="C130" s="3"/>
      <c r="G130" s="141"/>
      <c r="H130" s="3"/>
      <c r="L130" s="3"/>
      <c r="M130" s="3"/>
      <c r="R130" s="65"/>
      <c r="AG130" s="91"/>
    </row>
    <row r="131" ht="15.0" customHeight="1">
      <c r="C131" s="3"/>
      <c r="G131" s="141"/>
      <c r="H131" s="3"/>
      <c r="L131" s="3"/>
      <c r="M131" s="3"/>
      <c r="R131" s="65"/>
      <c r="AG131" s="91"/>
    </row>
    <row r="132" ht="15.0" customHeight="1">
      <c r="C132" s="3"/>
      <c r="G132" s="141"/>
      <c r="H132" s="3"/>
      <c r="L132" s="3"/>
      <c r="M132" s="3"/>
      <c r="R132" s="65"/>
      <c r="AG132" s="91"/>
    </row>
    <row r="133" ht="15.0" customHeight="1">
      <c r="C133" s="3"/>
      <c r="G133" s="141"/>
      <c r="H133" s="3"/>
      <c r="L133" s="3"/>
      <c r="M133" s="3"/>
      <c r="R133" s="65"/>
      <c r="AG133" s="91"/>
    </row>
    <row r="134" ht="15.0" customHeight="1">
      <c r="C134" s="3"/>
      <c r="G134" s="141"/>
      <c r="H134" s="3"/>
      <c r="L134" s="3"/>
      <c r="M134" s="3"/>
      <c r="R134" s="65"/>
      <c r="AG134" s="91"/>
    </row>
    <row r="135" ht="15.0" customHeight="1">
      <c r="C135" s="3"/>
      <c r="G135" s="141"/>
      <c r="H135" s="3"/>
      <c r="L135" s="3"/>
      <c r="M135" s="3"/>
      <c r="R135" s="65"/>
      <c r="AG135" s="91"/>
    </row>
    <row r="136" ht="15.0" customHeight="1">
      <c r="C136" s="3"/>
      <c r="G136" s="141"/>
      <c r="H136" s="3"/>
      <c r="L136" s="3"/>
      <c r="M136" s="3"/>
      <c r="R136" s="65"/>
      <c r="AG136" s="91"/>
    </row>
    <row r="137" ht="15.0" customHeight="1">
      <c r="C137" s="3"/>
      <c r="G137" s="141"/>
      <c r="H137" s="3"/>
      <c r="L137" s="3"/>
      <c r="M137" s="3"/>
      <c r="R137" s="65"/>
      <c r="AG137" s="91"/>
    </row>
    <row r="138" ht="15.0" customHeight="1">
      <c r="C138" s="3"/>
      <c r="G138" s="141"/>
      <c r="H138" s="3"/>
      <c r="L138" s="3"/>
      <c r="M138" s="3"/>
      <c r="R138" s="65"/>
      <c r="AG138" s="91"/>
    </row>
    <row r="139" ht="15.0" customHeight="1">
      <c r="C139" s="3"/>
      <c r="G139" s="141"/>
      <c r="H139" s="3"/>
      <c r="L139" s="3"/>
      <c r="M139" s="3"/>
      <c r="R139" s="65"/>
      <c r="AG139" s="91"/>
    </row>
    <row r="140" ht="15.0" customHeight="1">
      <c r="C140" s="3"/>
      <c r="G140" s="141"/>
      <c r="H140" s="3"/>
      <c r="L140" s="3"/>
      <c r="M140" s="3"/>
      <c r="R140" s="65"/>
      <c r="AG140" s="91"/>
    </row>
    <row r="141" ht="15.0" customHeight="1">
      <c r="C141" s="3"/>
      <c r="G141" s="141"/>
      <c r="H141" s="3"/>
      <c r="L141" s="3"/>
      <c r="M141" s="3"/>
      <c r="R141" s="65"/>
      <c r="AG141" s="91"/>
    </row>
    <row r="142" ht="15.0" customHeight="1">
      <c r="C142" s="3"/>
      <c r="G142" s="141"/>
      <c r="H142" s="3"/>
      <c r="L142" s="3"/>
      <c r="M142" s="3"/>
      <c r="R142" s="65"/>
      <c r="AG142" s="91"/>
    </row>
    <row r="143" ht="15.0" customHeight="1">
      <c r="C143" s="3"/>
      <c r="G143" s="141"/>
      <c r="H143" s="3"/>
      <c r="L143" s="3"/>
      <c r="M143" s="3"/>
      <c r="R143" s="65"/>
      <c r="AG143" s="91"/>
    </row>
    <row r="144" ht="15.0" customHeight="1">
      <c r="C144" s="3"/>
      <c r="G144" s="141"/>
      <c r="H144" s="3"/>
      <c r="L144" s="3"/>
      <c r="M144" s="3"/>
      <c r="R144" s="65"/>
      <c r="AG144" s="91"/>
    </row>
    <row r="145" ht="15.0" customHeight="1">
      <c r="C145" s="3"/>
      <c r="G145" s="141"/>
      <c r="H145" s="3"/>
      <c r="L145" s="3"/>
      <c r="M145" s="3"/>
      <c r="R145" s="65"/>
      <c r="AG145" s="91"/>
    </row>
    <row r="146" ht="15.0" customHeight="1">
      <c r="C146" s="3"/>
      <c r="G146" s="141"/>
      <c r="H146" s="3"/>
      <c r="L146" s="3"/>
      <c r="M146" s="3"/>
      <c r="R146" s="65"/>
      <c r="AG146" s="91"/>
    </row>
    <row r="147" ht="15.0" customHeight="1">
      <c r="C147" s="3"/>
      <c r="G147" s="141"/>
      <c r="H147" s="3"/>
      <c r="L147" s="3"/>
      <c r="M147" s="3"/>
      <c r="R147" s="65"/>
      <c r="AG147" s="91"/>
    </row>
    <row r="148" ht="15.0" customHeight="1">
      <c r="C148" s="3"/>
      <c r="G148" s="141"/>
      <c r="H148" s="3"/>
      <c r="L148" s="3"/>
      <c r="M148" s="3"/>
      <c r="R148" s="65"/>
      <c r="AG148" s="91"/>
    </row>
    <row r="149" ht="15.0" customHeight="1">
      <c r="C149" s="3"/>
      <c r="G149" s="141"/>
      <c r="H149" s="3"/>
      <c r="L149" s="3"/>
      <c r="M149" s="3"/>
      <c r="R149" s="65"/>
      <c r="AG149" s="91"/>
    </row>
    <row r="150" ht="15.0" customHeight="1">
      <c r="C150" s="3"/>
      <c r="G150" s="141"/>
      <c r="H150" s="3"/>
      <c r="L150" s="3"/>
      <c r="M150" s="3"/>
      <c r="R150" s="65"/>
      <c r="AG150" s="91"/>
    </row>
    <row r="151" ht="15.0" customHeight="1">
      <c r="C151" s="3"/>
      <c r="G151" s="141"/>
      <c r="H151" s="3"/>
      <c r="L151" s="3"/>
      <c r="M151" s="3"/>
      <c r="R151" s="65"/>
      <c r="AG151" s="91"/>
    </row>
    <row r="152" ht="15.0" customHeight="1">
      <c r="C152" s="3"/>
      <c r="G152" s="141"/>
      <c r="H152" s="3"/>
      <c r="L152" s="3"/>
      <c r="M152" s="3"/>
      <c r="R152" s="65"/>
      <c r="AG152" s="91"/>
    </row>
    <row r="153" ht="15.0" customHeight="1">
      <c r="C153" s="3"/>
      <c r="G153" s="141"/>
      <c r="H153" s="3"/>
      <c r="L153" s="3"/>
      <c r="M153" s="3"/>
      <c r="R153" s="65"/>
      <c r="AG153" s="91"/>
    </row>
    <row r="154" ht="15.0" customHeight="1">
      <c r="C154" s="3"/>
      <c r="G154" s="141"/>
      <c r="H154" s="3"/>
      <c r="L154" s="3"/>
      <c r="M154" s="3"/>
      <c r="R154" s="65"/>
      <c r="AG154" s="91"/>
    </row>
    <row r="155" ht="15.0" customHeight="1">
      <c r="C155" s="3"/>
      <c r="G155" s="141"/>
      <c r="H155" s="3"/>
      <c r="L155" s="3"/>
      <c r="M155" s="3"/>
      <c r="R155" s="65"/>
      <c r="AG155" s="91"/>
    </row>
    <row r="156" ht="15.0" customHeight="1">
      <c r="C156" s="3"/>
      <c r="G156" s="141"/>
      <c r="H156" s="3"/>
      <c r="L156" s="3"/>
      <c r="M156" s="3"/>
      <c r="R156" s="65"/>
      <c r="AG156" s="91"/>
    </row>
    <row r="157" ht="15.0" customHeight="1">
      <c r="C157" s="3"/>
      <c r="G157" s="141"/>
      <c r="H157" s="3"/>
      <c r="R157" s="65"/>
      <c r="AG157" s="91"/>
    </row>
    <row r="158" ht="15.0" customHeight="1">
      <c r="C158" s="3"/>
      <c r="G158" s="141"/>
      <c r="H158" s="3"/>
      <c r="R158" s="65"/>
      <c r="AG158" s="91"/>
    </row>
    <row r="159" ht="15.0" customHeight="1">
      <c r="C159" s="3"/>
      <c r="G159" s="141"/>
      <c r="H159" s="3"/>
      <c r="R159" s="65"/>
      <c r="AG159" s="91"/>
    </row>
    <row r="160" ht="15.0" customHeight="1">
      <c r="C160" s="3"/>
      <c r="G160" s="141"/>
      <c r="H160" s="3"/>
      <c r="R160" s="65"/>
      <c r="AG160" s="91"/>
    </row>
    <row r="161" ht="15.0" customHeight="1">
      <c r="C161" s="3"/>
      <c r="G161" s="141"/>
      <c r="H161" s="3"/>
      <c r="R161" s="65"/>
      <c r="AG161" s="91"/>
    </row>
    <row r="162" ht="15.0" customHeight="1">
      <c r="C162" s="3"/>
      <c r="G162" s="141"/>
      <c r="H162" s="3"/>
      <c r="R162" s="65"/>
      <c r="AG162" s="91"/>
    </row>
    <row r="163" ht="15.0" customHeight="1">
      <c r="C163" s="3"/>
      <c r="G163" s="141"/>
      <c r="H163" s="3"/>
      <c r="R163" s="65"/>
      <c r="AG163" s="91"/>
    </row>
    <row r="164" ht="15.0" customHeight="1">
      <c r="C164" s="3"/>
      <c r="G164" s="141"/>
      <c r="H164" s="3"/>
      <c r="R164" s="65"/>
      <c r="AG164" s="91"/>
    </row>
    <row r="165" ht="15.0" customHeight="1">
      <c r="C165" s="3"/>
      <c r="G165" s="141"/>
      <c r="H165" s="3"/>
      <c r="R165" s="65"/>
      <c r="AG165" s="91"/>
    </row>
    <row r="166" ht="15.0" customHeight="1">
      <c r="C166" s="3"/>
      <c r="G166" s="141"/>
      <c r="H166" s="3"/>
      <c r="R166" s="65"/>
      <c r="AG166" s="91"/>
    </row>
    <row r="167" ht="15.0" customHeight="1">
      <c r="C167" s="3"/>
      <c r="G167" s="141"/>
      <c r="H167" s="3"/>
      <c r="R167" s="65"/>
      <c r="AG167" s="91"/>
    </row>
    <row r="168" ht="15.0" customHeight="1">
      <c r="C168" s="3"/>
      <c r="G168" s="141"/>
      <c r="H168" s="3"/>
      <c r="R168" s="65"/>
      <c r="AG168" s="91"/>
    </row>
    <row r="169" ht="15.0" customHeight="1">
      <c r="C169" s="3"/>
      <c r="G169" s="141"/>
      <c r="H169" s="3"/>
      <c r="R169" s="65"/>
      <c r="AG169" s="91"/>
    </row>
    <row r="170" ht="15.0" customHeight="1">
      <c r="C170" s="3"/>
      <c r="G170" s="141"/>
      <c r="H170" s="3"/>
      <c r="R170" s="65"/>
      <c r="AG170" s="91"/>
    </row>
    <row r="171" ht="15.0" customHeight="1">
      <c r="C171" s="3"/>
      <c r="G171" s="141"/>
      <c r="H171" s="3"/>
      <c r="R171" s="65"/>
      <c r="AG171" s="91"/>
    </row>
    <row r="172" ht="15.0" customHeight="1">
      <c r="C172" s="3"/>
      <c r="G172" s="141"/>
      <c r="H172" s="3"/>
      <c r="R172" s="65"/>
      <c r="AG172" s="91"/>
    </row>
    <row r="173" ht="15.0" customHeight="1">
      <c r="C173" s="3"/>
      <c r="G173" s="141"/>
      <c r="H173" s="3"/>
      <c r="R173" s="65"/>
      <c r="AG173" s="91"/>
    </row>
    <row r="174" ht="15.0" customHeight="1">
      <c r="C174" s="3"/>
      <c r="G174" s="141"/>
      <c r="H174" s="3"/>
      <c r="R174" s="65"/>
      <c r="AG174" s="91"/>
    </row>
    <row r="175" ht="15.0" customHeight="1">
      <c r="C175" s="3"/>
      <c r="G175" s="141"/>
      <c r="H175" s="3"/>
      <c r="R175" s="65"/>
      <c r="AG175" s="91"/>
    </row>
    <row r="176" ht="15.0" customHeight="1">
      <c r="C176" s="3"/>
      <c r="G176" s="141"/>
      <c r="H176" s="3"/>
      <c r="R176" s="65"/>
      <c r="AG176" s="91"/>
    </row>
    <row r="177" ht="15.0" customHeight="1">
      <c r="C177" s="3"/>
      <c r="G177" s="141"/>
      <c r="H177" s="3"/>
      <c r="R177" s="65"/>
      <c r="AG177" s="91"/>
    </row>
    <row r="178" ht="15.0" customHeight="1">
      <c r="C178" s="3"/>
      <c r="G178" s="141"/>
      <c r="H178" s="3"/>
      <c r="R178" s="65"/>
      <c r="AG178" s="91"/>
    </row>
    <row r="179" ht="15.0" customHeight="1">
      <c r="C179" s="3"/>
      <c r="G179" s="141"/>
      <c r="H179" s="3"/>
      <c r="R179" s="65"/>
      <c r="AG179" s="91"/>
    </row>
    <row r="180" ht="15.0" customHeight="1">
      <c r="C180" s="3"/>
      <c r="G180" s="141"/>
      <c r="H180" s="3"/>
      <c r="R180" s="65"/>
      <c r="AG180" s="91"/>
    </row>
    <row r="181" ht="15.0" customHeight="1">
      <c r="C181" s="3"/>
      <c r="G181" s="141"/>
      <c r="H181" s="3"/>
      <c r="R181" s="65"/>
      <c r="AG181" s="91"/>
    </row>
    <row r="182" ht="15.0" customHeight="1">
      <c r="C182" s="3"/>
      <c r="G182" s="141"/>
      <c r="H182" s="3"/>
      <c r="R182" s="65"/>
      <c r="AG182" s="91"/>
    </row>
    <row r="183" ht="15.0" customHeight="1">
      <c r="C183" s="3"/>
      <c r="G183" s="141"/>
      <c r="H183" s="3"/>
      <c r="R183" s="65"/>
      <c r="AG183" s="91"/>
    </row>
    <row r="184" ht="15.0" customHeight="1">
      <c r="C184" s="3"/>
      <c r="G184" s="141"/>
      <c r="H184" s="3"/>
      <c r="R184" s="65"/>
      <c r="AG184" s="91"/>
    </row>
    <row r="185" ht="15.0" customHeight="1">
      <c r="C185" s="3"/>
      <c r="G185" s="141"/>
      <c r="H185" s="3"/>
      <c r="R185" s="65"/>
      <c r="AG185" s="91"/>
    </row>
    <row r="186" ht="15.0" customHeight="1">
      <c r="C186" s="3"/>
      <c r="G186" s="141"/>
      <c r="H186" s="3"/>
      <c r="R186" s="65"/>
      <c r="AG186" s="91"/>
    </row>
    <row r="187" ht="15.0" customHeight="1">
      <c r="C187" s="3"/>
      <c r="G187" s="141"/>
      <c r="H187" s="3"/>
      <c r="R187" s="65"/>
      <c r="AG187" s="91"/>
    </row>
    <row r="188" ht="15.0" customHeight="1">
      <c r="C188" s="3"/>
      <c r="G188" s="141"/>
      <c r="H188" s="3"/>
      <c r="R188" s="65"/>
      <c r="AG188" s="91"/>
    </row>
    <row r="189" ht="15.0" customHeight="1">
      <c r="C189" s="3"/>
      <c r="G189" s="141"/>
      <c r="H189" s="3"/>
      <c r="R189" s="65"/>
      <c r="AG189" s="91"/>
    </row>
    <row r="190" ht="15.0" customHeight="1">
      <c r="C190" s="3"/>
      <c r="G190" s="141"/>
      <c r="H190" s="3"/>
      <c r="R190" s="65"/>
      <c r="AG190" s="91"/>
    </row>
    <row r="191" ht="15.0" customHeight="1">
      <c r="C191" s="3"/>
      <c r="G191" s="141"/>
      <c r="H191" s="3"/>
      <c r="R191" s="65"/>
      <c r="AG191" s="91"/>
    </row>
    <row r="192" ht="15.0" customHeight="1">
      <c r="C192" s="3"/>
      <c r="G192" s="141"/>
      <c r="H192" s="3"/>
      <c r="R192" s="65"/>
      <c r="AG192" s="91"/>
    </row>
    <row r="193" ht="15.0" customHeight="1">
      <c r="C193" s="3"/>
      <c r="G193" s="141"/>
      <c r="H193" s="3"/>
      <c r="R193" s="65"/>
      <c r="AG193" s="91"/>
    </row>
    <row r="194" ht="15.0" customHeight="1">
      <c r="C194" s="3"/>
      <c r="G194" s="141"/>
      <c r="H194" s="3"/>
      <c r="R194" s="65"/>
      <c r="AG194" s="91"/>
    </row>
    <row r="195" ht="15.0" customHeight="1">
      <c r="C195" s="3"/>
      <c r="G195" s="141"/>
      <c r="H195" s="3"/>
      <c r="R195" s="65"/>
      <c r="AG195" s="91"/>
    </row>
    <row r="196" ht="15.0" customHeight="1">
      <c r="C196" s="3"/>
      <c r="G196" s="141"/>
      <c r="H196" s="3"/>
      <c r="R196" s="65"/>
      <c r="AG196" s="91"/>
    </row>
    <row r="197" ht="15.0" customHeight="1">
      <c r="C197" s="3"/>
      <c r="G197" s="141"/>
      <c r="H197" s="3"/>
      <c r="R197" s="65"/>
      <c r="AG197" s="91"/>
    </row>
    <row r="198" ht="15.0" customHeight="1">
      <c r="C198" s="3"/>
      <c r="G198" s="141"/>
      <c r="H198" s="3"/>
      <c r="R198" s="65"/>
      <c r="AG198" s="91"/>
    </row>
    <row r="199" ht="15.0" customHeight="1">
      <c r="C199" s="3"/>
      <c r="G199" s="141"/>
      <c r="H199" s="3"/>
      <c r="R199" s="65"/>
      <c r="AG199" s="91"/>
    </row>
    <row r="200" ht="15.0" customHeight="1">
      <c r="C200" s="3"/>
      <c r="G200" s="141"/>
      <c r="H200" s="3"/>
      <c r="R200" s="65"/>
      <c r="AG200" s="91"/>
    </row>
    <row r="201" ht="15.0" customHeight="1">
      <c r="C201" s="3"/>
      <c r="G201" s="141"/>
      <c r="H201" s="3"/>
      <c r="R201" s="65"/>
      <c r="AG201" s="91"/>
    </row>
    <row r="202" ht="15.0" customHeight="1">
      <c r="C202" s="3"/>
      <c r="G202" s="141"/>
      <c r="H202" s="3"/>
      <c r="R202" s="65"/>
      <c r="AG202" s="91"/>
    </row>
    <row r="203" ht="15.0" customHeight="1">
      <c r="C203" s="3"/>
      <c r="G203" s="141"/>
      <c r="H203" s="3"/>
      <c r="R203" s="65"/>
      <c r="AG203" s="91"/>
    </row>
    <row r="204" ht="15.0" customHeight="1">
      <c r="C204" s="3"/>
      <c r="G204" s="141"/>
      <c r="H204" s="3"/>
      <c r="R204" s="65"/>
      <c r="AG204" s="91"/>
    </row>
    <row r="205" ht="15.0" customHeight="1">
      <c r="C205" s="3"/>
      <c r="G205" s="141"/>
      <c r="H205" s="3"/>
      <c r="R205" s="65"/>
      <c r="AG205" s="91"/>
    </row>
    <row r="206" ht="15.0" customHeight="1">
      <c r="C206" s="3"/>
      <c r="G206" s="141"/>
      <c r="H206" s="3"/>
      <c r="R206" s="65"/>
      <c r="AG206" s="91"/>
    </row>
    <row r="207" ht="15.0" customHeight="1">
      <c r="C207" s="3"/>
      <c r="G207" s="141"/>
      <c r="H207" s="3"/>
      <c r="R207" s="65"/>
      <c r="AG207" s="91"/>
    </row>
    <row r="208" ht="15.0" customHeight="1">
      <c r="C208" s="3"/>
      <c r="G208" s="141"/>
      <c r="H208" s="3"/>
      <c r="R208" s="65"/>
      <c r="AG208" s="91"/>
    </row>
    <row r="209" ht="15.0" customHeight="1">
      <c r="C209" s="3"/>
      <c r="G209" s="141"/>
      <c r="H209" s="3"/>
      <c r="R209" s="65"/>
      <c r="AG209" s="91"/>
    </row>
    <row r="210" ht="15.0" customHeight="1">
      <c r="C210" s="3"/>
      <c r="G210" s="141"/>
      <c r="H210" s="3"/>
      <c r="R210" s="65"/>
      <c r="AG210" s="91"/>
    </row>
    <row r="211" ht="15.0" customHeight="1">
      <c r="C211" s="3"/>
      <c r="G211" s="141"/>
      <c r="H211" s="3"/>
      <c r="R211" s="65"/>
      <c r="AG211" s="91"/>
    </row>
    <row r="212" ht="15.0" customHeight="1">
      <c r="C212" s="3"/>
      <c r="G212" s="141"/>
      <c r="H212" s="3"/>
      <c r="R212" s="65"/>
      <c r="AG212" s="91"/>
    </row>
    <row r="213" ht="15.0" customHeight="1">
      <c r="C213" s="3"/>
      <c r="G213" s="141"/>
      <c r="H213" s="3"/>
      <c r="R213" s="65"/>
      <c r="AG213" s="91"/>
    </row>
    <row r="214" ht="15.0" customHeight="1">
      <c r="C214" s="3"/>
      <c r="G214" s="141"/>
      <c r="H214" s="3"/>
      <c r="R214" s="65"/>
      <c r="AG214" s="91"/>
    </row>
    <row r="215" ht="15.0" customHeight="1">
      <c r="C215" s="3"/>
      <c r="G215" s="141"/>
      <c r="H215" s="3"/>
      <c r="R215" s="65"/>
      <c r="AG215" s="91"/>
    </row>
    <row r="216" ht="15.0" customHeight="1">
      <c r="C216" s="3"/>
      <c r="G216" s="141"/>
      <c r="H216" s="3"/>
      <c r="R216" s="65"/>
      <c r="AG216" s="91"/>
    </row>
    <row r="217" ht="15.0" customHeight="1">
      <c r="C217" s="3"/>
      <c r="G217" s="141"/>
      <c r="H217" s="3"/>
      <c r="R217" s="65"/>
      <c r="AG217" s="91"/>
    </row>
    <row r="218" ht="15.0" customHeight="1">
      <c r="C218" s="3"/>
      <c r="G218" s="141"/>
      <c r="H218" s="3"/>
      <c r="R218" s="65"/>
      <c r="AG218" s="91"/>
    </row>
    <row r="219" ht="15.0" customHeight="1">
      <c r="C219" s="3"/>
      <c r="G219" s="141"/>
      <c r="H219" s="3"/>
      <c r="R219" s="65"/>
      <c r="AG219" s="91"/>
    </row>
    <row r="220" ht="15.0" customHeight="1">
      <c r="C220" s="3"/>
      <c r="G220" s="141"/>
      <c r="H220" s="3"/>
      <c r="R220" s="65"/>
      <c r="AG220" s="91"/>
    </row>
    <row r="221" ht="15.0" customHeight="1">
      <c r="C221" s="3"/>
      <c r="G221" s="141"/>
      <c r="H221" s="3"/>
      <c r="R221" s="65"/>
      <c r="AG221" s="91"/>
    </row>
    <row r="222" ht="15.0" customHeight="1">
      <c r="C222" s="3"/>
      <c r="G222" s="141"/>
      <c r="H222" s="3"/>
      <c r="R222" s="65"/>
      <c r="AG222" s="91"/>
    </row>
    <row r="223" ht="15.0" customHeight="1">
      <c r="C223" s="3"/>
      <c r="G223" s="141"/>
      <c r="H223" s="3"/>
      <c r="R223" s="65"/>
      <c r="AG223" s="91"/>
    </row>
    <row r="224" ht="15.0" customHeight="1">
      <c r="C224" s="3"/>
      <c r="G224" s="141"/>
      <c r="H224" s="3"/>
      <c r="R224" s="65"/>
      <c r="AG224" s="91"/>
    </row>
    <row r="225" ht="15.0" customHeight="1">
      <c r="C225" s="3"/>
      <c r="G225" s="141"/>
      <c r="H225" s="3"/>
      <c r="R225" s="65"/>
      <c r="AG225" s="91"/>
    </row>
    <row r="226" ht="15.0" customHeight="1">
      <c r="C226" s="3"/>
      <c r="G226" s="141"/>
      <c r="H226" s="3"/>
      <c r="R226" s="65"/>
      <c r="AG226" s="91"/>
    </row>
    <row r="227" ht="15.0" customHeight="1">
      <c r="C227" s="3"/>
      <c r="G227" s="141"/>
      <c r="H227" s="3"/>
      <c r="R227" s="65"/>
      <c r="AG227" s="91"/>
    </row>
    <row r="228" ht="15.0" customHeight="1">
      <c r="C228" s="3"/>
      <c r="G228" s="141"/>
      <c r="H228" s="3"/>
      <c r="R228" s="65"/>
      <c r="AG228" s="91"/>
    </row>
    <row r="229" ht="15.0" customHeight="1">
      <c r="C229" s="3"/>
      <c r="G229" s="141"/>
      <c r="H229" s="3"/>
      <c r="R229" s="65"/>
      <c r="AG229" s="91"/>
    </row>
    <row r="230" ht="15.0" customHeight="1">
      <c r="C230" s="3"/>
      <c r="G230" s="141"/>
      <c r="H230" s="3"/>
      <c r="R230" s="65"/>
      <c r="AG230" s="91"/>
    </row>
    <row r="231" ht="15.0" customHeight="1">
      <c r="C231" s="3"/>
      <c r="G231" s="141"/>
      <c r="H231" s="3"/>
      <c r="R231" s="65"/>
      <c r="AG231" s="91"/>
    </row>
    <row r="232" ht="15.0" customHeight="1">
      <c r="C232" s="3"/>
      <c r="G232" s="141"/>
      <c r="H232" s="3"/>
      <c r="R232" s="65"/>
      <c r="AG232" s="91"/>
    </row>
    <row r="233" ht="15.0" customHeight="1">
      <c r="C233" s="3"/>
      <c r="G233" s="141"/>
      <c r="H233" s="3"/>
      <c r="R233" s="65"/>
      <c r="AG233" s="91"/>
    </row>
    <row r="234" ht="15.0" customHeight="1">
      <c r="C234" s="3"/>
      <c r="G234" s="141"/>
      <c r="H234" s="3"/>
      <c r="R234" s="65"/>
      <c r="AG234" s="91"/>
    </row>
    <row r="235" ht="15.0" customHeight="1">
      <c r="C235" s="3"/>
      <c r="G235" s="141"/>
      <c r="H235" s="3"/>
      <c r="R235" s="65"/>
      <c r="AG235" s="91"/>
    </row>
    <row r="236" ht="15.0" customHeight="1">
      <c r="C236" s="3"/>
      <c r="G236" s="141"/>
      <c r="H236" s="3"/>
      <c r="R236" s="65"/>
      <c r="AG236" s="91"/>
    </row>
    <row r="237" ht="15.0" customHeight="1">
      <c r="C237" s="3"/>
      <c r="G237" s="141"/>
      <c r="H237" s="3"/>
      <c r="R237" s="65"/>
      <c r="AG237" s="91"/>
    </row>
    <row r="238" ht="15.0" customHeight="1">
      <c r="C238" s="3"/>
      <c r="G238" s="141"/>
      <c r="H238" s="3"/>
      <c r="R238" s="65"/>
      <c r="AG238" s="91"/>
    </row>
    <row r="239" ht="15.0" customHeight="1">
      <c r="C239" s="3"/>
      <c r="G239" s="141"/>
      <c r="H239" s="3"/>
      <c r="R239" s="65"/>
      <c r="AG239" s="91"/>
    </row>
    <row r="240" ht="15.0" customHeight="1">
      <c r="C240" s="3"/>
      <c r="G240" s="141"/>
      <c r="H240" s="3"/>
      <c r="R240" s="65"/>
      <c r="AG240" s="91"/>
    </row>
    <row r="241" ht="15.0" customHeight="1">
      <c r="C241" s="3"/>
      <c r="G241" s="141"/>
      <c r="H241" s="3"/>
      <c r="R241" s="65"/>
      <c r="AG241" s="91"/>
    </row>
    <row r="242" ht="15.0" customHeight="1">
      <c r="C242" s="3"/>
      <c r="G242" s="141"/>
      <c r="H242" s="3"/>
      <c r="R242" s="65"/>
      <c r="AG242" s="91"/>
    </row>
    <row r="243" ht="15.0" customHeight="1">
      <c r="C243" s="3"/>
      <c r="G243" s="141"/>
      <c r="H243" s="3"/>
      <c r="R243" s="65"/>
      <c r="AG243" s="91"/>
    </row>
    <row r="244" ht="15.0" customHeight="1">
      <c r="C244" s="3"/>
      <c r="G244" s="141"/>
      <c r="H244" s="3"/>
      <c r="R244" s="65"/>
      <c r="AG244" s="91"/>
    </row>
    <row r="245" ht="15.0" customHeight="1">
      <c r="C245" s="3"/>
      <c r="G245" s="141"/>
      <c r="H245" s="3"/>
      <c r="R245" s="65"/>
      <c r="AG245" s="91"/>
    </row>
    <row r="246" ht="15.0" customHeight="1">
      <c r="C246" s="3"/>
      <c r="G246" s="141"/>
      <c r="H246" s="3"/>
      <c r="R246" s="65"/>
      <c r="AG246" s="91"/>
    </row>
    <row r="247" ht="15.0" customHeight="1">
      <c r="C247" s="3"/>
      <c r="G247" s="141"/>
      <c r="H247" s="3"/>
      <c r="R247" s="65"/>
      <c r="AG247" s="91"/>
    </row>
    <row r="248" ht="15.0" customHeight="1">
      <c r="C248" s="3"/>
      <c r="G248" s="141"/>
      <c r="H248" s="3"/>
      <c r="R248" s="65"/>
      <c r="AG248" s="91"/>
    </row>
    <row r="249" ht="15.0" customHeight="1">
      <c r="C249" s="3"/>
      <c r="G249" s="141"/>
      <c r="H249" s="3"/>
      <c r="R249" s="65"/>
      <c r="AG249" s="91"/>
    </row>
    <row r="250" ht="15.0" customHeight="1">
      <c r="C250" s="3"/>
      <c r="G250" s="141"/>
      <c r="H250" s="3"/>
      <c r="R250" s="65"/>
      <c r="AG250" s="91"/>
    </row>
    <row r="251" ht="15.0" customHeight="1">
      <c r="C251" s="3"/>
      <c r="G251" s="141"/>
      <c r="H251" s="3"/>
      <c r="R251" s="65"/>
      <c r="AG251" s="91"/>
    </row>
    <row r="252" ht="15.0" customHeight="1">
      <c r="C252" s="3"/>
      <c r="G252" s="141"/>
      <c r="H252" s="3"/>
      <c r="R252" s="65"/>
      <c r="AG252" s="91"/>
    </row>
    <row r="253" ht="15.0" customHeight="1">
      <c r="C253" s="3"/>
      <c r="G253" s="141"/>
      <c r="H253" s="3"/>
      <c r="R253" s="65"/>
      <c r="AG253" s="91"/>
    </row>
    <row r="254" ht="15.0" customHeight="1">
      <c r="C254" s="3"/>
      <c r="G254" s="141"/>
      <c r="H254" s="3"/>
      <c r="R254" s="65"/>
      <c r="AG254" s="91"/>
    </row>
    <row r="255" ht="15.0" customHeight="1">
      <c r="C255" s="3"/>
      <c r="G255" s="141"/>
      <c r="H255" s="3"/>
      <c r="R255" s="65"/>
      <c r="AG255" s="91"/>
    </row>
    <row r="256" ht="15.0" customHeight="1">
      <c r="C256" s="3"/>
      <c r="G256" s="141"/>
      <c r="H256" s="3"/>
      <c r="R256" s="65"/>
      <c r="AG256" s="91"/>
    </row>
    <row r="257" ht="15.0" customHeight="1">
      <c r="C257" s="3"/>
      <c r="G257" s="141"/>
      <c r="H257" s="3"/>
      <c r="R257" s="65"/>
      <c r="AG257" s="91"/>
    </row>
    <row r="258" ht="15.0" customHeight="1">
      <c r="C258" s="3"/>
      <c r="G258" s="141"/>
      <c r="H258" s="3"/>
      <c r="R258" s="65"/>
      <c r="AG258" s="91"/>
    </row>
    <row r="259" ht="15.0" customHeight="1">
      <c r="C259" s="3"/>
      <c r="G259" s="141"/>
      <c r="H259" s="3"/>
      <c r="R259" s="65"/>
      <c r="AG259" s="91"/>
    </row>
    <row r="260" ht="15.0" customHeight="1">
      <c r="C260" s="3"/>
      <c r="G260" s="141"/>
      <c r="H260" s="3"/>
      <c r="R260" s="65"/>
      <c r="AG260" s="91"/>
    </row>
    <row r="261" ht="15.0" customHeight="1">
      <c r="C261" s="3"/>
      <c r="G261" s="141"/>
      <c r="H261" s="3"/>
      <c r="R261" s="65"/>
      <c r="AG261" s="91"/>
    </row>
    <row r="262" ht="15.0" customHeight="1">
      <c r="C262" s="3"/>
      <c r="G262" s="141"/>
      <c r="H262" s="3"/>
      <c r="R262" s="65"/>
      <c r="AG262" s="91"/>
    </row>
    <row r="263" ht="15.0" customHeight="1">
      <c r="C263" s="3"/>
      <c r="G263" s="141"/>
      <c r="H263" s="3"/>
      <c r="R263" s="65"/>
      <c r="AG263" s="91"/>
    </row>
    <row r="264" ht="15.0" customHeight="1">
      <c r="C264" s="3"/>
      <c r="G264" s="141"/>
      <c r="H264" s="3"/>
      <c r="R264" s="65"/>
      <c r="AG264" s="91"/>
    </row>
    <row r="265" ht="15.0" customHeight="1">
      <c r="C265" s="3"/>
      <c r="G265" s="141"/>
      <c r="H265" s="3"/>
      <c r="R265" s="65"/>
      <c r="AG265" s="91"/>
    </row>
    <row r="266" ht="15.0" customHeight="1">
      <c r="C266" s="3"/>
      <c r="G266" s="141"/>
      <c r="H266" s="3"/>
      <c r="R266" s="65"/>
      <c r="AG266" s="91"/>
    </row>
    <row r="267" ht="15.0" customHeight="1">
      <c r="C267" s="3"/>
      <c r="G267" s="141"/>
      <c r="H267" s="3"/>
      <c r="R267" s="65"/>
      <c r="AG267" s="91"/>
    </row>
    <row r="268" ht="15.0" customHeight="1">
      <c r="C268" s="3"/>
      <c r="G268" s="141"/>
      <c r="H268" s="3"/>
      <c r="R268" s="65"/>
      <c r="AG268" s="91"/>
    </row>
    <row r="269" ht="15.0" customHeight="1">
      <c r="C269" s="3"/>
      <c r="G269" s="141"/>
      <c r="H269" s="3"/>
      <c r="R269" s="65"/>
      <c r="AG269" s="91"/>
    </row>
    <row r="270" ht="15.0" customHeight="1">
      <c r="C270" s="3"/>
      <c r="G270" s="141"/>
      <c r="H270" s="3"/>
      <c r="R270" s="65"/>
      <c r="AG270" s="91"/>
    </row>
    <row r="271" ht="15.0" customHeight="1">
      <c r="C271" s="3"/>
      <c r="G271" s="141"/>
      <c r="H271" s="3"/>
      <c r="R271" s="65"/>
      <c r="AG271" s="91"/>
    </row>
    <row r="272" ht="15.0" customHeight="1">
      <c r="C272" s="3"/>
      <c r="G272" s="141"/>
      <c r="H272" s="3"/>
      <c r="R272" s="65"/>
      <c r="AG272" s="91"/>
    </row>
    <row r="273" ht="15.0" customHeight="1">
      <c r="C273" s="3"/>
      <c r="G273" s="141"/>
      <c r="H273" s="3"/>
      <c r="R273" s="65"/>
      <c r="AG273" s="91"/>
    </row>
    <row r="274" ht="15.0" customHeight="1">
      <c r="C274" s="3"/>
      <c r="G274" s="141"/>
      <c r="H274" s="3"/>
      <c r="R274" s="65"/>
      <c r="AG274" s="91"/>
    </row>
    <row r="275" ht="15.0" customHeight="1">
      <c r="C275" s="3"/>
      <c r="G275" s="141"/>
      <c r="H275" s="3"/>
      <c r="R275" s="65"/>
      <c r="AG275" s="91"/>
    </row>
    <row r="276" ht="15.0" customHeight="1">
      <c r="C276" s="3"/>
      <c r="G276" s="141"/>
      <c r="H276" s="3"/>
      <c r="R276" s="65"/>
      <c r="AG276" s="91"/>
    </row>
    <row r="277" ht="15.0" customHeight="1">
      <c r="C277" s="3"/>
      <c r="G277" s="141"/>
      <c r="H277" s="3"/>
      <c r="R277" s="65"/>
      <c r="AG277" s="91"/>
    </row>
    <row r="278" ht="15.0" customHeight="1">
      <c r="C278" s="3"/>
      <c r="G278" s="141"/>
      <c r="H278" s="3"/>
      <c r="R278" s="65"/>
      <c r="AG278" s="91"/>
    </row>
    <row r="279" ht="15.0" customHeight="1">
      <c r="C279" s="3"/>
      <c r="G279" s="141"/>
      <c r="H279" s="3"/>
      <c r="R279" s="65"/>
      <c r="AG279" s="91"/>
    </row>
    <row r="280" ht="15.0" customHeight="1">
      <c r="C280" s="3"/>
      <c r="G280" s="141"/>
      <c r="H280" s="3"/>
      <c r="R280" s="65"/>
      <c r="AG280" s="91"/>
    </row>
    <row r="281" ht="15.0" customHeight="1">
      <c r="C281" s="3"/>
      <c r="G281" s="141"/>
      <c r="H281" s="3"/>
      <c r="R281" s="65"/>
      <c r="AG281" s="91"/>
    </row>
    <row r="282" ht="15.0" customHeight="1">
      <c r="C282" s="3"/>
      <c r="G282" s="141"/>
      <c r="H282" s="3"/>
      <c r="R282" s="65"/>
      <c r="AG282" s="91"/>
    </row>
    <row r="283" ht="15.0" customHeight="1">
      <c r="C283" s="3"/>
      <c r="G283" s="141"/>
      <c r="H283" s="3"/>
      <c r="R283" s="65"/>
      <c r="AG283" s="91"/>
    </row>
    <row r="284" ht="15.0" customHeight="1">
      <c r="C284" s="3"/>
      <c r="G284" s="141"/>
      <c r="H284" s="3"/>
      <c r="R284" s="65"/>
      <c r="AG284" s="91"/>
    </row>
    <row r="285" ht="15.0" customHeight="1">
      <c r="C285" s="3"/>
      <c r="G285" s="141"/>
      <c r="H285" s="3"/>
      <c r="R285" s="65"/>
      <c r="AG285" s="91"/>
    </row>
    <row r="286" ht="15.0" customHeight="1">
      <c r="C286" s="3"/>
      <c r="G286" s="141"/>
      <c r="H286" s="3"/>
      <c r="R286" s="65"/>
      <c r="AG286" s="91"/>
    </row>
    <row r="287" ht="15.0" customHeight="1">
      <c r="C287" s="3"/>
      <c r="G287" s="141"/>
      <c r="H287" s="3"/>
      <c r="R287" s="65"/>
      <c r="AG287" s="91"/>
    </row>
    <row r="288" ht="15.0" customHeight="1">
      <c r="C288" s="3"/>
      <c r="G288" s="141"/>
      <c r="H288" s="3"/>
      <c r="R288" s="65"/>
      <c r="AG288" s="91"/>
    </row>
    <row r="289" ht="15.0" customHeight="1">
      <c r="C289" s="3"/>
      <c r="G289" s="141"/>
      <c r="H289" s="3"/>
      <c r="R289" s="65"/>
      <c r="AG289" s="91"/>
    </row>
    <row r="290" ht="15.0" customHeight="1">
      <c r="C290" s="3"/>
      <c r="G290" s="141"/>
      <c r="H290" s="3"/>
      <c r="R290" s="65"/>
      <c r="AG290" s="91"/>
    </row>
    <row r="291" ht="15.0" customHeight="1">
      <c r="C291" s="3"/>
      <c r="G291" s="141"/>
      <c r="H291" s="3"/>
      <c r="R291" s="65"/>
      <c r="AG291" s="91"/>
    </row>
    <row r="292" ht="15.0" customHeight="1">
      <c r="C292" s="3"/>
      <c r="G292" s="141"/>
      <c r="H292" s="3"/>
      <c r="R292" s="65"/>
      <c r="AG292" s="91"/>
    </row>
    <row r="293" ht="15.0" customHeight="1">
      <c r="C293" s="3"/>
      <c r="G293" s="141"/>
      <c r="H293" s="3"/>
      <c r="R293" s="65"/>
      <c r="AG293" s="91"/>
    </row>
    <row r="294" ht="15.0" customHeight="1">
      <c r="C294" s="3"/>
      <c r="G294" s="141"/>
      <c r="H294" s="3"/>
      <c r="R294" s="65"/>
      <c r="AG294" s="91"/>
    </row>
    <row r="295" ht="15.0" customHeight="1">
      <c r="C295" s="3"/>
      <c r="G295" s="141"/>
      <c r="H295" s="3"/>
      <c r="R295" s="65"/>
      <c r="AG295" s="91"/>
    </row>
    <row r="296" ht="15.0" customHeight="1">
      <c r="C296" s="3"/>
      <c r="G296" s="141"/>
      <c r="H296" s="3"/>
      <c r="R296" s="65"/>
      <c r="AG296" s="91"/>
    </row>
    <row r="297" ht="15.0" customHeight="1">
      <c r="C297" s="3"/>
      <c r="G297" s="141"/>
      <c r="H297" s="3"/>
      <c r="R297" s="65"/>
      <c r="AG297" s="91"/>
    </row>
    <row r="298" ht="15.0" customHeight="1">
      <c r="C298" s="3"/>
      <c r="G298" s="141"/>
      <c r="H298" s="3"/>
      <c r="R298" s="65"/>
      <c r="AG298" s="91"/>
    </row>
    <row r="299" ht="15.0" customHeight="1">
      <c r="C299" s="3"/>
      <c r="G299" s="141"/>
      <c r="H299" s="3"/>
      <c r="R299" s="65"/>
      <c r="AG299" s="91"/>
    </row>
    <row r="300" ht="15.0" customHeight="1">
      <c r="C300" s="3"/>
      <c r="G300" s="141"/>
      <c r="H300" s="3"/>
      <c r="R300" s="65"/>
      <c r="AG300" s="91"/>
    </row>
    <row r="301" ht="15.0" customHeight="1">
      <c r="C301" s="3"/>
      <c r="G301" s="141"/>
      <c r="H301" s="3"/>
      <c r="R301" s="65"/>
      <c r="AG301" s="91"/>
    </row>
    <row r="302" ht="15.0" customHeight="1">
      <c r="C302" s="3"/>
      <c r="G302" s="141"/>
      <c r="H302" s="3"/>
      <c r="R302" s="65"/>
      <c r="AG302" s="91"/>
    </row>
    <row r="303" ht="15.0" customHeight="1">
      <c r="C303" s="3"/>
      <c r="G303" s="141"/>
      <c r="H303" s="3"/>
      <c r="R303" s="65"/>
      <c r="AG303" s="91"/>
    </row>
    <row r="304" ht="15.0" customHeight="1">
      <c r="C304" s="3"/>
      <c r="G304" s="141"/>
      <c r="H304" s="3"/>
      <c r="R304" s="65"/>
      <c r="AG304" s="91"/>
    </row>
    <row r="305" ht="15.75" customHeight="1">
      <c r="C305" s="3"/>
      <c r="H305" s="3"/>
      <c r="AG305" s="91"/>
    </row>
    <row r="306" ht="15.75" customHeight="1">
      <c r="C306" s="3"/>
      <c r="H306" s="3"/>
      <c r="AG306" s="91"/>
    </row>
    <row r="307" ht="15.75" customHeight="1">
      <c r="C307" s="3"/>
      <c r="H307" s="3"/>
      <c r="AG307" s="91"/>
    </row>
    <row r="308" ht="15.75" customHeight="1">
      <c r="C308" s="3"/>
      <c r="H308" s="3"/>
      <c r="AG308" s="91"/>
    </row>
    <row r="309" ht="15.75" customHeight="1">
      <c r="C309" s="3"/>
      <c r="H309" s="3"/>
      <c r="AG309" s="91"/>
    </row>
    <row r="310" ht="15.75" customHeight="1">
      <c r="C310" s="3"/>
      <c r="H310" s="3"/>
      <c r="AG310" s="91"/>
    </row>
    <row r="311" ht="15.75" customHeight="1">
      <c r="C311" s="3"/>
      <c r="H311" s="3"/>
      <c r="AG311" s="91"/>
    </row>
    <row r="312" ht="15.75" customHeight="1">
      <c r="C312" s="3"/>
      <c r="H312" s="3"/>
      <c r="AG312" s="91"/>
    </row>
    <row r="313" ht="15.75" customHeight="1">
      <c r="C313" s="3"/>
      <c r="H313" s="3"/>
      <c r="AG313" s="91"/>
    </row>
    <row r="314" ht="15.75" customHeight="1">
      <c r="C314" s="3"/>
      <c r="H314" s="3"/>
      <c r="AG314" s="91"/>
    </row>
    <row r="315" ht="15.75" customHeight="1">
      <c r="C315" s="3"/>
      <c r="H315" s="3"/>
      <c r="AG315" s="91"/>
    </row>
    <row r="316" ht="15.75" customHeight="1">
      <c r="C316" s="3"/>
      <c r="H316" s="3"/>
      <c r="AG316" s="91"/>
    </row>
    <row r="317" ht="15.75" customHeight="1">
      <c r="C317" s="3"/>
      <c r="H317" s="3"/>
      <c r="AG317" s="91"/>
    </row>
    <row r="318" ht="15.75" customHeight="1">
      <c r="C318" s="3"/>
      <c r="H318" s="3"/>
      <c r="AG318" s="91"/>
    </row>
    <row r="319" ht="15.75" customHeight="1">
      <c r="C319" s="3"/>
      <c r="H319" s="3"/>
      <c r="AG319" s="91"/>
    </row>
    <row r="320" ht="15.75" customHeight="1">
      <c r="C320" s="3"/>
      <c r="H320" s="3"/>
      <c r="AG320" s="91"/>
    </row>
    <row r="321" ht="15.75" customHeight="1">
      <c r="C321" s="3"/>
      <c r="H321" s="3"/>
      <c r="AG321" s="91"/>
    </row>
    <row r="322" ht="15.75" customHeight="1">
      <c r="C322" s="3"/>
      <c r="H322" s="3"/>
      <c r="AG322" s="91"/>
    </row>
    <row r="323" ht="15.75" customHeight="1">
      <c r="C323" s="3"/>
      <c r="H323" s="3"/>
      <c r="AG323" s="91"/>
    </row>
    <row r="324" ht="15.75" customHeight="1">
      <c r="C324" s="3"/>
      <c r="H324" s="3"/>
      <c r="AG324" s="91"/>
    </row>
    <row r="325" ht="15.75" customHeight="1">
      <c r="C325" s="3"/>
      <c r="H325" s="3"/>
      <c r="AG325" s="91"/>
    </row>
    <row r="326" ht="15.75" customHeight="1">
      <c r="C326" s="3"/>
      <c r="H326" s="3"/>
      <c r="AG326" s="91"/>
    </row>
    <row r="327" ht="15.75" customHeight="1">
      <c r="C327" s="3"/>
      <c r="H327" s="3"/>
      <c r="AG327" s="91"/>
    </row>
    <row r="328" ht="15.75" customHeight="1">
      <c r="C328" s="3"/>
      <c r="H328" s="3"/>
      <c r="AG328" s="91"/>
    </row>
    <row r="329" ht="15.75" customHeight="1">
      <c r="C329" s="3"/>
      <c r="H329" s="3"/>
      <c r="AG329" s="91"/>
    </row>
    <row r="330" ht="15.75" customHeight="1">
      <c r="C330" s="3"/>
      <c r="H330" s="3"/>
      <c r="AG330" s="91"/>
    </row>
    <row r="331" ht="15.75" customHeight="1">
      <c r="C331" s="3"/>
      <c r="H331" s="3"/>
      <c r="AG331" s="91"/>
    </row>
    <row r="332" ht="15.75" customHeight="1">
      <c r="C332" s="3"/>
      <c r="H332" s="3"/>
      <c r="AG332" s="91"/>
    </row>
    <row r="333" ht="15.75" customHeight="1">
      <c r="C333" s="3"/>
      <c r="H333" s="3"/>
      <c r="AG333" s="91"/>
    </row>
    <row r="334" ht="15.75" customHeight="1">
      <c r="C334" s="3"/>
      <c r="H334" s="3"/>
      <c r="AG334" s="91"/>
    </row>
    <row r="335" ht="15.75" customHeight="1">
      <c r="C335" s="3"/>
      <c r="H335" s="3"/>
      <c r="AG335" s="91"/>
    </row>
    <row r="336" ht="15.75" customHeight="1">
      <c r="C336" s="3"/>
      <c r="H336" s="3"/>
      <c r="AG336" s="91"/>
    </row>
    <row r="337" ht="15.75" customHeight="1">
      <c r="C337" s="3"/>
      <c r="H337" s="3"/>
      <c r="AG337" s="91"/>
    </row>
    <row r="338" ht="15.75" customHeight="1">
      <c r="C338" s="3"/>
      <c r="H338" s="3"/>
      <c r="AG338" s="91"/>
    </row>
    <row r="339" ht="15.75" customHeight="1">
      <c r="C339" s="3"/>
      <c r="H339" s="3"/>
      <c r="AG339" s="91"/>
    </row>
    <row r="340" ht="15.75" customHeight="1">
      <c r="C340" s="3"/>
      <c r="H340" s="3"/>
      <c r="AG340" s="91"/>
    </row>
    <row r="341" ht="15.75" customHeight="1">
      <c r="C341" s="3"/>
      <c r="H341" s="3"/>
      <c r="AG341" s="91"/>
    </row>
    <row r="342" ht="15.75" customHeight="1">
      <c r="C342" s="3"/>
      <c r="H342" s="3"/>
      <c r="AG342" s="91"/>
    </row>
    <row r="343" ht="15.75" customHeight="1">
      <c r="C343" s="3"/>
      <c r="H343" s="3"/>
      <c r="AG343" s="91"/>
    </row>
    <row r="344" ht="15.75" customHeight="1">
      <c r="C344" s="3"/>
      <c r="H344" s="3"/>
      <c r="AG344" s="91"/>
    </row>
    <row r="345" ht="15.75" customHeight="1">
      <c r="C345" s="3"/>
      <c r="H345" s="3"/>
      <c r="AG345" s="91"/>
    </row>
    <row r="346" ht="15.75" customHeight="1">
      <c r="C346" s="3"/>
      <c r="H346" s="3"/>
      <c r="AG346" s="91"/>
    </row>
    <row r="347" ht="15.75" customHeight="1">
      <c r="C347" s="3"/>
      <c r="H347" s="3"/>
      <c r="AG347" s="91"/>
    </row>
    <row r="348" ht="15.75" customHeight="1">
      <c r="C348" s="3"/>
      <c r="H348" s="3"/>
      <c r="AG348" s="91"/>
    </row>
    <row r="349" ht="15.75" customHeight="1">
      <c r="C349" s="3"/>
      <c r="H349" s="3"/>
      <c r="AG349" s="91"/>
    </row>
    <row r="350" ht="15.75" customHeight="1">
      <c r="C350" s="3"/>
      <c r="H350" s="3"/>
      <c r="AG350" s="91"/>
    </row>
    <row r="351" ht="15.75" customHeight="1">
      <c r="C351" s="3"/>
      <c r="H351" s="3"/>
      <c r="AG351" s="91"/>
    </row>
    <row r="352" ht="15.75" customHeight="1">
      <c r="C352" s="3"/>
      <c r="H352" s="3"/>
      <c r="AG352" s="91"/>
    </row>
    <row r="353" ht="15.75" customHeight="1">
      <c r="C353" s="3"/>
      <c r="H353" s="3"/>
      <c r="AG353" s="91"/>
    </row>
    <row r="354" ht="15.75" customHeight="1">
      <c r="C354" s="3"/>
      <c r="H354" s="3"/>
      <c r="AG354" s="91"/>
    </row>
    <row r="355" ht="15.75" customHeight="1">
      <c r="C355" s="3"/>
      <c r="H355" s="3"/>
      <c r="AG355" s="91"/>
    </row>
    <row r="356" ht="15.75" customHeight="1">
      <c r="C356" s="3"/>
      <c r="H356" s="3"/>
      <c r="AG356" s="91"/>
    </row>
    <row r="357" ht="15.75" customHeight="1">
      <c r="C357" s="3"/>
      <c r="H357" s="3"/>
      <c r="AG357" s="91"/>
    </row>
    <row r="358" ht="15.75" customHeight="1">
      <c r="C358" s="3"/>
      <c r="H358" s="3"/>
      <c r="AG358" s="91"/>
    </row>
    <row r="359" ht="15.75" customHeight="1">
      <c r="C359" s="3"/>
      <c r="H359" s="3"/>
      <c r="AG359" s="91"/>
    </row>
    <row r="360" ht="15.75" customHeight="1">
      <c r="C360" s="3"/>
      <c r="H360" s="3"/>
      <c r="AG360" s="91"/>
    </row>
    <row r="361" ht="15.75" customHeight="1">
      <c r="C361" s="3"/>
      <c r="H361" s="3"/>
      <c r="AG361" s="91"/>
    </row>
    <row r="362" ht="15.75" customHeight="1">
      <c r="C362" s="3"/>
      <c r="H362" s="3"/>
      <c r="AG362" s="91"/>
    </row>
    <row r="363" ht="15.75" customHeight="1">
      <c r="C363" s="3"/>
      <c r="H363" s="3"/>
      <c r="AG363" s="91"/>
    </row>
    <row r="364" ht="15.75" customHeight="1">
      <c r="C364" s="3"/>
      <c r="H364" s="3"/>
      <c r="AG364" s="91"/>
    </row>
    <row r="365" ht="15.75" customHeight="1">
      <c r="C365" s="3"/>
      <c r="H365" s="3"/>
      <c r="AG365" s="91"/>
    </row>
    <row r="366" ht="15.75" customHeight="1">
      <c r="C366" s="3"/>
      <c r="H366" s="3"/>
      <c r="AG366" s="91"/>
    </row>
    <row r="367" ht="15.75" customHeight="1">
      <c r="C367" s="3"/>
      <c r="H367" s="3"/>
      <c r="AG367" s="91"/>
    </row>
    <row r="368" ht="15.75" customHeight="1">
      <c r="C368" s="3"/>
      <c r="H368" s="3"/>
      <c r="AG368" s="91"/>
    </row>
    <row r="369" ht="15.75" customHeight="1">
      <c r="C369" s="3"/>
      <c r="H369" s="3"/>
      <c r="AG369" s="91"/>
    </row>
    <row r="370" ht="15.75" customHeight="1">
      <c r="C370" s="3"/>
      <c r="H370" s="3"/>
      <c r="AG370" s="91"/>
    </row>
    <row r="371" ht="15.75" customHeight="1">
      <c r="C371" s="3"/>
      <c r="H371" s="3"/>
      <c r="AG371" s="91"/>
    </row>
    <row r="372" ht="15.75" customHeight="1">
      <c r="C372" s="3"/>
      <c r="H372" s="3"/>
      <c r="AG372" s="91"/>
    </row>
    <row r="373" ht="15.75" customHeight="1">
      <c r="C373" s="3"/>
      <c r="H373" s="3"/>
      <c r="AG373" s="91"/>
    </row>
    <row r="374" ht="15.75" customHeight="1">
      <c r="C374" s="3"/>
      <c r="H374" s="3"/>
      <c r="AG374" s="91"/>
    </row>
    <row r="375" ht="15.75" customHeight="1">
      <c r="C375" s="3"/>
      <c r="H375" s="3"/>
      <c r="AG375" s="91"/>
    </row>
    <row r="376" ht="15.75" customHeight="1">
      <c r="C376" s="3"/>
      <c r="H376" s="3"/>
      <c r="AG376" s="91"/>
    </row>
    <row r="377" ht="15.75" customHeight="1">
      <c r="C377" s="3"/>
      <c r="H377" s="3"/>
      <c r="AG377" s="91"/>
    </row>
    <row r="378" ht="15.75" customHeight="1">
      <c r="C378" s="3"/>
      <c r="H378" s="3"/>
      <c r="AG378" s="91"/>
    </row>
    <row r="379" ht="15.75" customHeight="1">
      <c r="C379" s="3"/>
      <c r="H379" s="3"/>
      <c r="AG379" s="91"/>
    </row>
    <row r="380" ht="15.75" customHeight="1">
      <c r="C380" s="3"/>
      <c r="H380" s="3"/>
      <c r="AG380" s="91"/>
    </row>
    <row r="381" ht="15.75" customHeight="1">
      <c r="C381" s="3"/>
      <c r="H381" s="3"/>
      <c r="AG381" s="91"/>
    </row>
    <row r="382" ht="15.75" customHeight="1">
      <c r="C382" s="3"/>
      <c r="H382" s="3"/>
      <c r="AG382" s="91"/>
    </row>
    <row r="383" ht="15.75" customHeight="1">
      <c r="C383" s="3"/>
      <c r="H383" s="3"/>
      <c r="AG383" s="91"/>
    </row>
    <row r="384" ht="15.75" customHeight="1">
      <c r="C384" s="3"/>
      <c r="H384" s="3"/>
      <c r="AG384" s="91"/>
    </row>
    <row r="385" ht="15.75" customHeight="1">
      <c r="C385" s="3"/>
      <c r="H385" s="3"/>
      <c r="AG385" s="91"/>
    </row>
    <row r="386" ht="15.75" customHeight="1">
      <c r="C386" s="3"/>
      <c r="H386" s="3"/>
      <c r="AG386" s="91"/>
    </row>
    <row r="387" ht="15.75" customHeight="1">
      <c r="C387" s="3"/>
      <c r="H387" s="3"/>
      <c r="AG387" s="91"/>
    </row>
    <row r="388" ht="15.75" customHeight="1">
      <c r="C388" s="3"/>
      <c r="H388" s="3"/>
      <c r="AG388" s="91"/>
    </row>
    <row r="389" ht="15.75" customHeight="1">
      <c r="C389" s="3"/>
      <c r="H389" s="3"/>
      <c r="AG389" s="91"/>
    </row>
    <row r="390" ht="15.75" customHeight="1">
      <c r="C390" s="3"/>
      <c r="H390" s="3"/>
      <c r="AG390" s="91"/>
    </row>
    <row r="391" ht="15.75" customHeight="1">
      <c r="C391" s="3"/>
      <c r="H391" s="3"/>
      <c r="AG391" s="91"/>
    </row>
    <row r="392" ht="15.75" customHeight="1">
      <c r="C392" s="3"/>
      <c r="H392" s="3"/>
      <c r="AG392" s="91"/>
    </row>
    <row r="393" ht="15.75" customHeight="1">
      <c r="C393" s="3"/>
      <c r="H393" s="3"/>
      <c r="AG393" s="91"/>
    </row>
    <row r="394" ht="15.75" customHeight="1">
      <c r="C394" s="3"/>
      <c r="H394" s="3"/>
      <c r="AG394" s="91"/>
    </row>
    <row r="395" ht="15.75" customHeight="1">
      <c r="C395" s="3"/>
      <c r="H395" s="3"/>
      <c r="AG395" s="91"/>
    </row>
    <row r="396" ht="15.75" customHeight="1">
      <c r="C396" s="3"/>
      <c r="H396" s="3"/>
      <c r="AG396" s="91"/>
    </row>
    <row r="397" ht="15.75" customHeight="1">
      <c r="C397" s="3"/>
      <c r="H397" s="3"/>
      <c r="AG397" s="91"/>
    </row>
    <row r="398" ht="15.75" customHeight="1">
      <c r="C398" s="3"/>
      <c r="H398" s="3"/>
      <c r="AG398" s="91"/>
    </row>
    <row r="399" ht="15.75" customHeight="1">
      <c r="C399" s="3"/>
      <c r="H399" s="3"/>
      <c r="AG399" s="91"/>
    </row>
    <row r="400" ht="15.75" customHeight="1">
      <c r="C400" s="3"/>
      <c r="H400" s="3"/>
      <c r="AG400" s="91"/>
    </row>
    <row r="401" ht="15.75" customHeight="1">
      <c r="C401" s="3"/>
      <c r="H401" s="3"/>
      <c r="AG401" s="91"/>
    </row>
    <row r="402" ht="15.75" customHeight="1">
      <c r="C402" s="3"/>
      <c r="H402" s="3"/>
      <c r="AG402" s="91"/>
    </row>
    <row r="403" ht="15.75" customHeight="1">
      <c r="C403" s="3"/>
      <c r="H403" s="3"/>
      <c r="AG403" s="91"/>
    </row>
    <row r="404" ht="15.75" customHeight="1">
      <c r="C404" s="3"/>
      <c r="H404" s="3"/>
      <c r="AG404" s="91"/>
    </row>
    <row r="405" ht="15.75" customHeight="1">
      <c r="C405" s="3"/>
      <c r="H405" s="3"/>
      <c r="AG405" s="91"/>
    </row>
    <row r="406" ht="15.75" customHeight="1">
      <c r="C406" s="3"/>
      <c r="H406" s="3"/>
      <c r="AG406" s="91"/>
    </row>
    <row r="407" ht="15.75" customHeight="1">
      <c r="C407" s="3"/>
      <c r="H407" s="3"/>
      <c r="AG407" s="91"/>
    </row>
    <row r="408" ht="15.75" customHeight="1">
      <c r="C408" s="3"/>
      <c r="H408" s="3"/>
      <c r="AG408" s="91"/>
    </row>
    <row r="409" ht="15.75" customHeight="1">
      <c r="C409" s="3"/>
      <c r="H409" s="3"/>
      <c r="AG409" s="91"/>
    </row>
    <row r="410" ht="15.75" customHeight="1">
      <c r="C410" s="3"/>
      <c r="H410" s="3"/>
      <c r="AG410" s="91"/>
    </row>
    <row r="411" ht="15.75" customHeight="1">
      <c r="C411" s="3"/>
      <c r="H411" s="3"/>
      <c r="AG411" s="91"/>
    </row>
    <row r="412" ht="15.75" customHeight="1">
      <c r="C412" s="3"/>
      <c r="H412" s="3"/>
      <c r="AG412" s="91"/>
    </row>
    <row r="413" ht="15.75" customHeight="1">
      <c r="C413" s="3"/>
      <c r="H413" s="3"/>
      <c r="AG413" s="91"/>
    </row>
    <row r="414" ht="15.75" customHeight="1">
      <c r="C414" s="3"/>
      <c r="H414" s="3"/>
      <c r="AG414" s="91"/>
    </row>
    <row r="415" ht="15.75" customHeight="1">
      <c r="C415" s="3"/>
      <c r="H415" s="3"/>
      <c r="AG415" s="91"/>
    </row>
    <row r="416" ht="15.75" customHeight="1">
      <c r="C416" s="3"/>
      <c r="H416" s="3"/>
      <c r="AG416" s="91"/>
    </row>
    <row r="417" ht="15.75" customHeight="1">
      <c r="C417" s="3"/>
      <c r="H417" s="3"/>
      <c r="AG417" s="91"/>
    </row>
    <row r="418" ht="15.75" customHeight="1">
      <c r="C418" s="3"/>
      <c r="H418" s="3"/>
      <c r="AG418" s="91"/>
    </row>
    <row r="419" ht="15.75" customHeight="1">
      <c r="C419" s="3"/>
      <c r="H419" s="3"/>
      <c r="AG419" s="91"/>
    </row>
    <row r="420" ht="15.75" customHeight="1">
      <c r="C420" s="3"/>
      <c r="H420" s="3"/>
      <c r="AG420" s="91"/>
    </row>
    <row r="421" ht="15.75" customHeight="1">
      <c r="C421" s="3"/>
      <c r="H421" s="3"/>
      <c r="AG421" s="91"/>
    </row>
    <row r="422" ht="15.75" customHeight="1">
      <c r="C422" s="3"/>
      <c r="H422" s="3"/>
      <c r="AG422" s="91"/>
    </row>
    <row r="423" ht="15.75" customHeight="1">
      <c r="C423" s="3"/>
      <c r="H423" s="3"/>
      <c r="AG423" s="91"/>
    </row>
    <row r="424" ht="15.75" customHeight="1">
      <c r="C424" s="3"/>
      <c r="H424" s="3"/>
      <c r="AG424" s="91"/>
    </row>
    <row r="425" ht="15.75" customHeight="1">
      <c r="C425" s="3"/>
      <c r="H425" s="3"/>
      <c r="AG425" s="91"/>
    </row>
    <row r="426" ht="15.75" customHeight="1">
      <c r="C426" s="3"/>
      <c r="H426" s="3"/>
      <c r="AG426" s="91"/>
    </row>
    <row r="427" ht="15.75" customHeight="1">
      <c r="C427" s="3"/>
      <c r="H427" s="3"/>
      <c r="AG427" s="91"/>
    </row>
    <row r="428" ht="15.75" customHeight="1">
      <c r="C428" s="3"/>
      <c r="H428" s="3"/>
      <c r="AG428" s="91"/>
    </row>
    <row r="429" ht="15.75" customHeight="1">
      <c r="C429" s="3"/>
      <c r="H429" s="3"/>
      <c r="AG429" s="91"/>
    </row>
    <row r="430" ht="15.75" customHeight="1">
      <c r="C430" s="3"/>
      <c r="H430" s="3"/>
      <c r="AG430" s="91"/>
    </row>
    <row r="431" ht="15.75" customHeight="1">
      <c r="C431" s="3"/>
      <c r="H431" s="3"/>
      <c r="AG431" s="91"/>
    </row>
    <row r="432" ht="15.75" customHeight="1">
      <c r="C432" s="3"/>
      <c r="H432" s="3"/>
      <c r="AG432" s="91"/>
    </row>
    <row r="433" ht="15.75" customHeight="1">
      <c r="C433" s="3"/>
      <c r="H433" s="3"/>
      <c r="AG433" s="91"/>
    </row>
    <row r="434" ht="15.75" customHeight="1">
      <c r="C434" s="3"/>
      <c r="H434" s="3"/>
      <c r="AG434" s="91"/>
    </row>
    <row r="435" ht="15.75" customHeight="1">
      <c r="C435" s="3"/>
      <c r="H435" s="3"/>
      <c r="AG435" s="91"/>
    </row>
    <row r="436" ht="15.75" customHeight="1">
      <c r="C436" s="3"/>
      <c r="H436" s="3"/>
      <c r="AG436" s="91"/>
    </row>
    <row r="437" ht="15.75" customHeight="1">
      <c r="C437" s="3"/>
      <c r="H437" s="3"/>
      <c r="AG437" s="91"/>
    </row>
    <row r="438" ht="15.75" customHeight="1">
      <c r="C438" s="3"/>
      <c r="H438" s="3"/>
      <c r="AG438" s="91"/>
    </row>
    <row r="439" ht="15.75" customHeight="1">
      <c r="C439" s="3"/>
      <c r="H439" s="3"/>
      <c r="AG439" s="91"/>
    </row>
    <row r="440" ht="15.75" customHeight="1">
      <c r="C440" s="3"/>
      <c r="H440" s="3"/>
      <c r="AG440" s="91"/>
    </row>
    <row r="441" ht="15.75" customHeight="1">
      <c r="C441" s="3"/>
      <c r="H441" s="3"/>
      <c r="AG441" s="91"/>
    </row>
    <row r="442" ht="15.75" customHeight="1">
      <c r="C442" s="3"/>
      <c r="H442" s="3"/>
      <c r="AG442" s="91"/>
    </row>
    <row r="443" ht="15.75" customHeight="1">
      <c r="C443" s="3"/>
      <c r="H443" s="3"/>
      <c r="AG443" s="91"/>
    </row>
    <row r="444" ht="15.75" customHeight="1">
      <c r="C444" s="3"/>
      <c r="H444" s="3"/>
      <c r="AG444" s="91"/>
    </row>
    <row r="445" ht="15.75" customHeight="1">
      <c r="C445" s="3"/>
      <c r="H445" s="3"/>
      <c r="AG445" s="91"/>
    </row>
    <row r="446" ht="15.75" customHeight="1">
      <c r="C446" s="3"/>
      <c r="H446" s="3"/>
      <c r="AG446" s="91"/>
    </row>
    <row r="447" ht="15.75" customHeight="1">
      <c r="C447" s="3"/>
      <c r="H447" s="3"/>
      <c r="AG447" s="91"/>
    </row>
    <row r="448" ht="15.75" customHeight="1">
      <c r="C448" s="3"/>
      <c r="H448" s="3"/>
      <c r="AG448" s="91"/>
    </row>
    <row r="449" ht="15.75" customHeight="1">
      <c r="C449" s="3"/>
      <c r="H449" s="3"/>
      <c r="AG449" s="91"/>
    </row>
    <row r="450" ht="15.75" customHeight="1">
      <c r="C450" s="3"/>
      <c r="H450" s="3"/>
      <c r="AG450" s="91"/>
    </row>
    <row r="451" ht="15.75" customHeight="1">
      <c r="C451" s="3"/>
      <c r="H451" s="3"/>
      <c r="AG451" s="91"/>
    </row>
    <row r="452" ht="15.75" customHeight="1">
      <c r="C452" s="3"/>
      <c r="H452" s="3"/>
      <c r="AG452" s="91"/>
    </row>
    <row r="453" ht="15.75" customHeight="1">
      <c r="C453" s="3"/>
      <c r="H453" s="3"/>
      <c r="AG453" s="91"/>
    </row>
    <row r="454" ht="15.75" customHeight="1">
      <c r="C454" s="3"/>
      <c r="H454" s="3"/>
      <c r="AG454" s="91"/>
    </row>
    <row r="455" ht="15.75" customHeight="1">
      <c r="C455" s="3"/>
      <c r="H455" s="3"/>
      <c r="AG455" s="91"/>
    </row>
    <row r="456" ht="15.75" customHeight="1">
      <c r="C456" s="3"/>
      <c r="H456" s="3"/>
      <c r="AG456" s="91"/>
    </row>
    <row r="457" ht="15.75" customHeight="1">
      <c r="C457" s="3"/>
      <c r="H457" s="3"/>
      <c r="AG457" s="91"/>
    </row>
    <row r="458" ht="15.75" customHeight="1">
      <c r="C458" s="3"/>
      <c r="H458" s="3"/>
      <c r="AG458" s="91"/>
    </row>
    <row r="459" ht="15.75" customHeight="1">
      <c r="C459" s="3"/>
      <c r="H459" s="3"/>
      <c r="AG459" s="91"/>
    </row>
    <row r="460" ht="15.75" customHeight="1">
      <c r="C460" s="3"/>
      <c r="H460" s="3"/>
      <c r="AG460" s="91"/>
    </row>
    <row r="461" ht="15.75" customHeight="1">
      <c r="C461" s="3"/>
      <c r="H461" s="3"/>
      <c r="AG461" s="91"/>
    </row>
    <row r="462" ht="15.75" customHeight="1">
      <c r="C462" s="3"/>
      <c r="H462" s="3"/>
      <c r="AG462" s="91"/>
    </row>
    <row r="463" ht="15.75" customHeight="1">
      <c r="C463" s="3"/>
      <c r="H463" s="3"/>
      <c r="AG463" s="91"/>
    </row>
    <row r="464" ht="15.75" customHeight="1">
      <c r="C464" s="3"/>
      <c r="H464" s="3"/>
      <c r="AG464" s="91"/>
    </row>
    <row r="465" ht="15.75" customHeight="1">
      <c r="C465" s="3"/>
      <c r="H465" s="3"/>
      <c r="AG465" s="91"/>
    </row>
    <row r="466" ht="15.75" customHeight="1">
      <c r="C466" s="3"/>
      <c r="H466" s="3"/>
      <c r="AG466" s="91"/>
    </row>
    <row r="467" ht="15.75" customHeight="1">
      <c r="C467" s="3"/>
      <c r="H467" s="3"/>
      <c r="AG467" s="91"/>
    </row>
    <row r="468" ht="15.75" customHeight="1">
      <c r="C468" s="3"/>
      <c r="H468" s="3"/>
      <c r="AG468" s="91"/>
    </row>
    <row r="469" ht="15.75" customHeight="1">
      <c r="C469" s="3"/>
      <c r="H469" s="3"/>
      <c r="AG469" s="91"/>
    </row>
    <row r="470" ht="15.75" customHeight="1">
      <c r="C470" s="3"/>
      <c r="H470" s="3"/>
      <c r="AG470" s="91"/>
    </row>
    <row r="471" ht="15.75" customHeight="1">
      <c r="C471" s="3"/>
      <c r="H471" s="3"/>
      <c r="AG471" s="91"/>
    </row>
    <row r="472" ht="15.75" customHeight="1">
      <c r="C472" s="3"/>
      <c r="H472" s="3"/>
      <c r="AG472" s="91"/>
    </row>
    <row r="473" ht="15.75" customHeight="1">
      <c r="C473" s="3"/>
      <c r="H473" s="3"/>
      <c r="AG473" s="91"/>
    </row>
    <row r="474" ht="15.75" customHeight="1">
      <c r="C474" s="3"/>
      <c r="H474" s="3"/>
      <c r="AG474" s="91"/>
    </row>
    <row r="475" ht="15.75" customHeight="1">
      <c r="C475" s="3"/>
      <c r="H475" s="3"/>
      <c r="AG475" s="91"/>
    </row>
    <row r="476" ht="15.75" customHeight="1">
      <c r="C476" s="3"/>
      <c r="H476" s="3"/>
      <c r="AG476" s="91"/>
    </row>
    <row r="477" ht="15.75" customHeight="1">
      <c r="C477" s="3"/>
      <c r="H477" s="3"/>
      <c r="AG477" s="91"/>
    </row>
    <row r="478" ht="15.75" customHeight="1">
      <c r="C478" s="3"/>
      <c r="H478" s="3"/>
      <c r="AG478" s="91"/>
    </row>
    <row r="479" ht="15.75" customHeight="1">
      <c r="C479" s="3"/>
      <c r="H479" s="3"/>
      <c r="AG479" s="91"/>
    </row>
    <row r="480" ht="15.75" customHeight="1">
      <c r="C480" s="3"/>
      <c r="H480" s="3"/>
      <c r="AG480" s="91"/>
    </row>
    <row r="481" ht="15.75" customHeight="1">
      <c r="C481" s="3"/>
      <c r="H481" s="3"/>
      <c r="AG481" s="91"/>
    </row>
    <row r="482" ht="15.75" customHeight="1">
      <c r="C482" s="3"/>
      <c r="H482" s="3"/>
      <c r="AG482" s="91"/>
    </row>
    <row r="483" ht="15.75" customHeight="1">
      <c r="C483" s="3"/>
      <c r="H483" s="3"/>
      <c r="AG483" s="91"/>
    </row>
    <row r="484" ht="15.75" customHeight="1">
      <c r="C484" s="3"/>
      <c r="H484" s="3"/>
      <c r="AG484" s="91"/>
    </row>
    <row r="485" ht="15.75" customHeight="1">
      <c r="C485" s="3"/>
      <c r="H485" s="3"/>
      <c r="AG485" s="91"/>
    </row>
    <row r="486" ht="15.75" customHeight="1">
      <c r="C486" s="3"/>
      <c r="H486" s="3"/>
      <c r="AG486" s="91"/>
    </row>
    <row r="487" ht="15.75" customHeight="1">
      <c r="C487" s="3"/>
      <c r="H487" s="3"/>
      <c r="AG487" s="91"/>
    </row>
    <row r="488" ht="15.75" customHeight="1">
      <c r="C488" s="3"/>
      <c r="H488" s="3"/>
      <c r="AG488" s="91"/>
    </row>
    <row r="489" ht="15.75" customHeight="1">
      <c r="C489" s="3"/>
      <c r="H489" s="3"/>
      <c r="AG489" s="91"/>
    </row>
    <row r="490" ht="15.75" customHeight="1">
      <c r="C490" s="3"/>
      <c r="H490" s="3"/>
      <c r="AG490" s="91"/>
    </row>
    <row r="491" ht="15.75" customHeight="1">
      <c r="C491" s="3"/>
      <c r="H491" s="3"/>
      <c r="AG491" s="91"/>
    </row>
    <row r="492" ht="15.75" customHeight="1">
      <c r="C492" s="3"/>
      <c r="H492" s="3"/>
      <c r="AG492" s="91"/>
    </row>
    <row r="493" ht="15.75" customHeight="1">
      <c r="C493" s="3"/>
      <c r="H493" s="3"/>
      <c r="AG493" s="91"/>
    </row>
    <row r="494" ht="15.75" customHeight="1">
      <c r="C494" s="3"/>
      <c r="H494" s="3"/>
      <c r="AG494" s="91"/>
    </row>
    <row r="495" ht="15.75" customHeight="1">
      <c r="C495" s="3"/>
      <c r="H495" s="3"/>
      <c r="AG495" s="91"/>
    </row>
    <row r="496" ht="15.75" customHeight="1">
      <c r="C496" s="3"/>
      <c r="H496" s="3"/>
      <c r="AG496" s="91"/>
    </row>
    <row r="497" ht="15.75" customHeight="1">
      <c r="C497" s="3"/>
      <c r="H497" s="3"/>
      <c r="AG497" s="91"/>
    </row>
    <row r="498" ht="15.75" customHeight="1">
      <c r="C498" s="3"/>
      <c r="H498" s="3"/>
      <c r="AG498" s="91"/>
    </row>
    <row r="499" ht="15.75" customHeight="1">
      <c r="C499" s="3"/>
      <c r="H499" s="3"/>
      <c r="AG499" s="91"/>
    </row>
    <row r="500" ht="15.75" customHeight="1">
      <c r="C500" s="3"/>
      <c r="H500" s="3"/>
      <c r="AG500" s="91"/>
    </row>
    <row r="501" ht="15.75" customHeight="1">
      <c r="C501" s="3"/>
      <c r="H501" s="3"/>
      <c r="AG501" s="91"/>
    </row>
    <row r="502" ht="15.75" customHeight="1">
      <c r="C502" s="3"/>
      <c r="H502" s="3"/>
      <c r="AG502" s="91"/>
    </row>
    <row r="503" ht="15.75" customHeight="1">
      <c r="C503" s="3"/>
      <c r="H503" s="3"/>
      <c r="AG503" s="91"/>
    </row>
    <row r="504" ht="15.75" customHeight="1">
      <c r="C504" s="3"/>
      <c r="H504" s="3"/>
      <c r="AG504" s="91"/>
    </row>
    <row r="505" ht="15.75" customHeight="1">
      <c r="C505" s="3"/>
      <c r="H505" s="3"/>
      <c r="AG505" s="91"/>
    </row>
    <row r="506" ht="15.75" customHeight="1">
      <c r="C506" s="3"/>
      <c r="H506" s="3"/>
      <c r="AG506" s="91"/>
    </row>
    <row r="507" ht="15.75" customHeight="1">
      <c r="C507" s="3"/>
      <c r="H507" s="3"/>
      <c r="AG507" s="91"/>
    </row>
    <row r="508" ht="15.75" customHeight="1">
      <c r="C508" s="3"/>
      <c r="H508" s="3"/>
      <c r="AG508" s="91"/>
    </row>
    <row r="509" ht="15.75" customHeight="1">
      <c r="C509" s="3"/>
      <c r="H509" s="3"/>
      <c r="AG509" s="91"/>
    </row>
    <row r="510" ht="15.75" customHeight="1">
      <c r="C510" s="3"/>
      <c r="H510" s="3"/>
      <c r="AG510" s="91"/>
    </row>
    <row r="511" ht="15.75" customHeight="1">
      <c r="C511" s="3"/>
      <c r="H511" s="3"/>
      <c r="AG511" s="91"/>
    </row>
    <row r="512" ht="15.75" customHeight="1">
      <c r="C512" s="3"/>
      <c r="H512" s="3"/>
      <c r="AG512" s="91"/>
    </row>
    <row r="513" ht="15.75" customHeight="1">
      <c r="C513" s="3"/>
      <c r="H513" s="3"/>
      <c r="AG513" s="91"/>
    </row>
    <row r="514" ht="15.75" customHeight="1">
      <c r="C514" s="3"/>
      <c r="H514" s="3"/>
      <c r="AG514" s="91"/>
    </row>
    <row r="515" ht="15.75" customHeight="1">
      <c r="C515" s="3"/>
      <c r="H515" s="3"/>
      <c r="AG515" s="91"/>
    </row>
    <row r="516" ht="15.75" customHeight="1">
      <c r="C516" s="3"/>
      <c r="H516" s="3"/>
      <c r="AG516" s="91"/>
    </row>
    <row r="517" ht="15.75" customHeight="1">
      <c r="C517" s="3"/>
      <c r="H517" s="3"/>
      <c r="AG517" s="91"/>
    </row>
    <row r="518" ht="15.75" customHeight="1">
      <c r="C518" s="3"/>
      <c r="H518" s="3"/>
      <c r="AG518" s="91"/>
    </row>
    <row r="519" ht="15.75" customHeight="1">
      <c r="C519" s="3"/>
      <c r="H519" s="3"/>
      <c r="AG519" s="91"/>
    </row>
    <row r="520" ht="15.75" customHeight="1">
      <c r="C520" s="3"/>
      <c r="H520" s="3"/>
      <c r="AG520" s="91"/>
    </row>
    <row r="521" ht="15.75" customHeight="1">
      <c r="C521" s="3"/>
      <c r="H521" s="3"/>
      <c r="AG521" s="91"/>
    </row>
    <row r="522" ht="15.75" customHeight="1">
      <c r="C522" s="3"/>
      <c r="H522" s="3"/>
      <c r="AG522" s="91"/>
    </row>
    <row r="523" ht="15.75" customHeight="1">
      <c r="C523" s="3"/>
      <c r="H523" s="3"/>
      <c r="AG523" s="91"/>
    </row>
    <row r="524" ht="15.75" customHeight="1">
      <c r="C524" s="3"/>
      <c r="H524" s="3"/>
      <c r="AG524" s="91"/>
    </row>
    <row r="525" ht="15.75" customHeight="1">
      <c r="C525" s="3"/>
      <c r="H525" s="3"/>
      <c r="AG525" s="91"/>
    </row>
    <row r="526" ht="15.75" customHeight="1">
      <c r="C526" s="3"/>
      <c r="H526" s="3"/>
      <c r="AG526" s="91"/>
    </row>
    <row r="527" ht="15.75" customHeight="1">
      <c r="C527" s="3"/>
      <c r="H527" s="3"/>
      <c r="AG527" s="91"/>
    </row>
    <row r="528" ht="15.75" customHeight="1">
      <c r="C528" s="3"/>
      <c r="H528" s="3"/>
      <c r="AG528" s="91"/>
    </row>
    <row r="529" ht="15.75" customHeight="1">
      <c r="C529" s="3"/>
      <c r="H529" s="3"/>
      <c r="AG529" s="91"/>
    </row>
    <row r="530" ht="15.75" customHeight="1">
      <c r="C530" s="3"/>
      <c r="H530" s="3"/>
      <c r="AG530" s="91"/>
    </row>
    <row r="531" ht="15.75" customHeight="1">
      <c r="C531" s="3"/>
      <c r="H531" s="3"/>
      <c r="AG531" s="91"/>
    </row>
    <row r="532" ht="15.75" customHeight="1">
      <c r="C532" s="3"/>
      <c r="H532" s="3"/>
      <c r="AG532" s="91"/>
    </row>
    <row r="533" ht="15.75" customHeight="1">
      <c r="C533" s="3"/>
      <c r="H533" s="3"/>
      <c r="AG533" s="91"/>
    </row>
    <row r="534" ht="15.75" customHeight="1">
      <c r="C534" s="3"/>
      <c r="H534" s="3"/>
      <c r="AG534" s="91"/>
    </row>
    <row r="535" ht="15.75" customHeight="1">
      <c r="C535" s="3"/>
      <c r="H535" s="3"/>
      <c r="AG535" s="91"/>
    </row>
    <row r="536" ht="15.75" customHeight="1">
      <c r="C536" s="3"/>
      <c r="H536" s="3"/>
      <c r="AG536" s="91"/>
    </row>
    <row r="537" ht="15.75" customHeight="1">
      <c r="C537" s="3"/>
      <c r="H537" s="3"/>
      <c r="AG537" s="91"/>
    </row>
    <row r="538" ht="15.75" customHeight="1">
      <c r="C538" s="3"/>
      <c r="H538" s="3"/>
      <c r="AG538" s="91"/>
    </row>
    <row r="539" ht="15.75" customHeight="1">
      <c r="C539" s="3"/>
      <c r="H539" s="3"/>
      <c r="AG539" s="91"/>
    </row>
    <row r="540" ht="15.75" customHeight="1">
      <c r="C540" s="3"/>
      <c r="H540" s="3"/>
      <c r="AG540" s="91"/>
    </row>
    <row r="541" ht="15.75" customHeight="1">
      <c r="C541" s="3"/>
      <c r="H541" s="3"/>
      <c r="AG541" s="91"/>
    </row>
    <row r="542" ht="15.75" customHeight="1">
      <c r="C542" s="3"/>
      <c r="H542" s="3"/>
      <c r="AG542" s="91"/>
    </row>
    <row r="543" ht="15.75" customHeight="1">
      <c r="C543" s="3"/>
      <c r="H543" s="3"/>
      <c r="AG543" s="91"/>
    </row>
    <row r="544" ht="15.75" customHeight="1">
      <c r="C544" s="3"/>
      <c r="H544" s="3"/>
      <c r="AG544" s="91"/>
    </row>
    <row r="545" ht="15.75" customHeight="1">
      <c r="C545" s="3"/>
      <c r="H545" s="3"/>
      <c r="AG545" s="91"/>
    </row>
    <row r="546" ht="15.75" customHeight="1">
      <c r="C546" s="3"/>
      <c r="H546" s="3"/>
      <c r="AG546" s="91"/>
    </row>
    <row r="547" ht="15.75" customHeight="1">
      <c r="C547" s="3"/>
      <c r="H547" s="3"/>
      <c r="AG547" s="91"/>
    </row>
    <row r="548" ht="15.75" customHeight="1">
      <c r="C548" s="3"/>
      <c r="H548" s="3"/>
      <c r="AG548" s="91"/>
    </row>
    <row r="549" ht="15.75" customHeight="1">
      <c r="C549" s="3"/>
      <c r="H549" s="3"/>
      <c r="AG549" s="91"/>
    </row>
    <row r="550" ht="15.75" customHeight="1">
      <c r="C550" s="3"/>
      <c r="H550" s="3"/>
      <c r="AG550" s="91"/>
    </row>
    <row r="551" ht="15.75" customHeight="1">
      <c r="C551" s="3"/>
      <c r="H551" s="3"/>
      <c r="AG551" s="91"/>
    </row>
    <row r="552" ht="15.75" customHeight="1">
      <c r="C552" s="3"/>
      <c r="H552" s="3"/>
      <c r="AG552" s="91"/>
    </row>
    <row r="553" ht="15.75" customHeight="1">
      <c r="C553" s="3"/>
      <c r="H553" s="3"/>
      <c r="AG553" s="91"/>
    </row>
    <row r="554" ht="15.75" customHeight="1">
      <c r="C554" s="3"/>
      <c r="H554" s="3"/>
      <c r="AG554" s="91"/>
    </row>
    <row r="555" ht="15.75" customHeight="1">
      <c r="C555" s="3"/>
      <c r="H555" s="3"/>
      <c r="AG555" s="91"/>
    </row>
    <row r="556" ht="15.75" customHeight="1">
      <c r="C556" s="3"/>
      <c r="H556" s="3"/>
      <c r="AG556" s="91"/>
    </row>
    <row r="557" ht="15.75" customHeight="1">
      <c r="C557" s="3"/>
      <c r="H557" s="3"/>
      <c r="AG557" s="91"/>
    </row>
    <row r="558" ht="15.75" customHeight="1">
      <c r="C558" s="3"/>
      <c r="H558" s="3"/>
      <c r="AG558" s="91"/>
    </row>
    <row r="559" ht="15.75" customHeight="1">
      <c r="C559" s="3"/>
      <c r="H559" s="3"/>
      <c r="AG559" s="91"/>
    </row>
    <row r="560" ht="15.75" customHeight="1">
      <c r="C560" s="3"/>
      <c r="H560" s="3"/>
      <c r="AG560" s="91"/>
    </row>
    <row r="561" ht="15.75" customHeight="1">
      <c r="C561" s="3"/>
      <c r="H561" s="3"/>
      <c r="AG561" s="91"/>
    </row>
    <row r="562" ht="15.75" customHeight="1">
      <c r="C562" s="3"/>
      <c r="H562" s="3"/>
      <c r="AG562" s="91"/>
    </row>
    <row r="563" ht="15.75" customHeight="1">
      <c r="C563" s="3"/>
      <c r="H563" s="3"/>
      <c r="AG563" s="91"/>
    </row>
    <row r="564" ht="15.75" customHeight="1">
      <c r="C564" s="3"/>
      <c r="H564" s="3"/>
      <c r="AG564" s="91"/>
    </row>
    <row r="565" ht="15.75" customHeight="1">
      <c r="C565" s="3"/>
      <c r="H565" s="3"/>
      <c r="AG565" s="91"/>
    </row>
    <row r="566" ht="15.75" customHeight="1">
      <c r="C566" s="3"/>
      <c r="H566" s="3"/>
      <c r="AG566" s="91"/>
    </row>
    <row r="567" ht="15.75" customHeight="1">
      <c r="C567" s="3"/>
      <c r="H567" s="3"/>
      <c r="AG567" s="91"/>
    </row>
    <row r="568" ht="15.75" customHeight="1">
      <c r="C568" s="3"/>
      <c r="H568" s="3"/>
      <c r="AG568" s="91"/>
    </row>
    <row r="569" ht="15.75" customHeight="1">
      <c r="C569" s="3"/>
      <c r="H569" s="3"/>
      <c r="AG569" s="91"/>
    </row>
    <row r="570" ht="15.75" customHeight="1">
      <c r="C570" s="3"/>
      <c r="H570" s="3"/>
      <c r="AG570" s="91"/>
    </row>
    <row r="571" ht="15.75" customHeight="1">
      <c r="C571" s="3"/>
      <c r="H571" s="3"/>
      <c r="AG571" s="91"/>
    </row>
    <row r="572" ht="15.75" customHeight="1">
      <c r="C572" s="3"/>
      <c r="H572" s="3"/>
      <c r="AG572" s="91"/>
    </row>
    <row r="573" ht="15.75" customHeight="1">
      <c r="C573" s="3"/>
      <c r="H573" s="3"/>
      <c r="AG573" s="91"/>
    </row>
    <row r="574" ht="15.75" customHeight="1">
      <c r="C574" s="3"/>
      <c r="H574" s="3"/>
      <c r="AG574" s="91"/>
    </row>
    <row r="575" ht="15.75" customHeight="1">
      <c r="C575" s="3"/>
      <c r="H575" s="3"/>
      <c r="AG575" s="91"/>
    </row>
    <row r="576" ht="15.75" customHeight="1">
      <c r="C576" s="3"/>
      <c r="H576" s="3"/>
      <c r="AG576" s="91"/>
    </row>
    <row r="577" ht="15.75" customHeight="1">
      <c r="C577" s="3"/>
      <c r="H577" s="3"/>
      <c r="AG577" s="91"/>
    </row>
    <row r="578" ht="15.75" customHeight="1">
      <c r="C578" s="3"/>
      <c r="H578" s="3"/>
      <c r="AG578" s="91"/>
    </row>
    <row r="579" ht="15.75" customHeight="1">
      <c r="C579" s="3"/>
      <c r="H579" s="3"/>
      <c r="AG579" s="91"/>
    </row>
    <row r="580" ht="15.75" customHeight="1">
      <c r="C580" s="3"/>
      <c r="H580" s="3"/>
      <c r="AG580" s="91"/>
    </row>
    <row r="581" ht="15.75" customHeight="1">
      <c r="C581" s="3"/>
      <c r="H581" s="3"/>
      <c r="AG581" s="91"/>
    </row>
    <row r="582" ht="15.75" customHeight="1">
      <c r="C582" s="3"/>
      <c r="H582" s="3"/>
      <c r="AG582" s="91"/>
    </row>
    <row r="583" ht="15.75" customHeight="1">
      <c r="C583" s="3"/>
      <c r="H583" s="3"/>
      <c r="AG583" s="91"/>
    </row>
    <row r="584" ht="15.75" customHeight="1">
      <c r="C584" s="3"/>
      <c r="H584" s="3"/>
      <c r="AG584" s="91"/>
    </row>
    <row r="585" ht="15.75" customHeight="1">
      <c r="C585" s="3"/>
      <c r="H585" s="3"/>
      <c r="AG585" s="91"/>
    </row>
    <row r="586" ht="15.75" customHeight="1">
      <c r="C586" s="3"/>
      <c r="H586" s="3"/>
      <c r="AG586" s="91"/>
    </row>
    <row r="587" ht="15.75" customHeight="1">
      <c r="C587" s="3"/>
      <c r="H587" s="3"/>
      <c r="AG587" s="91"/>
    </row>
    <row r="588" ht="15.75" customHeight="1">
      <c r="C588" s="3"/>
      <c r="H588" s="3"/>
      <c r="AG588" s="91"/>
    </row>
    <row r="589" ht="15.75" customHeight="1">
      <c r="C589" s="3"/>
      <c r="H589" s="3"/>
      <c r="AG589" s="91"/>
    </row>
    <row r="590" ht="15.75" customHeight="1">
      <c r="C590" s="3"/>
      <c r="H590" s="3"/>
      <c r="AG590" s="91"/>
    </row>
    <row r="591" ht="15.75" customHeight="1">
      <c r="C591" s="3"/>
      <c r="H591" s="3"/>
      <c r="AG591" s="91"/>
    </row>
    <row r="592" ht="15.75" customHeight="1">
      <c r="C592" s="3"/>
      <c r="H592" s="3"/>
      <c r="AG592" s="91"/>
    </row>
    <row r="593" ht="15.75" customHeight="1">
      <c r="C593" s="3"/>
      <c r="H593" s="3"/>
      <c r="AG593" s="91"/>
    </row>
    <row r="594" ht="15.75" customHeight="1">
      <c r="C594" s="3"/>
      <c r="H594" s="3"/>
      <c r="AG594" s="91"/>
    </row>
    <row r="595" ht="15.75" customHeight="1">
      <c r="C595" s="3"/>
      <c r="H595" s="3"/>
      <c r="AG595" s="91"/>
    </row>
    <row r="596" ht="15.75" customHeight="1">
      <c r="C596" s="3"/>
      <c r="H596" s="3"/>
      <c r="AG596" s="91"/>
    </row>
    <row r="597" ht="15.75" customHeight="1">
      <c r="C597" s="3"/>
      <c r="H597" s="3"/>
      <c r="AG597" s="91"/>
    </row>
    <row r="598" ht="15.75" customHeight="1">
      <c r="C598" s="3"/>
      <c r="H598" s="3"/>
      <c r="AG598" s="91"/>
    </row>
    <row r="599" ht="15.75" customHeight="1">
      <c r="C599" s="3"/>
      <c r="H599" s="3"/>
      <c r="AG599" s="91"/>
    </row>
    <row r="600" ht="15.75" customHeight="1">
      <c r="C600" s="3"/>
      <c r="H600" s="3"/>
      <c r="AG600" s="91"/>
    </row>
    <row r="601" ht="15.75" customHeight="1">
      <c r="C601" s="3"/>
      <c r="H601" s="3"/>
      <c r="AG601" s="91"/>
    </row>
    <row r="602" ht="15.75" customHeight="1">
      <c r="C602" s="3"/>
      <c r="H602" s="3"/>
      <c r="AG602" s="91"/>
    </row>
    <row r="603" ht="15.75" customHeight="1">
      <c r="C603" s="3"/>
      <c r="H603" s="3"/>
      <c r="AG603" s="91"/>
    </row>
    <row r="604" ht="15.75" customHeight="1">
      <c r="C604" s="3"/>
      <c r="H604" s="3"/>
      <c r="AG604" s="91"/>
    </row>
    <row r="605" ht="15.75" customHeight="1">
      <c r="C605" s="3"/>
      <c r="H605" s="3"/>
      <c r="AG605" s="91"/>
    </row>
    <row r="606" ht="15.75" customHeight="1">
      <c r="C606" s="3"/>
      <c r="H606" s="3"/>
      <c r="AG606" s="91"/>
    </row>
    <row r="607" ht="15.75" customHeight="1">
      <c r="C607" s="3"/>
      <c r="H607" s="3"/>
      <c r="AG607" s="91"/>
    </row>
    <row r="608" ht="15.75" customHeight="1">
      <c r="C608" s="3"/>
      <c r="H608" s="3"/>
      <c r="AG608" s="91"/>
    </row>
    <row r="609" ht="15.75" customHeight="1">
      <c r="C609" s="3"/>
      <c r="H609" s="3"/>
      <c r="AG609" s="91"/>
    </row>
    <row r="610" ht="15.75" customHeight="1">
      <c r="C610" s="3"/>
      <c r="H610" s="3"/>
      <c r="AG610" s="91"/>
    </row>
    <row r="611" ht="15.75" customHeight="1">
      <c r="C611" s="3"/>
      <c r="H611" s="3"/>
      <c r="AG611" s="91"/>
    </row>
    <row r="612" ht="15.75" customHeight="1">
      <c r="C612" s="3"/>
      <c r="H612" s="3"/>
      <c r="AG612" s="91"/>
    </row>
    <row r="613" ht="15.75" customHeight="1">
      <c r="C613" s="3"/>
      <c r="H613" s="3"/>
      <c r="AG613" s="91"/>
    </row>
    <row r="614" ht="15.75" customHeight="1">
      <c r="C614" s="3"/>
      <c r="H614" s="3"/>
      <c r="AG614" s="91"/>
    </row>
    <row r="615" ht="15.75" customHeight="1">
      <c r="C615" s="3"/>
      <c r="H615" s="3"/>
      <c r="AG615" s="91"/>
    </row>
    <row r="616" ht="15.75" customHeight="1">
      <c r="C616" s="3"/>
      <c r="H616" s="3"/>
      <c r="AG616" s="91"/>
    </row>
    <row r="617" ht="15.75" customHeight="1">
      <c r="C617" s="3"/>
      <c r="H617" s="3"/>
      <c r="AG617" s="91"/>
    </row>
    <row r="618" ht="15.75" customHeight="1">
      <c r="C618" s="3"/>
      <c r="H618" s="3"/>
      <c r="AG618" s="91"/>
    </row>
    <row r="619" ht="15.75" customHeight="1">
      <c r="C619" s="3"/>
      <c r="H619" s="3"/>
      <c r="AG619" s="91"/>
    </row>
    <row r="620" ht="15.75" customHeight="1">
      <c r="C620" s="3"/>
      <c r="H620" s="3"/>
      <c r="AG620" s="91"/>
    </row>
    <row r="621" ht="15.75" customHeight="1">
      <c r="C621" s="3"/>
      <c r="H621" s="3"/>
      <c r="AG621" s="91"/>
    </row>
    <row r="622" ht="15.75" customHeight="1">
      <c r="C622" s="3"/>
      <c r="H622" s="3"/>
      <c r="AG622" s="91"/>
    </row>
    <row r="623" ht="15.75" customHeight="1">
      <c r="C623" s="3"/>
      <c r="H623" s="3"/>
      <c r="AG623" s="91"/>
    </row>
    <row r="624" ht="15.75" customHeight="1">
      <c r="C624" s="3"/>
      <c r="H624" s="3"/>
      <c r="AG624" s="91"/>
    </row>
    <row r="625" ht="15.75" customHeight="1">
      <c r="C625" s="3"/>
      <c r="H625" s="3"/>
      <c r="AG625" s="91"/>
    </row>
    <row r="626" ht="15.75" customHeight="1">
      <c r="C626" s="3"/>
      <c r="H626" s="3"/>
      <c r="AG626" s="91"/>
    </row>
    <row r="627" ht="15.75" customHeight="1">
      <c r="C627" s="3"/>
      <c r="H627" s="3"/>
      <c r="AG627" s="91"/>
    </row>
    <row r="628" ht="15.75" customHeight="1">
      <c r="C628" s="3"/>
      <c r="H628" s="3"/>
      <c r="AG628" s="91"/>
    </row>
    <row r="629" ht="15.75" customHeight="1">
      <c r="C629" s="3"/>
      <c r="H629" s="3"/>
      <c r="AG629" s="91"/>
    </row>
    <row r="630" ht="15.75" customHeight="1">
      <c r="C630" s="3"/>
      <c r="H630" s="3"/>
      <c r="AG630" s="91"/>
    </row>
    <row r="631" ht="15.75" customHeight="1">
      <c r="C631" s="3"/>
      <c r="H631" s="3"/>
      <c r="AG631" s="91"/>
    </row>
    <row r="632" ht="15.75" customHeight="1">
      <c r="C632" s="3"/>
      <c r="H632" s="3"/>
      <c r="AG632" s="91"/>
    </row>
    <row r="633" ht="15.75" customHeight="1">
      <c r="C633" s="3"/>
      <c r="H633" s="3"/>
      <c r="AG633" s="91"/>
    </row>
    <row r="634" ht="15.75" customHeight="1">
      <c r="C634" s="3"/>
      <c r="H634" s="3"/>
      <c r="AG634" s="91"/>
    </row>
    <row r="635" ht="15.75" customHeight="1">
      <c r="C635" s="3"/>
      <c r="H635" s="3"/>
      <c r="AG635" s="91"/>
    </row>
    <row r="636" ht="15.75" customHeight="1">
      <c r="C636" s="3"/>
      <c r="H636" s="3"/>
      <c r="AG636" s="91"/>
    </row>
    <row r="637" ht="15.75" customHeight="1">
      <c r="C637" s="3"/>
      <c r="H637" s="3"/>
      <c r="AG637" s="91"/>
    </row>
    <row r="638" ht="15.75" customHeight="1">
      <c r="C638" s="3"/>
      <c r="H638" s="3"/>
      <c r="AG638" s="91"/>
    </row>
    <row r="639" ht="15.75" customHeight="1">
      <c r="C639" s="3"/>
      <c r="H639" s="3"/>
      <c r="AG639" s="91"/>
    </row>
    <row r="640" ht="15.75" customHeight="1">
      <c r="C640" s="3"/>
      <c r="H640" s="3"/>
      <c r="AG640" s="91"/>
    </row>
    <row r="641" ht="15.75" customHeight="1">
      <c r="C641" s="3"/>
      <c r="H641" s="3"/>
      <c r="AG641" s="91"/>
    </row>
    <row r="642" ht="15.75" customHeight="1">
      <c r="C642" s="3"/>
      <c r="H642" s="3"/>
      <c r="AG642" s="91"/>
    </row>
    <row r="643" ht="15.75" customHeight="1">
      <c r="C643" s="3"/>
      <c r="H643" s="3"/>
      <c r="AG643" s="91"/>
    </row>
    <row r="644" ht="15.75" customHeight="1">
      <c r="C644" s="3"/>
      <c r="H644" s="3"/>
      <c r="AG644" s="91"/>
    </row>
    <row r="645" ht="15.75" customHeight="1">
      <c r="C645" s="3"/>
      <c r="H645" s="3"/>
      <c r="AG645" s="91"/>
    </row>
    <row r="646" ht="15.75" customHeight="1">
      <c r="C646" s="3"/>
      <c r="H646" s="3"/>
      <c r="AG646" s="91"/>
    </row>
    <row r="647" ht="15.75" customHeight="1">
      <c r="C647" s="3"/>
      <c r="H647" s="3"/>
      <c r="AG647" s="91"/>
    </row>
    <row r="648" ht="15.75" customHeight="1">
      <c r="C648" s="3"/>
      <c r="H648" s="3"/>
      <c r="AG648" s="91"/>
    </row>
    <row r="649" ht="15.75" customHeight="1">
      <c r="C649" s="3"/>
      <c r="H649" s="3"/>
      <c r="AG649" s="91"/>
    </row>
    <row r="650" ht="15.75" customHeight="1">
      <c r="C650" s="3"/>
      <c r="H650" s="3"/>
      <c r="AG650" s="91"/>
    </row>
    <row r="651" ht="15.75" customHeight="1">
      <c r="C651" s="3"/>
      <c r="H651" s="3"/>
      <c r="AG651" s="91"/>
    </row>
    <row r="652" ht="15.75" customHeight="1">
      <c r="C652" s="3"/>
      <c r="H652" s="3"/>
      <c r="AG652" s="91"/>
    </row>
    <row r="653" ht="15.75" customHeight="1">
      <c r="C653" s="3"/>
      <c r="H653" s="3"/>
      <c r="AG653" s="91"/>
    </row>
    <row r="654" ht="15.75" customHeight="1">
      <c r="C654" s="3"/>
      <c r="H654" s="3"/>
      <c r="AG654" s="91"/>
    </row>
    <row r="655" ht="15.75" customHeight="1">
      <c r="C655" s="3"/>
      <c r="H655" s="3"/>
      <c r="AG655" s="91"/>
    </row>
    <row r="656" ht="15.75" customHeight="1">
      <c r="C656" s="3"/>
      <c r="H656" s="3"/>
      <c r="AG656" s="91"/>
    </row>
    <row r="657" ht="15.75" customHeight="1">
      <c r="C657" s="3"/>
      <c r="H657" s="3"/>
      <c r="AG657" s="91"/>
    </row>
    <row r="658" ht="15.75" customHeight="1">
      <c r="C658" s="3"/>
      <c r="H658" s="3"/>
      <c r="AG658" s="91"/>
    </row>
    <row r="659" ht="15.75" customHeight="1">
      <c r="C659" s="3"/>
      <c r="H659" s="3"/>
      <c r="AG659" s="91"/>
    </row>
    <row r="660" ht="15.75" customHeight="1">
      <c r="C660" s="3"/>
      <c r="H660" s="3"/>
      <c r="AG660" s="91"/>
    </row>
    <row r="661" ht="15.75" customHeight="1">
      <c r="C661" s="3"/>
      <c r="H661" s="3"/>
      <c r="AG661" s="91"/>
    </row>
    <row r="662" ht="15.75" customHeight="1">
      <c r="C662" s="3"/>
      <c r="H662" s="3"/>
      <c r="AG662" s="91"/>
    </row>
    <row r="663" ht="15.75" customHeight="1">
      <c r="C663" s="3"/>
      <c r="H663" s="3"/>
      <c r="AG663" s="91"/>
    </row>
    <row r="664" ht="15.75" customHeight="1">
      <c r="C664" s="3"/>
      <c r="H664" s="3"/>
      <c r="AG664" s="91"/>
    </row>
    <row r="665" ht="15.75" customHeight="1">
      <c r="C665" s="3"/>
      <c r="H665" s="3"/>
      <c r="AG665" s="91"/>
    </row>
    <row r="666" ht="15.75" customHeight="1">
      <c r="C666" s="3"/>
      <c r="H666" s="3"/>
      <c r="AG666" s="91"/>
    </row>
    <row r="667" ht="15.75" customHeight="1">
      <c r="C667" s="3"/>
      <c r="H667" s="3"/>
      <c r="AG667" s="91"/>
    </row>
    <row r="668" ht="15.75" customHeight="1">
      <c r="C668" s="3"/>
      <c r="H668" s="3"/>
      <c r="AG668" s="91"/>
    </row>
    <row r="669" ht="15.75" customHeight="1">
      <c r="C669" s="3"/>
      <c r="H669" s="3"/>
      <c r="AG669" s="91"/>
    </row>
    <row r="670" ht="15.75" customHeight="1">
      <c r="C670" s="3"/>
      <c r="H670" s="3"/>
      <c r="AG670" s="91"/>
    </row>
    <row r="671" ht="15.75" customHeight="1">
      <c r="C671" s="3"/>
      <c r="H671" s="3"/>
      <c r="AG671" s="91"/>
    </row>
    <row r="672" ht="15.75" customHeight="1">
      <c r="C672" s="3"/>
      <c r="H672" s="3"/>
      <c r="AG672" s="91"/>
    </row>
    <row r="673" ht="15.75" customHeight="1">
      <c r="C673" s="3"/>
      <c r="H673" s="3"/>
      <c r="AG673" s="91"/>
    </row>
    <row r="674" ht="15.75" customHeight="1">
      <c r="C674" s="3"/>
      <c r="H674" s="3"/>
      <c r="AG674" s="91"/>
    </row>
    <row r="675" ht="15.75" customHeight="1">
      <c r="C675" s="3"/>
      <c r="H675" s="3"/>
      <c r="AG675" s="91"/>
    </row>
    <row r="676" ht="15.75" customHeight="1">
      <c r="C676" s="3"/>
      <c r="H676" s="3"/>
      <c r="AG676" s="91"/>
    </row>
    <row r="677" ht="15.75" customHeight="1">
      <c r="C677" s="3"/>
      <c r="H677" s="3"/>
      <c r="AG677" s="91"/>
    </row>
    <row r="678" ht="15.75" customHeight="1">
      <c r="C678" s="3"/>
      <c r="H678" s="3"/>
      <c r="AG678" s="91"/>
    </row>
    <row r="679" ht="15.75" customHeight="1">
      <c r="C679" s="3"/>
      <c r="H679" s="3"/>
      <c r="AG679" s="91"/>
    </row>
    <row r="680" ht="15.75" customHeight="1">
      <c r="C680" s="3"/>
      <c r="H680" s="3"/>
      <c r="AG680" s="91"/>
    </row>
    <row r="681" ht="15.75" customHeight="1">
      <c r="C681" s="3"/>
      <c r="H681" s="3"/>
      <c r="AG681" s="91"/>
    </row>
    <row r="682" ht="15.75" customHeight="1">
      <c r="C682" s="3"/>
      <c r="H682" s="3"/>
      <c r="AG682" s="91"/>
    </row>
    <row r="683" ht="15.75" customHeight="1">
      <c r="C683" s="3"/>
      <c r="H683" s="3"/>
      <c r="AG683" s="91"/>
    </row>
    <row r="684" ht="15.75" customHeight="1">
      <c r="C684" s="3"/>
      <c r="H684" s="3"/>
      <c r="AG684" s="91"/>
    </row>
    <row r="685" ht="15.75" customHeight="1">
      <c r="C685" s="3"/>
      <c r="H685" s="3"/>
      <c r="AG685" s="91"/>
    </row>
    <row r="686" ht="15.75" customHeight="1">
      <c r="C686" s="3"/>
      <c r="H686" s="3"/>
      <c r="AG686" s="91"/>
    </row>
    <row r="687" ht="15.75" customHeight="1">
      <c r="C687" s="3"/>
      <c r="H687" s="3"/>
      <c r="AG687" s="91"/>
    </row>
    <row r="688" ht="15.75" customHeight="1">
      <c r="C688" s="3"/>
      <c r="H688" s="3"/>
      <c r="AG688" s="91"/>
    </row>
    <row r="689" ht="15.75" customHeight="1">
      <c r="C689" s="3"/>
      <c r="H689" s="3"/>
      <c r="AG689" s="91"/>
    </row>
    <row r="690" ht="15.75" customHeight="1">
      <c r="C690" s="3"/>
      <c r="H690" s="3"/>
      <c r="AG690" s="91"/>
    </row>
    <row r="691" ht="15.75" customHeight="1">
      <c r="C691" s="3"/>
      <c r="H691" s="3"/>
      <c r="AG691" s="91"/>
    </row>
    <row r="692" ht="15.75" customHeight="1">
      <c r="C692" s="3"/>
      <c r="H692" s="3"/>
      <c r="AG692" s="91"/>
    </row>
    <row r="693" ht="15.75" customHeight="1">
      <c r="C693" s="3"/>
      <c r="H693" s="3"/>
      <c r="AG693" s="91"/>
    </row>
    <row r="694" ht="15.75" customHeight="1">
      <c r="C694" s="3"/>
      <c r="H694" s="3"/>
      <c r="AG694" s="91"/>
    </row>
    <row r="695" ht="15.75" customHeight="1">
      <c r="C695" s="3"/>
      <c r="H695" s="3"/>
      <c r="AG695" s="91"/>
    </row>
    <row r="696" ht="15.75" customHeight="1">
      <c r="C696" s="3"/>
      <c r="H696" s="3"/>
      <c r="AG696" s="91"/>
    </row>
    <row r="697" ht="15.75" customHeight="1">
      <c r="C697" s="3"/>
      <c r="H697" s="3"/>
      <c r="AG697" s="91"/>
    </row>
    <row r="698" ht="15.75" customHeight="1">
      <c r="C698" s="3"/>
      <c r="H698" s="3"/>
      <c r="AG698" s="91"/>
    </row>
    <row r="699" ht="15.75" customHeight="1">
      <c r="C699" s="3"/>
      <c r="H699" s="3"/>
      <c r="AG699" s="91"/>
    </row>
    <row r="700" ht="15.75" customHeight="1">
      <c r="C700" s="3"/>
      <c r="H700" s="3"/>
      <c r="AG700" s="91"/>
    </row>
    <row r="701" ht="15.75" customHeight="1">
      <c r="C701" s="3"/>
      <c r="H701" s="3"/>
      <c r="AG701" s="91"/>
    </row>
    <row r="702" ht="15.75" customHeight="1">
      <c r="C702" s="3"/>
      <c r="H702" s="3"/>
      <c r="AG702" s="91"/>
    </row>
    <row r="703" ht="15.75" customHeight="1">
      <c r="C703" s="3"/>
      <c r="H703" s="3"/>
      <c r="AG703" s="91"/>
    </row>
    <row r="704" ht="15.75" customHeight="1">
      <c r="C704" s="3"/>
      <c r="H704" s="3"/>
      <c r="AG704" s="91"/>
    </row>
    <row r="705" ht="15.75" customHeight="1">
      <c r="C705" s="3"/>
      <c r="H705" s="3"/>
      <c r="AG705" s="91"/>
    </row>
    <row r="706" ht="15.75" customHeight="1">
      <c r="C706" s="3"/>
      <c r="H706" s="3"/>
      <c r="AG706" s="91"/>
    </row>
    <row r="707" ht="15.75" customHeight="1">
      <c r="C707" s="3"/>
      <c r="H707" s="3"/>
      <c r="AG707" s="91"/>
    </row>
    <row r="708" ht="15.75" customHeight="1">
      <c r="C708" s="3"/>
      <c r="H708" s="3"/>
      <c r="AG708" s="91"/>
    </row>
    <row r="709" ht="15.75" customHeight="1">
      <c r="C709" s="3"/>
      <c r="H709" s="3"/>
      <c r="AG709" s="91"/>
    </row>
    <row r="710" ht="15.75" customHeight="1">
      <c r="C710" s="3"/>
      <c r="H710" s="3"/>
      <c r="AG710" s="91"/>
    </row>
    <row r="711" ht="15.75" customHeight="1">
      <c r="C711" s="3"/>
      <c r="H711" s="3"/>
      <c r="AG711" s="91"/>
    </row>
    <row r="712" ht="15.75" customHeight="1">
      <c r="C712" s="3"/>
      <c r="H712" s="3"/>
      <c r="AG712" s="91"/>
    </row>
    <row r="713" ht="15.75" customHeight="1">
      <c r="C713" s="3"/>
      <c r="H713" s="3"/>
      <c r="AG713" s="91"/>
    </row>
    <row r="714" ht="15.75" customHeight="1">
      <c r="C714" s="3"/>
      <c r="H714" s="3"/>
      <c r="AG714" s="91"/>
    </row>
    <row r="715" ht="15.75" customHeight="1">
      <c r="C715" s="3"/>
      <c r="H715" s="3"/>
      <c r="AG715" s="91"/>
    </row>
    <row r="716" ht="15.75" customHeight="1">
      <c r="C716" s="3"/>
      <c r="H716" s="3"/>
      <c r="AG716" s="91"/>
    </row>
    <row r="717" ht="15.75" customHeight="1">
      <c r="C717" s="3"/>
      <c r="H717" s="3"/>
      <c r="AG717" s="91"/>
    </row>
    <row r="718" ht="15.75" customHeight="1">
      <c r="C718" s="3"/>
      <c r="H718" s="3"/>
      <c r="AG718" s="91"/>
    </row>
    <row r="719" ht="15.75" customHeight="1">
      <c r="C719" s="3"/>
      <c r="H719" s="3"/>
      <c r="AG719" s="91"/>
    </row>
    <row r="720" ht="15.75" customHeight="1">
      <c r="C720" s="3"/>
      <c r="H720" s="3"/>
      <c r="AG720" s="91"/>
    </row>
    <row r="721" ht="15.75" customHeight="1">
      <c r="C721" s="3"/>
      <c r="H721" s="3"/>
      <c r="AG721" s="91"/>
    </row>
    <row r="722" ht="15.75" customHeight="1">
      <c r="C722" s="3"/>
      <c r="H722" s="3"/>
      <c r="AG722" s="91"/>
    </row>
    <row r="723" ht="15.75" customHeight="1">
      <c r="C723" s="3"/>
      <c r="H723" s="3"/>
      <c r="AG723" s="91"/>
    </row>
    <row r="724" ht="15.75" customHeight="1">
      <c r="C724" s="3"/>
      <c r="H724" s="3"/>
      <c r="AG724" s="91"/>
    </row>
    <row r="725" ht="15.75" customHeight="1">
      <c r="C725" s="3"/>
      <c r="H725" s="3"/>
      <c r="AG725" s="91"/>
    </row>
    <row r="726" ht="15.75" customHeight="1">
      <c r="C726" s="3"/>
      <c r="H726" s="3"/>
      <c r="AG726" s="91"/>
    </row>
    <row r="727" ht="15.75" customHeight="1">
      <c r="C727" s="3"/>
      <c r="H727" s="3"/>
      <c r="AG727" s="91"/>
    </row>
    <row r="728" ht="15.75" customHeight="1">
      <c r="C728" s="3"/>
      <c r="H728" s="3"/>
      <c r="AG728" s="91"/>
    </row>
    <row r="729" ht="15.75" customHeight="1">
      <c r="C729" s="3"/>
      <c r="H729" s="3"/>
      <c r="AG729" s="91"/>
    </row>
    <row r="730" ht="15.75" customHeight="1">
      <c r="C730" s="3"/>
      <c r="H730" s="3"/>
      <c r="AG730" s="91"/>
    </row>
    <row r="731" ht="15.75" customHeight="1">
      <c r="C731" s="3"/>
      <c r="H731" s="3"/>
      <c r="AG731" s="91"/>
    </row>
    <row r="732" ht="15.75" customHeight="1">
      <c r="C732" s="3"/>
      <c r="H732" s="3"/>
      <c r="AG732" s="91"/>
    </row>
    <row r="733" ht="15.75" customHeight="1">
      <c r="C733" s="3"/>
      <c r="H733" s="3"/>
      <c r="AG733" s="91"/>
    </row>
    <row r="734" ht="15.75" customHeight="1">
      <c r="C734" s="3"/>
      <c r="H734" s="3"/>
      <c r="AG734" s="91"/>
    </row>
    <row r="735" ht="15.75" customHeight="1">
      <c r="C735" s="3"/>
      <c r="H735" s="3"/>
      <c r="AG735" s="91"/>
    </row>
    <row r="736" ht="15.75" customHeight="1">
      <c r="C736" s="3"/>
      <c r="H736" s="3"/>
      <c r="AG736" s="91"/>
    </row>
    <row r="737" ht="15.75" customHeight="1">
      <c r="C737" s="3"/>
      <c r="H737" s="3"/>
      <c r="AG737" s="91"/>
    </row>
    <row r="738" ht="15.75" customHeight="1">
      <c r="C738" s="3"/>
      <c r="H738" s="3"/>
      <c r="AG738" s="91"/>
    </row>
    <row r="739" ht="15.75" customHeight="1">
      <c r="C739" s="3"/>
      <c r="H739" s="3"/>
      <c r="AG739" s="91"/>
    </row>
    <row r="740" ht="15.75" customHeight="1">
      <c r="C740" s="3"/>
      <c r="H740" s="3"/>
      <c r="AG740" s="91"/>
    </row>
    <row r="741" ht="15.75" customHeight="1">
      <c r="C741" s="3"/>
      <c r="H741" s="3"/>
      <c r="AG741" s="91"/>
    </row>
    <row r="742" ht="15.75" customHeight="1">
      <c r="C742" s="3"/>
      <c r="H742" s="3"/>
      <c r="AG742" s="91"/>
    </row>
    <row r="743" ht="15.75" customHeight="1">
      <c r="C743" s="3"/>
      <c r="H743" s="3"/>
      <c r="AG743" s="91"/>
    </row>
    <row r="744" ht="15.75" customHeight="1">
      <c r="C744" s="3"/>
      <c r="H744" s="3"/>
      <c r="AG744" s="91"/>
    </row>
    <row r="745" ht="15.75" customHeight="1">
      <c r="C745" s="3"/>
      <c r="H745" s="3"/>
      <c r="AG745" s="91"/>
    </row>
    <row r="746" ht="15.75" customHeight="1">
      <c r="C746" s="3"/>
      <c r="H746" s="3"/>
      <c r="AG746" s="91"/>
    </row>
    <row r="747" ht="15.75" customHeight="1">
      <c r="C747" s="3"/>
      <c r="H747" s="3"/>
      <c r="AG747" s="91"/>
    </row>
    <row r="748" ht="15.75" customHeight="1">
      <c r="C748" s="3"/>
      <c r="H748" s="3"/>
      <c r="AG748" s="91"/>
    </row>
    <row r="749" ht="15.75" customHeight="1">
      <c r="C749" s="3"/>
      <c r="H749" s="3"/>
      <c r="AG749" s="91"/>
    </row>
    <row r="750" ht="15.75" customHeight="1">
      <c r="C750" s="3"/>
      <c r="H750" s="3"/>
      <c r="AG750" s="91"/>
    </row>
    <row r="751" ht="15.75" customHeight="1">
      <c r="C751" s="3"/>
      <c r="H751" s="3"/>
      <c r="AG751" s="91"/>
    </row>
    <row r="752" ht="15.75" customHeight="1">
      <c r="C752" s="3"/>
      <c r="H752" s="3"/>
      <c r="AG752" s="91"/>
    </row>
    <row r="753" ht="15.75" customHeight="1">
      <c r="C753" s="3"/>
      <c r="H753" s="3"/>
      <c r="AG753" s="91"/>
    </row>
    <row r="754" ht="15.75" customHeight="1">
      <c r="C754" s="3"/>
      <c r="H754" s="3"/>
      <c r="AG754" s="91"/>
    </row>
    <row r="755" ht="15.75" customHeight="1">
      <c r="C755" s="3"/>
      <c r="H755" s="3"/>
      <c r="AG755" s="91"/>
    </row>
    <row r="756" ht="15.75" customHeight="1">
      <c r="C756" s="3"/>
      <c r="H756" s="3"/>
      <c r="AG756" s="91"/>
    </row>
    <row r="757" ht="15.75" customHeight="1">
      <c r="C757" s="3"/>
      <c r="H757" s="3"/>
      <c r="AG757" s="91"/>
    </row>
    <row r="758" ht="15.75" customHeight="1">
      <c r="C758" s="3"/>
      <c r="H758" s="3"/>
      <c r="AG758" s="91"/>
    </row>
    <row r="759" ht="15.75" customHeight="1">
      <c r="C759" s="3"/>
      <c r="H759" s="3"/>
      <c r="AG759" s="91"/>
    </row>
    <row r="760" ht="15.75" customHeight="1">
      <c r="C760" s="3"/>
      <c r="H760" s="3"/>
      <c r="AG760" s="91"/>
    </row>
    <row r="761" ht="15.75" customHeight="1">
      <c r="C761" s="3"/>
      <c r="H761" s="3"/>
      <c r="AG761" s="91"/>
    </row>
    <row r="762" ht="15.75" customHeight="1">
      <c r="C762" s="3"/>
      <c r="H762" s="3"/>
      <c r="AG762" s="91"/>
    </row>
    <row r="763" ht="15.75" customHeight="1">
      <c r="C763" s="3"/>
      <c r="H763" s="3"/>
      <c r="AG763" s="91"/>
    </row>
    <row r="764" ht="15.75" customHeight="1">
      <c r="C764" s="3"/>
      <c r="H764" s="3"/>
      <c r="AG764" s="91"/>
    </row>
    <row r="765" ht="15.75" customHeight="1">
      <c r="C765" s="3"/>
      <c r="H765" s="3"/>
      <c r="AG765" s="91"/>
    </row>
    <row r="766" ht="15.75" customHeight="1">
      <c r="C766" s="3"/>
      <c r="H766" s="3"/>
      <c r="AG766" s="91"/>
    </row>
    <row r="767" ht="15.75" customHeight="1">
      <c r="C767" s="3"/>
      <c r="H767" s="3"/>
      <c r="AG767" s="91"/>
    </row>
    <row r="768" ht="15.75" customHeight="1">
      <c r="C768" s="3"/>
      <c r="H768" s="3"/>
      <c r="AG768" s="91"/>
    </row>
    <row r="769" ht="15.75" customHeight="1">
      <c r="C769" s="3"/>
      <c r="H769" s="3"/>
      <c r="AG769" s="91"/>
    </row>
    <row r="770" ht="15.75" customHeight="1">
      <c r="C770" s="3"/>
      <c r="H770" s="3"/>
      <c r="AG770" s="91"/>
    </row>
    <row r="771" ht="15.75" customHeight="1">
      <c r="C771" s="3"/>
      <c r="H771" s="3"/>
      <c r="AG771" s="91"/>
    </row>
    <row r="772" ht="15.75" customHeight="1">
      <c r="C772" s="3"/>
      <c r="H772" s="3"/>
      <c r="AG772" s="91"/>
    </row>
    <row r="773" ht="15.75" customHeight="1">
      <c r="C773" s="3"/>
      <c r="H773" s="3"/>
      <c r="AG773" s="91"/>
    </row>
    <row r="774" ht="15.75" customHeight="1">
      <c r="C774" s="3"/>
      <c r="H774" s="3"/>
      <c r="AG774" s="91"/>
    </row>
    <row r="775" ht="15.75" customHeight="1">
      <c r="C775" s="3"/>
      <c r="H775" s="3"/>
      <c r="AG775" s="91"/>
    </row>
    <row r="776" ht="15.75" customHeight="1">
      <c r="C776" s="3"/>
      <c r="H776" s="3"/>
      <c r="AG776" s="91"/>
    </row>
    <row r="777" ht="15.75" customHeight="1">
      <c r="C777" s="3"/>
      <c r="H777" s="3"/>
      <c r="AG777" s="91"/>
    </row>
    <row r="778" ht="15.75" customHeight="1">
      <c r="C778" s="3"/>
      <c r="H778" s="3"/>
      <c r="AG778" s="91"/>
    </row>
    <row r="779" ht="15.75" customHeight="1">
      <c r="C779" s="3"/>
      <c r="H779" s="3"/>
      <c r="AG779" s="91"/>
    </row>
    <row r="780" ht="15.75" customHeight="1">
      <c r="C780" s="3"/>
      <c r="H780" s="3"/>
      <c r="AG780" s="91"/>
    </row>
    <row r="781" ht="15.75" customHeight="1">
      <c r="C781" s="3"/>
      <c r="H781" s="3"/>
      <c r="AG781" s="91"/>
    </row>
    <row r="782" ht="15.75" customHeight="1">
      <c r="C782" s="3"/>
      <c r="H782" s="3"/>
      <c r="AG782" s="91"/>
    </row>
    <row r="783" ht="15.75" customHeight="1">
      <c r="C783" s="3"/>
      <c r="H783" s="3"/>
      <c r="AG783" s="91"/>
    </row>
    <row r="784" ht="15.75" customHeight="1">
      <c r="C784" s="3"/>
      <c r="H784" s="3"/>
      <c r="AG784" s="91"/>
    </row>
    <row r="785" ht="15.75" customHeight="1">
      <c r="C785" s="3"/>
      <c r="H785" s="3"/>
      <c r="AG785" s="91"/>
    </row>
    <row r="786" ht="15.75" customHeight="1">
      <c r="C786" s="3"/>
      <c r="H786" s="3"/>
      <c r="AG786" s="91"/>
    </row>
    <row r="787" ht="15.75" customHeight="1">
      <c r="C787" s="3"/>
      <c r="H787" s="3"/>
      <c r="AG787" s="91"/>
    </row>
    <row r="788" ht="15.75" customHeight="1">
      <c r="C788" s="3"/>
      <c r="H788" s="3"/>
      <c r="AG788" s="91"/>
    </row>
    <row r="789" ht="15.75" customHeight="1">
      <c r="C789" s="3"/>
      <c r="H789" s="3"/>
      <c r="AG789" s="91"/>
    </row>
    <row r="790" ht="15.75" customHeight="1">
      <c r="C790" s="3"/>
      <c r="H790" s="3"/>
      <c r="AG790" s="91"/>
    </row>
    <row r="791" ht="15.75" customHeight="1">
      <c r="C791" s="3"/>
      <c r="H791" s="3"/>
      <c r="AG791" s="91"/>
    </row>
    <row r="792" ht="15.75" customHeight="1">
      <c r="C792" s="3"/>
      <c r="H792" s="3"/>
      <c r="AG792" s="91"/>
    </row>
    <row r="793" ht="15.75" customHeight="1">
      <c r="C793" s="3"/>
      <c r="H793" s="3"/>
      <c r="AG793" s="91"/>
    </row>
    <row r="794" ht="15.75" customHeight="1">
      <c r="C794" s="3"/>
      <c r="H794" s="3"/>
      <c r="AG794" s="91"/>
    </row>
    <row r="795" ht="15.75" customHeight="1">
      <c r="C795" s="3"/>
      <c r="H795" s="3"/>
      <c r="AG795" s="91"/>
    </row>
    <row r="796" ht="15.75" customHeight="1">
      <c r="C796" s="3"/>
      <c r="H796" s="3"/>
      <c r="AG796" s="91"/>
    </row>
    <row r="797" ht="15.75" customHeight="1">
      <c r="C797" s="3"/>
      <c r="H797" s="3"/>
      <c r="AG797" s="91"/>
    </row>
    <row r="798" ht="15.75" customHeight="1">
      <c r="C798" s="3"/>
      <c r="H798" s="3"/>
      <c r="AG798" s="91"/>
    </row>
    <row r="799" ht="15.75" customHeight="1">
      <c r="C799" s="3"/>
      <c r="H799" s="3"/>
      <c r="AG799" s="91"/>
    </row>
    <row r="800" ht="15.75" customHeight="1">
      <c r="C800" s="3"/>
      <c r="H800" s="3"/>
      <c r="AG800" s="91"/>
    </row>
    <row r="801" ht="15.75" customHeight="1">
      <c r="C801" s="3"/>
      <c r="H801" s="3"/>
      <c r="AG801" s="91"/>
    </row>
    <row r="802" ht="15.75" customHeight="1">
      <c r="C802" s="3"/>
      <c r="H802" s="3"/>
      <c r="AG802" s="91"/>
    </row>
    <row r="803" ht="15.75" customHeight="1">
      <c r="C803" s="3"/>
      <c r="H803" s="3"/>
      <c r="AG803" s="91"/>
    </row>
    <row r="804" ht="15.75" customHeight="1">
      <c r="C804" s="3"/>
      <c r="H804" s="3"/>
      <c r="AG804" s="91"/>
    </row>
    <row r="805" ht="15.75" customHeight="1">
      <c r="C805" s="3"/>
      <c r="H805" s="3"/>
      <c r="AG805" s="91"/>
    </row>
    <row r="806" ht="15.75" customHeight="1">
      <c r="C806" s="3"/>
      <c r="H806" s="3"/>
      <c r="AG806" s="91"/>
    </row>
    <row r="807" ht="15.75" customHeight="1">
      <c r="C807" s="3"/>
      <c r="H807" s="3"/>
      <c r="AG807" s="91"/>
    </row>
    <row r="808" ht="15.75" customHeight="1">
      <c r="C808" s="3"/>
      <c r="H808" s="3"/>
      <c r="AG808" s="91"/>
    </row>
    <row r="809" ht="15.75" customHeight="1">
      <c r="C809" s="3"/>
      <c r="H809" s="3"/>
      <c r="AG809" s="91"/>
    </row>
    <row r="810" ht="15.75" customHeight="1">
      <c r="C810" s="3"/>
      <c r="H810" s="3"/>
      <c r="AG810" s="91"/>
    </row>
    <row r="811" ht="15.75" customHeight="1">
      <c r="C811" s="3"/>
      <c r="H811" s="3"/>
      <c r="AG811" s="91"/>
    </row>
    <row r="812" ht="15.75" customHeight="1">
      <c r="C812" s="3"/>
      <c r="H812" s="3"/>
      <c r="AG812" s="91"/>
    </row>
    <row r="813" ht="15.75" customHeight="1">
      <c r="C813" s="3"/>
      <c r="H813" s="3"/>
      <c r="AG813" s="91"/>
    </row>
    <row r="814" ht="15.75" customHeight="1">
      <c r="C814" s="3"/>
      <c r="H814" s="3"/>
      <c r="AG814" s="91"/>
    </row>
    <row r="815" ht="15.75" customHeight="1">
      <c r="C815" s="3"/>
      <c r="H815" s="3"/>
      <c r="AG815" s="91"/>
    </row>
    <row r="816" ht="15.75" customHeight="1">
      <c r="C816" s="3"/>
      <c r="H816" s="3"/>
      <c r="AG816" s="91"/>
    </row>
    <row r="817" ht="15.75" customHeight="1">
      <c r="C817" s="3"/>
      <c r="H817" s="3"/>
      <c r="AG817" s="91"/>
    </row>
    <row r="818" ht="15.75" customHeight="1">
      <c r="C818" s="3"/>
      <c r="H818" s="3"/>
      <c r="AG818" s="91"/>
    </row>
    <row r="819" ht="15.75" customHeight="1">
      <c r="C819" s="3"/>
      <c r="H819" s="3"/>
      <c r="AG819" s="91"/>
    </row>
    <row r="820" ht="15.75" customHeight="1">
      <c r="C820" s="3"/>
      <c r="H820" s="3"/>
      <c r="AG820" s="91"/>
    </row>
    <row r="821" ht="15.75" customHeight="1">
      <c r="C821" s="3"/>
      <c r="H821" s="3"/>
      <c r="AG821" s="91"/>
    </row>
    <row r="822" ht="15.75" customHeight="1">
      <c r="C822" s="3"/>
      <c r="H822" s="3"/>
      <c r="AG822" s="91"/>
    </row>
    <row r="823" ht="15.75" customHeight="1">
      <c r="C823" s="3"/>
      <c r="H823" s="3"/>
      <c r="AG823" s="91"/>
    </row>
    <row r="824" ht="15.75" customHeight="1">
      <c r="C824" s="3"/>
      <c r="H824" s="3"/>
      <c r="AG824" s="91"/>
    </row>
    <row r="825" ht="15.75" customHeight="1">
      <c r="C825" s="3"/>
      <c r="H825" s="3"/>
      <c r="AG825" s="91"/>
    </row>
    <row r="826" ht="15.75" customHeight="1">
      <c r="C826" s="3"/>
      <c r="H826" s="3"/>
      <c r="AG826" s="91"/>
    </row>
    <row r="827" ht="15.75" customHeight="1">
      <c r="C827" s="3"/>
      <c r="H827" s="3"/>
      <c r="AG827" s="91"/>
    </row>
    <row r="828" ht="15.75" customHeight="1">
      <c r="C828" s="3"/>
      <c r="H828" s="3"/>
      <c r="AG828" s="91"/>
    </row>
    <row r="829" ht="15.75" customHeight="1">
      <c r="C829" s="3"/>
      <c r="H829" s="3"/>
      <c r="AG829" s="91"/>
    </row>
    <row r="830" ht="15.75" customHeight="1">
      <c r="C830" s="3"/>
      <c r="H830" s="3"/>
      <c r="AG830" s="91"/>
    </row>
    <row r="831" ht="15.75" customHeight="1">
      <c r="C831" s="3"/>
      <c r="H831" s="3"/>
      <c r="AG831" s="91"/>
    </row>
    <row r="832" ht="15.75" customHeight="1">
      <c r="C832" s="3"/>
      <c r="H832" s="3"/>
      <c r="AG832" s="91"/>
    </row>
    <row r="833" ht="15.75" customHeight="1">
      <c r="C833" s="3"/>
      <c r="H833" s="3"/>
      <c r="AG833" s="91"/>
    </row>
    <row r="834" ht="15.75" customHeight="1">
      <c r="C834" s="3"/>
      <c r="H834" s="3"/>
      <c r="AG834" s="91"/>
    </row>
    <row r="835" ht="15.75" customHeight="1">
      <c r="C835" s="3"/>
      <c r="H835" s="3"/>
      <c r="AG835" s="91"/>
    </row>
    <row r="836" ht="15.75" customHeight="1">
      <c r="C836" s="3"/>
      <c r="H836" s="3"/>
      <c r="AG836" s="91"/>
    </row>
    <row r="837" ht="15.75" customHeight="1">
      <c r="C837" s="3"/>
      <c r="H837" s="3"/>
      <c r="AG837" s="91"/>
    </row>
    <row r="838" ht="15.75" customHeight="1">
      <c r="C838" s="3"/>
      <c r="H838" s="3"/>
      <c r="AG838" s="91"/>
    </row>
    <row r="839" ht="15.75" customHeight="1">
      <c r="C839" s="3"/>
      <c r="H839" s="3"/>
      <c r="AG839" s="91"/>
    </row>
    <row r="840" ht="15.75" customHeight="1">
      <c r="C840" s="3"/>
      <c r="H840" s="3"/>
      <c r="AG840" s="91"/>
    </row>
    <row r="841" ht="15.75" customHeight="1">
      <c r="C841" s="3"/>
      <c r="H841" s="3"/>
      <c r="AG841" s="91"/>
    </row>
    <row r="842" ht="15.75" customHeight="1">
      <c r="C842" s="3"/>
      <c r="H842" s="3"/>
      <c r="AG842" s="91"/>
    </row>
    <row r="843" ht="15.75" customHeight="1">
      <c r="C843" s="3"/>
      <c r="H843" s="3"/>
      <c r="AG843" s="91"/>
    </row>
    <row r="844" ht="15.75" customHeight="1">
      <c r="C844" s="3"/>
      <c r="H844" s="3"/>
      <c r="AG844" s="91"/>
    </row>
    <row r="845" ht="15.75" customHeight="1">
      <c r="C845" s="3"/>
      <c r="H845" s="3"/>
      <c r="AG845" s="91"/>
    </row>
    <row r="846" ht="15.75" customHeight="1">
      <c r="C846" s="3"/>
      <c r="H846" s="3"/>
      <c r="AG846" s="91"/>
    </row>
    <row r="847" ht="15.75" customHeight="1">
      <c r="C847" s="3"/>
      <c r="H847" s="3"/>
      <c r="AG847" s="91"/>
    </row>
    <row r="848" ht="15.75" customHeight="1">
      <c r="C848" s="3"/>
      <c r="H848" s="3"/>
      <c r="AG848" s="91"/>
    </row>
    <row r="849" ht="15.75" customHeight="1">
      <c r="C849" s="3"/>
      <c r="H849" s="3"/>
      <c r="AG849" s="91"/>
    </row>
    <row r="850" ht="15.75" customHeight="1">
      <c r="C850" s="3"/>
      <c r="H850" s="3"/>
      <c r="AG850" s="91"/>
    </row>
    <row r="851" ht="15.75" customHeight="1">
      <c r="C851" s="3"/>
      <c r="H851" s="3"/>
      <c r="AG851" s="91"/>
    </row>
    <row r="852" ht="15.75" customHeight="1">
      <c r="C852" s="3"/>
      <c r="H852" s="3"/>
      <c r="AG852" s="91"/>
    </row>
    <row r="853" ht="15.75" customHeight="1">
      <c r="C853" s="3"/>
      <c r="H853" s="3"/>
      <c r="AG853" s="91"/>
    </row>
    <row r="854" ht="15.75" customHeight="1">
      <c r="C854" s="3"/>
      <c r="H854" s="3"/>
      <c r="AG854" s="91"/>
    </row>
    <row r="855" ht="15.75" customHeight="1">
      <c r="C855" s="3"/>
      <c r="H855" s="3"/>
      <c r="AG855" s="91"/>
    </row>
    <row r="856" ht="15.75" customHeight="1">
      <c r="C856" s="3"/>
      <c r="H856" s="3"/>
      <c r="AG856" s="91"/>
    </row>
    <row r="857" ht="15.75" customHeight="1">
      <c r="C857" s="3"/>
      <c r="H857" s="3"/>
      <c r="AG857" s="91"/>
    </row>
    <row r="858" ht="15.75" customHeight="1">
      <c r="C858" s="3"/>
      <c r="H858" s="3"/>
      <c r="AG858" s="91"/>
    </row>
    <row r="859" ht="15.75" customHeight="1">
      <c r="C859" s="3"/>
      <c r="H859" s="3"/>
      <c r="AG859" s="91"/>
    </row>
    <row r="860" ht="15.75" customHeight="1">
      <c r="C860" s="3"/>
      <c r="H860" s="3"/>
      <c r="AG860" s="91"/>
    </row>
    <row r="861" ht="15.75" customHeight="1">
      <c r="C861" s="3"/>
      <c r="H861" s="3"/>
      <c r="AG861" s="91"/>
    </row>
    <row r="862" ht="15.75" customHeight="1">
      <c r="C862" s="3"/>
      <c r="H862" s="3"/>
      <c r="AG862" s="91"/>
    </row>
    <row r="863" ht="15.75" customHeight="1">
      <c r="C863" s="3"/>
      <c r="H863" s="3"/>
      <c r="AG863" s="91"/>
    </row>
    <row r="864" ht="15.75" customHeight="1">
      <c r="C864" s="3"/>
      <c r="H864" s="3"/>
      <c r="AG864" s="91"/>
    </row>
    <row r="865" ht="15.75" customHeight="1">
      <c r="C865" s="3"/>
      <c r="H865" s="3"/>
      <c r="AG865" s="91"/>
    </row>
    <row r="866" ht="15.75" customHeight="1">
      <c r="C866" s="3"/>
      <c r="H866" s="3"/>
      <c r="AG866" s="91"/>
    </row>
    <row r="867" ht="15.75" customHeight="1">
      <c r="C867" s="3"/>
      <c r="H867" s="3"/>
      <c r="AG867" s="91"/>
    </row>
    <row r="868" ht="15.75" customHeight="1">
      <c r="C868" s="3"/>
      <c r="H868" s="3"/>
      <c r="AG868" s="91"/>
    </row>
    <row r="869" ht="15.75" customHeight="1">
      <c r="C869" s="3"/>
      <c r="H869" s="3"/>
      <c r="AG869" s="91"/>
    </row>
    <row r="870" ht="15.75" customHeight="1">
      <c r="C870" s="3"/>
      <c r="H870" s="3"/>
      <c r="AG870" s="91"/>
    </row>
    <row r="871" ht="15.75" customHeight="1">
      <c r="C871" s="3"/>
      <c r="H871" s="3"/>
      <c r="AG871" s="91"/>
    </row>
    <row r="872" ht="15.75" customHeight="1">
      <c r="C872" s="3"/>
      <c r="H872" s="3"/>
      <c r="AG872" s="91"/>
    </row>
    <row r="873" ht="15.75" customHeight="1">
      <c r="C873" s="3"/>
      <c r="H873" s="3"/>
      <c r="AG873" s="91"/>
    </row>
    <row r="874" ht="15.75" customHeight="1">
      <c r="C874" s="3"/>
      <c r="H874" s="3"/>
      <c r="AG874" s="91"/>
    </row>
    <row r="875" ht="15.75" customHeight="1">
      <c r="C875" s="3"/>
      <c r="H875" s="3"/>
      <c r="AG875" s="91"/>
    </row>
    <row r="876" ht="15.75" customHeight="1">
      <c r="C876" s="3"/>
      <c r="H876" s="3"/>
      <c r="AG876" s="91"/>
    </row>
    <row r="877" ht="15.75" customHeight="1">
      <c r="C877" s="3"/>
      <c r="H877" s="3"/>
      <c r="AG877" s="91"/>
    </row>
    <row r="878" ht="15.75" customHeight="1">
      <c r="C878" s="3"/>
      <c r="H878" s="3"/>
      <c r="AG878" s="91"/>
    </row>
    <row r="879" ht="15.75" customHeight="1">
      <c r="C879" s="3"/>
      <c r="H879" s="3"/>
      <c r="AG879" s="91"/>
    </row>
    <row r="880" ht="15.75" customHeight="1">
      <c r="C880" s="3"/>
      <c r="H880" s="3"/>
      <c r="AG880" s="91"/>
    </row>
    <row r="881" ht="15.75" customHeight="1">
      <c r="C881" s="3"/>
      <c r="H881" s="3"/>
      <c r="AG881" s="91"/>
    </row>
    <row r="882" ht="15.75" customHeight="1">
      <c r="C882" s="3"/>
      <c r="H882" s="3"/>
      <c r="AG882" s="91"/>
    </row>
    <row r="883" ht="15.75" customHeight="1">
      <c r="C883" s="3"/>
      <c r="H883" s="3"/>
      <c r="AG883" s="91"/>
    </row>
    <row r="884" ht="15.75" customHeight="1">
      <c r="C884" s="3"/>
      <c r="H884" s="3"/>
      <c r="AG884" s="91"/>
    </row>
    <row r="885" ht="15.75" customHeight="1">
      <c r="C885" s="3"/>
      <c r="H885" s="3"/>
      <c r="AG885" s="91"/>
    </row>
    <row r="886" ht="15.75" customHeight="1">
      <c r="C886" s="3"/>
      <c r="H886" s="3"/>
      <c r="AG886" s="91"/>
    </row>
    <row r="887" ht="15.75" customHeight="1">
      <c r="C887" s="3"/>
      <c r="H887" s="3"/>
      <c r="AG887" s="91"/>
    </row>
    <row r="888" ht="15.75" customHeight="1">
      <c r="C888" s="3"/>
      <c r="H888" s="3"/>
      <c r="AG888" s="91"/>
    </row>
    <row r="889" ht="15.75" customHeight="1">
      <c r="C889" s="3"/>
      <c r="H889" s="3"/>
      <c r="AG889" s="91"/>
    </row>
    <row r="890" ht="15.75" customHeight="1">
      <c r="C890" s="3"/>
      <c r="H890" s="3"/>
      <c r="AG890" s="91"/>
    </row>
    <row r="891" ht="15.75" customHeight="1">
      <c r="C891" s="3"/>
      <c r="H891" s="3"/>
      <c r="AG891" s="91"/>
    </row>
    <row r="892" ht="15.75" customHeight="1">
      <c r="C892" s="3"/>
      <c r="H892" s="3"/>
      <c r="AG892" s="91"/>
    </row>
    <row r="893" ht="15.75" customHeight="1">
      <c r="C893" s="3"/>
      <c r="H893" s="3"/>
      <c r="AG893" s="91"/>
    </row>
    <row r="894" ht="15.75" customHeight="1">
      <c r="C894" s="3"/>
      <c r="H894" s="3"/>
      <c r="AG894" s="91"/>
    </row>
    <row r="895" ht="15.75" customHeight="1">
      <c r="C895" s="3"/>
      <c r="H895" s="3"/>
      <c r="AG895" s="91"/>
    </row>
    <row r="896" ht="15.75" customHeight="1">
      <c r="C896" s="3"/>
      <c r="H896" s="3"/>
      <c r="AG896" s="91"/>
    </row>
    <row r="897" ht="15.75" customHeight="1">
      <c r="C897" s="3"/>
      <c r="H897" s="3"/>
      <c r="AG897" s="91"/>
    </row>
    <row r="898" ht="15.75" customHeight="1">
      <c r="C898" s="3"/>
      <c r="H898" s="3"/>
      <c r="AG898" s="91"/>
    </row>
    <row r="899" ht="15.75" customHeight="1">
      <c r="C899" s="3"/>
      <c r="H899" s="3"/>
      <c r="AG899" s="91"/>
    </row>
    <row r="900" ht="15.75" customHeight="1">
      <c r="C900" s="3"/>
      <c r="H900" s="3"/>
      <c r="AG900" s="91"/>
    </row>
    <row r="901" ht="15.75" customHeight="1">
      <c r="C901" s="3"/>
      <c r="H901" s="3"/>
      <c r="AG901" s="91"/>
    </row>
    <row r="902" ht="15.75" customHeight="1">
      <c r="C902" s="3"/>
      <c r="H902" s="3"/>
      <c r="AG902" s="91"/>
    </row>
    <row r="903" ht="15.75" customHeight="1">
      <c r="C903" s="3"/>
      <c r="H903" s="3"/>
      <c r="AG903" s="91"/>
    </row>
    <row r="904" ht="15.75" customHeight="1">
      <c r="C904" s="3"/>
      <c r="H904" s="3"/>
      <c r="AG904" s="91"/>
    </row>
    <row r="905" ht="15.75" customHeight="1">
      <c r="C905" s="3"/>
      <c r="H905" s="3"/>
      <c r="AG905" s="91"/>
    </row>
    <row r="906" ht="15.75" customHeight="1">
      <c r="C906" s="3"/>
      <c r="H906" s="3"/>
      <c r="AG906" s="91"/>
    </row>
    <row r="907" ht="15.75" customHeight="1">
      <c r="C907" s="3"/>
      <c r="H907" s="3"/>
      <c r="AG907" s="91"/>
    </row>
    <row r="908" ht="15.75" customHeight="1">
      <c r="C908" s="3"/>
      <c r="H908" s="3"/>
      <c r="AG908" s="91"/>
    </row>
    <row r="909" ht="15.75" customHeight="1">
      <c r="C909" s="3"/>
      <c r="H909" s="3"/>
      <c r="AG909" s="91"/>
    </row>
    <row r="910" ht="15.75" customHeight="1">
      <c r="C910" s="3"/>
      <c r="H910" s="3"/>
      <c r="AG910" s="91"/>
    </row>
    <row r="911" ht="15.75" customHeight="1">
      <c r="C911" s="3"/>
      <c r="H911" s="3"/>
      <c r="AG911" s="91"/>
    </row>
    <row r="912" ht="15.75" customHeight="1">
      <c r="C912" s="3"/>
      <c r="H912" s="3"/>
      <c r="AG912" s="91"/>
    </row>
    <row r="913" ht="15.75" customHeight="1">
      <c r="C913" s="3"/>
      <c r="H913" s="3"/>
      <c r="AG913" s="91"/>
    </row>
    <row r="914" ht="15.75" customHeight="1">
      <c r="C914" s="3"/>
      <c r="H914" s="3"/>
      <c r="AG914" s="91"/>
    </row>
    <row r="915" ht="15.75" customHeight="1">
      <c r="C915" s="3"/>
      <c r="H915" s="3"/>
      <c r="AG915" s="91"/>
    </row>
    <row r="916" ht="15.75" customHeight="1">
      <c r="C916" s="3"/>
      <c r="H916" s="3"/>
      <c r="AG916" s="91"/>
    </row>
    <row r="917" ht="15.75" customHeight="1">
      <c r="C917" s="3"/>
      <c r="H917" s="3"/>
      <c r="AG917" s="91"/>
    </row>
    <row r="918" ht="15.75" customHeight="1">
      <c r="C918" s="3"/>
      <c r="H918" s="3"/>
      <c r="AG918" s="91"/>
    </row>
    <row r="919" ht="15.75" customHeight="1">
      <c r="C919" s="3"/>
      <c r="H919" s="3"/>
      <c r="AG919" s="91"/>
    </row>
    <row r="920" ht="15.75" customHeight="1">
      <c r="C920" s="3"/>
      <c r="H920" s="3"/>
      <c r="AG920" s="91"/>
    </row>
    <row r="921" ht="15.75" customHeight="1">
      <c r="C921" s="3"/>
      <c r="H921" s="3"/>
      <c r="AG921" s="91"/>
    </row>
    <row r="922" ht="15.75" customHeight="1">
      <c r="C922" s="3"/>
      <c r="H922" s="3"/>
      <c r="AG922" s="91"/>
    </row>
    <row r="923" ht="15.75" customHeight="1">
      <c r="C923" s="3"/>
      <c r="H923" s="3"/>
      <c r="AG923" s="91"/>
    </row>
    <row r="924" ht="15.75" customHeight="1">
      <c r="C924" s="3"/>
      <c r="H924" s="3"/>
      <c r="AG924" s="91"/>
    </row>
    <row r="925" ht="15.75" customHeight="1">
      <c r="C925" s="3"/>
      <c r="H925" s="3"/>
      <c r="AG925" s="91"/>
    </row>
    <row r="926" ht="15.75" customHeight="1">
      <c r="C926" s="3"/>
      <c r="H926" s="3"/>
      <c r="AG926" s="91"/>
    </row>
    <row r="927" ht="15.75" customHeight="1">
      <c r="C927" s="3"/>
      <c r="H927" s="3"/>
      <c r="AG927" s="91"/>
    </row>
    <row r="928" ht="15.75" customHeight="1">
      <c r="C928" s="3"/>
      <c r="H928" s="3"/>
      <c r="AG928" s="91"/>
    </row>
    <row r="929" ht="15.75" customHeight="1">
      <c r="C929" s="3"/>
      <c r="H929" s="3"/>
      <c r="AG929" s="91"/>
    </row>
    <row r="930" ht="15.75" customHeight="1">
      <c r="C930" s="3"/>
      <c r="H930" s="3"/>
      <c r="AG930" s="91"/>
    </row>
    <row r="931" ht="15.75" customHeight="1">
      <c r="C931" s="3"/>
      <c r="H931" s="3"/>
      <c r="AG931" s="91"/>
    </row>
    <row r="932" ht="15.75" customHeight="1">
      <c r="C932" s="3"/>
      <c r="H932" s="3"/>
      <c r="AG932" s="91"/>
    </row>
    <row r="933" ht="15.75" customHeight="1">
      <c r="C933" s="3"/>
      <c r="H933" s="3"/>
      <c r="AG933" s="91"/>
    </row>
    <row r="934" ht="15.75" customHeight="1">
      <c r="C934" s="3"/>
      <c r="H934" s="3"/>
      <c r="AG934" s="91"/>
    </row>
    <row r="935" ht="15.75" customHeight="1">
      <c r="C935" s="3"/>
      <c r="H935" s="3"/>
      <c r="AG935" s="91"/>
    </row>
    <row r="936" ht="15.75" customHeight="1">
      <c r="C936" s="3"/>
      <c r="H936" s="3"/>
      <c r="AG936" s="91"/>
    </row>
    <row r="937" ht="15.75" customHeight="1">
      <c r="C937" s="3"/>
      <c r="H937" s="3"/>
      <c r="AG937" s="91"/>
    </row>
    <row r="938" ht="15.75" customHeight="1">
      <c r="C938" s="3"/>
      <c r="H938" s="3"/>
      <c r="AG938" s="91"/>
    </row>
    <row r="939" ht="15.75" customHeight="1">
      <c r="C939" s="3"/>
      <c r="H939" s="3"/>
      <c r="AG939" s="91"/>
    </row>
    <row r="940" ht="15.75" customHeight="1">
      <c r="C940" s="3"/>
      <c r="H940" s="3"/>
      <c r="AG940" s="91"/>
    </row>
    <row r="941" ht="15.75" customHeight="1">
      <c r="C941" s="3"/>
      <c r="H941" s="3"/>
      <c r="AG941" s="91"/>
    </row>
    <row r="942" ht="15.75" customHeight="1">
      <c r="C942" s="3"/>
      <c r="H942" s="3"/>
      <c r="AG942" s="91"/>
    </row>
    <row r="943" ht="15.75" customHeight="1">
      <c r="C943" s="3"/>
      <c r="H943" s="3"/>
      <c r="AG943" s="91"/>
    </row>
    <row r="944" ht="15.75" customHeight="1">
      <c r="C944" s="3"/>
      <c r="H944" s="3"/>
      <c r="AG944" s="91"/>
    </row>
    <row r="945" ht="15.75" customHeight="1">
      <c r="C945" s="3"/>
      <c r="H945" s="3"/>
      <c r="AG945" s="91"/>
    </row>
    <row r="946" ht="15.75" customHeight="1">
      <c r="C946" s="3"/>
      <c r="H946" s="3"/>
      <c r="AG946" s="91"/>
    </row>
    <row r="947" ht="15.75" customHeight="1">
      <c r="C947" s="3"/>
      <c r="H947" s="3"/>
      <c r="AG947" s="91"/>
    </row>
    <row r="948" ht="15.75" customHeight="1">
      <c r="C948" s="3"/>
      <c r="H948" s="3"/>
      <c r="AG948" s="91"/>
    </row>
    <row r="949" ht="15.75" customHeight="1">
      <c r="C949" s="3"/>
      <c r="H949" s="3"/>
      <c r="AG949" s="91"/>
    </row>
    <row r="950" ht="15.75" customHeight="1">
      <c r="C950" s="3"/>
      <c r="H950" s="3"/>
      <c r="AG950" s="91"/>
    </row>
    <row r="951" ht="15.75" customHeight="1">
      <c r="C951" s="3"/>
      <c r="H951" s="3"/>
      <c r="AG951" s="91"/>
    </row>
    <row r="952" ht="15.75" customHeight="1">
      <c r="C952" s="3"/>
      <c r="H952" s="3"/>
      <c r="AG952" s="91"/>
    </row>
    <row r="953" ht="15.75" customHeight="1">
      <c r="C953" s="3"/>
      <c r="H953" s="3"/>
      <c r="AG953" s="91"/>
    </row>
    <row r="954" ht="15.75" customHeight="1">
      <c r="C954" s="3"/>
      <c r="H954" s="3"/>
      <c r="AG954" s="91"/>
    </row>
    <row r="955" ht="15.75" customHeight="1">
      <c r="C955" s="3"/>
      <c r="H955" s="3"/>
      <c r="AG955" s="91"/>
    </row>
    <row r="956" ht="15.75" customHeight="1">
      <c r="C956" s="3"/>
      <c r="H956" s="3"/>
      <c r="AG956" s="91"/>
    </row>
    <row r="957" ht="15.75" customHeight="1">
      <c r="C957" s="3"/>
      <c r="H957" s="3"/>
      <c r="AG957" s="91"/>
    </row>
    <row r="958" ht="15.75" customHeight="1">
      <c r="C958" s="3"/>
      <c r="H958" s="3"/>
      <c r="AG958" s="91"/>
    </row>
    <row r="959" ht="15.75" customHeight="1">
      <c r="C959" s="3"/>
      <c r="H959" s="3"/>
      <c r="AG959" s="91"/>
    </row>
    <row r="960" ht="15.75" customHeight="1">
      <c r="C960" s="3"/>
      <c r="H960" s="3"/>
      <c r="AG960" s="91"/>
    </row>
    <row r="961" ht="15.75" customHeight="1">
      <c r="C961" s="3"/>
      <c r="H961" s="3"/>
      <c r="AG961" s="91"/>
    </row>
    <row r="962" ht="15.75" customHeight="1">
      <c r="C962" s="3"/>
      <c r="H962" s="3"/>
      <c r="AG962" s="91"/>
    </row>
    <row r="963" ht="15.75" customHeight="1">
      <c r="C963" s="3"/>
      <c r="H963" s="3"/>
      <c r="AG963" s="91"/>
    </row>
    <row r="964" ht="15.75" customHeight="1">
      <c r="C964" s="3"/>
      <c r="H964" s="3"/>
      <c r="AG964" s="91"/>
    </row>
    <row r="965" ht="15.75" customHeight="1">
      <c r="C965" s="3"/>
      <c r="H965" s="3"/>
      <c r="AG965" s="91"/>
    </row>
    <row r="966" ht="15.75" customHeight="1">
      <c r="C966" s="3"/>
      <c r="H966" s="3"/>
      <c r="AG966" s="91"/>
    </row>
    <row r="967" ht="15.75" customHeight="1">
      <c r="C967" s="3"/>
      <c r="H967" s="3"/>
      <c r="AG967" s="91"/>
    </row>
    <row r="968" ht="15.75" customHeight="1">
      <c r="C968" s="3"/>
      <c r="H968" s="3"/>
      <c r="AG968" s="91"/>
    </row>
    <row r="969" ht="15.75" customHeight="1">
      <c r="C969" s="3"/>
      <c r="H969" s="3"/>
      <c r="AG969" s="91"/>
    </row>
    <row r="970" ht="15.75" customHeight="1">
      <c r="C970" s="3"/>
      <c r="H970" s="3"/>
      <c r="AG970" s="91"/>
    </row>
    <row r="971" ht="15.75" customHeight="1">
      <c r="C971" s="3"/>
      <c r="H971" s="3"/>
      <c r="AG971" s="91"/>
    </row>
    <row r="972" ht="15.75" customHeight="1">
      <c r="C972" s="3"/>
      <c r="H972" s="3"/>
      <c r="AG972" s="91"/>
    </row>
    <row r="973" ht="15.75" customHeight="1">
      <c r="C973" s="3"/>
      <c r="H973" s="3"/>
      <c r="AG973" s="91"/>
    </row>
    <row r="974" ht="15.75" customHeight="1">
      <c r="C974" s="3"/>
      <c r="H974" s="3"/>
      <c r="AG974" s="91"/>
    </row>
    <row r="975" ht="15.75" customHeight="1">
      <c r="C975" s="3"/>
      <c r="H975" s="3"/>
      <c r="AG975" s="91"/>
    </row>
    <row r="976" ht="15.75" customHeight="1">
      <c r="C976" s="3"/>
      <c r="H976" s="3"/>
      <c r="AG976" s="91"/>
    </row>
    <row r="977" ht="15.75" customHeight="1">
      <c r="C977" s="3"/>
      <c r="H977" s="3"/>
      <c r="AG977" s="91"/>
    </row>
    <row r="978" ht="15.75" customHeight="1">
      <c r="C978" s="3"/>
      <c r="H978" s="3"/>
      <c r="AG978" s="91"/>
    </row>
    <row r="979" ht="15.75" customHeight="1">
      <c r="C979" s="3"/>
      <c r="H979" s="3"/>
      <c r="AG979" s="91"/>
    </row>
    <row r="980" ht="15.75" customHeight="1">
      <c r="C980" s="3"/>
      <c r="H980" s="3"/>
      <c r="AG980" s="91"/>
    </row>
    <row r="981" ht="15.75" customHeight="1">
      <c r="C981" s="3"/>
      <c r="H981" s="3"/>
      <c r="AG981" s="91"/>
    </row>
    <row r="982" ht="15.75" customHeight="1">
      <c r="C982" s="3"/>
      <c r="H982" s="3"/>
      <c r="AG982" s="91"/>
    </row>
    <row r="983" ht="15.75" customHeight="1">
      <c r="C983" s="3"/>
      <c r="H983" s="3"/>
      <c r="AG983" s="91"/>
    </row>
    <row r="984" ht="15.75" customHeight="1">
      <c r="C984" s="3"/>
      <c r="H984" s="3"/>
      <c r="AG984" s="91"/>
    </row>
    <row r="985" ht="15.75" customHeight="1">
      <c r="C985" s="3"/>
      <c r="H985" s="3"/>
      <c r="AG985" s="91"/>
    </row>
    <row r="986" ht="15.75" customHeight="1">
      <c r="C986" s="3"/>
      <c r="H986" s="3"/>
      <c r="AG986" s="91"/>
    </row>
    <row r="987" ht="15.75" customHeight="1">
      <c r="C987" s="3"/>
      <c r="H987" s="3"/>
      <c r="AG987" s="91"/>
    </row>
    <row r="988" ht="15.75" customHeight="1">
      <c r="C988" s="3"/>
      <c r="H988" s="3"/>
      <c r="AG988" s="91"/>
    </row>
    <row r="989" ht="15.75" customHeight="1">
      <c r="C989" s="3"/>
      <c r="H989" s="3"/>
      <c r="AG989" s="91"/>
    </row>
    <row r="990" ht="15.75" customHeight="1">
      <c r="C990" s="3"/>
      <c r="H990" s="3"/>
      <c r="AG990" s="91"/>
    </row>
    <row r="991" ht="15.75" customHeight="1">
      <c r="C991" s="3"/>
      <c r="H991" s="3"/>
      <c r="AG991" s="91"/>
    </row>
    <row r="992" ht="15.75" customHeight="1">
      <c r="C992" s="3"/>
      <c r="H992" s="3"/>
      <c r="AG992" s="91"/>
    </row>
    <row r="993" ht="15.75" customHeight="1">
      <c r="C993" s="3"/>
      <c r="H993" s="3"/>
      <c r="AG993" s="91"/>
    </row>
    <row r="994" ht="15.75" customHeight="1">
      <c r="C994" s="3"/>
      <c r="H994" s="3"/>
      <c r="AG994" s="91"/>
    </row>
    <row r="995" ht="15.75" customHeight="1">
      <c r="C995" s="3"/>
      <c r="H995" s="3"/>
      <c r="AG995" s="91"/>
    </row>
    <row r="996" ht="15.75" customHeight="1">
      <c r="C996" s="3"/>
      <c r="H996" s="3"/>
      <c r="AG996" s="91"/>
    </row>
    <row r="997" ht="15.75" customHeight="1">
      <c r="C997" s="3"/>
      <c r="H997" s="3"/>
      <c r="AG997" s="91"/>
    </row>
    <row r="998" ht="15.75" customHeight="1">
      <c r="C998" s="3"/>
      <c r="H998" s="3"/>
      <c r="AG998" s="91"/>
    </row>
    <row r="999" ht="15.75" customHeight="1">
      <c r="C999" s="3"/>
      <c r="H999" s="3"/>
      <c r="AG999" s="91"/>
    </row>
    <row r="1000" ht="15.75" customHeight="1">
      <c r="C1000" s="3"/>
      <c r="H1000" s="3"/>
      <c r="AG1000" s="91"/>
    </row>
  </sheetData>
  <autoFilter ref="$A$3:$AO$104"/>
  <mergeCells count="2">
    <mergeCell ref="AV6:BD6"/>
    <mergeCell ref="AV21:BA21"/>
  </mergeCells>
  <printOptions/>
  <pageMargins bottom="0.75" footer="0.0" header="0.0" left="0.7" right="0.7" top="0.75"/>
  <pageSetup fitToHeight="0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43"/>
    <col customWidth="1" min="3" max="3" width="11.71"/>
    <col customWidth="1" min="4" max="4" width="42.57"/>
    <col customWidth="1" min="5" max="5" width="13.14"/>
    <col customWidth="1" min="6" max="6" width="17.29"/>
    <col customWidth="1" min="7" max="7" width="11.71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C1" s="3"/>
      <c r="D1" s="97" t="s">
        <v>540</v>
      </c>
      <c r="E1" s="98">
        <f>+AI3</f>
        <v>5431.243</v>
      </c>
      <c r="F1" s="97" t="s">
        <v>241</v>
      </c>
      <c r="G1" s="98">
        <f>+$AM3</f>
        <v>463262.1422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65"/>
      <c r="C2" s="3"/>
      <c r="D2" s="97" t="s">
        <v>242</v>
      </c>
      <c r="E2" s="98">
        <f>+AH3</f>
        <v>4955.718</v>
      </c>
      <c r="F2" s="99" t="s">
        <v>243</v>
      </c>
      <c r="G2" s="100">
        <f>+Q2</f>
        <v>91.80646456</v>
      </c>
      <c r="H2" s="13"/>
      <c r="I2" s="184">
        <f>SUBTOTAL(9,I4:I1569)</f>
        <v>552.74</v>
      </c>
      <c r="J2" s="4"/>
      <c r="K2" s="14">
        <f>SUBTOTAL(9,K4:K1569)</f>
        <v>530.517</v>
      </c>
      <c r="L2" s="126">
        <f>+SUMPRODUCT(L5:L1569,K5:K1569)/K2</f>
        <v>0.2986008384</v>
      </c>
      <c r="M2" s="2"/>
      <c r="P2" s="16">
        <f>+SUMPRODUCT(P4:P1569,AH4:AH1569)/SUM(AH4:AH1569)</f>
        <v>86.87405982</v>
      </c>
      <c r="Q2" s="16">
        <f>+SUMPRODUCT(Q4:Q1569,AH4:AH1569)/SUM(AH4:AH1569)</f>
        <v>91.80646456</v>
      </c>
      <c r="R2" s="12">
        <f>+SUMPRODUCT(R4:R1569,AH4:AH1569)/SUM(AH4:AH1569)</f>
        <v>3955.002992</v>
      </c>
      <c r="S2" s="2"/>
      <c r="AB2" s="7"/>
      <c r="AC2" s="7"/>
      <c r="AD2" s="7"/>
      <c r="AE2" s="7"/>
      <c r="AF2" s="7"/>
      <c r="AG2" s="17">
        <f>SUMPRODUCT($AG4:$AG1569,$K4:$K1569)/SUM($K4:$K1569)</f>
        <v>164.9469638</v>
      </c>
      <c r="AH2" s="18"/>
      <c r="AI2" s="2"/>
      <c r="AJ2" s="19">
        <v>3950.0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2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SUBTOTAL(9,AH4:AH1569)</f>
        <v>4955.718</v>
      </c>
      <c r="AI3" s="186">
        <f t="shared" si="1"/>
        <v>5431.243</v>
      </c>
      <c r="AJ3" s="187">
        <f>SUMPRODUCT(K4:K1569,AJ4:AJ1569)/K2</f>
        <v>32.39418399</v>
      </c>
      <c r="AK3" s="39">
        <f>SUBTOTAL(9,AK4:AK1569)</f>
        <v>4510.249492</v>
      </c>
      <c r="AL3" s="11"/>
      <c r="AM3" s="39">
        <f>SUBTOTAL(9,AM4:AM1569)</f>
        <v>463262.1422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2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</row>
    <row r="5" ht="15.0" customHeight="1">
      <c r="A5" s="192" t="s">
        <v>1514</v>
      </c>
      <c r="B5" s="441"/>
      <c r="C5" s="182">
        <v>45890.0</v>
      </c>
      <c r="D5" s="57" t="s">
        <v>1515</v>
      </c>
      <c r="E5" s="57">
        <f t="array" ref="E5">XLOOKUP(D5,RUC!$B$3:$B$110,RUC!$D$3:$D$110)</f>
        <v>20609542722</v>
      </c>
      <c r="G5" s="141" t="s">
        <v>46</v>
      </c>
      <c r="H5" s="3" t="s">
        <v>47</v>
      </c>
      <c r="I5" s="6">
        <v>41.65</v>
      </c>
      <c r="J5" s="58">
        <v>3.0</v>
      </c>
      <c r="K5" s="59">
        <f t="shared" ref="K5:K24" si="2">ROUND(+I5-(I5*(J5/100)),3)</f>
        <v>40.401</v>
      </c>
      <c r="L5" s="3">
        <v>0.079</v>
      </c>
      <c r="M5" s="3">
        <v>0.064</v>
      </c>
      <c r="N5" s="62">
        <v>0.064</v>
      </c>
      <c r="O5" s="60">
        <f t="shared" ref="O5:O24" si="3">+ROUND((M5+N5)/2,3)</f>
        <v>0.064</v>
      </c>
      <c r="P5" s="63">
        <v>77.0</v>
      </c>
      <c r="Q5" s="58">
        <v>77.5</v>
      </c>
      <c r="R5" s="65">
        <v>3338.3</v>
      </c>
      <c r="S5" s="133">
        <v>100.0</v>
      </c>
      <c r="U5" s="67">
        <f t="array" ref="U5">XLOOKUP(D5,RUC!$B$3:$B$110,RUC!$F$3:$F$110)</f>
        <v>90</v>
      </c>
      <c r="V5" s="67">
        <v>1.1023</v>
      </c>
      <c r="Y5" s="57" t="str">
        <f t="array" ref="Y5">XLOOKUP(D5,RUC!$B$3:$B$110,RUC!$G$3:$G$110)</f>
        <v/>
      </c>
      <c r="Z5" s="69">
        <f t="array" ref="Z5">XLOOKUP(D5,RUC!$B$3:$B$110,RUC!$H$3:$H$110)</f>
        <v>25</v>
      </c>
      <c r="AA5" s="70">
        <f t="shared" ref="AA5:AA24" si="4">+Y5+Z5</f>
        <v>25</v>
      </c>
      <c r="AB5" s="71">
        <v>0.001</v>
      </c>
      <c r="AC5" s="71">
        <f>+(S5-T5)*V5-'data 1'!$F$4</f>
        <v>30.23</v>
      </c>
      <c r="AD5" s="71">
        <f t="shared" ref="AD5:AD93" si="5">+(Q5-P5)*(R5-U5)*L5*V5/100</f>
        <v>1.414337431</v>
      </c>
      <c r="AE5" s="71">
        <f t="shared" ref="AE5:AE93" si="6">+(Y5*V5-70)+V5*(Z5-IF(D5="UNTUCA",IF(+((W5-3)*2.5+(X5-3)*3.1)&gt;0,+((W5-3)*1.5+(X5-3)*3.1),0),IF(+((W5-3)*1.5+(X5-3)*3.1)&gt;0,+((W5-3)*1.5+(X5-3)*3.1),0)))</f>
        <v>-42.4425</v>
      </c>
      <c r="AF5" s="71">
        <f t="shared" ref="AF5:AF93" si="7">(L5-O5)*(R5-U5)*Q5*V5/100</f>
        <v>41.62448767</v>
      </c>
      <c r="AG5" s="72">
        <f>AC5+AD5+AE5+AF5+70-53+68.46</f>
        <v>116.2863251</v>
      </c>
      <c r="AH5" s="193">
        <f t="shared" ref="AH5:AH93" si="8">ROUND((31.1035*L5*Q5*1.1023*K5/100),3)</f>
        <v>84.807</v>
      </c>
      <c r="AI5" s="193">
        <f t="shared" ref="AI5:AI93" si="9">ROUND((31.1035*L5*1.1023*K5),3)</f>
        <v>109.428</v>
      </c>
      <c r="AJ5" s="73">
        <f t="shared" ref="AJ5:AJ93" si="10">+((+$AJ$2-R5+U5)*L5*Q5*V5)/100</f>
        <v>47.35655239</v>
      </c>
      <c r="AK5" s="73">
        <f t="shared" ref="AK5:AK93" si="11">31.1035*1.1023*K5*P5*O5/100</f>
        <v>68.26088008</v>
      </c>
      <c r="AL5" s="11"/>
      <c r="AM5" s="51">
        <f t="shared" ref="AM5:AM93" si="12">+IF(AB5*K5&gt;0,AB5*K5,0)</f>
        <v>0.040401</v>
      </c>
      <c r="AN5" s="51" t="str">
        <f t="array" ref="AN5">XLOOKUP(D5,RUC!$B$3:$B$565,RUC!$M$3:$M$565)</f>
        <v>Yuri Rospigliossi</v>
      </c>
      <c r="AO5" s="131" t="s">
        <v>549</v>
      </c>
      <c r="AP5" s="57" t="s">
        <v>1516</v>
      </c>
      <c r="AQ5" s="2" t="s">
        <v>1517</v>
      </c>
      <c r="AW5" s="149" t="s">
        <v>1518</v>
      </c>
      <c r="AX5" s="150"/>
      <c r="AY5" s="150"/>
      <c r="AZ5" s="150"/>
      <c r="BA5" s="150"/>
      <c r="BB5" s="150"/>
      <c r="BC5" s="150"/>
      <c r="BD5" s="150"/>
      <c r="BE5" s="151"/>
    </row>
    <row r="6" ht="15.0" customHeight="1">
      <c r="A6" s="116" t="s">
        <v>1519</v>
      </c>
      <c r="B6" s="56">
        <v>45923.0</v>
      </c>
      <c r="C6" s="182">
        <v>45911.0</v>
      </c>
      <c r="D6" s="57" t="s">
        <v>602</v>
      </c>
      <c r="E6" s="3">
        <f t="array" ref="E6">XLOOKUP(D6,RUC!$B$3:$B$110,RUC!$D$3:$D$110)</f>
        <v>20169040231</v>
      </c>
      <c r="G6" s="141">
        <v>57.0</v>
      </c>
      <c r="H6" s="3" t="s">
        <v>47</v>
      </c>
      <c r="I6" s="6">
        <v>6.21</v>
      </c>
      <c r="J6" s="58">
        <v>2.5</v>
      </c>
      <c r="K6" s="6">
        <f t="shared" si="2"/>
        <v>6.055</v>
      </c>
      <c r="L6" s="3">
        <v>0.348</v>
      </c>
      <c r="M6" s="3">
        <v>0.331</v>
      </c>
      <c r="N6" s="427">
        <v>0.331</v>
      </c>
      <c r="O6" s="60">
        <f t="shared" si="3"/>
        <v>0.331</v>
      </c>
      <c r="P6" s="63">
        <v>80.0</v>
      </c>
      <c r="Q6" s="58">
        <v>79.6</v>
      </c>
      <c r="R6" s="65">
        <v>3629.55</v>
      </c>
      <c r="S6" s="66">
        <f t="array" ref="S6">IF((XLOOKUP(D6,RUC!$B$3:$B$106,RUC!$E$3:$E$106)+ROUNDDOWN(O6,1)*100)&lt;95,95,((XLOOKUP(D6,RUC!$B$3:$B$106,RUC!$E$3:$E$106)+ROUNDDOWN(O6,1)*100)))</f>
        <v>115</v>
      </c>
      <c r="U6" s="67">
        <f t="array" ref="U6">XLOOKUP(D6,RUC!$B$3:$B$110,RUC!$F$3:$F$110)</f>
        <v>120</v>
      </c>
      <c r="V6" s="67">
        <v>1.1023</v>
      </c>
      <c r="Y6" s="199">
        <v>30.0</v>
      </c>
      <c r="Z6" s="140">
        <v>35.0</v>
      </c>
      <c r="AA6" s="70">
        <f t="shared" si="4"/>
        <v>65</v>
      </c>
      <c r="AB6" s="71">
        <f>+((O6*P6*(R6-U6)/100)-S6-AA6+T6)*V6</f>
        <v>825.9851803</v>
      </c>
      <c r="AC6" s="71">
        <f>+(S6-T6)*V6-'data 1'!$F$4</f>
        <v>46.7645</v>
      </c>
      <c r="AD6" s="71">
        <f t="shared" si="5"/>
        <v>-5.385059135</v>
      </c>
      <c r="AE6" s="71">
        <f t="shared" si="6"/>
        <v>1.6495</v>
      </c>
      <c r="AF6" s="71">
        <f t="shared" si="7"/>
        <v>52.34958349</v>
      </c>
      <c r="AG6" s="72">
        <f>AC6+AD6+AE6+AF6+70-53</f>
        <v>112.3785244</v>
      </c>
      <c r="AH6" s="193">
        <f t="shared" si="8"/>
        <v>57.506</v>
      </c>
      <c r="AI6" s="193">
        <f t="shared" si="9"/>
        <v>72.244</v>
      </c>
      <c r="AJ6" s="73">
        <f t="shared" si="10"/>
        <v>134.4896098</v>
      </c>
      <c r="AK6" s="73">
        <f t="shared" si="11"/>
        <v>54.97195693</v>
      </c>
      <c r="AL6" s="11"/>
      <c r="AM6" s="51">
        <f t="shared" si="12"/>
        <v>5001.340267</v>
      </c>
      <c r="AN6" s="51" t="str">
        <f t="array" ref="AN6">XLOOKUP(D6,RUC!$B$3:$B$565,RUC!$M$3:$M$565)</f>
        <v>Ronald Miranda</v>
      </c>
      <c r="AO6" s="131" t="s">
        <v>558</v>
      </c>
      <c r="AP6" s="57" t="s">
        <v>1371</v>
      </c>
      <c r="AQ6" s="57" t="s">
        <v>1372</v>
      </c>
      <c r="AX6" s="195">
        <f>SUM(AX8:AX17)</f>
        <v>530.517</v>
      </c>
      <c r="AY6" s="196">
        <f>SUMPRODUCT(AX8:AX17,AY8:AY17)/SUM(AX8:AX17)</f>
        <v>0.2986008384</v>
      </c>
      <c r="AZ6" s="197"/>
      <c r="BA6" s="198">
        <f>SUMPRODUCT(BA8:BA17,$BC8:$BC17)/SUM($BC8:$BC17)/100</f>
        <v>0.9180646456</v>
      </c>
      <c r="BB6" s="82">
        <f t="shared" ref="BB6:BC6" si="13">SUM(BB8:BB17)</f>
        <v>5431.24504</v>
      </c>
      <c r="BC6" s="82">
        <f t="shared" si="13"/>
        <v>4955.718</v>
      </c>
    </row>
    <row r="7" ht="15.0" customHeight="1">
      <c r="A7" s="192" t="s">
        <v>1520</v>
      </c>
      <c r="B7" s="441">
        <v>45923.0</v>
      </c>
      <c r="C7" s="182">
        <v>45918.0</v>
      </c>
      <c r="D7" s="57" t="s">
        <v>74</v>
      </c>
      <c r="E7" s="3">
        <f t="array" ref="E7">XLOOKUP(D7,RUC!$B$3:$B$110,RUC!$D$3:$D$110)</f>
        <v>10082235774</v>
      </c>
      <c r="G7" s="141">
        <v>70.0</v>
      </c>
      <c r="H7" s="3" t="s">
        <v>47</v>
      </c>
      <c r="I7" s="6">
        <v>7.01</v>
      </c>
      <c r="J7" s="58">
        <v>1.05</v>
      </c>
      <c r="K7" s="6">
        <f t="shared" si="2"/>
        <v>6.936</v>
      </c>
      <c r="L7" s="3">
        <v>0.079</v>
      </c>
      <c r="M7" s="3">
        <v>0.072</v>
      </c>
      <c r="N7" s="427">
        <v>0.072</v>
      </c>
      <c r="O7" s="60">
        <f t="shared" si="3"/>
        <v>0.072</v>
      </c>
      <c r="P7" s="63">
        <v>85.0</v>
      </c>
      <c r="Q7" s="58">
        <v>96.2</v>
      </c>
      <c r="R7" s="65">
        <v>3643.7</v>
      </c>
      <c r="S7" s="133">
        <v>95.0</v>
      </c>
      <c r="U7" s="67">
        <f t="array" ref="U7">XLOOKUP(D7,RUC!$B$3:$B$110,RUC!$F$3:$F$110)</f>
        <v>80</v>
      </c>
      <c r="V7" s="67">
        <v>1.1023</v>
      </c>
      <c r="Y7" s="57" t="str">
        <f t="array" ref="Y7">XLOOKUP(D7,RUC!$B$3:$B$110,RUC!$G$3:$G$110)</f>
        <v/>
      </c>
      <c r="Z7" s="69">
        <f t="array" ref="Z7">XLOOKUP(D7,RUC!$B$3:$B$110,RUC!$H$3:$H$110)</f>
        <v>10</v>
      </c>
      <c r="AA7" s="70">
        <f t="shared" si="4"/>
        <v>10</v>
      </c>
      <c r="AB7" s="71">
        <v>0.001</v>
      </c>
      <c r="AC7" s="71">
        <f>+(S7-T7)*V7-'data 1'!$F$4</f>
        <v>24.7185</v>
      </c>
      <c r="AD7" s="71">
        <f t="shared" si="5"/>
        <v>34.75730208</v>
      </c>
      <c r="AE7" s="71">
        <f t="shared" si="6"/>
        <v>-58.977</v>
      </c>
      <c r="AF7" s="71">
        <f t="shared" si="7"/>
        <v>26.45294668</v>
      </c>
      <c r="AG7" s="72">
        <f>AC7+AD7+AE7+AF7+70+124.67</f>
        <v>221.6217488</v>
      </c>
      <c r="AH7" s="193">
        <f t="shared" si="8"/>
        <v>18.073</v>
      </c>
      <c r="AI7" s="193">
        <f t="shared" si="9"/>
        <v>18.786</v>
      </c>
      <c r="AJ7" s="73">
        <f t="shared" si="10"/>
        <v>32.3613536</v>
      </c>
      <c r="AK7" s="73">
        <f t="shared" si="11"/>
        <v>14.55357123</v>
      </c>
      <c r="AL7" s="11"/>
      <c r="AM7" s="51">
        <f t="shared" si="12"/>
        <v>0.006936</v>
      </c>
      <c r="AN7" s="51" t="str">
        <f t="array" ref="AN7">XLOOKUP(D7,RUC!$B$3:$B$565,RUC!$M$3:$M$565)</f>
        <v>Melchor Vera</v>
      </c>
      <c r="AO7" s="131" t="s">
        <v>547</v>
      </c>
      <c r="AP7" s="57" t="s">
        <v>1333</v>
      </c>
      <c r="AQ7" s="57" t="s">
        <v>1334</v>
      </c>
      <c r="AW7" s="3"/>
      <c r="AX7" s="3" t="s">
        <v>14</v>
      </c>
      <c r="AY7" s="3" t="s">
        <v>683</v>
      </c>
      <c r="AZ7" s="143" t="s">
        <v>683</v>
      </c>
      <c r="BA7" s="3" t="s">
        <v>685</v>
      </c>
      <c r="BB7" s="3" t="s">
        <v>686</v>
      </c>
      <c r="BC7" s="3" t="s">
        <v>687</v>
      </c>
      <c r="BD7" s="3" t="s">
        <v>698</v>
      </c>
      <c r="BE7" s="65" t="s">
        <v>699</v>
      </c>
    </row>
    <row r="8" ht="15.0" customHeight="1">
      <c r="A8" s="116" t="s">
        <v>1521</v>
      </c>
      <c r="B8" s="56">
        <v>45929.0</v>
      </c>
      <c r="C8" s="182">
        <v>45918.0</v>
      </c>
      <c r="D8" s="57" t="s">
        <v>665</v>
      </c>
      <c r="E8" s="3">
        <f t="array" ref="E8">XLOOKUP(D8,RUC!$B$3:$B$110,RUC!$D$3:$D$110)</f>
        <v>20608774000</v>
      </c>
      <c r="G8" s="141">
        <v>5.0</v>
      </c>
      <c r="H8" s="3" t="s">
        <v>40</v>
      </c>
      <c r="I8" s="6">
        <v>0.38</v>
      </c>
      <c r="J8" s="58">
        <v>5.85</v>
      </c>
      <c r="K8" s="6">
        <f t="shared" si="2"/>
        <v>0.358</v>
      </c>
      <c r="L8" s="3">
        <v>2.418</v>
      </c>
      <c r="M8" s="3">
        <v>2.297</v>
      </c>
      <c r="N8" s="131">
        <v>2.342</v>
      </c>
      <c r="O8" s="60">
        <f t="shared" si="3"/>
        <v>2.32</v>
      </c>
      <c r="P8" s="63">
        <v>83.0</v>
      </c>
      <c r="Q8" s="58">
        <v>83.04</v>
      </c>
      <c r="R8" s="65">
        <v>3643.7</v>
      </c>
      <c r="S8" s="66">
        <f t="array" ref="S8">IF((XLOOKUP(D8,RUC!$B$3:$B$106,RUC!$E$3:$E$106)+ROUNDDOWN(O8,1)*100)&lt;95,95,((XLOOKUP(D8,RUC!$B$3:$B$106,RUC!$E$3:$E$106)+ROUNDDOWN(O8,1)*100)))</f>
        <v>315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69">
        <f t="array" ref="Z8">XLOOKUP(D8,RUC!$B$3:$B$110,RUC!$H$3:$H$110)</f>
        <v>30</v>
      </c>
      <c r="AA8" s="70">
        <f t="shared" si="4"/>
        <v>50</v>
      </c>
      <c r="AB8" s="71">
        <f t="shared" ref="AB8:AB15" si="14">+((O8*P8*(R8-U8)/100)-S8-AA8+T8)*V8</f>
        <v>7077.026936</v>
      </c>
      <c r="AC8" s="71">
        <f>+(S8-T8)*V8-'data 1'!$F$4</f>
        <v>267.2245</v>
      </c>
      <c r="AD8" s="71">
        <f t="shared" si="5"/>
        <v>3.756773586</v>
      </c>
      <c r="AE8" s="71">
        <f t="shared" si="6"/>
        <v>-14.885</v>
      </c>
      <c r="AF8" s="71">
        <f t="shared" si="7"/>
        <v>316.0910143</v>
      </c>
      <c r="AG8" s="72">
        <f>AC8+AD8+AE8+AF8+70-53</f>
        <v>589.1872879</v>
      </c>
      <c r="AH8" s="193">
        <f t="shared" si="8"/>
        <v>24.645</v>
      </c>
      <c r="AI8" s="193">
        <f t="shared" si="9"/>
        <v>29.679</v>
      </c>
      <c r="AJ8" s="73">
        <f t="shared" si="10"/>
        <v>943.5366562</v>
      </c>
      <c r="AK8" s="73">
        <f t="shared" si="11"/>
        <v>23.63513968</v>
      </c>
      <c r="AL8" s="11"/>
      <c r="AM8" s="51">
        <f t="shared" si="12"/>
        <v>2533.575643</v>
      </c>
      <c r="AN8" s="51" t="str">
        <f t="array" ref="AN8">XLOOKUP(D8,RUC!$B$3:$B$565,RUC!$M$3:$M$565)</f>
        <v>Ronald Miranda</v>
      </c>
      <c r="AO8" s="131" t="s">
        <v>561</v>
      </c>
      <c r="AP8" s="57" t="s">
        <v>1389</v>
      </c>
      <c r="AQ8" s="57" t="s">
        <v>1390</v>
      </c>
      <c r="AW8" s="152" t="s">
        <v>558</v>
      </c>
      <c r="AX8" s="154">
        <f t="shared" ref="AX8:AX17" si="15">SUMIF($AO$4:$AO$1677,AW8,$K$4:$K$1677)</f>
        <v>106.301</v>
      </c>
      <c r="AY8" s="154">
        <f t="array" ref="AY8">+SUMPRODUCT(IF($AO$4:$AO$1677=AW8,$L$4:$L$1677*$K$4:$K$1677/AX8))</f>
        <v>0.3036504737</v>
      </c>
      <c r="AZ8" s="155">
        <f t="shared" ref="AZ8:AZ17" si="16">31.1035*1.1023*AY8*(100-BA8)/100</f>
        <v>0.8754446511</v>
      </c>
      <c r="BA8" s="157">
        <f t="array" ref="BA8">+SUMPRODUCT(IF($AO$4:$AO$1677=AW8,($Q$4:$Q$1677*$AH$4:$AH$1677)/SUMIF($AO$4:$AO$1677,$AW8,$AH$4:$AH$1677)))</f>
        <v>91.59097466</v>
      </c>
      <c r="BB8" s="200">
        <f t="shared" ref="BB8:BB17" si="17">+AY8*31.1035*1.1023*AX8</f>
        <v>1106.675721</v>
      </c>
      <c r="BC8" s="156">
        <f t="shared" ref="BC8:BC17" si="18">SUMIF($AO$4:$AO$777,$AW8,$AH$4:$AH$777)</f>
        <v>1009.443</v>
      </c>
      <c r="BD8" s="157">
        <f>+BB8-BC8</f>
        <v>97.23272108</v>
      </c>
      <c r="BE8" s="158">
        <f>+AX8</f>
        <v>106.301</v>
      </c>
    </row>
    <row r="9" ht="15.0" customHeight="1">
      <c r="A9" s="116" t="s">
        <v>1522</v>
      </c>
      <c r="B9" s="56">
        <v>45927.0</v>
      </c>
      <c r="C9" s="182">
        <v>45919.0</v>
      </c>
      <c r="D9" s="57" t="s">
        <v>306</v>
      </c>
      <c r="E9" s="3">
        <f t="array" ref="E9">XLOOKUP(D9,RUC!$B$3:$B$110,RUC!$D$3:$D$110)</f>
        <v>20612921866</v>
      </c>
      <c r="G9" s="141">
        <v>50.0</v>
      </c>
      <c r="H9" s="3" t="s">
        <v>47</v>
      </c>
      <c r="I9" s="6">
        <v>5.21</v>
      </c>
      <c r="J9" s="58">
        <v>1.2</v>
      </c>
      <c r="K9" s="6">
        <f t="shared" si="2"/>
        <v>5.147</v>
      </c>
      <c r="L9" s="60">
        <v>0.812</v>
      </c>
      <c r="M9" s="3">
        <v>0.771</v>
      </c>
      <c r="N9" s="427">
        <v>0.771</v>
      </c>
      <c r="O9" s="60">
        <f t="shared" si="3"/>
        <v>0.771</v>
      </c>
      <c r="P9" s="63">
        <v>90.0</v>
      </c>
      <c r="Q9" s="58">
        <v>95.32</v>
      </c>
      <c r="R9" s="65">
        <v>3663.15</v>
      </c>
      <c r="S9" s="66">
        <f t="array" ref="S9">IF((XLOOKUP(D9,RUC!$B$3:$B$106,RUC!$E$3:$E$106)+ROUNDDOWN(O9,1)*100)&lt;95,95,((XLOOKUP(D9,RUC!$B$3:$B$106,RUC!$E$3:$E$106)+ROUNDDOWN(O9,1)*100)))</f>
        <v>150</v>
      </c>
      <c r="U9" s="67">
        <f t="array" ref="U9">XLOOKUP(D9,RUC!$B$3:$B$110,RUC!$F$3:$F$110)</f>
        <v>100</v>
      </c>
      <c r="V9" s="67">
        <v>1.1023</v>
      </c>
      <c r="Y9" s="57" t="str">
        <f t="array" ref="Y9">XLOOKUP(D9,RUC!$B$3:$B$110,RUC!$G$3:$G$110)</f>
        <v/>
      </c>
      <c r="Z9" s="69">
        <f t="array" ref="Z9">XLOOKUP(D9,RUC!$B$3:$B$110,RUC!$H$3:$H$110)</f>
        <v>30</v>
      </c>
      <c r="AA9" s="70">
        <f t="shared" si="4"/>
        <v>30</v>
      </c>
      <c r="AB9" s="71">
        <f t="shared" si="14"/>
        <v>2526.989444</v>
      </c>
      <c r="AC9" s="71">
        <f>+(S9-T9)*V9-'data 1'!$F$4</f>
        <v>85.345</v>
      </c>
      <c r="AD9" s="71">
        <f t="shared" si="5"/>
        <v>169.6686383</v>
      </c>
      <c r="AE9" s="71">
        <f t="shared" si="6"/>
        <v>-36.931</v>
      </c>
      <c r="AF9" s="71">
        <f t="shared" si="7"/>
        <v>153.4976756</v>
      </c>
      <c r="AG9" s="72">
        <f>AC9+AD9+AE9+AF9+70-10</f>
        <v>431.5803139</v>
      </c>
      <c r="AH9" s="193">
        <f t="shared" si="8"/>
        <v>136.585</v>
      </c>
      <c r="AI9" s="193">
        <f t="shared" si="9"/>
        <v>143.291</v>
      </c>
      <c r="AJ9" s="73">
        <f t="shared" si="10"/>
        <v>330.0520781</v>
      </c>
      <c r="AK9" s="73">
        <f t="shared" si="11"/>
        <v>122.4503766</v>
      </c>
      <c r="AL9" s="11"/>
      <c r="AM9" s="51">
        <f t="shared" si="12"/>
        <v>13006.41467</v>
      </c>
      <c r="AN9" s="51" t="str">
        <f t="array" ref="AN9">XLOOKUP(D9,RUC!$B$3:$B$565,RUC!$M$3:$M$565)</f>
        <v>Ronald Garibay</v>
      </c>
      <c r="AO9" s="131" t="s">
        <v>547</v>
      </c>
      <c r="AP9" s="57" t="s">
        <v>1392</v>
      </c>
      <c r="AQ9" s="57" t="s">
        <v>1393</v>
      </c>
      <c r="AW9" s="160" t="s">
        <v>551</v>
      </c>
      <c r="AX9" s="6">
        <f t="shared" si="15"/>
        <v>103.645</v>
      </c>
      <c r="AY9" s="6">
        <f t="array" ref="AY9">+SUMPRODUCT(IF($AO$4:$AO$1677=AW9,$L$4:$L$1677*$K$4:$K$1677/AX9))</f>
        <v>0.2982558541</v>
      </c>
      <c r="AZ9" s="145">
        <f t="shared" si="16"/>
        <v>0.6155692374</v>
      </c>
      <c r="BA9" s="58">
        <f t="array" ref="BA9">+SUMPRODUCT(IF($AO$4:$AO$1677=AW9,($Q$4:$Q$1677*$AH$4:$AH$1677)/SUMIF($AO$4:$AO$1677,$AW9,$AH$4:$AH$1677)))</f>
        <v>93.98024436</v>
      </c>
      <c r="BB9" s="5">
        <f t="shared" si="17"/>
        <v>1059.854875</v>
      </c>
      <c r="BC9" s="65">
        <f t="shared" si="18"/>
        <v>993.449</v>
      </c>
      <c r="BD9" s="58">
        <f t="shared" ref="BD9:BD17" si="19">+BD8+BB9-BC9</f>
        <v>163.6385962</v>
      </c>
      <c r="BE9" s="161">
        <f t="shared" ref="BE9:BE17" si="20">+BE8+AX9</f>
        <v>209.946</v>
      </c>
    </row>
    <row r="10" ht="15.0" customHeight="1">
      <c r="A10" s="116" t="s">
        <v>1523</v>
      </c>
      <c r="B10" s="56">
        <v>45933.0</v>
      </c>
      <c r="C10" s="182">
        <v>45920.0</v>
      </c>
      <c r="D10" s="57" t="s">
        <v>602</v>
      </c>
      <c r="E10" s="3">
        <f t="array" ref="E10">XLOOKUP(D10,RUC!$B$3:$B$110,RUC!$D$3:$D$110)</f>
        <v>20169040231</v>
      </c>
      <c r="G10" s="141">
        <v>100.0</v>
      </c>
      <c r="H10" s="3" t="s">
        <v>47</v>
      </c>
      <c r="I10" s="6">
        <v>10.03</v>
      </c>
      <c r="J10" s="58">
        <v>1.3</v>
      </c>
      <c r="K10" s="6">
        <f t="shared" si="2"/>
        <v>9.9</v>
      </c>
      <c r="L10" s="60">
        <v>0.221</v>
      </c>
      <c r="M10" s="3">
        <v>0.206</v>
      </c>
      <c r="N10" s="75">
        <v>0.26</v>
      </c>
      <c r="O10" s="60">
        <f t="shared" si="3"/>
        <v>0.233</v>
      </c>
      <c r="P10" s="63">
        <v>85.0</v>
      </c>
      <c r="Q10" s="58">
        <v>85.4</v>
      </c>
      <c r="R10" s="65">
        <v>3663.15</v>
      </c>
      <c r="S10" s="66">
        <f t="array" ref="S10">IF((XLOOKUP(D10,RUC!$B$3:$B$106,RUC!$E$3:$E$106)+ROUNDDOWN(O10,1)*100)&lt;95,95,((XLOOKUP(D10,RUC!$B$3:$B$106,RUC!$E$3:$E$106)+ROUNDDOWN(O10,1)*100)))</f>
        <v>105</v>
      </c>
      <c r="U10" s="67">
        <f t="array" ref="U10">XLOOKUP(D10,RUC!$B$3:$B$110,RUC!$F$3:$F$110)</f>
        <v>120</v>
      </c>
      <c r="V10" s="67">
        <v>1.1023</v>
      </c>
      <c r="Y10" s="199">
        <v>30.0</v>
      </c>
      <c r="Z10" s="69">
        <f t="array" ref="Z10">XLOOKUP(D10,RUC!$B$3:$B$110,RUC!$H$3:$H$110)</f>
        <v>30</v>
      </c>
      <c r="AA10" s="70">
        <f t="shared" si="4"/>
        <v>60</v>
      </c>
      <c r="AB10" s="71">
        <f t="shared" si="14"/>
        <v>591.6274012</v>
      </c>
      <c r="AC10" s="71">
        <f>+(S10-T10)*V10-'data 1'!$F$4</f>
        <v>35.7415</v>
      </c>
      <c r="AD10" s="71">
        <f t="shared" si="5"/>
        <v>3.452562993</v>
      </c>
      <c r="AE10" s="71">
        <f t="shared" si="6"/>
        <v>-3.862</v>
      </c>
      <c r="AF10" s="71">
        <f t="shared" si="7"/>
        <v>-40.02473478</v>
      </c>
      <c r="AG10" s="72">
        <f t="shared" ref="AG10:AG15" si="21">AC10+AD10+AE10+AF10+70-53</f>
        <v>12.30732821</v>
      </c>
      <c r="AH10" s="193">
        <f t="shared" si="8"/>
        <v>64.061</v>
      </c>
      <c r="AI10" s="193">
        <f t="shared" si="9"/>
        <v>75.013</v>
      </c>
      <c r="AJ10" s="73">
        <f t="shared" si="10"/>
        <v>84.64167947</v>
      </c>
      <c r="AK10" s="73">
        <f t="shared" si="11"/>
        <v>67.22318892</v>
      </c>
      <c r="AL10" s="11"/>
      <c r="AM10" s="51">
        <f t="shared" si="12"/>
        <v>5857.111272</v>
      </c>
      <c r="AN10" s="51" t="str">
        <f t="array" ref="AN10">XLOOKUP(D10,RUC!$B$3:$B$565,RUC!$M$3:$M$565)</f>
        <v>Ronald Miranda</v>
      </c>
      <c r="AO10" s="131" t="s">
        <v>551</v>
      </c>
      <c r="AP10" s="57" t="s">
        <v>1412</v>
      </c>
      <c r="AQ10" s="57" t="s">
        <v>1413</v>
      </c>
      <c r="AW10" s="160" t="s">
        <v>547</v>
      </c>
      <c r="AX10" s="6">
        <f t="shared" si="15"/>
        <v>109.559</v>
      </c>
      <c r="AY10" s="6">
        <f t="array" ref="AY10">+SUMPRODUCT(IF($AO$4:$AO$1677=AW10,$L$4:$L$1677*$K$4:$K$1677/AX10))</f>
        <v>0.2925415073</v>
      </c>
      <c r="AZ10" s="145">
        <f t="shared" si="16"/>
        <v>0.5758054489</v>
      </c>
      <c r="BA10" s="58">
        <f t="array" ref="BA10">+SUMPRODUCT(IF($AO$4:$AO$1677=AW10,($Q$4:$Q$1677*$AH$4:$AH$1677)/SUMIF($AO$4:$AO$1677,$AW10,$AH$4:$AH$1677)))</f>
        <v>94.25911025</v>
      </c>
      <c r="BB10" s="65">
        <f t="shared" si="17"/>
        <v>1098.865715</v>
      </c>
      <c r="BC10" s="65">
        <f t="shared" si="18"/>
        <v>1032.98</v>
      </c>
      <c r="BD10" s="58">
        <f t="shared" si="19"/>
        <v>229.5243116</v>
      </c>
      <c r="BE10" s="161">
        <f t="shared" si="20"/>
        <v>319.505</v>
      </c>
    </row>
    <row r="11" ht="15.0" customHeight="1">
      <c r="A11" s="116" t="s">
        <v>1524</v>
      </c>
      <c r="B11" s="56">
        <v>45933.0</v>
      </c>
      <c r="C11" s="182">
        <v>45920.0</v>
      </c>
      <c r="D11" s="57" t="s">
        <v>602</v>
      </c>
      <c r="E11" s="3">
        <f t="array" ref="E11">XLOOKUP(D11,RUC!$B$3:$B$110,RUC!$D$3:$D$110)</f>
        <v>20169040231</v>
      </c>
      <c r="G11" s="141">
        <v>100.0</v>
      </c>
      <c r="H11" s="3" t="s">
        <v>47</v>
      </c>
      <c r="I11" s="6">
        <v>9.91</v>
      </c>
      <c r="J11" s="58">
        <v>1.1</v>
      </c>
      <c r="K11" s="6">
        <f t="shared" si="2"/>
        <v>9.801</v>
      </c>
      <c r="L11" s="60">
        <v>0.19</v>
      </c>
      <c r="M11" s="3">
        <v>0.175</v>
      </c>
      <c r="N11" s="131">
        <v>0.217</v>
      </c>
      <c r="O11" s="60">
        <f t="shared" si="3"/>
        <v>0.196</v>
      </c>
      <c r="P11" s="63">
        <v>90.0</v>
      </c>
      <c r="Q11" s="58">
        <v>97.73</v>
      </c>
      <c r="R11" s="65">
        <v>3663.15</v>
      </c>
      <c r="S11" s="66">
        <f t="array" ref="S11">IF((XLOOKUP(D11,RUC!$B$3:$B$106,RUC!$E$3:$E$106)+ROUNDDOWN(O11,1)*100)&lt;95,95,((XLOOKUP(D11,RUC!$B$3:$B$106,RUC!$E$3:$E$106)+ROUNDDOWN(O11,1)*100)))</f>
        <v>95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4"/>
        <v>50</v>
      </c>
      <c r="AB11" s="71">
        <f t="shared" si="14"/>
        <v>529.1168528</v>
      </c>
      <c r="AC11" s="71">
        <f>+(S11-T11)*V11-'data 1'!$F$4</f>
        <v>24.7185</v>
      </c>
      <c r="AD11" s="71">
        <f t="shared" si="5"/>
        <v>57.36175642</v>
      </c>
      <c r="AE11" s="71">
        <f t="shared" si="6"/>
        <v>-14.885</v>
      </c>
      <c r="AF11" s="71">
        <f t="shared" si="7"/>
        <v>-22.90174081</v>
      </c>
      <c r="AG11" s="72">
        <f t="shared" si="21"/>
        <v>61.29351561</v>
      </c>
      <c r="AH11" s="193">
        <f t="shared" si="8"/>
        <v>62.397</v>
      </c>
      <c r="AI11" s="193">
        <f t="shared" si="9"/>
        <v>63.846</v>
      </c>
      <c r="AJ11" s="73">
        <f t="shared" si="10"/>
        <v>83.27518908</v>
      </c>
      <c r="AK11" s="73">
        <f t="shared" si="11"/>
        <v>59.27588397</v>
      </c>
      <c r="AL11" s="11"/>
      <c r="AM11" s="51">
        <f t="shared" si="12"/>
        <v>5185.874274</v>
      </c>
      <c r="AN11" s="51" t="str">
        <f t="array" ref="AN11">XLOOKUP(D11,RUC!$B$3:$B$565,RUC!$M$3:$M$565)</f>
        <v>Ronald Miranda</v>
      </c>
      <c r="AO11" s="131" t="s">
        <v>558</v>
      </c>
      <c r="AP11" s="57" t="s">
        <v>1412</v>
      </c>
      <c r="AQ11" s="57" t="s">
        <v>1413</v>
      </c>
      <c r="AW11" s="160" t="s">
        <v>549</v>
      </c>
      <c r="AX11" s="6">
        <f t="shared" si="15"/>
        <v>108.399</v>
      </c>
      <c r="AY11" s="6">
        <f t="array" ref="AY11">+SUMPRODUCT(IF($AO$4:$AO$1677=AW11,$L$4:$L$1677*$K$4:$K$1677/AX11))</f>
        <v>0.3059808485</v>
      </c>
      <c r="AZ11" s="145">
        <f t="shared" si="16"/>
        <v>1.112289864</v>
      </c>
      <c r="BA11" s="58">
        <f t="array" ref="BA11">+SUMPRODUCT(IF($AO$4:$AO$1677=AW11,($Q$4:$Q$1677*$AH$4:$AH$1677)/SUMIF($AO$4:$AO$1677,$AW11,$AH$4:$AH$1677)))</f>
        <v>89.39734413</v>
      </c>
      <c r="BB11" s="65">
        <f t="shared" si="17"/>
        <v>1137.178368</v>
      </c>
      <c r="BC11" s="65">
        <f t="shared" si="18"/>
        <v>1007.49</v>
      </c>
      <c r="BD11" s="58">
        <f t="shared" si="19"/>
        <v>359.2126796</v>
      </c>
      <c r="BE11" s="161">
        <f t="shared" si="20"/>
        <v>427.904</v>
      </c>
    </row>
    <row r="12" ht="15.0" customHeight="1">
      <c r="A12" s="116" t="s">
        <v>1525</v>
      </c>
      <c r="B12" s="56">
        <v>45933.0</v>
      </c>
      <c r="C12" s="182">
        <v>45922.0</v>
      </c>
      <c r="D12" s="57" t="s">
        <v>602</v>
      </c>
      <c r="E12" s="3">
        <f t="array" ref="E12">XLOOKUP(D12,RUC!$B$3:$B$110,RUC!$D$3:$D$110)</f>
        <v>20169040231</v>
      </c>
      <c r="G12" s="141">
        <v>66.0</v>
      </c>
      <c r="H12" s="3" t="s">
        <v>47</v>
      </c>
      <c r="I12" s="6">
        <v>5.43</v>
      </c>
      <c r="J12" s="58">
        <v>1.1</v>
      </c>
      <c r="K12" s="6">
        <f t="shared" si="2"/>
        <v>5.37</v>
      </c>
      <c r="L12" s="60">
        <v>1.141</v>
      </c>
      <c r="M12" s="3">
        <v>1.093</v>
      </c>
      <c r="N12" s="62">
        <v>1.093</v>
      </c>
      <c r="O12" s="60">
        <f t="shared" si="3"/>
        <v>1.093</v>
      </c>
      <c r="P12" s="63">
        <v>90.0</v>
      </c>
      <c r="Q12" s="2">
        <v>90.53</v>
      </c>
      <c r="R12" s="65">
        <v>3719.7</v>
      </c>
      <c r="S12" s="66">
        <f t="array" ref="S12">IF((XLOOKUP(D12,RUC!$B$3:$B$106,RUC!$E$3:$E$106)+ROUNDDOWN(O12,1)*100)&lt;95,95,((XLOOKUP(D12,RUC!$B$3:$B$106,RUC!$E$3:$E$106)+ROUNDDOWN(O12,1)*100)))</f>
        <v>185</v>
      </c>
      <c r="U12" s="67">
        <f t="array" ref="U12">XLOOKUP(D12,RUC!$B$3:$B$110,RUC!$F$3:$F$110)</f>
        <v>120</v>
      </c>
      <c r="V12" s="67">
        <v>1.1023</v>
      </c>
      <c r="Y12" s="57">
        <f t="array" ref="Y12">XLOOKUP(D12,RUC!$B$3:$B$110,RUC!$G$3:$G$110)</f>
        <v>20</v>
      </c>
      <c r="Z12" s="140">
        <v>35.0</v>
      </c>
      <c r="AA12" s="70">
        <f t="shared" si="4"/>
        <v>55</v>
      </c>
      <c r="AB12" s="71">
        <f t="shared" si="14"/>
        <v>3638.719736</v>
      </c>
      <c r="AC12" s="71">
        <f>+(S12-T12)*V12-'data 1'!$F$4</f>
        <v>123.9255</v>
      </c>
      <c r="AD12" s="71">
        <f t="shared" si="5"/>
        <v>23.99537986</v>
      </c>
      <c r="AE12" s="71">
        <f t="shared" si="6"/>
        <v>-9.3735</v>
      </c>
      <c r="AF12" s="71">
        <f t="shared" si="7"/>
        <v>172.4248565</v>
      </c>
      <c r="AG12" s="72">
        <f t="shared" si="21"/>
        <v>327.9722364</v>
      </c>
      <c r="AH12" s="193">
        <f t="shared" si="8"/>
        <v>190.179</v>
      </c>
      <c r="AI12" s="193">
        <f t="shared" si="9"/>
        <v>210.072</v>
      </c>
      <c r="AJ12" s="73">
        <f t="shared" si="10"/>
        <v>398.8578184</v>
      </c>
      <c r="AK12" s="73">
        <f t="shared" si="11"/>
        <v>181.1114995</v>
      </c>
      <c r="AL12" s="11"/>
      <c r="AM12" s="51">
        <f t="shared" si="12"/>
        <v>19539.92498</v>
      </c>
      <c r="AN12" s="51" t="str">
        <f t="array" ref="AN12">XLOOKUP(D12,RUC!$B$3:$B$565,RUC!$M$3:$M$565)</f>
        <v>Ronald Miranda</v>
      </c>
      <c r="AO12" s="131" t="s">
        <v>549</v>
      </c>
      <c r="AP12" s="57" t="s">
        <v>1427</v>
      </c>
      <c r="AQ12" s="57" t="s">
        <v>1428</v>
      </c>
      <c r="AW12" s="160" t="s">
        <v>561</v>
      </c>
      <c r="AX12" s="6">
        <f t="shared" si="15"/>
        <v>102.613</v>
      </c>
      <c r="AY12" s="6">
        <f t="array" ref="AY12">+SUMPRODUCT(IF($AO$4:$AO$1677=AW12,$L$4:$L$1677*$K$4:$K$1677/AX12))</f>
        <v>0.2923915196</v>
      </c>
      <c r="AZ12" s="145">
        <f t="shared" si="16"/>
        <v>1.046453668</v>
      </c>
      <c r="BA12" s="58">
        <f t="array" ref="BA12">+SUMPRODUCT(IF($AO$4:$AO$1677=AW12,($Q$4:$Q$1677*$AH$4:$AH$1677)/SUMIF($AO$4:$AO$1677,$AW12,$AH$4:$AH$1677)))</f>
        <v>89.56130609</v>
      </c>
      <c r="BB12" s="65">
        <f t="shared" si="17"/>
        <v>1028.67036</v>
      </c>
      <c r="BC12" s="65">
        <f t="shared" si="18"/>
        <v>912.356</v>
      </c>
      <c r="BD12" s="58">
        <f t="shared" si="19"/>
        <v>475.5270401</v>
      </c>
      <c r="BE12" s="161">
        <f t="shared" si="20"/>
        <v>530.517</v>
      </c>
    </row>
    <row r="13" ht="15.0" customHeight="1">
      <c r="A13" s="116" t="s">
        <v>1526</v>
      </c>
      <c r="B13" s="56">
        <v>45933.0</v>
      </c>
      <c r="C13" s="182">
        <v>45922.0</v>
      </c>
      <c r="D13" s="57" t="s">
        <v>602</v>
      </c>
      <c r="E13" s="3">
        <f t="array" ref="E13">XLOOKUP(D13,RUC!$B$3:$B$110,RUC!$D$3:$D$110)</f>
        <v>20169040231</v>
      </c>
      <c r="G13" s="141">
        <v>66.0</v>
      </c>
      <c r="H13" s="3" t="s">
        <v>47</v>
      </c>
      <c r="I13" s="6">
        <v>5.31</v>
      </c>
      <c r="J13" s="58">
        <v>1.3</v>
      </c>
      <c r="K13" s="6">
        <f t="shared" si="2"/>
        <v>5.241</v>
      </c>
      <c r="L13" s="60">
        <v>0.811</v>
      </c>
      <c r="M13" s="60">
        <v>0.771</v>
      </c>
      <c r="N13" s="62">
        <v>0.771</v>
      </c>
      <c r="O13" s="60">
        <f t="shared" si="3"/>
        <v>0.771</v>
      </c>
      <c r="P13" s="63">
        <v>87.0</v>
      </c>
      <c r="Q13" s="2">
        <v>87.81</v>
      </c>
      <c r="R13" s="65">
        <v>3719.7</v>
      </c>
      <c r="S13" s="66">
        <f t="array" ref="S13">IF((XLOOKUP(D13,RUC!$B$3:$B$106,RUC!$E$3:$E$106)+ROUNDDOWN(O13,1)*100)&lt;95,95,((XLOOKUP(D13,RUC!$B$3:$B$106,RUC!$E$3:$E$106)+ROUNDDOWN(O13,1)*100)))</f>
        <v>155</v>
      </c>
      <c r="U13" s="67">
        <f t="array" ref="U13">XLOOKUP(D13,RUC!$B$3:$B$110,RUC!$F$3:$F$110)</f>
        <v>120</v>
      </c>
      <c r="V13" s="67">
        <v>1.1023</v>
      </c>
      <c r="Y13" s="57">
        <f t="array" ref="Y13">XLOOKUP(D13,RUC!$B$3:$B$110,RUC!$G$3:$G$110)</f>
        <v>20</v>
      </c>
      <c r="Z13" s="140">
        <v>35.0</v>
      </c>
      <c r="AA13" s="70">
        <f t="shared" si="4"/>
        <v>55</v>
      </c>
      <c r="AB13" s="71">
        <f t="shared" si="14"/>
        <v>2430.098359</v>
      </c>
      <c r="AC13" s="71">
        <f>+(S13-T13)*V13-'data 1'!$F$4</f>
        <v>90.8565</v>
      </c>
      <c r="AD13" s="71">
        <f t="shared" si="5"/>
        <v>26.06585581</v>
      </c>
      <c r="AE13" s="71">
        <f t="shared" si="6"/>
        <v>-9.3735</v>
      </c>
      <c r="AF13" s="71">
        <f t="shared" si="7"/>
        <v>139.3702516</v>
      </c>
      <c r="AG13" s="72">
        <f t="shared" si="21"/>
        <v>263.9191074</v>
      </c>
      <c r="AH13" s="193">
        <f t="shared" si="8"/>
        <v>127.964</v>
      </c>
      <c r="AI13" s="193">
        <f t="shared" si="9"/>
        <v>145.728</v>
      </c>
      <c r="AJ13" s="73">
        <f t="shared" si="10"/>
        <v>274.9823228</v>
      </c>
      <c r="AK13" s="73">
        <f t="shared" si="11"/>
        <v>120.5304727</v>
      </c>
      <c r="AL13" s="11"/>
      <c r="AM13" s="51">
        <f t="shared" si="12"/>
        <v>12736.1455</v>
      </c>
      <c r="AN13" s="51" t="str">
        <f t="array" ref="AN13">XLOOKUP(D13,RUC!$B$3:$B$565,RUC!$M$3:$M$565)</f>
        <v>Ronald Miranda</v>
      </c>
      <c r="AO13" s="131" t="s">
        <v>549</v>
      </c>
      <c r="AP13" s="57" t="s">
        <v>1427</v>
      </c>
      <c r="AQ13" s="57" t="s">
        <v>1428</v>
      </c>
      <c r="AW13" s="160" t="s">
        <v>689</v>
      </c>
      <c r="AX13" s="6">
        <f t="shared" si="15"/>
        <v>0</v>
      </c>
      <c r="AY13" s="6">
        <f t="array" ref="AY13">+SUMPRODUCT(IF($AO$4:$AO$1677=AW13,$L$4:$L$1677*$K$4:$K$1677/AX13))</f>
        <v>0</v>
      </c>
      <c r="AZ13" s="145">
        <f t="shared" si="16"/>
        <v>0</v>
      </c>
      <c r="BA13" s="58">
        <f t="array" ref="BA13">+SUMPRODUCT(IF('29'!$AO$4:$AO$1569=AW13,('29'!$Q$4:$Q$1569*'29'!$AH$4:$AH$1569)/SUMIF('29'!$AO$4:$AO$1569,#REF!,'29'!$AH$4:$AH$1569)))</f>
        <v>0</v>
      </c>
      <c r="BB13" s="65">
        <f t="shared" si="17"/>
        <v>0</v>
      </c>
      <c r="BC13" s="65">
        <f t="shared" si="18"/>
        <v>0</v>
      </c>
      <c r="BD13" s="58">
        <f t="shared" si="19"/>
        <v>475.5270401</v>
      </c>
      <c r="BE13" s="161">
        <f t="shared" si="20"/>
        <v>530.517</v>
      </c>
    </row>
    <row r="14" ht="15.0" customHeight="1">
      <c r="A14" s="116" t="s">
        <v>1527</v>
      </c>
      <c r="B14" s="56">
        <v>45933.0</v>
      </c>
      <c r="C14" s="182">
        <v>45923.0</v>
      </c>
      <c r="D14" s="57" t="s">
        <v>602</v>
      </c>
      <c r="E14" s="3">
        <f t="array" ref="E14">XLOOKUP(D14,RUC!$B$3:$B$110,RUC!$D$3:$D$110)</f>
        <v>20169040231</v>
      </c>
      <c r="G14" s="141">
        <v>100.0</v>
      </c>
      <c r="H14" s="3" t="s">
        <v>47</v>
      </c>
      <c r="I14" s="6">
        <v>9.37</v>
      </c>
      <c r="J14" s="58">
        <v>1.3</v>
      </c>
      <c r="K14" s="6">
        <f t="shared" si="2"/>
        <v>9.248</v>
      </c>
      <c r="L14" s="60">
        <v>0.176</v>
      </c>
      <c r="M14" s="60">
        <v>0.161</v>
      </c>
      <c r="N14" s="62">
        <v>0.161</v>
      </c>
      <c r="O14" s="60">
        <f t="shared" si="3"/>
        <v>0.161</v>
      </c>
      <c r="P14" s="63">
        <v>89.0</v>
      </c>
      <c r="Q14" s="58">
        <v>93.18</v>
      </c>
      <c r="R14" s="65">
        <v>3783.8</v>
      </c>
      <c r="S14" s="66">
        <f t="array" ref="S14">IF((XLOOKUP(D14,RUC!$B$3:$B$106,RUC!$E$3:$E$106)+ROUNDDOWN(O14,1)*100)&lt;95,95,((XLOOKUP(D14,RUC!$B$3:$B$106,RUC!$E$3:$E$106)+ROUNDDOWN(O14,1)*100)))</f>
        <v>95</v>
      </c>
      <c r="U14" s="67">
        <f t="array" ref="U14">XLOOKUP(D14,RUC!$B$3:$B$110,RUC!$F$3:$F$110)</f>
        <v>120</v>
      </c>
      <c r="V14" s="67">
        <v>1.1023</v>
      </c>
      <c r="Y14" s="57">
        <f t="array" ref="Y14">XLOOKUP(D14,RUC!$B$3:$B$110,RUC!$G$3:$G$110)</f>
        <v>20</v>
      </c>
      <c r="Z14" s="69">
        <f t="array" ref="Z14">XLOOKUP(D14,RUC!$B$3:$B$110,RUC!$H$3:$H$110)</f>
        <v>30</v>
      </c>
      <c r="AA14" s="70">
        <f t="shared" si="4"/>
        <v>50</v>
      </c>
      <c r="AB14" s="71">
        <f t="shared" si="14"/>
        <v>418.8584598</v>
      </c>
      <c r="AC14" s="71">
        <f>+(S14-T14)*V14-'data 1'!$F$4</f>
        <v>24.7185</v>
      </c>
      <c r="AD14" s="71">
        <f t="shared" si="5"/>
        <v>29.71122206</v>
      </c>
      <c r="AE14" s="71">
        <f t="shared" si="6"/>
        <v>-14.885</v>
      </c>
      <c r="AF14" s="71">
        <f t="shared" si="7"/>
        <v>56.4476064</v>
      </c>
      <c r="AG14" s="72">
        <f t="shared" si="21"/>
        <v>112.9923285</v>
      </c>
      <c r="AH14" s="193">
        <f t="shared" si="8"/>
        <v>51.999</v>
      </c>
      <c r="AI14" s="193">
        <f t="shared" si="9"/>
        <v>55.805</v>
      </c>
      <c r="AJ14" s="73">
        <f t="shared" si="10"/>
        <v>51.73742511</v>
      </c>
      <c r="AK14" s="73">
        <f t="shared" si="11"/>
        <v>45.43314209</v>
      </c>
      <c r="AL14" s="11"/>
      <c r="AM14" s="51">
        <f t="shared" si="12"/>
        <v>3873.603036</v>
      </c>
      <c r="AN14" s="51" t="str">
        <f t="array" ref="AN14">XLOOKUP(D14,RUC!$B$3:$B$565,RUC!$M$3:$M$565)</f>
        <v>Ronald Miranda</v>
      </c>
      <c r="AO14" s="131" t="s">
        <v>551</v>
      </c>
      <c r="AP14" s="57" t="s">
        <v>1435</v>
      </c>
      <c r="AQ14" s="57" t="s">
        <v>1436</v>
      </c>
      <c r="AW14" s="160" t="s">
        <v>690</v>
      </c>
      <c r="AX14" s="6">
        <f t="shared" si="15"/>
        <v>0</v>
      </c>
      <c r="AY14" s="6">
        <f t="array" ref="AY14">+SUMPRODUCT(IF($AO$4:$AO$1677=AW14,$L$4:$L$1677*$K$4:$K$1677/AX14))</f>
        <v>0</v>
      </c>
      <c r="AZ14" s="145">
        <f t="shared" si="16"/>
        <v>0</v>
      </c>
      <c r="BA14" s="58">
        <f t="array" ref="BA14">+SUMPRODUCT(IF('29'!$AO$4:$AO$1569=AW14,('29'!$Q$4:$Q$1569*'29'!$AH$4:$AH$1569)/SUMIF('29'!$AO$4:$AO$1569,#REF!,'29'!$AH$4:$AH$1569)))</f>
        <v>0</v>
      </c>
      <c r="BB14" s="65">
        <f t="shared" si="17"/>
        <v>0</v>
      </c>
      <c r="BC14" s="65">
        <f t="shared" si="18"/>
        <v>0</v>
      </c>
      <c r="BD14" s="58">
        <f t="shared" si="19"/>
        <v>475.5270401</v>
      </c>
      <c r="BE14" s="161">
        <f t="shared" si="20"/>
        <v>530.517</v>
      </c>
    </row>
    <row r="15" ht="15.0" customHeight="1">
      <c r="A15" s="116" t="s">
        <v>1528</v>
      </c>
      <c r="B15" s="56">
        <v>45931.0</v>
      </c>
      <c r="C15" s="182">
        <v>45923.0</v>
      </c>
      <c r="D15" s="57" t="s">
        <v>602</v>
      </c>
      <c r="E15" s="3">
        <f t="array" ref="E15">XLOOKUP(D15,RUC!$B$3:$B$110,RUC!$D$3:$D$110)</f>
        <v>20169040231</v>
      </c>
      <c r="G15" s="141">
        <v>51.0</v>
      </c>
      <c r="H15" s="3" t="s">
        <v>47</v>
      </c>
      <c r="I15" s="6">
        <v>5.16</v>
      </c>
      <c r="J15" s="58">
        <v>1.4</v>
      </c>
      <c r="K15" s="6">
        <f t="shared" si="2"/>
        <v>5.088</v>
      </c>
      <c r="L15" s="60">
        <v>0.605</v>
      </c>
      <c r="M15" s="60">
        <v>0.575</v>
      </c>
      <c r="N15" s="62">
        <v>0.575</v>
      </c>
      <c r="O15" s="60">
        <f t="shared" si="3"/>
        <v>0.575</v>
      </c>
      <c r="P15" s="63">
        <v>90.0</v>
      </c>
      <c r="Q15" s="58">
        <v>90.41</v>
      </c>
      <c r="R15" s="65">
        <v>3783.8</v>
      </c>
      <c r="S15" s="66">
        <f t="array" ref="S15">IF((XLOOKUP(D15,RUC!$B$3:$B$106,RUC!$E$3:$E$106)+ROUNDDOWN(O15,1)*100)&lt;95,95,((XLOOKUP(D15,RUC!$B$3:$B$106,RUC!$E$3:$E$106)+ROUNDDOWN(O15,1)*100)))</f>
        <v>135</v>
      </c>
      <c r="U15" s="199">
        <v>80.0</v>
      </c>
      <c r="V15" s="67">
        <v>1.1023</v>
      </c>
      <c r="Y15" s="57">
        <f t="array" ref="Y15">XLOOKUP(D15,RUC!$B$3:$B$110,RUC!$G$3:$G$110)</f>
        <v>20</v>
      </c>
      <c r="Z15" s="140">
        <v>35.0</v>
      </c>
      <c r="AA15" s="70">
        <f t="shared" si="4"/>
        <v>55</v>
      </c>
      <c r="AB15" s="71">
        <f t="shared" si="14"/>
        <v>1903.359598</v>
      </c>
      <c r="AC15" s="71">
        <f>+(S15-T15)*V15-'data 1'!$F$4</f>
        <v>68.8105</v>
      </c>
      <c r="AD15" s="71">
        <f t="shared" si="5"/>
        <v>10.12713422</v>
      </c>
      <c r="AE15" s="71">
        <f t="shared" si="6"/>
        <v>-9.3735</v>
      </c>
      <c r="AF15" s="71">
        <f t="shared" si="7"/>
        <v>110.7350379</v>
      </c>
      <c r="AG15" s="72">
        <f t="shared" si="21"/>
        <v>197.2991721</v>
      </c>
      <c r="AH15" s="193">
        <f t="shared" si="8"/>
        <v>95.417</v>
      </c>
      <c r="AI15" s="193">
        <f t="shared" si="9"/>
        <v>105.539</v>
      </c>
      <c r="AJ15" s="73">
        <f t="shared" si="10"/>
        <v>148.4429922</v>
      </c>
      <c r="AK15" s="73">
        <f t="shared" si="11"/>
        <v>90.27479815</v>
      </c>
      <c r="AL15" s="11"/>
      <c r="AM15" s="51">
        <f t="shared" si="12"/>
        <v>9684.293634</v>
      </c>
      <c r="AN15" s="51" t="str">
        <f t="array" ref="AN15">XLOOKUP(D15,RUC!$B$3:$B$565,RUC!$M$3:$M$565)</f>
        <v>Ronald Miranda</v>
      </c>
      <c r="AO15" s="131" t="s">
        <v>547</v>
      </c>
      <c r="AP15" s="57" t="s">
        <v>1435</v>
      </c>
      <c r="AQ15" s="57" t="s">
        <v>1436</v>
      </c>
      <c r="AR15" s="2" t="s">
        <v>1440</v>
      </c>
      <c r="AW15" s="160" t="s">
        <v>691</v>
      </c>
      <c r="AX15" s="6">
        <f t="shared" si="15"/>
        <v>0</v>
      </c>
      <c r="AY15" s="6">
        <f t="array" ref="AY15">+SUMPRODUCT(IF($AO$4:$AO$1677=AW15,$L$4:$L$1677*$K$4:$K$1677/AX15))</f>
        <v>0</v>
      </c>
      <c r="AZ15" s="145">
        <f t="shared" si="16"/>
        <v>0</v>
      </c>
      <c r="BA15" s="58">
        <f t="array" ref="BA15">+SUMPRODUCT(IF('29'!$AO$4:$AO$1569=AW15,('29'!$Q$4:$Q$1569*'29'!$AH$4:$AH$1569)/SUMIF('29'!$AO$4:$AO$1569,#REF!,'29'!$AH$4:$AH$1569)))</f>
        <v>0</v>
      </c>
      <c r="BB15" s="65">
        <f t="shared" si="17"/>
        <v>0</v>
      </c>
      <c r="BC15" s="65">
        <f t="shared" si="18"/>
        <v>0</v>
      </c>
      <c r="BD15" s="58">
        <f t="shared" si="19"/>
        <v>475.5270401</v>
      </c>
      <c r="BE15" s="161">
        <f t="shared" si="20"/>
        <v>530.517</v>
      </c>
    </row>
    <row r="16" ht="15.0" customHeight="1">
      <c r="A16" s="192" t="s">
        <v>1529</v>
      </c>
      <c r="B16" s="441">
        <v>45931.0</v>
      </c>
      <c r="C16" s="182">
        <v>45923.0</v>
      </c>
      <c r="D16" s="57" t="s">
        <v>665</v>
      </c>
      <c r="E16" s="3">
        <f t="array" ref="E16">XLOOKUP(D16,RUC!$B$3:$B$110,RUC!$D$3:$D$110)</f>
        <v>20608774000</v>
      </c>
      <c r="G16" s="141">
        <v>12.0</v>
      </c>
      <c r="H16" s="3" t="s">
        <v>47</v>
      </c>
      <c r="I16" s="6">
        <v>1.04</v>
      </c>
      <c r="J16" s="58">
        <v>4.3</v>
      </c>
      <c r="K16" s="6">
        <f t="shared" si="2"/>
        <v>0.995</v>
      </c>
      <c r="L16" s="60">
        <v>0.092</v>
      </c>
      <c r="M16" s="60">
        <v>0.086</v>
      </c>
      <c r="N16" s="62">
        <v>0.086</v>
      </c>
      <c r="O16" s="60">
        <f t="shared" si="3"/>
        <v>0.086</v>
      </c>
      <c r="P16" s="63">
        <v>79.0</v>
      </c>
      <c r="Q16" s="58">
        <v>79.21</v>
      </c>
      <c r="R16" s="65">
        <v>3783.8</v>
      </c>
      <c r="S16" s="66">
        <f t="array" ref="S16">IF((XLOOKUP(D16,RUC!$B$3:$B$106,RUC!$E$3:$E$106)+ROUNDDOWN(O16,1)*100)&lt;95,95,((XLOOKUP(D16,RUC!$B$3:$B$106,RUC!$E$3:$E$106)+ROUNDDOWN(O16,1)*100)))</f>
        <v>95</v>
      </c>
      <c r="U16" s="67">
        <f t="array" ref="U16">XLOOKUP(D16,RUC!$B$3:$B$110,RUC!$F$3:$F$110)</f>
        <v>120</v>
      </c>
      <c r="V16" s="67">
        <v>1.1023</v>
      </c>
      <c r="Y16" s="57">
        <f t="array" ref="Y16">XLOOKUP(D16,RUC!$B$3:$B$110,RUC!$G$3:$G$110)</f>
        <v>20</v>
      </c>
      <c r="Z16" s="140">
        <v>35.0</v>
      </c>
      <c r="AA16" s="70">
        <f t="shared" si="4"/>
        <v>55</v>
      </c>
      <c r="AB16" s="71">
        <v>0.001</v>
      </c>
      <c r="AC16" s="71">
        <f>+(S16-T16)*V16-'data 1'!$F$4</f>
        <v>24.7185</v>
      </c>
      <c r="AD16" s="71">
        <f t="shared" si="5"/>
        <v>0.7802588222</v>
      </c>
      <c r="AE16" s="71">
        <f t="shared" si="6"/>
        <v>-9.3735</v>
      </c>
      <c r="AF16" s="71">
        <f t="shared" si="7"/>
        <v>19.19388239</v>
      </c>
      <c r="AG16" s="72">
        <f>AC16+AD16+AE16+AF16+70-53+109.04</f>
        <v>161.3591412</v>
      </c>
      <c r="AH16" s="193">
        <f t="shared" si="8"/>
        <v>2.486</v>
      </c>
      <c r="AI16" s="193">
        <f t="shared" si="9"/>
        <v>3.138</v>
      </c>
      <c r="AJ16" s="73">
        <f t="shared" si="10"/>
        <v>22.98991034</v>
      </c>
      <c r="AK16" s="73">
        <f t="shared" si="11"/>
        <v>2.317702518</v>
      </c>
      <c r="AL16" s="11"/>
      <c r="AM16" s="51">
        <f t="shared" si="12"/>
        <v>0.000995</v>
      </c>
      <c r="AN16" s="51" t="str">
        <f t="array" ref="AN16">XLOOKUP(D16,RUC!$B$3:$B$565,RUC!$M$3:$M$565)</f>
        <v>Ronald Miranda</v>
      </c>
      <c r="AO16" s="131" t="s">
        <v>558</v>
      </c>
      <c r="AP16" s="57" t="s">
        <v>1438</v>
      </c>
      <c r="AQ16" s="57" t="s">
        <v>1439</v>
      </c>
      <c r="AW16" s="160" t="s">
        <v>692</v>
      </c>
      <c r="AX16" s="6">
        <f t="shared" si="15"/>
        <v>0</v>
      </c>
      <c r="AY16" s="6">
        <f t="array" ref="AY16">+SUMPRODUCT(IF($AO$4:$AO$1677=AW16,$L$4:$L$1677*$K$4:$K$1677/AX16))</f>
        <v>0</v>
      </c>
      <c r="AZ16" s="145">
        <f t="shared" si="16"/>
        <v>0</v>
      </c>
      <c r="BA16" s="58">
        <f t="array" ref="BA16">+SUMPRODUCT(IF('29'!$AO$4:$AO$1569=AW16,('29'!$Q$4:$Q$1569*'29'!$AH$4:$AH$1569)/SUMIF('29'!$AO$4:$AO$1569,#REF!,'29'!$AH$4:$AH$1569)))</f>
        <v>0</v>
      </c>
      <c r="BB16" s="65">
        <f t="shared" si="17"/>
        <v>0</v>
      </c>
      <c r="BC16" s="65">
        <f t="shared" si="18"/>
        <v>0</v>
      </c>
      <c r="BD16" s="58">
        <f t="shared" si="19"/>
        <v>475.5270401</v>
      </c>
      <c r="BE16" s="161">
        <f t="shared" si="20"/>
        <v>530.517</v>
      </c>
    </row>
    <row r="17" ht="15.0" customHeight="1">
      <c r="A17" s="116" t="s">
        <v>1530</v>
      </c>
      <c r="B17" s="56">
        <v>45936.0</v>
      </c>
      <c r="C17" s="182">
        <v>45923.0</v>
      </c>
      <c r="D17" s="57" t="s">
        <v>602</v>
      </c>
      <c r="E17" s="3">
        <f t="array" ref="E17">XLOOKUP(D17,RUC!$B$3:$B$110,RUC!$D$3:$D$110)</f>
        <v>20169040231</v>
      </c>
      <c r="G17" s="141">
        <v>85.0</v>
      </c>
      <c r="H17" s="3" t="s">
        <v>47</v>
      </c>
      <c r="I17" s="6">
        <v>9.21</v>
      </c>
      <c r="J17" s="58">
        <v>1.6</v>
      </c>
      <c r="K17" s="6">
        <f t="shared" si="2"/>
        <v>9.063</v>
      </c>
      <c r="L17" s="60">
        <v>0.537</v>
      </c>
      <c r="M17" s="60">
        <v>0.51</v>
      </c>
      <c r="N17" s="62">
        <v>0.51</v>
      </c>
      <c r="O17" s="60">
        <f t="shared" si="3"/>
        <v>0.51</v>
      </c>
      <c r="P17" s="63">
        <v>85.0</v>
      </c>
      <c r="Q17" s="439">
        <v>86.59</v>
      </c>
      <c r="R17" s="65">
        <v>3783.8</v>
      </c>
      <c r="S17" s="66">
        <f t="array" ref="S17">IF((XLOOKUP(D17,RUC!$B$3:$B$106,RUC!$E$3:$E$106)+ROUNDDOWN(O17,1)*100)&lt;95,95,((XLOOKUP(D17,RUC!$B$3:$B$106,RUC!$E$3:$E$106)+ROUNDDOWN(O17,1)*100)))</f>
        <v>135</v>
      </c>
      <c r="U17" s="67">
        <f t="array" ref="U17">XLOOKUP(D17,RUC!$B$3:$B$110,RUC!$F$3:$F$110)</f>
        <v>120</v>
      </c>
      <c r="V17" s="67">
        <v>1.1023</v>
      </c>
      <c r="Y17" s="57">
        <f t="array" ref="Y17">XLOOKUP(D17,RUC!$B$3:$B$110,RUC!$G$3:$G$110)</f>
        <v>20</v>
      </c>
      <c r="Z17" s="69">
        <f t="array" ref="Z17">XLOOKUP(D17,RUC!$B$3:$B$110,RUC!$H$3:$H$110)</f>
        <v>30</v>
      </c>
      <c r="AA17" s="70">
        <f t="shared" si="4"/>
        <v>50</v>
      </c>
      <c r="AB17" s="71">
        <f t="shared" ref="AB17:AB18" si="22">+((O17*P17*(R17-U17)/100)-S17-AA17+T17)*V17</f>
        <v>1546.810522</v>
      </c>
      <c r="AC17" s="71">
        <f>+(S17-T17)*V17-'data 1'!$F$4</f>
        <v>68.8105</v>
      </c>
      <c r="AD17" s="71">
        <f t="shared" si="5"/>
        <v>34.48283593</v>
      </c>
      <c r="AE17" s="71">
        <f t="shared" si="6"/>
        <v>-14.885</v>
      </c>
      <c r="AF17" s="71">
        <f t="shared" si="7"/>
        <v>94.41979856</v>
      </c>
      <c r="AG17" s="72">
        <f t="shared" ref="AG17:AG18" si="23">AC17+AD17+AE17+AF17+70-53</f>
        <v>199.8281345</v>
      </c>
      <c r="AH17" s="193">
        <f t="shared" si="8"/>
        <v>144.485</v>
      </c>
      <c r="AI17" s="193">
        <f t="shared" si="9"/>
        <v>166.861</v>
      </c>
      <c r="AJ17" s="73">
        <f t="shared" si="10"/>
        <v>146.6936998</v>
      </c>
      <c r="AK17" s="73">
        <f t="shared" si="11"/>
        <v>134.7007926</v>
      </c>
      <c r="AL17" s="11"/>
      <c r="AM17" s="51">
        <f t="shared" si="12"/>
        <v>14018.74376</v>
      </c>
      <c r="AN17" s="51" t="str">
        <f t="array" ref="AN17">XLOOKUP(D17,RUC!$B$3:$B$565,RUC!$M$3:$M$565)</f>
        <v>Ronald Miranda</v>
      </c>
      <c r="AO17" s="131" t="s">
        <v>551</v>
      </c>
      <c r="AP17" s="57" t="s">
        <v>1449</v>
      </c>
      <c r="AQ17" s="57" t="s">
        <v>1450</v>
      </c>
      <c r="AW17" s="163" t="s">
        <v>693</v>
      </c>
      <c r="AX17" s="165">
        <f t="shared" si="15"/>
        <v>0</v>
      </c>
      <c r="AY17" s="165">
        <f t="array" ref="AY17">+SUMPRODUCT(IF('29'!$AO$4:$AO$1569=AW17,'29'!$L$4:$L$1569*'29'!$K$4:$K$1569/AX17))</f>
        <v>0</v>
      </c>
      <c r="AZ17" s="166">
        <f t="shared" si="16"/>
        <v>0</v>
      </c>
      <c r="BA17" s="168">
        <f t="array" ref="BA17">+SUMPRODUCT(IF('29'!$AO$4:$AO$1569=AW17,('29'!$Q$4:$Q$1569*'29'!$AH$4:$AH$1569)/SUMIF('29'!$AO$4:$AO$1569,#REF!,'29'!$AH$4:$AH$1569)))</f>
        <v>0</v>
      </c>
      <c r="BB17" s="167">
        <f t="shared" si="17"/>
        <v>0</v>
      </c>
      <c r="BC17" s="167">
        <f t="shared" si="18"/>
        <v>0</v>
      </c>
      <c r="BD17" s="168">
        <f t="shared" si="19"/>
        <v>475.5270401</v>
      </c>
      <c r="BE17" s="169">
        <f t="shared" si="20"/>
        <v>530.517</v>
      </c>
    </row>
    <row r="18" ht="15.0" customHeight="1">
      <c r="A18" s="116" t="s">
        <v>1531</v>
      </c>
      <c r="B18" s="56">
        <v>45936.0</v>
      </c>
      <c r="C18" s="182">
        <v>45923.0</v>
      </c>
      <c r="D18" s="57" t="s">
        <v>602</v>
      </c>
      <c r="E18" s="3">
        <f t="array" ref="E18">XLOOKUP(D18,RUC!$B$3:$B$110,RUC!$D$3:$D$110)</f>
        <v>20169040231</v>
      </c>
      <c r="G18" s="141">
        <v>85.0</v>
      </c>
      <c r="H18" s="3" t="s">
        <v>47</v>
      </c>
      <c r="I18" s="6">
        <v>9.14</v>
      </c>
      <c r="J18" s="58">
        <v>1.8</v>
      </c>
      <c r="K18" s="6">
        <f t="shared" si="2"/>
        <v>8.975</v>
      </c>
      <c r="L18" s="60">
        <v>0.696</v>
      </c>
      <c r="M18" s="60">
        <v>0.661</v>
      </c>
      <c r="N18" s="62">
        <v>0.661</v>
      </c>
      <c r="O18" s="60">
        <f t="shared" si="3"/>
        <v>0.661</v>
      </c>
      <c r="P18" s="63">
        <v>85.0</v>
      </c>
      <c r="Q18" s="439">
        <v>86.6</v>
      </c>
      <c r="R18" s="65">
        <v>3783.8</v>
      </c>
      <c r="S18" s="66">
        <f t="array" ref="S18">IF((XLOOKUP(D18,RUC!$B$3:$B$106,RUC!$E$3:$E$106)+ROUNDDOWN(O18,1)*100)&lt;95,95,((XLOOKUP(D18,RUC!$B$3:$B$106,RUC!$E$3:$E$106)+ROUNDDOWN(O18,1)*100)))</f>
        <v>145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69">
        <f t="array" ref="Z18">XLOOKUP(D18,RUC!$B$3:$B$110,RUC!$H$3:$H$110)</f>
        <v>30</v>
      </c>
      <c r="AA18" s="70">
        <f t="shared" si="4"/>
        <v>50</v>
      </c>
      <c r="AB18" s="71">
        <f t="shared" si="22"/>
        <v>2054.142697</v>
      </c>
      <c r="AC18" s="71">
        <f>+(S18-T18)*V18-'data 1'!$F$4</f>
        <v>79.8335</v>
      </c>
      <c r="AD18" s="71">
        <f t="shared" si="5"/>
        <v>44.97392466</v>
      </c>
      <c r="AE18" s="71">
        <f t="shared" si="6"/>
        <v>-14.885</v>
      </c>
      <c r="AF18" s="71">
        <f t="shared" si="7"/>
        <v>122.4101703</v>
      </c>
      <c r="AG18" s="72">
        <f t="shared" si="23"/>
        <v>249.3325949</v>
      </c>
      <c r="AH18" s="193">
        <f t="shared" si="8"/>
        <v>185.469</v>
      </c>
      <c r="AI18" s="193">
        <f t="shared" si="9"/>
        <v>214.167</v>
      </c>
      <c r="AJ18" s="73">
        <f t="shared" si="10"/>
        <v>190.1501045</v>
      </c>
      <c r="AK18" s="73">
        <f t="shared" si="11"/>
        <v>172.8876264</v>
      </c>
      <c r="AL18" s="11"/>
      <c r="AM18" s="51">
        <f t="shared" si="12"/>
        <v>18435.9307</v>
      </c>
      <c r="AN18" s="51" t="str">
        <f t="array" ref="AN18">XLOOKUP(D18,RUC!$B$3:$B$565,RUC!$M$3:$M$565)</f>
        <v>Ronald Miranda</v>
      </c>
      <c r="AO18" s="131" t="s">
        <v>558</v>
      </c>
      <c r="AP18" s="57" t="s">
        <v>1449</v>
      </c>
      <c r="AQ18" s="57" t="s">
        <v>1450</v>
      </c>
    </row>
    <row r="19" ht="15.0" customHeight="1">
      <c r="A19" s="192" t="s">
        <v>1532</v>
      </c>
      <c r="B19" s="441"/>
      <c r="C19" s="182">
        <v>45925.0</v>
      </c>
      <c r="D19" s="57" t="s">
        <v>74</v>
      </c>
      <c r="E19" s="3">
        <f t="array" ref="E19">XLOOKUP(D19,RUC!$B$3:$B$110,RUC!$D$3:$D$110)</f>
        <v>10082235774</v>
      </c>
      <c r="G19" s="141">
        <v>68.0</v>
      </c>
      <c r="H19" s="3" t="s">
        <v>47</v>
      </c>
      <c r="I19" s="6">
        <v>6.81</v>
      </c>
      <c r="J19" s="58">
        <v>1.3</v>
      </c>
      <c r="K19" s="6">
        <f t="shared" si="2"/>
        <v>6.721</v>
      </c>
      <c r="L19" s="60">
        <v>0.102</v>
      </c>
      <c r="M19" s="60">
        <v>0.09499999999999999</v>
      </c>
      <c r="N19" s="62">
        <v>0.09499999999999999</v>
      </c>
      <c r="O19" s="60">
        <f t="shared" si="3"/>
        <v>0.095</v>
      </c>
      <c r="P19" s="63">
        <v>85.0</v>
      </c>
      <c r="Q19" s="58">
        <v>94.12</v>
      </c>
      <c r="R19" s="65">
        <v>3730.75</v>
      </c>
      <c r="S19" s="133">
        <f t="array" ref="S19">IF((XLOOKUP(D19,RUC!$B$3:$B$106,RUC!$E$3:$E$106)+ROUNDDOWN(O19,1)*100)&lt;95,95,((XLOOKUP(D19,RUC!$B$3:$B$106,RUC!$E$3:$E$106)+ROUNDDOWN(O19,1)*100)))</f>
        <v>95</v>
      </c>
      <c r="U19" s="67">
        <f t="array" ref="U19">XLOOKUP(D19,RUC!$B$3:$B$110,RUC!$F$3:$F$110)</f>
        <v>80</v>
      </c>
      <c r="V19" s="67">
        <v>1.1023</v>
      </c>
      <c r="Y19" s="57" t="str">
        <f t="array" ref="Y19">XLOOKUP(D19,RUC!$B$3:$B$110,RUC!$G$3:$G$110)</f>
        <v/>
      </c>
      <c r="Z19" s="69">
        <f t="array" ref="Z19">XLOOKUP(D19,RUC!$B$3:$B$110,RUC!$H$3:$H$110)</f>
        <v>10</v>
      </c>
      <c r="AA19" s="70">
        <f t="shared" si="4"/>
        <v>10</v>
      </c>
      <c r="AB19" s="71">
        <v>0.001</v>
      </c>
      <c r="AC19" s="71">
        <f>+(S19-T19)*V19-'data 1'!$F$4</f>
        <v>24.7185</v>
      </c>
      <c r="AD19" s="71">
        <f t="shared" si="5"/>
        <v>37.43492017</v>
      </c>
      <c r="AE19" s="71">
        <f t="shared" si="6"/>
        <v>-58.977</v>
      </c>
      <c r="AF19" s="71">
        <f t="shared" si="7"/>
        <v>26.51318241</v>
      </c>
      <c r="AG19" s="72">
        <f>AC19+AD19+AE19+AF19+70+209.21</f>
        <v>308.8996026</v>
      </c>
      <c r="AH19" s="193">
        <f t="shared" si="8"/>
        <v>22.122</v>
      </c>
      <c r="AI19" s="193">
        <f t="shared" si="9"/>
        <v>23.504</v>
      </c>
      <c r="AJ19" s="73">
        <f t="shared" si="10"/>
        <v>31.66766607</v>
      </c>
      <c r="AK19" s="73">
        <f t="shared" si="11"/>
        <v>18.60739152</v>
      </c>
      <c r="AL19" s="11"/>
      <c r="AM19" s="51">
        <f t="shared" si="12"/>
        <v>0.006721</v>
      </c>
      <c r="AN19" s="51" t="str">
        <f t="array" ref="AN19">XLOOKUP(D19,RUC!$B$3:$B$565,RUC!$M$3:$M$565)</f>
        <v>Melchor Vera</v>
      </c>
      <c r="AO19" s="131" t="s">
        <v>549</v>
      </c>
      <c r="AP19" s="2" t="s">
        <v>1453</v>
      </c>
      <c r="AQ19" s="2" t="s">
        <v>1454</v>
      </c>
    </row>
    <row r="20" ht="15.0" customHeight="1">
      <c r="A20" s="116" t="s">
        <v>1533</v>
      </c>
      <c r="B20" s="56">
        <v>45934.0</v>
      </c>
      <c r="C20" s="182">
        <v>45926.0</v>
      </c>
      <c r="D20" s="57" t="s">
        <v>225</v>
      </c>
      <c r="E20" s="3">
        <f t="array" ref="E20">XLOOKUP(D20,RUC!$B$3:$B$110,RUC!$D$3:$D$110)</f>
        <v>10761932735</v>
      </c>
      <c r="G20" s="141">
        <v>135.0</v>
      </c>
      <c r="H20" s="3" t="s">
        <v>47</v>
      </c>
      <c r="I20" s="6">
        <v>11.14</v>
      </c>
      <c r="J20" s="58">
        <v>11.22</v>
      </c>
      <c r="K20" s="6">
        <f t="shared" si="2"/>
        <v>9.89</v>
      </c>
      <c r="L20" s="60">
        <v>0.433</v>
      </c>
      <c r="M20" s="60">
        <v>0.411</v>
      </c>
      <c r="N20" s="62">
        <v>0.411</v>
      </c>
      <c r="O20" s="60">
        <f t="shared" si="3"/>
        <v>0.411</v>
      </c>
      <c r="P20" s="63">
        <v>90.0</v>
      </c>
      <c r="Q20" s="439">
        <v>96.07</v>
      </c>
      <c r="R20" s="65">
        <v>3769.85</v>
      </c>
      <c r="S20" s="66">
        <f t="array" ref="S20">IF((XLOOKUP(D20,RUC!$B$3:$B$106,RUC!$E$3:$E$106)+ROUNDDOWN(O20,1)*100)&lt;95,95,((XLOOKUP(D20,RUC!$B$3:$B$106,RUC!$E$3:$E$106)+ROUNDDOWN(O20,1)*100)))</f>
        <v>130</v>
      </c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69">
        <f t="array" ref="Z20">XLOOKUP(D20,RUC!$B$3:$B$110,RUC!$H$3:$H$110)</f>
        <v>30</v>
      </c>
      <c r="AA20" s="70">
        <f t="shared" si="4"/>
        <v>50</v>
      </c>
      <c r="AB20" s="71">
        <f t="shared" ref="AB20:AB24" si="24">+((O20*P20*(R20-U20)/100)-S20-AA20+T20)*V20</f>
        <v>1289.778649</v>
      </c>
      <c r="AC20" s="71">
        <f>+(S20-T20)*V20-'data 1'!$F$4</f>
        <v>63.299</v>
      </c>
      <c r="AD20" s="71">
        <f t="shared" si="5"/>
        <v>105.7429473</v>
      </c>
      <c r="AE20" s="71">
        <f t="shared" si="6"/>
        <v>-14.885</v>
      </c>
      <c r="AF20" s="71">
        <f t="shared" si="7"/>
        <v>85.03256805</v>
      </c>
      <c r="AG20" s="72">
        <f t="shared" ref="AG20:AG24" si="25">AC20+AD20+AE20+AF20+70-53</f>
        <v>256.1895154</v>
      </c>
      <c r="AH20" s="193">
        <f t="shared" si="8"/>
        <v>141.053</v>
      </c>
      <c r="AI20" s="193">
        <f t="shared" si="9"/>
        <v>146.823</v>
      </c>
      <c r="AJ20" s="73">
        <f t="shared" si="10"/>
        <v>137.6302321</v>
      </c>
      <c r="AK20" s="73">
        <f t="shared" si="11"/>
        <v>125.4266122</v>
      </c>
      <c r="AL20" s="11"/>
      <c r="AM20" s="51">
        <f t="shared" si="12"/>
        <v>12755.91084</v>
      </c>
      <c r="AN20" s="51" t="str">
        <f t="array" ref="AN20">XLOOKUP(D20,RUC!$B$3:$B$565,RUC!$M$3:$M$565)</f>
        <v>Richard Sapacayo</v>
      </c>
      <c r="AO20" s="131" t="s">
        <v>558</v>
      </c>
      <c r="AP20" s="57" t="s">
        <v>1464</v>
      </c>
      <c r="AQ20" s="57" t="s">
        <v>1465</v>
      </c>
      <c r="AW20" s="149" t="s">
        <v>1534</v>
      </c>
      <c r="AX20" s="150"/>
      <c r="AY20" s="150"/>
      <c r="AZ20" s="150"/>
      <c r="BA20" s="150"/>
      <c r="BB20" s="151"/>
    </row>
    <row r="21" ht="15.0" customHeight="1">
      <c r="A21" s="116" t="s">
        <v>1535</v>
      </c>
      <c r="B21" s="56">
        <v>45933.0</v>
      </c>
      <c r="C21" s="182">
        <v>45927.0</v>
      </c>
      <c r="D21" s="57" t="s">
        <v>602</v>
      </c>
      <c r="E21" s="3">
        <f t="array" ref="E21">XLOOKUP(D21,RUC!$B$3:$B$110,RUC!$D$3:$D$110)</f>
        <v>20169040231</v>
      </c>
      <c r="G21" s="141">
        <v>118.0</v>
      </c>
      <c r="H21" s="3" t="s">
        <v>47</v>
      </c>
      <c r="I21" s="6">
        <v>10.75</v>
      </c>
      <c r="J21" s="58">
        <v>1.1</v>
      </c>
      <c r="K21" s="6">
        <f t="shared" si="2"/>
        <v>10.632</v>
      </c>
      <c r="L21" s="60">
        <v>0.452</v>
      </c>
      <c r="M21" s="60">
        <v>0.429</v>
      </c>
      <c r="N21" s="62">
        <f t="shared" ref="N21:N24" si="26">+M21</f>
        <v>0.429</v>
      </c>
      <c r="O21" s="60">
        <f t="shared" si="3"/>
        <v>0.429</v>
      </c>
      <c r="P21" s="63">
        <v>85.0</v>
      </c>
      <c r="Q21" s="439">
        <v>86.5</v>
      </c>
      <c r="R21" s="65">
        <v>3769.85</v>
      </c>
      <c r="S21" s="66">
        <f t="array" ref="S21">IF((XLOOKUP(D21,RUC!$B$3:$B$106,RUC!$E$3:$E$106)+ROUNDDOWN(O21,1)*100)&lt;95,95,((XLOOKUP(D21,RUC!$B$3:$B$106,RUC!$E$3:$E$106)+ROUNDDOWN(O21,1)*100)))</f>
        <v>125</v>
      </c>
      <c r="U21" s="67">
        <f t="array" ref="U21">XLOOKUP(D21,RUC!$B$3:$B$110,RUC!$F$3:$F$110)</f>
        <v>120</v>
      </c>
      <c r="V21" s="67">
        <v>1.1023</v>
      </c>
      <c r="Y21" s="57">
        <f t="array" ref="Y21">XLOOKUP(D21,RUC!$B$3:$B$110,RUC!$G$3:$G$110)</f>
        <v>20</v>
      </c>
      <c r="Z21" s="140">
        <v>35.0</v>
      </c>
      <c r="AA21" s="70">
        <f t="shared" si="4"/>
        <v>55</v>
      </c>
      <c r="AB21" s="71">
        <f t="shared" si="24"/>
        <v>1268.656694</v>
      </c>
      <c r="AC21" s="71">
        <f>+(S21-T21)*V21-'data 1'!$F$4</f>
        <v>57.7875</v>
      </c>
      <c r="AD21" s="71">
        <f t="shared" si="5"/>
        <v>27.27749706</v>
      </c>
      <c r="AE21" s="71">
        <f t="shared" si="6"/>
        <v>-9.3735</v>
      </c>
      <c r="AF21" s="71">
        <f t="shared" si="7"/>
        <v>80.04215399</v>
      </c>
      <c r="AG21" s="72">
        <f t="shared" si="25"/>
        <v>172.733651</v>
      </c>
      <c r="AH21" s="193">
        <f t="shared" si="8"/>
        <v>142.521</v>
      </c>
      <c r="AI21" s="193">
        <f t="shared" si="9"/>
        <v>164.764</v>
      </c>
      <c r="AJ21" s="73">
        <f t="shared" si="10"/>
        <v>129.3578228</v>
      </c>
      <c r="AK21" s="73">
        <f t="shared" si="11"/>
        <v>132.9230369</v>
      </c>
      <c r="AL21" s="11"/>
      <c r="AM21" s="51">
        <f t="shared" si="12"/>
        <v>13488.35797</v>
      </c>
      <c r="AN21" s="51" t="str">
        <f t="array" ref="AN21">XLOOKUP(D21,RUC!$B$3:$B$565,RUC!$M$3:$M$565)</f>
        <v>Ronald Miranda</v>
      </c>
      <c r="AO21" s="131" t="s">
        <v>558</v>
      </c>
      <c r="AP21" s="2" t="s">
        <v>1536</v>
      </c>
      <c r="AQ21" s="2" t="s">
        <v>922</v>
      </c>
      <c r="BB21" s="203">
        <f>SUM(BB23:BB32)</f>
        <v>3840.102305</v>
      </c>
    </row>
    <row r="22" ht="15.0" customHeight="1">
      <c r="A22" s="116" t="s">
        <v>1537</v>
      </c>
      <c r="B22" s="56">
        <v>45936.0</v>
      </c>
      <c r="C22" s="182">
        <v>45927.0</v>
      </c>
      <c r="D22" s="57" t="s">
        <v>602</v>
      </c>
      <c r="E22" s="3">
        <f t="array" ref="E22">XLOOKUP(D22,RUC!$B$3:$B$110,RUC!$D$3:$D$110)</f>
        <v>20169040231</v>
      </c>
      <c r="G22" s="141">
        <v>90.0</v>
      </c>
      <c r="H22" s="3" t="s">
        <v>47</v>
      </c>
      <c r="I22" s="6">
        <v>8.72</v>
      </c>
      <c r="J22" s="58">
        <v>1.6</v>
      </c>
      <c r="K22" s="6">
        <f t="shared" si="2"/>
        <v>8.58</v>
      </c>
      <c r="L22" s="60">
        <v>0.35</v>
      </c>
      <c r="M22" s="60">
        <v>0.331</v>
      </c>
      <c r="N22" s="62">
        <f t="shared" si="26"/>
        <v>0.331</v>
      </c>
      <c r="O22" s="60">
        <f t="shared" si="3"/>
        <v>0.331</v>
      </c>
      <c r="P22" s="63">
        <v>90.0</v>
      </c>
      <c r="Q22" s="58">
        <v>94.86</v>
      </c>
      <c r="R22" s="65">
        <v>3769.85</v>
      </c>
      <c r="S22" s="66">
        <f t="array" ref="S22">IF((XLOOKUP(D22,RUC!$B$3:$B$106,RUC!$E$3:$E$106)+ROUNDDOWN(O22,1)*100)&lt;95,95,((XLOOKUP(D22,RUC!$B$3:$B$106,RUC!$E$3:$E$106)+ROUNDDOWN(O22,1)*100)))</f>
        <v>115</v>
      </c>
      <c r="U22" s="67">
        <f t="array" ref="U22">XLOOKUP(D22,RUC!$B$3:$B$110,RUC!$F$3:$F$110)</f>
        <v>120</v>
      </c>
      <c r="V22" s="67">
        <v>1.1023</v>
      </c>
      <c r="Y22" s="57">
        <f t="array" ref="Y22">XLOOKUP(D22,RUC!$B$3:$B$110,RUC!$G$3:$G$110)</f>
        <v>20</v>
      </c>
      <c r="Z22" s="69">
        <f t="array" ref="Z22">XLOOKUP(D22,RUC!$B$3:$B$110,RUC!$H$3:$H$110)</f>
        <v>30</v>
      </c>
      <c r="AA22" s="70">
        <f t="shared" si="4"/>
        <v>50</v>
      </c>
      <c r="AB22" s="71">
        <f t="shared" si="24"/>
        <v>1016.640614</v>
      </c>
      <c r="AC22" s="71">
        <f>+(S22-T22)*V22-'data 1'!$F$4</f>
        <v>46.7645</v>
      </c>
      <c r="AD22" s="71">
        <f t="shared" si="5"/>
        <v>68.43513643</v>
      </c>
      <c r="AE22" s="71">
        <f t="shared" si="6"/>
        <v>-14.885</v>
      </c>
      <c r="AF22" s="71">
        <f t="shared" si="7"/>
        <v>72.51227736</v>
      </c>
      <c r="AG22" s="72">
        <f t="shared" si="25"/>
        <v>189.8269138</v>
      </c>
      <c r="AH22" s="193">
        <f t="shared" si="8"/>
        <v>97.667</v>
      </c>
      <c r="AI22" s="193">
        <f t="shared" si="9"/>
        <v>102.959</v>
      </c>
      <c r="AJ22" s="73">
        <f t="shared" si="10"/>
        <v>109.8472831</v>
      </c>
      <c r="AK22" s="73">
        <f t="shared" si="11"/>
        <v>87.63283472</v>
      </c>
      <c r="AL22" s="11"/>
      <c r="AM22" s="51">
        <f t="shared" si="12"/>
        <v>8722.77647</v>
      </c>
      <c r="AN22" s="51" t="str">
        <f t="array" ref="AN22">XLOOKUP(D22,RUC!$B$3:$B$565,RUC!$M$3:$M$565)</f>
        <v>Ronald Miranda</v>
      </c>
      <c r="AO22" s="131" t="s">
        <v>547</v>
      </c>
      <c r="AP22" s="57" t="s">
        <v>1536</v>
      </c>
      <c r="AQ22" s="57" t="s">
        <v>922</v>
      </c>
      <c r="AW22" s="3"/>
      <c r="AX22" s="3" t="s">
        <v>14</v>
      </c>
      <c r="AY22" s="3" t="s">
        <v>683</v>
      </c>
      <c r="AZ22" s="3" t="s">
        <v>686</v>
      </c>
      <c r="BA22" s="204" t="s">
        <v>700</v>
      </c>
      <c r="BB22" s="3" t="s">
        <v>687</v>
      </c>
    </row>
    <row r="23" ht="15.0" customHeight="1">
      <c r="A23" s="116" t="s">
        <v>1538</v>
      </c>
      <c r="B23" s="56">
        <v>45936.0</v>
      </c>
      <c r="C23" s="182">
        <v>45927.0</v>
      </c>
      <c r="D23" s="57" t="s">
        <v>602</v>
      </c>
      <c r="E23" s="3">
        <f t="array" ref="E23">XLOOKUP(D23,RUC!$B$3:$B$110,RUC!$D$3:$D$110)</f>
        <v>20169040231</v>
      </c>
      <c r="G23" s="141">
        <v>80.0</v>
      </c>
      <c r="H23" s="3" t="s">
        <v>47</v>
      </c>
      <c r="I23" s="6">
        <v>8.08</v>
      </c>
      <c r="J23" s="58">
        <v>1.8</v>
      </c>
      <c r="K23" s="6">
        <f t="shared" si="2"/>
        <v>7.935</v>
      </c>
      <c r="L23" s="60">
        <v>0.179</v>
      </c>
      <c r="M23" s="60">
        <v>0.164</v>
      </c>
      <c r="N23" s="62">
        <f t="shared" si="26"/>
        <v>0.164</v>
      </c>
      <c r="O23" s="60">
        <f t="shared" si="3"/>
        <v>0.164</v>
      </c>
      <c r="P23" s="63">
        <v>90.0</v>
      </c>
      <c r="Q23" s="58">
        <v>96.09</v>
      </c>
      <c r="R23" s="65">
        <v>3769.85</v>
      </c>
      <c r="S23" s="66">
        <f t="array" ref="S23">IF((XLOOKUP(D23,RUC!$B$3:$B$106,RUC!$E$3:$E$106)+ROUNDDOWN(O23,1)*100)&lt;95,95,((XLOOKUP(D23,RUC!$B$3:$B$106,RUC!$E$3:$E$106)+ROUNDDOWN(O23,1)*100)))</f>
        <v>95</v>
      </c>
      <c r="U23" s="67">
        <f t="array" ref="U23">XLOOKUP(D23,RUC!$B$3:$B$110,RUC!$F$3:$F$110)</f>
        <v>120</v>
      </c>
      <c r="V23" s="67">
        <v>1.1023</v>
      </c>
      <c r="Y23" s="57">
        <f t="array" ref="Y23">XLOOKUP(D23,RUC!$B$3:$B$110,RUC!$G$3:$G$110)</f>
        <v>20</v>
      </c>
      <c r="Z23" s="69">
        <f t="array" ref="Z23">XLOOKUP(D23,RUC!$B$3:$B$110,RUC!$H$3:$H$110)</f>
        <v>30</v>
      </c>
      <c r="AA23" s="70">
        <f t="shared" si="4"/>
        <v>50</v>
      </c>
      <c r="AB23" s="71">
        <f t="shared" si="24"/>
        <v>433.9951971</v>
      </c>
      <c r="AC23" s="71">
        <f>+(S23-T23)*V23-'data 1'!$F$4</f>
        <v>24.7185</v>
      </c>
      <c r="AD23" s="71">
        <f t="shared" si="5"/>
        <v>43.85762879</v>
      </c>
      <c r="AE23" s="71">
        <f t="shared" si="6"/>
        <v>-14.885</v>
      </c>
      <c r="AF23" s="71">
        <f t="shared" si="7"/>
        <v>57.98882063</v>
      </c>
      <c r="AG23" s="72">
        <f t="shared" si="25"/>
        <v>128.6799494</v>
      </c>
      <c r="AH23" s="193">
        <f t="shared" si="8"/>
        <v>46.794</v>
      </c>
      <c r="AI23" s="193">
        <f t="shared" si="9"/>
        <v>48.698</v>
      </c>
      <c r="AJ23" s="73">
        <f t="shared" si="10"/>
        <v>56.90748328</v>
      </c>
      <c r="AK23" s="73">
        <f t="shared" si="11"/>
        <v>40.1552522</v>
      </c>
      <c r="AL23" s="11"/>
      <c r="AM23" s="51">
        <f t="shared" si="12"/>
        <v>3443.751889</v>
      </c>
      <c r="AN23" s="51" t="str">
        <f t="array" ref="AN23">XLOOKUP(D23,RUC!$B$3:$B$565,RUC!$M$3:$M$565)</f>
        <v>Ronald Miranda</v>
      </c>
      <c r="AO23" s="131" t="s">
        <v>547</v>
      </c>
      <c r="AP23" s="57" t="s">
        <v>1536</v>
      </c>
      <c r="AQ23" s="57" t="s">
        <v>922</v>
      </c>
      <c r="AW23" s="152" t="s">
        <v>558</v>
      </c>
      <c r="AX23" s="154">
        <f t="shared" ref="AX23:AX32" si="27">SUMIF($AO$4:$AO$1677,AW23,$K$4:$K$1677)</f>
        <v>106.301</v>
      </c>
      <c r="AY23" s="154">
        <v>0.141</v>
      </c>
      <c r="AZ23" s="157">
        <f t="shared" ref="AZ23:AZ32" si="28">AX23*AY23*31.1035*1.1023</f>
        <v>513.8845159</v>
      </c>
      <c r="BA23" s="58">
        <v>67.82</v>
      </c>
      <c r="BB23" s="159">
        <f t="shared" ref="BB23:BB32" si="29">AZ23*BA23/100</f>
        <v>348.5164787</v>
      </c>
      <c r="BC23" s="429" t="s">
        <v>1539</v>
      </c>
      <c r="BD23" s="430">
        <f>+BC6</f>
        <v>4955.718</v>
      </c>
      <c r="BE23" s="442"/>
    </row>
    <row r="24" ht="15.0" customHeight="1">
      <c r="A24" s="116" t="s">
        <v>1540</v>
      </c>
      <c r="B24" s="56">
        <v>45936.0</v>
      </c>
      <c r="C24" s="182">
        <v>45927.0</v>
      </c>
      <c r="D24" s="57" t="s">
        <v>602</v>
      </c>
      <c r="E24" s="3">
        <f t="array" ref="E24">XLOOKUP(D24,RUC!$B$3:$B$110,RUC!$D$3:$D$110)</f>
        <v>20169040231</v>
      </c>
      <c r="G24" s="141">
        <v>80.0</v>
      </c>
      <c r="H24" s="3" t="s">
        <v>47</v>
      </c>
      <c r="I24" s="6">
        <v>8.11</v>
      </c>
      <c r="J24" s="58">
        <v>1.5</v>
      </c>
      <c r="K24" s="6">
        <f t="shared" si="2"/>
        <v>7.988</v>
      </c>
      <c r="L24" s="60">
        <v>0.165</v>
      </c>
      <c r="M24" s="60">
        <v>0.15</v>
      </c>
      <c r="N24" s="62">
        <f t="shared" si="26"/>
        <v>0.15</v>
      </c>
      <c r="O24" s="60">
        <f t="shared" si="3"/>
        <v>0.15</v>
      </c>
      <c r="P24" s="63">
        <v>85.0</v>
      </c>
      <c r="Q24" s="58">
        <v>96.97</v>
      </c>
      <c r="R24" s="65">
        <v>3769.85</v>
      </c>
      <c r="S24" s="66">
        <f t="array" ref="S24">IF((XLOOKUP(D24,RUC!$B$3:$B$106,RUC!$E$3:$E$106)+ROUNDDOWN(O24,1)*100)&lt;95,95,((XLOOKUP(D24,RUC!$B$3:$B$106,RUC!$E$3:$E$106)+ROUNDDOWN(O24,1)*100)))</f>
        <v>95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69">
        <f t="array" ref="Z24">XLOOKUP(D24,RUC!$B$3:$B$110,RUC!$H$3:$H$110)</f>
        <v>30</v>
      </c>
      <c r="AA24" s="70">
        <f t="shared" si="4"/>
        <v>50</v>
      </c>
      <c r="AB24" s="71">
        <f t="shared" si="24"/>
        <v>353.128281</v>
      </c>
      <c r="AC24" s="71">
        <f>+(S24-T24)*V24-'data 1'!$F$4</f>
        <v>24.7185</v>
      </c>
      <c r="AD24" s="71">
        <f t="shared" si="5"/>
        <v>79.4607973</v>
      </c>
      <c r="AE24" s="71">
        <f t="shared" si="6"/>
        <v>-14.885</v>
      </c>
      <c r="AF24" s="71">
        <f t="shared" si="7"/>
        <v>58.51988695</v>
      </c>
      <c r="AG24" s="72">
        <f t="shared" si="25"/>
        <v>164.8141842</v>
      </c>
      <c r="AH24" s="193">
        <f t="shared" si="8"/>
        <v>43.82</v>
      </c>
      <c r="AI24" s="193">
        <f t="shared" si="9"/>
        <v>45.189</v>
      </c>
      <c r="AJ24" s="73">
        <f t="shared" si="10"/>
        <v>52.93702063</v>
      </c>
      <c r="AK24" s="73">
        <f t="shared" si="11"/>
        <v>34.91863917</v>
      </c>
      <c r="AL24" s="11"/>
      <c r="AM24" s="51">
        <f t="shared" si="12"/>
        <v>2820.788709</v>
      </c>
      <c r="AN24" s="51" t="str">
        <f t="array" ref="AN24">XLOOKUP(D24,RUC!$B$3:$B$565,RUC!$M$3:$M$565)</f>
        <v>Ronald Miranda</v>
      </c>
      <c r="AO24" s="131" t="s">
        <v>547</v>
      </c>
      <c r="AP24" s="57" t="s">
        <v>1536</v>
      </c>
      <c r="AQ24" s="57" t="s">
        <v>922</v>
      </c>
      <c r="AW24" s="160" t="s">
        <v>551</v>
      </c>
      <c r="AX24" s="6">
        <f t="shared" si="27"/>
        <v>103.645</v>
      </c>
      <c r="AY24" s="6">
        <v>0.972</v>
      </c>
      <c r="AZ24" s="58">
        <f t="shared" si="28"/>
        <v>3454.010791</v>
      </c>
      <c r="BA24" s="58">
        <v>78.86</v>
      </c>
      <c r="BB24" s="162">
        <f t="shared" si="29"/>
        <v>2723.83291</v>
      </c>
      <c r="BC24" s="429" t="s">
        <v>1541</v>
      </c>
      <c r="BD24" s="430">
        <f>+'28'!BC27+'28'!BC28</f>
        <v>666.87</v>
      </c>
    </row>
    <row r="25" ht="14.25" customHeight="1">
      <c r="A25" s="117" t="s">
        <v>1542</v>
      </c>
      <c r="B25" s="56">
        <v>45938.0</v>
      </c>
      <c r="C25" s="182">
        <v>45930.0</v>
      </c>
      <c r="D25" s="57" t="s">
        <v>1543</v>
      </c>
      <c r="E25" s="3">
        <f t="array" ref="E25">XLOOKUP(D25,RUC!$B$3:$B$110,RUC!$D$3:$D$110)</f>
        <v>10737057025</v>
      </c>
      <c r="G25" s="141"/>
      <c r="H25" s="3"/>
      <c r="I25" s="6"/>
      <c r="J25" s="58"/>
      <c r="K25" s="6"/>
      <c r="L25" s="3"/>
      <c r="M25" s="3"/>
      <c r="N25" s="62"/>
      <c r="O25" s="60"/>
      <c r="P25" s="63"/>
      <c r="Q25" s="58"/>
      <c r="R25" s="65"/>
      <c r="S25" s="66"/>
      <c r="U25" s="67"/>
      <c r="V25" s="67"/>
      <c r="Z25" s="69"/>
      <c r="AA25" s="70"/>
      <c r="AB25" s="71"/>
      <c r="AC25" s="71">
        <f>+(S25-T25)*V25-'data 1'!$F$4</f>
        <v>-80</v>
      </c>
      <c r="AD25" s="71">
        <f t="shared" si="5"/>
        <v>0</v>
      </c>
      <c r="AE25" s="71">
        <f t="shared" si="6"/>
        <v>-70</v>
      </c>
      <c r="AF25" s="71">
        <f t="shared" si="7"/>
        <v>0</v>
      </c>
      <c r="AG25" s="72"/>
      <c r="AH25" s="193">
        <f t="shared" si="8"/>
        <v>0</v>
      </c>
      <c r="AI25" s="193">
        <f t="shared" si="9"/>
        <v>0</v>
      </c>
      <c r="AJ25" s="73">
        <f t="shared" si="10"/>
        <v>0</v>
      </c>
      <c r="AK25" s="73">
        <f t="shared" si="11"/>
        <v>0</v>
      </c>
      <c r="AL25" s="11"/>
      <c r="AM25" s="51">
        <f t="shared" si="12"/>
        <v>0</v>
      </c>
      <c r="AN25" s="51"/>
      <c r="AO25" s="131"/>
      <c r="AW25" s="160" t="s">
        <v>547</v>
      </c>
      <c r="AX25" s="6">
        <f t="shared" si="27"/>
        <v>109.559</v>
      </c>
      <c r="AY25" s="6">
        <v>0.139</v>
      </c>
      <c r="AZ25" s="58">
        <f t="shared" si="28"/>
        <v>522.1219233</v>
      </c>
      <c r="BA25" s="58">
        <v>84.08</v>
      </c>
      <c r="BB25" s="162">
        <f t="shared" si="29"/>
        <v>439.0001131</v>
      </c>
      <c r="BC25" s="431" t="s">
        <v>1544</v>
      </c>
      <c r="BD25" s="432">
        <v>5025.02</v>
      </c>
    </row>
    <row r="26" ht="15.0" customHeight="1">
      <c r="A26" s="116" t="s">
        <v>1545</v>
      </c>
      <c r="B26" s="56">
        <v>45936.0</v>
      </c>
      <c r="C26" s="182">
        <v>45930.0</v>
      </c>
      <c r="D26" s="57" t="s">
        <v>665</v>
      </c>
      <c r="E26" s="3">
        <f t="array" ref="E26">XLOOKUP(D26,RUC!$B$3:$B$110,RUC!$D$3:$D$110)</f>
        <v>20608774000</v>
      </c>
      <c r="G26" s="141">
        <v>50.0</v>
      </c>
      <c r="H26" s="3" t="s">
        <v>47</v>
      </c>
      <c r="I26" s="6">
        <v>4.98</v>
      </c>
      <c r="J26" s="58">
        <v>5.65</v>
      </c>
      <c r="K26" s="6">
        <f t="shared" ref="K26:K28" si="30">ROUND(+I26-(I26*(J26/100)),3)</f>
        <v>4.699</v>
      </c>
      <c r="L26" s="3">
        <v>0.126</v>
      </c>
      <c r="M26" s="3">
        <v>0.111</v>
      </c>
      <c r="N26" s="62">
        <f>+M26</f>
        <v>0.111</v>
      </c>
      <c r="O26" s="60">
        <f t="shared" ref="O26:O28" si="31">+ROUND((M26+N26)/2,3)</f>
        <v>0.111</v>
      </c>
      <c r="P26" s="63">
        <v>80.0</v>
      </c>
      <c r="Q26" s="58">
        <v>97.62</v>
      </c>
      <c r="R26" s="65">
        <v>3825.3</v>
      </c>
      <c r="S26" s="66">
        <f t="array" ref="S26">IF((XLOOKUP(D26,RUC!$B$3:$B$106,RUC!$E$3:$E$106)+ROUNDDOWN(O26,1)*100)&lt;95,95,((XLOOKUP(D26,RUC!$B$3:$B$106,RUC!$E$3:$E$106)+ROUNDDOWN(O26,1)*100)))</f>
        <v>95</v>
      </c>
      <c r="U26" s="67">
        <f t="array" ref="U26">XLOOKUP(D26,RUC!$B$3:$B$110,RUC!$F$3:$F$110)</f>
        <v>120</v>
      </c>
      <c r="V26" s="67">
        <v>1.1023</v>
      </c>
      <c r="Y26" s="57">
        <f t="array" ref="Y26">XLOOKUP(D26,RUC!$B$3:$B$110,RUC!$G$3:$G$110)</f>
        <v>20</v>
      </c>
      <c r="Z26" s="140">
        <v>35.0</v>
      </c>
      <c r="AA26" s="70">
        <f t="shared" ref="AA26:AA28" si="32">+Y26+Z26</f>
        <v>55</v>
      </c>
      <c r="AB26" s="71">
        <f t="shared" ref="AB26:AB27" si="33">+((O26*P26*(R26-U26)/100)-S26-AA26+T26)*V26</f>
        <v>197.3454745</v>
      </c>
      <c r="AC26" s="71">
        <f>+(S26-T26)*V26-'data 1'!$F$4</f>
        <v>24.7185</v>
      </c>
      <c r="AD26" s="71">
        <f t="shared" si="5"/>
        <v>90.67751984</v>
      </c>
      <c r="AE26" s="71">
        <f t="shared" si="6"/>
        <v>-9.3735</v>
      </c>
      <c r="AF26" s="71">
        <f t="shared" si="7"/>
        <v>59.80716912</v>
      </c>
      <c r="AG26" s="72">
        <f t="shared" ref="AG26:AG27" si="34">AC26+AD26+AE26+AF26+70-53</f>
        <v>182.829689</v>
      </c>
      <c r="AH26" s="193">
        <f t="shared" si="8"/>
        <v>19.816</v>
      </c>
      <c r="AI26" s="193">
        <f t="shared" si="9"/>
        <v>20.299</v>
      </c>
      <c r="AJ26" s="73">
        <f t="shared" si="10"/>
        <v>33.17745931</v>
      </c>
      <c r="AK26" s="73">
        <f t="shared" si="11"/>
        <v>14.30630501</v>
      </c>
      <c r="AL26" s="11"/>
      <c r="AM26" s="51">
        <f t="shared" si="12"/>
        <v>927.3263845</v>
      </c>
      <c r="AN26" s="51" t="str">
        <f t="array" ref="AN26">XLOOKUP(D26,RUC!$B$3:$B$565,RUC!$M$3:$M$565)</f>
        <v>Ronald Miranda</v>
      </c>
      <c r="AO26" s="131" t="s">
        <v>549</v>
      </c>
      <c r="AP26" s="57" t="s">
        <v>1546</v>
      </c>
      <c r="AQ26" s="57" t="s">
        <v>1547</v>
      </c>
      <c r="AW26" s="160" t="s">
        <v>549</v>
      </c>
      <c r="AX26" s="6">
        <f t="shared" si="27"/>
        <v>108.399</v>
      </c>
      <c r="AY26" s="6">
        <v>0.174</v>
      </c>
      <c r="AZ26" s="58">
        <f t="shared" si="28"/>
        <v>646.6713096</v>
      </c>
      <c r="BA26" s="58">
        <v>25.0</v>
      </c>
      <c r="BB26" s="162">
        <f t="shared" si="29"/>
        <v>161.6678274</v>
      </c>
      <c r="BC26" s="431" t="s">
        <v>1548</v>
      </c>
      <c r="BD26" s="432">
        <v>488.35</v>
      </c>
    </row>
    <row r="27" ht="15.0" customHeight="1">
      <c r="A27" s="116" t="s">
        <v>1549</v>
      </c>
      <c r="B27" s="56">
        <v>45947.0</v>
      </c>
      <c r="C27" s="182">
        <v>45930.0</v>
      </c>
      <c r="D27" s="57" t="s">
        <v>602</v>
      </c>
      <c r="E27" s="3">
        <f t="array" ref="E27">XLOOKUP(D27,RUC!$B$3:$B$110,RUC!$D$3:$D$110)</f>
        <v>20169040231</v>
      </c>
      <c r="G27" s="141">
        <v>82.0</v>
      </c>
      <c r="H27" s="3" t="s">
        <v>47</v>
      </c>
      <c r="I27" s="6">
        <v>8.26</v>
      </c>
      <c r="J27" s="58">
        <v>1.3</v>
      </c>
      <c r="K27" s="6">
        <f t="shared" si="30"/>
        <v>8.153</v>
      </c>
      <c r="L27" s="3">
        <v>0.129</v>
      </c>
      <c r="M27" s="3">
        <v>0.114</v>
      </c>
      <c r="N27" s="62">
        <v>0.114</v>
      </c>
      <c r="O27" s="60">
        <f t="shared" si="31"/>
        <v>0.114</v>
      </c>
      <c r="P27" s="63">
        <v>80.0</v>
      </c>
      <c r="Q27" s="58">
        <v>90.08</v>
      </c>
      <c r="R27" s="65">
        <v>3825.3</v>
      </c>
      <c r="S27" s="66">
        <f t="array" ref="S27">IF((XLOOKUP(D27,RUC!$B$3:$B$106,RUC!$E$3:$E$106)+ROUNDDOWN(O27,1)*100)&lt;95,95,((XLOOKUP(D27,RUC!$B$3:$B$106,RUC!$E$3:$E$106)+ROUNDDOWN(O27,1)*100)))</f>
        <v>95</v>
      </c>
      <c r="U27" s="67">
        <f t="array" ref="U27">XLOOKUP(D27,RUC!$B$3:$B$110,RUC!$F$3:$F$110)</f>
        <v>120</v>
      </c>
      <c r="V27" s="67">
        <v>1.1023</v>
      </c>
      <c r="Y27" s="57">
        <f t="array" ref="Y27">XLOOKUP(D27,RUC!$B$3:$B$110,RUC!$G$3:$G$110)</f>
        <v>20</v>
      </c>
      <c r="Z27" s="69">
        <f t="array" ref="Z27">XLOOKUP(D27,RUC!$B$3:$B$110,RUC!$H$3:$H$110)</f>
        <v>30</v>
      </c>
      <c r="AA27" s="70">
        <f t="shared" si="32"/>
        <v>50</v>
      </c>
      <c r="AB27" s="71">
        <f t="shared" si="33"/>
        <v>212.6594197</v>
      </c>
      <c r="AC27" s="71">
        <f>+(S27-T27)*V27-'data 1'!$F$4</f>
        <v>24.7185</v>
      </c>
      <c r="AD27" s="71">
        <f t="shared" si="5"/>
        <v>53.1096484</v>
      </c>
      <c r="AE27" s="71">
        <f t="shared" si="6"/>
        <v>-14.885</v>
      </c>
      <c r="AF27" s="71">
        <f t="shared" si="7"/>
        <v>55.18776679</v>
      </c>
      <c r="AG27" s="72">
        <f t="shared" si="34"/>
        <v>135.1309152</v>
      </c>
      <c r="AH27" s="193">
        <f t="shared" si="8"/>
        <v>32.482</v>
      </c>
      <c r="AI27" s="193">
        <f t="shared" si="9"/>
        <v>36.059</v>
      </c>
      <c r="AJ27" s="73">
        <f t="shared" si="10"/>
        <v>31.34381567</v>
      </c>
      <c r="AK27" s="73">
        <f t="shared" si="11"/>
        <v>25.49302371</v>
      </c>
      <c r="AL27" s="11"/>
      <c r="AM27" s="51">
        <f t="shared" si="12"/>
        <v>1733.812249</v>
      </c>
      <c r="AN27" s="51" t="str">
        <f t="array" ref="AN27">XLOOKUP(D27,RUC!$B$3:$B$565,RUC!$M$3:$M$565)</f>
        <v>Ronald Miranda</v>
      </c>
      <c r="AO27" s="131" t="s">
        <v>547</v>
      </c>
      <c r="AP27" s="57" t="s">
        <v>1488</v>
      </c>
      <c r="AQ27" s="57" t="s">
        <v>1489</v>
      </c>
      <c r="AW27" s="160" t="s">
        <v>561</v>
      </c>
      <c r="AX27" s="6">
        <f t="shared" si="27"/>
        <v>102.613</v>
      </c>
      <c r="AY27" s="6">
        <v>0.083</v>
      </c>
      <c r="AZ27" s="58">
        <f t="shared" si="28"/>
        <v>292.0045015</v>
      </c>
      <c r="BA27" s="58">
        <v>57.22</v>
      </c>
      <c r="BB27" s="162">
        <f t="shared" si="29"/>
        <v>167.0849758</v>
      </c>
      <c r="BC27" s="431" t="s">
        <v>1550</v>
      </c>
      <c r="BD27" s="432">
        <v>86.09</v>
      </c>
    </row>
    <row r="28" ht="15.0" customHeight="1">
      <c r="A28" s="192" t="s">
        <v>1551</v>
      </c>
      <c r="B28" s="441">
        <v>45947.0</v>
      </c>
      <c r="C28" s="182">
        <v>45930.0</v>
      </c>
      <c r="D28" s="57" t="s">
        <v>602</v>
      </c>
      <c r="E28" s="3">
        <f t="array" ref="E28">XLOOKUP(D28,RUC!$B$3:$B$110,RUC!$D$3:$D$110)</f>
        <v>20169040231</v>
      </c>
      <c r="G28" s="141">
        <v>83.0</v>
      </c>
      <c r="H28" s="3" t="s">
        <v>47</v>
      </c>
      <c r="I28" s="6">
        <v>8.46</v>
      </c>
      <c r="J28" s="58">
        <v>1.3</v>
      </c>
      <c r="K28" s="6">
        <f t="shared" si="30"/>
        <v>8.35</v>
      </c>
      <c r="L28" s="3">
        <v>0.104</v>
      </c>
      <c r="M28" s="3">
        <v>0.089</v>
      </c>
      <c r="N28" s="62">
        <f>+M28</f>
        <v>0.089</v>
      </c>
      <c r="O28" s="60">
        <f t="shared" si="31"/>
        <v>0.089</v>
      </c>
      <c r="P28" s="63">
        <v>80.0</v>
      </c>
      <c r="Q28" s="58">
        <v>94.95</v>
      </c>
      <c r="R28" s="65">
        <v>3825.3</v>
      </c>
      <c r="S28" s="66">
        <f t="array" ref="S28">IF((XLOOKUP(D28,RUC!$B$3:$B$106,RUC!$E$3:$E$106)+ROUNDDOWN(O28,1)*100)&lt;95,95,((XLOOKUP(D28,RUC!$B$3:$B$106,RUC!$E$3:$E$106)+ROUNDDOWN(O28,1)*100)))</f>
        <v>95</v>
      </c>
      <c r="U28" s="67">
        <f t="array" ref="U28">XLOOKUP(D28,RUC!$B$3:$B$110,RUC!$F$3:$F$110)</f>
        <v>120</v>
      </c>
      <c r="V28" s="67">
        <v>1.1023</v>
      </c>
      <c r="Y28" s="57">
        <f t="array" ref="Y28">XLOOKUP(D28,RUC!$B$3:$B$110,RUC!$G$3:$G$110)</f>
        <v>20</v>
      </c>
      <c r="Z28" s="69">
        <f t="array" ref="Z28">XLOOKUP(D28,RUC!$B$3:$B$110,RUC!$H$3:$H$110)</f>
        <v>30</v>
      </c>
      <c r="AA28" s="70">
        <f t="shared" si="32"/>
        <v>50</v>
      </c>
      <c r="AB28" s="71">
        <v>0.001</v>
      </c>
      <c r="AC28" s="71">
        <f>+(S28-T28)*V28-'data 1'!$F$4</f>
        <v>24.7185</v>
      </c>
      <c r="AD28" s="71">
        <f t="shared" si="5"/>
        <v>63.50350785</v>
      </c>
      <c r="AE28" s="71">
        <f t="shared" si="6"/>
        <v>-14.885</v>
      </c>
      <c r="AF28" s="71">
        <f t="shared" si="7"/>
        <v>58.17138607</v>
      </c>
      <c r="AG28" s="72">
        <f>AC28+AD28+AE28+AF28+70-53+130.97</f>
        <v>279.4783939</v>
      </c>
      <c r="AH28" s="193">
        <f t="shared" si="8"/>
        <v>28.27</v>
      </c>
      <c r="AI28" s="193">
        <f t="shared" si="9"/>
        <v>29.773</v>
      </c>
      <c r="AJ28" s="73">
        <f t="shared" si="10"/>
        <v>26.63557552</v>
      </c>
      <c r="AK28" s="73">
        <f t="shared" si="11"/>
        <v>20.3833489</v>
      </c>
      <c r="AL28" s="11"/>
      <c r="AM28" s="51">
        <f t="shared" si="12"/>
        <v>0.00835</v>
      </c>
      <c r="AN28" s="51" t="str">
        <f t="array" ref="AN28">XLOOKUP(D28,RUC!$B$3:$B$565,RUC!$M$3:$M$565)</f>
        <v>Ronald Miranda</v>
      </c>
      <c r="AO28" s="131" t="s">
        <v>547</v>
      </c>
      <c r="AP28" s="57" t="s">
        <v>1488</v>
      </c>
      <c r="AQ28" s="57" t="s">
        <v>1489</v>
      </c>
      <c r="AW28" s="160" t="s">
        <v>689</v>
      </c>
      <c r="AX28" s="6">
        <f t="shared" si="27"/>
        <v>0</v>
      </c>
      <c r="AY28" s="2"/>
      <c r="AZ28" s="58">
        <f t="shared" si="28"/>
        <v>0</v>
      </c>
      <c r="BA28" s="2"/>
      <c r="BB28" s="162">
        <f t="shared" si="29"/>
        <v>0</v>
      </c>
      <c r="BC28" s="68" t="s">
        <v>1206</v>
      </c>
      <c r="BD28" s="433">
        <f>-BD23-BD24+BD25+BD26+BD27</f>
        <v>-23.128</v>
      </c>
    </row>
    <row r="29" ht="15.0" customHeight="1">
      <c r="A29" s="117" t="s">
        <v>1552</v>
      </c>
      <c r="B29" s="56">
        <v>45938.0</v>
      </c>
      <c r="C29" s="182">
        <v>45930.0</v>
      </c>
      <c r="D29" s="57" t="s">
        <v>1543</v>
      </c>
      <c r="E29" s="3">
        <f t="array" ref="E29">XLOOKUP(D29,RUC!$B$3:$B$110,RUC!$D$3:$D$110)</f>
        <v>10737057025</v>
      </c>
      <c r="G29" s="141"/>
      <c r="H29" s="3"/>
      <c r="I29" s="6"/>
      <c r="J29" s="58"/>
      <c r="K29" s="6"/>
      <c r="L29" s="3"/>
      <c r="M29" s="3"/>
      <c r="N29" s="62"/>
      <c r="O29" s="60"/>
      <c r="P29" s="63"/>
      <c r="R29" s="65"/>
      <c r="S29" s="66"/>
      <c r="U29" s="67"/>
      <c r="V29" s="67"/>
      <c r="Z29" s="69"/>
      <c r="AA29" s="70"/>
      <c r="AB29" s="71"/>
      <c r="AC29" s="71">
        <f>+(S29-T29)*V29-'data 1'!$F$4</f>
        <v>-80</v>
      </c>
      <c r="AD29" s="71">
        <f t="shared" si="5"/>
        <v>0</v>
      </c>
      <c r="AE29" s="71">
        <f t="shared" si="6"/>
        <v>-70</v>
      </c>
      <c r="AF29" s="71">
        <f t="shared" si="7"/>
        <v>0</v>
      </c>
      <c r="AG29" s="72"/>
      <c r="AH29" s="193">
        <f t="shared" si="8"/>
        <v>0</v>
      </c>
      <c r="AI29" s="193">
        <f t="shared" si="9"/>
        <v>0</v>
      </c>
      <c r="AJ29" s="73">
        <f t="shared" si="10"/>
        <v>0</v>
      </c>
      <c r="AK29" s="73">
        <f t="shared" si="11"/>
        <v>0</v>
      </c>
      <c r="AL29" s="11"/>
      <c r="AM29" s="51">
        <f t="shared" si="12"/>
        <v>0</v>
      </c>
      <c r="AN29" s="51"/>
      <c r="AO29" s="131"/>
      <c r="AW29" s="160" t="s">
        <v>690</v>
      </c>
      <c r="AX29" s="6">
        <f t="shared" si="27"/>
        <v>0</v>
      </c>
      <c r="AY29" s="2"/>
      <c r="AZ29" s="58">
        <f t="shared" si="28"/>
        <v>0</v>
      </c>
      <c r="BA29" s="2"/>
      <c r="BB29" s="162">
        <f t="shared" si="29"/>
        <v>0</v>
      </c>
    </row>
    <row r="30" ht="15.0" customHeight="1">
      <c r="A30" s="116" t="s">
        <v>1553</v>
      </c>
      <c r="B30" s="56">
        <v>45937.0</v>
      </c>
      <c r="C30" s="182">
        <v>45931.0</v>
      </c>
      <c r="D30" s="57" t="s">
        <v>295</v>
      </c>
      <c r="E30" s="3">
        <f t="array" ref="E30">XLOOKUP(D30,RUC!$B$3:$B$110,RUC!$D$3:$D$110)</f>
        <v>20601769396</v>
      </c>
      <c r="G30" s="141">
        <v>50.0</v>
      </c>
      <c r="H30" s="3" t="s">
        <v>40</v>
      </c>
      <c r="I30" s="6">
        <v>3.04</v>
      </c>
      <c r="J30" s="58">
        <v>15.28</v>
      </c>
      <c r="K30" s="6">
        <f t="shared" ref="K30:K93" si="35">ROUND(+I30-(I30*(J30/100)),3)</f>
        <v>2.575</v>
      </c>
      <c r="L30" s="3">
        <v>0.546</v>
      </c>
      <c r="M30" s="3">
        <v>0.519</v>
      </c>
      <c r="N30" s="62">
        <f t="shared" ref="N30:N31" si="36">+M30</f>
        <v>0.519</v>
      </c>
      <c r="O30" s="60">
        <f t="shared" ref="O30:O93" si="37">+ROUND((M30+N30)/2,3)</f>
        <v>0.519</v>
      </c>
      <c r="P30" s="63">
        <v>90.0</v>
      </c>
      <c r="Q30" s="58">
        <v>92.31</v>
      </c>
      <c r="R30" s="65">
        <v>3872.0</v>
      </c>
      <c r="S30" s="66">
        <f t="array" ref="S30">IF((XLOOKUP(D30,RUC!$B$3:$B$106,RUC!$E$3:$E$106)+ROUNDDOWN(O30,1)*100)&lt;95,95,((XLOOKUP(D30,RUC!$B$3:$B$106,RUC!$E$3:$E$106)+ROUNDDOWN(O30,1)*100)))</f>
        <v>140</v>
      </c>
      <c r="U30" s="67">
        <f t="array" ref="U30">XLOOKUP(D30,RUC!$B$3:$B$110,RUC!$F$3:$F$110)</f>
        <v>120</v>
      </c>
      <c r="V30" s="67">
        <v>1.1023</v>
      </c>
      <c r="Y30" s="57">
        <f t="array" ref="Y30">XLOOKUP(D30,RUC!$B$3:$B$110,RUC!$G$3:$G$110)</f>
        <v>20</v>
      </c>
      <c r="Z30" s="69">
        <f t="array" ref="Z30">XLOOKUP(D30,RUC!$B$3:$B$110,RUC!$H$3:$H$110)</f>
        <v>30</v>
      </c>
      <c r="AA30" s="70">
        <f t="shared" ref="AA30:AA93" si="38">+Y30+Z30</f>
        <v>50</v>
      </c>
      <c r="AB30" s="71">
        <f t="shared" ref="AB30:AB93" si="39">+((O30*P30*(R30-U30)/100)-S30-AA30+T30)*V30</f>
        <v>1722.409006</v>
      </c>
      <c r="AC30" s="71">
        <f>+(S30-T30)*V30-'data 1'!$F$4</f>
        <v>74.322</v>
      </c>
      <c r="AD30" s="71">
        <f t="shared" si="5"/>
        <v>52.16356441</v>
      </c>
      <c r="AE30" s="71">
        <f t="shared" si="6"/>
        <v>-14.885</v>
      </c>
      <c r="AF30" s="71">
        <f t="shared" si="7"/>
        <v>103.0801762</v>
      </c>
      <c r="AG30" s="72">
        <f t="shared" ref="AG30:AG31" si="40">AC30+AD30+AE30+AF30+70-53</f>
        <v>231.6807406</v>
      </c>
      <c r="AH30" s="193">
        <f t="shared" si="8"/>
        <v>44.497</v>
      </c>
      <c r="AI30" s="193">
        <f t="shared" si="9"/>
        <v>48.204</v>
      </c>
      <c r="AJ30" s="73">
        <f t="shared" si="10"/>
        <v>110.0034716</v>
      </c>
      <c r="AK30" s="73">
        <f t="shared" si="11"/>
        <v>41.23786475</v>
      </c>
      <c r="AL30" s="11"/>
      <c r="AM30" s="51">
        <f t="shared" si="12"/>
        <v>4435.203191</v>
      </c>
      <c r="AN30" s="51" t="str">
        <f t="array" ref="AN30">XLOOKUP(D30,RUC!$B$3:$B$565,RUC!$M$3:$M$565)</f>
        <v>Evelyn</v>
      </c>
      <c r="AO30" s="131" t="s">
        <v>558</v>
      </c>
      <c r="AP30" s="57" t="s">
        <v>1491</v>
      </c>
      <c r="AQ30" s="57" t="s">
        <v>1492</v>
      </c>
      <c r="AW30" s="160" t="s">
        <v>691</v>
      </c>
      <c r="AX30" s="6">
        <f t="shared" si="27"/>
        <v>0</v>
      </c>
      <c r="AY30" s="2"/>
      <c r="AZ30" s="58">
        <f t="shared" si="28"/>
        <v>0</v>
      </c>
      <c r="BA30" s="2"/>
      <c r="BB30" s="162">
        <f t="shared" si="29"/>
        <v>0</v>
      </c>
    </row>
    <row r="31" ht="15.0" customHeight="1">
      <c r="A31" s="116" t="s">
        <v>1554</v>
      </c>
      <c r="B31" s="56">
        <v>45937.0</v>
      </c>
      <c r="C31" s="182">
        <v>45931.0</v>
      </c>
      <c r="D31" s="57" t="s">
        <v>295</v>
      </c>
      <c r="E31" s="3">
        <f t="array" ref="E31">XLOOKUP(D31,RUC!$B$3:$B$110,RUC!$D$3:$D$110)</f>
        <v>20601769396</v>
      </c>
      <c r="G31" s="141">
        <v>50.0</v>
      </c>
      <c r="H31" s="3" t="s">
        <v>40</v>
      </c>
      <c r="I31" s="6">
        <v>3.45</v>
      </c>
      <c r="J31" s="58">
        <v>16.12</v>
      </c>
      <c r="K31" s="6">
        <f t="shared" si="35"/>
        <v>2.894</v>
      </c>
      <c r="L31" s="3">
        <v>0.604</v>
      </c>
      <c r="M31" s="3">
        <v>0.574</v>
      </c>
      <c r="N31" s="62">
        <f t="shared" si="36"/>
        <v>0.574</v>
      </c>
      <c r="O31" s="60">
        <f t="shared" si="37"/>
        <v>0.574</v>
      </c>
      <c r="P31" s="63">
        <v>90.0</v>
      </c>
      <c r="Q31" s="58">
        <v>95.53</v>
      </c>
      <c r="R31" s="65">
        <v>3872.0</v>
      </c>
      <c r="S31" s="66">
        <f t="array" ref="S31">IF((XLOOKUP(D31,RUC!$B$3:$B$106,RUC!$E$3:$E$106)+ROUNDDOWN(O31,1)*100)&lt;95,95,((XLOOKUP(D31,RUC!$B$3:$B$106,RUC!$E$3:$E$106)+ROUNDDOWN(O31,1)*100)))</f>
        <v>140</v>
      </c>
      <c r="U31" s="67">
        <f t="array" ref="U31">XLOOKUP(D31,RUC!$B$3:$B$110,RUC!$F$3:$F$110)</f>
        <v>120</v>
      </c>
      <c r="V31" s="67">
        <v>1.1023</v>
      </c>
      <c r="Y31" s="57">
        <f t="array" ref="Y31">XLOOKUP(D31,RUC!$B$3:$B$110,RUC!$G$3:$G$110)</f>
        <v>20</v>
      </c>
      <c r="Z31" s="69">
        <f t="array" ref="Z31">XLOOKUP(D31,RUC!$B$3:$B$110,RUC!$H$3:$H$110)</f>
        <v>30</v>
      </c>
      <c r="AA31" s="70">
        <f t="shared" si="38"/>
        <v>50</v>
      </c>
      <c r="AB31" s="71">
        <f t="shared" si="39"/>
        <v>1927.132571</v>
      </c>
      <c r="AC31" s="71">
        <f>+(S31-T31)*V31-'data 1'!$F$4</f>
        <v>74.322</v>
      </c>
      <c r="AD31" s="71">
        <f t="shared" si="5"/>
        <v>138.1416716</v>
      </c>
      <c r="AE31" s="71">
        <f t="shared" si="6"/>
        <v>-14.885</v>
      </c>
      <c r="AF31" s="71">
        <f t="shared" si="7"/>
        <v>118.5287405</v>
      </c>
      <c r="AG31" s="72">
        <f t="shared" si="40"/>
        <v>333.1074121</v>
      </c>
      <c r="AH31" s="193">
        <f t="shared" si="8"/>
        <v>57.251</v>
      </c>
      <c r="AI31" s="193">
        <f t="shared" si="9"/>
        <v>59.93</v>
      </c>
      <c r="AJ31" s="73">
        <f t="shared" si="10"/>
        <v>125.9336277</v>
      </c>
      <c r="AK31" s="73">
        <f t="shared" si="11"/>
        <v>51.25804026</v>
      </c>
      <c r="AL31" s="11"/>
      <c r="AM31" s="51">
        <f t="shared" si="12"/>
        <v>5577.121662</v>
      </c>
      <c r="AN31" s="51" t="str">
        <f t="array" ref="AN31">XLOOKUP(D31,RUC!$B$3:$B$565,RUC!$M$3:$M$565)</f>
        <v>Evelyn</v>
      </c>
      <c r="AO31" s="131" t="s">
        <v>558</v>
      </c>
      <c r="AP31" s="57" t="s">
        <v>1491</v>
      </c>
      <c r="AQ31" s="57" t="s">
        <v>1492</v>
      </c>
      <c r="AW31" s="160" t="s">
        <v>692</v>
      </c>
      <c r="AX31" s="6">
        <f t="shared" si="27"/>
        <v>0</v>
      </c>
      <c r="AY31" s="2"/>
      <c r="AZ31" s="58">
        <f t="shared" si="28"/>
        <v>0</v>
      </c>
      <c r="BA31" s="2"/>
      <c r="BB31" s="162">
        <f t="shared" si="29"/>
        <v>0</v>
      </c>
    </row>
    <row r="32" ht="15.0" customHeight="1">
      <c r="A32" s="116" t="s">
        <v>1555</v>
      </c>
      <c r="B32" s="56">
        <v>45938.0</v>
      </c>
      <c r="C32" s="182">
        <v>45931.0</v>
      </c>
      <c r="D32" s="57" t="s">
        <v>1556</v>
      </c>
      <c r="E32" s="3">
        <f t="array" ref="E32">XLOOKUP(D32,RUC!$B$3:$B$110,RUC!$D$3:$D$110)</f>
        <v>10486077447</v>
      </c>
      <c r="G32" s="141" t="s">
        <v>735</v>
      </c>
      <c r="H32" s="3" t="s">
        <v>40</v>
      </c>
      <c r="I32" s="6">
        <v>29.99</v>
      </c>
      <c r="J32" s="58">
        <v>1.2</v>
      </c>
      <c r="K32" s="6">
        <f t="shared" si="35"/>
        <v>29.63</v>
      </c>
      <c r="L32" s="3">
        <v>0.094</v>
      </c>
      <c r="M32" s="3">
        <v>0.074</v>
      </c>
      <c r="N32" s="75">
        <v>0.145</v>
      </c>
      <c r="O32" s="60">
        <f t="shared" si="37"/>
        <v>0.11</v>
      </c>
      <c r="P32" s="63">
        <v>80.0</v>
      </c>
      <c r="Q32" s="58">
        <v>98.88</v>
      </c>
      <c r="R32" s="65">
        <v>3872.0</v>
      </c>
      <c r="S32" s="66">
        <f t="array" ref="S32">IF((XLOOKUP(D32,RUC!$B$3:$B$106,RUC!$E$3:$E$106)+ROUNDDOWN(O32,1)*100)&lt;95,95,((XLOOKUP(D32,RUC!$B$3:$B$106,RUC!$E$3:$E$106)+ROUNDDOWN(O32,1)*100)))</f>
        <v>95</v>
      </c>
      <c r="U32" s="67">
        <f t="array" ref="U32">XLOOKUP(D32,RUC!$B$3:$B$110,RUC!$F$3:$F$110)</f>
        <v>100</v>
      </c>
      <c r="V32" s="67">
        <v>1.1023</v>
      </c>
      <c r="Y32" s="57" t="str">
        <f t="array" ref="Y32">XLOOKUP(D32,RUC!$B$3:$B$110,RUC!$G$3:$G$110)</f>
        <v/>
      </c>
      <c r="Z32" s="69">
        <f t="array" ref="Z32">XLOOKUP(D32,RUC!$B$3:$B$110,RUC!$H$3:$H$110)</f>
        <v>30</v>
      </c>
      <c r="AA32" s="70">
        <f t="shared" si="38"/>
        <v>30</v>
      </c>
      <c r="AB32" s="71">
        <f t="shared" si="39"/>
        <v>228.1055528</v>
      </c>
      <c r="AC32" s="71">
        <f>+(S32-T32)*V32-'data 1'!$F$4</f>
        <v>24.7185</v>
      </c>
      <c r="AD32" s="71">
        <f t="shared" si="5"/>
        <v>73.79064985</v>
      </c>
      <c r="AE32" s="71">
        <f t="shared" si="6"/>
        <v>-36.931</v>
      </c>
      <c r="AF32" s="71">
        <f t="shared" si="7"/>
        <v>-65.78091829</v>
      </c>
      <c r="AG32" s="72">
        <f t="shared" ref="AG32:AG34" si="41">AC32+AD32+AE32+AF32+70</f>
        <v>65.79723156</v>
      </c>
      <c r="AH32" s="193">
        <f t="shared" si="8"/>
        <v>94.423</v>
      </c>
      <c r="AI32" s="193">
        <f t="shared" si="9"/>
        <v>95.492</v>
      </c>
      <c r="AJ32" s="73">
        <f t="shared" si="10"/>
        <v>18.23711434</v>
      </c>
      <c r="AK32" s="73">
        <f t="shared" si="11"/>
        <v>89.39709222</v>
      </c>
      <c r="AL32" s="11"/>
      <c r="AM32" s="51">
        <f t="shared" si="12"/>
        <v>6758.767529</v>
      </c>
      <c r="AN32" s="51" t="str">
        <f t="array" ref="AN32">XLOOKUP(D32,RUC!$B$3:$B$565,RUC!$M$3:$M$565)</f>
        <v>Martin</v>
      </c>
      <c r="AO32" s="131" t="s">
        <v>558</v>
      </c>
      <c r="AP32" s="57" t="s">
        <v>1557</v>
      </c>
      <c r="AQ32" s="57" t="s">
        <v>1558</v>
      </c>
      <c r="AW32" s="163" t="s">
        <v>693</v>
      </c>
      <c r="AX32" s="165">
        <f t="shared" si="27"/>
        <v>0</v>
      </c>
      <c r="AY32" s="170"/>
      <c r="AZ32" s="168">
        <f t="shared" si="28"/>
        <v>0</v>
      </c>
      <c r="BA32" s="170"/>
      <c r="BB32" s="171">
        <f t="shared" si="29"/>
        <v>0</v>
      </c>
    </row>
    <row r="33" ht="15.0" customHeight="1">
      <c r="A33" s="116" t="s">
        <v>1559</v>
      </c>
      <c r="B33" s="56">
        <v>45940.0</v>
      </c>
      <c r="C33" s="182">
        <v>45932.0</v>
      </c>
      <c r="D33" s="57" t="s">
        <v>74</v>
      </c>
      <c r="E33" s="3">
        <f t="array" ref="E33">XLOOKUP(D33,RUC!$B$3:$B$110,RUC!$D$3:$D$110)</f>
        <v>10082235774</v>
      </c>
      <c r="G33" s="141">
        <v>63.0</v>
      </c>
      <c r="H33" s="3" t="s">
        <v>47</v>
      </c>
      <c r="I33" s="6">
        <v>6.22</v>
      </c>
      <c r="J33" s="58">
        <v>1.3</v>
      </c>
      <c r="K33" s="6">
        <f t="shared" si="35"/>
        <v>6.139</v>
      </c>
      <c r="L33" s="3">
        <v>0.176</v>
      </c>
      <c r="M33" s="3">
        <v>0.16899999999999998</v>
      </c>
      <c r="N33" s="62">
        <f t="shared" ref="N33:N37" si="42">+M33</f>
        <v>0.169</v>
      </c>
      <c r="O33" s="60">
        <f t="shared" si="37"/>
        <v>0.169</v>
      </c>
      <c r="P33" s="63">
        <v>85.0</v>
      </c>
      <c r="Q33" s="58">
        <v>89.2</v>
      </c>
      <c r="R33" s="65">
        <v>3878.1</v>
      </c>
      <c r="S33" s="133">
        <f t="array" ref="S33">IF((XLOOKUP(D33,RUC!$B$3:$B$106,RUC!$E$3:$E$106)+ROUNDDOWN(O33,1)*100)&lt;95,95,((XLOOKUP(D33,RUC!$B$3:$B$106,RUC!$E$3:$E$106)+ROUNDDOWN(O33,1)*100)))</f>
        <v>95</v>
      </c>
      <c r="U33" s="67">
        <f t="array" ref="U33">XLOOKUP(D33,RUC!$B$3:$B$110,RUC!$F$3:$F$110)</f>
        <v>80</v>
      </c>
      <c r="V33" s="67">
        <v>1.1023</v>
      </c>
      <c r="Y33" s="57" t="str">
        <f t="array" ref="Y33">XLOOKUP(D33,RUC!$B$3:$B$110,RUC!$G$3:$G$110)</f>
        <v/>
      </c>
      <c r="Z33" s="69">
        <f t="array" ref="Z33">XLOOKUP(D33,RUC!$B$3:$B$110,RUC!$H$3:$H$110)</f>
        <v>10</v>
      </c>
      <c r="AA33" s="70">
        <f t="shared" si="38"/>
        <v>10</v>
      </c>
      <c r="AB33" s="71">
        <f t="shared" si="39"/>
        <v>485.6701447</v>
      </c>
      <c r="AC33" s="71">
        <f>+(S33-T33)*V33-'data 1'!$F$4</f>
        <v>24.7185</v>
      </c>
      <c r="AD33" s="71">
        <f t="shared" si="5"/>
        <v>30.9476845</v>
      </c>
      <c r="AE33" s="71">
        <f t="shared" si="6"/>
        <v>-58.977</v>
      </c>
      <c r="AF33" s="71">
        <f t="shared" si="7"/>
        <v>26.14141531</v>
      </c>
      <c r="AG33" s="72">
        <f t="shared" si="41"/>
        <v>92.83059981</v>
      </c>
      <c r="AH33" s="193">
        <f t="shared" si="8"/>
        <v>33.043</v>
      </c>
      <c r="AI33" s="193">
        <f t="shared" si="9"/>
        <v>37.044</v>
      </c>
      <c r="AJ33" s="73">
        <f t="shared" si="10"/>
        <v>26.28664158</v>
      </c>
      <c r="AK33" s="73">
        <f t="shared" si="11"/>
        <v>30.2351643</v>
      </c>
      <c r="AL33" s="11"/>
      <c r="AM33" s="51">
        <f t="shared" si="12"/>
        <v>2981.529019</v>
      </c>
      <c r="AN33" s="51" t="str">
        <f t="array" ref="AN33">XLOOKUP(D33,RUC!$B$3:$B$565,RUC!$M$3:$M$565)</f>
        <v>Melchor Vera</v>
      </c>
      <c r="AO33" s="131" t="s">
        <v>551</v>
      </c>
      <c r="AP33" s="57" t="s">
        <v>1504</v>
      </c>
      <c r="AQ33" s="57" t="s">
        <v>1505</v>
      </c>
    </row>
    <row r="34" ht="15.0" customHeight="1">
      <c r="A34" s="116" t="s">
        <v>1560</v>
      </c>
      <c r="B34" s="56">
        <v>45940.0</v>
      </c>
      <c r="C34" s="182">
        <v>45932.0</v>
      </c>
      <c r="D34" s="57" t="s">
        <v>74</v>
      </c>
      <c r="E34" s="3">
        <f t="array" ref="E34">XLOOKUP(D34,RUC!$B$3:$B$110,RUC!$D$3:$D$110)</f>
        <v>10082235774</v>
      </c>
      <c r="G34" s="141">
        <v>34.0</v>
      </c>
      <c r="H34" s="3" t="s">
        <v>47</v>
      </c>
      <c r="I34" s="6">
        <v>2.93</v>
      </c>
      <c r="J34" s="58">
        <v>1.2</v>
      </c>
      <c r="K34" s="6">
        <f t="shared" si="35"/>
        <v>2.895</v>
      </c>
      <c r="L34" s="3">
        <v>0.114</v>
      </c>
      <c r="M34" s="3">
        <v>0.107</v>
      </c>
      <c r="N34" s="62">
        <f t="shared" si="42"/>
        <v>0.107</v>
      </c>
      <c r="O34" s="60">
        <f t="shared" si="37"/>
        <v>0.107</v>
      </c>
      <c r="P34" s="63">
        <v>85.0</v>
      </c>
      <c r="Q34" s="58">
        <v>98.25</v>
      </c>
      <c r="R34" s="65">
        <v>3878.1</v>
      </c>
      <c r="S34" s="133">
        <f t="array" ref="S34">IF((XLOOKUP(D34,RUC!$B$3:$B$106,RUC!$E$3:$E$106)+ROUNDDOWN(O34,1)*100)&lt;95,95,((XLOOKUP(D34,RUC!$B$3:$B$106,RUC!$E$3:$E$106)+ROUNDDOWN(O34,1)*100)))</f>
        <v>95</v>
      </c>
      <c r="U34" s="67">
        <f t="array" ref="U34">XLOOKUP(D34,RUC!$B$3:$B$110,RUC!$F$3:$F$110)</f>
        <v>80</v>
      </c>
      <c r="V34" s="67">
        <v>1.1023</v>
      </c>
      <c r="Y34" s="57" t="str">
        <f t="array" ref="Y34">XLOOKUP(D34,RUC!$B$3:$B$110,RUC!$G$3:$G$110)</f>
        <v/>
      </c>
      <c r="Z34" s="69">
        <f t="array" ref="Z34">XLOOKUP(D34,RUC!$B$3:$B$110,RUC!$H$3:$H$110)</f>
        <v>10</v>
      </c>
      <c r="AA34" s="70">
        <f t="shared" si="38"/>
        <v>10</v>
      </c>
      <c r="AB34" s="71">
        <f t="shared" si="39"/>
        <v>265.03392</v>
      </c>
      <c r="AC34" s="71">
        <f>+(S34-T34)*V34-'data 1'!$F$4</f>
        <v>24.7185</v>
      </c>
      <c r="AD34" s="71">
        <f t="shared" si="5"/>
        <v>63.23928224</v>
      </c>
      <c r="AE34" s="71">
        <f t="shared" si="6"/>
        <v>-58.977</v>
      </c>
      <c r="AF34" s="71">
        <f t="shared" si="7"/>
        <v>28.79365532</v>
      </c>
      <c r="AG34" s="72">
        <f t="shared" si="41"/>
        <v>127.7744376</v>
      </c>
      <c r="AH34" s="193">
        <f t="shared" si="8"/>
        <v>11.117</v>
      </c>
      <c r="AI34" s="193">
        <f t="shared" si="9"/>
        <v>11.315</v>
      </c>
      <c r="AJ34" s="73">
        <f t="shared" si="10"/>
        <v>18.75404664</v>
      </c>
      <c r="AK34" s="73">
        <f t="shared" si="11"/>
        <v>9.027351245</v>
      </c>
      <c r="AL34" s="11"/>
      <c r="AM34" s="51">
        <f t="shared" si="12"/>
        <v>767.2731985</v>
      </c>
      <c r="AN34" s="51" t="str">
        <f t="array" ref="AN34">XLOOKUP(D34,RUC!$B$3:$B$565,RUC!$M$3:$M$565)</f>
        <v>Melchor Vera</v>
      </c>
      <c r="AO34" s="131" t="s">
        <v>558</v>
      </c>
      <c r="AP34" s="57" t="s">
        <v>1504</v>
      </c>
      <c r="AQ34" s="57" t="s">
        <v>1505</v>
      </c>
    </row>
    <row r="35" ht="15.0" customHeight="1">
      <c r="A35" s="116" t="s">
        <v>1561</v>
      </c>
      <c r="B35" s="56">
        <v>45940.0</v>
      </c>
      <c r="C35" s="182">
        <v>45933.0</v>
      </c>
      <c r="D35" s="57" t="s">
        <v>602</v>
      </c>
      <c r="E35" s="3">
        <f t="array" ref="E35">XLOOKUP(D35,RUC!$B$3:$B$110,RUC!$D$3:$D$110)</f>
        <v>20169040231</v>
      </c>
      <c r="G35" s="141">
        <v>78.0</v>
      </c>
      <c r="H35" s="3" t="s">
        <v>47</v>
      </c>
      <c r="I35" s="6">
        <v>7.29</v>
      </c>
      <c r="J35" s="58">
        <v>1.8</v>
      </c>
      <c r="K35" s="6">
        <f t="shared" si="35"/>
        <v>7.159</v>
      </c>
      <c r="L35" s="3">
        <v>0.261</v>
      </c>
      <c r="M35" s="3">
        <v>0.246</v>
      </c>
      <c r="N35" s="62">
        <f t="shared" si="42"/>
        <v>0.246</v>
      </c>
      <c r="O35" s="60">
        <f t="shared" si="37"/>
        <v>0.246</v>
      </c>
      <c r="P35" s="63">
        <v>88.0</v>
      </c>
      <c r="Q35" s="2">
        <v>88.12</v>
      </c>
      <c r="R35" s="65">
        <v>3885.7</v>
      </c>
      <c r="S35" s="66">
        <f t="array" ref="S35">IF((XLOOKUP(D35,RUC!$B$3:$B$106,RUC!$E$3:$E$106)+ROUNDDOWN(O35,1)*100)&lt;95,95,((XLOOKUP(D35,RUC!$B$3:$B$106,RUC!$E$3:$E$106)+ROUNDDOWN(O35,1)*100)))</f>
        <v>105</v>
      </c>
      <c r="U35" s="67">
        <f t="array" ref="U35">XLOOKUP(D35,RUC!$B$3:$B$110,RUC!$F$3:$F$110)</f>
        <v>120</v>
      </c>
      <c r="V35" s="67">
        <v>1.1023</v>
      </c>
      <c r="Y35" s="57">
        <f t="array" ref="Y35">XLOOKUP(D35,RUC!$B$3:$B$110,RUC!$G$3:$G$110)</f>
        <v>20</v>
      </c>
      <c r="Z35" s="140">
        <v>35.0</v>
      </c>
      <c r="AA35" s="70">
        <f t="shared" si="38"/>
        <v>55</v>
      </c>
      <c r="AB35" s="71">
        <f t="shared" si="39"/>
        <v>722.2255667</v>
      </c>
      <c r="AC35" s="71">
        <f>+(S35-T35)*V35-'data 1'!$F$4</f>
        <v>35.7415</v>
      </c>
      <c r="AD35" s="71">
        <f t="shared" si="5"/>
        <v>1.300071624</v>
      </c>
      <c r="AE35" s="71">
        <f t="shared" si="6"/>
        <v>-9.3735</v>
      </c>
      <c r="AF35" s="71">
        <f t="shared" si="7"/>
        <v>54.86700741</v>
      </c>
      <c r="AG35" s="72">
        <f t="shared" ref="AG35:AG37" si="43">AC35+AD35+AE35+AF35+70-53</f>
        <v>99.53507904</v>
      </c>
      <c r="AH35" s="193">
        <f t="shared" si="8"/>
        <v>56.452</v>
      </c>
      <c r="AI35" s="193">
        <f t="shared" si="9"/>
        <v>64.062</v>
      </c>
      <c r="AJ35" s="73">
        <f t="shared" si="10"/>
        <v>46.72401325</v>
      </c>
      <c r="AK35" s="73">
        <f t="shared" si="11"/>
        <v>53.13481966</v>
      </c>
      <c r="AL35" s="11"/>
      <c r="AM35" s="51">
        <f t="shared" si="12"/>
        <v>5170.412832</v>
      </c>
      <c r="AN35" s="51" t="str">
        <f t="array" ref="AN35">XLOOKUP(D35,RUC!$B$3:$B$565,RUC!$M$3:$M$565)</f>
        <v>Ronald Miranda</v>
      </c>
      <c r="AO35" s="131" t="s">
        <v>558</v>
      </c>
      <c r="AP35" s="57" t="s">
        <v>1562</v>
      </c>
      <c r="AQ35" s="57" t="s">
        <v>635</v>
      </c>
    </row>
    <row r="36" ht="15.0" customHeight="1">
      <c r="A36" s="116" t="s">
        <v>1563</v>
      </c>
      <c r="B36" s="56">
        <v>45940.0</v>
      </c>
      <c r="C36" s="182">
        <v>45933.0</v>
      </c>
      <c r="D36" s="57" t="s">
        <v>602</v>
      </c>
      <c r="E36" s="3">
        <f t="array" ref="E36">XLOOKUP(D36,RUC!$B$3:$B$110,RUC!$D$3:$D$110)</f>
        <v>20169040231</v>
      </c>
      <c r="G36" s="141">
        <v>78.0</v>
      </c>
      <c r="H36" s="3" t="s">
        <v>47</v>
      </c>
      <c r="I36" s="6">
        <v>7.28</v>
      </c>
      <c r="J36" s="58">
        <v>1.85</v>
      </c>
      <c r="K36" s="6">
        <f t="shared" si="35"/>
        <v>7.145</v>
      </c>
      <c r="L36" s="3">
        <v>0.272</v>
      </c>
      <c r="M36" s="3">
        <v>0.257</v>
      </c>
      <c r="N36" s="62">
        <f t="shared" si="42"/>
        <v>0.257</v>
      </c>
      <c r="O36" s="60">
        <f t="shared" si="37"/>
        <v>0.257</v>
      </c>
      <c r="P36" s="63">
        <v>89.0</v>
      </c>
      <c r="Q36" s="2">
        <v>89.34</v>
      </c>
      <c r="R36" s="65">
        <v>3885.7</v>
      </c>
      <c r="S36" s="66">
        <f t="array" ref="S36">IF((XLOOKUP(D36,RUC!$B$3:$B$106,RUC!$E$3:$E$106)+ROUNDDOWN(O36,1)*100)&lt;95,95,((XLOOKUP(D36,RUC!$B$3:$B$106,RUC!$E$3:$E$106)+ROUNDDOWN(O36,1)*100)))</f>
        <v>105</v>
      </c>
      <c r="U36" s="67">
        <f t="array" ref="U36">XLOOKUP(D36,RUC!$B$3:$B$110,RUC!$F$3:$F$110)</f>
        <v>120</v>
      </c>
      <c r="V36" s="67">
        <v>1.1023</v>
      </c>
      <c r="Y36" s="57">
        <f t="array" ref="Y36">XLOOKUP(D36,RUC!$B$3:$B$110,RUC!$G$3:$G$110)</f>
        <v>20</v>
      </c>
      <c r="Z36" s="140">
        <v>35.0</v>
      </c>
      <c r="AA36" s="70">
        <f t="shared" si="38"/>
        <v>55</v>
      </c>
      <c r="AB36" s="71">
        <f t="shared" si="39"/>
        <v>773.0744728</v>
      </c>
      <c r="AC36" s="71">
        <f>+(S36-T36)*V36-'data 1'!$F$4</f>
        <v>35.7415</v>
      </c>
      <c r="AD36" s="71">
        <f t="shared" si="5"/>
        <v>3.838781091</v>
      </c>
      <c r="AE36" s="71">
        <f t="shared" si="6"/>
        <v>-9.3735</v>
      </c>
      <c r="AF36" s="71">
        <f t="shared" si="7"/>
        <v>55.62662781</v>
      </c>
      <c r="AG36" s="72">
        <f t="shared" si="43"/>
        <v>102.8334089</v>
      </c>
      <c r="AH36" s="193">
        <f t="shared" si="8"/>
        <v>59.529</v>
      </c>
      <c r="AI36" s="193">
        <f t="shared" si="9"/>
        <v>66.632</v>
      </c>
      <c r="AJ36" s="73">
        <f t="shared" si="10"/>
        <v>49.36737041</v>
      </c>
      <c r="AK36" s="73">
        <f t="shared" si="11"/>
        <v>56.0317817</v>
      </c>
      <c r="AL36" s="11"/>
      <c r="AM36" s="51">
        <f t="shared" si="12"/>
        <v>5523.617108</v>
      </c>
      <c r="AN36" s="51" t="str">
        <f t="array" ref="AN36">XLOOKUP(D36,RUC!$B$3:$B$565,RUC!$M$3:$M$565)</f>
        <v>Ronald Miranda</v>
      </c>
      <c r="AO36" s="131" t="s">
        <v>558</v>
      </c>
      <c r="AP36" s="57" t="s">
        <v>1562</v>
      </c>
      <c r="AQ36" s="57" t="s">
        <v>635</v>
      </c>
    </row>
    <row r="37" ht="15.0" customHeight="1">
      <c r="A37" s="116" t="s">
        <v>1564</v>
      </c>
      <c r="B37" s="56">
        <v>45940.0</v>
      </c>
      <c r="C37" s="182">
        <v>45933.0</v>
      </c>
      <c r="D37" s="57" t="s">
        <v>602</v>
      </c>
      <c r="E37" s="3">
        <f t="array" ref="E37">XLOOKUP(D37,RUC!$B$3:$B$110,RUC!$D$3:$D$110)</f>
        <v>20169040231</v>
      </c>
      <c r="G37" s="141">
        <v>70.0</v>
      </c>
      <c r="H37" s="3" t="s">
        <v>47</v>
      </c>
      <c r="I37" s="6">
        <v>6.43</v>
      </c>
      <c r="J37" s="58">
        <v>1.3</v>
      </c>
      <c r="K37" s="6">
        <f t="shared" si="35"/>
        <v>6.346</v>
      </c>
      <c r="L37" s="3">
        <v>0.869</v>
      </c>
      <c r="M37" s="3">
        <v>0.826</v>
      </c>
      <c r="N37" s="62">
        <f t="shared" si="42"/>
        <v>0.826</v>
      </c>
      <c r="O37" s="60">
        <f t="shared" si="37"/>
        <v>0.826</v>
      </c>
      <c r="P37" s="63">
        <v>90.0</v>
      </c>
      <c r="Q37" s="2">
        <v>97.35</v>
      </c>
      <c r="R37" s="65">
        <v>3885.7</v>
      </c>
      <c r="S37" s="66">
        <f t="array" ref="S37">IF((XLOOKUP(D37,RUC!$B$3:$B$106,RUC!$E$3:$E$106)+ROUNDDOWN(O37,1)*100)&lt;95,95,((XLOOKUP(D37,RUC!$B$3:$B$106,RUC!$E$3:$E$106)+ROUNDDOWN(O37,1)*100)))</f>
        <v>165</v>
      </c>
      <c r="U37" s="67">
        <f t="array" ref="U37">XLOOKUP(D37,RUC!$B$3:$B$110,RUC!$F$3:$F$110)</f>
        <v>120</v>
      </c>
      <c r="V37" s="67">
        <v>1.1023</v>
      </c>
      <c r="Y37" s="57">
        <f t="array" ref="Y37">XLOOKUP(D37,RUC!$B$3:$B$110,RUC!$G$3:$G$110)</f>
        <v>20</v>
      </c>
      <c r="Z37" s="140">
        <v>35.0</v>
      </c>
      <c r="AA37" s="70">
        <f t="shared" si="38"/>
        <v>55</v>
      </c>
      <c r="AB37" s="71">
        <f t="shared" si="39"/>
        <v>2843.296187</v>
      </c>
      <c r="AC37" s="71">
        <f>+(S37-T37)*V37-'data 1'!$F$4</f>
        <v>101.8795</v>
      </c>
      <c r="AD37" s="71">
        <f t="shared" si="5"/>
        <v>265.1261964</v>
      </c>
      <c r="AE37" s="71">
        <f t="shared" si="6"/>
        <v>-9.3735</v>
      </c>
      <c r="AF37" s="71">
        <f t="shared" si="7"/>
        <v>173.7600517</v>
      </c>
      <c r="AG37" s="72">
        <f t="shared" si="43"/>
        <v>548.3922481</v>
      </c>
      <c r="AH37" s="193">
        <f t="shared" si="8"/>
        <v>184.062</v>
      </c>
      <c r="AI37" s="193">
        <f t="shared" si="9"/>
        <v>189.073</v>
      </c>
      <c r="AJ37" s="73">
        <f t="shared" si="10"/>
        <v>171.8624011</v>
      </c>
      <c r="AK37" s="73">
        <f t="shared" si="11"/>
        <v>161.7453089</v>
      </c>
      <c r="AL37" s="11"/>
      <c r="AM37" s="51">
        <f t="shared" si="12"/>
        <v>18043.5576</v>
      </c>
      <c r="AN37" s="51" t="str">
        <f t="array" ref="AN37">XLOOKUP(D37,RUC!$B$3:$B$565,RUC!$M$3:$M$565)</f>
        <v>Ronald Miranda</v>
      </c>
      <c r="AO37" s="131" t="s">
        <v>547</v>
      </c>
      <c r="AP37" s="57" t="s">
        <v>1562</v>
      </c>
      <c r="AQ37" s="57" t="s">
        <v>635</v>
      </c>
    </row>
    <row r="38" ht="15.0" customHeight="1">
      <c r="A38" s="116" t="s">
        <v>1565</v>
      </c>
      <c r="B38" s="56">
        <v>45940.0</v>
      </c>
      <c r="C38" s="182">
        <v>45936.0</v>
      </c>
      <c r="D38" s="57" t="s">
        <v>306</v>
      </c>
      <c r="E38" s="3">
        <f t="array" ref="E38">XLOOKUP(D38,RUC!$B$3:$B$110,RUC!$D$3:$D$110)</f>
        <v>20612921866</v>
      </c>
      <c r="G38" s="141">
        <v>78.0</v>
      </c>
      <c r="H38" s="3" t="s">
        <v>47</v>
      </c>
      <c r="I38" s="6">
        <v>7.74</v>
      </c>
      <c r="J38" s="58">
        <v>1.1</v>
      </c>
      <c r="K38" s="6">
        <f t="shared" si="35"/>
        <v>7.655</v>
      </c>
      <c r="L38" s="3">
        <v>0.366</v>
      </c>
      <c r="M38" s="3">
        <v>0.348</v>
      </c>
      <c r="N38" s="75">
        <v>0.419</v>
      </c>
      <c r="O38" s="60">
        <f t="shared" si="37"/>
        <v>0.384</v>
      </c>
      <c r="P38" s="63">
        <v>90.0</v>
      </c>
      <c r="Q38" s="2">
        <v>98.63</v>
      </c>
      <c r="R38" s="65">
        <v>3949.45</v>
      </c>
      <c r="S38" s="66">
        <f t="array" ref="S38">IF((XLOOKUP(D38,RUC!$B$3:$B$106,RUC!$E$3:$E$106)+ROUNDDOWN(O38,1)*100)&lt;95,95,((XLOOKUP(D38,RUC!$B$3:$B$106,RUC!$E$3:$E$106)+ROUNDDOWN(O38,1)*100)))</f>
        <v>110</v>
      </c>
      <c r="U38" s="67">
        <f t="array" ref="U38">XLOOKUP(D38,RUC!$B$3:$B$110,RUC!$F$3:$F$110)</f>
        <v>100</v>
      </c>
      <c r="V38" s="67">
        <v>1.1023</v>
      </c>
      <c r="Y38" s="57" t="str">
        <f t="array" ref="Y38">XLOOKUP(D38,RUC!$B$3:$B$110,RUC!$G$3:$G$110)</f>
        <v/>
      </c>
      <c r="Z38" s="69">
        <f t="array" ref="Z38">XLOOKUP(D38,RUC!$B$3:$B$110,RUC!$H$3:$H$110)</f>
        <v>30</v>
      </c>
      <c r="AA38" s="70">
        <f t="shared" si="38"/>
        <v>30</v>
      </c>
      <c r="AB38" s="71">
        <f t="shared" si="39"/>
        <v>1312.144763</v>
      </c>
      <c r="AC38" s="71">
        <f>+(S38-T38)*V38-'data 1'!$F$4</f>
        <v>41.253</v>
      </c>
      <c r="AD38" s="71">
        <f t="shared" si="5"/>
        <v>134.0264059</v>
      </c>
      <c r="AE38" s="71">
        <f t="shared" si="6"/>
        <v>-36.931</v>
      </c>
      <c r="AF38" s="71">
        <f t="shared" si="7"/>
        <v>-75.33209209</v>
      </c>
      <c r="AG38" s="72">
        <f>AC38+AD38+AE38+AF38+70-10</f>
        <v>123.0163138</v>
      </c>
      <c r="AH38" s="193">
        <f t="shared" si="8"/>
        <v>94.742</v>
      </c>
      <c r="AI38" s="193">
        <f t="shared" si="9"/>
        <v>96.058</v>
      </c>
      <c r="AJ38" s="73">
        <f t="shared" si="10"/>
        <v>40.01031779</v>
      </c>
      <c r="AK38" s="73">
        <f t="shared" si="11"/>
        <v>90.70432549</v>
      </c>
      <c r="AL38" s="11"/>
      <c r="AM38" s="51">
        <f t="shared" si="12"/>
        <v>10044.46816</v>
      </c>
      <c r="AN38" s="51" t="str">
        <f t="array" ref="AN38">XLOOKUP(D38,RUC!$B$3:$B$565,RUC!$M$3:$M$565)</f>
        <v>Ronald Garibay</v>
      </c>
      <c r="AO38" s="131" t="s">
        <v>558</v>
      </c>
      <c r="AP38" s="57" t="s">
        <v>1512</v>
      </c>
      <c r="AQ38" s="57" t="s">
        <v>1513</v>
      </c>
    </row>
    <row r="39" ht="15.0" customHeight="1">
      <c r="A39" s="116" t="s">
        <v>1566</v>
      </c>
      <c r="B39" s="56">
        <v>45943.0</v>
      </c>
      <c r="C39" s="182">
        <v>45938.0</v>
      </c>
      <c r="D39" s="57" t="s">
        <v>292</v>
      </c>
      <c r="E39" s="3">
        <f t="array" ref="E39">XLOOKUP(D39,RUC!$B$3:$B$110,RUC!$D$3:$D$110)</f>
        <v>20612791148</v>
      </c>
      <c r="G39" s="141">
        <v>150.0</v>
      </c>
      <c r="H39" s="3" t="s">
        <v>47</v>
      </c>
      <c r="I39" s="6">
        <v>12.75</v>
      </c>
      <c r="J39" s="58">
        <v>1.2</v>
      </c>
      <c r="K39" s="6">
        <f t="shared" si="35"/>
        <v>12.597</v>
      </c>
      <c r="L39" s="3">
        <v>0.464</v>
      </c>
      <c r="M39" s="3">
        <v>0.441</v>
      </c>
      <c r="N39" s="62">
        <f>+M39</f>
        <v>0.441</v>
      </c>
      <c r="O39" s="60">
        <f t="shared" si="37"/>
        <v>0.441</v>
      </c>
      <c r="P39" s="63">
        <v>90.0</v>
      </c>
      <c r="Q39" s="58">
        <v>98.28</v>
      </c>
      <c r="R39" s="65">
        <v>4040.05</v>
      </c>
      <c r="S39" s="66">
        <f t="array" ref="S39">IF((XLOOKUP(D39,RUC!$B$3:$B$106,RUC!$E$3:$E$106)+ROUNDDOWN(O39,1)*100)&lt;95,95,((XLOOKUP(D39,RUC!$B$3:$B$106,RUC!$E$3:$E$106)+ROUNDDOWN(O39,1)*100)))</f>
        <v>130</v>
      </c>
      <c r="U39" s="67">
        <f t="array" ref="U39">XLOOKUP(D39,RUC!$B$3:$B$110,RUC!$F$3:$F$110)</f>
        <v>120</v>
      </c>
      <c r="V39" s="67">
        <v>1.1023</v>
      </c>
      <c r="Y39" s="57">
        <f t="array" ref="Y39">XLOOKUP(D39,RUC!$B$3:$B$110,RUC!$G$3:$G$110)</f>
        <v>20</v>
      </c>
      <c r="Z39" s="69">
        <f t="array" ref="Z39">XLOOKUP(D39,RUC!$B$3:$B$110,RUC!$H$3:$H$110)</f>
        <v>30</v>
      </c>
      <c r="AA39" s="70">
        <f t="shared" si="38"/>
        <v>50</v>
      </c>
      <c r="AB39" s="71">
        <f t="shared" si="39"/>
        <v>1516.619126</v>
      </c>
      <c r="AC39" s="71">
        <f>+(S39-T39)*V39-'data 1'!$F$4</f>
        <v>63.299</v>
      </c>
      <c r="AD39" s="71">
        <f t="shared" si="5"/>
        <v>166.0120954</v>
      </c>
      <c r="AE39" s="71">
        <f t="shared" si="6"/>
        <v>-14.885</v>
      </c>
      <c r="AF39" s="71">
        <f t="shared" si="7"/>
        <v>97.67521991</v>
      </c>
      <c r="AG39" s="72">
        <f t="shared" ref="AG39:AG62" si="44">AC39+AD39+AE39+AF39+70-53</f>
        <v>329.1013153</v>
      </c>
      <c r="AH39" s="193">
        <f t="shared" si="8"/>
        <v>196.952</v>
      </c>
      <c r="AI39" s="193">
        <f t="shared" si="9"/>
        <v>200.398</v>
      </c>
      <c r="AJ39" s="73">
        <f t="shared" si="10"/>
        <v>15.05496543</v>
      </c>
      <c r="AK39" s="73">
        <f t="shared" si="11"/>
        <v>171.4183449</v>
      </c>
      <c r="AL39" s="11"/>
      <c r="AM39" s="51">
        <f t="shared" si="12"/>
        <v>19104.85112</v>
      </c>
      <c r="AN39" s="51" t="str">
        <f t="array" ref="AN39">XLOOKUP(D39,RUC!$B$3:$B$565,RUC!$M$3:$M$565)</f>
        <v>Walter Achulla </v>
      </c>
      <c r="AO39" s="131" t="s">
        <v>551</v>
      </c>
      <c r="AP39" s="57" t="s">
        <v>1567</v>
      </c>
      <c r="AQ39" s="57" t="s">
        <v>1568</v>
      </c>
    </row>
    <row r="40" ht="15.0" customHeight="1">
      <c r="A40" s="116" t="s">
        <v>1569</v>
      </c>
      <c r="B40" s="56">
        <v>45943.0</v>
      </c>
      <c r="C40" s="182">
        <v>45939.0</v>
      </c>
      <c r="D40" s="57" t="s">
        <v>292</v>
      </c>
      <c r="E40" s="3">
        <f t="array" ref="E40">XLOOKUP(D40,RUC!$B$3:$B$110,RUC!$D$3:$D$110)</f>
        <v>20612791148</v>
      </c>
      <c r="G40" s="141">
        <v>155.0</v>
      </c>
      <c r="H40" s="3" t="s">
        <v>47</v>
      </c>
      <c r="I40" s="6">
        <v>13.16</v>
      </c>
      <c r="J40" s="58">
        <v>1.2</v>
      </c>
      <c r="K40" s="6">
        <f t="shared" si="35"/>
        <v>13.002</v>
      </c>
      <c r="L40" s="3">
        <v>0.416</v>
      </c>
      <c r="M40" s="3">
        <v>0.395</v>
      </c>
      <c r="N40" s="75">
        <v>0.466</v>
      </c>
      <c r="O40" s="60">
        <f t="shared" si="37"/>
        <v>0.431</v>
      </c>
      <c r="P40" s="63">
        <v>90.0</v>
      </c>
      <c r="Q40" s="58">
        <v>97.6</v>
      </c>
      <c r="R40" s="65">
        <v>4019.25</v>
      </c>
      <c r="S40" s="66">
        <f t="array" ref="S40">IF((XLOOKUP(D40,RUC!$B$3:$B$106,RUC!$E$3:$E$106)+ROUNDDOWN(O40,1)*100)&lt;95,95,((XLOOKUP(D40,RUC!$B$3:$B$106,RUC!$E$3:$E$106)+ROUNDDOWN(O40,1)*100)))</f>
        <v>130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69">
        <f t="array" ref="Z40">XLOOKUP(D40,RUC!$B$3:$B$110,RUC!$H$3:$H$110)</f>
        <v>30</v>
      </c>
      <c r="AA40" s="70">
        <f t="shared" si="38"/>
        <v>50</v>
      </c>
      <c r="AB40" s="71">
        <f t="shared" si="39"/>
        <v>1468.835776</v>
      </c>
      <c r="AC40" s="71">
        <f>+(S40-T40)*V40-'data 1'!$F$4</f>
        <v>63.299</v>
      </c>
      <c r="AD40" s="71">
        <f t="shared" si="5"/>
        <v>135.8900978</v>
      </c>
      <c r="AE40" s="71">
        <f t="shared" si="6"/>
        <v>-14.885</v>
      </c>
      <c r="AF40" s="71">
        <f t="shared" si="7"/>
        <v>-62.92481755</v>
      </c>
      <c r="AG40" s="72">
        <f t="shared" si="44"/>
        <v>138.3792802</v>
      </c>
      <c r="AH40" s="193">
        <f t="shared" si="8"/>
        <v>180.993</v>
      </c>
      <c r="AI40" s="193">
        <f t="shared" si="9"/>
        <v>185.444</v>
      </c>
      <c r="AJ40" s="73">
        <f t="shared" si="10"/>
        <v>22.71323542</v>
      </c>
      <c r="AK40" s="73">
        <f t="shared" si="11"/>
        <v>172.9175249</v>
      </c>
      <c r="AL40" s="11"/>
      <c r="AM40" s="51">
        <f t="shared" si="12"/>
        <v>19097.80276</v>
      </c>
      <c r="AN40" s="51" t="str">
        <f t="array" ref="AN40">XLOOKUP(D40,RUC!$B$3:$B$565,RUC!$M$3:$M$565)</f>
        <v>Walter Achulla </v>
      </c>
      <c r="AO40" s="131" t="s">
        <v>551</v>
      </c>
      <c r="AP40" s="57" t="s">
        <v>1570</v>
      </c>
      <c r="AQ40" s="57" t="s">
        <v>1571</v>
      </c>
    </row>
    <row r="41" ht="15.0" customHeight="1">
      <c r="A41" s="116" t="s">
        <v>1572</v>
      </c>
      <c r="B41" s="56">
        <v>45944.0</v>
      </c>
      <c r="C41" s="182">
        <v>45939.0</v>
      </c>
      <c r="D41" s="57" t="s">
        <v>1203</v>
      </c>
      <c r="E41" s="3">
        <f t="array" ref="E41">XLOOKUP(D41,RUC!$B$3:$B$110,RUC!$D$3:$D$110)</f>
        <v>20601463173</v>
      </c>
      <c r="G41" s="141">
        <v>9.0</v>
      </c>
      <c r="H41" s="3" t="s">
        <v>40</v>
      </c>
      <c r="I41" s="6">
        <v>0.58</v>
      </c>
      <c r="J41" s="58">
        <v>1.2</v>
      </c>
      <c r="K41" s="6">
        <f t="shared" si="35"/>
        <v>0.573</v>
      </c>
      <c r="L41" s="3">
        <v>0.409</v>
      </c>
      <c r="M41" s="3">
        <v>0.389</v>
      </c>
      <c r="N41" s="62">
        <f t="shared" ref="N41:N61" si="45">+M41</f>
        <v>0.389</v>
      </c>
      <c r="O41" s="60">
        <f t="shared" si="37"/>
        <v>0.389</v>
      </c>
      <c r="P41" s="63">
        <v>90.0</v>
      </c>
      <c r="Q41" s="58">
        <v>97.56</v>
      </c>
      <c r="R41" s="65">
        <v>4019.25</v>
      </c>
      <c r="S41" s="66">
        <f t="array" ref="S41">IF((XLOOKUP(D41,RUC!$B$3:$B$106,RUC!$E$3:$E$106)+ROUNDDOWN(O41,1)*100)&lt;95,95,((XLOOKUP(D41,RUC!$B$3:$B$106,RUC!$E$3:$E$106)+ROUNDDOWN(O41,1)*100)))</f>
        <v>120</v>
      </c>
      <c r="U41" s="67">
        <f t="array" ref="U41">XLOOKUP(D41,RUC!$B$3:$B$110,RUC!$F$3:$F$110)</f>
        <v>100</v>
      </c>
      <c r="V41" s="67">
        <v>1.1023</v>
      </c>
      <c r="Y41" s="57" t="str">
        <f t="array" ref="Y41">XLOOKUP(D41,RUC!$B$3:$B$110,RUC!$G$3:$G$110)</f>
        <v/>
      </c>
      <c r="Z41" s="69">
        <f t="array" ref="Z41">XLOOKUP(D41,RUC!$B$3:$B$110,RUC!$H$3:$H$110)</f>
        <v>30</v>
      </c>
      <c r="AA41" s="70">
        <f t="shared" si="38"/>
        <v>30</v>
      </c>
      <c r="AB41" s="71">
        <f t="shared" si="39"/>
        <v>1347.153265</v>
      </c>
      <c r="AC41" s="71">
        <f>+(S41-T41)*V41-'data 1'!$F$4</f>
        <v>52.276</v>
      </c>
      <c r="AD41" s="71">
        <f t="shared" si="5"/>
        <v>133.5819805</v>
      </c>
      <c r="AE41" s="71">
        <f t="shared" si="6"/>
        <v>-36.931</v>
      </c>
      <c r="AF41" s="71">
        <f t="shared" si="7"/>
        <v>84.29553313</v>
      </c>
      <c r="AG41" s="72">
        <f t="shared" si="44"/>
        <v>250.2225136</v>
      </c>
      <c r="AH41" s="193">
        <f t="shared" si="8"/>
        <v>7.839</v>
      </c>
      <c r="AI41" s="193">
        <f t="shared" si="9"/>
        <v>8.035</v>
      </c>
      <c r="AJ41" s="73">
        <f t="shared" si="10"/>
        <v>13.52508575</v>
      </c>
      <c r="AK41" s="73">
        <f t="shared" si="11"/>
        <v>6.877899126</v>
      </c>
      <c r="AL41" s="11"/>
      <c r="AM41" s="51">
        <f t="shared" si="12"/>
        <v>771.9188209</v>
      </c>
      <c r="AN41" s="51" t="str">
        <f t="array" ref="AN41">XLOOKUP(D41,RUC!$B$3:$B$565,RUC!$M$3:$M$565)</f>
        <v>Yuri Rospigliossi</v>
      </c>
      <c r="AO41" s="131" t="s">
        <v>551</v>
      </c>
      <c r="AP41" s="57" t="s">
        <v>1573</v>
      </c>
      <c r="AQ41" s="57" t="s">
        <v>1574</v>
      </c>
    </row>
    <row r="42" ht="15.0" customHeight="1">
      <c r="A42" s="116" t="s">
        <v>1575</v>
      </c>
      <c r="B42" s="56">
        <v>45944.0</v>
      </c>
      <c r="C42" s="182">
        <v>45939.0</v>
      </c>
      <c r="D42" s="57" t="s">
        <v>1203</v>
      </c>
      <c r="E42" s="3">
        <f t="array" ref="E42">XLOOKUP(D42,RUC!$B$3:$B$110,RUC!$D$3:$D$110)</f>
        <v>20601463173</v>
      </c>
      <c r="G42" s="141">
        <v>11.0</v>
      </c>
      <c r="H42" s="3" t="s">
        <v>40</v>
      </c>
      <c r="I42" s="6">
        <v>0.67</v>
      </c>
      <c r="J42" s="58">
        <v>1.2</v>
      </c>
      <c r="K42" s="6">
        <f t="shared" si="35"/>
        <v>0.662</v>
      </c>
      <c r="L42" s="3">
        <v>0.747</v>
      </c>
      <c r="M42" s="60">
        <v>0.71</v>
      </c>
      <c r="N42" s="62">
        <f t="shared" si="45"/>
        <v>0.71</v>
      </c>
      <c r="O42" s="60">
        <f t="shared" si="37"/>
        <v>0.71</v>
      </c>
      <c r="P42" s="63">
        <v>90.0</v>
      </c>
      <c r="Q42" s="58">
        <v>96.79</v>
      </c>
      <c r="R42" s="65">
        <v>4019.25</v>
      </c>
      <c r="S42" s="66">
        <f t="array" ref="S42">IF((XLOOKUP(D42,RUC!$B$3:$B$106,RUC!$E$3:$E$106)+ROUNDDOWN(O42,1)*100)&lt;95,95,((XLOOKUP(D42,RUC!$B$3:$B$106,RUC!$E$3:$E$106)+ROUNDDOWN(O42,1)*100)))</f>
        <v>160</v>
      </c>
      <c r="U42" s="67">
        <f t="array" ref="U42">XLOOKUP(D42,RUC!$B$3:$B$110,RUC!$F$3:$F$110)</f>
        <v>100</v>
      </c>
      <c r="V42" s="67">
        <v>1.1023</v>
      </c>
      <c r="Y42" s="57" t="str">
        <f t="array" ref="Y42">XLOOKUP(D42,RUC!$B$3:$B$110,RUC!$G$3:$G$110)</f>
        <v/>
      </c>
      <c r="Z42" s="69">
        <f t="array" ref="Z42">XLOOKUP(D42,RUC!$B$3:$B$110,RUC!$H$3:$H$110)</f>
        <v>30</v>
      </c>
      <c r="AA42" s="70">
        <f t="shared" si="38"/>
        <v>30</v>
      </c>
      <c r="AB42" s="71">
        <f t="shared" si="39"/>
        <v>2551.163947</v>
      </c>
      <c r="AC42" s="71">
        <f>+(S42-T42)*V42-'data 1'!$F$4</f>
        <v>96.368</v>
      </c>
      <c r="AD42" s="71">
        <f t="shared" si="5"/>
        <v>219.1256163</v>
      </c>
      <c r="AE42" s="71">
        <f t="shared" si="6"/>
        <v>-36.931</v>
      </c>
      <c r="AF42" s="71">
        <f t="shared" si="7"/>
        <v>154.7159144</v>
      </c>
      <c r="AG42" s="72">
        <f t="shared" si="44"/>
        <v>450.2785306</v>
      </c>
      <c r="AH42" s="193">
        <f t="shared" si="8"/>
        <v>16.41</v>
      </c>
      <c r="AI42" s="193">
        <f t="shared" si="9"/>
        <v>16.955</v>
      </c>
      <c r="AJ42" s="73">
        <f t="shared" si="10"/>
        <v>24.50733115</v>
      </c>
      <c r="AK42" s="73">
        <f t="shared" si="11"/>
        <v>14.50333628</v>
      </c>
      <c r="AL42" s="11"/>
      <c r="AM42" s="51">
        <f t="shared" si="12"/>
        <v>1688.870533</v>
      </c>
      <c r="AN42" s="51" t="str">
        <f t="array" ref="AN42">XLOOKUP(D42,RUC!$B$3:$B$565,RUC!$M$3:$M$565)</f>
        <v>Yuri Rospigliossi</v>
      </c>
      <c r="AO42" s="131" t="s">
        <v>551</v>
      </c>
      <c r="AP42" s="57" t="s">
        <v>1573</v>
      </c>
      <c r="AQ42" s="57" t="s">
        <v>1574</v>
      </c>
    </row>
    <row r="43" ht="15.0" customHeight="1">
      <c r="A43" s="116" t="s">
        <v>1576</v>
      </c>
      <c r="B43" s="56">
        <v>45944.0</v>
      </c>
      <c r="C43" s="182">
        <v>45939.0</v>
      </c>
      <c r="D43" s="57" t="s">
        <v>1203</v>
      </c>
      <c r="E43" s="3">
        <f t="array" ref="E43">XLOOKUP(D43,RUC!$B$3:$B$110,RUC!$D$3:$D$110)</f>
        <v>20601463173</v>
      </c>
      <c r="G43" s="141">
        <v>10.0</v>
      </c>
      <c r="H43" s="3" t="s">
        <v>40</v>
      </c>
      <c r="I43" s="6">
        <v>0.62</v>
      </c>
      <c r="J43" s="58">
        <v>1.6</v>
      </c>
      <c r="K43" s="6">
        <f t="shared" si="35"/>
        <v>0.61</v>
      </c>
      <c r="L43" s="3">
        <v>0.147</v>
      </c>
      <c r="M43" s="3">
        <v>0.132</v>
      </c>
      <c r="N43" s="62">
        <f t="shared" si="45"/>
        <v>0.132</v>
      </c>
      <c r="O43" s="60">
        <f t="shared" si="37"/>
        <v>0.132</v>
      </c>
      <c r="P43" s="63">
        <v>85.0</v>
      </c>
      <c r="Q43" s="58">
        <v>97.96</v>
      </c>
      <c r="R43" s="65">
        <v>4019.25</v>
      </c>
      <c r="S43" s="66">
        <f t="array" ref="S43">IF((XLOOKUP(D43,RUC!$B$3:$B$106,RUC!$E$3:$E$106)+ROUNDDOWN(O43,1)*100)&lt;95,95,((XLOOKUP(D43,RUC!$B$3:$B$106,RUC!$E$3:$E$106)+ROUNDDOWN(O43,1)*100)))</f>
        <v>100</v>
      </c>
      <c r="U43" s="67">
        <f t="array" ref="U43">XLOOKUP(D43,RUC!$B$3:$B$110,RUC!$F$3:$F$110)</f>
        <v>100</v>
      </c>
      <c r="V43" s="67">
        <v>1.1023</v>
      </c>
      <c r="Y43" s="57" t="str">
        <f t="array" ref="Y43">XLOOKUP(D43,RUC!$B$3:$B$110,RUC!$G$3:$G$110)</f>
        <v/>
      </c>
      <c r="Z43" s="69">
        <f t="array" ref="Z43">XLOOKUP(D43,RUC!$B$3:$B$110,RUC!$H$3:$H$110)</f>
        <v>30</v>
      </c>
      <c r="AA43" s="70">
        <f t="shared" si="38"/>
        <v>30</v>
      </c>
      <c r="AB43" s="71">
        <f t="shared" si="39"/>
        <v>341.4262367</v>
      </c>
      <c r="AC43" s="71">
        <f>+(S43-T43)*V43-'data 1'!$F$4</f>
        <v>30.23</v>
      </c>
      <c r="AD43" s="71">
        <f t="shared" si="5"/>
        <v>82.30478992</v>
      </c>
      <c r="AE43" s="71">
        <f t="shared" si="6"/>
        <v>-36.931</v>
      </c>
      <c r="AF43" s="71">
        <f t="shared" si="7"/>
        <v>63.48086121</v>
      </c>
      <c r="AG43" s="72">
        <f t="shared" si="44"/>
        <v>156.0846511</v>
      </c>
      <c r="AH43" s="193">
        <f t="shared" si="8"/>
        <v>3.012</v>
      </c>
      <c r="AI43" s="193">
        <f t="shared" si="9"/>
        <v>3.074</v>
      </c>
      <c r="AJ43" s="73">
        <f t="shared" si="10"/>
        <v>4.881025075</v>
      </c>
      <c r="AK43" s="73">
        <f t="shared" si="11"/>
        <v>2.346560529</v>
      </c>
      <c r="AL43" s="11"/>
      <c r="AM43" s="51">
        <f t="shared" si="12"/>
        <v>208.2700044</v>
      </c>
      <c r="AN43" s="51" t="str">
        <f t="array" ref="AN43">XLOOKUP(D43,RUC!$B$3:$B$565,RUC!$M$3:$M$565)</f>
        <v>Yuri Rospigliossi</v>
      </c>
      <c r="AO43" s="131" t="s">
        <v>551</v>
      </c>
      <c r="AP43" s="57" t="s">
        <v>1573</v>
      </c>
      <c r="AQ43" s="57" t="s">
        <v>1574</v>
      </c>
    </row>
    <row r="44" ht="15.0" customHeight="1">
      <c r="A44" s="116" t="s">
        <v>1577</v>
      </c>
      <c r="B44" s="56">
        <v>45944.0</v>
      </c>
      <c r="C44" s="182">
        <v>45939.0</v>
      </c>
      <c r="D44" s="57" t="s">
        <v>1203</v>
      </c>
      <c r="E44" s="3">
        <f t="array" ref="E44">XLOOKUP(D44,RUC!$B$3:$B$110,RUC!$D$3:$D$110)</f>
        <v>20601463173</v>
      </c>
      <c r="G44" s="141">
        <v>17.0</v>
      </c>
      <c r="H44" s="3" t="s">
        <v>40</v>
      </c>
      <c r="I44" s="6">
        <v>1.12</v>
      </c>
      <c r="J44" s="58">
        <v>1.3</v>
      </c>
      <c r="K44" s="6">
        <f t="shared" si="35"/>
        <v>1.105</v>
      </c>
      <c r="L44" s="3">
        <v>0.852</v>
      </c>
      <c r="M44" s="3">
        <v>0.809</v>
      </c>
      <c r="N44" s="62">
        <f t="shared" si="45"/>
        <v>0.809</v>
      </c>
      <c r="O44" s="60">
        <f t="shared" si="37"/>
        <v>0.809</v>
      </c>
      <c r="P44" s="63">
        <v>90.0</v>
      </c>
      <c r="Q44" s="58">
        <v>96.36</v>
      </c>
      <c r="R44" s="65">
        <v>4019.25</v>
      </c>
      <c r="S44" s="66">
        <f t="array" ref="S44">IF((XLOOKUP(D44,RUC!$B$3:$B$106,RUC!$E$3:$E$106)+ROUNDDOWN(O44,1)*100)&lt;95,95,((XLOOKUP(D44,RUC!$B$3:$B$106,RUC!$E$3:$E$106)+ROUNDDOWN(O44,1)*100)))</f>
        <v>170</v>
      </c>
      <c r="U44" s="67">
        <f t="array" ref="U44">XLOOKUP(D44,RUC!$B$3:$B$110,RUC!$F$3:$F$110)</f>
        <v>100</v>
      </c>
      <c r="V44" s="67">
        <v>1.1023</v>
      </c>
      <c r="Y44" s="57" t="str">
        <f t="array" ref="Y44">XLOOKUP(D44,RUC!$B$3:$B$110,RUC!$G$3:$G$110)</f>
        <v/>
      </c>
      <c r="Z44" s="69">
        <f t="array" ref="Z44">XLOOKUP(D44,RUC!$B$3:$B$110,RUC!$H$3:$H$110)</f>
        <v>30</v>
      </c>
      <c r="AA44" s="70">
        <f t="shared" si="38"/>
        <v>30</v>
      </c>
      <c r="AB44" s="71">
        <f t="shared" si="39"/>
        <v>2925.069811</v>
      </c>
      <c r="AC44" s="71">
        <f>+(S44-T44)*V44-'data 1'!$F$4</f>
        <v>107.391</v>
      </c>
      <c r="AD44" s="71">
        <f t="shared" si="5"/>
        <v>234.0989603</v>
      </c>
      <c r="AE44" s="71">
        <f t="shared" si="6"/>
        <v>-36.931</v>
      </c>
      <c r="AF44" s="71">
        <f t="shared" si="7"/>
        <v>179.0061786</v>
      </c>
      <c r="AG44" s="72">
        <f t="shared" si="44"/>
        <v>500.5651389</v>
      </c>
      <c r="AH44" s="193">
        <f t="shared" si="8"/>
        <v>31.103</v>
      </c>
      <c r="AI44" s="193">
        <f t="shared" si="9"/>
        <v>32.278</v>
      </c>
      <c r="AJ44" s="73">
        <f t="shared" si="10"/>
        <v>27.82795636</v>
      </c>
      <c r="AK44" s="73">
        <f t="shared" si="11"/>
        <v>27.5843261</v>
      </c>
      <c r="AL44" s="11"/>
      <c r="AM44" s="51">
        <f t="shared" si="12"/>
        <v>3232.202141</v>
      </c>
      <c r="AN44" s="51" t="str">
        <f t="array" ref="AN44">XLOOKUP(D44,RUC!$B$3:$B$565,RUC!$M$3:$M$565)</f>
        <v>Yuri Rospigliossi</v>
      </c>
      <c r="AO44" s="131" t="s">
        <v>551</v>
      </c>
      <c r="AP44" s="57" t="s">
        <v>1573</v>
      </c>
      <c r="AQ44" s="57" t="s">
        <v>1574</v>
      </c>
    </row>
    <row r="45" ht="15.0" customHeight="1">
      <c r="A45" s="116" t="s">
        <v>1578</v>
      </c>
      <c r="B45" s="56">
        <v>45944.0</v>
      </c>
      <c r="C45" s="182">
        <v>45939.0</v>
      </c>
      <c r="D45" s="57" t="s">
        <v>1203</v>
      </c>
      <c r="E45" s="3">
        <f t="array" ref="E45">XLOOKUP(D45,RUC!$B$3:$B$110,RUC!$D$3:$D$110)</f>
        <v>20601463173</v>
      </c>
      <c r="G45" s="141">
        <v>18.0</v>
      </c>
      <c r="H45" s="3" t="s">
        <v>40</v>
      </c>
      <c r="I45" s="6">
        <v>1.2</v>
      </c>
      <c r="J45" s="58">
        <v>1.2</v>
      </c>
      <c r="K45" s="6">
        <f t="shared" si="35"/>
        <v>1.186</v>
      </c>
      <c r="L45" s="3">
        <v>0.498</v>
      </c>
      <c r="M45" s="3">
        <v>0.473</v>
      </c>
      <c r="N45" s="62">
        <f t="shared" si="45"/>
        <v>0.473</v>
      </c>
      <c r="O45" s="60">
        <f t="shared" si="37"/>
        <v>0.473</v>
      </c>
      <c r="P45" s="63">
        <v>90.0</v>
      </c>
      <c r="Q45" s="58">
        <v>95.98</v>
      </c>
      <c r="R45" s="65">
        <v>4019.25</v>
      </c>
      <c r="S45" s="66">
        <f t="array" ref="S45">IF((XLOOKUP(D45,RUC!$B$3:$B$106,RUC!$E$3:$E$106)+ROUNDDOWN(O45,1)*100)&lt;95,95,((XLOOKUP(D45,RUC!$B$3:$B$106,RUC!$E$3:$E$106)+ROUNDDOWN(O45,1)*100)))</f>
        <v>130</v>
      </c>
      <c r="U45" s="67">
        <f t="array" ref="U45">XLOOKUP(D45,RUC!$B$3:$B$110,RUC!$F$3:$F$110)</f>
        <v>100</v>
      </c>
      <c r="V45" s="67">
        <v>1.1023</v>
      </c>
      <c r="Y45" s="57" t="str">
        <f t="array" ref="Y45">XLOOKUP(D45,RUC!$B$3:$B$110,RUC!$G$3:$G$110)</f>
        <v/>
      </c>
      <c r="Z45" s="69">
        <f t="array" ref="Z45">XLOOKUP(D45,RUC!$B$3:$B$110,RUC!$H$3:$H$110)</f>
        <v>30</v>
      </c>
      <c r="AA45" s="70">
        <f t="shared" si="38"/>
        <v>30</v>
      </c>
      <c r="AB45" s="71">
        <f t="shared" si="39"/>
        <v>1662.736574</v>
      </c>
      <c r="AC45" s="71">
        <f>+(S45-T45)*V45-'data 1'!$F$4</f>
        <v>63.299</v>
      </c>
      <c r="AD45" s="71">
        <f t="shared" si="5"/>
        <v>128.6569647</v>
      </c>
      <c r="AE45" s="71">
        <f t="shared" si="6"/>
        <v>-36.931</v>
      </c>
      <c r="AF45" s="71">
        <f t="shared" si="7"/>
        <v>103.6629417</v>
      </c>
      <c r="AG45" s="72">
        <f t="shared" si="44"/>
        <v>275.6879063</v>
      </c>
      <c r="AH45" s="193">
        <f t="shared" si="8"/>
        <v>19.436</v>
      </c>
      <c r="AI45" s="193">
        <f t="shared" si="9"/>
        <v>20.25</v>
      </c>
      <c r="AJ45" s="73">
        <f t="shared" si="10"/>
        <v>16.20149219</v>
      </c>
      <c r="AK45" s="73">
        <f t="shared" si="11"/>
        <v>17.31001358</v>
      </c>
      <c r="AL45" s="11"/>
      <c r="AM45" s="51">
        <f t="shared" si="12"/>
        <v>1972.005577</v>
      </c>
      <c r="AN45" s="51" t="str">
        <f t="array" ref="AN45">XLOOKUP(D45,RUC!$B$3:$B$565,RUC!$M$3:$M$565)</f>
        <v>Yuri Rospigliossi</v>
      </c>
      <c r="AO45" s="131" t="s">
        <v>551</v>
      </c>
      <c r="AP45" s="57" t="s">
        <v>1573</v>
      </c>
      <c r="AQ45" s="57" t="s">
        <v>1574</v>
      </c>
    </row>
    <row r="46" ht="15.0" customHeight="1">
      <c r="A46" s="116" t="s">
        <v>1579</v>
      </c>
      <c r="B46" s="56">
        <v>45944.0</v>
      </c>
      <c r="C46" s="182">
        <v>45939.0</v>
      </c>
      <c r="D46" s="57" t="s">
        <v>1203</v>
      </c>
      <c r="E46" s="3">
        <f t="array" ref="E46">XLOOKUP(D46,RUC!$B$3:$B$110,RUC!$D$3:$D$110)</f>
        <v>20601463173</v>
      </c>
      <c r="G46" s="141">
        <v>38.0</v>
      </c>
      <c r="H46" s="3" t="s">
        <v>40</v>
      </c>
      <c r="I46" s="6">
        <v>2.98</v>
      </c>
      <c r="J46" s="58">
        <v>1.2</v>
      </c>
      <c r="K46" s="6">
        <f t="shared" si="35"/>
        <v>2.944</v>
      </c>
      <c r="L46" s="3">
        <v>0.363</v>
      </c>
      <c r="M46" s="3">
        <v>0.345</v>
      </c>
      <c r="N46" s="62">
        <f t="shared" si="45"/>
        <v>0.345</v>
      </c>
      <c r="O46" s="60">
        <f t="shared" si="37"/>
        <v>0.345</v>
      </c>
      <c r="P46" s="63">
        <v>90.0</v>
      </c>
      <c r="Q46" s="58">
        <v>96.97</v>
      </c>
      <c r="R46" s="65">
        <v>4019.25</v>
      </c>
      <c r="S46" s="66">
        <f t="array" ref="S46">IF((XLOOKUP(D46,RUC!$B$3:$B$106,RUC!$E$3:$E$106)+ROUNDDOWN(O46,1)*100)&lt;95,95,((XLOOKUP(D46,RUC!$B$3:$B$106,RUC!$E$3:$E$106)+ROUNDDOWN(O46,1)*100)))</f>
        <v>120</v>
      </c>
      <c r="U46" s="67">
        <f t="array" ref="U46">XLOOKUP(D46,RUC!$B$3:$B$110,RUC!$F$3:$F$110)</f>
        <v>100</v>
      </c>
      <c r="V46" s="67">
        <v>1.1023</v>
      </c>
      <c r="Y46" s="57" t="str">
        <f t="array" ref="Y46">XLOOKUP(D46,RUC!$B$3:$B$110,RUC!$G$3:$G$110)</f>
        <v/>
      </c>
      <c r="Z46" s="69">
        <f t="array" ref="Z46">XLOOKUP(D46,RUC!$B$3:$B$110,RUC!$H$3:$H$110)</f>
        <v>30</v>
      </c>
      <c r="AA46" s="70">
        <f t="shared" si="38"/>
        <v>30</v>
      </c>
      <c r="AB46" s="71">
        <f t="shared" si="39"/>
        <v>1176.07377</v>
      </c>
      <c r="AC46" s="71">
        <f>+(S46-T46)*V46-'data 1'!$F$4</f>
        <v>52.276</v>
      </c>
      <c r="AD46" s="71">
        <f t="shared" si="5"/>
        <v>109.3055409</v>
      </c>
      <c r="AE46" s="71">
        <f t="shared" si="6"/>
        <v>-36.931</v>
      </c>
      <c r="AF46" s="71">
        <f t="shared" si="7"/>
        <v>75.40717572</v>
      </c>
      <c r="AG46" s="72">
        <f t="shared" si="44"/>
        <v>217.0577166</v>
      </c>
      <c r="AH46" s="193">
        <f t="shared" si="8"/>
        <v>35.53</v>
      </c>
      <c r="AI46" s="193">
        <f t="shared" si="9"/>
        <v>36.64</v>
      </c>
      <c r="AJ46" s="73">
        <f t="shared" si="10"/>
        <v>11.93133249</v>
      </c>
      <c r="AK46" s="73">
        <f t="shared" si="11"/>
        <v>31.34068464</v>
      </c>
      <c r="AL46" s="11"/>
      <c r="AM46" s="51">
        <f t="shared" si="12"/>
        <v>3462.361179</v>
      </c>
      <c r="AN46" s="51" t="str">
        <f t="array" ref="AN46">XLOOKUP(D46,RUC!$B$3:$B$565,RUC!$M$3:$M$565)</f>
        <v>Yuri Rospigliossi</v>
      </c>
      <c r="AO46" s="131" t="s">
        <v>551</v>
      </c>
      <c r="AP46" s="57" t="s">
        <v>1573</v>
      </c>
      <c r="AQ46" s="57" t="s">
        <v>1574</v>
      </c>
    </row>
    <row r="47" ht="15.0" customHeight="1">
      <c r="A47" s="116" t="s">
        <v>1580</v>
      </c>
      <c r="B47" s="56">
        <v>45949.0</v>
      </c>
      <c r="C47" s="182">
        <v>45939.0</v>
      </c>
      <c r="D47" s="57" t="s">
        <v>852</v>
      </c>
      <c r="E47" s="3">
        <f t="array" ref="E47">XLOOKUP(D47,RUC!$B$3:$B$110,RUC!$D$3:$D$110)</f>
        <v>20610807004</v>
      </c>
      <c r="G47" s="141">
        <v>28.0</v>
      </c>
      <c r="H47" s="3" t="s">
        <v>40</v>
      </c>
      <c r="I47" s="6">
        <v>1.91</v>
      </c>
      <c r="J47" s="58">
        <v>10.7</v>
      </c>
      <c r="K47" s="6">
        <f t="shared" si="35"/>
        <v>1.706</v>
      </c>
      <c r="L47" s="3">
        <v>0.298</v>
      </c>
      <c r="M47" s="3">
        <v>0.283</v>
      </c>
      <c r="N47" s="62">
        <f t="shared" si="45"/>
        <v>0.283</v>
      </c>
      <c r="O47" s="60">
        <f t="shared" si="37"/>
        <v>0.283</v>
      </c>
      <c r="P47" s="63">
        <v>81.0</v>
      </c>
      <c r="Q47" s="58">
        <v>81.54</v>
      </c>
      <c r="R47" s="65">
        <v>4019.25</v>
      </c>
      <c r="S47" s="66">
        <f t="array" ref="S47">IF((XLOOKUP(D47,RUC!$B$3:$B$106,RUC!$E$3:$E$106)+ROUNDDOWN(O47,1)*100)&lt;95,95,((XLOOKUP(D47,RUC!$B$3:$B$106,RUC!$E$3:$E$106)+ROUNDDOWN(O47,1)*100)))</f>
        <v>105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38"/>
        <v>50</v>
      </c>
      <c r="AB47" s="71">
        <f t="shared" si="39"/>
        <v>814.4068829</v>
      </c>
      <c r="AC47" s="71">
        <f>+(S47-T47)*V47-'data 1'!$F$4</f>
        <v>35.7415</v>
      </c>
      <c r="AD47" s="71">
        <f t="shared" si="5"/>
        <v>6.916572158</v>
      </c>
      <c r="AE47" s="71">
        <f t="shared" si="6"/>
        <v>-14.885</v>
      </c>
      <c r="AF47" s="71">
        <f t="shared" si="7"/>
        <v>52.5705904</v>
      </c>
      <c r="AG47" s="72">
        <f t="shared" si="44"/>
        <v>97.34366255</v>
      </c>
      <c r="AH47" s="193">
        <f t="shared" si="8"/>
        <v>14.213</v>
      </c>
      <c r="AI47" s="193">
        <f t="shared" si="9"/>
        <v>17.43</v>
      </c>
      <c r="AJ47" s="73">
        <f t="shared" si="10"/>
        <v>13.593235</v>
      </c>
      <c r="AK47" s="73">
        <f t="shared" si="11"/>
        <v>13.40786259</v>
      </c>
      <c r="AL47" s="11"/>
      <c r="AM47" s="51">
        <f t="shared" si="12"/>
        <v>1389.378142</v>
      </c>
      <c r="AN47" s="51" t="str">
        <f t="array" ref="AN47">XLOOKUP(D47,RUC!$B$3:$B$565,RUC!$M$3:$M$565)</f>
        <v>Renzo</v>
      </c>
      <c r="AO47" s="131" t="s">
        <v>547</v>
      </c>
      <c r="AP47" s="57" t="s">
        <v>1581</v>
      </c>
      <c r="AQ47" s="57" t="s">
        <v>1582</v>
      </c>
    </row>
    <row r="48" ht="15.0" customHeight="1">
      <c r="A48" s="116" t="s">
        <v>1583</v>
      </c>
      <c r="B48" s="56">
        <v>45949.0</v>
      </c>
      <c r="C48" s="182">
        <v>45939.0</v>
      </c>
      <c r="D48" s="57" t="s">
        <v>852</v>
      </c>
      <c r="E48" s="3">
        <f t="array" ref="E48">XLOOKUP(D48,RUC!$B$3:$B$110,RUC!$D$3:$D$110)</f>
        <v>20610807004</v>
      </c>
      <c r="G48" s="141">
        <v>28.0</v>
      </c>
      <c r="H48" s="3" t="s">
        <v>40</v>
      </c>
      <c r="I48" s="6">
        <v>1.97</v>
      </c>
      <c r="J48" s="58">
        <v>10.5</v>
      </c>
      <c r="K48" s="6">
        <f t="shared" si="35"/>
        <v>1.763</v>
      </c>
      <c r="L48" s="3">
        <v>0.236</v>
      </c>
      <c r="M48" s="3">
        <v>0.221</v>
      </c>
      <c r="N48" s="62">
        <f t="shared" si="45"/>
        <v>0.221</v>
      </c>
      <c r="O48" s="60">
        <f t="shared" si="37"/>
        <v>0.221</v>
      </c>
      <c r="P48" s="63">
        <v>88.0</v>
      </c>
      <c r="Q48" s="58">
        <v>88.56</v>
      </c>
      <c r="R48" s="65">
        <v>4019.25</v>
      </c>
      <c r="S48" s="66">
        <f t="array" ref="S48">IF((XLOOKUP(D48,RUC!$B$3:$B$106,RUC!$E$3:$E$106)+ROUNDDOWN(O48,1)*100)&lt;95,95,((XLOOKUP(D48,RUC!$B$3:$B$106,RUC!$E$3:$E$106)+ROUNDDOWN(O48,1)*100)))</f>
        <v>105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38"/>
        <v>50</v>
      </c>
      <c r="AB48" s="71">
        <f t="shared" si="39"/>
        <v>665.0464041</v>
      </c>
      <c r="AC48" s="71">
        <f>+(S48-T48)*V48-'data 1'!$F$4</f>
        <v>35.7415</v>
      </c>
      <c r="AD48" s="71">
        <f t="shared" si="5"/>
        <v>5.680426152</v>
      </c>
      <c r="AE48" s="71">
        <f t="shared" si="6"/>
        <v>-14.885</v>
      </c>
      <c r="AF48" s="71">
        <f t="shared" si="7"/>
        <v>57.09653527</v>
      </c>
      <c r="AG48" s="72">
        <f t="shared" si="44"/>
        <v>100.6334614</v>
      </c>
      <c r="AH48" s="193">
        <f t="shared" si="8"/>
        <v>12.633</v>
      </c>
      <c r="AI48" s="193">
        <f t="shared" si="9"/>
        <v>14.265</v>
      </c>
      <c r="AJ48" s="73">
        <f t="shared" si="10"/>
        <v>11.69191003</v>
      </c>
      <c r="AK48" s="73">
        <f t="shared" si="11"/>
        <v>11.75537066</v>
      </c>
      <c r="AL48" s="11"/>
      <c r="AM48" s="51">
        <f t="shared" si="12"/>
        <v>1172.47681</v>
      </c>
      <c r="AN48" s="51" t="str">
        <f t="array" ref="AN48">XLOOKUP(D48,RUC!$B$3:$B$565,RUC!$M$3:$M$565)</f>
        <v>Renzo</v>
      </c>
      <c r="AO48" s="131" t="s">
        <v>547</v>
      </c>
      <c r="AP48" s="57" t="s">
        <v>1581</v>
      </c>
      <c r="AQ48" s="57" t="s">
        <v>1582</v>
      </c>
    </row>
    <row r="49" ht="15.0" customHeight="1">
      <c r="A49" s="116" t="s">
        <v>1584</v>
      </c>
      <c r="B49" s="56">
        <v>45949.0</v>
      </c>
      <c r="C49" s="182">
        <v>45939.0</v>
      </c>
      <c r="D49" s="57" t="s">
        <v>852</v>
      </c>
      <c r="E49" s="3">
        <f t="array" ref="E49">XLOOKUP(D49,RUC!$B$3:$B$110,RUC!$D$3:$D$110)</f>
        <v>20610807004</v>
      </c>
      <c r="G49" s="141">
        <v>25.0</v>
      </c>
      <c r="H49" s="3" t="s">
        <v>40</v>
      </c>
      <c r="I49" s="6">
        <v>2.13</v>
      </c>
      <c r="J49" s="58">
        <v>6.9</v>
      </c>
      <c r="K49" s="6">
        <f t="shared" si="35"/>
        <v>1.983</v>
      </c>
      <c r="L49" s="60">
        <v>0.24</v>
      </c>
      <c r="M49" s="3">
        <v>0.215</v>
      </c>
      <c r="N49" s="62">
        <f t="shared" si="45"/>
        <v>0.215</v>
      </c>
      <c r="O49" s="60">
        <f t="shared" si="37"/>
        <v>0.215</v>
      </c>
      <c r="P49" s="63">
        <v>85.0</v>
      </c>
      <c r="Q49" s="58">
        <v>86.09</v>
      </c>
      <c r="R49" s="65">
        <v>4019.25</v>
      </c>
      <c r="S49" s="66">
        <f t="array" ref="S49">IF((XLOOKUP(D49,RUC!$B$3:$B$106,RUC!$E$3:$E$106)+ROUNDDOWN(O49,1)*100)&lt;95,95,((XLOOKUP(D49,RUC!$B$3:$B$106,RUC!$E$3:$E$106)+ROUNDDOWN(O49,1)*100)))</f>
        <v>105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38"/>
        <v>50</v>
      </c>
      <c r="AB49" s="71">
        <f t="shared" si="39"/>
        <v>614.6291835</v>
      </c>
      <c r="AC49" s="71">
        <f>+(S49-T49)*V49-'data 1'!$F$4</f>
        <v>35.7415</v>
      </c>
      <c r="AD49" s="71">
        <f t="shared" si="5"/>
        <v>11.24394281</v>
      </c>
      <c r="AE49" s="71">
        <f t="shared" si="6"/>
        <v>-14.885</v>
      </c>
      <c r="AF49" s="71">
        <f t="shared" si="7"/>
        <v>92.50678864</v>
      </c>
      <c r="AG49" s="72">
        <f t="shared" si="44"/>
        <v>141.6072314</v>
      </c>
      <c r="AH49" s="193">
        <f t="shared" si="8"/>
        <v>14.047</v>
      </c>
      <c r="AI49" s="193">
        <f t="shared" si="9"/>
        <v>16.317</v>
      </c>
      <c r="AJ49" s="73">
        <f t="shared" si="10"/>
        <v>11.55845545</v>
      </c>
      <c r="AK49" s="73">
        <f t="shared" si="11"/>
        <v>12.4247932</v>
      </c>
      <c r="AL49" s="11"/>
      <c r="AM49" s="51">
        <f t="shared" si="12"/>
        <v>1218.809671</v>
      </c>
      <c r="AN49" s="51" t="str">
        <f t="array" ref="AN49">XLOOKUP(D49,RUC!$B$3:$B$565,RUC!$M$3:$M$565)</f>
        <v>Renzo</v>
      </c>
      <c r="AO49" s="131" t="s">
        <v>547</v>
      </c>
      <c r="AP49" s="57" t="s">
        <v>1581</v>
      </c>
      <c r="AQ49" s="57" t="s">
        <v>1582</v>
      </c>
    </row>
    <row r="50" ht="15.0" customHeight="1">
      <c r="A50" s="116" t="s">
        <v>1585</v>
      </c>
      <c r="B50" s="56">
        <v>45949.0</v>
      </c>
      <c r="C50" s="182">
        <v>45939.0</v>
      </c>
      <c r="D50" s="57" t="s">
        <v>852</v>
      </c>
      <c r="E50" s="3">
        <f t="array" ref="E50">XLOOKUP(D50,RUC!$B$3:$B$110,RUC!$D$3:$D$110)</f>
        <v>20610807004</v>
      </c>
      <c r="G50" s="141">
        <v>30.0</v>
      </c>
      <c r="H50" s="3" t="s">
        <v>40</v>
      </c>
      <c r="I50" s="6">
        <v>1.92</v>
      </c>
      <c r="J50" s="58">
        <v>16.72</v>
      </c>
      <c r="K50" s="6">
        <f t="shared" si="35"/>
        <v>1.599</v>
      </c>
      <c r="L50" s="3">
        <v>0.369</v>
      </c>
      <c r="M50" s="3">
        <v>0.351</v>
      </c>
      <c r="N50" s="62">
        <f t="shared" si="45"/>
        <v>0.351</v>
      </c>
      <c r="O50" s="60">
        <f t="shared" si="37"/>
        <v>0.351</v>
      </c>
      <c r="P50" s="63">
        <v>85.0</v>
      </c>
      <c r="Q50" s="58">
        <v>86.18</v>
      </c>
      <c r="R50" s="65">
        <v>4019.25</v>
      </c>
      <c r="S50" s="66">
        <f t="array" ref="S50">IF((XLOOKUP(D50,RUC!$B$3:$B$106,RUC!$E$3:$E$106)+ROUNDDOWN(O50,1)*100)&lt;95,95,((XLOOKUP(D50,RUC!$B$3:$B$106,RUC!$E$3:$E$106)+ROUNDDOWN(O50,1)*100)))</f>
        <v>115</v>
      </c>
      <c r="U50" s="67">
        <f t="array" ref="U50">XLOOKUP(D50,RUC!$B$3:$B$110,RUC!$F$3:$F$110)</f>
        <v>120</v>
      </c>
      <c r="V50" s="67">
        <v>1.1023</v>
      </c>
      <c r="Y50" s="57">
        <f t="array" ref="Y50">XLOOKUP(D50,RUC!$B$3:$B$110,RUC!$G$3:$G$110)</f>
        <v>20</v>
      </c>
      <c r="Z50" s="69">
        <f t="array" ref="Z50">XLOOKUP(D50,RUC!$B$3:$B$110,RUC!$H$3:$H$110)</f>
        <v>30</v>
      </c>
      <c r="AA50" s="70">
        <f t="shared" si="38"/>
        <v>50</v>
      </c>
      <c r="AB50" s="71">
        <f t="shared" si="39"/>
        <v>1100.471546</v>
      </c>
      <c r="AC50" s="71">
        <f>+(S50-T50)*V50-'data 1'!$F$4</f>
        <v>46.7645</v>
      </c>
      <c r="AD50" s="71">
        <f t="shared" si="5"/>
        <v>18.71497545</v>
      </c>
      <c r="AE50" s="71">
        <f t="shared" si="6"/>
        <v>-14.885</v>
      </c>
      <c r="AF50" s="71">
        <f t="shared" si="7"/>
        <v>66.67451774</v>
      </c>
      <c r="AG50" s="72">
        <f t="shared" si="44"/>
        <v>134.2689932</v>
      </c>
      <c r="AH50" s="193">
        <f t="shared" si="8"/>
        <v>17.434</v>
      </c>
      <c r="AI50" s="193">
        <f t="shared" si="9"/>
        <v>20.229</v>
      </c>
      <c r="AJ50" s="73">
        <f t="shared" si="10"/>
        <v>17.78970351</v>
      </c>
      <c r="AK50" s="73">
        <f t="shared" si="11"/>
        <v>16.35624379</v>
      </c>
      <c r="AL50" s="11"/>
      <c r="AM50" s="51">
        <f t="shared" si="12"/>
        <v>1759.654002</v>
      </c>
      <c r="AN50" s="51" t="str">
        <f t="array" ref="AN50">XLOOKUP(D50,RUC!$B$3:$B$565,RUC!$M$3:$M$565)</f>
        <v>Renzo</v>
      </c>
      <c r="AO50" s="131" t="s">
        <v>547</v>
      </c>
      <c r="AP50" s="57" t="s">
        <v>1581</v>
      </c>
      <c r="AQ50" s="57" t="s">
        <v>1582</v>
      </c>
    </row>
    <row r="51" ht="15.0" customHeight="1">
      <c r="A51" s="116" t="s">
        <v>1586</v>
      </c>
      <c r="B51" s="56">
        <v>45949.0</v>
      </c>
      <c r="C51" s="182">
        <v>45939.0</v>
      </c>
      <c r="D51" s="57" t="s">
        <v>852</v>
      </c>
      <c r="E51" s="3">
        <f t="array" ref="E51">XLOOKUP(D51,RUC!$B$3:$B$110,RUC!$D$3:$D$110)</f>
        <v>20610807004</v>
      </c>
      <c r="G51" s="141">
        <v>30.0</v>
      </c>
      <c r="H51" s="3" t="s">
        <v>40</v>
      </c>
      <c r="I51" s="6">
        <v>2.53</v>
      </c>
      <c r="J51" s="58">
        <v>4.6</v>
      </c>
      <c r="K51" s="6">
        <f t="shared" si="35"/>
        <v>2.414</v>
      </c>
      <c r="L51" s="3">
        <v>0.151</v>
      </c>
      <c r="M51" s="3">
        <v>0.122</v>
      </c>
      <c r="N51" s="62">
        <f t="shared" si="45"/>
        <v>0.122</v>
      </c>
      <c r="O51" s="60">
        <f t="shared" si="37"/>
        <v>0.122</v>
      </c>
      <c r="P51" s="63">
        <v>78.0</v>
      </c>
      <c r="Q51" s="58">
        <v>78.83</v>
      </c>
      <c r="R51" s="65">
        <v>4019.25</v>
      </c>
      <c r="S51" s="66">
        <f t="array" ref="S51">IF((XLOOKUP(D51,RUC!$B$3:$B$106,RUC!$E$3:$E$106)+ROUNDDOWN(O51,1)*100)&lt;95,95,((XLOOKUP(D51,RUC!$B$3:$B$106,RUC!$E$3:$E$106)+ROUNDDOWN(O51,1)*100)))</f>
        <v>95</v>
      </c>
      <c r="U51" s="67">
        <f t="array" ref="U51">XLOOKUP(D51,RUC!$B$3:$B$110,RUC!$F$3:$F$110)</f>
        <v>120</v>
      </c>
      <c r="V51" s="67">
        <v>1.1023</v>
      </c>
      <c r="Y51" s="57">
        <f t="array" ref="Y51">XLOOKUP(D51,RUC!$B$3:$B$110,RUC!$G$3:$G$110)</f>
        <v>20</v>
      </c>
      <c r="Z51" s="69">
        <f t="array" ref="Z51">XLOOKUP(D51,RUC!$B$3:$B$110,RUC!$H$3:$H$110)</f>
        <v>30</v>
      </c>
      <c r="AA51" s="70">
        <f t="shared" si="38"/>
        <v>50</v>
      </c>
      <c r="AB51" s="71">
        <f t="shared" si="39"/>
        <v>249.177814</v>
      </c>
      <c r="AC51" s="71">
        <f>+(S51-T51)*V51-'data 1'!$F$4</f>
        <v>24.7185</v>
      </c>
      <c r="AD51" s="71">
        <f t="shared" si="5"/>
        <v>5.386862967</v>
      </c>
      <c r="AE51" s="71">
        <f t="shared" si="6"/>
        <v>-14.885</v>
      </c>
      <c r="AF51" s="71">
        <f t="shared" si="7"/>
        <v>98.25856397</v>
      </c>
      <c r="AG51" s="72">
        <f t="shared" si="44"/>
        <v>130.4789269</v>
      </c>
      <c r="AH51" s="193">
        <f t="shared" si="8"/>
        <v>9.852</v>
      </c>
      <c r="AI51" s="193">
        <f t="shared" si="9"/>
        <v>12.498</v>
      </c>
      <c r="AJ51" s="73">
        <f t="shared" si="10"/>
        <v>6.658928134</v>
      </c>
      <c r="AK51" s="73">
        <f t="shared" si="11"/>
        <v>7.87591043</v>
      </c>
      <c r="AL51" s="11"/>
      <c r="AM51" s="51">
        <f t="shared" si="12"/>
        <v>601.5152431</v>
      </c>
      <c r="AN51" s="51" t="str">
        <f t="array" ref="AN51">XLOOKUP(D51,RUC!$B$3:$B$565,RUC!$M$3:$M$565)</f>
        <v>Renzo</v>
      </c>
      <c r="AO51" s="131" t="s">
        <v>547</v>
      </c>
      <c r="AP51" s="57" t="s">
        <v>1581</v>
      </c>
      <c r="AQ51" s="57" t="s">
        <v>1582</v>
      </c>
    </row>
    <row r="52" ht="15.0" customHeight="1">
      <c r="A52" s="116" t="s">
        <v>1587</v>
      </c>
      <c r="B52" s="56">
        <v>45949.0</v>
      </c>
      <c r="C52" s="182">
        <v>45939.0</v>
      </c>
      <c r="D52" s="57" t="s">
        <v>852</v>
      </c>
      <c r="E52" s="3">
        <f t="array" ref="E52">XLOOKUP(D52,RUC!$B$3:$B$110,RUC!$D$3:$D$110)</f>
        <v>20610807004</v>
      </c>
      <c r="G52" s="141">
        <v>30.0</v>
      </c>
      <c r="H52" s="3" t="s">
        <v>40</v>
      </c>
      <c r="I52" s="6">
        <v>2.61</v>
      </c>
      <c r="J52" s="58">
        <v>3.4</v>
      </c>
      <c r="K52" s="6">
        <f t="shared" si="35"/>
        <v>2.521</v>
      </c>
      <c r="L52" s="3">
        <v>0.187</v>
      </c>
      <c r="M52" s="3">
        <v>0.172</v>
      </c>
      <c r="N52" s="62">
        <f t="shared" si="45"/>
        <v>0.172</v>
      </c>
      <c r="O52" s="60">
        <f t="shared" si="37"/>
        <v>0.172</v>
      </c>
      <c r="P52" s="63">
        <v>90.0</v>
      </c>
      <c r="Q52" s="58">
        <v>98.93</v>
      </c>
      <c r="R52" s="65">
        <v>4019.25</v>
      </c>
      <c r="S52" s="66">
        <f t="array" ref="S52">IF((XLOOKUP(D52,RUC!$B$3:$B$106,RUC!$E$3:$E$106)+ROUNDDOWN(O52,1)*100)&lt;95,95,((XLOOKUP(D52,RUC!$B$3:$B$106,RUC!$E$3:$E$106)+ROUNDDOWN(O52,1)*100)))</f>
        <v>95</v>
      </c>
      <c r="U52" s="67">
        <f t="array" ref="U52">XLOOKUP(D52,RUC!$B$3:$B$110,RUC!$F$3:$F$110)</f>
        <v>120</v>
      </c>
      <c r="V52" s="67">
        <v>1.1023</v>
      </c>
      <c r="Y52" s="57">
        <f t="array" ref="Y52">XLOOKUP(D52,RUC!$B$3:$B$110,RUC!$G$3:$G$110)</f>
        <v>20</v>
      </c>
      <c r="Z52" s="69">
        <f t="array" ref="Z52">XLOOKUP(D52,RUC!$B$3:$B$110,RUC!$H$3:$H$110)</f>
        <v>30</v>
      </c>
      <c r="AA52" s="70">
        <f t="shared" si="38"/>
        <v>50</v>
      </c>
      <c r="AB52" s="71">
        <f t="shared" si="39"/>
        <v>505.519079</v>
      </c>
      <c r="AC52" s="71">
        <f>+(S52-T52)*V52-'data 1'!$F$4</f>
        <v>24.7185</v>
      </c>
      <c r="AD52" s="71">
        <f t="shared" si="5"/>
        <v>71.77512436</v>
      </c>
      <c r="AE52" s="71">
        <f t="shared" si="6"/>
        <v>-14.885</v>
      </c>
      <c r="AF52" s="71">
        <f t="shared" si="7"/>
        <v>63.78229713</v>
      </c>
      <c r="AG52" s="72">
        <f t="shared" si="44"/>
        <v>162.3909215</v>
      </c>
      <c r="AH52" s="193">
        <f t="shared" si="8"/>
        <v>15.99</v>
      </c>
      <c r="AI52" s="193">
        <f t="shared" si="9"/>
        <v>16.163</v>
      </c>
      <c r="AJ52" s="73">
        <f t="shared" si="10"/>
        <v>10.34916878</v>
      </c>
      <c r="AK52" s="73">
        <f t="shared" si="11"/>
        <v>13.37990011</v>
      </c>
      <c r="AL52" s="11"/>
      <c r="AM52" s="51">
        <f t="shared" si="12"/>
        <v>1274.413598</v>
      </c>
      <c r="AN52" s="51" t="str">
        <f t="array" ref="AN52">XLOOKUP(D52,RUC!$B$3:$B$565,RUC!$M$3:$M$565)</f>
        <v>Renzo</v>
      </c>
      <c r="AO52" s="131" t="s">
        <v>547</v>
      </c>
      <c r="AP52" s="57" t="s">
        <v>1581</v>
      </c>
      <c r="AQ52" s="57" t="s">
        <v>1582</v>
      </c>
    </row>
    <row r="53" ht="15.0" customHeight="1">
      <c r="A53" s="116" t="s">
        <v>1588</v>
      </c>
      <c r="B53" s="56">
        <v>45949.0</v>
      </c>
      <c r="C53" s="182">
        <v>45939.0</v>
      </c>
      <c r="D53" s="57" t="s">
        <v>852</v>
      </c>
      <c r="E53" s="3">
        <f t="array" ref="E53">XLOOKUP(D53,RUC!$B$3:$B$110,RUC!$D$3:$D$110)</f>
        <v>20610807004</v>
      </c>
      <c r="G53" s="141">
        <v>26.0</v>
      </c>
      <c r="H53" s="3" t="s">
        <v>40</v>
      </c>
      <c r="I53" s="6">
        <v>1.82</v>
      </c>
      <c r="J53" s="58">
        <v>6.5</v>
      </c>
      <c r="K53" s="6">
        <f t="shared" si="35"/>
        <v>1.702</v>
      </c>
      <c r="L53" s="3">
        <v>0.346</v>
      </c>
      <c r="M53" s="3">
        <v>0.329</v>
      </c>
      <c r="N53" s="62">
        <f t="shared" si="45"/>
        <v>0.329</v>
      </c>
      <c r="O53" s="60">
        <f t="shared" si="37"/>
        <v>0.329</v>
      </c>
      <c r="P53" s="63">
        <v>74.0</v>
      </c>
      <c r="Q53" s="58">
        <v>74.86</v>
      </c>
      <c r="R53" s="65">
        <v>4019.25</v>
      </c>
      <c r="S53" s="66">
        <f t="array" ref="S53">IF((XLOOKUP(D53,RUC!$B$3:$B$106,RUC!$E$3:$E$106)+ROUNDDOWN(O53,1)*100)&lt;95,95,((XLOOKUP(D53,RUC!$B$3:$B$106,RUC!$E$3:$E$106)+ROUNDDOWN(O53,1)*100)))</f>
        <v>115</v>
      </c>
      <c r="U53" s="67">
        <f t="array" ref="U53">XLOOKUP(D53,RUC!$B$3:$B$110,RUC!$F$3:$F$110)</f>
        <v>120</v>
      </c>
      <c r="V53" s="67">
        <v>1.1023</v>
      </c>
      <c r="Y53" s="57">
        <f t="array" ref="Y53">XLOOKUP(D53,RUC!$B$3:$B$110,RUC!$G$3:$G$110)</f>
        <v>20</v>
      </c>
      <c r="Z53" s="69">
        <f t="array" ref="Z53">XLOOKUP(D53,RUC!$B$3:$B$110,RUC!$H$3:$H$110)</f>
        <v>30</v>
      </c>
      <c r="AA53" s="70">
        <f t="shared" si="38"/>
        <v>50</v>
      </c>
      <c r="AB53" s="71">
        <f t="shared" si="39"/>
        <v>864.5464617</v>
      </c>
      <c r="AC53" s="71">
        <f>+(S53-T53)*V53-'data 1'!$F$4</f>
        <v>46.7645</v>
      </c>
      <c r="AD53" s="71">
        <f t="shared" si="5"/>
        <v>12.78955513</v>
      </c>
      <c r="AE53" s="71">
        <f t="shared" si="6"/>
        <v>-14.885</v>
      </c>
      <c r="AF53" s="71">
        <f t="shared" si="7"/>
        <v>54.69903095</v>
      </c>
      <c r="AG53" s="72">
        <f t="shared" si="44"/>
        <v>116.3680861</v>
      </c>
      <c r="AH53" s="193">
        <f t="shared" si="8"/>
        <v>15.115</v>
      </c>
      <c r="AI53" s="193">
        <f t="shared" si="9"/>
        <v>20.19</v>
      </c>
      <c r="AJ53" s="73">
        <f t="shared" si="10"/>
        <v>14.48977947</v>
      </c>
      <c r="AK53" s="73">
        <f t="shared" si="11"/>
        <v>14.20679922</v>
      </c>
      <c r="AL53" s="11"/>
      <c r="AM53" s="51">
        <f t="shared" si="12"/>
        <v>1471.458078</v>
      </c>
      <c r="AN53" s="51" t="str">
        <f t="array" ref="AN53">XLOOKUP(D53,RUC!$B$3:$B$565,RUC!$M$3:$M$565)</f>
        <v>Renzo</v>
      </c>
      <c r="AO53" s="131" t="s">
        <v>547</v>
      </c>
      <c r="AP53" s="57" t="s">
        <v>1581</v>
      </c>
      <c r="AQ53" s="57" t="s">
        <v>1582</v>
      </c>
    </row>
    <row r="54" ht="15.0" customHeight="1">
      <c r="A54" s="116" t="s">
        <v>1589</v>
      </c>
      <c r="B54" s="56">
        <v>45949.0</v>
      </c>
      <c r="C54" s="182">
        <v>45939.0</v>
      </c>
      <c r="D54" s="57" t="s">
        <v>852</v>
      </c>
      <c r="E54" s="3">
        <f t="array" ref="E54">XLOOKUP(D54,RUC!$B$3:$B$110,RUC!$D$3:$D$110)</f>
        <v>20610807004</v>
      </c>
      <c r="G54" s="141">
        <v>27.0</v>
      </c>
      <c r="H54" s="3" t="s">
        <v>40</v>
      </c>
      <c r="I54" s="6">
        <v>2.14</v>
      </c>
      <c r="J54" s="58">
        <v>11.6</v>
      </c>
      <c r="K54" s="6">
        <f t="shared" si="35"/>
        <v>1.892</v>
      </c>
      <c r="L54" s="3">
        <v>0.439</v>
      </c>
      <c r="M54" s="3">
        <v>0.417</v>
      </c>
      <c r="N54" s="62">
        <f t="shared" si="45"/>
        <v>0.417</v>
      </c>
      <c r="O54" s="60">
        <f t="shared" si="37"/>
        <v>0.417</v>
      </c>
      <c r="P54" s="63">
        <v>90.0</v>
      </c>
      <c r="Q54" s="58">
        <v>90.21</v>
      </c>
      <c r="R54" s="65">
        <v>4019.25</v>
      </c>
      <c r="S54" s="66">
        <f t="array" ref="S54">IF((XLOOKUP(D54,RUC!$B$3:$B$106,RUC!$E$3:$E$106)+ROUNDDOWN(O54,1)*100)&lt;95,95,((XLOOKUP(D54,RUC!$B$3:$B$106,RUC!$E$3:$E$106)+ROUNDDOWN(O54,1)*100)))</f>
        <v>125</v>
      </c>
      <c r="U54" s="67">
        <f t="array" ref="U54">XLOOKUP(D54,RUC!$B$3:$B$110,RUC!$F$3:$F$110)</f>
        <v>120</v>
      </c>
      <c r="V54" s="67">
        <v>1.1023</v>
      </c>
      <c r="Y54" s="57">
        <f t="array" ref="Y54">XLOOKUP(D54,RUC!$B$3:$B$110,RUC!$G$3:$G$110)</f>
        <v>20</v>
      </c>
      <c r="Z54" s="69">
        <f t="array" ref="Z54">XLOOKUP(D54,RUC!$B$3:$B$110,RUC!$H$3:$H$110)</f>
        <v>30</v>
      </c>
      <c r="AA54" s="70">
        <f t="shared" si="38"/>
        <v>50</v>
      </c>
      <c r="AB54" s="71">
        <f t="shared" si="39"/>
        <v>1420.190671</v>
      </c>
      <c r="AC54" s="71">
        <f>+(S54-T54)*V54-'data 1'!$F$4</f>
        <v>57.7875</v>
      </c>
      <c r="AD54" s="71">
        <f t="shared" si="5"/>
        <v>3.962458285</v>
      </c>
      <c r="AE54" s="71">
        <f t="shared" si="6"/>
        <v>-14.885</v>
      </c>
      <c r="AF54" s="71">
        <f t="shared" si="7"/>
        <v>85.30181106</v>
      </c>
      <c r="AG54" s="72">
        <f t="shared" si="44"/>
        <v>149.1667693</v>
      </c>
      <c r="AH54" s="193">
        <f t="shared" si="8"/>
        <v>25.689</v>
      </c>
      <c r="AI54" s="193">
        <f t="shared" si="9"/>
        <v>28.477</v>
      </c>
      <c r="AJ54" s="73">
        <f t="shared" si="10"/>
        <v>22.15414822</v>
      </c>
      <c r="AK54" s="73">
        <f t="shared" si="11"/>
        <v>24.34494321</v>
      </c>
      <c r="AL54" s="11"/>
      <c r="AM54" s="51">
        <f t="shared" si="12"/>
        <v>2687.00075</v>
      </c>
      <c r="AN54" s="51" t="str">
        <f t="array" ref="AN54">XLOOKUP(D54,RUC!$B$3:$B$565,RUC!$M$3:$M$565)</f>
        <v>Renzo</v>
      </c>
      <c r="AO54" s="131" t="s">
        <v>547</v>
      </c>
      <c r="AP54" s="57" t="s">
        <v>1581</v>
      </c>
      <c r="AQ54" s="57" t="s">
        <v>1582</v>
      </c>
    </row>
    <row r="55" ht="15.0" customHeight="1">
      <c r="A55" s="116" t="s">
        <v>1590</v>
      </c>
      <c r="B55" s="56">
        <v>45949.0</v>
      </c>
      <c r="C55" s="182">
        <v>45939.0</v>
      </c>
      <c r="D55" s="57" t="s">
        <v>852</v>
      </c>
      <c r="E55" s="3">
        <f t="array" ref="E55">XLOOKUP(D55,RUC!$B$3:$B$110,RUC!$D$3:$D$110)</f>
        <v>20610807004</v>
      </c>
      <c r="G55" s="141">
        <v>30.0</v>
      </c>
      <c r="H55" s="3" t="s">
        <v>40</v>
      </c>
      <c r="I55" s="6">
        <v>2.35</v>
      </c>
      <c r="J55" s="58">
        <v>11.1</v>
      </c>
      <c r="K55" s="6">
        <f t="shared" si="35"/>
        <v>2.089</v>
      </c>
      <c r="L55" s="3">
        <v>0.456</v>
      </c>
      <c r="M55" s="3">
        <v>0.433</v>
      </c>
      <c r="N55" s="62">
        <f t="shared" si="45"/>
        <v>0.433</v>
      </c>
      <c r="O55" s="60">
        <f t="shared" si="37"/>
        <v>0.433</v>
      </c>
      <c r="P55" s="63">
        <v>90.0</v>
      </c>
      <c r="Q55" s="58">
        <v>93.86</v>
      </c>
      <c r="R55" s="65">
        <v>4019.25</v>
      </c>
      <c r="S55" s="66">
        <f t="array" ref="S55">IF((XLOOKUP(D55,RUC!$B$3:$B$106,RUC!$E$3:$E$106)+ROUNDDOWN(O55,1)*100)&lt;95,95,((XLOOKUP(D55,RUC!$B$3:$B$106,RUC!$E$3:$E$106)+ROUNDDOWN(O55,1)*100)))</f>
        <v>125</v>
      </c>
      <c r="U55" s="67">
        <f t="array" ref="U55">XLOOKUP(D55,RUC!$B$3:$B$110,RUC!$F$3:$F$110)</f>
        <v>120</v>
      </c>
      <c r="V55" s="67">
        <v>1.1023</v>
      </c>
      <c r="Y55" s="57">
        <f t="array" ref="Y55">XLOOKUP(D55,RUC!$B$3:$B$110,RUC!$G$3:$G$110)</f>
        <v>20</v>
      </c>
      <c r="Z55" s="69">
        <f t="array" ref="Z55">XLOOKUP(D55,RUC!$B$3:$B$110,RUC!$H$3:$H$110)</f>
        <v>30</v>
      </c>
      <c r="AA55" s="70">
        <f t="shared" si="38"/>
        <v>50</v>
      </c>
      <c r="AB55" s="71">
        <f t="shared" si="39"/>
        <v>1482.083934</v>
      </c>
      <c r="AC55" s="71">
        <f>+(S55-T55)*V55-'data 1'!$F$4</f>
        <v>57.7875</v>
      </c>
      <c r="AD55" s="71">
        <f t="shared" si="5"/>
        <v>75.65419867</v>
      </c>
      <c r="AE55" s="71">
        <f t="shared" si="6"/>
        <v>-14.885</v>
      </c>
      <c r="AF55" s="71">
        <f t="shared" si="7"/>
        <v>92.78745739</v>
      </c>
      <c r="AG55" s="72">
        <f t="shared" si="44"/>
        <v>228.3441561</v>
      </c>
      <c r="AH55" s="193">
        <f t="shared" si="8"/>
        <v>30.654</v>
      </c>
      <c r="AI55" s="193">
        <f t="shared" si="9"/>
        <v>32.66</v>
      </c>
      <c r="AJ55" s="73">
        <f t="shared" si="10"/>
        <v>23.94314781</v>
      </c>
      <c r="AK55" s="73">
        <f t="shared" si="11"/>
        <v>27.91116185</v>
      </c>
      <c r="AL55" s="11"/>
      <c r="AM55" s="51">
        <f t="shared" si="12"/>
        <v>3096.073339</v>
      </c>
      <c r="AN55" s="51" t="str">
        <f t="array" ref="AN55">XLOOKUP(D55,RUC!$B$3:$B$565,RUC!$M$3:$M$565)</f>
        <v>Renzo</v>
      </c>
      <c r="AO55" s="131" t="s">
        <v>547</v>
      </c>
      <c r="AP55" s="57" t="s">
        <v>1581</v>
      </c>
      <c r="AQ55" s="57" t="s">
        <v>1582</v>
      </c>
    </row>
    <row r="56" ht="15.0" customHeight="1">
      <c r="A56" s="116" t="s">
        <v>1591</v>
      </c>
      <c r="B56" s="56">
        <v>45949.0</v>
      </c>
      <c r="C56" s="182">
        <v>45939.0</v>
      </c>
      <c r="D56" s="57" t="s">
        <v>852</v>
      </c>
      <c r="E56" s="3">
        <f t="array" ref="E56">XLOOKUP(D56,RUC!$B$3:$B$110,RUC!$D$3:$D$110)</f>
        <v>20610807004</v>
      </c>
      <c r="G56" s="141">
        <v>30.0</v>
      </c>
      <c r="H56" s="3" t="s">
        <v>40</v>
      </c>
      <c r="I56" s="6">
        <v>2.34</v>
      </c>
      <c r="J56" s="58">
        <v>3.9</v>
      </c>
      <c r="K56" s="6">
        <f t="shared" si="35"/>
        <v>2.249</v>
      </c>
      <c r="L56" s="3">
        <v>0.136</v>
      </c>
      <c r="M56" s="3">
        <v>0.121</v>
      </c>
      <c r="N56" s="62">
        <f t="shared" si="45"/>
        <v>0.121</v>
      </c>
      <c r="O56" s="60">
        <f t="shared" si="37"/>
        <v>0.121</v>
      </c>
      <c r="P56" s="63">
        <v>78.0</v>
      </c>
      <c r="Q56" s="58">
        <v>78.68</v>
      </c>
      <c r="R56" s="65">
        <v>4019.25</v>
      </c>
      <c r="S56" s="66">
        <f t="array" ref="S56">IF((XLOOKUP(D56,RUC!$B$3:$B$106,RUC!$E$3:$E$106)+ROUNDDOWN(O56,1)*100)&lt;95,95,((XLOOKUP(D56,RUC!$B$3:$B$106,RUC!$E$3:$E$106)+ROUNDDOWN(O56,1)*100)))</f>
        <v>95</v>
      </c>
      <c r="U56" s="67">
        <f t="array" ref="U56">XLOOKUP(D56,RUC!$B$3:$B$110,RUC!$F$3:$F$110)</f>
        <v>120</v>
      </c>
      <c r="V56" s="67">
        <v>1.1023</v>
      </c>
      <c r="Y56" s="57">
        <f t="array" ref="Y56">XLOOKUP(D56,RUC!$B$3:$B$110,RUC!$G$3:$G$110)</f>
        <v>20</v>
      </c>
      <c r="Z56" s="69">
        <f t="array" ref="Z56">XLOOKUP(D56,RUC!$B$3:$B$110,RUC!$H$3:$H$110)</f>
        <v>30</v>
      </c>
      <c r="AA56" s="70">
        <f t="shared" si="38"/>
        <v>50</v>
      </c>
      <c r="AB56" s="71">
        <f t="shared" si="39"/>
        <v>245.8252623</v>
      </c>
      <c r="AC56" s="71">
        <f>+(S56-T56)*V56-'data 1'!$F$4</f>
        <v>24.7185</v>
      </c>
      <c r="AD56" s="71">
        <f t="shared" si="5"/>
        <v>3.974922901</v>
      </c>
      <c r="AE56" s="71">
        <f t="shared" si="6"/>
        <v>-14.885</v>
      </c>
      <c r="AF56" s="71">
        <f t="shared" si="7"/>
        <v>50.72668693</v>
      </c>
      <c r="AG56" s="72">
        <f t="shared" si="44"/>
        <v>81.53510983</v>
      </c>
      <c r="AH56" s="193">
        <f t="shared" si="8"/>
        <v>8.251</v>
      </c>
      <c r="AI56" s="193">
        <f t="shared" si="9"/>
        <v>10.487</v>
      </c>
      <c r="AJ56" s="73">
        <f t="shared" si="10"/>
        <v>5.986033095</v>
      </c>
      <c r="AK56" s="73">
        <f t="shared" si="11"/>
        <v>7.277437724</v>
      </c>
      <c r="AL56" s="11"/>
      <c r="AM56" s="51">
        <f t="shared" si="12"/>
        <v>552.8610149</v>
      </c>
      <c r="AN56" s="51" t="str">
        <f t="array" ref="AN56">XLOOKUP(D56,RUC!$B$3:$B$565,RUC!$M$3:$M$565)</f>
        <v>Renzo</v>
      </c>
      <c r="AO56" s="131" t="s">
        <v>547</v>
      </c>
      <c r="AP56" s="57" t="s">
        <v>1581</v>
      </c>
      <c r="AQ56" s="57" t="s">
        <v>1582</v>
      </c>
    </row>
    <row r="57" ht="15.0" customHeight="1">
      <c r="A57" s="116" t="s">
        <v>1592</v>
      </c>
      <c r="B57" s="56">
        <v>45950.0</v>
      </c>
      <c r="C57" s="182">
        <v>45940.0</v>
      </c>
      <c r="D57" s="57" t="s">
        <v>602</v>
      </c>
      <c r="E57" s="3">
        <f t="array" ref="E57">XLOOKUP(D57,RUC!$B$3:$B$110,RUC!$D$3:$D$110)</f>
        <v>20169040231</v>
      </c>
      <c r="G57" s="141">
        <v>47.0</v>
      </c>
      <c r="H57" s="3" t="s">
        <v>47</v>
      </c>
      <c r="I57" s="6">
        <v>4.31</v>
      </c>
      <c r="J57" s="58">
        <v>1.2</v>
      </c>
      <c r="K57" s="6">
        <f t="shared" si="35"/>
        <v>4.258</v>
      </c>
      <c r="L57" s="3">
        <v>0.159</v>
      </c>
      <c r="M57" s="3">
        <v>0.153</v>
      </c>
      <c r="N57" s="62">
        <f t="shared" si="45"/>
        <v>0.153</v>
      </c>
      <c r="O57" s="60">
        <f t="shared" si="37"/>
        <v>0.153</v>
      </c>
      <c r="P57" s="63">
        <v>90.0</v>
      </c>
      <c r="Q57" s="58">
        <v>98.81</v>
      </c>
      <c r="R57" s="65">
        <v>3974.5</v>
      </c>
      <c r="S57" s="66">
        <f t="array" ref="S57">IF((XLOOKUP(D57,RUC!$B$3:$B$106,RUC!$E$3:$E$106)+ROUNDDOWN(O57,1)*100)&lt;95,95,((XLOOKUP(D57,RUC!$B$3:$B$106,RUC!$E$3:$E$106)+ROUNDDOWN(O57,1)*100)))</f>
        <v>95</v>
      </c>
      <c r="U57" s="67">
        <f t="array" ref="U57">XLOOKUP(D57,RUC!$B$3:$B$110,RUC!$F$3:$F$110)</f>
        <v>120</v>
      </c>
      <c r="V57" s="67">
        <v>1.1023</v>
      </c>
      <c r="Y57" s="57">
        <f t="array" ref="Y57">XLOOKUP(D57,RUC!$B$3:$B$110,RUC!$G$3:$G$110)</f>
        <v>20</v>
      </c>
      <c r="Z57" s="140">
        <v>35.0</v>
      </c>
      <c r="AA57" s="70">
        <f t="shared" si="38"/>
        <v>55</v>
      </c>
      <c r="AB57" s="71">
        <f t="shared" si="39"/>
        <v>419.7168737</v>
      </c>
      <c r="AC57" s="71">
        <f>+(S57-T57)*V57-'data 1'!$F$4</f>
        <v>24.7185</v>
      </c>
      <c r="AD57" s="71">
        <f t="shared" si="5"/>
        <v>59.51698054</v>
      </c>
      <c r="AE57" s="71">
        <f t="shared" si="6"/>
        <v>-9.3735</v>
      </c>
      <c r="AF57" s="71">
        <f t="shared" si="7"/>
        <v>25.18952668</v>
      </c>
      <c r="AG57" s="72">
        <f t="shared" si="44"/>
        <v>117.0515072</v>
      </c>
      <c r="AH57" s="193">
        <f t="shared" si="8"/>
        <v>22.936</v>
      </c>
      <c r="AI57" s="193">
        <f t="shared" si="9"/>
        <v>23.212</v>
      </c>
      <c r="AJ57" s="73">
        <f t="shared" si="10"/>
        <v>16.53869365</v>
      </c>
      <c r="AK57" s="73">
        <f t="shared" si="11"/>
        <v>20.10243501</v>
      </c>
      <c r="AL57" s="11"/>
      <c r="AM57" s="51">
        <f t="shared" si="12"/>
        <v>1787.154448</v>
      </c>
      <c r="AN57" s="51" t="str">
        <f t="array" ref="AN57">XLOOKUP(D57,RUC!$B$3:$B$565,RUC!$M$3:$M$565)</f>
        <v>Ronald Miranda</v>
      </c>
      <c r="AO57" s="131" t="s">
        <v>561</v>
      </c>
      <c r="AP57" s="57" t="s">
        <v>1593</v>
      </c>
      <c r="AQ57" s="57" t="s">
        <v>1594</v>
      </c>
    </row>
    <row r="58" ht="15.0" customHeight="1">
      <c r="A58" s="116" t="s">
        <v>1595</v>
      </c>
      <c r="B58" s="56">
        <v>45948.0</v>
      </c>
      <c r="C58" s="182">
        <v>45940.0</v>
      </c>
      <c r="D58" s="57" t="s">
        <v>665</v>
      </c>
      <c r="E58" s="3">
        <f t="array" ref="E58">XLOOKUP(D58,RUC!$B$3:$B$110,RUC!$D$3:$D$110)</f>
        <v>20608774000</v>
      </c>
      <c r="G58" s="141">
        <v>21.0</v>
      </c>
      <c r="H58" s="3" t="s">
        <v>40</v>
      </c>
      <c r="I58" s="6">
        <v>1.51</v>
      </c>
      <c r="J58" s="69">
        <v>32.35</v>
      </c>
      <c r="K58" s="6">
        <f t="shared" si="35"/>
        <v>1.022</v>
      </c>
      <c r="L58" s="60">
        <v>0.93</v>
      </c>
      <c r="M58" s="3">
        <v>0.884</v>
      </c>
      <c r="N58" s="62">
        <f t="shared" si="45"/>
        <v>0.884</v>
      </c>
      <c r="O58" s="60">
        <f t="shared" si="37"/>
        <v>0.884</v>
      </c>
      <c r="P58" s="63">
        <v>98.0</v>
      </c>
      <c r="Q58" s="58">
        <v>98.28</v>
      </c>
      <c r="R58" s="65">
        <v>3974.5</v>
      </c>
      <c r="S58" s="66">
        <f t="array" ref="S58">IF((XLOOKUP(D58,RUC!$B$3:$B$106,RUC!$E$3:$E$106)+ROUNDDOWN(O58,1)*100)&lt;95,95,((XLOOKUP(D58,RUC!$B$3:$B$106,RUC!$E$3:$E$106)+ROUNDDOWN(O58,1)*100)))</f>
        <v>165</v>
      </c>
      <c r="T58" s="58">
        <v>44.6</v>
      </c>
      <c r="U58" s="67">
        <f t="array" ref="U58">XLOOKUP(D58,RUC!$B$3:$B$110,RUC!$F$3:$F$110)</f>
        <v>120</v>
      </c>
      <c r="V58" s="67">
        <v>1.1023</v>
      </c>
      <c r="Y58" s="57">
        <f t="array" ref="Y58">XLOOKUP(D58,RUC!$B$3:$B$110,RUC!$G$3:$G$110)</f>
        <v>20</v>
      </c>
      <c r="Z58" s="140">
        <v>38.0</v>
      </c>
      <c r="AA58" s="70">
        <f t="shared" si="38"/>
        <v>58</v>
      </c>
      <c r="AB58" s="71">
        <f t="shared" si="39"/>
        <v>3484.183394</v>
      </c>
      <c r="AC58" s="71">
        <f>+(S58-T58)*V58-'data 1'!$F$4</f>
        <v>52.71692</v>
      </c>
      <c r="AD58" s="71">
        <f t="shared" si="5"/>
        <v>11.06391517</v>
      </c>
      <c r="AE58" s="71">
        <f t="shared" si="6"/>
        <v>-6.0666</v>
      </c>
      <c r="AF58" s="71">
        <f t="shared" si="7"/>
        <v>192.0838434</v>
      </c>
      <c r="AG58" s="72">
        <f t="shared" si="44"/>
        <v>266.7980786</v>
      </c>
      <c r="AH58" s="193">
        <f t="shared" si="8"/>
        <v>32.026</v>
      </c>
      <c r="AI58" s="193">
        <f t="shared" si="9"/>
        <v>32.587</v>
      </c>
      <c r="AJ58" s="73">
        <f t="shared" si="10"/>
        <v>96.21688118</v>
      </c>
      <c r="AK58" s="73">
        <f t="shared" si="11"/>
        <v>30.35556396</v>
      </c>
      <c r="AL58" s="11"/>
      <c r="AM58" s="51">
        <f t="shared" si="12"/>
        <v>3560.835429</v>
      </c>
      <c r="AN58" s="51" t="str">
        <f t="array" ref="AN58">XLOOKUP(D58,RUC!$B$3:$B$565,RUC!$M$3:$M$565)</f>
        <v>Ronald Miranda</v>
      </c>
      <c r="AO58" s="131" t="s">
        <v>547</v>
      </c>
      <c r="AP58" s="57" t="s">
        <v>1596</v>
      </c>
      <c r="AQ58" s="57" t="s">
        <v>1597</v>
      </c>
    </row>
    <row r="59" ht="15.0" customHeight="1">
      <c r="A59" s="116" t="s">
        <v>1598</v>
      </c>
      <c r="B59" s="56">
        <v>45948.0</v>
      </c>
      <c r="C59" s="182">
        <v>45940.0</v>
      </c>
      <c r="D59" s="57" t="s">
        <v>665</v>
      </c>
      <c r="E59" s="3">
        <f t="array" ref="E59">XLOOKUP(D59,RUC!$B$3:$B$110,RUC!$D$3:$D$110)</f>
        <v>20608774000</v>
      </c>
      <c r="G59" s="141">
        <v>40.0</v>
      </c>
      <c r="H59" s="3" t="s">
        <v>40</v>
      </c>
      <c r="I59" s="6">
        <v>2.97</v>
      </c>
      <c r="J59" s="69">
        <v>33.65</v>
      </c>
      <c r="K59" s="6">
        <f t="shared" si="35"/>
        <v>1.971</v>
      </c>
      <c r="L59" s="3">
        <v>0.882</v>
      </c>
      <c r="M59" s="3">
        <v>0.838</v>
      </c>
      <c r="N59" s="62">
        <f t="shared" si="45"/>
        <v>0.838</v>
      </c>
      <c r="O59" s="60">
        <f t="shared" si="37"/>
        <v>0.838</v>
      </c>
      <c r="P59" s="63">
        <v>72.0</v>
      </c>
      <c r="Q59" s="58">
        <v>72.0</v>
      </c>
      <c r="R59" s="65">
        <v>3974.5</v>
      </c>
      <c r="S59" s="66">
        <f t="array" ref="S59">IF((XLOOKUP(D59,RUC!$B$3:$B$106,RUC!$E$3:$E$106)+ROUNDDOWN(O59,1)*100)&lt;95,95,((XLOOKUP(D59,RUC!$B$3:$B$106,RUC!$E$3:$E$106)+ROUNDDOWN(O59,1)*100)))</f>
        <v>165</v>
      </c>
      <c r="T59" s="58">
        <v>44.6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140">
        <v>38.0</v>
      </c>
      <c r="AA59" s="70">
        <f t="shared" si="38"/>
        <v>58</v>
      </c>
      <c r="AB59" s="71">
        <f t="shared" si="39"/>
        <v>2366.91491</v>
      </c>
      <c r="AC59" s="71">
        <f>+(S59-T59)*V59-'data 1'!$F$4</f>
        <v>52.71692</v>
      </c>
      <c r="AD59" s="71">
        <f t="shared" si="5"/>
        <v>0</v>
      </c>
      <c r="AE59" s="71">
        <f t="shared" si="6"/>
        <v>-6.0666</v>
      </c>
      <c r="AF59" s="71">
        <f t="shared" si="7"/>
        <v>134.6024703</v>
      </c>
      <c r="AG59" s="72">
        <f t="shared" si="44"/>
        <v>198.2527903</v>
      </c>
      <c r="AH59" s="193">
        <f t="shared" si="8"/>
        <v>42.914</v>
      </c>
      <c r="AI59" s="193">
        <f t="shared" si="9"/>
        <v>59.602</v>
      </c>
      <c r="AJ59" s="73">
        <f t="shared" si="10"/>
        <v>66.85043854</v>
      </c>
      <c r="AK59" s="73">
        <f t="shared" si="11"/>
        <v>40.77295695</v>
      </c>
      <c r="AL59" s="11"/>
      <c r="AM59" s="51">
        <f t="shared" si="12"/>
        <v>4665.189287</v>
      </c>
      <c r="AN59" s="51" t="str">
        <f t="array" ref="AN59">XLOOKUP(D59,RUC!$B$3:$B$565,RUC!$M$3:$M$565)</f>
        <v>Ronald Miranda</v>
      </c>
      <c r="AO59" s="131" t="s">
        <v>561</v>
      </c>
      <c r="AP59" s="57" t="s">
        <v>1596</v>
      </c>
      <c r="AQ59" s="57" t="s">
        <v>1597</v>
      </c>
    </row>
    <row r="60" ht="15.0" customHeight="1">
      <c r="A60" s="116" t="s">
        <v>1599</v>
      </c>
      <c r="B60" s="56">
        <v>45948.0</v>
      </c>
      <c r="C60" s="182">
        <v>45940.0</v>
      </c>
      <c r="D60" s="57" t="s">
        <v>665</v>
      </c>
      <c r="E60" s="3">
        <f t="array" ref="E60">XLOOKUP(D60,RUC!$B$3:$B$110,RUC!$D$3:$D$110)</f>
        <v>20608774000</v>
      </c>
      <c r="G60" s="141">
        <v>40.0</v>
      </c>
      <c r="H60" s="3" t="s">
        <v>40</v>
      </c>
      <c r="I60" s="6">
        <v>2.83</v>
      </c>
      <c r="J60" s="69">
        <v>33.9</v>
      </c>
      <c r="K60" s="6">
        <f t="shared" si="35"/>
        <v>1.871</v>
      </c>
      <c r="L60" s="3">
        <v>0.845</v>
      </c>
      <c r="M60" s="3">
        <v>0.803</v>
      </c>
      <c r="N60" s="62">
        <f t="shared" si="45"/>
        <v>0.803</v>
      </c>
      <c r="O60" s="60">
        <f t="shared" si="37"/>
        <v>0.803</v>
      </c>
      <c r="P60" s="63">
        <v>67.0</v>
      </c>
      <c r="Q60" s="58">
        <v>67.93</v>
      </c>
      <c r="R60" s="65">
        <v>3974.5</v>
      </c>
      <c r="S60" s="66">
        <f t="array" ref="S60">IF((XLOOKUP(D60,RUC!$B$3:$B$106,RUC!$E$3:$E$106)+ROUNDDOWN(O60,1)*100)&lt;95,95,((XLOOKUP(D60,RUC!$B$3:$B$106,RUC!$E$3:$E$106)+ROUNDDOWN(O60,1)*100)))</f>
        <v>165</v>
      </c>
      <c r="T60" s="58">
        <v>44.6</v>
      </c>
      <c r="U60" s="67">
        <f t="array" ref="U60">XLOOKUP(D60,RUC!$B$3:$B$110,RUC!$F$3:$F$110)</f>
        <v>120</v>
      </c>
      <c r="V60" s="67">
        <v>1.1023</v>
      </c>
      <c r="Y60" s="57">
        <f t="array" ref="Y60">XLOOKUP(D60,RUC!$B$3:$B$110,RUC!$G$3:$G$110)</f>
        <v>20</v>
      </c>
      <c r="Z60" s="140">
        <v>38.0</v>
      </c>
      <c r="AA60" s="70">
        <f t="shared" si="38"/>
        <v>58</v>
      </c>
      <c r="AB60" s="71">
        <f t="shared" si="39"/>
        <v>2089.254826</v>
      </c>
      <c r="AC60" s="71">
        <f>+(S60-T60)*V60-'data 1'!$F$4</f>
        <v>52.71692</v>
      </c>
      <c r="AD60" s="71">
        <f t="shared" si="5"/>
        <v>33.38931543</v>
      </c>
      <c r="AE60" s="71">
        <f t="shared" si="6"/>
        <v>-6.0666</v>
      </c>
      <c r="AF60" s="71">
        <f t="shared" si="7"/>
        <v>121.2212512</v>
      </c>
      <c r="AG60" s="72">
        <f t="shared" si="44"/>
        <v>218.2608867</v>
      </c>
      <c r="AH60" s="193">
        <f t="shared" si="8"/>
        <v>36.821</v>
      </c>
      <c r="AI60" s="193">
        <f t="shared" si="9"/>
        <v>54.205</v>
      </c>
      <c r="AJ60" s="73">
        <f t="shared" si="10"/>
        <v>60.42567389</v>
      </c>
      <c r="AK60" s="73">
        <f t="shared" si="11"/>
        <v>34.51224452</v>
      </c>
      <c r="AL60" s="11"/>
      <c r="AM60" s="51">
        <f t="shared" si="12"/>
        <v>3908.99578</v>
      </c>
      <c r="AN60" s="51" t="str">
        <f t="array" ref="AN60">XLOOKUP(D60,RUC!$B$3:$B$565,RUC!$M$3:$M$565)</f>
        <v>Ronald Miranda</v>
      </c>
      <c r="AO60" s="131" t="s">
        <v>549</v>
      </c>
      <c r="AP60" s="57" t="s">
        <v>1596</v>
      </c>
      <c r="AQ60" s="57" t="s">
        <v>1597</v>
      </c>
    </row>
    <row r="61" ht="15.0" customHeight="1">
      <c r="A61" s="116" t="s">
        <v>1600</v>
      </c>
      <c r="B61" s="56">
        <v>45950.0</v>
      </c>
      <c r="C61" s="182">
        <v>45941.0</v>
      </c>
      <c r="D61" s="57" t="s">
        <v>225</v>
      </c>
      <c r="E61" s="3">
        <f t="array" ref="E61">XLOOKUP(D61,RUC!$B$3:$B$110,RUC!$D$3:$D$110)</f>
        <v>10761932735</v>
      </c>
      <c r="G61" s="141" t="s">
        <v>735</v>
      </c>
      <c r="H61" s="3" t="s">
        <v>47</v>
      </c>
      <c r="I61" s="6">
        <v>10.81</v>
      </c>
      <c r="J61" s="57">
        <v>11.2</v>
      </c>
      <c r="K61" s="6">
        <f t="shared" si="35"/>
        <v>9.599</v>
      </c>
      <c r="L61" s="3">
        <v>0.233</v>
      </c>
      <c r="M61" s="3">
        <v>0.218</v>
      </c>
      <c r="N61" s="62">
        <f t="shared" si="45"/>
        <v>0.218</v>
      </c>
      <c r="O61" s="60">
        <f t="shared" si="37"/>
        <v>0.218</v>
      </c>
      <c r="P61" s="63">
        <v>90.0</v>
      </c>
      <c r="Q61" s="58">
        <v>97.0</v>
      </c>
      <c r="R61" s="65">
        <v>3974.5</v>
      </c>
      <c r="S61" s="66">
        <f t="array" ref="S61">IF((XLOOKUP(D61,RUC!$B$3:$B$106,RUC!$E$3:$E$106)+ROUNDDOWN(O61,1)*100)&lt;95,95,((XLOOKUP(D61,RUC!$B$3:$B$106,RUC!$E$3:$E$106)+ROUNDDOWN(O61,1)*100)))</f>
        <v>110</v>
      </c>
      <c r="U61" s="67">
        <f t="array" ref="U61">XLOOKUP(D61,RUC!$B$3:$B$110,RUC!$F$3:$F$110)</f>
        <v>120</v>
      </c>
      <c r="V61" s="67">
        <v>1.1023</v>
      </c>
      <c r="Y61" s="57">
        <f t="array" ref="Y61">XLOOKUP(D61,RUC!$B$3:$B$110,RUC!$G$3:$G$110)</f>
        <v>20</v>
      </c>
      <c r="Z61" s="69">
        <f t="array" ref="Z61">XLOOKUP(D61,RUC!$B$3:$B$110,RUC!$H$3:$H$110)</f>
        <v>30</v>
      </c>
      <c r="AA61" s="70">
        <f t="shared" si="38"/>
        <v>50</v>
      </c>
      <c r="AB61" s="71">
        <f t="shared" si="39"/>
        <v>657.2495717</v>
      </c>
      <c r="AC61" s="71">
        <f>+(S61-T61)*V61-'data 1'!$F$4</f>
        <v>41.253</v>
      </c>
      <c r="AD61" s="71">
        <f t="shared" si="5"/>
        <v>69.29817836</v>
      </c>
      <c r="AE61" s="71">
        <f t="shared" si="6"/>
        <v>-14.885</v>
      </c>
      <c r="AF61" s="71">
        <f t="shared" si="7"/>
        <v>61.82026334</v>
      </c>
      <c r="AG61" s="72">
        <f t="shared" si="44"/>
        <v>174.4864417</v>
      </c>
      <c r="AH61" s="193">
        <f t="shared" si="8"/>
        <v>74.381</v>
      </c>
      <c r="AI61" s="193">
        <f t="shared" si="9"/>
        <v>76.682</v>
      </c>
      <c r="AJ61" s="73">
        <f t="shared" si="10"/>
        <v>23.7919936</v>
      </c>
      <c r="AK61" s="73">
        <f t="shared" si="11"/>
        <v>64.57048731</v>
      </c>
      <c r="AL61" s="11"/>
      <c r="AM61" s="51">
        <f t="shared" si="12"/>
        <v>6308.938638</v>
      </c>
      <c r="AN61" s="51" t="str">
        <f t="array" ref="AN61">XLOOKUP(D61,RUC!$B$3:$B$565,RUC!$M$3:$M$565)</f>
        <v>Richard Sapacayo</v>
      </c>
      <c r="AO61" s="131" t="s">
        <v>547</v>
      </c>
      <c r="AP61" s="57" t="s">
        <v>1601</v>
      </c>
      <c r="AQ61" s="57" t="s">
        <v>1602</v>
      </c>
    </row>
    <row r="62" ht="15.0" customHeight="1">
      <c r="A62" s="116" t="s">
        <v>1603</v>
      </c>
      <c r="B62" s="56">
        <v>45950.0</v>
      </c>
      <c r="C62" s="182">
        <v>45941.0</v>
      </c>
      <c r="D62" s="57" t="s">
        <v>225</v>
      </c>
      <c r="E62" s="3">
        <f t="array" ref="E62">XLOOKUP(D62,RUC!$B$3:$B$110,RUC!$D$3:$D$110)</f>
        <v>10761932735</v>
      </c>
      <c r="G62" s="141" t="s">
        <v>735</v>
      </c>
      <c r="H62" s="3" t="s">
        <v>47</v>
      </c>
      <c r="I62" s="6">
        <v>16.94</v>
      </c>
      <c r="J62" s="58">
        <v>14.42</v>
      </c>
      <c r="K62" s="6">
        <f t="shared" si="35"/>
        <v>14.497</v>
      </c>
      <c r="L62" s="3">
        <v>0.164</v>
      </c>
      <c r="M62" s="3">
        <v>0.149</v>
      </c>
      <c r="N62" s="75">
        <v>0.163</v>
      </c>
      <c r="O62" s="60">
        <f t="shared" si="37"/>
        <v>0.156</v>
      </c>
      <c r="P62" s="63">
        <v>90.0</v>
      </c>
      <c r="Q62" s="58">
        <v>97.56</v>
      </c>
      <c r="R62" s="65">
        <v>3974.5</v>
      </c>
      <c r="S62" s="66">
        <f t="array" ref="S62">IF((XLOOKUP(D62,RUC!$B$3:$B$106,RUC!$E$3:$E$106)+ROUNDDOWN(O62,1)*100)&lt;95,95,((XLOOKUP(D62,RUC!$B$3:$B$106,RUC!$E$3:$E$106)+ROUNDDOWN(O62,1)*100)))</f>
        <v>100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69">
        <f t="array" ref="Z62">XLOOKUP(D62,RUC!$B$3:$B$110,RUC!$H$3:$H$110)</f>
        <v>30</v>
      </c>
      <c r="AA62" s="70">
        <f t="shared" si="38"/>
        <v>50</v>
      </c>
      <c r="AB62" s="71">
        <f t="shared" si="39"/>
        <v>431.1886751</v>
      </c>
      <c r="AC62" s="71">
        <f>+(S62-T62)*V62-'data 1'!$F$4</f>
        <v>30.23</v>
      </c>
      <c r="AD62" s="71">
        <f t="shared" si="5"/>
        <v>52.67851224</v>
      </c>
      <c r="AE62" s="71">
        <f t="shared" si="6"/>
        <v>-14.885</v>
      </c>
      <c r="AF62" s="71">
        <f t="shared" si="7"/>
        <v>33.16115404</v>
      </c>
      <c r="AG62" s="72">
        <f t="shared" si="44"/>
        <v>118.1846663</v>
      </c>
      <c r="AH62" s="193">
        <f t="shared" si="8"/>
        <v>79.525</v>
      </c>
      <c r="AI62" s="193">
        <f t="shared" si="9"/>
        <v>81.514</v>
      </c>
      <c r="AJ62" s="73">
        <f t="shared" si="10"/>
        <v>16.84297557</v>
      </c>
      <c r="AK62" s="73">
        <f t="shared" si="11"/>
        <v>69.78375199</v>
      </c>
      <c r="AL62" s="11"/>
      <c r="AM62" s="51">
        <f t="shared" si="12"/>
        <v>6250.942224</v>
      </c>
      <c r="AN62" s="51" t="str">
        <f t="array" ref="AN62">XLOOKUP(D62,RUC!$B$3:$B$565,RUC!$M$3:$M$565)</f>
        <v>Richard Sapacayo</v>
      </c>
      <c r="AO62" s="131" t="s">
        <v>547</v>
      </c>
      <c r="AP62" s="57" t="s">
        <v>1601</v>
      </c>
      <c r="AQ62" s="57" t="s">
        <v>1602</v>
      </c>
    </row>
    <row r="63" ht="15.0" customHeight="1">
      <c r="A63" s="116" t="s">
        <v>1604</v>
      </c>
      <c r="B63" s="56">
        <v>45950.0</v>
      </c>
      <c r="C63" s="182">
        <v>45942.0</v>
      </c>
      <c r="D63" s="57" t="s">
        <v>74</v>
      </c>
      <c r="E63" s="3">
        <f t="array" ref="E63">XLOOKUP(D63,RUC!$B$3:$B$110,RUC!$D$3:$D$110)</f>
        <v>10082235774</v>
      </c>
      <c r="G63" s="141">
        <v>80.0</v>
      </c>
      <c r="H63" s="3" t="s">
        <v>47</v>
      </c>
      <c r="I63" s="6">
        <v>7.75</v>
      </c>
      <c r="J63" s="58">
        <v>1.5</v>
      </c>
      <c r="K63" s="6">
        <f t="shared" si="35"/>
        <v>7.634</v>
      </c>
      <c r="L63" s="3">
        <v>0.221</v>
      </c>
      <c r="M63" s="3">
        <v>0.206</v>
      </c>
      <c r="N63" s="62">
        <f>+M63</f>
        <v>0.206</v>
      </c>
      <c r="O63" s="60">
        <f t="shared" si="37"/>
        <v>0.206</v>
      </c>
      <c r="P63" s="63">
        <v>85.0</v>
      </c>
      <c r="Q63" s="58">
        <v>94.57</v>
      </c>
      <c r="R63" s="65">
        <v>4095.95</v>
      </c>
      <c r="S63" s="133">
        <v>105.0</v>
      </c>
      <c r="U63" s="67">
        <f t="array" ref="U63">XLOOKUP(D63,RUC!$B$3:$B$110,RUC!$F$3:$F$110)</f>
        <v>80</v>
      </c>
      <c r="V63" s="67">
        <v>1.1023</v>
      </c>
      <c r="Y63" s="57" t="str">
        <f t="array" ref="Y63">XLOOKUP(D63,RUC!$B$3:$B$110,RUC!$G$3:$G$110)</f>
        <v/>
      </c>
      <c r="Z63" s="69">
        <f t="array" ref="Z63">XLOOKUP(D63,RUC!$B$3:$B$110,RUC!$H$3:$H$110)</f>
        <v>10</v>
      </c>
      <c r="AA63" s="70">
        <f t="shared" si="38"/>
        <v>10</v>
      </c>
      <c r="AB63" s="71">
        <f t="shared" si="39"/>
        <v>648.364973</v>
      </c>
      <c r="AC63" s="71">
        <f>+(S63-T63)*V63-'data 1'!$F$4</f>
        <v>35.7415</v>
      </c>
      <c r="AD63" s="71">
        <f t="shared" si="5"/>
        <v>93.6251046</v>
      </c>
      <c r="AE63" s="71">
        <f t="shared" si="6"/>
        <v>-58.977</v>
      </c>
      <c r="AF63" s="71">
        <f t="shared" si="7"/>
        <v>62.79611159</v>
      </c>
      <c r="AG63" s="72">
        <f t="shared" ref="AG63:AG68" si="46">AC63+AD63+AE63+AF63+70</f>
        <v>203.1857162</v>
      </c>
      <c r="AH63" s="193">
        <f t="shared" si="8"/>
        <v>54.702</v>
      </c>
      <c r="AI63" s="193">
        <f t="shared" si="9"/>
        <v>57.843</v>
      </c>
      <c r="AJ63" s="73">
        <f t="shared" si="10"/>
        <v>-15.19358536</v>
      </c>
      <c r="AK63" s="73">
        <f t="shared" si="11"/>
        <v>45.82973763</v>
      </c>
      <c r="AL63" s="11"/>
      <c r="AM63" s="51">
        <f t="shared" si="12"/>
        <v>4949.618204</v>
      </c>
      <c r="AN63" s="51" t="str">
        <f t="array" ref="AN63">XLOOKUP(D63,RUC!$B$3:$B$565,RUC!$M$3:$M$565)</f>
        <v>Melchor Vera</v>
      </c>
      <c r="AO63" s="131" t="s">
        <v>551</v>
      </c>
      <c r="AP63" s="57" t="s">
        <v>1605</v>
      </c>
      <c r="AQ63" s="57" t="s">
        <v>1606</v>
      </c>
    </row>
    <row r="64" ht="15.0" customHeight="1">
      <c r="A64" s="116" t="s">
        <v>1607</v>
      </c>
      <c r="B64" s="56">
        <v>45950.0</v>
      </c>
      <c r="C64" s="182">
        <v>45942.0</v>
      </c>
      <c r="D64" s="57" t="s">
        <v>74</v>
      </c>
      <c r="E64" s="3">
        <f t="array" ref="E64">XLOOKUP(D64,RUC!$B$3:$B$110,RUC!$D$3:$D$110)</f>
        <v>10082235774</v>
      </c>
      <c r="G64" s="141">
        <v>70.0</v>
      </c>
      <c r="H64" s="3" t="s">
        <v>47</v>
      </c>
      <c r="I64" s="6">
        <v>6.93</v>
      </c>
      <c r="J64" s="58">
        <v>1.25</v>
      </c>
      <c r="K64" s="6">
        <f t="shared" si="35"/>
        <v>6.843</v>
      </c>
      <c r="L64" s="3">
        <v>0.193</v>
      </c>
      <c r="M64" s="3">
        <v>0.182</v>
      </c>
      <c r="N64" s="75">
        <v>0.209</v>
      </c>
      <c r="O64" s="60">
        <f t="shared" si="37"/>
        <v>0.196</v>
      </c>
      <c r="P64" s="63">
        <v>85.0</v>
      </c>
      <c r="Q64" s="58">
        <v>90.86</v>
      </c>
      <c r="R64" s="65">
        <v>4095.95</v>
      </c>
      <c r="S64" s="133">
        <v>95.0</v>
      </c>
      <c r="U64" s="67">
        <f t="array" ref="U64">XLOOKUP(D64,RUC!$B$3:$B$110,RUC!$F$3:$F$110)</f>
        <v>80</v>
      </c>
      <c r="V64" s="67">
        <v>1.1023</v>
      </c>
      <c r="Y64" s="57" t="str">
        <f t="array" ref="Y64">XLOOKUP(D64,RUC!$B$3:$B$110,RUC!$G$3:$G$110)</f>
        <v/>
      </c>
      <c r="Z64" s="69">
        <f t="array" ref="Z64">XLOOKUP(D64,RUC!$B$3:$B$110,RUC!$H$3:$H$110)</f>
        <v>10</v>
      </c>
      <c r="AA64" s="70">
        <f t="shared" si="38"/>
        <v>10</v>
      </c>
      <c r="AB64" s="71">
        <f t="shared" si="39"/>
        <v>621.7603287</v>
      </c>
      <c r="AC64" s="71">
        <f>+(S64-T64)*V64-'data 1'!$F$4</f>
        <v>24.7185</v>
      </c>
      <c r="AD64" s="71">
        <f t="shared" si="5"/>
        <v>50.0660155</v>
      </c>
      <c r="AE64" s="71">
        <f t="shared" si="6"/>
        <v>-58.977</v>
      </c>
      <c r="AF64" s="71">
        <f t="shared" si="7"/>
        <v>-12.06652152</v>
      </c>
      <c r="AG64" s="72">
        <f t="shared" si="46"/>
        <v>73.74099398</v>
      </c>
      <c r="AH64" s="193">
        <f t="shared" si="8"/>
        <v>41.142</v>
      </c>
      <c r="AI64" s="193">
        <f t="shared" si="9"/>
        <v>45.281</v>
      </c>
      <c r="AJ64" s="73">
        <f t="shared" si="10"/>
        <v>-12.74807614</v>
      </c>
      <c r="AK64" s="73">
        <f t="shared" si="11"/>
        <v>39.08684408</v>
      </c>
      <c r="AL64" s="11"/>
      <c r="AM64" s="51">
        <f t="shared" si="12"/>
        <v>4254.705929</v>
      </c>
      <c r="AN64" s="51" t="str">
        <f t="array" ref="AN64">XLOOKUP(D64,RUC!$B$3:$B$565,RUC!$M$3:$M$565)</f>
        <v>Melchor Vera</v>
      </c>
      <c r="AO64" s="131" t="s">
        <v>551</v>
      </c>
      <c r="AP64" s="57" t="s">
        <v>1605</v>
      </c>
      <c r="AQ64" s="57" t="s">
        <v>1606</v>
      </c>
    </row>
    <row r="65" ht="15.0" customHeight="1">
      <c r="A65" s="116" t="s">
        <v>1608</v>
      </c>
      <c r="B65" s="56">
        <v>45950.0</v>
      </c>
      <c r="C65" s="182">
        <v>45942.0</v>
      </c>
      <c r="D65" s="57" t="s">
        <v>74</v>
      </c>
      <c r="E65" s="3">
        <f t="array" ref="E65">XLOOKUP(D65,RUC!$B$3:$B$110,RUC!$D$3:$D$110)</f>
        <v>10082235774</v>
      </c>
      <c r="G65" s="141">
        <v>74.0</v>
      </c>
      <c r="H65" s="3" t="s">
        <v>47</v>
      </c>
      <c r="I65" s="6">
        <v>7.19</v>
      </c>
      <c r="J65" s="58">
        <v>1.0</v>
      </c>
      <c r="K65" s="6">
        <f t="shared" si="35"/>
        <v>7.118</v>
      </c>
      <c r="L65" s="3">
        <v>0.191</v>
      </c>
      <c r="M65" s="3">
        <v>0.176</v>
      </c>
      <c r="N65" s="62">
        <f t="shared" ref="N65:N66" si="47">+M65</f>
        <v>0.176</v>
      </c>
      <c r="O65" s="60">
        <f t="shared" si="37"/>
        <v>0.176</v>
      </c>
      <c r="P65" s="63">
        <v>85.0</v>
      </c>
      <c r="Q65" s="58">
        <v>90.58</v>
      </c>
      <c r="R65" s="65">
        <v>4095.95</v>
      </c>
      <c r="S65" s="133">
        <v>95.0</v>
      </c>
      <c r="U65" s="67">
        <f t="array" ref="U65">XLOOKUP(D65,RUC!$B$3:$B$110,RUC!$F$3:$F$110)</f>
        <v>80</v>
      </c>
      <c r="V65" s="67">
        <v>1.1023</v>
      </c>
      <c r="Y65" s="57" t="str">
        <f t="array" ref="Y65">XLOOKUP(D65,RUC!$B$3:$B$110,RUC!$G$3:$G$110)</f>
        <v/>
      </c>
      <c r="Z65" s="69">
        <f t="array" ref="Z65">XLOOKUP(D65,RUC!$B$3:$B$110,RUC!$H$3:$H$110)</f>
        <v>10</v>
      </c>
      <c r="AA65" s="70">
        <f t="shared" si="38"/>
        <v>10</v>
      </c>
      <c r="AB65" s="71">
        <f t="shared" si="39"/>
        <v>546.5050401</v>
      </c>
      <c r="AC65" s="71">
        <f>+(S65-T65)*V65-'data 1'!$F$4</f>
        <v>24.7185</v>
      </c>
      <c r="AD65" s="71">
        <f t="shared" si="5"/>
        <v>47.17975384</v>
      </c>
      <c r="AE65" s="71">
        <f t="shared" si="6"/>
        <v>-58.977</v>
      </c>
      <c r="AF65" s="71">
        <f t="shared" si="7"/>
        <v>60.14668275</v>
      </c>
      <c r="AG65" s="72">
        <f t="shared" si="46"/>
        <v>143.0679366</v>
      </c>
      <c r="AH65" s="193">
        <f t="shared" si="8"/>
        <v>42.221</v>
      </c>
      <c r="AI65" s="193">
        <f t="shared" si="9"/>
        <v>46.612</v>
      </c>
      <c r="AJ65" s="73">
        <f t="shared" si="10"/>
        <v>-12.57709354</v>
      </c>
      <c r="AK65" s="73">
        <f t="shared" si="11"/>
        <v>36.50889146</v>
      </c>
      <c r="AL65" s="11"/>
      <c r="AM65" s="51">
        <f t="shared" si="12"/>
        <v>3890.022875</v>
      </c>
      <c r="AN65" s="51" t="str">
        <f t="array" ref="AN65">XLOOKUP(D65,RUC!$B$3:$B$565,RUC!$M$3:$M$565)</f>
        <v>Melchor Vera</v>
      </c>
      <c r="AO65" s="131" t="s">
        <v>551</v>
      </c>
      <c r="AP65" s="57" t="s">
        <v>1605</v>
      </c>
      <c r="AQ65" s="57" t="s">
        <v>1606</v>
      </c>
    </row>
    <row r="66" ht="15.0" customHeight="1">
      <c r="A66" s="116" t="s">
        <v>1609</v>
      </c>
      <c r="B66" s="56">
        <v>45950.0</v>
      </c>
      <c r="C66" s="182">
        <v>45942.0</v>
      </c>
      <c r="D66" s="57" t="s">
        <v>74</v>
      </c>
      <c r="E66" s="3">
        <f t="array" ref="E66">XLOOKUP(D66,RUC!$B$3:$B$110,RUC!$D$3:$D$110)</f>
        <v>10082235774</v>
      </c>
      <c r="G66" s="141">
        <v>76.0</v>
      </c>
      <c r="H66" s="3" t="s">
        <v>47</v>
      </c>
      <c r="I66" s="6">
        <v>6.51</v>
      </c>
      <c r="J66" s="58">
        <v>1.15</v>
      </c>
      <c r="K66" s="6">
        <f t="shared" si="35"/>
        <v>6.435</v>
      </c>
      <c r="L66" s="3">
        <v>0.137</v>
      </c>
      <c r="M66" s="3">
        <v>0.122</v>
      </c>
      <c r="N66" s="62">
        <f t="shared" si="47"/>
        <v>0.122</v>
      </c>
      <c r="O66" s="60">
        <f t="shared" si="37"/>
        <v>0.122</v>
      </c>
      <c r="P66" s="63">
        <v>85.0</v>
      </c>
      <c r="Q66" s="58">
        <v>97.81</v>
      </c>
      <c r="R66" s="65">
        <v>4095.95</v>
      </c>
      <c r="S66" s="133">
        <v>95.0</v>
      </c>
      <c r="U66" s="67">
        <f t="array" ref="U66">XLOOKUP(D66,RUC!$B$3:$B$110,RUC!$F$3:$F$110)</f>
        <v>80</v>
      </c>
      <c r="V66" s="67">
        <v>1.1023</v>
      </c>
      <c r="Y66" s="57" t="str">
        <f t="array" ref="Y66">XLOOKUP(D66,RUC!$B$3:$B$110,RUC!$G$3:$G$110)</f>
        <v/>
      </c>
      <c r="Z66" s="69">
        <f t="array" ref="Z66">XLOOKUP(D66,RUC!$B$3:$B$110,RUC!$H$3:$H$110)</f>
        <v>10</v>
      </c>
      <c r="AA66" s="70">
        <f t="shared" si="38"/>
        <v>10</v>
      </c>
      <c r="AB66" s="71">
        <f t="shared" si="39"/>
        <v>343.3157607</v>
      </c>
      <c r="AC66" s="71">
        <f>+(S66-T66)*V66-'data 1'!$F$4</f>
        <v>24.7185</v>
      </c>
      <c r="AD66" s="71">
        <f t="shared" si="5"/>
        <v>77.68869054</v>
      </c>
      <c r="AE66" s="71">
        <f t="shared" si="6"/>
        <v>-58.977</v>
      </c>
      <c r="AF66" s="71">
        <f t="shared" si="7"/>
        <v>64.94752749</v>
      </c>
      <c r="AG66" s="72">
        <f t="shared" si="46"/>
        <v>178.377718</v>
      </c>
      <c r="AH66" s="193">
        <f t="shared" si="8"/>
        <v>29.564</v>
      </c>
      <c r="AI66" s="193">
        <f t="shared" si="9"/>
        <v>30.226</v>
      </c>
      <c r="AJ66" s="73">
        <f t="shared" si="10"/>
        <v>-9.741333981</v>
      </c>
      <c r="AK66" s="73">
        <f t="shared" si="11"/>
        <v>22.87896516</v>
      </c>
      <c r="AL66" s="11"/>
      <c r="AM66" s="51">
        <f t="shared" si="12"/>
        <v>2209.23692</v>
      </c>
      <c r="AN66" s="51" t="str">
        <f t="array" ref="AN66">XLOOKUP(D66,RUC!$B$3:$B$565,RUC!$M$3:$M$565)</f>
        <v>Melchor Vera</v>
      </c>
      <c r="AO66" s="131" t="s">
        <v>551</v>
      </c>
      <c r="AP66" s="57" t="s">
        <v>1605</v>
      </c>
      <c r="AQ66" s="57" t="s">
        <v>1606</v>
      </c>
    </row>
    <row r="67" ht="15.0" customHeight="1">
      <c r="A67" s="116" t="s">
        <v>1610</v>
      </c>
      <c r="B67" s="56">
        <v>45950.0</v>
      </c>
      <c r="C67" s="182">
        <v>45942.0</v>
      </c>
      <c r="D67" s="57" t="s">
        <v>74</v>
      </c>
      <c r="E67" s="3">
        <f t="array" ref="E67">XLOOKUP(D67,RUC!$B$3:$B$110,RUC!$D$3:$D$110)</f>
        <v>10082235774</v>
      </c>
      <c r="G67" s="141">
        <v>71.0</v>
      </c>
      <c r="H67" s="3" t="s">
        <v>47</v>
      </c>
      <c r="I67" s="6">
        <v>6.06</v>
      </c>
      <c r="J67" s="58">
        <v>1.45</v>
      </c>
      <c r="K67" s="6">
        <f t="shared" si="35"/>
        <v>5.972</v>
      </c>
      <c r="L67" s="3">
        <v>0.143</v>
      </c>
      <c r="M67" s="3">
        <v>0.131</v>
      </c>
      <c r="N67" s="75">
        <v>0.23</v>
      </c>
      <c r="O67" s="60">
        <f t="shared" si="37"/>
        <v>0.181</v>
      </c>
      <c r="P67" s="63">
        <v>85.0</v>
      </c>
      <c r="Q67" s="58">
        <v>97.95</v>
      </c>
      <c r="R67" s="65">
        <v>4095.95</v>
      </c>
      <c r="S67" s="133">
        <v>95.0</v>
      </c>
      <c r="U67" s="67">
        <f t="array" ref="U67">XLOOKUP(D67,RUC!$B$3:$B$110,RUC!$F$3:$F$110)</f>
        <v>80</v>
      </c>
      <c r="V67" s="67">
        <v>1.1023</v>
      </c>
      <c r="Y67" s="57" t="str">
        <f t="array" ref="Y67">XLOOKUP(D67,RUC!$B$3:$B$110,RUC!$G$3:$G$110)</f>
        <v/>
      </c>
      <c r="Z67" s="69">
        <f t="array" ref="Z67">XLOOKUP(D67,RUC!$B$3:$B$110,RUC!$H$3:$H$110)</f>
        <v>10</v>
      </c>
      <c r="AA67" s="70">
        <f t="shared" si="38"/>
        <v>10</v>
      </c>
      <c r="AB67" s="71">
        <f t="shared" si="39"/>
        <v>565.3188622</v>
      </c>
      <c r="AC67" s="71">
        <f>+(S67-T67)*V67-'data 1'!$F$4</f>
        <v>24.7185</v>
      </c>
      <c r="AD67" s="71">
        <f t="shared" si="5"/>
        <v>81.97735663</v>
      </c>
      <c r="AE67" s="71">
        <f t="shared" si="6"/>
        <v>-58.977</v>
      </c>
      <c r="AF67" s="71">
        <f t="shared" si="7"/>
        <v>-164.7692411</v>
      </c>
      <c r="AG67" s="72">
        <f t="shared" si="46"/>
        <v>-47.05038446</v>
      </c>
      <c r="AH67" s="193">
        <f t="shared" si="8"/>
        <v>28.679</v>
      </c>
      <c r="AI67" s="193">
        <f t="shared" si="9"/>
        <v>29.28</v>
      </c>
      <c r="AJ67" s="73">
        <f t="shared" si="10"/>
        <v>-10.18251562</v>
      </c>
      <c r="AK67" s="73">
        <f t="shared" si="11"/>
        <v>31.50114711</v>
      </c>
      <c r="AL67" s="11"/>
      <c r="AM67" s="51">
        <f t="shared" si="12"/>
        <v>3376.084245</v>
      </c>
      <c r="AN67" s="51" t="str">
        <f t="array" ref="AN67">XLOOKUP(D67,RUC!$B$3:$B$565,RUC!$M$3:$M$565)</f>
        <v>Melchor Vera</v>
      </c>
      <c r="AO67" s="131" t="s">
        <v>551</v>
      </c>
      <c r="AP67" s="57" t="s">
        <v>1605</v>
      </c>
      <c r="AQ67" s="57" t="s">
        <v>1606</v>
      </c>
    </row>
    <row r="68" ht="15.0" customHeight="1">
      <c r="A68" s="116" t="s">
        <v>1611</v>
      </c>
      <c r="B68" s="56">
        <v>45950.0</v>
      </c>
      <c r="C68" s="182">
        <v>45942.0</v>
      </c>
      <c r="D68" s="57" t="s">
        <v>74</v>
      </c>
      <c r="E68" s="3">
        <f t="array" ref="E68">XLOOKUP(D68,RUC!$B$3:$B$110,RUC!$D$3:$D$110)</f>
        <v>10082235774</v>
      </c>
      <c r="G68" s="141">
        <v>30.0</v>
      </c>
      <c r="H68" s="3" t="s">
        <v>47</v>
      </c>
      <c r="I68" s="6">
        <v>2.64</v>
      </c>
      <c r="J68" s="58">
        <v>1.0</v>
      </c>
      <c r="K68" s="6">
        <f t="shared" si="35"/>
        <v>2.614</v>
      </c>
      <c r="L68" s="3">
        <v>0.143</v>
      </c>
      <c r="M68" s="3">
        <v>0.128</v>
      </c>
      <c r="N68" s="62">
        <f>+M68</f>
        <v>0.128</v>
      </c>
      <c r="O68" s="60">
        <f t="shared" si="37"/>
        <v>0.128</v>
      </c>
      <c r="P68" s="63">
        <v>85.0</v>
      </c>
      <c r="Q68" s="58">
        <v>95.8</v>
      </c>
      <c r="R68" s="65">
        <v>4095.95</v>
      </c>
      <c r="S68" s="133">
        <v>95.0</v>
      </c>
      <c r="U68" s="67">
        <f t="array" ref="U68">XLOOKUP(D68,RUC!$B$3:$B$110,RUC!$F$3:$F$110)</f>
        <v>80</v>
      </c>
      <c r="V68" s="67">
        <v>1.1023</v>
      </c>
      <c r="Y68" s="57" t="str">
        <f t="array" ref="Y68">XLOOKUP(D68,RUC!$B$3:$B$110,RUC!$G$3:$G$110)</f>
        <v/>
      </c>
      <c r="Z68" s="69">
        <f t="array" ref="Z68">XLOOKUP(D68,RUC!$B$3:$B$110,RUC!$H$3:$H$110)</f>
        <v>10</v>
      </c>
      <c r="AA68" s="70">
        <f t="shared" si="38"/>
        <v>10</v>
      </c>
      <c r="AB68" s="71">
        <f t="shared" si="39"/>
        <v>365.8923473</v>
      </c>
      <c r="AC68" s="71">
        <f>+(S68-T68)*V68-'data 1'!$F$4</f>
        <v>24.7185</v>
      </c>
      <c r="AD68" s="71">
        <f t="shared" si="5"/>
        <v>68.36721634</v>
      </c>
      <c r="AE68" s="71">
        <f t="shared" si="6"/>
        <v>-58.977</v>
      </c>
      <c r="AF68" s="71">
        <f t="shared" si="7"/>
        <v>63.61285281</v>
      </c>
      <c r="AG68" s="72">
        <f t="shared" si="46"/>
        <v>167.7215692</v>
      </c>
      <c r="AH68" s="193">
        <f t="shared" si="8"/>
        <v>12.278</v>
      </c>
      <c r="AI68" s="193">
        <f t="shared" si="9"/>
        <v>12.816</v>
      </c>
      <c r="AJ68" s="73">
        <f t="shared" si="10"/>
        <v>-9.959009665</v>
      </c>
      <c r="AK68" s="73">
        <f t="shared" si="11"/>
        <v>9.750874075</v>
      </c>
      <c r="AL68" s="11"/>
      <c r="AM68" s="51">
        <f t="shared" si="12"/>
        <v>956.4425959</v>
      </c>
      <c r="AN68" s="51" t="str">
        <f t="array" ref="AN68">XLOOKUP(D68,RUC!$B$3:$B$565,RUC!$M$3:$M$565)</f>
        <v>Melchor Vera</v>
      </c>
      <c r="AO68" s="131" t="s">
        <v>551</v>
      </c>
      <c r="AP68" s="57" t="s">
        <v>1605</v>
      </c>
      <c r="AQ68" s="57" t="s">
        <v>1606</v>
      </c>
    </row>
    <row r="69" ht="15.0" customHeight="1">
      <c r="A69" s="116" t="s">
        <v>1612</v>
      </c>
      <c r="B69" s="56">
        <v>45950.0</v>
      </c>
      <c r="C69" s="182">
        <v>45944.0</v>
      </c>
      <c r="D69" s="57" t="s">
        <v>225</v>
      </c>
      <c r="E69" s="3">
        <f t="array" ref="E69">XLOOKUP(D69,RUC!$B$3:$B$110,RUC!$D$3:$D$110)</f>
        <v>10761932735</v>
      </c>
      <c r="G69" s="141">
        <v>91.0</v>
      </c>
      <c r="H69" s="3" t="s">
        <v>47</v>
      </c>
      <c r="I69" s="6">
        <v>8.79</v>
      </c>
      <c r="J69" s="58">
        <v>7.3</v>
      </c>
      <c r="K69" s="6">
        <f t="shared" si="35"/>
        <v>8.148</v>
      </c>
      <c r="L69" s="3">
        <v>0.391</v>
      </c>
      <c r="M69" s="60">
        <v>0.371</v>
      </c>
      <c r="N69" s="75">
        <v>0.401</v>
      </c>
      <c r="O69" s="60">
        <f t="shared" si="37"/>
        <v>0.386</v>
      </c>
      <c r="P69" s="63">
        <v>90.0</v>
      </c>
      <c r="Q69" s="58">
        <v>98.98</v>
      </c>
      <c r="R69" s="65">
        <v>4126.3</v>
      </c>
      <c r="S69" s="66">
        <f t="array" ref="S69">IF((XLOOKUP(D69,RUC!$B$3:$B$106,RUC!$E$3:$E$106)+ROUNDDOWN(O69,1)*100)&lt;95,95,((XLOOKUP(D69,RUC!$B$3:$B$106,RUC!$E$3:$E$106)+ROUNDDOWN(O69,1)*100)))</f>
        <v>120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38"/>
        <v>50</v>
      </c>
      <c r="AB69" s="71">
        <f t="shared" si="39"/>
        <v>1346.777596</v>
      </c>
      <c r="AC69" s="71">
        <f>+(S69-T69)*V69-'data 1'!$F$4</f>
        <v>52.276</v>
      </c>
      <c r="AD69" s="71">
        <f t="shared" si="5"/>
        <v>155.0587821</v>
      </c>
      <c r="AE69" s="71">
        <f t="shared" si="6"/>
        <v>-14.885</v>
      </c>
      <c r="AF69" s="71">
        <f t="shared" si="7"/>
        <v>21.85549908</v>
      </c>
      <c r="AG69" s="72">
        <f>AC69+AD69+AE69+AF69+70-53</f>
        <v>231.3052812</v>
      </c>
      <c r="AH69" s="193">
        <f t="shared" si="8"/>
        <v>108.115</v>
      </c>
      <c r="AI69" s="193">
        <f t="shared" si="9"/>
        <v>109.229</v>
      </c>
      <c r="AJ69" s="73">
        <f t="shared" si="10"/>
        <v>-24.01775493</v>
      </c>
      <c r="AK69" s="73">
        <f t="shared" si="11"/>
        <v>97.04874055</v>
      </c>
      <c r="AL69" s="11"/>
      <c r="AM69" s="51">
        <f t="shared" si="12"/>
        <v>10973.54385</v>
      </c>
      <c r="AN69" s="51" t="str">
        <f t="array" ref="AN69">XLOOKUP(D69,RUC!$B$3:$B$565,RUC!$M$3:$M$565)</f>
        <v>Richard Sapacayo</v>
      </c>
      <c r="AO69" s="131" t="s">
        <v>549</v>
      </c>
      <c r="AP69" s="57" t="s">
        <v>1613</v>
      </c>
      <c r="AQ69" s="57" t="s">
        <v>1614</v>
      </c>
    </row>
    <row r="70" ht="15.0" customHeight="1">
      <c r="A70" s="116" t="s">
        <v>1615</v>
      </c>
      <c r="B70" s="56">
        <v>45951.0</v>
      </c>
      <c r="C70" s="182">
        <v>45946.0</v>
      </c>
      <c r="D70" s="57" t="s">
        <v>306</v>
      </c>
      <c r="E70" s="3">
        <f t="array" ref="E70">XLOOKUP(D70,RUC!$B$3:$B$110,RUC!$D$3:$D$110)</f>
        <v>20612921866</v>
      </c>
      <c r="G70" s="141">
        <v>50.0</v>
      </c>
      <c r="H70" s="3" t="s">
        <v>47</v>
      </c>
      <c r="I70" s="6">
        <v>5.92</v>
      </c>
      <c r="J70" s="58">
        <v>2.0</v>
      </c>
      <c r="K70" s="6">
        <f t="shared" si="35"/>
        <v>5.802</v>
      </c>
      <c r="L70" s="3">
        <v>0.458</v>
      </c>
      <c r="M70" s="60">
        <v>0.435</v>
      </c>
      <c r="N70" s="62">
        <f t="shared" ref="N70:N78" si="48">+M70</f>
        <v>0.435</v>
      </c>
      <c r="O70" s="60">
        <f t="shared" si="37"/>
        <v>0.435</v>
      </c>
      <c r="P70" s="63">
        <v>90.0</v>
      </c>
      <c r="Q70" s="58">
        <v>96.72</v>
      </c>
      <c r="R70" s="65">
        <v>4261.95</v>
      </c>
      <c r="S70" s="66">
        <f t="array" ref="S70">IF((XLOOKUP(D70,RUC!$B$3:$B$106,RUC!$E$3:$E$106)+ROUNDDOWN(O70,1)*100)&lt;95,95,((XLOOKUP(D70,RUC!$B$3:$B$106,RUC!$E$3:$E$106)+ROUNDDOWN(O70,1)*100)))</f>
        <v>120</v>
      </c>
      <c r="U70" s="67">
        <f t="array" ref="U70">XLOOKUP(D70,RUC!$B$3:$B$110,RUC!$F$3:$F$110)</f>
        <v>100</v>
      </c>
      <c r="V70" s="67">
        <v>1.1023</v>
      </c>
      <c r="Y70" s="57" t="str">
        <f t="array" ref="Y70">XLOOKUP(D70,RUC!$B$3:$B$110,RUC!$G$3:$G$110)</f>
        <v/>
      </c>
      <c r="Z70" s="69">
        <f t="array" ref="Z70">XLOOKUP(D70,RUC!$B$3:$B$110,RUC!$H$3:$H$110)</f>
        <v>30</v>
      </c>
      <c r="AA70" s="70">
        <f t="shared" si="38"/>
        <v>30</v>
      </c>
      <c r="AB70" s="71">
        <f t="shared" si="39"/>
        <v>1630.746395</v>
      </c>
      <c r="AC70" s="71">
        <f>+(S70-T70)*V70-'data 1'!$F$4</f>
        <v>52.276</v>
      </c>
      <c r="AD70" s="71">
        <f t="shared" si="5"/>
        <v>141.1989337</v>
      </c>
      <c r="AE70" s="71">
        <f t="shared" si="6"/>
        <v>-36.931</v>
      </c>
      <c r="AF70" s="71">
        <f t="shared" si="7"/>
        <v>102.0565281</v>
      </c>
      <c r="AG70" s="72">
        <f t="shared" ref="AG70:AG71" si="49">AC70+AD70+AE70+AF70+70-10</f>
        <v>318.6004618</v>
      </c>
      <c r="AH70" s="193">
        <f t="shared" si="8"/>
        <v>88.119</v>
      </c>
      <c r="AI70" s="193">
        <f t="shared" si="9"/>
        <v>91.107</v>
      </c>
      <c r="AJ70" s="73">
        <f t="shared" si="10"/>
        <v>-103.4939575</v>
      </c>
      <c r="AK70" s="73">
        <f t="shared" si="11"/>
        <v>77.8786761</v>
      </c>
      <c r="AL70" s="11"/>
      <c r="AM70" s="51">
        <f t="shared" si="12"/>
        <v>9461.590586</v>
      </c>
      <c r="AN70" s="51" t="str">
        <f t="array" ref="AN70">XLOOKUP(D70,RUC!$B$3:$B$565,RUC!$M$3:$M$565)</f>
        <v>Ronald Garibay</v>
      </c>
      <c r="AO70" s="131" t="s">
        <v>549</v>
      </c>
      <c r="AP70" s="2" t="s">
        <v>1616</v>
      </c>
      <c r="AQ70" s="2" t="s">
        <v>1617</v>
      </c>
    </row>
    <row r="71" ht="15.0" customHeight="1">
      <c r="A71" s="116" t="s">
        <v>1618</v>
      </c>
      <c r="B71" s="56">
        <v>45951.0</v>
      </c>
      <c r="C71" s="182">
        <v>45946.0</v>
      </c>
      <c r="D71" s="57" t="s">
        <v>306</v>
      </c>
      <c r="E71" s="3">
        <f t="array" ref="E71">XLOOKUP(D71,RUC!$B$3:$B$110,RUC!$D$3:$D$110)</f>
        <v>20612921866</v>
      </c>
      <c r="G71" s="141">
        <v>50.0</v>
      </c>
      <c r="H71" s="3" t="s">
        <v>47</v>
      </c>
      <c r="I71" s="6">
        <v>4.71</v>
      </c>
      <c r="J71" s="58">
        <v>2.0</v>
      </c>
      <c r="K71" s="6">
        <f t="shared" si="35"/>
        <v>4.616</v>
      </c>
      <c r="L71" s="3">
        <v>0.456</v>
      </c>
      <c r="M71" s="60">
        <v>0.433</v>
      </c>
      <c r="N71" s="62">
        <f t="shared" si="48"/>
        <v>0.433</v>
      </c>
      <c r="O71" s="60">
        <f t="shared" si="37"/>
        <v>0.433</v>
      </c>
      <c r="P71" s="63">
        <v>90.0</v>
      </c>
      <c r="Q71" s="58">
        <v>95.83</v>
      </c>
      <c r="R71" s="65">
        <v>4261.95</v>
      </c>
      <c r="S71" s="66">
        <f t="array" ref="S71">IF((XLOOKUP(D71,RUC!$B$3:$B$106,RUC!$E$3:$E$106)+ROUNDDOWN(O71,1)*100)&lt;95,95,((XLOOKUP(D71,RUC!$B$3:$B$106,RUC!$E$3:$E$106)+ROUNDDOWN(O71,1)*100)))</f>
        <v>120</v>
      </c>
      <c r="U71" s="67">
        <f t="array" ref="U71">XLOOKUP(D71,RUC!$B$3:$B$110,RUC!$F$3:$F$110)</f>
        <v>100</v>
      </c>
      <c r="V71" s="67">
        <v>1.1023</v>
      </c>
      <c r="Y71" s="57" t="str">
        <f t="array" ref="Y71">XLOOKUP(D71,RUC!$B$3:$B$110,RUC!$G$3:$G$110)</f>
        <v/>
      </c>
      <c r="Z71" s="69">
        <f t="array" ref="Z71">XLOOKUP(D71,RUC!$B$3:$B$110,RUC!$H$3:$H$110)</f>
        <v>30</v>
      </c>
      <c r="AA71" s="70">
        <f t="shared" si="38"/>
        <v>30</v>
      </c>
      <c r="AB71" s="71">
        <f t="shared" si="39"/>
        <v>1622.488504</v>
      </c>
      <c r="AC71" s="71">
        <f>+(S71-T71)*V71-'data 1'!$F$4</f>
        <v>52.276</v>
      </c>
      <c r="AD71" s="71">
        <f t="shared" si="5"/>
        <v>121.9635518</v>
      </c>
      <c r="AE71" s="71">
        <f t="shared" si="6"/>
        <v>-36.931</v>
      </c>
      <c r="AF71" s="71">
        <f t="shared" si="7"/>
        <v>101.1174223</v>
      </c>
      <c r="AG71" s="72">
        <f t="shared" si="49"/>
        <v>298.4259741</v>
      </c>
      <c r="AH71" s="193">
        <f t="shared" si="8"/>
        <v>69.158</v>
      </c>
      <c r="AI71" s="193">
        <f t="shared" si="9"/>
        <v>72.167</v>
      </c>
      <c r="AJ71" s="73">
        <f t="shared" si="10"/>
        <v>-102.0938447</v>
      </c>
      <c r="AK71" s="73">
        <f t="shared" si="11"/>
        <v>61.67444858</v>
      </c>
      <c r="AL71" s="11"/>
      <c r="AM71" s="51">
        <f t="shared" si="12"/>
        <v>7489.406934</v>
      </c>
      <c r="AN71" s="51" t="str">
        <f t="array" ref="AN71">XLOOKUP(D71,RUC!$B$3:$B$565,RUC!$M$3:$M$565)</f>
        <v>Ronald Garibay</v>
      </c>
      <c r="AO71" s="131" t="s">
        <v>549</v>
      </c>
      <c r="AP71" s="2" t="s">
        <v>1616</v>
      </c>
      <c r="AQ71" s="2" t="s">
        <v>1617</v>
      </c>
    </row>
    <row r="72" ht="15.0" customHeight="1">
      <c r="A72" s="116" t="s">
        <v>1619</v>
      </c>
      <c r="B72" s="56">
        <v>45955.0</v>
      </c>
      <c r="C72" s="182">
        <v>45946.0</v>
      </c>
      <c r="D72" s="57" t="s">
        <v>602</v>
      </c>
      <c r="E72" s="3">
        <f t="array" ref="E72">XLOOKUP(D72,RUC!$B$3:$B$110,RUC!$D$3:$D$110)</f>
        <v>20169040231</v>
      </c>
      <c r="G72" s="141">
        <v>82.0</v>
      </c>
      <c r="H72" s="3" t="s">
        <v>47</v>
      </c>
      <c r="I72" s="6">
        <v>8.35</v>
      </c>
      <c r="J72" s="58">
        <v>1.7</v>
      </c>
      <c r="K72" s="6">
        <f t="shared" si="35"/>
        <v>8.208</v>
      </c>
      <c r="L72" s="60">
        <v>0.37</v>
      </c>
      <c r="M72" s="60">
        <v>0.352</v>
      </c>
      <c r="N72" s="62">
        <f t="shared" si="48"/>
        <v>0.352</v>
      </c>
      <c r="O72" s="60">
        <f t="shared" si="37"/>
        <v>0.352</v>
      </c>
      <c r="P72" s="63">
        <v>78.0</v>
      </c>
      <c r="Q72" s="58">
        <v>78.44</v>
      </c>
      <c r="R72" s="65">
        <v>4261.95</v>
      </c>
      <c r="S72" s="66">
        <f t="array" ref="S72">IF((XLOOKUP(D72,RUC!$B$3:$B$106,RUC!$E$3:$E$106)+ROUNDDOWN(O72,1)*100)&lt;95,95,((XLOOKUP(D72,RUC!$B$3:$B$106,RUC!$E$3:$E$106)+ROUNDDOWN(O72,1)*100)))</f>
        <v>115</v>
      </c>
      <c r="U72" s="67">
        <f t="array" ref="U72">XLOOKUP(D72,RUC!$B$3:$B$110,RUC!$F$3:$F$110)</f>
        <v>120</v>
      </c>
      <c r="V72" s="67">
        <v>1.1023</v>
      </c>
      <c r="Y72" s="57">
        <f t="array" ref="Y72">XLOOKUP(D72,RUC!$B$3:$B$110,RUC!$G$3:$G$110)</f>
        <v>20</v>
      </c>
      <c r="Z72" s="140">
        <v>35.0</v>
      </c>
      <c r="AA72" s="70">
        <f t="shared" si="38"/>
        <v>55</v>
      </c>
      <c r="AB72" s="71">
        <f t="shared" si="39"/>
        <v>1066.159763</v>
      </c>
      <c r="AC72" s="71">
        <f>+(S72-T72)*V72-'data 1'!$F$4</f>
        <v>46.7645</v>
      </c>
      <c r="AD72" s="71">
        <f t="shared" si="5"/>
        <v>7.432913178</v>
      </c>
      <c r="AE72" s="71">
        <f t="shared" si="6"/>
        <v>-9.3735</v>
      </c>
      <c r="AF72" s="71">
        <f t="shared" si="7"/>
        <v>64.46362883</v>
      </c>
      <c r="AG72" s="72">
        <f t="shared" ref="AG72:AG84" si="50">AC72+AD72+AE72+AF72+70-53</f>
        <v>126.287542</v>
      </c>
      <c r="AH72" s="193">
        <f t="shared" si="8"/>
        <v>81.674</v>
      </c>
      <c r="AI72" s="193">
        <f t="shared" si="9"/>
        <v>104.123</v>
      </c>
      <c r="AJ72" s="73">
        <f t="shared" si="10"/>
        <v>-61.40832237</v>
      </c>
      <c r="AK72" s="73">
        <f t="shared" si="11"/>
        <v>77.26515554</v>
      </c>
      <c r="AL72" s="11"/>
      <c r="AM72" s="51">
        <f t="shared" si="12"/>
        <v>8751.039334</v>
      </c>
      <c r="AN72" s="51" t="str">
        <f t="array" ref="AN72">XLOOKUP(D72,RUC!$B$3:$B$565,RUC!$M$3:$M$565)</f>
        <v>Ronald Miranda</v>
      </c>
      <c r="AO72" s="131" t="s">
        <v>561</v>
      </c>
      <c r="AP72" s="2" t="s">
        <v>1620</v>
      </c>
      <c r="AQ72" s="2" t="s">
        <v>1621</v>
      </c>
    </row>
    <row r="73" ht="15.0" customHeight="1">
      <c r="A73" s="116" t="s">
        <v>1622</v>
      </c>
      <c r="B73" s="56">
        <v>45955.0</v>
      </c>
      <c r="C73" s="182">
        <v>45946.0</v>
      </c>
      <c r="D73" s="57" t="s">
        <v>602</v>
      </c>
      <c r="E73" s="3">
        <f t="array" ref="E73">XLOOKUP(D73,RUC!$B$3:$B$110,RUC!$D$3:$D$110)</f>
        <v>20169040231</v>
      </c>
      <c r="G73" s="141">
        <v>80.0</v>
      </c>
      <c r="H73" s="3" t="s">
        <v>47</v>
      </c>
      <c r="I73" s="6">
        <v>7.51</v>
      </c>
      <c r="J73" s="58">
        <v>1.6</v>
      </c>
      <c r="K73" s="6">
        <f t="shared" si="35"/>
        <v>7.39</v>
      </c>
      <c r="L73" s="60">
        <v>0.439</v>
      </c>
      <c r="M73" s="60">
        <v>0.417</v>
      </c>
      <c r="N73" s="62">
        <f t="shared" si="48"/>
        <v>0.417</v>
      </c>
      <c r="O73" s="60">
        <f t="shared" si="37"/>
        <v>0.417</v>
      </c>
      <c r="P73" s="63">
        <v>90.0</v>
      </c>
      <c r="Q73" s="58">
        <v>98.63</v>
      </c>
      <c r="R73" s="65">
        <v>4261.95</v>
      </c>
      <c r="S73" s="66">
        <f t="array" ref="S73">IF((XLOOKUP(D73,RUC!$B$3:$B$106,RUC!$E$3:$E$106)+ROUNDDOWN(O73,1)*100)&lt;95,95,((XLOOKUP(D73,RUC!$B$3:$B$106,RUC!$E$3:$E$106)+ROUNDDOWN(O73,1)*100)))</f>
        <v>125</v>
      </c>
      <c r="U73" s="67">
        <f t="array" ref="U73">XLOOKUP(D73,RUC!$B$3:$B$110,RUC!$F$3:$F$110)</f>
        <v>120</v>
      </c>
      <c r="V73" s="67">
        <v>1.1023</v>
      </c>
      <c r="Y73" s="57">
        <f t="array" ref="Y73">XLOOKUP(D73,RUC!$B$3:$B$110,RUC!$G$3:$G$110)</f>
        <v>20</v>
      </c>
      <c r="Z73" s="140">
        <v>35.0</v>
      </c>
      <c r="AA73" s="70">
        <f t="shared" si="38"/>
        <v>55</v>
      </c>
      <c r="AB73" s="71">
        <f t="shared" si="39"/>
        <v>1515.082508</v>
      </c>
      <c r="AC73" s="71">
        <f>+(S73-T73)*V73-'data 1'!$F$4</f>
        <v>57.7875</v>
      </c>
      <c r="AD73" s="71">
        <f t="shared" si="5"/>
        <v>172.9736602</v>
      </c>
      <c r="AE73" s="71">
        <f t="shared" si="6"/>
        <v>-9.3735</v>
      </c>
      <c r="AF73" s="71">
        <f t="shared" si="7"/>
        <v>99.06867928</v>
      </c>
      <c r="AG73" s="72">
        <f t="shared" si="50"/>
        <v>337.4563395</v>
      </c>
      <c r="AH73" s="193">
        <f t="shared" si="8"/>
        <v>109.705</v>
      </c>
      <c r="AI73" s="193">
        <f t="shared" si="9"/>
        <v>111.229</v>
      </c>
      <c r="AJ73" s="73">
        <f t="shared" si="10"/>
        <v>-91.61392232</v>
      </c>
      <c r="AK73" s="73">
        <f t="shared" si="11"/>
        <v>95.08939234</v>
      </c>
      <c r="AL73" s="11"/>
      <c r="AM73" s="51">
        <f t="shared" si="12"/>
        <v>11196.45974</v>
      </c>
      <c r="AN73" s="51" t="str">
        <f t="array" ref="AN73">XLOOKUP(D73,RUC!$B$3:$B$565,RUC!$M$3:$M$565)</f>
        <v>Ronald Miranda</v>
      </c>
      <c r="AO73" s="131" t="s">
        <v>561</v>
      </c>
      <c r="AP73" s="2" t="s">
        <v>1620</v>
      </c>
      <c r="AQ73" s="2" t="s">
        <v>1621</v>
      </c>
    </row>
    <row r="74" ht="15.0" customHeight="1">
      <c r="A74" s="116" t="s">
        <v>1623</v>
      </c>
      <c r="B74" s="56">
        <v>45955.0</v>
      </c>
      <c r="C74" s="182">
        <v>45946.0</v>
      </c>
      <c r="D74" s="57" t="s">
        <v>602</v>
      </c>
      <c r="E74" s="3">
        <f t="array" ref="E74">XLOOKUP(D74,RUC!$B$3:$B$110,RUC!$D$3:$D$110)</f>
        <v>20169040231</v>
      </c>
      <c r="G74" s="141">
        <v>80.0</v>
      </c>
      <c r="H74" s="3" t="s">
        <v>47</v>
      </c>
      <c r="I74" s="6">
        <v>7.12</v>
      </c>
      <c r="J74" s="58">
        <v>1.2</v>
      </c>
      <c r="K74" s="6">
        <f t="shared" si="35"/>
        <v>7.035</v>
      </c>
      <c r="L74" s="60">
        <v>0.388</v>
      </c>
      <c r="M74" s="60">
        <v>0.369</v>
      </c>
      <c r="N74" s="62">
        <f t="shared" si="48"/>
        <v>0.369</v>
      </c>
      <c r="O74" s="60">
        <f t="shared" si="37"/>
        <v>0.369</v>
      </c>
      <c r="P74" s="63">
        <v>90.0</v>
      </c>
      <c r="Q74" s="58">
        <v>96.91</v>
      </c>
      <c r="R74" s="65">
        <v>4261.95</v>
      </c>
      <c r="S74" s="66">
        <f t="array" ref="S74">IF((XLOOKUP(D74,RUC!$B$3:$B$106,RUC!$E$3:$E$106)+ROUNDDOWN(O74,1)*100)&lt;95,95,((XLOOKUP(D74,RUC!$B$3:$B$106,RUC!$E$3:$E$106)+ROUNDDOWN(O74,1)*100)))</f>
        <v>115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140">
        <v>35.0</v>
      </c>
      <c r="AA74" s="70">
        <f t="shared" si="38"/>
        <v>55</v>
      </c>
      <c r="AB74" s="71">
        <f t="shared" si="39"/>
        <v>1328.8685</v>
      </c>
      <c r="AC74" s="71">
        <f>+(S74-T74)*V74-'data 1'!$F$4</f>
        <v>46.7645</v>
      </c>
      <c r="AD74" s="71">
        <f t="shared" si="5"/>
        <v>122.4093051</v>
      </c>
      <c r="AE74" s="71">
        <f t="shared" si="6"/>
        <v>-9.3735</v>
      </c>
      <c r="AF74" s="71">
        <f t="shared" si="7"/>
        <v>84.06725249</v>
      </c>
      <c r="AG74" s="72">
        <f t="shared" si="50"/>
        <v>260.8675575</v>
      </c>
      <c r="AH74" s="193">
        <f t="shared" si="8"/>
        <v>90.693</v>
      </c>
      <c r="AI74" s="193">
        <f t="shared" si="9"/>
        <v>93.585</v>
      </c>
      <c r="AJ74" s="73">
        <f t="shared" si="10"/>
        <v>-79.55880349</v>
      </c>
      <c r="AK74" s="73">
        <f t="shared" si="11"/>
        <v>80.10175781</v>
      </c>
      <c r="AL74" s="11"/>
      <c r="AM74" s="51">
        <f t="shared" si="12"/>
        <v>9348.589899</v>
      </c>
      <c r="AN74" s="51" t="str">
        <f t="array" ref="AN74">XLOOKUP(D74,RUC!$B$3:$B$565,RUC!$M$3:$M$565)</f>
        <v>Ronald Miranda</v>
      </c>
      <c r="AO74" s="131" t="s">
        <v>561</v>
      </c>
      <c r="AP74" s="2" t="s">
        <v>1620</v>
      </c>
      <c r="AQ74" s="2" t="s">
        <v>1621</v>
      </c>
    </row>
    <row r="75" ht="15.0" customHeight="1">
      <c r="A75" s="116" t="s">
        <v>1624</v>
      </c>
      <c r="B75" s="56">
        <v>45951.0</v>
      </c>
      <c r="C75" s="182">
        <v>45946.0</v>
      </c>
      <c r="D75" s="57" t="s">
        <v>602</v>
      </c>
      <c r="E75" s="3">
        <f t="array" ref="E75">XLOOKUP(D75,RUC!$B$3:$B$110,RUC!$D$3:$D$110)</f>
        <v>20169040231</v>
      </c>
      <c r="G75" s="141">
        <v>53.0</v>
      </c>
      <c r="H75" s="3" t="s">
        <v>47</v>
      </c>
      <c r="I75" s="6">
        <v>4.71</v>
      </c>
      <c r="J75" s="58">
        <v>2.2</v>
      </c>
      <c r="K75" s="6">
        <f t="shared" si="35"/>
        <v>4.606</v>
      </c>
      <c r="L75" s="3">
        <v>0.255</v>
      </c>
      <c r="M75" s="60">
        <v>0.24</v>
      </c>
      <c r="N75" s="62">
        <f t="shared" si="48"/>
        <v>0.24</v>
      </c>
      <c r="O75" s="60">
        <f t="shared" si="37"/>
        <v>0.24</v>
      </c>
      <c r="P75" s="63">
        <v>90.0</v>
      </c>
      <c r="Q75" s="58">
        <v>95.29</v>
      </c>
      <c r="R75" s="65">
        <v>4261.95</v>
      </c>
      <c r="S75" s="66">
        <f t="array" ref="S75">IF((XLOOKUP(D75,RUC!$B$3:$B$106,RUC!$E$3:$E$106)+ROUNDDOWN(O75,1)*100)&lt;95,95,((XLOOKUP(D75,RUC!$B$3:$B$106,RUC!$E$3:$E$106)+ROUNDDOWN(O75,1)*100)))</f>
        <v>105</v>
      </c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140">
        <v>35.0</v>
      </c>
      <c r="AA75" s="70">
        <f t="shared" si="38"/>
        <v>55</v>
      </c>
      <c r="AB75" s="71">
        <f t="shared" si="39"/>
        <v>809.8170408</v>
      </c>
      <c r="AC75" s="71">
        <f>+(S75-T75)*V75-'data 1'!$F$4</f>
        <v>35.7415</v>
      </c>
      <c r="AD75" s="71">
        <f t="shared" si="5"/>
        <v>61.5886255</v>
      </c>
      <c r="AE75" s="71">
        <f t="shared" si="6"/>
        <v>-9.3735</v>
      </c>
      <c r="AF75" s="71">
        <f t="shared" si="7"/>
        <v>65.25942537</v>
      </c>
      <c r="AG75" s="72">
        <f t="shared" si="50"/>
        <v>170.2160509</v>
      </c>
      <c r="AH75" s="193">
        <f t="shared" si="8"/>
        <v>38.373</v>
      </c>
      <c r="AI75" s="193">
        <f t="shared" si="9"/>
        <v>40.269</v>
      </c>
      <c r="AJ75" s="73">
        <f t="shared" si="10"/>
        <v>-51.4132942</v>
      </c>
      <c r="AK75" s="73">
        <f t="shared" si="11"/>
        <v>34.11039543</v>
      </c>
      <c r="AL75" s="11"/>
      <c r="AM75" s="51">
        <f t="shared" si="12"/>
        <v>3730.01729</v>
      </c>
      <c r="AN75" s="51" t="str">
        <f t="array" ref="AN75">XLOOKUP(D75,RUC!$B$3:$B$565,RUC!$M$3:$M$565)</f>
        <v>Ronald Miranda</v>
      </c>
      <c r="AO75" s="131" t="s">
        <v>561</v>
      </c>
      <c r="AP75" s="2" t="s">
        <v>1620</v>
      </c>
      <c r="AQ75" s="2" t="s">
        <v>1621</v>
      </c>
    </row>
    <row r="76" ht="15.0" customHeight="1">
      <c r="A76" s="116" t="s">
        <v>1625</v>
      </c>
      <c r="B76" s="56">
        <v>45951.0</v>
      </c>
      <c r="C76" s="182">
        <v>45947.0</v>
      </c>
      <c r="D76" s="57" t="s">
        <v>602</v>
      </c>
      <c r="E76" s="3">
        <f t="array" ref="E76">XLOOKUP(D76,RUC!$B$3:$B$110,RUC!$D$3:$D$110)</f>
        <v>20169040231</v>
      </c>
      <c r="G76" s="141">
        <v>70.0</v>
      </c>
      <c r="H76" s="3" t="s">
        <v>47</v>
      </c>
      <c r="I76" s="6">
        <v>6.29</v>
      </c>
      <c r="J76" s="58">
        <v>1.2</v>
      </c>
      <c r="K76" s="6">
        <f t="shared" si="35"/>
        <v>6.215</v>
      </c>
      <c r="L76" s="3">
        <v>0.197</v>
      </c>
      <c r="M76" s="60">
        <v>0.19</v>
      </c>
      <c r="N76" s="62">
        <f t="shared" si="48"/>
        <v>0.19</v>
      </c>
      <c r="O76" s="60">
        <f t="shared" si="37"/>
        <v>0.19</v>
      </c>
      <c r="P76" s="63">
        <v>90.0</v>
      </c>
      <c r="Q76" s="58">
        <v>90.86</v>
      </c>
      <c r="R76" s="65">
        <v>4224.75</v>
      </c>
      <c r="S76" s="66">
        <f t="array" ref="S76">IF((XLOOKUP(D76,RUC!$B$3:$B$106,RUC!$E$3:$E$106)+ROUNDDOWN(O76,1)*100)&lt;95,95,((XLOOKUP(D76,RUC!$B$3:$B$106,RUC!$E$3:$E$106)+ROUNDDOWN(O76,1)*100)))</f>
        <v>95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140">
        <v>35.0</v>
      </c>
      <c r="AA76" s="70">
        <f t="shared" si="38"/>
        <v>55</v>
      </c>
      <c r="AB76" s="71">
        <f t="shared" si="39"/>
        <v>608.3728732</v>
      </c>
      <c r="AC76" s="71">
        <f>+(S76-T76)*V76-'data 1'!$F$4</f>
        <v>24.7185</v>
      </c>
      <c r="AD76" s="71">
        <f t="shared" si="5"/>
        <v>7.66568901</v>
      </c>
      <c r="AE76" s="71">
        <f t="shared" si="6"/>
        <v>-9.3735</v>
      </c>
      <c r="AF76" s="71">
        <f t="shared" si="7"/>
        <v>28.77778022</v>
      </c>
      <c r="AG76" s="72">
        <f t="shared" si="50"/>
        <v>68.78846923</v>
      </c>
      <c r="AH76" s="193">
        <f t="shared" si="8"/>
        <v>38.141</v>
      </c>
      <c r="AI76" s="193">
        <f t="shared" si="9"/>
        <v>41.977</v>
      </c>
      <c r="AJ76" s="73">
        <f t="shared" si="10"/>
        <v>-30.53299621</v>
      </c>
      <c r="AK76" s="73">
        <f t="shared" si="11"/>
        <v>36.43731043</v>
      </c>
      <c r="AL76" s="11"/>
      <c r="AM76" s="51">
        <f t="shared" si="12"/>
        <v>3781.037407</v>
      </c>
      <c r="AN76" s="51" t="str">
        <f t="array" ref="AN76">XLOOKUP(D76,RUC!$B$3:$B$565,RUC!$M$3:$M$565)</f>
        <v>Ronald Miranda</v>
      </c>
      <c r="AO76" s="131" t="s">
        <v>561</v>
      </c>
      <c r="AP76" s="57" t="s">
        <v>1626</v>
      </c>
      <c r="AQ76" s="57" t="s">
        <v>1627</v>
      </c>
    </row>
    <row r="77" ht="15.0" customHeight="1">
      <c r="A77" s="116" t="s">
        <v>1628</v>
      </c>
      <c r="B77" s="56">
        <v>45953.0</v>
      </c>
      <c r="C77" s="182">
        <v>45947.0</v>
      </c>
      <c r="D77" s="57" t="s">
        <v>602</v>
      </c>
      <c r="E77" s="3">
        <f t="array" ref="E77">XLOOKUP(D77,RUC!$B$3:$B$110,RUC!$D$3:$D$110)</f>
        <v>20169040231</v>
      </c>
      <c r="G77" s="141">
        <v>84.0</v>
      </c>
      <c r="H77" s="3" t="s">
        <v>47</v>
      </c>
      <c r="I77" s="6">
        <v>8.59</v>
      </c>
      <c r="J77" s="58">
        <v>2.0</v>
      </c>
      <c r="K77" s="6">
        <f t="shared" si="35"/>
        <v>8.418</v>
      </c>
      <c r="L77" s="3">
        <v>0.163</v>
      </c>
      <c r="M77" s="60">
        <v>0.148</v>
      </c>
      <c r="N77" s="62">
        <f t="shared" si="48"/>
        <v>0.148</v>
      </c>
      <c r="O77" s="60">
        <f t="shared" si="37"/>
        <v>0.148</v>
      </c>
      <c r="P77" s="63">
        <v>85.0</v>
      </c>
      <c r="Q77" s="58">
        <v>92.02</v>
      </c>
      <c r="R77" s="65">
        <v>4224.75</v>
      </c>
      <c r="S77" s="66">
        <f t="array" ref="S77">IF((XLOOKUP(D77,RUC!$B$3:$B$106,RUC!$E$3:$E$106)+ROUNDDOWN(O77,1)*100)&lt;95,95,((XLOOKUP(D77,RUC!$B$3:$B$106,RUC!$E$3:$E$106)+ROUNDDOWN(O77,1)*100)))</f>
        <v>95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140">
        <v>35.0</v>
      </c>
      <c r="AA77" s="70">
        <f t="shared" si="38"/>
        <v>55</v>
      </c>
      <c r="AB77" s="71">
        <f t="shared" si="39"/>
        <v>403.8579734</v>
      </c>
      <c r="AC77" s="71">
        <f>+(S77-T77)*V77-'data 1'!$F$4</f>
        <v>24.7185</v>
      </c>
      <c r="AD77" s="71">
        <f t="shared" si="5"/>
        <v>51.77394231</v>
      </c>
      <c r="AE77" s="71">
        <f t="shared" si="6"/>
        <v>-9.3735</v>
      </c>
      <c r="AF77" s="71">
        <f t="shared" si="7"/>
        <v>62.45396376</v>
      </c>
      <c r="AG77" s="72">
        <f t="shared" si="50"/>
        <v>146.5729061</v>
      </c>
      <c r="AH77" s="193">
        <f t="shared" si="8"/>
        <v>43.29</v>
      </c>
      <c r="AI77" s="193">
        <f t="shared" si="9"/>
        <v>47.044</v>
      </c>
      <c r="AJ77" s="73">
        <f t="shared" si="10"/>
        <v>-25.58587645</v>
      </c>
      <c r="AK77" s="73">
        <f t="shared" si="11"/>
        <v>36.30769109</v>
      </c>
      <c r="AL77" s="11"/>
      <c r="AM77" s="51">
        <f t="shared" si="12"/>
        <v>3399.67642</v>
      </c>
      <c r="AN77" s="51" t="str">
        <f t="array" ref="AN77">XLOOKUP(D77,RUC!$B$3:$B$565,RUC!$M$3:$M$565)</f>
        <v>Ronald Miranda</v>
      </c>
      <c r="AO77" s="131" t="s">
        <v>561</v>
      </c>
      <c r="AP77" s="2" t="s">
        <v>1626</v>
      </c>
      <c r="AQ77" s="57" t="s">
        <v>1627</v>
      </c>
    </row>
    <row r="78" ht="15.0" customHeight="1">
      <c r="A78" s="116" t="s">
        <v>1629</v>
      </c>
      <c r="B78" s="56">
        <v>45953.0</v>
      </c>
      <c r="C78" s="182">
        <v>45947.0</v>
      </c>
      <c r="D78" s="57" t="s">
        <v>602</v>
      </c>
      <c r="E78" s="3">
        <f t="array" ref="E78">XLOOKUP(D78,RUC!$B$3:$B$110,RUC!$D$3:$D$110)</f>
        <v>20169040231</v>
      </c>
      <c r="G78" s="141">
        <v>84.0</v>
      </c>
      <c r="H78" s="3" t="s">
        <v>47</v>
      </c>
      <c r="I78" s="6">
        <v>8.19</v>
      </c>
      <c r="J78" s="58">
        <v>1.3</v>
      </c>
      <c r="K78" s="6">
        <f t="shared" si="35"/>
        <v>8.084</v>
      </c>
      <c r="L78" s="3">
        <v>0.214</v>
      </c>
      <c r="M78" s="60">
        <v>0.199</v>
      </c>
      <c r="N78" s="62">
        <f t="shared" si="48"/>
        <v>0.199</v>
      </c>
      <c r="O78" s="60">
        <f t="shared" si="37"/>
        <v>0.199</v>
      </c>
      <c r="P78" s="63">
        <v>85.0</v>
      </c>
      <c r="Q78" s="58">
        <v>86.45</v>
      </c>
      <c r="R78" s="65">
        <v>4224.75</v>
      </c>
      <c r="S78" s="66">
        <f t="array" ref="S78">IF((XLOOKUP(D78,RUC!$B$3:$B$106,RUC!$E$3:$E$106)+ROUNDDOWN(O78,1)*100)&lt;95,95,((XLOOKUP(D78,RUC!$B$3:$B$106,RUC!$E$3:$E$106)+ROUNDDOWN(O78,1)*100)))</f>
        <v>95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140">
        <v>35.0</v>
      </c>
      <c r="AA78" s="70">
        <f t="shared" si="38"/>
        <v>55</v>
      </c>
      <c r="AB78" s="71">
        <f t="shared" si="39"/>
        <v>600.0022412</v>
      </c>
      <c r="AC78" s="71">
        <f>+(S78-T78)*V78-'data 1'!$F$4</f>
        <v>24.7185</v>
      </c>
      <c r="AD78" s="71">
        <f t="shared" si="5"/>
        <v>14.04003837</v>
      </c>
      <c r="AE78" s="71">
        <f t="shared" si="6"/>
        <v>-9.3735</v>
      </c>
      <c r="AF78" s="71">
        <f t="shared" si="7"/>
        <v>58.67360538</v>
      </c>
      <c r="AG78" s="72">
        <f t="shared" si="50"/>
        <v>105.0586437</v>
      </c>
      <c r="AH78" s="193">
        <f t="shared" si="8"/>
        <v>51.276</v>
      </c>
      <c r="AI78" s="193">
        <f t="shared" si="9"/>
        <v>59.313</v>
      </c>
      <c r="AJ78" s="73">
        <f t="shared" si="10"/>
        <v>-31.55798287</v>
      </c>
      <c r="AK78" s="73">
        <f t="shared" si="11"/>
        <v>46.88213447</v>
      </c>
      <c r="AL78" s="11"/>
      <c r="AM78" s="51">
        <f t="shared" si="12"/>
        <v>4850.418118</v>
      </c>
      <c r="AN78" s="51" t="str">
        <f t="array" ref="AN78">XLOOKUP(D78,RUC!$B$3:$B$565,RUC!$M$3:$M$565)</f>
        <v>Ronald Miranda</v>
      </c>
      <c r="AO78" s="131" t="s">
        <v>561</v>
      </c>
      <c r="AP78" s="2" t="s">
        <v>1626</v>
      </c>
      <c r="AQ78" s="57" t="s">
        <v>1627</v>
      </c>
    </row>
    <row r="79" ht="15.0" customHeight="1">
      <c r="A79" s="116" t="s">
        <v>1630</v>
      </c>
      <c r="B79" s="56">
        <v>45951.0</v>
      </c>
      <c r="C79" s="182">
        <v>45947.0</v>
      </c>
      <c r="D79" s="57" t="s">
        <v>602</v>
      </c>
      <c r="E79" s="3">
        <f t="array" ref="E79">XLOOKUP(D79,RUC!$B$3:$B$110,RUC!$D$3:$D$110)</f>
        <v>20169040231</v>
      </c>
      <c r="G79" s="141">
        <v>27.0</v>
      </c>
      <c r="H79" s="3" t="s">
        <v>40</v>
      </c>
      <c r="I79" s="6">
        <v>2.18</v>
      </c>
      <c r="J79" s="58">
        <v>25.73</v>
      </c>
      <c r="K79" s="6">
        <f t="shared" si="35"/>
        <v>1.619</v>
      </c>
      <c r="L79" s="3">
        <v>1.685</v>
      </c>
      <c r="M79" s="60">
        <v>1.601</v>
      </c>
      <c r="N79" s="75">
        <v>1.801</v>
      </c>
      <c r="O79" s="60">
        <f t="shared" si="37"/>
        <v>1.701</v>
      </c>
      <c r="P79" s="63">
        <v>78.0</v>
      </c>
      <c r="Q79" s="58">
        <v>78.28</v>
      </c>
      <c r="R79" s="65">
        <v>4224.75</v>
      </c>
      <c r="S79" s="66">
        <f t="array" ref="S79">IF((XLOOKUP(D79,RUC!$B$3:$B$106,RUC!$E$3:$E$106)+ROUNDDOWN(O79,1)*100)&lt;95,95,((XLOOKUP(D79,RUC!$B$3:$B$106,RUC!$E$3:$E$106)+ROUNDDOWN(O79,1)*100)))</f>
        <v>255</v>
      </c>
      <c r="U79" s="67">
        <f t="array" ref="U79">XLOOKUP(D79,RUC!$B$3:$B$110,RUC!$F$3:$F$110)</f>
        <v>120</v>
      </c>
      <c r="V79" s="67">
        <v>1.1023</v>
      </c>
      <c r="Y79" s="199">
        <v>40.0</v>
      </c>
      <c r="Z79" s="140">
        <v>35.0</v>
      </c>
      <c r="AA79" s="70">
        <f t="shared" si="38"/>
        <v>75</v>
      </c>
      <c r="AB79" s="71">
        <f t="shared" si="39"/>
        <v>5639.477256</v>
      </c>
      <c r="AC79" s="71">
        <f>+(S79-T79)*V79-'data 1'!$F$4</f>
        <v>201.0865</v>
      </c>
      <c r="AD79" s="71">
        <f t="shared" si="5"/>
        <v>21.34737383</v>
      </c>
      <c r="AE79" s="71">
        <f t="shared" si="6"/>
        <v>12.6725</v>
      </c>
      <c r="AF79" s="71">
        <f t="shared" si="7"/>
        <v>-56.67053578</v>
      </c>
      <c r="AG79" s="72">
        <f t="shared" si="50"/>
        <v>195.4358381</v>
      </c>
      <c r="AH79" s="193">
        <f t="shared" si="8"/>
        <v>73.216</v>
      </c>
      <c r="AI79" s="193">
        <f t="shared" si="9"/>
        <v>93.531</v>
      </c>
      <c r="AJ79" s="73">
        <f t="shared" si="10"/>
        <v>-224.9993105</v>
      </c>
      <c r="AK79" s="73">
        <f t="shared" si="11"/>
        <v>73.64696163</v>
      </c>
      <c r="AL79" s="11"/>
      <c r="AM79" s="51">
        <f t="shared" si="12"/>
        <v>9130.313677</v>
      </c>
      <c r="AN79" s="51" t="str">
        <f t="array" ref="AN79">XLOOKUP(D79,RUC!$B$3:$B$565,RUC!$M$3:$M$565)</f>
        <v>Ronald Miranda</v>
      </c>
      <c r="AO79" s="131" t="s">
        <v>549</v>
      </c>
      <c r="AP79" s="2" t="s">
        <v>1626</v>
      </c>
      <c r="AQ79" s="57" t="s">
        <v>1627</v>
      </c>
    </row>
    <row r="80" ht="14.25" customHeight="1">
      <c r="A80" s="116" t="s">
        <v>1631</v>
      </c>
      <c r="B80" s="56">
        <v>45951.0</v>
      </c>
      <c r="C80" s="182">
        <v>45947.0</v>
      </c>
      <c r="D80" s="57" t="s">
        <v>602</v>
      </c>
      <c r="E80" s="3">
        <f t="array" ref="E80">XLOOKUP(D80,RUC!$B$3:$B$110,RUC!$D$3:$D$110)</f>
        <v>20169040231</v>
      </c>
      <c r="G80" s="141">
        <v>5.0</v>
      </c>
      <c r="H80" s="3" t="s">
        <v>40</v>
      </c>
      <c r="I80" s="6">
        <v>0.37</v>
      </c>
      <c r="J80" s="58">
        <v>9.43</v>
      </c>
      <c r="K80" s="6">
        <f t="shared" si="35"/>
        <v>0.335</v>
      </c>
      <c r="L80" s="60">
        <v>6.6</v>
      </c>
      <c r="M80" s="60">
        <v>6.27</v>
      </c>
      <c r="N80" s="75">
        <v>6.907</v>
      </c>
      <c r="O80" s="60">
        <f t="shared" si="37"/>
        <v>6.589</v>
      </c>
      <c r="P80" s="63">
        <v>81.0</v>
      </c>
      <c r="Q80" s="58">
        <v>81.61</v>
      </c>
      <c r="R80" s="65">
        <v>4224.75</v>
      </c>
      <c r="S80" s="66">
        <f t="array" ref="S80">IF((XLOOKUP(D80,RUC!$B$3:$B$106,RUC!$E$3:$E$106)+ROUNDDOWN(O80,1)*100)&lt;95,95,((XLOOKUP(D80,RUC!$B$3:$B$106,RUC!$E$3:$E$106)+ROUNDDOWN(O80,1)*100)))</f>
        <v>735</v>
      </c>
      <c r="U80" s="67">
        <f t="array" ref="U80">XLOOKUP(D80,RUC!$B$3:$B$110,RUC!$F$3:$F$110)</f>
        <v>120</v>
      </c>
      <c r="V80" s="67">
        <v>1.1023</v>
      </c>
      <c r="Y80" s="199">
        <v>40.0</v>
      </c>
      <c r="Z80" s="140">
        <v>35.0</v>
      </c>
      <c r="AA80" s="70">
        <f t="shared" si="38"/>
        <v>75</v>
      </c>
      <c r="AB80" s="71">
        <f t="shared" si="39"/>
        <v>23255.68626</v>
      </c>
      <c r="AC80" s="71">
        <f>+(S80-T80)*V80-'data 1'!$F$4</f>
        <v>730.1905</v>
      </c>
      <c r="AD80" s="71">
        <f t="shared" si="5"/>
        <v>182.1630501</v>
      </c>
      <c r="AE80" s="71">
        <f t="shared" si="6"/>
        <v>12.6725</v>
      </c>
      <c r="AF80" s="71">
        <f t="shared" si="7"/>
        <v>40.61837848</v>
      </c>
      <c r="AG80" s="72">
        <f t="shared" si="50"/>
        <v>982.6444286</v>
      </c>
      <c r="AH80" s="193">
        <f t="shared" si="8"/>
        <v>61.864</v>
      </c>
      <c r="AI80" s="193">
        <f t="shared" si="9"/>
        <v>75.805</v>
      </c>
      <c r="AJ80" s="73">
        <f t="shared" si="10"/>
        <v>-918.7932131</v>
      </c>
      <c r="AK80" s="73">
        <f t="shared" si="11"/>
        <v>61.29970757</v>
      </c>
      <c r="AL80" s="11"/>
      <c r="AM80" s="51">
        <f t="shared" si="12"/>
        <v>7790.654898</v>
      </c>
      <c r="AN80" s="51" t="str">
        <f t="array" ref="AN80">XLOOKUP(D80,RUC!$B$3:$B$565,RUC!$M$3:$M$565)</f>
        <v>Ronald Miranda</v>
      </c>
      <c r="AO80" s="131" t="s">
        <v>549</v>
      </c>
      <c r="AP80" s="2" t="s">
        <v>1626</v>
      </c>
      <c r="AQ80" s="57" t="s">
        <v>1627</v>
      </c>
    </row>
    <row r="81" ht="15.0" customHeight="1">
      <c r="A81" s="116" t="s">
        <v>1632</v>
      </c>
      <c r="B81" s="56">
        <v>45953.0</v>
      </c>
      <c r="C81" s="182">
        <v>45947.0</v>
      </c>
      <c r="D81" s="57" t="s">
        <v>602</v>
      </c>
      <c r="E81" s="3">
        <f t="array" ref="E81">XLOOKUP(D81,RUC!$B$3:$B$110,RUC!$D$3:$D$110)</f>
        <v>20169040231</v>
      </c>
      <c r="G81" s="141">
        <v>12.0</v>
      </c>
      <c r="H81" s="3" t="s">
        <v>47</v>
      </c>
      <c r="I81" s="6">
        <v>1.13</v>
      </c>
      <c r="J81" s="58">
        <v>1.3</v>
      </c>
      <c r="K81" s="6">
        <f t="shared" si="35"/>
        <v>1.115</v>
      </c>
      <c r="L81" s="3">
        <v>0.166</v>
      </c>
      <c r="M81" s="60">
        <v>0.151</v>
      </c>
      <c r="N81" s="62">
        <f>+M81</f>
        <v>0.151</v>
      </c>
      <c r="O81" s="60">
        <f t="shared" si="37"/>
        <v>0.151</v>
      </c>
      <c r="P81" s="63">
        <v>90.0</v>
      </c>
      <c r="Q81" s="58">
        <v>90.96</v>
      </c>
      <c r="R81" s="65">
        <v>4224.75</v>
      </c>
      <c r="S81" s="66">
        <f t="array" ref="S81">IF((XLOOKUP(D81,RUC!$B$3:$B$106,RUC!$E$3:$E$106)+ROUNDDOWN(O81,1)*100)&lt;95,95,((XLOOKUP(D81,RUC!$B$3:$B$106,RUC!$E$3:$E$106)+ROUNDDOWN(O81,1)*100)))</f>
        <v>95</v>
      </c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140">
        <v>35.0</v>
      </c>
      <c r="AA81" s="70">
        <f t="shared" si="38"/>
        <v>55</v>
      </c>
      <c r="AB81" s="71">
        <f t="shared" si="39"/>
        <v>449.5570992</v>
      </c>
      <c r="AC81" s="71">
        <f>+(S81-T81)*V81-'data 1'!$F$4</f>
        <v>24.7185</v>
      </c>
      <c r="AD81" s="71">
        <f t="shared" si="5"/>
        <v>7.210507618</v>
      </c>
      <c r="AE81" s="71">
        <f t="shared" si="6"/>
        <v>-9.3735</v>
      </c>
      <c r="AF81" s="71">
        <f t="shared" si="7"/>
        <v>61.73454188</v>
      </c>
      <c r="AG81" s="72">
        <f t="shared" si="50"/>
        <v>101.2900495</v>
      </c>
      <c r="AH81" s="193">
        <f t="shared" si="8"/>
        <v>5.772</v>
      </c>
      <c r="AI81" s="193">
        <f t="shared" si="9"/>
        <v>6.346</v>
      </c>
      <c r="AJ81" s="73">
        <f t="shared" si="10"/>
        <v>-25.75662796</v>
      </c>
      <c r="AK81" s="73">
        <f t="shared" si="11"/>
        <v>5.195213423</v>
      </c>
      <c r="AL81" s="11"/>
      <c r="AM81" s="51">
        <f t="shared" si="12"/>
        <v>501.2561656</v>
      </c>
      <c r="AN81" s="51" t="str">
        <f t="array" ref="AN81">XLOOKUP(D81,RUC!$B$3:$B$565,RUC!$M$3:$M$565)</f>
        <v>Ronald Miranda</v>
      </c>
      <c r="AO81" s="131" t="s">
        <v>561</v>
      </c>
      <c r="AP81" s="2" t="s">
        <v>1626</v>
      </c>
      <c r="AQ81" s="57" t="s">
        <v>1627</v>
      </c>
    </row>
    <row r="82" ht="15.0" customHeight="1">
      <c r="A82" s="116" t="s">
        <v>1633</v>
      </c>
      <c r="B82" s="56">
        <v>45951.0</v>
      </c>
      <c r="C82" s="182">
        <v>45947.0</v>
      </c>
      <c r="D82" s="57" t="s">
        <v>602</v>
      </c>
      <c r="E82" s="3">
        <f t="array" ref="E82">XLOOKUP(D82,RUC!$B$3:$B$110,RUC!$D$3:$D$110)</f>
        <v>20169040231</v>
      </c>
      <c r="G82" s="141">
        <v>44.0</v>
      </c>
      <c r="H82" s="3" t="s">
        <v>47</v>
      </c>
      <c r="I82" s="6">
        <v>3.67</v>
      </c>
      <c r="J82" s="58">
        <v>1.3</v>
      </c>
      <c r="K82" s="6">
        <f t="shared" si="35"/>
        <v>3.622</v>
      </c>
      <c r="L82" s="3">
        <v>0.884</v>
      </c>
      <c r="M82" s="60">
        <v>0.84</v>
      </c>
      <c r="N82" s="75">
        <v>1.058</v>
      </c>
      <c r="O82" s="60">
        <f t="shared" si="37"/>
        <v>0.949</v>
      </c>
      <c r="P82" s="63">
        <v>74.0</v>
      </c>
      <c r="Q82" s="58">
        <v>74.77</v>
      </c>
      <c r="R82" s="65">
        <v>4224.75</v>
      </c>
      <c r="S82" s="66">
        <f t="array" ref="S82">IF((XLOOKUP(D82,RUC!$B$3:$B$106,RUC!$E$3:$E$106)+ROUNDDOWN(O82,1)*100)&lt;95,95,((XLOOKUP(D82,RUC!$B$3:$B$106,RUC!$E$3:$E$106)+ROUNDDOWN(O82,1)*100)))</f>
        <v>175</v>
      </c>
      <c r="U82" s="67">
        <f t="array" ref="U82">XLOOKUP(D82,RUC!$B$3:$B$110,RUC!$F$3:$F$110)</f>
        <v>120</v>
      </c>
      <c r="V82" s="67">
        <v>1.1023</v>
      </c>
      <c r="Y82" s="199">
        <v>40.0</v>
      </c>
      <c r="Z82" s="140">
        <v>35.0</v>
      </c>
      <c r="AA82" s="70">
        <f t="shared" si="38"/>
        <v>75</v>
      </c>
      <c r="AB82" s="71">
        <f t="shared" si="39"/>
        <v>2901.916892</v>
      </c>
      <c r="AC82" s="71">
        <f>+(S82-T82)*V82-'data 1'!$F$4</f>
        <v>112.9025</v>
      </c>
      <c r="AD82" s="71">
        <f t="shared" si="5"/>
        <v>30.79849602</v>
      </c>
      <c r="AE82" s="71">
        <f t="shared" si="6"/>
        <v>12.6725</v>
      </c>
      <c r="AF82" s="71">
        <f t="shared" si="7"/>
        <v>-219.9010263</v>
      </c>
      <c r="AG82" s="72">
        <f t="shared" si="50"/>
        <v>-46.52753027</v>
      </c>
      <c r="AH82" s="193">
        <f t="shared" si="8"/>
        <v>82.08</v>
      </c>
      <c r="AI82" s="193">
        <f t="shared" si="9"/>
        <v>109.777</v>
      </c>
      <c r="AJ82" s="73">
        <f t="shared" si="10"/>
        <v>-112.7483281</v>
      </c>
      <c r="AK82" s="73">
        <f t="shared" si="11"/>
        <v>87.20782345</v>
      </c>
      <c r="AL82" s="11"/>
      <c r="AM82" s="51">
        <f t="shared" si="12"/>
        <v>10510.74298</v>
      </c>
      <c r="AN82" s="51" t="str">
        <f t="array" ref="AN82">XLOOKUP(D82,RUC!$B$3:$B$565,RUC!$M$3:$M$565)</f>
        <v>Ronald Miranda</v>
      </c>
      <c r="AO82" s="131" t="s">
        <v>561</v>
      </c>
      <c r="AP82" s="2" t="s">
        <v>1626</v>
      </c>
      <c r="AQ82" s="57" t="s">
        <v>1627</v>
      </c>
      <c r="AR82" s="2" t="s">
        <v>1634</v>
      </c>
    </row>
    <row r="83" ht="15.0" customHeight="1">
      <c r="A83" s="116" t="s">
        <v>1635</v>
      </c>
      <c r="B83" s="56">
        <v>45954.0</v>
      </c>
      <c r="C83" s="182">
        <v>45947.0</v>
      </c>
      <c r="D83" s="57" t="s">
        <v>225</v>
      </c>
      <c r="E83" s="3">
        <f t="array" ref="E83">XLOOKUP(D83,RUC!$B$3:$B$110,RUC!$D$3:$D$110)</f>
        <v>10761932735</v>
      </c>
      <c r="G83" s="141">
        <v>47.0</v>
      </c>
      <c r="H83" s="3" t="s">
        <v>47</v>
      </c>
      <c r="I83" s="6">
        <v>4.36</v>
      </c>
      <c r="J83" s="58">
        <v>8.15</v>
      </c>
      <c r="K83" s="6">
        <f t="shared" si="35"/>
        <v>4.005</v>
      </c>
      <c r="L83" s="60">
        <v>0.39</v>
      </c>
      <c r="M83" s="60">
        <v>0.371</v>
      </c>
      <c r="N83" s="62">
        <f t="shared" ref="N83:N93" si="51">+M83</f>
        <v>0.371</v>
      </c>
      <c r="O83" s="60">
        <f t="shared" si="37"/>
        <v>0.371</v>
      </c>
      <c r="P83" s="63">
        <v>90.0</v>
      </c>
      <c r="Q83" s="58">
        <v>96.67</v>
      </c>
      <c r="R83" s="65">
        <v>4224.75</v>
      </c>
      <c r="S83" s="66">
        <f t="array" ref="S83">IF((XLOOKUP(D83,RUC!$B$3:$B$106,RUC!$E$3:$E$106)+ROUNDDOWN(O83,1)*100)&lt;95,95,((XLOOKUP(D83,RUC!$B$3:$B$106,RUC!$E$3:$E$106)+ROUNDDOWN(O83,1)*100)))</f>
        <v>120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38"/>
        <v>50</v>
      </c>
      <c r="AB83" s="71">
        <f t="shared" si="39"/>
        <v>1323.394952</v>
      </c>
      <c r="AC83" s="71">
        <f>+(S83-T83)*V83-'data 1'!$F$4</f>
        <v>52.276</v>
      </c>
      <c r="AD83" s="71">
        <f t="shared" si="5"/>
        <v>117.7001347</v>
      </c>
      <c r="AE83" s="71">
        <f t="shared" si="6"/>
        <v>-14.885</v>
      </c>
      <c r="AF83" s="71">
        <f t="shared" si="7"/>
        <v>83.10589644</v>
      </c>
      <c r="AG83" s="72">
        <f t="shared" si="50"/>
        <v>255.1970312</v>
      </c>
      <c r="AH83" s="193">
        <f t="shared" si="8"/>
        <v>51.769</v>
      </c>
      <c r="AI83" s="193">
        <f t="shared" si="9"/>
        <v>53.552</v>
      </c>
      <c r="AJ83" s="73">
        <f t="shared" si="10"/>
        <v>-64.31122628</v>
      </c>
      <c r="AK83" s="73">
        <f t="shared" si="11"/>
        <v>45.84880373</v>
      </c>
      <c r="AL83" s="11"/>
      <c r="AM83" s="51">
        <f t="shared" si="12"/>
        <v>5300.196784</v>
      </c>
      <c r="AN83" s="51" t="str">
        <f t="array" ref="AN83">XLOOKUP(D83,RUC!$B$3:$B$565,RUC!$M$3:$M$565)</f>
        <v>Richard Sapacayo</v>
      </c>
      <c r="AO83" s="131" t="s">
        <v>561</v>
      </c>
      <c r="AP83" s="57" t="s">
        <v>1636</v>
      </c>
      <c r="AQ83" s="57" t="s">
        <v>599</v>
      </c>
    </row>
    <row r="84" ht="15.0" customHeight="1">
      <c r="A84" s="116" t="s">
        <v>1637</v>
      </c>
      <c r="B84" s="56">
        <v>45954.0</v>
      </c>
      <c r="C84" s="182">
        <v>45947.0</v>
      </c>
      <c r="D84" s="57" t="s">
        <v>225</v>
      </c>
      <c r="E84" s="3">
        <f t="array" ref="E84">XLOOKUP(D84,RUC!$B$3:$B$110,RUC!$D$3:$D$110)</f>
        <v>10761932735</v>
      </c>
      <c r="G84" s="141" t="s">
        <v>735</v>
      </c>
      <c r="H84" s="3" t="s">
        <v>47</v>
      </c>
      <c r="I84" s="6">
        <v>35.67</v>
      </c>
      <c r="J84" s="58">
        <v>10.05</v>
      </c>
      <c r="K84" s="6">
        <f t="shared" si="35"/>
        <v>32.085</v>
      </c>
      <c r="L84" s="3">
        <v>0.191</v>
      </c>
      <c r="M84" s="60">
        <v>0.176</v>
      </c>
      <c r="N84" s="62">
        <f t="shared" si="51"/>
        <v>0.176</v>
      </c>
      <c r="O84" s="60">
        <f t="shared" si="37"/>
        <v>0.176</v>
      </c>
      <c r="P84" s="63">
        <v>90.0</v>
      </c>
      <c r="Q84" s="58">
        <v>92.15</v>
      </c>
      <c r="R84" s="65">
        <v>4224.75</v>
      </c>
      <c r="S84" s="66">
        <f t="array" ref="S84">IF((XLOOKUP(D84,RUC!$B$3:$B$106,RUC!$E$3:$E$106)+ROUNDDOWN(O84,1)*100)&lt;95,95,((XLOOKUP(D84,RUC!$B$3:$B$106,RUC!$E$3:$E$106)+ROUNDDOWN(O84,1)*100)))</f>
        <v>100</v>
      </c>
      <c r="U84" s="67">
        <f t="array" ref="U84">XLOOKUP(D84,RUC!$B$3:$B$110,RUC!$F$3:$F$110)</f>
        <v>120</v>
      </c>
      <c r="V84" s="67">
        <v>1.1023</v>
      </c>
      <c r="Y84" s="57">
        <f t="array" ref="Y84">XLOOKUP(D84,RUC!$B$3:$B$110,RUC!$G$3:$G$110)</f>
        <v>20</v>
      </c>
      <c r="Z84" s="69">
        <f t="array" ref="Z84">XLOOKUP(D84,RUC!$B$3:$B$110,RUC!$H$3:$H$110)</f>
        <v>30</v>
      </c>
      <c r="AA84" s="70">
        <f t="shared" si="38"/>
        <v>50</v>
      </c>
      <c r="AB84" s="71">
        <f t="shared" si="39"/>
        <v>551.3620825</v>
      </c>
      <c r="AC84" s="71">
        <f>+(S84-T84)*V84-'data 1'!$F$4</f>
        <v>30.23</v>
      </c>
      <c r="AD84" s="71">
        <f t="shared" si="5"/>
        <v>18.58054062</v>
      </c>
      <c r="AE84" s="71">
        <f t="shared" si="6"/>
        <v>-14.885</v>
      </c>
      <c r="AF84" s="71">
        <f t="shared" si="7"/>
        <v>62.54219475</v>
      </c>
      <c r="AG84" s="72">
        <f t="shared" si="50"/>
        <v>113.4677354</v>
      </c>
      <c r="AH84" s="193">
        <f t="shared" si="8"/>
        <v>193.615</v>
      </c>
      <c r="AI84" s="193">
        <f t="shared" si="9"/>
        <v>210.109</v>
      </c>
      <c r="AJ84" s="73">
        <f t="shared" si="10"/>
        <v>-30.02335158</v>
      </c>
      <c r="AK84" s="73">
        <f t="shared" si="11"/>
        <v>174.2473934</v>
      </c>
      <c r="AL84" s="11"/>
      <c r="AM84" s="51">
        <f t="shared" si="12"/>
        <v>17690.45242</v>
      </c>
      <c r="AN84" s="51" t="str">
        <f t="array" ref="AN84">XLOOKUP(D84,RUC!$B$3:$B$565,RUC!$M$3:$M$565)</f>
        <v>Richard Sapacayo</v>
      </c>
      <c r="AO84" s="131" t="s">
        <v>561</v>
      </c>
      <c r="AP84" s="57" t="s">
        <v>1636</v>
      </c>
      <c r="AQ84" s="57" t="s">
        <v>599</v>
      </c>
    </row>
    <row r="85" ht="15.0" customHeight="1">
      <c r="A85" s="116" t="s">
        <v>1638</v>
      </c>
      <c r="B85" s="56">
        <v>45953.0</v>
      </c>
      <c r="C85" s="182">
        <v>45948.0</v>
      </c>
      <c r="D85" s="57" t="s">
        <v>306</v>
      </c>
      <c r="E85" s="3">
        <f t="array" ref="E85">XLOOKUP(D85,RUC!$B$3:$B$110,RUC!$D$3:$D$110)</f>
        <v>20612921866</v>
      </c>
      <c r="G85" s="141">
        <v>13.0</v>
      </c>
      <c r="H85" s="3" t="s">
        <v>47</v>
      </c>
      <c r="I85" s="6">
        <v>1.47</v>
      </c>
      <c r="J85" s="58">
        <v>1.2</v>
      </c>
      <c r="K85" s="6">
        <f t="shared" si="35"/>
        <v>1.452</v>
      </c>
      <c r="L85" s="3">
        <v>0.138</v>
      </c>
      <c r="M85" s="60">
        <v>0.123</v>
      </c>
      <c r="N85" s="62">
        <f t="shared" si="51"/>
        <v>0.123</v>
      </c>
      <c r="O85" s="60">
        <f t="shared" si="37"/>
        <v>0.123</v>
      </c>
      <c r="P85" s="63">
        <v>90.0</v>
      </c>
      <c r="Q85" s="58">
        <v>95.65</v>
      </c>
      <c r="R85" s="65">
        <v>4224.75</v>
      </c>
      <c r="S85" s="66">
        <f t="array" ref="S85">IF((XLOOKUP(D85,RUC!$B$3:$B$106,RUC!$E$3:$E$106)+ROUNDDOWN(O85,1)*100)&lt;95,95,((XLOOKUP(D85,RUC!$B$3:$B$106,RUC!$E$3:$E$106)+ROUNDDOWN(O85,1)*100)))</f>
        <v>95</v>
      </c>
      <c r="U85" s="67">
        <f t="array" ref="U85">XLOOKUP(D85,RUC!$B$3:$B$110,RUC!$F$3:$F$110)</f>
        <v>100</v>
      </c>
      <c r="V85" s="67">
        <v>1.1023</v>
      </c>
      <c r="Y85" s="57" t="str">
        <f t="array" ref="Y85">XLOOKUP(D85,RUC!$B$3:$B$110,RUC!$G$3:$G$110)</f>
        <v/>
      </c>
      <c r="Z85" s="69">
        <f t="array" ref="Z85">XLOOKUP(D85,RUC!$B$3:$B$110,RUC!$H$3:$H$110)</f>
        <v>30</v>
      </c>
      <c r="AA85" s="70">
        <f t="shared" si="38"/>
        <v>30</v>
      </c>
      <c r="AB85" s="71">
        <f t="shared" si="39"/>
        <v>365.5335101</v>
      </c>
      <c r="AC85" s="71">
        <f>+(S85-T85)*V85-'data 1'!$F$4</f>
        <v>24.7185</v>
      </c>
      <c r="AD85" s="71">
        <f t="shared" si="5"/>
        <v>35.45071288</v>
      </c>
      <c r="AE85" s="71">
        <f t="shared" si="6"/>
        <v>-36.931</v>
      </c>
      <c r="AF85" s="71">
        <f t="shared" si="7"/>
        <v>65.23394934</v>
      </c>
      <c r="AG85" s="72">
        <f t="shared" ref="AG85:AG86" si="52">AC85+AD85+AE85+AF85+70-10</f>
        <v>148.4721622</v>
      </c>
      <c r="AH85" s="193">
        <f t="shared" si="8"/>
        <v>6.571</v>
      </c>
      <c r="AI85" s="193">
        <f t="shared" si="9"/>
        <v>6.87</v>
      </c>
      <c r="AJ85" s="73">
        <f t="shared" si="10"/>
        <v>-25.42617622</v>
      </c>
      <c r="AK85" s="73">
        <f t="shared" si="11"/>
        <v>5.510909848</v>
      </c>
      <c r="AL85" s="11"/>
      <c r="AM85" s="51">
        <f t="shared" si="12"/>
        <v>530.7546567</v>
      </c>
      <c r="AN85" s="51" t="str">
        <f t="array" ref="AN85">XLOOKUP(D85,RUC!$B$3:$B$565,RUC!$M$3:$M$565)</f>
        <v>Ronald Garibay</v>
      </c>
      <c r="AO85" s="131" t="s">
        <v>561</v>
      </c>
      <c r="AP85" s="57" t="s">
        <v>1639</v>
      </c>
      <c r="AQ85" s="57" t="s">
        <v>1640</v>
      </c>
    </row>
    <row r="86" ht="15.0" customHeight="1">
      <c r="A86" s="116" t="s">
        <v>1641</v>
      </c>
      <c r="B86" s="56">
        <v>45953.0</v>
      </c>
      <c r="C86" s="182">
        <v>45948.0</v>
      </c>
      <c r="D86" s="57" t="s">
        <v>306</v>
      </c>
      <c r="E86" s="3">
        <f t="array" ref="E86">XLOOKUP(D86,RUC!$B$3:$B$110,RUC!$D$3:$D$110)</f>
        <v>20612921866</v>
      </c>
      <c r="G86" s="141">
        <v>14.0</v>
      </c>
      <c r="H86" s="3" t="s">
        <v>71</v>
      </c>
      <c r="I86" s="6">
        <v>1.78</v>
      </c>
      <c r="J86" s="58">
        <v>1.3</v>
      </c>
      <c r="K86" s="6">
        <f t="shared" si="35"/>
        <v>1.757</v>
      </c>
      <c r="L86" s="3">
        <v>0.179</v>
      </c>
      <c r="M86" s="60">
        <v>0.164</v>
      </c>
      <c r="N86" s="62">
        <f t="shared" si="51"/>
        <v>0.164</v>
      </c>
      <c r="O86" s="60">
        <f t="shared" si="37"/>
        <v>0.164</v>
      </c>
      <c r="P86" s="63">
        <v>90.0</v>
      </c>
      <c r="Q86" s="58">
        <v>96.65</v>
      </c>
      <c r="R86" s="65">
        <v>4224.75</v>
      </c>
      <c r="S86" s="66">
        <f t="array" ref="S86">IF((XLOOKUP(D86,RUC!$B$3:$B$106,RUC!$E$3:$E$106)+ROUNDDOWN(O86,1)*100)&lt;95,95,((XLOOKUP(D86,RUC!$B$3:$B$106,RUC!$E$3:$E$106)+ROUNDDOWN(O86,1)*100)))</f>
        <v>95</v>
      </c>
      <c r="U86" s="67">
        <f t="array" ref="U86">XLOOKUP(D86,RUC!$B$3:$B$110,RUC!$F$3:$F$110)</f>
        <v>100</v>
      </c>
      <c r="V86" s="67">
        <v>1.1023</v>
      </c>
      <c r="Y86" s="57" t="str">
        <f t="array" ref="Y86">XLOOKUP(D86,RUC!$B$3:$B$110,RUC!$G$3:$G$110)</f>
        <v/>
      </c>
      <c r="Z86" s="69">
        <f t="array" ref="Z86">XLOOKUP(D86,RUC!$B$3:$B$110,RUC!$H$3:$H$110)</f>
        <v>30</v>
      </c>
      <c r="AA86" s="70">
        <f t="shared" si="38"/>
        <v>30</v>
      </c>
      <c r="AB86" s="71">
        <f t="shared" si="39"/>
        <v>533.3071801</v>
      </c>
      <c r="AC86" s="71">
        <f>+(S86-T86)*V86-'data 1'!$F$4</f>
        <v>24.7185</v>
      </c>
      <c r="AD86" s="71">
        <f t="shared" si="5"/>
        <v>54.1217854</v>
      </c>
      <c r="AE86" s="71">
        <f t="shared" si="6"/>
        <v>-36.931</v>
      </c>
      <c r="AF86" s="71">
        <f t="shared" si="7"/>
        <v>65.91595613</v>
      </c>
      <c r="AG86" s="72">
        <f t="shared" si="52"/>
        <v>167.8252415</v>
      </c>
      <c r="AH86" s="193">
        <f t="shared" si="8"/>
        <v>10.422</v>
      </c>
      <c r="AI86" s="193">
        <f t="shared" si="9"/>
        <v>10.783</v>
      </c>
      <c r="AJ86" s="73">
        <f t="shared" si="10"/>
        <v>-33.32513222</v>
      </c>
      <c r="AK86" s="73">
        <f t="shared" si="11"/>
        <v>8.891339396</v>
      </c>
      <c r="AL86" s="11"/>
      <c r="AM86" s="51">
        <f t="shared" si="12"/>
        <v>937.0207155</v>
      </c>
      <c r="AN86" s="51" t="str">
        <f t="array" ref="AN86">XLOOKUP(D86,RUC!$B$3:$B$565,RUC!$M$3:$M$565)</f>
        <v>Ronald Garibay</v>
      </c>
      <c r="AO86" s="131" t="s">
        <v>561</v>
      </c>
      <c r="AP86" s="57" t="s">
        <v>1639</v>
      </c>
      <c r="AQ86" s="57" t="s">
        <v>1640</v>
      </c>
    </row>
    <row r="87" ht="15.0" customHeight="1">
      <c r="A87" s="116" t="s">
        <v>1642</v>
      </c>
      <c r="B87" s="56">
        <v>45954.0</v>
      </c>
      <c r="C87" s="182">
        <v>45949.0</v>
      </c>
      <c r="D87" s="57" t="s">
        <v>74</v>
      </c>
      <c r="E87" s="3">
        <f t="array" ref="E87">XLOOKUP(D87,RUC!$B$3:$B$110,RUC!$D$3:$D$110)</f>
        <v>10082235774</v>
      </c>
      <c r="G87" s="141">
        <v>44.0</v>
      </c>
      <c r="H87" s="3" t="s">
        <v>47</v>
      </c>
      <c r="I87" s="6">
        <v>4.03</v>
      </c>
      <c r="J87" s="58">
        <v>1.3</v>
      </c>
      <c r="K87" s="6">
        <f t="shared" si="35"/>
        <v>3.978</v>
      </c>
      <c r="L87" s="3">
        <v>0.152</v>
      </c>
      <c r="M87" s="60">
        <v>0.145</v>
      </c>
      <c r="N87" s="62">
        <f t="shared" si="51"/>
        <v>0.145</v>
      </c>
      <c r="O87" s="60">
        <f t="shared" si="37"/>
        <v>0.145</v>
      </c>
      <c r="P87" s="63">
        <v>85.0</v>
      </c>
      <c r="Q87" s="58">
        <v>97.37</v>
      </c>
      <c r="R87" s="65">
        <v>4294.35</v>
      </c>
      <c r="S87" s="133">
        <f t="array" ref="S87">IF((XLOOKUP(D87,RUC!$B$3:$B$106,RUC!$E$3:$E$106)+ROUNDDOWN(O87,1)*100)&lt;95,95,((XLOOKUP(D87,RUC!$B$3:$B$106,RUC!$E$3:$E$106)+ROUNDDOWN(O87,1)*100)))</f>
        <v>95</v>
      </c>
      <c r="U87" s="67">
        <f t="array" ref="U87">XLOOKUP(D87,RUC!$B$3:$B$110,RUC!$F$3:$F$110)</f>
        <v>80</v>
      </c>
      <c r="V87" s="67">
        <v>1.1023</v>
      </c>
      <c r="Y87" s="57" t="str">
        <f t="array" ref="Y87">XLOOKUP(D87,RUC!$B$3:$B$110,RUC!$G$3:$G$110)</f>
        <v/>
      </c>
      <c r="Z87" s="69">
        <f t="array" ref="Z87">XLOOKUP(D87,RUC!$B$3:$B$110,RUC!$H$3:$H$110)</f>
        <v>10</v>
      </c>
      <c r="AA87" s="70">
        <f t="shared" si="38"/>
        <v>10</v>
      </c>
      <c r="AB87" s="71">
        <f t="shared" si="39"/>
        <v>456.8136641</v>
      </c>
      <c r="AC87" s="71">
        <f>+(S87-T87)*V87-'data 1'!$F$4</f>
        <v>24.7185</v>
      </c>
      <c r="AD87" s="71">
        <f t="shared" si="5"/>
        <v>87.34613564</v>
      </c>
      <c r="AE87" s="71">
        <f t="shared" si="6"/>
        <v>-58.977</v>
      </c>
      <c r="AF87" s="71">
        <f t="shared" si="7"/>
        <v>31.66311353</v>
      </c>
      <c r="AG87" s="72">
        <f t="shared" ref="AG87:AG92" si="53">AC87+AD87+AE87+AF87+70</f>
        <v>154.7507492</v>
      </c>
      <c r="AH87" s="193">
        <f t="shared" si="8"/>
        <v>20.186</v>
      </c>
      <c r="AI87" s="193">
        <f t="shared" si="9"/>
        <v>20.731</v>
      </c>
      <c r="AJ87" s="73">
        <f t="shared" si="10"/>
        <v>-43.12686408</v>
      </c>
      <c r="AK87" s="73">
        <f t="shared" si="11"/>
        <v>16.80973148</v>
      </c>
      <c r="AL87" s="11"/>
      <c r="AM87" s="51">
        <f t="shared" si="12"/>
        <v>1817.204756</v>
      </c>
      <c r="AN87" s="51" t="str">
        <f t="array" ref="AN87">XLOOKUP(D87,RUC!$B$3:$B$565,RUC!$M$3:$M$565)</f>
        <v>Melchor Vera</v>
      </c>
      <c r="AO87" s="131" t="s">
        <v>549</v>
      </c>
      <c r="AP87" s="57" t="s">
        <v>1643</v>
      </c>
      <c r="AQ87" s="57" t="s">
        <v>1644</v>
      </c>
    </row>
    <row r="88" ht="15.0" customHeight="1">
      <c r="A88" s="116" t="s">
        <v>1645</v>
      </c>
      <c r="B88" s="56">
        <v>45954.0</v>
      </c>
      <c r="C88" s="182">
        <v>45949.0</v>
      </c>
      <c r="D88" s="57" t="s">
        <v>74</v>
      </c>
      <c r="E88" s="3">
        <f t="array" ref="E88">XLOOKUP(D88,RUC!$B$3:$B$110,RUC!$D$3:$D$110)</f>
        <v>10082235774</v>
      </c>
      <c r="G88" s="141">
        <v>44.0</v>
      </c>
      <c r="H88" s="3" t="s">
        <v>47</v>
      </c>
      <c r="I88" s="6">
        <v>3.78</v>
      </c>
      <c r="J88" s="58">
        <v>1.25</v>
      </c>
      <c r="K88" s="6">
        <f t="shared" si="35"/>
        <v>3.733</v>
      </c>
      <c r="L88" s="3">
        <v>0.109</v>
      </c>
      <c r="M88" s="60">
        <v>0.102</v>
      </c>
      <c r="N88" s="62">
        <f t="shared" si="51"/>
        <v>0.102</v>
      </c>
      <c r="O88" s="60">
        <f t="shared" si="37"/>
        <v>0.102</v>
      </c>
      <c r="P88" s="63">
        <v>85.0</v>
      </c>
      <c r="Q88" s="58">
        <v>94.5</v>
      </c>
      <c r="R88" s="65">
        <v>4294.35</v>
      </c>
      <c r="S88" s="133">
        <f t="array" ref="S88">IF((XLOOKUP(D88,RUC!$B$3:$B$106,RUC!$E$3:$E$106)+ROUNDDOWN(O88,1)*100)&lt;95,95,((XLOOKUP(D88,RUC!$B$3:$B$106,RUC!$E$3:$E$106)+ROUNDDOWN(O88,1)*100)))</f>
        <v>95</v>
      </c>
      <c r="U88" s="67">
        <f t="array" ref="U88">XLOOKUP(D88,RUC!$B$3:$B$110,RUC!$F$3:$F$110)</f>
        <v>80</v>
      </c>
      <c r="V88" s="67">
        <v>1.1023</v>
      </c>
      <c r="Y88" s="57" t="str">
        <f t="array" ref="Y88">XLOOKUP(D88,RUC!$B$3:$B$110,RUC!$G$3:$G$110)</f>
        <v/>
      </c>
      <c r="Z88" s="69">
        <f t="array" ref="Z88">XLOOKUP(D88,RUC!$B$3:$B$110,RUC!$H$3:$H$110)</f>
        <v>10</v>
      </c>
      <c r="AA88" s="70">
        <f t="shared" si="38"/>
        <v>10</v>
      </c>
      <c r="AB88" s="71">
        <f t="shared" si="39"/>
        <v>287.021443</v>
      </c>
      <c r="AC88" s="71">
        <f>+(S88-T88)*V88-'data 1'!$F$4</f>
        <v>24.7185</v>
      </c>
      <c r="AD88" s="71">
        <f t="shared" si="5"/>
        <v>48.10392474</v>
      </c>
      <c r="AE88" s="71">
        <f t="shared" si="6"/>
        <v>-58.977</v>
      </c>
      <c r="AF88" s="71">
        <f t="shared" si="7"/>
        <v>30.729837</v>
      </c>
      <c r="AG88" s="72">
        <f t="shared" si="53"/>
        <v>114.5752617</v>
      </c>
      <c r="AH88" s="193">
        <f t="shared" si="8"/>
        <v>13.183</v>
      </c>
      <c r="AI88" s="193">
        <f t="shared" si="9"/>
        <v>13.951</v>
      </c>
      <c r="AJ88" s="73">
        <f t="shared" si="10"/>
        <v>-30.01493648</v>
      </c>
      <c r="AK88" s="73">
        <f t="shared" si="11"/>
        <v>11.09650356</v>
      </c>
      <c r="AL88" s="11"/>
      <c r="AM88" s="51">
        <f t="shared" si="12"/>
        <v>1071.451047</v>
      </c>
      <c r="AN88" s="51" t="str">
        <f t="array" ref="AN88">XLOOKUP(D88,RUC!$B$3:$B$565,RUC!$M$3:$M$565)</f>
        <v>Melchor Vera</v>
      </c>
      <c r="AO88" s="131" t="s">
        <v>549</v>
      </c>
      <c r="AP88" s="57" t="s">
        <v>1643</v>
      </c>
      <c r="AQ88" s="57" t="s">
        <v>1644</v>
      </c>
    </row>
    <row r="89" ht="15.0" customHeight="1">
      <c r="A89" s="116" t="s">
        <v>1646</v>
      </c>
      <c r="B89" s="56">
        <v>45954.0</v>
      </c>
      <c r="C89" s="182">
        <v>45949.0</v>
      </c>
      <c r="D89" s="57" t="s">
        <v>74</v>
      </c>
      <c r="E89" s="3">
        <f t="array" ref="E89">XLOOKUP(D89,RUC!$B$3:$B$110,RUC!$D$3:$D$110)</f>
        <v>10082235774</v>
      </c>
      <c r="G89" s="141">
        <v>49.0</v>
      </c>
      <c r="H89" s="3" t="s">
        <v>47</v>
      </c>
      <c r="I89" s="6">
        <v>4.28</v>
      </c>
      <c r="J89" s="58">
        <v>1.2</v>
      </c>
      <c r="K89" s="6">
        <f t="shared" si="35"/>
        <v>4.229</v>
      </c>
      <c r="L89" s="3">
        <v>0.127</v>
      </c>
      <c r="M89" s="60">
        <v>0.12</v>
      </c>
      <c r="N89" s="62">
        <f t="shared" si="51"/>
        <v>0.12</v>
      </c>
      <c r="O89" s="60">
        <f t="shared" si="37"/>
        <v>0.12</v>
      </c>
      <c r="P89" s="63">
        <v>85.0</v>
      </c>
      <c r="Q89" s="58">
        <v>96.85</v>
      </c>
      <c r="R89" s="65">
        <v>4294.35</v>
      </c>
      <c r="S89" s="133">
        <f t="array" ref="S89">IF((XLOOKUP(D89,RUC!$B$3:$B$106,RUC!$E$3:$E$106)+ROUNDDOWN(O89,1)*100)&lt;95,95,((XLOOKUP(D89,RUC!$B$3:$B$106,RUC!$E$3:$E$106)+ROUNDDOWN(O89,1)*100)))</f>
        <v>95</v>
      </c>
      <c r="U89" s="67">
        <f t="array" ref="U89">XLOOKUP(D89,RUC!$B$3:$B$110,RUC!$F$3:$F$110)</f>
        <v>80</v>
      </c>
      <c r="V89" s="67">
        <v>1.1023</v>
      </c>
      <c r="Y89" s="57" t="str">
        <f t="array" ref="Y89">XLOOKUP(D89,RUC!$B$3:$B$110,RUC!$G$3:$G$110)</f>
        <v/>
      </c>
      <c r="Z89" s="69">
        <f t="array" ref="Z89">XLOOKUP(D89,RUC!$B$3:$B$110,RUC!$H$3:$H$110)</f>
        <v>10</v>
      </c>
      <c r="AA89" s="70">
        <f t="shared" si="38"/>
        <v>10</v>
      </c>
      <c r="AB89" s="71">
        <f t="shared" si="39"/>
        <v>358.0972565</v>
      </c>
      <c r="AC89" s="71">
        <f>+(S89-T89)*V89-'data 1'!$F$4</f>
        <v>24.7185</v>
      </c>
      <c r="AD89" s="71">
        <f t="shared" si="5"/>
        <v>69.91212124</v>
      </c>
      <c r="AE89" s="71">
        <f t="shared" si="6"/>
        <v>-58.977</v>
      </c>
      <c r="AF89" s="71">
        <f t="shared" si="7"/>
        <v>31.49401813</v>
      </c>
      <c r="AG89" s="72">
        <f t="shared" si="53"/>
        <v>137.1476394</v>
      </c>
      <c r="AH89" s="193">
        <f t="shared" si="8"/>
        <v>17.834</v>
      </c>
      <c r="AI89" s="193">
        <f t="shared" si="9"/>
        <v>18.414</v>
      </c>
      <c r="AJ89" s="73">
        <f t="shared" si="10"/>
        <v>-35.84119392</v>
      </c>
      <c r="AK89" s="73">
        <f t="shared" si="11"/>
        <v>14.78927642</v>
      </c>
      <c r="AL89" s="11"/>
      <c r="AM89" s="51">
        <f t="shared" si="12"/>
        <v>1514.393298</v>
      </c>
      <c r="AN89" s="51" t="str">
        <f t="array" ref="AN89">XLOOKUP(D89,RUC!$B$3:$B$565,RUC!$M$3:$M$565)</f>
        <v>Melchor Vera</v>
      </c>
      <c r="AO89" s="131" t="s">
        <v>549</v>
      </c>
      <c r="AP89" s="57" t="s">
        <v>1643</v>
      </c>
      <c r="AQ89" s="57" t="s">
        <v>1644</v>
      </c>
    </row>
    <row r="90" ht="15.0" customHeight="1">
      <c r="A90" s="116" t="s">
        <v>1647</v>
      </c>
      <c r="B90" s="56">
        <v>45954.0</v>
      </c>
      <c r="C90" s="182">
        <v>45949.0</v>
      </c>
      <c r="D90" s="57" t="s">
        <v>74</v>
      </c>
      <c r="E90" s="3">
        <f t="array" ref="E90">XLOOKUP(D90,RUC!$B$3:$B$110,RUC!$D$3:$D$110)</f>
        <v>10082235774</v>
      </c>
      <c r="G90" s="141">
        <v>37.0</v>
      </c>
      <c r="H90" s="3" t="s">
        <v>47</v>
      </c>
      <c r="I90" s="6">
        <v>3.33</v>
      </c>
      <c r="J90" s="58">
        <v>1.5</v>
      </c>
      <c r="K90" s="6">
        <f t="shared" si="35"/>
        <v>3.28</v>
      </c>
      <c r="L90" s="3">
        <v>0.266</v>
      </c>
      <c r="M90" s="60">
        <v>0.259</v>
      </c>
      <c r="N90" s="62">
        <f t="shared" si="51"/>
        <v>0.259</v>
      </c>
      <c r="O90" s="60">
        <f t="shared" si="37"/>
        <v>0.259</v>
      </c>
      <c r="P90" s="63">
        <v>90.0</v>
      </c>
      <c r="Q90" s="58">
        <v>95.11</v>
      </c>
      <c r="R90" s="65">
        <v>4294.35</v>
      </c>
      <c r="S90" s="133">
        <v>105.0</v>
      </c>
      <c r="U90" s="67">
        <f t="array" ref="U90">XLOOKUP(D90,RUC!$B$3:$B$110,RUC!$F$3:$F$110)</f>
        <v>80</v>
      </c>
      <c r="V90" s="67">
        <v>1.1023</v>
      </c>
      <c r="Y90" s="57" t="str">
        <f t="array" ref="Y90">XLOOKUP(D90,RUC!$B$3:$B$110,RUC!$G$3:$G$110)</f>
        <v/>
      </c>
      <c r="Z90" s="69">
        <f t="array" ref="Z90">XLOOKUP(D90,RUC!$B$3:$B$110,RUC!$H$3:$H$110)</f>
        <v>10</v>
      </c>
      <c r="AA90" s="70">
        <f t="shared" si="38"/>
        <v>10</v>
      </c>
      <c r="AB90" s="71">
        <f t="shared" si="39"/>
        <v>956.096423</v>
      </c>
      <c r="AC90" s="71">
        <f>+(S90-T90)*V90-'data 1'!$F$4</f>
        <v>35.7415</v>
      </c>
      <c r="AD90" s="71">
        <f t="shared" si="5"/>
        <v>63.14412433</v>
      </c>
      <c r="AE90" s="71">
        <f t="shared" si="6"/>
        <v>-58.977</v>
      </c>
      <c r="AF90" s="71">
        <f t="shared" si="7"/>
        <v>30.92819891</v>
      </c>
      <c r="AG90" s="72">
        <f t="shared" si="53"/>
        <v>140.8368232</v>
      </c>
      <c r="AH90" s="193">
        <f t="shared" si="8"/>
        <v>28.451</v>
      </c>
      <c r="AI90" s="193">
        <f t="shared" si="9"/>
        <v>29.913</v>
      </c>
      <c r="AJ90" s="73">
        <f t="shared" si="10"/>
        <v>-73.72027396</v>
      </c>
      <c r="AK90" s="73">
        <f t="shared" si="11"/>
        <v>26.21351057</v>
      </c>
      <c r="AL90" s="11"/>
      <c r="AM90" s="51">
        <f t="shared" si="12"/>
        <v>3135.996267</v>
      </c>
      <c r="AN90" s="51" t="str">
        <f t="array" ref="AN90">XLOOKUP(D90,RUC!$B$3:$B$565,RUC!$M$3:$M$565)</f>
        <v>Melchor Vera</v>
      </c>
      <c r="AO90" s="131" t="s">
        <v>549</v>
      </c>
      <c r="AP90" s="57" t="s">
        <v>1643</v>
      </c>
      <c r="AQ90" s="57" t="s">
        <v>1644</v>
      </c>
    </row>
    <row r="91" ht="15.0" customHeight="1">
      <c r="A91" s="116" t="s">
        <v>1648</v>
      </c>
      <c r="B91" s="56">
        <v>45954.0</v>
      </c>
      <c r="C91" s="182">
        <v>45949.0</v>
      </c>
      <c r="D91" s="57" t="s">
        <v>74</v>
      </c>
      <c r="E91" s="3">
        <f t="array" ref="E91">XLOOKUP(D91,RUC!$B$3:$B$110,RUC!$D$3:$D$110)</f>
        <v>10082235774</v>
      </c>
      <c r="G91" s="141">
        <v>41.0</v>
      </c>
      <c r="H91" s="3" t="s">
        <v>47</v>
      </c>
      <c r="I91" s="6">
        <v>4.02</v>
      </c>
      <c r="J91" s="58">
        <v>1.1</v>
      </c>
      <c r="K91" s="6">
        <f t="shared" si="35"/>
        <v>3.976</v>
      </c>
      <c r="L91" s="3">
        <v>0.131</v>
      </c>
      <c r="M91" s="60">
        <v>0.124</v>
      </c>
      <c r="N91" s="62">
        <f t="shared" si="51"/>
        <v>0.124</v>
      </c>
      <c r="O91" s="60">
        <f t="shared" si="37"/>
        <v>0.124</v>
      </c>
      <c r="P91" s="63">
        <v>85.0</v>
      </c>
      <c r="Q91" s="58">
        <v>90.84</v>
      </c>
      <c r="R91" s="65">
        <v>4294.35</v>
      </c>
      <c r="S91" s="133">
        <f t="array" ref="S91">IF((XLOOKUP(D91,RUC!$B$3:$B$106,RUC!$E$3:$E$106)+ROUNDDOWN(O91,1)*100)&lt;95,95,((XLOOKUP(D91,RUC!$B$3:$B$106,RUC!$E$3:$E$106)+ROUNDDOWN(O91,1)*100)))</f>
        <v>95</v>
      </c>
      <c r="U91" s="67">
        <f t="array" ref="U91">XLOOKUP(D91,RUC!$B$3:$B$110,RUC!$F$3:$F$110)</f>
        <v>80</v>
      </c>
      <c r="V91" s="67">
        <v>1.1023</v>
      </c>
      <c r="Y91" s="57" t="str">
        <f t="array" ref="Y91">XLOOKUP(D91,RUC!$B$3:$B$110,RUC!$G$3:$G$110)</f>
        <v/>
      </c>
      <c r="Z91" s="69">
        <f t="array" ref="Z91">XLOOKUP(D91,RUC!$B$3:$B$110,RUC!$H$3:$H$110)</f>
        <v>10</v>
      </c>
      <c r="AA91" s="70">
        <f t="shared" si="38"/>
        <v>10</v>
      </c>
      <c r="AB91" s="71">
        <f t="shared" si="39"/>
        <v>373.8918817</v>
      </c>
      <c r="AC91" s="71">
        <f>+(S91-T91)*V91-'data 1'!$F$4</f>
        <v>24.7185</v>
      </c>
      <c r="AD91" s="71">
        <f t="shared" si="5"/>
        <v>35.53976493</v>
      </c>
      <c r="AE91" s="71">
        <f t="shared" si="6"/>
        <v>-58.977</v>
      </c>
      <c r="AF91" s="71">
        <f t="shared" si="7"/>
        <v>29.53966554</v>
      </c>
      <c r="AG91" s="72">
        <f t="shared" si="53"/>
        <v>100.8209305</v>
      </c>
      <c r="AH91" s="193">
        <f t="shared" si="8"/>
        <v>16.222</v>
      </c>
      <c r="AI91" s="193">
        <f t="shared" si="9"/>
        <v>17.858</v>
      </c>
      <c r="AJ91" s="73">
        <f t="shared" si="10"/>
        <v>-34.67588415</v>
      </c>
      <c r="AK91" s="73">
        <f t="shared" si="11"/>
        <v>14.36799128</v>
      </c>
      <c r="AL91" s="11"/>
      <c r="AM91" s="51">
        <f t="shared" si="12"/>
        <v>1486.594122</v>
      </c>
      <c r="AN91" s="51" t="str">
        <f t="array" ref="AN91">XLOOKUP(D91,RUC!$B$3:$B$565,RUC!$M$3:$M$565)</f>
        <v>Melchor Vera</v>
      </c>
      <c r="AO91" s="131" t="s">
        <v>549</v>
      </c>
      <c r="AP91" s="57" t="s">
        <v>1643</v>
      </c>
      <c r="AQ91" s="57" t="s">
        <v>1644</v>
      </c>
    </row>
    <row r="92" ht="15.0" customHeight="1">
      <c r="A92" s="116" t="s">
        <v>1649</v>
      </c>
      <c r="B92" s="56">
        <v>45954.0</v>
      </c>
      <c r="C92" s="182">
        <v>45949.0</v>
      </c>
      <c r="D92" s="57" t="s">
        <v>74</v>
      </c>
      <c r="E92" s="3">
        <f t="array" ref="E92">XLOOKUP(D92,RUC!$B$3:$B$110,RUC!$D$3:$D$110)</f>
        <v>10082235774</v>
      </c>
      <c r="G92" s="141">
        <v>48.0</v>
      </c>
      <c r="H92" s="3" t="s">
        <v>47</v>
      </c>
      <c r="I92" s="6">
        <v>4.44</v>
      </c>
      <c r="J92" s="58">
        <v>1.35</v>
      </c>
      <c r="K92" s="6">
        <f t="shared" si="35"/>
        <v>4.38</v>
      </c>
      <c r="L92" s="3">
        <v>0.208</v>
      </c>
      <c r="M92" s="3">
        <v>0.201</v>
      </c>
      <c r="N92" s="62">
        <f t="shared" si="51"/>
        <v>0.201</v>
      </c>
      <c r="O92" s="60">
        <f t="shared" si="37"/>
        <v>0.201</v>
      </c>
      <c r="P92" s="63">
        <v>85.0</v>
      </c>
      <c r="Q92" s="57">
        <v>94.23</v>
      </c>
      <c r="R92" s="65">
        <v>4294.35</v>
      </c>
      <c r="S92" s="133">
        <v>105.0</v>
      </c>
      <c r="U92" s="67">
        <f t="array" ref="U92">XLOOKUP(D92,RUC!$B$3:$B$110,RUC!$F$3:$F$110)</f>
        <v>80</v>
      </c>
      <c r="V92" s="67">
        <v>1.1023</v>
      </c>
      <c r="Y92" s="57" t="str">
        <f t="array" ref="Y92">XLOOKUP(D92,RUC!$B$3:$B$110,RUC!$G$3:$G$110)</f>
        <v/>
      </c>
      <c r="Z92" s="69">
        <f t="array" ref="Z92">XLOOKUP(D92,RUC!$B$3:$B$110,RUC!$H$3:$H$110)</f>
        <v>10</v>
      </c>
      <c r="AA92" s="70">
        <f t="shared" si="38"/>
        <v>10</v>
      </c>
      <c r="AB92" s="71">
        <f t="shared" si="39"/>
        <v>666.9154172</v>
      </c>
      <c r="AC92" s="71">
        <f>+(S92-T92)*V92-'data 1'!$F$4</f>
        <v>35.7415</v>
      </c>
      <c r="AD92" s="71">
        <f t="shared" si="5"/>
        <v>89.18574493</v>
      </c>
      <c r="AE92" s="71">
        <f t="shared" si="6"/>
        <v>-58.977</v>
      </c>
      <c r="AF92" s="71">
        <f t="shared" si="7"/>
        <v>30.64203747</v>
      </c>
      <c r="AG92" s="72">
        <f t="shared" si="53"/>
        <v>166.5922824</v>
      </c>
      <c r="AH92" s="193">
        <f t="shared" si="8"/>
        <v>29.433</v>
      </c>
      <c r="AI92" s="193">
        <f t="shared" si="9"/>
        <v>31.235</v>
      </c>
      <c r="AJ92" s="73">
        <f t="shared" si="10"/>
        <v>-57.11256275</v>
      </c>
      <c r="AK92" s="73">
        <f t="shared" si="11"/>
        <v>25.65654444</v>
      </c>
      <c r="AL92" s="11"/>
      <c r="AM92" s="51">
        <f t="shared" si="12"/>
        <v>2921.089527</v>
      </c>
      <c r="AN92" s="51" t="str">
        <f t="array" ref="AN92">XLOOKUP(D92,RUC!$B$3:$B$565,RUC!$M$3:$M$565)</f>
        <v>Melchor Vera</v>
      </c>
      <c r="AO92" s="131" t="s">
        <v>549</v>
      </c>
      <c r="AP92" s="57" t="s">
        <v>1643</v>
      </c>
      <c r="AQ92" s="57" t="s">
        <v>1644</v>
      </c>
    </row>
    <row r="93" ht="15.0" customHeight="1">
      <c r="A93" s="116" t="s">
        <v>1650</v>
      </c>
      <c r="B93" s="56">
        <v>45957.0</v>
      </c>
      <c r="C93" s="182">
        <v>45950.0</v>
      </c>
      <c r="D93" s="57" t="s">
        <v>602</v>
      </c>
      <c r="E93" s="3">
        <f t="array" ref="E93">XLOOKUP(D93,RUC!$B$3:$B$110,RUC!$D$3:$D$110)</f>
        <v>20169040231</v>
      </c>
      <c r="G93" s="141">
        <v>22.0</v>
      </c>
      <c r="H93" s="3" t="s">
        <v>47</v>
      </c>
      <c r="I93" s="6">
        <v>2.06</v>
      </c>
      <c r="J93" s="58">
        <v>1.26</v>
      </c>
      <c r="K93" s="6">
        <f t="shared" si="35"/>
        <v>2.034</v>
      </c>
      <c r="L93" s="3">
        <v>0.304</v>
      </c>
      <c r="M93" s="3">
        <v>0.289</v>
      </c>
      <c r="N93" s="62">
        <f t="shared" si="51"/>
        <v>0.289</v>
      </c>
      <c r="O93" s="60">
        <f t="shared" si="37"/>
        <v>0.289</v>
      </c>
      <c r="P93" s="63">
        <v>87.0</v>
      </c>
      <c r="Q93" s="58">
        <v>87.17</v>
      </c>
      <c r="R93" s="65">
        <v>4294.35</v>
      </c>
      <c r="S93" s="66">
        <f t="array" ref="S93">IF((XLOOKUP(D93,RUC!$B$3:$B$106,RUC!$E$3:$E$106)+ROUNDDOWN(O93,1)*100)&lt;95,95,((XLOOKUP(D93,RUC!$B$3:$B$106,RUC!$E$3:$E$106)+ROUNDDOWN(O93,1)*100)))</f>
        <v>105</v>
      </c>
      <c r="U93" s="67">
        <f t="array" ref="U93">XLOOKUP(D93,RUC!$B$3:$B$110,RUC!$F$3:$F$110)</f>
        <v>120</v>
      </c>
      <c r="V93" s="67">
        <v>1.1023</v>
      </c>
      <c r="Y93" s="57">
        <f t="array" ref="Y93">XLOOKUP(D93,RUC!$B$3:$B$110,RUC!$G$3:$G$110)</f>
        <v>20</v>
      </c>
      <c r="Z93" s="140">
        <v>35.0</v>
      </c>
      <c r="AA93" s="70">
        <f t="shared" si="38"/>
        <v>55</v>
      </c>
      <c r="AB93" s="71">
        <f t="shared" si="39"/>
        <v>980.5584832</v>
      </c>
      <c r="AC93" s="71">
        <f>+(S93-T93)*V93-'data 1'!$F$4</f>
        <v>35.7415</v>
      </c>
      <c r="AD93" s="71">
        <f t="shared" si="5"/>
        <v>2.377996287</v>
      </c>
      <c r="AE93" s="71">
        <f t="shared" si="6"/>
        <v>-9.3735</v>
      </c>
      <c r="AF93" s="71">
        <f t="shared" si="7"/>
        <v>60.16542271</v>
      </c>
      <c r="AG93" s="72">
        <f>AC93+AD93+AE93+AF93+70-53</f>
        <v>105.911419</v>
      </c>
      <c r="AH93" s="193">
        <f t="shared" si="8"/>
        <v>18.48</v>
      </c>
      <c r="AI93" s="193">
        <f t="shared" si="9"/>
        <v>21.2</v>
      </c>
      <c r="AJ93" s="73">
        <f t="shared" si="10"/>
        <v>-65.53397496</v>
      </c>
      <c r="AK93" s="73">
        <f t="shared" si="11"/>
        <v>17.53384299</v>
      </c>
      <c r="AL93" s="11"/>
      <c r="AM93" s="51">
        <f t="shared" si="12"/>
        <v>1994.455955</v>
      </c>
      <c r="AN93" s="51" t="str">
        <f t="array" ref="AN93">XLOOKUP(D93,RUC!$B$3:$B$565,RUC!$M$3:$M$565)</f>
        <v>Ronald Miranda</v>
      </c>
      <c r="AO93" s="131" t="s">
        <v>561</v>
      </c>
      <c r="AP93" s="57" t="s">
        <v>1651</v>
      </c>
      <c r="AQ93" s="57" t="s">
        <v>1399</v>
      </c>
    </row>
    <row r="94" ht="15.0" customHeight="1">
      <c r="C94" s="3"/>
      <c r="G94" s="141"/>
      <c r="H94" s="3"/>
      <c r="R94" s="65"/>
      <c r="V94" s="67"/>
      <c r="AG94" s="91"/>
    </row>
    <row r="95" ht="15.0" customHeight="1">
      <c r="C95" s="3"/>
      <c r="G95" s="141"/>
      <c r="H95" s="3"/>
      <c r="R95" s="65"/>
      <c r="AG95" s="91"/>
    </row>
    <row r="96" ht="15.0" customHeight="1">
      <c r="C96" s="3"/>
      <c r="G96" s="141"/>
      <c r="H96" s="3"/>
      <c r="R96" s="65"/>
      <c r="AG96" s="91"/>
    </row>
    <row r="97" ht="15.0" customHeight="1">
      <c r="C97" s="3"/>
      <c r="G97" s="141"/>
      <c r="H97" s="3"/>
      <c r="R97" s="65"/>
      <c r="AG97" s="91"/>
    </row>
    <row r="98" ht="15.0" customHeight="1">
      <c r="C98" s="3"/>
      <c r="G98" s="141"/>
      <c r="H98" s="3"/>
      <c r="R98" s="65"/>
      <c r="AG98" s="91"/>
      <c r="AV98" s="67"/>
      <c r="AW98" s="67"/>
      <c r="AX98" s="67"/>
      <c r="AY98" s="67"/>
      <c r="AZ98" s="67"/>
      <c r="BA98" s="67"/>
      <c r="BB98" s="67"/>
      <c r="BC98" s="67"/>
      <c r="BD98" s="67"/>
    </row>
    <row r="99" ht="15.0" customHeight="1">
      <c r="C99" s="3"/>
      <c r="G99" s="141"/>
      <c r="H99" s="3"/>
      <c r="R99" s="65"/>
      <c r="AG99" s="91"/>
    </row>
    <row r="100" ht="15.0" customHeight="1">
      <c r="C100" s="3"/>
      <c r="G100" s="141"/>
      <c r="H100" s="3"/>
      <c r="R100" s="65"/>
      <c r="AG100" s="91"/>
    </row>
    <row r="101" ht="15.0" customHeight="1">
      <c r="C101" s="3"/>
      <c r="G101" s="141"/>
      <c r="H101" s="3"/>
      <c r="R101" s="65"/>
      <c r="AG101" s="91"/>
    </row>
    <row r="102" ht="15.0" customHeight="1">
      <c r="C102" s="3"/>
      <c r="G102" s="141"/>
      <c r="H102" s="3"/>
      <c r="R102" s="65"/>
      <c r="AG102" s="91"/>
    </row>
    <row r="103" ht="15.0" customHeight="1">
      <c r="C103" s="3"/>
      <c r="G103" s="141"/>
      <c r="H103" s="3"/>
      <c r="R103" s="65"/>
      <c r="AG103" s="91"/>
    </row>
    <row r="104" ht="15.0" customHeight="1">
      <c r="C104" s="3"/>
      <c r="G104" s="141"/>
      <c r="H104" s="3"/>
      <c r="R104" s="65"/>
      <c r="AG104" s="91"/>
    </row>
    <row r="105" ht="15.0" customHeight="1">
      <c r="C105" s="3"/>
      <c r="G105" s="141"/>
      <c r="H105" s="3"/>
      <c r="R105" s="65"/>
      <c r="AG105" s="91"/>
    </row>
    <row r="106" ht="15.0" customHeight="1">
      <c r="C106" s="3"/>
      <c r="G106" s="141"/>
      <c r="H106" s="3"/>
      <c r="R106" s="65"/>
      <c r="AG106" s="91"/>
    </row>
    <row r="107" ht="15.0" customHeight="1">
      <c r="C107" s="3"/>
      <c r="G107" s="141"/>
      <c r="H107" s="3"/>
      <c r="R107" s="65"/>
      <c r="AG107" s="91"/>
    </row>
    <row r="108" ht="15.0" customHeight="1">
      <c r="C108" s="3"/>
      <c r="G108" s="141"/>
      <c r="H108" s="3"/>
      <c r="R108" s="65"/>
      <c r="AG108" s="91"/>
    </row>
    <row r="109" ht="15.0" customHeight="1">
      <c r="C109" s="3"/>
      <c r="G109" s="141"/>
      <c r="H109" s="3"/>
      <c r="R109" s="65"/>
      <c r="AG109" s="91"/>
    </row>
    <row r="110" ht="15.0" customHeight="1">
      <c r="C110" s="3"/>
      <c r="G110" s="141"/>
      <c r="H110" s="3"/>
      <c r="R110" s="65"/>
      <c r="AG110" s="91"/>
    </row>
    <row r="111" ht="15.0" customHeight="1">
      <c r="C111" s="3"/>
      <c r="G111" s="141"/>
      <c r="H111" s="3"/>
      <c r="R111" s="65"/>
      <c r="AG111" s="91"/>
    </row>
    <row r="112" ht="15.0" customHeight="1">
      <c r="C112" s="3"/>
      <c r="G112" s="141"/>
      <c r="H112" s="3"/>
      <c r="R112" s="65"/>
      <c r="AG112" s="91"/>
    </row>
    <row r="113" ht="15.0" customHeight="1">
      <c r="C113" s="3"/>
      <c r="G113" s="141"/>
      <c r="H113" s="3"/>
      <c r="R113" s="65"/>
      <c r="AG113" s="91"/>
    </row>
    <row r="114" ht="15.0" customHeight="1">
      <c r="C114" s="3"/>
      <c r="G114" s="141"/>
      <c r="H114" s="3"/>
      <c r="R114" s="65"/>
      <c r="AG114" s="91"/>
    </row>
    <row r="115" ht="15.0" customHeight="1">
      <c r="C115" s="3"/>
      <c r="G115" s="141"/>
      <c r="H115" s="3"/>
      <c r="R115" s="65"/>
      <c r="AG115" s="91"/>
    </row>
    <row r="116" ht="15.0" customHeight="1">
      <c r="C116" s="3"/>
      <c r="G116" s="141"/>
      <c r="H116" s="3"/>
      <c r="R116" s="65"/>
      <c r="AG116" s="91"/>
    </row>
    <row r="117" ht="15.0" customHeight="1">
      <c r="C117" s="3"/>
      <c r="G117" s="141"/>
      <c r="H117" s="3"/>
      <c r="R117" s="65"/>
      <c r="AG117" s="91"/>
    </row>
    <row r="118" ht="15.0" customHeight="1">
      <c r="C118" s="3"/>
      <c r="G118" s="141"/>
      <c r="H118" s="3"/>
      <c r="R118" s="65"/>
      <c r="AG118" s="91"/>
    </row>
    <row r="119" ht="15.0" customHeight="1">
      <c r="C119" s="3"/>
      <c r="G119" s="141"/>
      <c r="H119" s="3"/>
      <c r="R119" s="65"/>
      <c r="AG119" s="91"/>
    </row>
    <row r="120" ht="15.0" customHeight="1">
      <c r="C120" s="3"/>
      <c r="G120" s="141"/>
      <c r="H120" s="3"/>
      <c r="R120" s="65"/>
      <c r="AG120" s="91"/>
    </row>
    <row r="121" ht="15.0" customHeight="1">
      <c r="C121" s="3"/>
      <c r="G121" s="141"/>
      <c r="H121" s="3"/>
      <c r="R121" s="65"/>
      <c r="AG121" s="91"/>
    </row>
    <row r="122" ht="15.0" customHeight="1">
      <c r="C122" s="3"/>
      <c r="G122" s="141"/>
      <c r="H122" s="3"/>
      <c r="R122" s="65"/>
      <c r="AG122" s="91"/>
    </row>
    <row r="123" ht="15.0" customHeight="1">
      <c r="C123" s="3"/>
      <c r="G123" s="141"/>
      <c r="H123" s="3"/>
      <c r="R123" s="65"/>
      <c r="AG123" s="91"/>
    </row>
    <row r="124" ht="15.0" customHeight="1">
      <c r="C124" s="3"/>
      <c r="G124" s="141"/>
      <c r="H124" s="3"/>
      <c r="R124" s="65"/>
      <c r="AG124" s="91"/>
    </row>
    <row r="125" ht="15.0" customHeight="1">
      <c r="C125" s="3"/>
      <c r="G125" s="141"/>
      <c r="H125" s="3"/>
      <c r="R125" s="65"/>
      <c r="AG125" s="91"/>
    </row>
    <row r="126" ht="15.0" customHeight="1">
      <c r="C126" s="3"/>
      <c r="G126" s="141"/>
      <c r="H126" s="3"/>
      <c r="R126" s="65"/>
      <c r="AG126" s="91"/>
    </row>
    <row r="127" ht="15.0" customHeight="1">
      <c r="C127" s="3"/>
      <c r="G127" s="141"/>
      <c r="H127" s="3"/>
      <c r="R127" s="65"/>
      <c r="AG127" s="91"/>
    </row>
    <row r="128" ht="15.0" customHeight="1">
      <c r="C128" s="3"/>
      <c r="G128" s="141"/>
      <c r="H128" s="3"/>
      <c r="R128" s="65"/>
      <c r="AG128" s="91"/>
    </row>
    <row r="129" ht="15.0" customHeight="1">
      <c r="C129" s="3"/>
      <c r="G129" s="141"/>
      <c r="H129" s="3"/>
      <c r="R129" s="65"/>
      <c r="AG129" s="91"/>
    </row>
    <row r="130" ht="15.0" customHeight="1">
      <c r="C130" s="3"/>
      <c r="G130" s="141"/>
      <c r="H130" s="3"/>
      <c r="R130" s="65"/>
      <c r="AG130" s="91"/>
    </row>
    <row r="131" ht="15.0" customHeight="1">
      <c r="C131" s="3"/>
      <c r="G131" s="141"/>
      <c r="H131" s="3"/>
      <c r="R131" s="65"/>
      <c r="AG131" s="91"/>
    </row>
    <row r="132" ht="15.0" customHeight="1">
      <c r="C132" s="3"/>
      <c r="G132" s="141"/>
      <c r="H132" s="3"/>
      <c r="R132" s="65"/>
      <c r="AG132" s="91"/>
    </row>
    <row r="133" ht="15.0" customHeight="1">
      <c r="C133" s="3"/>
      <c r="G133" s="141"/>
      <c r="H133" s="3"/>
      <c r="R133" s="65"/>
      <c r="AG133" s="91"/>
    </row>
    <row r="134" ht="15.0" customHeight="1">
      <c r="C134" s="3"/>
      <c r="G134" s="141"/>
      <c r="H134" s="3"/>
      <c r="R134" s="65"/>
      <c r="AG134" s="91"/>
    </row>
    <row r="135" ht="15.0" customHeight="1">
      <c r="C135" s="3"/>
      <c r="G135" s="141"/>
      <c r="H135" s="3"/>
      <c r="R135" s="65"/>
      <c r="AG135" s="91"/>
    </row>
    <row r="136" ht="15.0" customHeight="1">
      <c r="C136" s="3"/>
      <c r="G136" s="141"/>
      <c r="H136" s="3"/>
      <c r="R136" s="65"/>
      <c r="AG136" s="91"/>
    </row>
    <row r="137" ht="15.0" customHeight="1">
      <c r="C137" s="3"/>
      <c r="G137" s="141"/>
      <c r="H137" s="3"/>
      <c r="R137" s="65"/>
      <c r="AG137" s="91"/>
    </row>
    <row r="138" ht="15.0" customHeight="1">
      <c r="C138" s="3"/>
      <c r="G138" s="141"/>
      <c r="H138" s="3"/>
      <c r="R138" s="65"/>
      <c r="AG138" s="91"/>
    </row>
    <row r="139" ht="15.0" customHeight="1">
      <c r="C139" s="3"/>
      <c r="G139" s="141"/>
      <c r="H139" s="3"/>
      <c r="R139" s="65"/>
      <c r="AG139" s="91"/>
    </row>
    <row r="140" ht="15.0" customHeight="1">
      <c r="C140" s="3"/>
      <c r="G140" s="141"/>
      <c r="H140" s="3"/>
      <c r="R140" s="65"/>
      <c r="AG140" s="91"/>
    </row>
    <row r="141" ht="15.0" customHeight="1">
      <c r="C141" s="3"/>
      <c r="G141" s="141"/>
      <c r="H141" s="3"/>
      <c r="R141" s="65"/>
      <c r="AG141" s="91"/>
    </row>
    <row r="142" ht="15.0" customHeight="1">
      <c r="C142" s="3"/>
      <c r="G142" s="141"/>
      <c r="H142" s="3"/>
      <c r="R142" s="65"/>
      <c r="AG142" s="91"/>
    </row>
    <row r="143" ht="15.0" customHeight="1">
      <c r="C143" s="3"/>
      <c r="G143" s="141"/>
      <c r="H143" s="3"/>
      <c r="R143" s="65"/>
      <c r="AG143" s="91"/>
    </row>
    <row r="144" ht="15.0" customHeight="1">
      <c r="C144" s="3"/>
      <c r="G144" s="141"/>
      <c r="H144" s="3"/>
      <c r="R144" s="65"/>
      <c r="AG144" s="91"/>
    </row>
    <row r="145" ht="15.0" customHeight="1">
      <c r="C145" s="3"/>
      <c r="G145" s="141"/>
      <c r="H145" s="3"/>
      <c r="R145" s="65"/>
      <c r="AG145" s="91"/>
    </row>
    <row r="146" ht="15.0" customHeight="1">
      <c r="C146" s="3"/>
      <c r="G146" s="141"/>
      <c r="H146" s="3"/>
      <c r="R146" s="65"/>
      <c r="AG146" s="91"/>
    </row>
    <row r="147" ht="15.0" customHeight="1">
      <c r="C147" s="3"/>
      <c r="G147" s="141"/>
      <c r="H147" s="3"/>
      <c r="R147" s="65"/>
      <c r="AG147" s="91"/>
    </row>
    <row r="148" ht="15.0" customHeight="1">
      <c r="C148" s="3"/>
      <c r="G148" s="141"/>
      <c r="H148" s="3"/>
      <c r="R148" s="65"/>
      <c r="AG148" s="91"/>
    </row>
    <row r="149" ht="15.0" customHeight="1">
      <c r="C149" s="3"/>
      <c r="G149" s="141"/>
      <c r="H149" s="3"/>
      <c r="R149" s="65"/>
      <c r="AG149" s="91"/>
    </row>
    <row r="150" ht="15.0" customHeight="1">
      <c r="C150" s="3"/>
      <c r="G150" s="141"/>
      <c r="H150" s="3"/>
      <c r="R150" s="65"/>
      <c r="AG150" s="91"/>
    </row>
    <row r="151" ht="15.0" customHeight="1">
      <c r="C151" s="3"/>
      <c r="G151" s="141"/>
      <c r="H151" s="3"/>
      <c r="R151" s="65"/>
      <c r="AG151" s="91"/>
    </row>
    <row r="152" ht="15.0" customHeight="1">
      <c r="C152" s="3"/>
      <c r="G152" s="141"/>
      <c r="H152" s="3"/>
      <c r="R152" s="65"/>
      <c r="AG152" s="91"/>
    </row>
    <row r="153" ht="15.0" customHeight="1">
      <c r="C153" s="3"/>
      <c r="G153" s="141"/>
      <c r="H153" s="3"/>
      <c r="R153" s="65"/>
      <c r="AG153" s="91"/>
    </row>
    <row r="154" ht="15.0" customHeight="1">
      <c r="C154" s="3"/>
      <c r="G154" s="141"/>
      <c r="H154" s="3"/>
      <c r="R154" s="65"/>
      <c r="AG154" s="91"/>
    </row>
    <row r="155" ht="15.0" customHeight="1">
      <c r="C155" s="3"/>
      <c r="G155" s="141"/>
      <c r="H155" s="3"/>
      <c r="R155" s="65"/>
      <c r="AG155" s="91"/>
    </row>
    <row r="156" ht="15.0" customHeight="1">
      <c r="C156" s="3"/>
      <c r="G156" s="141"/>
      <c r="H156" s="3"/>
      <c r="R156" s="65"/>
      <c r="AG156" s="91"/>
    </row>
    <row r="157" ht="15.0" customHeight="1">
      <c r="C157" s="3"/>
      <c r="G157" s="141"/>
      <c r="H157" s="3"/>
      <c r="R157" s="65"/>
      <c r="AG157" s="91"/>
    </row>
    <row r="158" ht="15.0" customHeight="1">
      <c r="C158" s="3"/>
      <c r="G158" s="141"/>
      <c r="H158" s="3"/>
      <c r="R158" s="65"/>
      <c r="AG158" s="91"/>
    </row>
    <row r="159" ht="15.0" customHeight="1">
      <c r="C159" s="3"/>
      <c r="G159" s="141"/>
      <c r="H159" s="3"/>
      <c r="R159" s="65"/>
      <c r="AG159" s="91"/>
    </row>
    <row r="160" ht="15.0" customHeight="1">
      <c r="C160" s="3"/>
      <c r="G160" s="141"/>
      <c r="H160" s="3"/>
      <c r="R160" s="65"/>
      <c r="AG160" s="91"/>
    </row>
    <row r="161" ht="15.0" customHeight="1">
      <c r="C161" s="3"/>
      <c r="G161" s="141"/>
      <c r="H161" s="3"/>
      <c r="R161" s="65"/>
      <c r="AG161" s="91"/>
    </row>
    <row r="162" ht="15.0" customHeight="1">
      <c r="C162" s="3"/>
      <c r="G162" s="141"/>
      <c r="H162" s="3"/>
      <c r="R162" s="65"/>
      <c r="AG162" s="91"/>
    </row>
    <row r="163" ht="15.0" customHeight="1">
      <c r="C163" s="3"/>
      <c r="G163" s="141"/>
      <c r="H163" s="3"/>
      <c r="R163" s="65"/>
      <c r="AG163" s="91"/>
    </row>
    <row r="164" ht="15.0" customHeight="1">
      <c r="C164" s="3"/>
      <c r="G164" s="141"/>
      <c r="H164" s="3"/>
      <c r="R164" s="65"/>
      <c r="AG164" s="91"/>
    </row>
    <row r="165" ht="15.0" customHeight="1">
      <c r="C165" s="3"/>
      <c r="G165" s="141"/>
      <c r="H165" s="3"/>
      <c r="R165" s="65"/>
      <c r="AG165" s="91"/>
    </row>
    <row r="166" ht="15.0" customHeight="1">
      <c r="C166" s="3"/>
      <c r="G166" s="141"/>
      <c r="H166" s="3"/>
      <c r="R166" s="65"/>
      <c r="AG166" s="91"/>
    </row>
    <row r="167" ht="15.0" customHeight="1">
      <c r="C167" s="3"/>
      <c r="G167" s="141"/>
      <c r="H167" s="3"/>
      <c r="R167" s="65"/>
      <c r="AG167" s="91"/>
    </row>
    <row r="168" ht="15.0" customHeight="1">
      <c r="C168" s="3"/>
      <c r="G168" s="141"/>
      <c r="H168" s="3"/>
      <c r="R168" s="65"/>
      <c r="AG168" s="91"/>
    </row>
    <row r="169" ht="15.0" customHeight="1">
      <c r="C169" s="3"/>
      <c r="G169" s="141"/>
      <c r="H169" s="3"/>
      <c r="R169" s="65"/>
      <c r="AG169" s="91"/>
    </row>
    <row r="170" ht="15.0" customHeight="1">
      <c r="C170" s="3"/>
      <c r="G170" s="141"/>
      <c r="H170" s="3"/>
      <c r="R170" s="65"/>
      <c r="AG170" s="91"/>
    </row>
    <row r="171" ht="15.0" customHeight="1">
      <c r="C171" s="3"/>
      <c r="G171" s="141"/>
      <c r="H171" s="3"/>
      <c r="R171" s="65"/>
      <c r="AG171" s="91"/>
    </row>
    <row r="172" ht="15.0" customHeight="1">
      <c r="C172" s="3"/>
      <c r="G172" s="141"/>
      <c r="H172" s="3"/>
      <c r="R172" s="65"/>
      <c r="AG172" s="91"/>
    </row>
    <row r="173" ht="15.0" customHeight="1">
      <c r="C173" s="3"/>
      <c r="G173" s="141"/>
      <c r="H173" s="3"/>
      <c r="R173" s="65"/>
      <c r="AG173" s="91"/>
    </row>
    <row r="174" ht="15.0" customHeight="1">
      <c r="C174" s="3"/>
      <c r="G174" s="141"/>
      <c r="H174" s="3"/>
      <c r="R174" s="65"/>
      <c r="AG174" s="91"/>
    </row>
    <row r="175" ht="15.0" customHeight="1">
      <c r="C175" s="3"/>
      <c r="G175" s="141"/>
      <c r="H175" s="3"/>
      <c r="R175" s="65"/>
      <c r="AG175" s="91"/>
    </row>
    <row r="176" ht="15.0" customHeight="1">
      <c r="C176" s="3"/>
      <c r="G176" s="141"/>
      <c r="H176" s="3"/>
      <c r="R176" s="65"/>
      <c r="AG176" s="91"/>
    </row>
    <row r="177" ht="15.0" customHeight="1">
      <c r="C177" s="3"/>
      <c r="G177" s="141"/>
      <c r="H177" s="3"/>
      <c r="R177" s="65"/>
      <c r="AG177" s="91"/>
    </row>
    <row r="178" ht="15.0" customHeight="1">
      <c r="C178" s="3"/>
      <c r="G178" s="141"/>
      <c r="H178" s="3"/>
      <c r="R178" s="65"/>
      <c r="AG178" s="91"/>
    </row>
    <row r="179" ht="15.0" customHeight="1">
      <c r="C179" s="3"/>
      <c r="G179" s="141"/>
      <c r="H179" s="3"/>
      <c r="R179" s="65"/>
      <c r="AG179" s="91"/>
    </row>
    <row r="180" ht="15.0" customHeight="1">
      <c r="C180" s="3"/>
      <c r="G180" s="141"/>
      <c r="H180" s="3"/>
      <c r="R180" s="65"/>
      <c r="AG180" s="91"/>
    </row>
    <row r="181" ht="15.0" customHeight="1">
      <c r="C181" s="3"/>
      <c r="G181" s="141"/>
      <c r="H181" s="3"/>
      <c r="R181" s="65"/>
      <c r="AG181" s="91"/>
    </row>
    <row r="182" ht="15.0" customHeight="1">
      <c r="C182" s="3"/>
      <c r="G182" s="141"/>
      <c r="H182" s="3"/>
      <c r="R182" s="65"/>
      <c r="AG182" s="91"/>
    </row>
    <row r="183" ht="15.0" customHeight="1">
      <c r="C183" s="3"/>
      <c r="G183" s="141"/>
      <c r="H183" s="3"/>
      <c r="R183" s="65"/>
      <c r="AG183" s="91"/>
    </row>
    <row r="184" ht="15.0" customHeight="1">
      <c r="C184" s="3"/>
      <c r="G184" s="141"/>
      <c r="H184" s="3"/>
      <c r="R184" s="65"/>
      <c r="AG184" s="91"/>
    </row>
    <row r="185" ht="15.0" customHeight="1">
      <c r="C185" s="3"/>
      <c r="G185" s="141"/>
      <c r="H185" s="3"/>
      <c r="R185" s="65"/>
      <c r="AG185" s="91"/>
    </row>
    <row r="186" ht="15.0" customHeight="1">
      <c r="C186" s="3"/>
      <c r="G186" s="141"/>
      <c r="H186" s="3"/>
      <c r="R186" s="65"/>
      <c r="AG186" s="91"/>
    </row>
    <row r="187" ht="15.0" customHeight="1">
      <c r="C187" s="3"/>
      <c r="G187" s="141"/>
      <c r="H187" s="3"/>
      <c r="R187" s="65"/>
      <c r="AG187" s="91"/>
    </row>
    <row r="188" ht="15.0" customHeight="1">
      <c r="C188" s="3"/>
      <c r="G188" s="141"/>
      <c r="H188" s="3"/>
      <c r="R188" s="65"/>
      <c r="AG188" s="91"/>
    </row>
    <row r="189" ht="15.0" customHeight="1">
      <c r="C189" s="3"/>
      <c r="G189" s="141"/>
      <c r="H189" s="3"/>
      <c r="R189" s="65"/>
      <c r="AG189" s="91"/>
    </row>
    <row r="190" ht="15.0" customHeight="1">
      <c r="C190" s="3"/>
      <c r="G190" s="141"/>
      <c r="H190" s="3"/>
      <c r="R190" s="65"/>
      <c r="AG190" s="91"/>
    </row>
    <row r="191" ht="15.0" customHeight="1">
      <c r="C191" s="3"/>
      <c r="G191" s="141"/>
      <c r="H191" s="3"/>
      <c r="R191" s="65"/>
      <c r="AG191" s="91"/>
    </row>
    <row r="192" ht="15.0" customHeight="1">
      <c r="C192" s="3"/>
      <c r="G192" s="141"/>
      <c r="H192" s="3"/>
      <c r="R192" s="65"/>
      <c r="AG192" s="91"/>
    </row>
    <row r="193" ht="15.0" customHeight="1">
      <c r="C193" s="3"/>
      <c r="G193" s="141"/>
      <c r="H193" s="3"/>
      <c r="R193" s="65"/>
      <c r="AG193" s="91"/>
    </row>
    <row r="194" ht="15.0" customHeight="1">
      <c r="C194" s="3"/>
      <c r="G194" s="141"/>
      <c r="H194" s="3"/>
      <c r="R194" s="65"/>
      <c r="AG194" s="91"/>
    </row>
    <row r="195" ht="15.0" customHeight="1">
      <c r="C195" s="3"/>
      <c r="G195" s="141"/>
      <c r="H195" s="3"/>
      <c r="R195" s="65"/>
      <c r="AG195" s="91"/>
    </row>
    <row r="196" ht="15.0" customHeight="1">
      <c r="C196" s="3"/>
      <c r="G196" s="141"/>
      <c r="H196" s="3"/>
      <c r="R196" s="65"/>
      <c r="AG196" s="91"/>
    </row>
    <row r="197" ht="15.0" customHeight="1">
      <c r="C197" s="3"/>
      <c r="G197" s="141"/>
      <c r="H197" s="3"/>
      <c r="R197" s="65"/>
      <c r="AG197" s="91"/>
    </row>
    <row r="198" ht="15.0" customHeight="1">
      <c r="C198" s="3"/>
      <c r="G198" s="141"/>
      <c r="H198" s="3"/>
      <c r="R198" s="65"/>
      <c r="AG198" s="91"/>
    </row>
    <row r="199" ht="15.0" customHeight="1">
      <c r="C199" s="3"/>
      <c r="G199" s="141"/>
      <c r="H199" s="3"/>
      <c r="R199" s="65"/>
      <c r="AG199" s="91"/>
    </row>
    <row r="200" ht="15.0" customHeight="1">
      <c r="C200" s="3"/>
      <c r="G200" s="141"/>
      <c r="H200" s="3"/>
      <c r="R200" s="65"/>
      <c r="AG200" s="91"/>
    </row>
    <row r="201" ht="15.0" customHeight="1">
      <c r="C201" s="3"/>
      <c r="G201" s="141"/>
      <c r="H201" s="3"/>
      <c r="R201" s="65"/>
      <c r="AG201" s="91"/>
    </row>
    <row r="202" ht="15.0" customHeight="1">
      <c r="C202" s="3"/>
      <c r="G202" s="141"/>
      <c r="H202" s="3"/>
      <c r="R202" s="65"/>
      <c r="AG202" s="91"/>
    </row>
    <row r="203" ht="15.0" customHeight="1">
      <c r="C203" s="3"/>
      <c r="G203" s="141"/>
      <c r="H203" s="3"/>
      <c r="R203" s="65"/>
      <c r="AG203" s="91"/>
    </row>
    <row r="204" ht="15.0" customHeight="1">
      <c r="C204" s="3"/>
      <c r="G204" s="141"/>
      <c r="H204" s="3"/>
      <c r="R204" s="65"/>
      <c r="AG204" s="91"/>
    </row>
    <row r="205" ht="15.0" customHeight="1">
      <c r="C205" s="3"/>
      <c r="G205" s="141"/>
      <c r="H205" s="3"/>
      <c r="R205" s="65"/>
      <c r="AG205" s="91"/>
    </row>
    <row r="206" ht="15.0" customHeight="1">
      <c r="C206" s="3"/>
      <c r="G206" s="141"/>
      <c r="H206" s="3"/>
      <c r="R206" s="65"/>
      <c r="AG206" s="91"/>
    </row>
    <row r="207" ht="15.0" customHeight="1">
      <c r="C207" s="3"/>
      <c r="G207" s="141"/>
      <c r="H207" s="3"/>
      <c r="R207" s="65"/>
      <c r="AG207" s="91"/>
    </row>
    <row r="208" ht="15.0" customHeight="1">
      <c r="C208" s="3"/>
      <c r="G208" s="141"/>
      <c r="H208" s="3"/>
      <c r="R208" s="65"/>
      <c r="AG208" s="91"/>
    </row>
    <row r="209" ht="15.0" customHeight="1">
      <c r="C209" s="3"/>
      <c r="G209" s="141"/>
      <c r="H209" s="3"/>
      <c r="R209" s="65"/>
      <c r="AG209" s="91"/>
    </row>
    <row r="210" ht="15.0" customHeight="1">
      <c r="C210" s="3"/>
      <c r="G210" s="141"/>
      <c r="H210" s="3"/>
      <c r="R210" s="65"/>
      <c r="AG210" s="91"/>
    </row>
    <row r="211" ht="15.0" customHeight="1">
      <c r="C211" s="3"/>
      <c r="G211" s="141"/>
      <c r="H211" s="3"/>
      <c r="R211" s="65"/>
      <c r="AG211" s="91"/>
    </row>
    <row r="212" ht="15.0" customHeight="1">
      <c r="C212" s="3"/>
      <c r="G212" s="141"/>
      <c r="H212" s="3"/>
      <c r="R212" s="65"/>
      <c r="AG212" s="91"/>
    </row>
    <row r="213" ht="15.0" customHeight="1">
      <c r="C213" s="3"/>
      <c r="G213" s="141"/>
      <c r="H213" s="3"/>
      <c r="R213" s="65"/>
      <c r="AG213" s="91"/>
    </row>
    <row r="214" ht="15.0" customHeight="1">
      <c r="C214" s="3"/>
      <c r="G214" s="141"/>
      <c r="H214" s="3"/>
      <c r="R214" s="65"/>
      <c r="AG214" s="91"/>
    </row>
    <row r="215" ht="15.0" customHeight="1">
      <c r="C215" s="3"/>
      <c r="G215" s="141"/>
      <c r="H215" s="3"/>
      <c r="R215" s="65"/>
      <c r="AG215" s="91"/>
    </row>
    <row r="216" ht="15.0" customHeight="1">
      <c r="C216" s="3"/>
      <c r="G216" s="141"/>
      <c r="H216" s="3"/>
      <c r="R216" s="65"/>
      <c r="AG216" s="91"/>
    </row>
    <row r="217" ht="15.0" customHeight="1">
      <c r="C217" s="3"/>
      <c r="G217" s="141"/>
      <c r="H217" s="3"/>
      <c r="R217" s="65"/>
      <c r="AG217" s="91"/>
    </row>
    <row r="218" ht="15.0" customHeight="1">
      <c r="C218" s="3"/>
      <c r="G218" s="141"/>
      <c r="H218" s="3"/>
      <c r="R218" s="65"/>
      <c r="AG218" s="91"/>
    </row>
    <row r="219" ht="15.0" customHeight="1">
      <c r="C219" s="3"/>
      <c r="G219" s="141"/>
      <c r="H219" s="3"/>
      <c r="R219" s="65"/>
      <c r="AG219" s="91"/>
    </row>
    <row r="220" ht="15.0" customHeight="1">
      <c r="C220" s="3"/>
      <c r="G220" s="141"/>
      <c r="H220" s="3"/>
      <c r="R220" s="65"/>
      <c r="AG220" s="91"/>
    </row>
    <row r="221" ht="15.0" customHeight="1">
      <c r="C221" s="3"/>
      <c r="G221" s="141"/>
      <c r="H221" s="3"/>
      <c r="R221" s="65"/>
      <c r="AG221" s="91"/>
    </row>
    <row r="222" ht="15.0" customHeight="1">
      <c r="C222" s="3"/>
      <c r="G222" s="141"/>
      <c r="H222" s="3"/>
      <c r="R222" s="65"/>
      <c r="AG222" s="91"/>
    </row>
    <row r="223" ht="15.0" customHeight="1">
      <c r="C223" s="3"/>
      <c r="G223" s="141"/>
      <c r="H223" s="3"/>
      <c r="R223" s="65"/>
      <c r="AG223" s="91"/>
    </row>
    <row r="224" ht="15.0" customHeight="1">
      <c r="C224" s="3"/>
      <c r="G224" s="141"/>
      <c r="H224" s="3"/>
      <c r="R224" s="65"/>
      <c r="AG224" s="91"/>
    </row>
    <row r="225" ht="15.0" customHeight="1">
      <c r="C225" s="3"/>
      <c r="G225" s="141"/>
      <c r="H225" s="3"/>
      <c r="R225" s="65"/>
      <c r="AG225" s="91"/>
    </row>
    <row r="226" ht="15.0" customHeight="1">
      <c r="C226" s="3"/>
      <c r="G226" s="141"/>
      <c r="H226" s="3"/>
      <c r="R226" s="65"/>
      <c r="AG226" s="91"/>
    </row>
    <row r="227" ht="15.0" customHeight="1">
      <c r="C227" s="3"/>
      <c r="G227" s="141"/>
      <c r="H227" s="3"/>
      <c r="R227" s="65"/>
      <c r="AG227" s="91"/>
    </row>
    <row r="228" ht="15.0" customHeight="1">
      <c r="C228" s="3"/>
      <c r="G228" s="141"/>
      <c r="H228" s="3"/>
      <c r="R228" s="65"/>
      <c r="AG228" s="91"/>
    </row>
    <row r="229" ht="15.0" customHeight="1">
      <c r="C229" s="3"/>
      <c r="G229" s="141"/>
      <c r="H229" s="3"/>
      <c r="R229" s="65"/>
      <c r="AG229" s="91"/>
    </row>
    <row r="230" ht="15.0" customHeight="1">
      <c r="C230" s="3"/>
      <c r="G230" s="141"/>
      <c r="H230" s="3"/>
      <c r="R230" s="65"/>
      <c r="AG230" s="91"/>
    </row>
    <row r="231" ht="15.0" customHeight="1">
      <c r="C231" s="3"/>
      <c r="G231" s="141"/>
      <c r="H231" s="3"/>
      <c r="R231" s="65"/>
      <c r="AG231" s="91"/>
    </row>
    <row r="232" ht="15.0" customHeight="1">
      <c r="C232" s="3"/>
      <c r="G232" s="141"/>
      <c r="H232" s="3"/>
      <c r="R232" s="65"/>
      <c r="AG232" s="91"/>
    </row>
    <row r="233" ht="15.0" customHeight="1">
      <c r="C233" s="3"/>
      <c r="G233" s="141"/>
      <c r="H233" s="3"/>
      <c r="R233" s="65"/>
      <c r="AG233" s="91"/>
    </row>
    <row r="234" ht="15.0" customHeight="1">
      <c r="C234" s="3"/>
      <c r="G234" s="141"/>
      <c r="H234" s="3"/>
      <c r="R234" s="65"/>
      <c r="AG234" s="91"/>
    </row>
    <row r="235" ht="15.0" customHeight="1">
      <c r="C235" s="3"/>
      <c r="G235" s="141"/>
      <c r="H235" s="3"/>
      <c r="R235" s="65"/>
      <c r="AG235" s="91"/>
    </row>
    <row r="236" ht="15.0" customHeight="1">
      <c r="C236" s="3"/>
      <c r="G236" s="141"/>
      <c r="H236" s="3"/>
      <c r="R236" s="65"/>
      <c r="AG236" s="91"/>
    </row>
    <row r="237" ht="15.0" customHeight="1">
      <c r="C237" s="3"/>
      <c r="G237" s="141"/>
      <c r="H237" s="3"/>
      <c r="R237" s="65"/>
      <c r="AG237" s="91"/>
    </row>
    <row r="238" ht="15.0" customHeight="1">
      <c r="C238" s="3"/>
      <c r="G238" s="141"/>
      <c r="H238" s="3"/>
      <c r="R238" s="65"/>
      <c r="AG238" s="91"/>
    </row>
    <row r="239" ht="15.0" customHeight="1">
      <c r="C239" s="3"/>
      <c r="G239" s="141"/>
      <c r="H239" s="3"/>
      <c r="R239" s="65"/>
      <c r="AG239" s="91"/>
    </row>
    <row r="240" ht="15.0" customHeight="1">
      <c r="C240" s="3"/>
      <c r="G240" s="141"/>
      <c r="H240" s="3"/>
      <c r="R240" s="65"/>
      <c r="AG240" s="91"/>
    </row>
    <row r="241" ht="15.0" customHeight="1">
      <c r="C241" s="3"/>
      <c r="G241" s="141"/>
      <c r="H241" s="3"/>
      <c r="R241" s="65"/>
      <c r="AG241" s="91"/>
    </row>
    <row r="242" ht="15.0" customHeight="1">
      <c r="C242" s="3"/>
      <c r="G242" s="141"/>
      <c r="H242" s="3"/>
      <c r="R242" s="65"/>
      <c r="AG242" s="91"/>
    </row>
    <row r="243" ht="15.0" customHeight="1">
      <c r="C243" s="3"/>
      <c r="G243" s="141"/>
      <c r="H243" s="3"/>
      <c r="R243" s="65"/>
      <c r="AG243" s="91"/>
    </row>
    <row r="244" ht="15.0" customHeight="1">
      <c r="C244" s="3"/>
      <c r="G244" s="141"/>
      <c r="H244" s="3"/>
      <c r="R244" s="65"/>
      <c r="AG244" s="91"/>
    </row>
    <row r="245" ht="15.0" customHeight="1">
      <c r="C245" s="3"/>
      <c r="G245" s="141"/>
      <c r="H245" s="3"/>
      <c r="R245" s="65"/>
      <c r="AG245" s="91"/>
    </row>
    <row r="246" ht="15.0" customHeight="1">
      <c r="C246" s="3"/>
      <c r="G246" s="141"/>
      <c r="H246" s="3"/>
      <c r="R246" s="65"/>
      <c r="AG246" s="91"/>
    </row>
    <row r="247" ht="15.0" customHeight="1">
      <c r="C247" s="3"/>
      <c r="G247" s="141"/>
      <c r="H247" s="3"/>
      <c r="R247" s="65"/>
      <c r="AG247" s="91"/>
    </row>
    <row r="248" ht="15.0" customHeight="1">
      <c r="C248" s="3"/>
      <c r="G248" s="141"/>
      <c r="H248" s="3"/>
      <c r="R248" s="65"/>
      <c r="AG248" s="91"/>
    </row>
    <row r="249" ht="15.0" customHeight="1">
      <c r="C249" s="3"/>
      <c r="G249" s="141"/>
      <c r="H249" s="3"/>
      <c r="R249" s="65"/>
      <c r="AG249" s="91"/>
    </row>
    <row r="250" ht="15.0" customHeight="1">
      <c r="C250" s="3"/>
      <c r="G250" s="141"/>
      <c r="H250" s="3"/>
      <c r="R250" s="65"/>
      <c r="AG250" s="91"/>
    </row>
    <row r="251" ht="15.0" customHeight="1">
      <c r="C251" s="3"/>
      <c r="G251" s="141"/>
      <c r="H251" s="3"/>
      <c r="R251" s="65"/>
      <c r="AG251" s="91"/>
    </row>
    <row r="252" ht="15.0" customHeight="1">
      <c r="C252" s="3"/>
      <c r="G252" s="141"/>
      <c r="H252" s="3"/>
      <c r="R252" s="65"/>
      <c r="AG252" s="91"/>
    </row>
    <row r="253" ht="15.0" customHeight="1">
      <c r="C253" s="3"/>
      <c r="G253" s="141"/>
      <c r="H253" s="3"/>
      <c r="R253" s="65"/>
      <c r="AG253" s="91"/>
    </row>
    <row r="254" ht="15.0" customHeight="1">
      <c r="C254" s="3"/>
      <c r="G254" s="141"/>
      <c r="H254" s="3"/>
      <c r="R254" s="65"/>
      <c r="AG254" s="91"/>
    </row>
    <row r="255" ht="15.0" customHeight="1">
      <c r="C255" s="3"/>
      <c r="G255" s="141"/>
      <c r="H255" s="3"/>
      <c r="R255" s="65"/>
      <c r="AG255" s="91"/>
    </row>
    <row r="256" ht="15.0" customHeight="1">
      <c r="C256" s="3"/>
      <c r="G256" s="141"/>
      <c r="H256" s="3"/>
      <c r="R256" s="65"/>
      <c r="AG256" s="91"/>
    </row>
    <row r="257" ht="15.0" customHeight="1">
      <c r="C257" s="3"/>
      <c r="G257" s="141"/>
      <c r="H257" s="3"/>
      <c r="R257" s="65"/>
      <c r="AG257" s="91"/>
    </row>
    <row r="258" ht="15.0" customHeight="1">
      <c r="C258" s="3"/>
      <c r="G258" s="141"/>
      <c r="H258" s="3"/>
      <c r="R258" s="65"/>
      <c r="AG258" s="91"/>
    </row>
    <row r="259" ht="15.0" customHeight="1">
      <c r="C259" s="3"/>
      <c r="G259" s="141"/>
      <c r="H259" s="3"/>
      <c r="R259" s="65"/>
      <c r="AG259" s="91"/>
    </row>
    <row r="260" ht="15.0" customHeight="1">
      <c r="C260" s="3"/>
      <c r="G260" s="141"/>
      <c r="H260" s="3"/>
      <c r="R260" s="65"/>
      <c r="AG260" s="91"/>
    </row>
    <row r="261" ht="15.0" customHeight="1">
      <c r="C261" s="3"/>
      <c r="G261" s="141"/>
      <c r="H261" s="3"/>
      <c r="R261" s="65"/>
      <c r="AG261" s="91"/>
    </row>
    <row r="262" ht="15.0" customHeight="1">
      <c r="C262" s="3"/>
      <c r="G262" s="141"/>
      <c r="H262" s="3"/>
      <c r="R262" s="65"/>
      <c r="AG262" s="91"/>
    </row>
    <row r="263" ht="15.0" customHeight="1">
      <c r="C263" s="3"/>
      <c r="G263" s="141"/>
      <c r="H263" s="3"/>
      <c r="R263" s="65"/>
      <c r="AG263" s="91"/>
    </row>
    <row r="264" ht="15.0" customHeight="1">
      <c r="C264" s="3"/>
      <c r="G264" s="141"/>
      <c r="H264" s="3"/>
      <c r="R264" s="65"/>
      <c r="AG264" s="91"/>
    </row>
    <row r="265" ht="15.0" customHeight="1">
      <c r="C265" s="3"/>
      <c r="G265" s="141"/>
      <c r="H265" s="3"/>
      <c r="R265" s="65"/>
      <c r="AG265" s="91"/>
    </row>
    <row r="266" ht="15.0" customHeight="1">
      <c r="C266" s="3"/>
      <c r="G266" s="141"/>
      <c r="H266" s="3"/>
      <c r="R266" s="65"/>
      <c r="AG266" s="91"/>
    </row>
    <row r="267" ht="15.0" customHeight="1">
      <c r="C267" s="3"/>
      <c r="G267" s="141"/>
      <c r="H267" s="3"/>
      <c r="R267" s="65"/>
      <c r="AG267" s="91"/>
    </row>
    <row r="268" ht="15.0" customHeight="1">
      <c r="C268" s="3"/>
      <c r="G268" s="141"/>
      <c r="H268" s="3"/>
      <c r="R268" s="65"/>
      <c r="AG268" s="91"/>
    </row>
    <row r="269" ht="15.0" customHeight="1">
      <c r="C269" s="3"/>
      <c r="G269" s="141"/>
      <c r="H269" s="3"/>
      <c r="R269" s="65"/>
      <c r="AG269" s="91"/>
    </row>
    <row r="270" ht="15.0" customHeight="1">
      <c r="C270" s="3"/>
      <c r="G270" s="141"/>
      <c r="H270" s="3"/>
      <c r="R270" s="65"/>
      <c r="AG270" s="91"/>
    </row>
    <row r="271" ht="15.0" customHeight="1">
      <c r="C271" s="3"/>
      <c r="G271" s="141"/>
      <c r="H271" s="3"/>
      <c r="R271" s="65"/>
      <c r="AG271" s="91"/>
    </row>
    <row r="272" ht="15.0" customHeight="1">
      <c r="C272" s="3"/>
      <c r="G272" s="141"/>
      <c r="H272" s="3"/>
      <c r="R272" s="65"/>
      <c r="AG272" s="91"/>
    </row>
    <row r="273" ht="15.0" customHeight="1">
      <c r="C273" s="3"/>
      <c r="G273" s="141"/>
      <c r="H273" s="3"/>
      <c r="R273" s="65"/>
      <c r="AG273" s="91"/>
    </row>
    <row r="274" ht="15.0" customHeight="1">
      <c r="C274" s="3"/>
      <c r="G274" s="141"/>
      <c r="H274" s="3"/>
      <c r="R274" s="65"/>
      <c r="AG274" s="91"/>
    </row>
    <row r="275" ht="15.0" customHeight="1">
      <c r="C275" s="3"/>
      <c r="G275" s="141"/>
      <c r="H275" s="3"/>
      <c r="R275" s="65"/>
      <c r="AG275" s="91"/>
    </row>
    <row r="276" ht="15.0" customHeight="1">
      <c r="C276" s="3"/>
      <c r="G276" s="141"/>
      <c r="H276" s="3"/>
      <c r="R276" s="65"/>
      <c r="AG276" s="91"/>
    </row>
    <row r="277" ht="15.0" customHeight="1">
      <c r="C277" s="3"/>
      <c r="G277" s="141"/>
      <c r="H277" s="3"/>
      <c r="R277" s="65"/>
      <c r="AG277" s="91"/>
    </row>
    <row r="278" ht="15.0" customHeight="1">
      <c r="C278" s="3"/>
      <c r="G278" s="141"/>
      <c r="H278" s="3"/>
      <c r="R278" s="65"/>
      <c r="AG278" s="91"/>
    </row>
    <row r="279" ht="15.0" customHeight="1">
      <c r="C279" s="3"/>
      <c r="G279" s="141"/>
      <c r="H279" s="3"/>
      <c r="R279" s="65"/>
      <c r="AG279" s="91"/>
    </row>
    <row r="280" ht="15.0" customHeight="1">
      <c r="C280" s="3"/>
      <c r="G280" s="141"/>
      <c r="H280" s="3"/>
      <c r="R280" s="65"/>
      <c r="AG280" s="91"/>
    </row>
    <row r="281" ht="15.0" customHeight="1">
      <c r="C281" s="3"/>
      <c r="G281" s="141"/>
      <c r="H281" s="3"/>
      <c r="R281" s="65"/>
      <c r="AG281" s="91"/>
    </row>
    <row r="282" ht="15.0" customHeight="1">
      <c r="C282" s="3"/>
      <c r="G282" s="141"/>
      <c r="H282" s="3"/>
      <c r="R282" s="65"/>
      <c r="AG282" s="91"/>
    </row>
    <row r="283" ht="15.0" customHeight="1">
      <c r="C283" s="3"/>
      <c r="G283" s="141"/>
      <c r="H283" s="3"/>
      <c r="R283" s="65"/>
      <c r="AG283" s="91"/>
    </row>
    <row r="284" ht="15.0" customHeight="1">
      <c r="C284" s="3"/>
      <c r="G284" s="141"/>
      <c r="H284" s="3"/>
      <c r="R284" s="65"/>
      <c r="AG284" s="91"/>
    </row>
    <row r="285" ht="15.0" customHeight="1">
      <c r="C285" s="3"/>
      <c r="G285" s="141"/>
      <c r="H285" s="3"/>
      <c r="R285" s="65"/>
      <c r="AG285" s="91"/>
    </row>
    <row r="286" ht="15.0" customHeight="1">
      <c r="C286" s="3"/>
      <c r="G286" s="141"/>
      <c r="H286" s="3"/>
      <c r="R286" s="65"/>
      <c r="AG286" s="91"/>
    </row>
    <row r="287" ht="15.0" customHeight="1">
      <c r="C287" s="3"/>
      <c r="G287" s="141"/>
      <c r="H287" s="3"/>
      <c r="R287" s="65"/>
      <c r="AG287" s="91"/>
    </row>
    <row r="288" ht="15.0" customHeight="1">
      <c r="C288" s="3"/>
      <c r="G288" s="141"/>
      <c r="H288" s="3"/>
      <c r="R288" s="65"/>
      <c r="AG288" s="91"/>
    </row>
    <row r="289" ht="15.0" customHeight="1">
      <c r="C289" s="3"/>
      <c r="G289" s="141"/>
      <c r="H289" s="3"/>
      <c r="R289" s="65"/>
      <c r="AG289" s="91"/>
    </row>
    <row r="290" ht="15.0" customHeight="1">
      <c r="C290" s="3"/>
      <c r="G290" s="141"/>
      <c r="H290" s="3"/>
      <c r="R290" s="65"/>
      <c r="AG290" s="91"/>
    </row>
    <row r="291" ht="15.0" customHeight="1">
      <c r="C291" s="3"/>
      <c r="G291" s="141"/>
      <c r="H291" s="3"/>
      <c r="R291" s="65"/>
      <c r="AG291" s="91"/>
    </row>
    <row r="292" ht="15.0" customHeight="1">
      <c r="C292" s="3"/>
      <c r="G292" s="141"/>
      <c r="H292" s="3"/>
      <c r="R292" s="65"/>
      <c r="AG292" s="91"/>
    </row>
    <row r="293" ht="15.0" customHeight="1">
      <c r="C293" s="3"/>
      <c r="G293" s="141"/>
      <c r="H293" s="3"/>
      <c r="R293" s="65"/>
      <c r="AG293" s="91"/>
    </row>
    <row r="294" ht="15.75" customHeight="1">
      <c r="C294" s="3"/>
      <c r="H294" s="3"/>
      <c r="AG294" s="91"/>
    </row>
    <row r="295" ht="15.75" customHeight="1">
      <c r="C295" s="3"/>
      <c r="H295" s="3"/>
      <c r="AG295" s="91"/>
    </row>
    <row r="296" ht="15.75" customHeight="1">
      <c r="C296" s="3"/>
      <c r="H296" s="3"/>
      <c r="AG296" s="91"/>
    </row>
    <row r="297" ht="15.75" customHeight="1">
      <c r="C297" s="3"/>
      <c r="H297" s="3"/>
      <c r="AG297" s="91"/>
    </row>
    <row r="298" ht="15.75" customHeight="1">
      <c r="C298" s="3"/>
      <c r="H298" s="3"/>
      <c r="AG298" s="91"/>
    </row>
    <row r="299" ht="15.75" customHeight="1">
      <c r="C299" s="3"/>
      <c r="H299" s="3"/>
      <c r="AG299" s="91"/>
    </row>
    <row r="300" ht="15.75" customHeight="1">
      <c r="C300" s="3"/>
      <c r="H300" s="3"/>
      <c r="AG300" s="91"/>
    </row>
    <row r="301" ht="15.75" customHeight="1">
      <c r="C301" s="3"/>
      <c r="H301" s="3"/>
      <c r="AG301" s="91"/>
    </row>
    <row r="302" ht="15.75" customHeight="1">
      <c r="C302" s="3"/>
      <c r="H302" s="3"/>
      <c r="AG302" s="91"/>
    </row>
    <row r="303" ht="15.75" customHeight="1">
      <c r="C303" s="3"/>
      <c r="H303" s="3"/>
      <c r="AG303" s="91"/>
    </row>
    <row r="304" ht="15.75" customHeight="1">
      <c r="C304" s="3"/>
      <c r="H304" s="3"/>
      <c r="AG304" s="91"/>
    </row>
    <row r="305" ht="15.75" customHeight="1">
      <c r="C305" s="3"/>
      <c r="H305" s="3"/>
      <c r="AG305" s="91"/>
    </row>
    <row r="306" ht="15.75" customHeight="1">
      <c r="C306" s="3"/>
      <c r="H306" s="3"/>
      <c r="AG306" s="91"/>
    </row>
    <row r="307" ht="15.75" customHeight="1">
      <c r="C307" s="3"/>
      <c r="H307" s="3"/>
      <c r="AG307" s="91"/>
    </row>
    <row r="308" ht="15.75" customHeight="1">
      <c r="C308" s="3"/>
      <c r="H308" s="3"/>
      <c r="AG308" s="91"/>
    </row>
    <row r="309" ht="15.75" customHeight="1">
      <c r="C309" s="3"/>
      <c r="H309" s="3"/>
      <c r="AG309" s="91"/>
    </row>
    <row r="310" ht="15.75" customHeight="1">
      <c r="C310" s="3"/>
      <c r="H310" s="3"/>
      <c r="AG310" s="91"/>
    </row>
    <row r="311" ht="15.75" customHeight="1">
      <c r="C311" s="3"/>
      <c r="H311" s="3"/>
      <c r="AG311" s="91"/>
    </row>
    <row r="312" ht="15.75" customHeight="1">
      <c r="C312" s="3"/>
      <c r="H312" s="3"/>
      <c r="AG312" s="91"/>
    </row>
    <row r="313" ht="15.75" customHeight="1">
      <c r="C313" s="3"/>
      <c r="H313" s="3"/>
      <c r="AG313" s="91"/>
    </row>
    <row r="314" ht="15.75" customHeight="1">
      <c r="C314" s="3"/>
      <c r="H314" s="3"/>
      <c r="AG314" s="91"/>
    </row>
    <row r="315" ht="15.75" customHeight="1">
      <c r="C315" s="3"/>
      <c r="H315" s="3"/>
      <c r="AG315" s="91"/>
    </row>
    <row r="316" ht="15.75" customHeight="1">
      <c r="C316" s="3"/>
      <c r="H316" s="3"/>
      <c r="AG316" s="91"/>
    </row>
    <row r="317" ht="15.75" customHeight="1">
      <c r="C317" s="3"/>
      <c r="H317" s="3"/>
      <c r="AG317" s="91"/>
    </row>
    <row r="318" ht="15.75" customHeight="1">
      <c r="C318" s="3"/>
      <c r="H318" s="3"/>
      <c r="AG318" s="91"/>
    </row>
    <row r="319" ht="15.75" customHeight="1">
      <c r="C319" s="3"/>
      <c r="H319" s="3"/>
      <c r="AG319" s="91"/>
    </row>
    <row r="320" ht="15.75" customHeight="1">
      <c r="C320" s="3"/>
      <c r="H320" s="3"/>
      <c r="AG320" s="91"/>
    </row>
    <row r="321" ht="15.75" customHeight="1">
      <c r="C321" s="3"/>
      <c r="H321" s="3"/>
      <c r="AG321" s="91"/>
    </row>
    <row r="322" ht="15.75" customHeight="1">
      <c r="C322" s="3"/>
      <c r="H322" s="3"/>
      <c r="AG322" s="91"/>
    </row>
    <row r="323" ht="15.75" customHeight="1">
      <c r="C323" s="3"/>
      <c r="H323" s="3"/>
      <c r="AG323" s="91"/>
    </row>
    <row r="324" ht="15.75" customHeight="1">
      <c r="C324" s="3"/>
      <c r="H324" s="3"/>
      <c r="AG324" s="91"/>
    </row>
    <row r="325" ht="15.75" customHeight="1">
      <c r="C325" s="3"/>
      <c r="H325" s="3"/>
      <c r="AG325" s="91"/>
    </row>
    <row r="326" ht="15.75" customHeight="1">
      <c r="C326" s="3"/>
      <c r="H326" s="3"/>
      <c r="AG326" s="91"/>
    </row>
    <row r="327" ht="15.75" customHeight="1">
      <c r="C327" s="3"/>
      <c r="H327" s="3"/>
      <c r="AG327" s="91"/>
    </row>
    <row r="328" ht="15.75" customHeight="1">
      <c r="C328" s="3"/>
      <c r="H328" s="3"/>
      <c r="AG328" s="91"/>
    </row>
    <row r="329" ht="15.75" customHeight="1">
      <c r="C329" s="3"/>
      <c r="H329" s="3"/>
      <c r="AG329" s="91"/>
    </row>
    <row r="330" ht="15.75" customHeight="1">
      <c r="C330" s="3"/>
      <c r="H330" s="3"/>
      <c r="AG330" s="91"/>
    </row>
    <row r="331" ht="15.75" customHeight="1">
      <c r="C331" s="3"/>
      <c r="H331" s="3"/>
      <c r="AG331" s="91"/>
    </row>
    <row r="332" ht="15.75" customHeight="1">
      <c r="C332" s="3"/>
      <c r="H332" s="3"/>
      <c r="AG332" s="91"/>
    </row>
    <row r="333" ht="15.75" customHeight="1">
      <c r="C333" s="3"/>
      <c r="H333" s="3"/>
      <c r="AG333" s="91"/>
    </row>
    <row r="334" ht="15.75" customHeight="1">
      <c r="C334" s="3"/>
      <c r="H334" s="3"/>
      <c r="AG334" s="91"/>
    </row>
    <row r="335" ht="15.75" customHeight="1">
      <c r="C335" s="3"/>
      <c r="H335" s="3"/>
      <c r="AG335" s="91"/>
    </row>
    <row r="336" ht="15.75" customHeight="1">
      <c r="C336" s="3"/>
      <c r="H336" s="3"/>
      <c r="AG336" s="91"/>
    </row>
    <row r="337" ht="15.75" customHeight="1">
      <c r="C337" s="3"/>
      <c r="H337" s="3"/>
      <c r="AG337" s="91"/>
    </row>
    <row r="338" ht="15.75" customHeight="1">
      <c r="C338" s="3"/>
      <c r="H338" s="3"/>
      <c r="AG338" s="91"/>
    </row>
    <row r="339" ht="15.75" customHeight="1">
      <c r="C339" s="3"/>
      <c r="H339" s="3"/>
      <c r="AG339" s="91"/>
    </row>
    <row r="340" ht="15.75" customHeight="1">
      <c r="C340" s="3"/>
      <c r="H340" s="3"/>
      <c r="AG340" s="91"/>
    </row>
    <row r="341" ht="15.75" customHeight="1">
      <c r="C341" s="3"/>
      <c r="H341" s="3"/>
      <c r="AG341" s="91"/>
    </row>
    <row r="342" ht="15.75" customHeight="1">
      <c r="C342" s="3"/>
      <c r="H342" s="3"/>
      <c r="AG342" s="91"/>
    </row>
    <row r="343" ht="15.75" customHeight="1">
      <c r="C343" s="3"/>
      <c r="H343" s="3"/>
      <c r="AG343" s="91"/>
    </row>
    <row r="344" ht="15.75" customHeight="1">
      <c r="C344" s="3"/>
      <c r="H344" s="3"/>
      <c r="AG344" s="91"/>
    </row>
    <row r="345" ht="15.75" customHeight="1">
      <c r="C345" s="3"/>
      <c r="H345" s="3"/>
      <c r="AG345" s="91"/>
    </row>
    <row r="346" ht="15.75" customHeight="1">
      <c r="C346" s="3"/>
      <c r="H346" s="3"/>
      <c r="AG346" s="91"/>
    </row>
    <row r="347" ht="15.75" customHeight="1">
      <c r="C347" s="3"/>
      <c r="H347" s="3"/>
      <c r="AG347" s="91"/>
    </row>
    <row r="348" ht="15.75" customHeight="1">
      <c r="C348" s="3"/>
      <c r="H348" s="3"/>
      <c r="AG348" s="91"/>
    </row>
    <row r="349" ht="15.75" customHeight="1">
      <c r="C349" s="3"/>
      <c r="H349" s="3"/>
      <c r="AG349" s="91"/>
    </row>
    <row r="350" ht="15.75" customHeight="1">
      <c r="C350" s="3"/>
      <c r="H350" s="3"/>
      <c r="AG350" s="91"/>
    </row>
    <row r="351" ht="15.75" customHeight="1">
      <c r="C351" s="3"/>
      <c r="H351" s="3"/>
      <c r="AG351" s="91"/>
    </row>
    <row r="352" ht="15.75" customHeight="1">
      <c r="C352" s="3"/>
      <c r="H352" s="3"/>
      <c r="AG352" s="91"/>
    </row>
    <row r="353" ht="15.75" customHeight="1">
      <c r="C353" s="3"/>
      <c r="H353" s="3"/>
      <c r="AG353" s="91"/>
    </row>
    <row r="354" ht="15.75" customHeight="1">
      <c r="C354" s="3"/>
      <c r="H354" s="3"/>
      <c r="AG354" s="91"/>
    </row>
    <row r="355" ht="15.75" customHeight="1">
      <c r="C355" s="3"/>
      <c r="H355" s="3"/>
      <c r="AG355" s="91"/>
    </row>
    <row r="356" ht="15.75" customHeight="1">
      <c r="C356" s="3"/>
      <c r="H356" s="3"/>
      <c r="AG356" s="91"/>
    </row>
    <row r="357" ht="15.75" customHeight="1">
      <c r="C357" s="3"/>
      <c r="H357" s="3"/>
      <c r="AG357" s="91"/>
    </row>
    <row r="358" ht="15.75" customHeight="1">
      <c r="C358" s="3"/>
      <c r="H358" s="3"/>
      <c r="AG358" s="91"/>
    </row>
    <row r="359" ht="15.75" customHeight="1">
      <c r="C359" s="3"/>
      <c r="H359" s="3"/>
      <c r="AG359" s="91"/>
    </row>
    <row r="360" ht="15.75" customHeight="1">
      <c r="C360" s="3"/>
      <c r="H360" s="3"/>
      <c r="AG360" s="91"/>
    </row>
    <row r="361" ht="15.75" customHeight="1">
      <c r="C361" s="3"/>
      <c r="H361" s="3"/>
      <c r="AG361" s="91"/>
    </row>
    <row r="362" ht="15.75" customHeight="1">
      <c r="C362" s="3"/>
      <c r="H362" s="3"/>
      <c r="AG362" s="91"/>
    </row>
    <row r="363" ht="15.75" customHeight="1">
      <c r="C363" s="3"/>
      <c r="H363" s="3"/>
      <c r="AG363" s="91"/>
    </row>
    <row r="364" ht="15.75" customHeight="1">
      <c r="C364" s="3"/>
      <c r="H364" s="3"/>
      <c r="AG364" s="91"/>
    </row>
    <row r="365" ht="15.75" customHeight="1">
      <c r="C365" s="3"/>
      <c r="H365" s="3"/>
      <c r="AG365" s="91"/>
    </row>
    <row r="366" ht="15.75" customHeight="1">
      <c r="C366" s="3"/>
      <c r="H366" s="3"/>
      <c r="AG366" s="91"/>
    </row>
    <row r="367" ht="15.75" customHeight="1">
      <c r="C367" s="3"/>
      <c r="H367" s="3"/>
      <c r="AG367" s="91"/>
    </row>
    <row r="368" ht="15.75" customHeight="1">
      <c r="C368" s="3"/>
      <c r="H368" s="3"/>
      <c r="AG368" s="91"/>
    </row>
    <row r="369" ht="15.75" customHeight="1">
      <c r="C369" s="3"/>
      <c r="H369" s="3"/>
      <c r="AG369" s="91"/>
    </row>
    <row r="370" ht="15.75" customHeight="1">
      <c r="C370" s="3"/>
      <c r="H370" s="3"/>
      <c r="AG370" s="91"/>
    </row>
    <row r="371" ht="15.75" customHeight="1">
      <c r="C371" s="3"/>
      <c r="H371" s="3"/>
      <c r="AG371" s="91"/>
    </row>
    <row r="372" ht="15.75" customHeight="1">
      <c r="C372" s="3"/>
      <c r="H372" s="3"/>
      <c r="AG372" s="91"/>
    </row>
    <row r="373" ht="15.75" customHeight="1">
      <c r="C373" s="3"/>
      <c r="H373" s="3"/>
      <c r="AG373" s="91"/>
    </row>
    <row r="374" ht="15.75" customHeight="1">
      <c r="C374" s="3"/>
      <c r="H374" s="3"/>
      <c r="AG374" s="91"/>
    </row>
    <row r="375" ht="15.75" customHeight="1">
      <c r="C375" s="3"/>
      <c r="H375" s="3"/>
      <c r="AG375" s="91"/>
    </row>
    <row r="376" ht="15.75" customHeight="1">
      <c r="C376" s="3"/>
      <c r="H376" s="3"/>
      <c r="AG376" s="91"/>
    </row>
    <row r="377" ht="15.75" customHeight="1">
      <c r="C377" s="3"/>
      <c r="H377" s="3"/>
      <c r="AG377" s="91"/>
    </row>
    <row r="378" ht="15.75" customHeight="1">
      <c r="C378" s="3"/>
      <c r="H378" s="3"/>
      <c r="AG378" s="91"/>
    </row>
    <row r="379" ht="15.75" customHeight="1">
      <c r="C379" s="3"/>
      <c r="H379" s="3"/>
      <c r="AG379" s="91"/>
    </row>
    <row r="380" ht="15.75" customHeight="1">
      <c r="C380" s="3"/>
      <c r="H380" s="3"/>
      <c r="AG380" s="91"/>
    </row>
    <row r="381" ht="15.75" customHeight="1">
      <c r="C381" s="3"/>
      <c r="H381" s="3"/>
      <c r="AG381" s="91"/>
    </row>
    <row r="382" ht="15.75" customHeight="1">
      <c r="C382" s="3"/>
      <c r="H382" s="3"/>
      <c r="AG382" s="91"/>
    </row>
    <row r="383" ht="15.75" customHeight="1">
      <c r="C383" s="3"/>
      <c r="H383" s="3"/>
      <c r="AG383" s="91"/>
    </row>
    <row r="384" ht="15.75" customHeight="1">
      <c r="C384" s="3"/>
      <c r="H384" s="3"/>
      <c r="AG384" s="91"/>
    </row>
    <row r="385" ht="15.75" customHeight="1">
      <c r="C385" s="3"/>
      <c r="H385" s="3"/>
      <c r="AG385" s="91"/>
    </row>
    <row r="386" ht="15.75" customHeight="1">
      <c r="C386" s="3"/>
      <c r="H386" s="3"/>
      <c r="AG386" s="91"/>
    </row>
    <row r="387" ht="15.75" customHeight="1">
      <c r="C387" s="3"/>
      <c r="H387" s="3"/>
      <c r="AG387" s="91"/>
    </row>
    <row r="388" ht="15.75" customHeight="1">
      <c r="C388" s="3"/>
      <c r="H388" s="3"/>
      <c r="AG388" s="91"/>
    </row>
    <row r="389" ht="15.75" customHeight="1">
      <c r="C389" s="3"/>
      <c r="H389" s="3"/>
      <c r="AG389" s="91"/>
    </row>
    <row r="390" ht="15.75" customHeight="1">
      <c r="C390" s="3"/>
      <c r="H390" s="3"/>
      <c r="AG390" s="91"/>
    </row>
    <row r="391" ht="15.75" customHeight="1">
      <c r="C391" s="3"/>
      <c r="H391" s="3"/>
      <c r="AG391" s="91"/>
    </row>
    <row r="392" ht="15.75" customHeight="1">
      <c r="C392" s="3"/>
      <c r="H392" s="3"/>
      <c r="AG392" s="91"/>
    </row>
    <row r="393" ht="15.75" customHeight="1">
      <c r="C393" s="3"/>
      <c r="H393" s="3"/>
      <c r="AG393" s="91"/>
    </row>
    <row r="394" ht="15.75" customHeight="1">
      <c r="C394" s="3"/>
      <c r="H394" s="3"/>
      <c r="AG394" s="91"/>
    </row>
    <row r="395" ht="15.75" customHeight="1">
      <c r="C395" s="3"/>
      <c r="H395" s="3"/>
      <c r="AG395" s="91"/>
    </row>
    <row r="396" ht="15.75" customHeight="1">
      <c r="C396" s="3"/>
      <c r="H396" s="3"/>
      <c r="AG396" s="91"/>
    </row>
    <row r="397" ht="15.75" customHeight="1">
      <c r="C397" s="3"/>
      <c r="H397" s="3"/>
      <c r="AG397" s="91"/>
    </row>
    <row r="398" ht="15.75" customHeight="1">
      <c r="C398" s="3"/>
      <c r="H398" s="3"/>
      <c r="AG398" s="91"/>
    </row>
    <row r="399" ht="15.75" customHeight="1">
      <c r="C399" s="3"/>
      <c r="H399" s="3"/>
      <c r="AG399" s="91"/>
    </row>
    <row r="400" ht="15.75" customHeight="1">
      <c r="C400" s="3"/>
      <c r="H400" s="3"/>
      <c r="AG400" s="91"/>
    </row>
    <row r="401" ht="15.75" customHeight="1">
      <c r="C401" s="3"/>
      <c r="H401" s="3"/>
      <c r="AG401" s="91"/>
    </row>
    <row r="402" ht="15.75" customHeight="1">
      <c r="C402" s="3"/>
      <c r="H402" s="3"/>
      <c r="AG402" s="91"/>
    </row>
    <row r="403" ht="15.75" customHeight="1">
      <c r="C403" s="3"/>
      <c r="H403" s="3"/>
      <c r="AG403" s="91"/>
    </row>
    <row r="404" ht="15.75" customHeight="1">
      <c r="C404" s="3"/>
      <c r="H404" s="3"/>
      <c r="AG404" s="91"/>
    </row>
    <row r="405" ht="15.75" customHeight="1">
      <c r="C405" s="3"/>
      <c r="H405" s="3"/>
      <c r="AG405" s="91"/>
    </row>
    <row r="406" ht="15.75" customHeight="1">
      <c r="C406" s="3"/>
      <c r="H406" s="3"/>
      <c r="AG406" s="91"/>
    </row>
    <row r="407" ht="15.75" customHeight="1">
      <c r="C407" s="3"/>
      <c r="H407" s="3"/>
      <c r="AG407" s="91"/>
    </row>
    <row r="408" ht="15.75" customHeight="1">
      <c r="C408" s="3"/>
      <c r="H408" s="3"/>
      <c r="AG408" s="91"/>
    </row>
    <row r="409" ht="15.75" customHeight="1">
      <c r="C409" s="3"/>
      <c r="H409" s="3"/>
      <c r="AG409" s="91"/>
    </row>
    <row r="410" ht="15.75" customHeight="1">
      <c r="C410" s="3"/>
      <c r="H410" s="3"/>
      <c r="AG410" s="91"/>
    </row>
    <row r="411" ht="15.75" customHeight="1">
      <c r="C411" s="3"/>
      <c r="H411" s="3"/>
      <c r="AG411" s="91"/>
    </row>
    <row r="412" ht="15.75" customHeight="1">
      <c r="C412" s="3"/>
      <c r="H412" s="3"/>
      <c r="AG412" s="91"/>
    </row>
    <row r="413" ht="15.75" customHeight="1">
      <c r="C413" s="3"/>
      <c r="H413" s="3"/>
      <c r="AG413" s="91"/>
    </row>
    <row r="414" ht="15.75" customHeight="1">
      <c r="C414" s="3"/>
      <c r="H414" s="3"/>
      <c r="AG414" s="91"/>
    </row>
    <row r="415" ht="15.75" customHeight="1">
      <c r="C415" s="3"/>
      <c r="H415" s="3"/>
      <c r="AG415" s="91"/>
    </row>
    <row r="416" ht="15.75" customHeight="1">
      <c r="C416" s="3"/>
      <c r="H416" s="3"/>
      <c r="AG416" s="91"/>
    </row>
    <row r="417" ht="15.75" customHeight="1">
      <c r="C417" s="3"/>
      <c r="H417" s="3"/>
      <c r="AG417" s="91"/>
    </row>
    <row r="418" ht="15.75" customHeight="1">
      <c r="C418" s="3"/>
      <c r="H418" s="3"/>
      <c r="AG418" s="91"/>
    </row>
    <row r="419" ht="15.75" customHeight="1">
      <c r="C419" s="3"/>
      <c r="H419" s="3"/>
      <c r="AG419" s="91"/>
    </row>
    <row r="420" ht="15.75" customHeight="1">
      <c r="C420" s="3"/>
      <c r="H420" s="3"/>
      <c r="AG420" s="91"/>
    </row>
    <row r="421" ht="15.75" customHeight="1">
      <c r="C421" s="3"/>
      <c r="H421" s="3"/>
      <c r="AG421" s="91"/>
    </row>
    <row r="422" ht="15.75" customHeight="1">
      <c r="C422" s="3"/>
      <c r="H422" s="3"/>
      <c r="AG422" s="91"/>
    </row>
    <row r="423" ht="15.75" customHeight="1">
      <c r="C423" s="3"/>
      <c r="H423" s="3"/>
      <c r="AG423" s="91"/>
    </row>
    <row r="424" ht="15.75" customHeight="1">
      <c r="C424" s="3"/>
      <c r="H424" s="3"/>
      <c r="AG424" s="91"/>
    </row>
    <row r="425" ht="15.75" customHeight="1">
      <c r="C425" s="3"/>
      <c r="H425" s="3"/>
      <c r="AG425" s="91"/>
    </row>
    <row r="426" ht="15.75" customHeight="1">
      <c r="C426" s="3"/>
      <c r="H426" s="3"/>
      <c r="AG426" s="91"/>
    </row>
    <row r="427" ht="15.75" customHeight="1">
      <c r="C427" s="3"/>
      <c r="H427" s="3"/>
      <c r="AG427" s="91"/>
    </row>
    <row r="428" ht="15.75" customHeight="1">
      <c r="C428" s="3"/>
      <c r="H428" s="3"/>
      <c r="AG428" s="91"/>
    </row>
    <row r="429" ht="15.75" customHeight="1">
      <c r="C429" s="3"/>
      <c r="H429" s="3"/>
      <c r="AG429" s="91"/>
    </row>
    <row r="430" ht="15.75" customHeight="1">
      <c r="C430" s="3"/>
      <c r="H430" s="3"/>
      <c r="AG430" s="91"/>
    </row>
    <row r="431" ht="15.75" customHeight="1">
      <c r="C431" s="3"/>
      <c r="H431" s="3"/>
      <c r="AG431" s="91"/>
    </row>
    <row r="432" ht="15.75" customHeight="1">
      <c r="C432" s="3"/>
      <c r="H432" s="3"/>
      <c r="AG432" s="91"/>
    </row>
    <row r="433" ht="15.75" customHeight="1">
      <c r="C433" s="3"/>
      <c r="H433" s="3"/>
      <c r="AG433" s="91"/>
    </row>
    <row r="434" ht="15.75" customHeight="1">
      <c r="C434" s="3"/>
      <c r="H434" s="3"/>
      <c r="AG434" s="91"/>
    </row>
    <row r="435" ht="15.75" customHeight="1">
      <c r="C435" s="3"/>
      <c r="H435" s="3"/>
      <c r="AG435" s="91"/>
    </row>
    <row r="436" ht="15.75" customHeight="1">
      <c r="C436" s="3"/>
      <c r="H436" s="3"/>
      <c r="AG436" s="91"/>
    </row>
    <row r="437" ht="15.75" customHeight="1">
      <c r="C437" s="3"/>
      <c r="H437" s="3"/>
      <c r="AG437" s="91"/>
    </row>
    <row r="438" ht="15.75" customHeight="1">
      <c r="C438" s="3"/>
      <c r="H438" s="3"/>
      <c r="AG438" s="91"/>
    </row>
    <row r="439" ht="15.75" customHeight="1">
      <c r="C439" s="3"/>
      <c r="H439" s="3"/>
      <c r="AG439" s="91"/>
    </row>
    <row r="440" ht="15.75" customHeight="1">
      <c r="C440" s="3"/>
      <c r="H440" s="3"/>
      <c r="AG440" s="91"/>
    </row>
    <row r="441" ht="15.75" customHeight="1">
      <c r="C441" s="3"/>
      <c r="H441" s="3"/>
      <c r="AG441" s="91"/>
    </row>
    <row r="442" ht="15.75" customHeight="1">
      <c r="C442" s="3"/>
      <c r="H442" s="3"/>
      <c r="AG442" s="91"/>
    </row>
    <row r="443" ht="15.75" customHeight="1">
      <c r="C443" s="3"/>
      <c r="H443" s="3"/>
      <c r="AG443" s="91"/>
    </row>
    <row r="444" ht="15.75" customHeight="1">
      <c r="C444" s="3"/>
      <c r="H444" s="3"/>
      <c r="AG444" s="91"/>
    </row>
    <row r="445" ht="15.75" customHeight="1">
      <c r="C445" s="3"/>
      <c r="H445" s="3"/>
      <c r="AG445" s="91"/>
    </row>
    <row r="446" ht="15.75" customHeight="1">
      <c r="C446" s="3"/>
      <c r="H446" s="3"/>
      <c r="AG446" s="91"/>
    </row>
    <row r="447" ht="15.75" customHeight="1">
      <c r="C447" s="3"/>
      <c r="H447" s="3"/>
      <c r="AG447" s="91"/>
    </row>
    <row r="448" ht="15.75" customHeight="1">
      <c r="C448" s="3"/>
      <c r="H448" s="3"/>
      <c r="AG448" s="91"/>
    </row>
    <row r="449" ht="15.75" customHeight="1">
      <c r="C449" s="3"/>
      <c r="H449" s="3"/>
      <c r="AG449" s="91"/>
    </row>
    <row r="450" ht="15.75" customHeight="1">
      <c r="C450" s="3"/>
      <c r="H450" s="3"/>
      <c r="AG450" s="91"/>
    </row>
    <row r="451" ht="15.75" customHeight="1">
      <c r="C451" s="3"/>
      <c r="H451" s="3"/>
      <c r="AG451" s="91"/>
    </row>
    <row r="452" ht="15.75" customHeight="1">
      <c r="C452" s="3"/>
      <c r="H452" s="3"/>
      <c r="AG452" s="91"/>
    </row>
    <row r="453" ht="15.75" customHeight="1">
      <c r="C453" s="3"/>
      <c r="H453" s="3"/>
      <c r="AG453" s="91"/>
    </row>
    <row r="454" ht="15.75" customHeight="1">
      <c r="C454" s="3"/>
      <c r="H454" s="3"/>
      <c r="AG454" s="91"/>
    </row>
    <row r="455" ht="15.75" customHeight="1">
      <c r="C455" s="3"/>
      <c r="H455" s="3"/>
      <c r="AG455" s="91"/>
    </row>
    <row r="456" ht="15.75" customHeight="1">
      <c r="C456" s="3"/>
      <c r="H456" s="3"/>
      <c r="AG456" s="91"/>
    </row>
    <row r="457" ht="15.75" customHeight="1">
      <c r="C457" s="3"/>
      <c r="H457" s="3"/>
      <c r="AG457" s="91"/>
    </row>
    <row r="458" ht="15.75" customHeight="1">
      <c r="C458" s="3"/>
      <c r="H458" s="3"/>
      <c r="AG458" s="91"/>
    </row>
    <row r="459" ht="15.75" customHeight="1">
      <c r="C459" s="3"/>
      <c r="H459" s="3"/>
      <c r="AG459" s="91"/>
    </row>
    <row r="460" ht="15.75" customHeight="1">
      <c r="C460" s="3"/>
      <c r="H460" s="3"/>
      <c r="AG460" s="91"/>
    </row>
    <row r="461" ht="15.75" customHeight="1">
      <c r="C461" s="3"/>
      <c r="H461" s="3"/>
      <c r="AG461" s="91"/>
    </row>
    <row r="462" ht="15.75" customHeight="1">
      <c r="C462" s="3"/>
      <c r="H462" s="3"/>
      <c r="AG462" s="91"/>
    </row>
    <row r="463" ht="15.75" customHeight="1">
      <c r="C463" s="3"/>
      <c r="H463" s="3"/>
      <c r="AG463" s="91"/>
    </row>
    <row r="464" ht="15.75" customHeight="1">
      <c r="C464" s="3"/>
      <c r="H464" s="3"/>
      <c r="AG464" s="91"/>
    </row>
    <row r="465" ht="15.75" customHeight="1">
      <c r="C465" s="3"/>
      <c r="H465" s="3"/>
      <c r="AG465" s="91"/>
    </row>
    <row r="466" ht="15.75" customHeight="1">
      <c r="C466" s="3"/>
      <c r="H466" s="3"/>
      <c r="AG466" s="91"/>
    </row>
    <row r="467" ht="15.75" customHeight="1">
      <c r="C467" s="3"/>
      <c r="H467" s="3"/>
      <c r="AG467" s="91"/>
    </row>
    <row r="468" ht="15.75" customHeight="1">
      <c r="C468" s="3"/>
      <c r="H468" s="3"/>
      <c r="AG468" s="91"/>
    </row>
    <row r="469" ht="15.75" customHeight="1">
      <c r="C469" s="3"/>
      <c r="H469" s="3"/>
      <c r="AG469" s="91"/>
    </row>
    <row r="470" ht="15.75" customHeight="1">
      <c r="C470" s="3"/>
      <c r="H470" s="3"/>
      <c r="AG470" s="91"/>
    </row>
    <row r="471" ht="15.75" customHeight="1">
      <c r="C471" s="3"/>
      <c r="H471" s="3"/>
      <c r="AG471" s="91"/>
    </row>
    <row r="472" ht="15.75" customHeight="1">
      <c r="C472" s="3"/>
      <c r="H472" s="3"/>
      <c r="AG472" s="91"/>
    </row>
    <row r="473" ht="15.75" customHeight="1">
      <c r="C473" s="3"/>
      <c r="H473" s="3"/>
      <c r="AG473" s="91"/>
    </row>
    <row r="474" ht="15.75" customHeight="1">
      <c r="C474" s="3"/>
      <c r="H474" s="3"/>
      <c r="AG474" s="91"/>
    </row>
    <row r="475" ht="15.75" customHeight="1">
      <c r="C475" s="3"/>
      <c r="H475" s="3"/>
      <c r="AG475" s="91"/>
    </row>
    <row r="476" ht="15.75" customHeight="1">
      <c r="C476" s="3"/>
      <c r="H476" s="3"/>
      <c r="AG476" s="91"/>
    </row>
    <row r="477" ht="15.75" customHeight="1">
      <c r="C477" s="3"/>
      <c r="H477" s="3"/>
      <c r="AG477" s="91"/>
    </row>
    <row r="478" ht="15.75" customHeight="1">
      <c r="C478" s="3"/>
      <c r="H478" s="3"/>
      <c r="AG478" s="91"/>
    </row>
    <row r="479" ht="15.75" customHeight="1">
      <c r="C479" s="3"/>
      <c r="H479" s="3"/>
      <c r="AG479" s="91"/>
    </row>
    <row r="480" ht="15.75" customHeight="1">
      <c r="C480" s="3"/>
      <c r="H480" s="3"/>
      <c r="AG480" s="91"/>
    </row>
    <row r="481" ht="15.75" customHeight="1">
      <c r="C481" s="3"/>
      <c r="H481" s="3"/>
      <c r="AG481" s="91"/>
    </row>
    <row r="482" ht="15.75" customHeight="1">
      <c r="C482" s="3"/>
      <c r="H482" s="3"/>
      <c r="AG482" s="91"/>
    </row>
    <row r="483" ht="15.75" customHeight="1">
      <c r="C483" s="3"/>
      <c r="H483" s="3"/>
      <c r="AG483" s="91"/>
    </row>
    <row r="484" ht="15.75" customHeight="1">
      <c r="C484" s="3"/>
      <c r="H484" s="3"/>
      <c r="AG484" s="91"/>
    </row>
    <row r="485" ht="15.75" customHeight="1">
      <c r="C485" s="3"/>
      <c r="H485" s="3"/>
      <c r="AG485" s="91"/>
    </row>
    <row r="486" ht="15.75" customHeight="1">
      <c r="C486" s="3"/>
      <c r="H486" s="3"/>
      <c r="AG486" s="91"/>
    </row>
    <row r="487" ht="15.75" customHeight="1">
      <c r="C487" s="3"/>
      <c r="H487" s="3"/>
      <c r="AG487" s="91"/>
    </row>
    <row r="488" ht="15.75" customHeight="1">
      <c r="C488" s="3"/>
      <c r="H488" s="3"/>
      <c r="AG488" s="91"/>
    </row>
    <row r="489" ht="15.75" customHeight="1">
      <c r="C489" s="3"/>
      <c r="H489" s="3"/>
      <c r="AG489" s="91"/>
    </row>
    <row r="490" ht="15.75" customHeight="1">
      <c r="C490" s="3"/>
      <c r="H490" s="3"/>
      <c r="AG490" s="91"/>
    </row>
    <row r="491" ht="15.75" customHeight="1">
      <c r="C491" s="3"/>
      <c r="H491" s="3"/>
      <c r="AG491" s="91"/>
    </row>
    <row r="492" ht="15.75" customHeight="1">
      <c r="C492" s="3"/>
      <c r="H492" s="3"/>
      <c r="AG492" s="91"/>
    </row>
    <row r="493" ht="15.75" customHeight="1">
      <c r="C493" s="3"/>
      <c r="H493" s="3"/>
      <c r="AG493" s="91"/>
    </row>
    <row r="494" ht="15.75" customHeight="1">
      <c r="C494" s="3"/>
      <c r="H494" s="3"/>
      <c r="AG494" s="91"/>
    </row>
    <row r="495" ht="15.75" customHeight="1">
      <c r="C495" s="3"/>
      <c r="H495" s="3"/>
      <c r="AG495" s="91"/>
    </row>
    <row r="496" ht="15.75" customHeight="1">
      <c r="C496" s="3"/>
      <c r="H496" s="3"/>
      <c r="AG496" s="91"/>
    </row>
    <row r="497" ht="15.75" customHeight="1">
      <c r="C497" s="3"/>
      <c r="H497" s="3"/>
      <c r="AG497" s="91"/>
    </row>
    <row r="498" ht="15.75" customHeight="1">
      <c r="C498" s="3"/>
      <c r="H498" s="3"/>
      <c r="AG498" s="91"/>
    </row>
    <row r="499" ht="15.75" customHeight="1">
      <c r="C499" s="3"/>
      <c r="H499" s="3"/>
      <c r="AG499" s="91"/>
    </row>
    <row r="500" ht="15.75" customHeight="1">
      <c r="C500" s="3"/>
      <c r="H500" s="3"/>
      <c r="AG500" s="91"/>
    </row>
    <row r="501" ht="15.75" customHeight="1">
      <c r="C501" s="3"/>
      <c r="H501" s="3"/>
      <c r="AG501" s="91"/>
    </row>
    <row r="502" ht="15.75" customHeight="1">
      <c r="C502" s="3"/>
      <c r="H502" s="3"/>
      <c r="AG502" s="91"/>
    </row>
    <row r="503" ht="15.75" customHeight="1">
      <c r="C503" s="3"/>
      <c r="H503" s="3"/>
      <c r="AG503" s="91"/>
    </row>
    <row r="504" ht="15.75" customHeight="1">
      <c r="C504" s="3"/>
      <c r="H504" s="3"/>
      <c r="AG504" s="91"/>
    </row>
    <row r="505" ht="15.75" customHeight="1">
      <c r="C505" s="3"/>
      <c r="H505" s="3"/>
      <c r="AG505" s="91"/>
    </row>
    <row r="506" ht="15.75" customHeight="1">
      <c r="C506" s="3"/>
      <c r="H506" s="3"/>
      <c r="AG506" s="91"/>
    </row>
    <row r="507" ht="15.75" customHeight="1">
      <c r="C507" s="3"/>
      <c r="H507" s="3"/>
      <c r="AG507" s="91"/>
    </row>
    <row r="508" ht="15.75" customHeight="1">
      <c r="C508" s="3"/>
      <c r="H508" s="3"/>
      <c r="AG508" s="91"/>
    </row>
    <row r="509" ht="15.75" customHeight="1">
      <c r="C509" s="3"/>
      <c r="H509" s="3"/>
      <c r="AG509" s="91"/>
    </row>
    <row r="510" ht="15.75" customHeight="1">
      <c r="C510" s="3"/>
      <c r="H510" s="3"/>
      <c r="AG510" s="91"/>
    </row>
    <row r="511" ht="15.75" customHeight="1">
      <c r="C511" s="3"/>
      <c r="H511" s="3"/>
      <c r="AG511" s="91"/>
    </row>
    <row r="512" ht="15.75" customHeight="1">
      <c r="C512" s="3"/>
      <c r="H512" s="3"/>
      <c r="AG512" s="91"/>
    </row>
    <row r="513" ht="15.75" customHeight="1">
      <c r="C513" s="3"/>
      <c r="H513" s="3"/>
      <c r="AG513" s="91"/>
    </row>
    <row r="514" ht="15.75" customHeight="1">
      <c r="C514" s="3"/>
      <c r="H514" s="3"/>
      <c r="AG514" s="91"/>
    </row>
    <row r="515" ht="15.75" customHeight="1">
      <c r="C515" s="3"/>
      <c r="H515" s="3"/>
      <c r="AG515" s="91"/>
    </row>
    <row r="516" ht="15.75" customHeight="1">
      <c r="C516" s="3"/>
      <c r="H516" s="3"/>
      <c r="AG516" s="91"/>
    </row>
    <row r="517" ht="15.75" customHeight="1">
      <c r="C517" s="3"/>
      <c r="H517" s="3"/>
      <c r="AG517" s="91"/>
    </row>
    <row r="518" ht="15.75" customHeight="1">
      <c r="C518" s="3"/>
      <c r="H518" s="3"/>
      <c r="AG518" s="91"/>
    </row>
    <row r="519" ht="15.75" customHeight="1">
      <c r="C519" s="3"/>
      <c r="H519" s="3"/>
      <c r="AG519" s="91"/>
    </row>
    <row r="520" ht="15.75" customHeight="1">
      <c r="C520" s="3"/>
      <c r="H520" s="3"/>
      <c r="AG520" s="91"/>
    </row>
    <row r="521" ht="15.75" customHeight="1">
      <c r="C521" s="3"/>
      <c r="H521" s="3"/>
      <c r="AG521" s="91"/>
    </row>
    <row r="522" ht="15.75" customHeight="1">
      <c r="C522" s="3"/>
      <c r="H522" s="3"/>
      <c r="AG522" s="91"/>
    </row>
    <row r="523" ht="15.75" customHeight="1">
      <c r="C523" s="3"/>
      <c r="H523" s="3"/>
      <c r="AG523" s="91"/>
    </row>
    <row r="524" ht="15.75" customHeight="1">
      <c r="C524" s="3"/>
      <c r="H524" s="3"/>
      <c r="AG524" s="91"/>
    </row>
    <row r="525" ht="15.75" customHeight="1">
      <c r="C525" s="3"/>
      <c r="H525" s="3"/>
      <c r="AG525" s="91"/>
    </row>
    <row r="526" ht="15.75" customHeight="1">
      <c r="C526" s="3"/>
      <c r="H526" s="3"/>
      <c r="AG526" s="91"/>
    </row>
    <row r="527" ht="15.75" customHeight="1">
      <c r="C527" s="3"/>
      <c r="H527" s="3"/>
      <c r="AG527" s="91"/>
    </row>
    <row r="528" ht="15.75" customHeight="1">
      <c r="C528" s="3"/>
      <c r="H528" s="3"/>
      <c r="AG528" s="91"/>
    </row>
    <row r="529" ht="15.75" customHeight="1">
      <c r="C529" s="3"/>
      <c r="H529" s="3"/>
      <c r="AG529" s="91"/>
    </row>
    <row r="530" ht="15.75" customHeight="1">
      <c r="C530" s="3"/>
      <c r="H530" s="3"/>
      <c r="AG530" s="91"/>
    </row>
    <row r="531" ht="15.75" customHeight="1">
      <c r="C531" s="3"/>
      <c r="H531" s="3"/>
      <c r="AG531" s="91"/>
    </row>
    <row r="532" ht="15.75" customHeight="1">
      <c r="C532" s="3"/>
      <c r="H532" s="3"/>
      <c r="AG532" s="91"/>
    </row>
    <row r="533" ht="15.75" customHeight="1">
      <c r="C533" s="3"/>
      <c r="H533" s="3"/>
      <c r="AG533" s="91"/>
    </row>
    <row r="534" ht="15.75" customHeight="1">
      <c r="C534" s="3"/>
      <c r="H534" s="3"/>
      <c r="AG534" s="91"/>
    </row>
    <row r="535" ht="15.75" customHeight="1">
      <c r="C535" s="3"/>
      <c r="H535" s="3"/>
      <c r="AG535" s="91"/>
    </row>
    <row r="536" ht="15.75" customHeight="1">
      <c r="C536" s="3"/>
      <c r="H536" s="3"/>
      <c r="AG536" s="91"/>
    </row>
    <row r="537" ht="15.75" customHeight="1">
      <c r="C537" s="3"/>
      <c r="H537" s="3"/>
      <c r="AG537" s="91"/>
    </row>
    <row r="538" ht="15.75" customHeight="1">
      <c r="C538" s="3"/>
      <c r="H538" s="3"/>
      <c r="AG538" s="91"/>
    </row>
    <row r="539" ht="15.75" customHeight="1">
      <c r="C539" s="3"/>
      <c r="H539" s="3"/>
      <c r="AG539" s="91"/>
    </row>
    <row r="540" ht="15.75" customHeight="1">
      <c r="C540" s="3"/>
      <c r="H540" s="3"/>
      <c r="AG540" s="91"/>
    </row>
    <row r="541" ht="15.75" customHeight="1">
      <c r="C541" s="3"/>
      <c r="H541" s="3"/>
      <c r="AG541" s="91"/>
    </row>
    <row r="542" ht="15.75" customHeight="1">
      <c r="C542" s="3"/>
      <c r="H542" s="3"/>
      <c r="AG542" s="91"/>
    </row>
    <row r="543" ht="15.75" customHeight="1">
      <c r="C543" s="3"/>
      <c r="H543" s="3"/>
      <c r="AG543" s="91"/>
    </row>
    <row r="544" ht="15.75" customHeight="1">
      <c r="C544" s="3"/>
      <c r="H544" s="3"/>
      <c r="AG544" s="91"/>
    </row>
    <row r="545" ht="15.75" customHeight="1">
      <c r="C545" s="3"/>
      <c r="H545" s="3"/>
      <c r="AG545" s="91"/>
    </row>
    <row r="546" ht="15.75" customHeight="1">
      <c r="C546" s="3"/>
      <c r="H546" s="3"/>
      <c r="AG546" s="91"/>
    </row>
    <row r="547" ht="15.75" customHeight="1">
      <c r="C547" s="3"/>
      <c r="H547" s="3"/>
      <c r="AG547" s="91"/>
    </row>
    <row r="548" ht="15.75" customHeight="1">
      <c r="C548" s="3"/>
      <c r="H548" s="3"/>
      <c r="AG548" s="91"/>
    </row>
    <row r="549" ht="15.75" customHeight="1">
      <c r="C549" s="3"/>
      <c r="H549" s="3"/>
      <c r="AG549" s="91"/>
    </row>
    <row r="550" ht="15.75" customHeight="1">
      <c r="C550" s="3"/>
      <c r="H550" s="3"/>
      <c r="AG550" s="91"/>
    </row>
    <row r="551" ht="15.75" customHeight="1">
      <c r="C551" s="3"/>
      <c r="H551" s="3"/>
      <c r="AG551" s="91"/>
    </row>
    <row r="552" ht="15.75" customHeight="1">
      <c r="C552" s="3"/>
      <c r="H552" s="3"/>
      <c r="AG552" s="91"/>
    </row>
    <row r="553" ht="15.75" customHeight="1">
      <c r="C553" s="3"/>
      <c r="H553" s="3"/>
      <c r="AG553" s="91"/>
    </row>
    <row r="554" ht="15.75" customHeight="1">
      <c r="C554" s="3"/>
      <c r="H554" s="3"/>
      <c r="AG554" s="91"/>
    </row>
    <row r="555" ht="15.75" customHeight="1">
      <c r="C555" s="3"/>
      <c r="H555" s="3"/>
      <c r="AG555" s="91"/>
    </row>
    <row r="556" ht="15.75" customHeight="1">
      <c r="C556" s="3"/>
      <c r="H556" s="3"/>
      <c r="AG556" s="91"/>
    </row>
    <row r="557" ht="15.75" customHeight="1">
      <c r="C557" s="3"/>
      <c r="H557" s="3"/>
      <c r="AG557" s="91"/>
    </row>
    <row r="558" ht="15.75" customHeight="1">
      <c r="C558" s="3"/>
      <c r="H558" s="3"/>
      <c r="AG558" s="91"/>
    </row>
    <row r="559" ht="15.75" customHeight="1">
      <c r="C559" s="3"/>
      <c r="H559" s="3"/>
      <c r="AG559" s="91"/>
    </row>
    <row r="560" ht="15.75" customHeight="1">
      <c r="C560" s="3"/>
      <c r="H560" s="3"/>
      <c r="AG560" s="91"/>
    </row>
    <row r="561" ht="15.75" customHeight="1">
      <c r="C561" s="3"/>
      <c r="H561" s="3"/>
      <c r="AG561" s="91"/>
    </row>
    <row r="562" ht="15.75" customHeight="1">
      <c r="C562" s="3"/>
      <c r="H562" s="3"/>
      <c r="AG562" s="91"/>
    </row>
    <row r="563" ht="15.75" customHeight="1">
      <c r="C563" s="3"/>
      <c r="H563" s="3"/>
      <c r="AG563" s="91"/>
    </row>
    <row r="564" ht="15.75" customHeight="1">
      <c r="C564" s="3"/>
      <c r="H564" s="3"/>
      <c r="AG564" s="91"/>
    </row>
    <row r="565" ht="15.75" customHeight="1">
      <c r="C565" s="3"/>
      <c r="H565" s="3"/>
      <c r="AG565" s="91"/>
    </row>
    <row r="566" ht="15.75" customHeight="1">
      <c r="C566" s="3"/>
      <c r="H566" s="3"/>
      <c r="AG566" s="91"/>
    </row>
    <row r="567" ht="15.75" customHeight="1">
      <c r="C567" s="3"/>
      <c r="H567" s="3"/>
      <c r="AG567" s="91"/>
    </row>
    <row r="568" ht="15.75" customHeight="1">
      <c r="C568" s="3"/>
      <c r="H568" s="3"/>
      <c r="AG568" s="91"/>
    </row>
    <row r="569" ht="15.75" customHeight="1">
      <c r="C569" s="3"/>
      <c r="H569" s="3"/>
      <c r="AG569" s="91"/>
    </row>
    <row r="570" ht="15.75" customHeight="1">
      <c r="C570" s="3"/>
      <c r="H570" s="3"/>
      <c r="AG570" s="91"/>
    </row>
    <row r="571" ht="15.75" customHeight="1">
      <c r="C571" s="3"/>
      <c r="H571" s="3"/>
      <c r="AG571" s="91"/>
    </row>
    <row r="572" ht="15.75" customHeight="1">
      <c r="C572" s="3"/>
      <c r="H572" s="3"/>
      <c r="AG572" s="91"/>
    </row>
    <row r="573" ht="15.75" customHeight="1">
      <c r="C573" s="3"/>
      <c r="H573" s="3"/>
      <c r="AG573" s="91"/>
    </row>
    <row r="574" ht="15.75" customHeight="1">
      <c r="C574" s="3"/>
      <c r="H574" s="3"/>
      <c r="AG574" s="91"/>
    </row>
    <row r="575" ht="15.75" customHeight="1">
      <c r="C575" s="3"/>
      <c r="H575" s="3"/>
      <c r="AG575" s="91"/>
    </row>
    <row r="576" ht="15.75" customHeight="1">
      <c r="C576" s="3"/>
      <c r="H576" s="3"/>
      <c r="AG576" s="91"/>
    </row>
    <row r="577" ht="15.75" customHeight="1">
      <c r="C577" s="3"/>
      <c r="H577" s="3"/>
      <c r="AG577" s="91"/>
    </row>
    <row r="578" ht="15.75" customHeight="1">
      <c r="C578" s="3"/>
      <c r="H578" s="3"/>
      <c r="AG578" s="91"/>
    </row>
    <row r="579" ht="15.75" customHeight="1">
      <c r="C579" s="3"/>
      <c r="H579" s="3"/>
      <c r="AG579" s="91"/>
    </row>
    <row r="580" ht="15.75" customHeight="1">
      <c r="C580" s="3"/>
      <c r="H580" s="3"/>
      <c r="AG580" s="91"/>
    </row>
    <row r="581" ht="15.75" customHeight="1">
      <c r="C581" s="3"/>
      <c r="H581" s="3"/>
      <c r="AG581" s="91"/>
    </row>
    <row r="582" ht="15.75" customHeight="1">
      <c r="C582" s="3"/>
      <c r="H582" s="3"/>
      <c r="AG582" s="91"/>
    </row>
    <row r="583" ht="15.75" customHeight="1">
      <c r="C583" s="3"/>
      <c r="H583" s="3"/>
      <c r="AG583" s="91"/>
    </row>
    <row r="584" ht="15.75" customHeight="1">
      <c r="C584" s="3"/>
      <c r="H584" s="3"/>
      <c r="AG584" s="91"/>
    </row>
    <row r="585" ht="15.75" customHeight="1">
      <c r="C585" s="3"/>
      <c r="H585" s="3"/>
      <c r="AG585" s="91"/>
    </row>
    <row r="586" ht="15.75" customHeight="1">
      <c r="C586" s="3"/>
      <c r="H586" s="3"/>
      <c r="AG586" s="91"/>
    </row>
    <row r="587" ht="15.75" customHeight="1">
      <c r="C587" s="3"/>
      <c r="H587" s="3"/>
      <c r="AG587" s="91"/>
    </row>
    <row r="588" ht="15.75" customHeight="1">
      <c r="C588" s="3"/>
      <c r="H588" s="3"/>
      <c r="AG588" s="91"/>
    </row>
    <row r="589" ht="15.75" customHeight="1">
      <c r="C589" s="3"/>
      <c r="H589" s="3"/>
      <c r="AG589" s="91"/>
    </row>
    <row r="590" ht="15.75" customHeight="1">
      <c r="C590" s="3"/>
      <c r="H590" s="3"/>
      <c r="AG590" s="91"/>
    </row>
    <row r="591" ht="15.75" customHeight="1">
      <c r="C591" s="3"/>
      <c r="H591" s="3"/>
      <c r="AG591" s="91"/>
    </row>
    <row r="592" ht="15.75" customHeight="1">
      <c r="C592" s="3"/>
      <c r="H592" s="3"/>
      <c r="AG592" s="91"/>
    </row>
    <row r="593" ht="15.75" customHeight="1">
      <c r="C593" s="3"/>
      <c r="H593" s="3"/>
      <c r="AG593" s="91"/>
    </row>
    <row r="594" ht="15.75" customHeight="1">
      <c r="C594" s="3"/>
      <c r="H594" s="3"/>
      <c r="AG594" s="91"/>
    </row>
    <row r="595" ht="15.75" customHeight="1">
      <c r="C595" s="3"/>
      <c r="H595" s="3"/>
      <c r="AG595" s="91"/>
    </row>
    <row r="596" ht="15.75" customHeight="1">
      <c r="C596" s="3"/>
      <c r="H596" s="3"/>
      <c r="AG596" s="91"/>
    </row>
    <row r="597" ht="15.75" customHeight="1">
      <c r="C597" s="3"/>
      <c r="H597" s="3"/>
      <c r="AG597" s="91"/>
    </row>
    <row r="598" ht="15.75" customHeight="1">
      <c r="C598" s="3"/>
      <c r="H598" s="3"/>
      <c r="AG598" s="91"/>
    </row>
    <row r="599" ht="15.75" customHeight="1">
      <c r="C599" s="3"/>
      <c r="H599" s="3"/>
      <c r="AG599" s="91"/>
    </row>
    <row r="600" ht="15.75" customHeight="1">
      <c r="C600" s="3"/>
      <c r="H600" s="3"/>
      <c r="AG600" s="91"/>
    </row>
    <row r="601" ht="15.75" customHeight="1">
      <c r="C601" s="3"/>
      <c r="H601" s="3"/>
      <c r="AG601" s="91"/>
    </row>
    <row r="602" ht="15.75" customHeight="1">
      <c r="C602" s="3"/>
      <c r="H602" s="3"/>
      <c r="AG602" s="91"/>
    </row>
    <row r="603" ht="15.75" customHeight="1">
      <c r="C603" s="3"/>
      <c r="H603" s="3"/>
      <c r="AG603" s="91"/>
    </row>
    <row r="604" ht="15.75" customHeight="1">
      <c r="C604" s="3"/>
      <c r="H604" s="3"/>
      <c r="AG604" s="91"/>
    </row>
    <row r="605" ht="15.75" customHeight="1">
      <c r="C605" s="3"/>
      <c r="H605" s="3"/>
      <c r="AG605" s="91"/>
    </row>
    <row r="606" ht="15.75" customHeight="1">
      <c r="C606" s="3"/>
      <c r="H606" s="3"/>
      <c r="AG606" s="91"/>
    </row>
    <row r="607" ht="15.75" customHeight="1">
      <c r="C607" s="3"/>
      <c r="H607" s="3"/>
      <c r="AG607" s="91"/>
    </row>
    <row r="608" ht="15.75" customHeight="1">
      <c r="C608" s="3"/>
      <c r="H608" s="3"/>
      <c r="AG608" s="91"/>
    </row>
    <row r="609" ht="15.75" customHeight="1">
      <c r="C609" s="3"/>
      <c r="H609" s="3"/>
      <c r="AG609" s="91"/>
    </row>
    <row r="610" ht="15.75" customHeight="1">
      <c r="C610" s="3"/>
      <c r="H610" s="3"/>
      <c r="AG610" s="91"/>
    </row>
    <row r="611" ht="15.75" customHeight="1">
      <c r="C611" s="3"/>
      <c r="H611" s="3"/>
      <c r="AG611" s="91"/>
    </row>
    <row r="612" ht="15.75" customHeight="1">
      <c r="C612" s="3"/>
      <c r="H612" s="3"/>
      <c r="AG612" s="91"/>
    </row>
    <row r="613" ht="15.75" customHeight="1">
      <c r="C613" s="3"/>
      <c r="H613" s="3"/>
      <c r="AG613" s="91"/>
    </row>
    <row r="614" ht="15.75" customHeight="1">
      <c r="C614" s="3"/>
      <c r="H614" s="3"/>
      <c r="AG614" s="91"/>
    </row>
    <row r="615" ht="15.75" customHeight="1">
      <c r="C615" s="3"/>
      <c r="H615" s="3"/>
      <c r="AG615" s="91"/>
    </row>
    <row r="616" ht="15.75" customHeight="1">
      <c r="C616" s="3"/>
      <c r="H616" s="3"/>
      <c r="AG616" s="91"/>
    </row>
    <row r="617" ht="15.75" customHeight="1">
      <c r="C617" s="3"/>
      <c r="H617" s="3"/>
      <c r="AG617" s="91"/>
    </row>
    <row r="618" ht="15.75" customHeight="1">
      <c r="C618" s="3"/>
      <c r="H618" s="3"/>
      <c r="AG618" s="91"/>
    </row>
    <row r="619" ht="15.75" customHeight="1">
      <c r="C619" s="3"/>
      <c r="H619" s="3"/>
      <c r="AG619" s="91"/>
    </row>
    <row r="620" ht="15.75" customHeight="1">
      <c r="C620" s="3"/>
      <c r="H620" s="3"/>
      <c r="AG620" s="91"/>
    </row>
    <row r="621" ht="15.75" customHeight="1">
      <c r="C621" s="3"/>
      <c r="H621" s="3"/>
      <c r="AG621" s="91"/>
    </row>
    <row r="622" ht="15.75" customHeight="1">
      <c r="C622" s="3"/>
      <c r="H622" s="3"/>
      <c r="AG622" s="91"/>
    </row>
    <row r="623" ht="15.75" customHeight="1">
      <c r="C623" s="3"/>
      <c r="H623" s="3"/>
      <c r="AG623" s="91"/>
    </row>
    <row r="624" ht="15.75" customHeight="1">
      <c r="C624" s="3"/>
      <c r="H624" s="3"/>
      <c r="AG624" s="91"/>
    </row>
    <row r="625" ht="15.75" customHeight="1">
      <c r="C625" s="3"/>
      <c r="H625" s="3"/>
      <c r="AG625" s="91"/>
    </row>
    <row r="626" ht="15.75" customHeight="1">
      <c r="C626" s="3"/>
      <c r="H626" s="3"/>
      <c r="AG626" s="91"/>
    </row>
    <row r="627" ht="15.75" customHeight="1">
      <c r="C627" s="3"/>
      <c r="H627" s="3"/>
      <c r="AG627" s="91"/>
    </row>
    <row r="628" ht="15.75" customHeight="1">
      <c r="C628" s="3"/>
      <c r="H628" s="3"/>
      <c r="AG628" s="91"/>
    </row>
    <row r="629" ht="15.75" customHeight="1">
      <c r="C629" s="3"/>
      <c r="H629" s="3"/>
      <c r="AG629" s="91"/>
    </row>
    <row r="630" ht="15.75" customHeight="1">
      <c r="C630" s="3"/>
      <c r="H630" s="3"/>
      <c r="AG630" s="91"/>
    </row>
    <row r="631" ht="15.75" customHeight="1">
      <c r="C631" s="3"/>
      <c r="H631" s="3"/>
      <c r="AG631" s="91"/>
    </row>
    <row r="632" ht="15.75" customHeight="1">
      <c r="C632" s="3"/>
      <c r="H632" s="3"/>
      <c r="AG632" s="91"/>
    </row>
    <row r="633" ht="15.75" customHeight="1">
      <c r="C633" s="3"/>
      <c r="H633" s="3"/>
      <c r="AG633" s="91"/>
    </row>
    <row r="634" ht="15.75" customHeight="1">
      <c r="C634" s="3"/>
      <c r="H634" s="3"/>
      <c r="AG634" s="91"/>
    </row>
    <row r="635" ht="15.75" customHeight="1">
      <c r="C635" s="3"/>
      <c r="H635" s="3"/>
      <c r="AG635" s="91"/>
    </row>
    <row r="636" ht="15.75" customHeight="1">
      <c r="C636" s="3"/>
      <c r="H636" s="3"/>
      <c r="AG636" s="91"/>
    </row>
    <row r="637" ht="15.75" customHeight="1">
      <c r="C637" s="3"/>
      <c r="H637" s="3"/>
      <c r="AG637" s="91"/>
    </row>
    <row r="638" ht="15.75" customHeight="1">
      <c r="C638" s="3"/>
      <c r="H638" s="3"/>
      <c r="AG638" s="91"/>
    </row>
    <row r="639" ht="15.75" customHeight="1">
      <c r="C639" s="3"/>
      <c r="H639" s="3"/>
      <c r="AG639" s="91"/>
    </row>
    <row r="640" ht="15.75" customHeight="1">
      <c r="C640" s="3"/>
      <c r="H640" s="3"/>
      <c r="AG640" s="91"/>
    </row>
    <row r="641" ht="15.75" customHeight="1">
      <c r="C641" s="3"/>
      <c r="H641" s="3"/>
      <c r="AG641" s="91"/>
    </row>
    <row r="642" ht="15.75" customHeight="1">
      <c r="C642" s="3"/>
      <c r="H642" s="3"/>
      <c r="AG642" s="91"/>
    </row>
    <row r="643" ht="15.75" customHeight="1">
      <c r="C643" s="3"/>
      <c r="H643" s="3"/>
      <c r="AG643" s="91"/>
    </row>
    <row r="644" ht="15.75" customHeight="1">
      <c r="C644" s="3"/>
      <c r="H644" s="3"/>
      <c r="AG644" s="91"/>
    </row>
    <row r="645" ht="15.75" customHeight="1">
      <c r="C645" s="3"/>
      <c r="H645" s="3"/>
      <c r="AG645" s="91"/>
    </row>
    <row r="646" ht="15.75" customHeight="1">
      <c r="C646" s="3"/>
      <c r="H646" s="3"/>
      <c r="AG646" s="91"/>
    </row>
    <row r="647" ht="15.75" customHeight="1">
      <c r="C647" s="3"/>
      <c r="H647" s="3"/>
      <c r="AG647" s="91"/>
    </row>
    <row r="648" ht="15.75" customHeight="1">
      <c r="C648" s="3"/>
      <c r="H648" s="3"/>
      <c r="AG648" s="91"/>
    </row>
    <row r="649" ht="15.75" customHeight="1">
      <c r="C649" s="3"/>
      <c r="H649" s="3"/>
      <c r="AG649" s="91"/>
    </row>
    <row r="650" ht="15.75" customHeight="1">
      <c r="C650" s="3"/>
      <c r="H650" s="3"/>
      <c r="AG650" s="91"/>
    </row>
    <row r="651" ht="15.75" customHeight="1">
      <c r="C651" s="3"/>
      <c r="H651" s="3"/>
      <c r="AG651" s="91"/>
    </row>
    <row r="652" ht="15.75" customHeight="1">
      <c r="C652" s="3"/>
      <c r="H652" s="3"/>
      <c r="AG652" s="91"/>
    </row>
    <row r="653" ht="15.75" customHeight="1">
      <c r="C653" s="3"/>
      <c r="H653" s="3"/>
      <c r="AG653" s="91"/>
    </row>
    <row r="654" ht="15.75" customHeight="1">
      <c r="C654" s="3"/>
      <c r="H654" s="3"/>
      <c r="AG654" s="91"/>
    </row>
    <row r="655" ht="15.75" customHeight="1">
      <c r="C655" s="3"/>
      <c r="H655" s="3"/>
      <c r="AG655" s="91"/>
    </row>
    <row r="656" ht="15.75" customHeight="1">
      <c r="C656" s="3"/>
      <c r="H656" s="3"/>
      <c r="AG656" s="91"/>
    </row>
    <row r="657" ht="15.75" customHeight="1">
      <c r="C657" s="3"/>
      <c r="H657" s="3"/>
      <c r="AG657" s="91"/>
    </row>
    <row r="658" ht="15.75" customHeight="1">
      <c r="C658" s="3"/>
      <c r="H658" s="3"/>
      <c r="AG658" s="91"/>
    </row>
    <row r="659" ht="15.75" customHeight="1">
      <c r="C659" s="3"/>
      <c r="H659" s="3"/>
      <c r="AG659" s="91"/>
    </row>
    <row r="660" ht="15.75" customHeight="1">
      <c r="C660" s="3"/>
      <c r="H660" s="3"/>
      <c r="AG660" s="91"/>
    </row>
    <row r="661" ht="15.75" customHeight="1">
      <c r="C661" s="3"/>
      <c r="H661" s="3"/>
      <c r="AG661" s="91"/>
    </row>
    <row r="662" ht="15.75" customHeight="1">
      <c r="C662" s="3"/>
      <c r="H662" s="3"/>
      <c r="AG662" s="91"/>
    </row>
    <row r="663" ht="15.75" customHeight="1">
      <c r="C663" s="3"/>
      <c r="H663" s="3"/>
      <c r="AG663" s="91"/>
    </row>
    <row r="664" ht="15.75" customHeight="1">
      <c r="C664" s="3"/>
      <c r="H664" s="3"/>
      <c r="AG664" s="91"/>
    </row>
    <row r="665" ht="15.75" customHeight="1">
      <c r="C665" s="3"/>
      <c r="H665" s="3"/>
      <c r="AG665" s="91"/>
    </row>
    <row r="666" ht="15.75" customHeight="1">
      <c r="C666" s="3"/>
      <c r="H666" s="3"/>
      <c r="AG666" s="91"/>
    </row>
    <row r="667" ht="15.75" customHeight="1">
      <c r="C667" s="3"/>
      <c r="H667" s="3"/>
      <c r="AG667" s="91"/>
    </row>
    <row r="668" ht="15.75" customHeight="1">
      <c r="C668" s="3"/>
      <c r="H668" s="3"/>
      <c r="AG668" s="91"/>
    </row>
    <row r="669" ht="15.75" customHeight="1">
      <c r="C669" s="3"/>
      <c r="H669" s="3"/>
      <c r="AG669" s="91"/>
    </row>
    <row r="670" ht="15.75" customHeight="1">
      <c r="C670" s="3"/>
      <c r="H670" s="3"/>
      <c r="AG670" s="91"/>
    </row>
    <row r="671" ht="15.75" customHeight="1">
      <c r="C671" s="3"/>
      <c r="H671" s="3"/>
      <c r="AG671" s="91"/>
    </row>
    <row r="672" ht="15.75" customHeight="1">
      <c r="C672" s="3"/>
      <c r="H672" s="3"/>
      <c r="AG672" s="91"/>
    </row>
    <row r="673" ht="15.75" customHeight="1">
      <c r="C673" s="3"/>
      <c r="H673" s="3"/>
      <c r="AG673" s="91"/>
    </row>
    <row r="674" ht="15.75" customHeight="1">
      <c r="C674" s="3"/>
      <c r="H674" s="3"/>
      <c r="AG674" s="91"/>
    </row>
    <row r="675" ht="15.75" customHeight="1">
      <c r="C675" s="3"/>
      <c r="H675" s="3"/>
      <c r="AG675" s="91"/>
    </row>
    <row r="676" ht="15.75" customHeight="1">
      <c r="C676" s="3"/>
      <c r="H676" s="3"/>
      <c r="AG676" s="91"/>
    </row>
    <row r="677" ht="15.75" customHeight="1">
      <c r="C677" s="3"/>
      <c r="H677" s="3"/>
      <c r="AG677" s="91"/>
    </row>
    <row r="678" ht="15.75" customHeight="1">
      <c r="C678" s="3"/>
      <c r="H678" s="3"/>
      <c r="AG678" s="91"/>
    </row>
    <row r="679" ht="15.75" customHeight="1">
      <c r="C679" s="3"/>
      <c r="H679" s="3"/>
      <c r="AG679" s="91"/>
    </row>
    <row r="680" ht="15.75" customHeight="1">
      <c r="C680" s="3"/>
      <c r="H680" s="3"/>
      <c r="AG680" s="91"/>
    </row>
    <row r="681" ht="15.75" customHeight="1">
      <c r="C681" s="3"/>
      <c r="H681" s="3"/>
      <c r="AG681" s="91"/>
    </row>
    <row r="682" ht="15.75" customHeight="1">
      <c r="C682" s="3"/>
      <c r="H682" s="3"/>
      <c r="AG682" s="91"/>
    </row>
    <row r="683" ht="15.75" customHeight="1">
      <c r="C683" s="3"/>
      <c r="H683" s="3"/>
      <c r="AG683" s="91"/>
    </row>
    <row r="684" ht="15.75" customHeight="1">
      <c r="C684" s="3"/>
      <c r="H684" s="3"/>
      <c r="AG684" s="91"/>
    </row>
    <row r="685" ht="15.75" customHeight="1">
      <c r="C685" s="3"/>
      <c r="H685" s="3"/>
      <c r="AG685" s="91"/>
    </row>
    <row r="686" ht="15.75" customHeight="1">
      <c r="C686" s="3"/>
      <c r="H686" s="3"/>
      <c r="AG686" s="91"/>
    </row>
    <row r="687" ht="15.75" customHeight="1">
      <c r="C687" s="3"/>
      <c r="H687" s="3"/>
      <c r="AG687" s="91"/>
    </row>
    <row r="688" ht="15.75" customHeight="1">
      <c r="C688" s="3"/>
      <c r="H688" s="3"/>
      <c r="AG688" s="91"/>
    </row>
    <row r="689" ht="15.75" customHeight="1">
      <c r="C689" s="3"/>
      <c r="H689" s="3"/>
      <c r="AG689" s="91"/>
    </row>
    <row r="690" ht="15.75" customHeight="1">
      <c r="C690" s="3"/>
      <c r="H690" s="3"/>
      <c r="AG690" s="91"/>
    </row>
    <row r="691" ht="15.75" customHeight="1">
      <c r="C691" s="3"/>
      <c r="H691" s="3"/>
      <c r="AG691" s="91"/>
    </row>
    <row r="692" ht="15.75" customHeight="1">
      <c r="C692" s="3"/>
      <c r="H692" s="3"/>
      <c r="AG692" s="91"/>
    </row>
    <row r="693" ht="15.75" customHeight="1">
      <c r="C693" s="3"/>
      <c r="H693" s="3"/>
      <c r="AG693" s="91"/>
    </row>
    <row r="694" ht="15.75" customHeight="1">
      <c r="C694" s="3"/>
      <c r="H694" s="3"/>
      <c r="AG694" s="91"/>
    </row>
    <row r="695" ht="15.75" customHeight="1">
      <c r="C695" s="3"/>
      <c r="H695" s="3"/>
      <c r="AG695" s="91"/>
    </row>
    <row r="696" ht="15.75" customHeight="1">
      <c r="C696" s="3"/>
      <c r="H696" s="3"/>
      <c r="AG696" s="91"/>
    </row>
    <row r="697" ht="15.75" customHeight="1">
      <c r="C697" s="3"/>
      <c r="H697" s="3"/>
      <c r="AG697" s="91"/>
    </row>
    <row r="698" ht="15.75" customHeight="1">
      <c r="C698" s="3"/>
      <c r="H698" s="3"/>
      <c r="AG698" s="91"/>
    </row>
    <row r="699" ht="15.75" customHeight="1">
      <c r="C699" s="3"/>
      <c r="H699" s="3"/>
      <c r="AG699" s="91"/>
    </row>
    <row r="700" ht="15.75" customHeight="1">
      <c r="C700" s="3"/>
      <c r="H700" s="3"/>
      <c r="AG700" s="91"/>
    </row>
    <row r="701" ht="15.75" customHeight="1">
      <c r="C701" s="3"/>
      <c r="H701" s="3"/>
      <c r="AG701" s="91"/>
    </row>
    <row r="702" ht="15.75" customHeight="1">
      <c r="C702" s="3"/>
      <c r="H702" s="3"/>
      <c r="AG702" s="91"/>
    </row>
    <row r="703" ht="15.75" customHeight="1">
      <c r="C703" s="3"/>
      <c r="H703" s="3"/>
      <c r="AG703" s="91"/>
    </row>
    <row r="704" ht="15.75" customHeight="1">
      <c r="C704" s="3"/>
      <c r="H704" s="3"/>
      <c r="AG704" s="91"/>
    </row>
    <row r="705" ht="15.75" customHeight="1">
      <c r="C705" s="3"/>
      <c r="H705" s="3"/>
      <c r="AG705" s="91"/>
    </row>
    <row r="706" ht="15.75" customHeight="1">
      <c r="C706" s="3"/>
      <c r="H706" s="3"/>
      <c r="AG706" s="91"/>
    </row>
    <row r="707" ht="15.75" customHeight="1">
      <c r="C707" s="3"/>
      <c r="H707" s="3"/>
      <c r="AG707" s="91"/>
    </row>
    <row r="708" ht="15.75" customHeight="1">
      <c r="C708" s="3"/>
      <c r="H708" s="3"/>
      <c r="AG708" s="91"/>
    </row>
    <row r="709" ht="15.75" customHeight="1">
      <c r="C709" s="3"/>
      <c r="H709" s="3"/>
      <c r="AG709" s="91"/>
    </row>
    <row r="710" ht="15.75" customHeight="1">
      <c r="C710" s="3"/>
      <c r="H710" s="3"/>
      <c r="AG710" s="91"/>
    </row>
    <row r="711" ht="15.75" customHeight="1">
      <c r="C711" s="3"/>
      <c r="H711" s="3"/>
      <c r="AG711" s="91"/>
    </row>
    <row r="712" ht="15.75" customHeight="1">
      <c r="C712" s="3"/>
      <c r="H712" s="3"/>
      <c r="AG712" s="91"/>
    </row>
    <row r="713" ht="15.75" customHeight="1">
      <c r="C713" s="3"/>
      <c r="H713" s="3"/>
      <c r="AG713" s="91"/>
    </row>
    <row r="714" ht="15.75" customHeight="1">
      <c r="C714" s="3"/>
      <c r="H714" s="3"/>
      <c r="AG714" s="91"/>
    </row>
    <row r="715" ht="15.75" customHeight="1">
      <c r="C715" s="3"/>
      <c r="H715" s="3"/>
      <c r="AG715" s="91"/>
    </row>
    <row r="716" ht="15.75" customHeight="1">
      <c r="C716" s="3"/>
      <c r="H716" s="3"/>
      <c r="AG716" s="91"/>
    </row>
    <row r="717" ht="15.75" customHeight="1">
      <c r="C717" s="3"/>
      <c r="H717" s="3"/>
      <c r="AG717" s="91"/>
    </row>
    <row r="718" ht="15.75" customHeight="1">
      <c r="C718" s="3"/>
      <c r="H718" s="3"/>
      <c r="AG718" s="91"/>
    </row>
    <row r="719" ht="15.75" customHeight="1">
      <c r="C719" s="3"/>
      <c r="H719" s="3"/>
      <c r="AG719" s="91"/>
    </row>
    <row r="720" ht="15.75" customHeight="1">
      <c r="C720" s="3"/>
      <c r="H720" s="3"/>
      <c r="AG720" s="91"/>
    </row>
    <row r="721" ht="15.75" customHeight="1">
      <c r="C721" s="3"/>
      <c r="H721" s="3"/>
      <c r="AG721" s="91"/>
    </row>
    <row r="722" ht="15.75" customHeight="1">
      <c r="C722" s="3"/>
      <c r="H722" s="3"/>
      <c r="AG722" s="91"/>
    </row>
    <row r="723" ht="15.75" customHeight="1">
      <c r="C723" s="3"/>
      <c r="H723" s="3"/>
      <c r="AG723" s="91"/>
    </row>
    <row r="724" ht="15.75" customHeight="1">
      <c r="C724" s="3"/>
      <c r="H724" s="3"/>
      <c r="AG724" s="91"/>
    </row>
    <row r="725" ht="15.75" customHeight="1">
      <c r="C725" s="3"/>
      <c r="H725" s="3"/>
      <c r="AG725" s="91"/>
    </row>
    <row r="726" ht="15.75" customHeight="1">
      <c r="C726" s="3"/>
      <c r="H726" s="3"/>
      <c r="AG726" s="91"/>
    </row>
    <row r="727" ht="15.75" customHeight="1">
      <c r="C727" s="3"/>
      <c r="H727" s="3"/>
      <c r="AG727" s="91"/>
    </row>
    <row r="728" ht="15.75" customHeight="1">
      <c r="C728" s="3"/>
      <c r="H728" s="3"/>
      <c r="AG728" s="91"/>
    </row>
    <row r="729" ht="15.75" customHeight="1">
      <c r="C729" s="3"/>
      <c r="H729" s="3"/>
      <c r="AG729" s="91"/>
    </row>
    <row r="730" ht="15.75" customHeight="1">
      <c r="C730" s="3"/>
      <c r="H730" s="3"/>
      <c r="AG730" s="91"/>
    </row>
    <row r="731" ht="15.75" customHeight="1">
      <c r="C731" s="3"/>
      <c r="H731" s="3"/>
      <c r="AG731" s="91"/>
    </row>
    <row r="732" ht="15.75" customHeight="1">
      <c r="C732" s="3"/>
      <c r="H732" s="3"/>
      <c r="AG732" s="91"/>
    </row>
    <row r="733" ht="15.75" customHeight="1">
      <c r="C733" s="3"/>
      <c r="H733" s="3"/>
      <c r="AG733" s="91"/>
    </row>
    <row r="734" ht="15.75" customHeight="1">
      <c r="C734" s="3"/>
      <c r="H734" s="3"/>
      <c r="AG734" s="91"/>
    </row>
    <row r="735" ht="15.75" customHeight="1">
      <c r="C735" s="3"/>
      <c r="H735" s="3"/>
      <c r="AG735" s="91"/>
    </row>
    <row r="736" ht="15.75" customHeight="1">
      <c r="C736" s="3"/>
      <c r="H736" s="3"/>
      <c r="AG736" s="91"/>
    </row>
    <row r="737" ht="15.75" customHeight="1">
      <c r="C737" s="3"/>
      <c r="H737" s="3"/>
      <c r="AG737" s="91"/>
    </row>
    <row r="738" ht="15.75" customHeight="1">
      <c r="C738" s="3"/>
      <c r="H738" s="3"/>
      <c r="AG738" s="91"/>
    </row>
    <row r="739" ht="15.75" customHeight="1">
      <c r="C739" s="3"/>
      <c r="H739" s="3"/>
      <c r="AG739" s="91"/>
    </row>
    <row r="740" ht="15.75" customHeight="1">
      <c r="C740" s="3"/>
      <c r="H740" s="3"/>
      <c r="AG740" s="91"/>
    </row>
    <row r="741" ht="15.75" customHeight="1">
      <c r="C741" s="3"/>
      <c r="H741" s="3"/>
      <c r="AG741" s="91"/>
    </row>
    <row r="742" ht="15.75" customHeight="1">
      <c r="C742" s="3"/>
      <c r="H742" s="3"/>
      <c r="AG742" s="91"/>
    </row>
    <row r="743" ht="15.75" customHeight="1">
      <c r="C743" s="3"/>
      <c r="H743" s="3"/>
      <c r="AG743" s="91"/>
    </row>
    <row r="744" ht="15.75" customHeight="1">
      <c r="C744" s="3"/>
      <c r="H744" s="3"/>
      <c r="AG744" s="91"/>
    </row>
    <row r="745" ht="15.75" customHeight="1">
      <c r="C745" s="3"/>
      <c r="H745" s="3"/>
      <c r="AG745" s="91"/>
    </row>
    <row r="746" ht="15.75" customHeight="1">
      <c r="C746" s="3"/>
      <c r="H746" s="3"/>
      <c r="AG746" s="91"/>
    </row>
    <row r="747" ht="15.75" customHeight="1">
      <c r="C747" s="3"/>
      <c r="H747" s="3"/>
      <c r="AG747" s="91"/>
    </row>
    <row r="748" ht="15.75" customHeight="1">
      <c r="C748" s="3"/>
      <c r="H748" s="3"/>
      <c r="AG748" s="91"/>
    </row>
    <row r="749" ht="15.75" customHeight="1">
      <c r="C749" s="3"/>
      <c r="H749" s="3"/>
      <c r="AG749" s="91"/>
    </row>
    <row r="750" ht="15.75" customHeight="1">
      <c r="C750" s="3"/>
      <c r="H750" s="3"/>
      <c r="AG750" s="91"/>
    </row>
    <row r="751" ht="15.75" customHeight="1">
      <c r="C751" s="3"/>
      <c r="H751" s="3"/>
      <c r="AG751" s="91"/>
    </row>
    <row r="752" ht="15.75" customHeight="1">
      <c r="C752" s="3"/>
      <c r="H752" s="3"/>
      <c r="AG752" s="91"/>
    </row>
    <row r="753" ht="15.75" customHeight="1">
      <c r="C753" s="3"/>
      <c r="H753" s="3"/>
      <c r="AG753" s="91"/>
    </row>
    <row r="754" ht="15.75" customHeight="1">
      <c r="C754" s="3"/>
      <c r="H754" s="3"/>
      <c r="AG754" s="91"/>
    </row>
    <row r="755" ht="15.75" customHeight="1">
      <c r="C755" s="3"/>
      <c r="H755" s="3"/>
      <c r="AG755" s="91"/>
    </row>
    <row r="756" ht="15.75" customHeight="1">
      <c r="C756" s="3"/>
      <c r="H756" s="3"/>
      <c r="AG756" s="91"/>
    </row>
    <row r="757" ht="15.75" customHeight="1">
      <c r="C757" s="3"/>
      <c r="H757" s="3"/>
      <c r="AG757" s="91"/>
    </row>
    <row r="758" ht="15.75" customHeight="1">
      <c r="C758" s="3"/>
      <c r="H758" s="3"/>
      <c r="AG758" s="91"/>
    </row>
    <row r="759" ht="15.75" customHeight="1">
      <c r="C759" s="3"/>
      <c r="H759" s="3"/>
      <c r="AG759" s="91"/>
    </row>
    <row r="760" ht="15.75" customHeight="1">
      <c r="C760" s="3"/>
      <c r="H760" s="3"/>
      <c r="AG760" s="91"/>
    </row>
    <row r="761" ht="15.75" customHeight="1">
      <c r="C761" s="3"/>
      <c r="H761" s="3"/>
      <c r="AG761" s="91"/>
    </row>
    <row r="762" ht="15.75" customHeight="1">
      <c r="C762" s="3"/>
      <c r="H762" s="3"/>
      <c r="AG762" s="91"/>
    </row>
    <row r="763" ht="15.75" customHeight="1">
      <c r="C763" s="3"/>
      <c r="H763" s="3"/>
      <c r="AG763" s="91"/>
    </row>
    <row r="764" ht="15.75" customHeight="1">
      <c r="C764" s="3"/>
      <c r="H764" s="3"/>
      <c r="AG764" s="91"/>
    </row>
    <row r="765" ht="15.75" customHeight="1">
      <c r="C765" s="3"/>
      <c r="H765" s="3"/>
      <c r="AG765" s="91"/>
    </row>
    <row r="766" ht="15.75" customHeight="1">
      <c r="C766" s="3"/>
      <c r="H766" s="3"/>
      <c r="AG766" s="91"/>
    </row>
    <row r="767" ht="15.75" customHeight="1">
      <c r="C767" s="3"/>
      <c r="H767" s="3"/>
      <c r="AG767" s="91"/>
    </row>
    <row r="768" ht="15.75" customHeight="1">
      <c r="C768" s="3"/>
      <c r="H768" s="3"/>
      <c r="AG768" s="91"/>
    </row>
    <row r="769" ht="15.75" customHeight="1">
      <c r="C769" s="3"/>
      <c r="H769" s="3"/>
      <c r="AG769" s="91"/>
    </row>
    <row r="770" ht="15.75" customHeight="1">
      <c r="C770" s="3"/>
      <c r="H770" s="3"/>
      <c r="AG770" s="91"/>
    </row>
    <row r="771" ht="15.75" customHeight="1">
      <c r="C771" s="3"/>
      <c r="H771" s="3"/>
      <c r="AG771" s="91"/>
    </row>
    <row r="772" ht="15.75" customHeight="1">
      <c r="C772" s="3"/>
      <c r="H772" s="3"/>
      <c r="AG772" s="91"/>
    </row>
    <row r="773" ht="15.75" customHeight="1">
      <c r="C773" s="3"/>
      <c r="H773" s="3"/>
      <c r="AG773" s="91"/>
    </row>
    <row r="774" ht="15.75" customHeight="1">
      <c r="C774" s="3"/>
      <c r="H774" s="3"/>
      <c r="AG774" s="91"/>
    </row>
    <row r="775" ht="15.75" customHeight="1">
      <c r="C775" s="3"/>
      <c r="H775" s="3"/>
      <c r="AG775" s="91"/>
    </row>
    <row r="776" ht="15.75" customHeight="1">
      <c r="C776" s="3"/>
      <c r="H776" s="3"/>
      <c r="AG776" s="91"/>
    </row>
    <row r="777" ht="15.75" customHeight="1">
      <c r="C777" s="3"/>
      <c r="H777" s="3"/>
      <c r="AG777" s="91"/>
    </row>
    <row r="778" ht="15.75" customHeight="1">
      <c r="C778" s="3"/>
      <c r="H778" s="3"/>
      <c r="AG778" s="91"/>
    </row>
    <row r="779" ht="15.75" customHeight="1">
      <c r="C779" s="3"/>
      <c r="H779" s="3"/>
      <c r="AG779" s="91"/>
    </row>
    <row r="780" ht="15.75" customHeight="1">
      <c r="C780" s="3"/>
      <c r="H780" s="3"/>
      <c r="AG780" s="91"/>
    </row>
    <row r="781" ht="15.75" customHeight="1">
      <c r="C781" s="3"/>
      <c r="H781" s="3"/>
      <c r="AG781" s="91"/>
    </row>
    <row r="782" ht="15.75" customHeight="1">
      <c r="C782" s="3"/>
      <c r="H782" s="3"/>
      <c r="AG782" s="91"/>
    </row>
    <row r="783" ht="15.75" customHeight="1">
      <c r="C783" s="3"/>
      <c r="H783" s="3"/>
      <c r="AG783" s="91"/>
    </row>
    <row r="784" ht="15.75" customHeight="1">
      <c r="C784" s="3"/>
      <c r="H784" s="3"/>
      <c r="AG784" s="91"/>
    </row>
    <row r="785" ht="15.75" customHeight="1">
      <c r="C785" s="3"/>
      <c r="H785" s="3"/>
      <c r="AG785" s="91"/>
    </row>
    <row r="786" ht="15.75" customHeight="1">
      <c r="C786" s="3"/>
      <c r="H786" s="3"/>
      <c r="AG786" s="91"/>
    </row>
    <row r="787" ht="15.75" customHeight="1">
      <c r="C787" s="3"/>
      <c r="H787" s="3"/>
      <c r="AG787" s="91"/>
    </row>
    <row r="788" ht="15.75" customHeight="1">
      <c r="C788" s="3"/>
      <c r="H788" s="3"/>
      <c r="AG788" s="91"/>
    </row>
    <row r="789" ht="15.75" customHeight="1">
      <c r="C789" s="3"/>
      <c r="H789" s="3"/>
      <c r="AG789" s="91"/>
    </row>
    <row r="790" ht="15.75" customHeight="1">
      <c r="C790" s="3"/>
      <c r="H790" s="3"/>
      <c r="AG790" s="91"/>
    </row>
    <row r="791" ht="15.75" customHeight="1">
      <c r="C791" s="3"/>
      <c r="H791" s="3"/>
      <c r="AG791" s="91"/>
    </row>
    <row r="792" ht="15.75" customHeight="1">
      <c r="C792" s="3"/>
      <c r="H792" s="3"/>
      <c r="AG792" s="91"/>
    </row>
    <row r="793" ht="15.75" customHeight="1">
      <c r="C793" s="3"/>
      <c r="H793" s="3"/>
      <c r="AG793" s="91"/>
    </row>
    <row r="794" ht="15.75" customHeight="1">
      <c r="C794" s="3"/>
      <c r="H794" s="3"/>
      <c r="AG794" s="91"/>
    </row>
    <row r="795" ht="15.75" customHeight="1">
      <c r="C795" s="3"/>
      <c r="H795" s="3"/>
      <c r="AG795" s="91"/>
    </row>
    <row r="796" ht="15.75" customHeight="1">
      <c r="C796" s="3"/>
      <c r="H796" s="3"/>
      <c r="AG796" s="91"/>
    </row>
    <row r="797" ht="15.75" customHeight="1">
      <c r="C797" s="3"/>
      <c r="H797" s="3"/>
      <c r="AG797" s="91"/>
    </row>
    <row r="798" ht="15.75" customHeight="1">
      <c r="C798" s="3"/>
      <c r="H798" s="3"/>
      <c r="AG798" s="91"/>
    </row>
    <row r="799" ht="15.75" customHeight="1">
      <c r="C799" s="3"/>
      <c r="H799" s="3"/>
      <c r="AG799" s="91"/>
    </row>
    <row r="800" ht="15.75" customHeight="1">
      <c r="C800" s="3"/>
      <c r="H800" s="3"/>
      <c r="AG800" s="91"/>
    </row>
    <row r="801" ht="15.75" customHeight="1">
      <c r="C801" s="3"/>
      <c r="H801" s="3"/>
      <c r="AG801" s="91"/>
    </row>
    <row r="802" ht="15.75" customHeight="1">
      <c r="C802" s="3"/>
      <c r="H802" s="3"/>
      <c r="AG802" s="91"/>
    </row>
    <row r="803" ht="15.75" customHeight="1">
      <c r="C803" s="3"/>
      <c r="H803" s="3"/>
      <c r="AG803" s="91"/>
    </row>
    <row r="804" ht="15.75" customHeight="1">
      <c r="C804" s="3"/>
      <c r="H804" s="3"/>
      <c r="AG804" s="91"/>
    </row>
    <row r="805" ht="15.75" customHeight="1">
      <c r="C805" s="3"/>
      <c r="H805" s="3"/>
      <c r="AG805" s="91"/>
    </row>
    <row r="806" ht="15.75" customHeight="1">
      <c r="C806" s="3"/>
      <c r="H806" s="3"/>
      <c r="AG806" s="91"/>
    </row>
    <row r="807" ht="15.75" customHeight="1">
      <c r="C807" s="3"/>
      <c r="H807" s="3"/>
      <c r="AG807" s="91"/>
    </row>
    <row r="808" ht="15.75" customHeight="1">
      <c r="C808" s="3"/>
      <c r="H808" s="3"/>
      <c r="AG808" s="91"/>
    </row>
    <row r="809" ht="15.75" customHeight="1">
      <c r="C809" s="3"/>
      <c r="H809" s="3"/>
      <c r="AG809" s="91"/>
    </row>
    <row r="810" ht="15.75" customHeight="1">
      <c r="C810" s="3"/>
      <c r="H810" s="3"/>
      <c r="AG810" s="91"/>
    </row>
    <row r="811" ht="15.75" customHeight="1">
      <c r="C811" s="3"/>
      <c r="H811" s="3"/>
      <c r="AG811" s="91"/>
    </row>
    <row r="812" ht="15.75" customHeight="1">
      <c r="C812" s="3"/>
      <c r="H812" s="3"/>
      <c r="AG812" s="91"/>
    </row>
    <row r="813" ht="15.75" customHeight="1">
      <c r="C813" s="3"/>
      <c r="H813" s="3"/>
      <c r="AG813" s="91"/>
    </row>
    <row r="814" ht="15.75" customHeight="1">
      <c r="C814" s="3"/>
      <c r="H814" s="3"/>
      <c r="AG814" s="91"/>
    </row>
    <row r="815" ht="15.75" customHeight="1">
      <c r="C815" s="3"/>
      <c r="H815" s="3"/>
      <c r="AG815" s="91"/>
    </row>
    <row r="816" ht="15.75" customHeight="1">
      <c r="C816" s="3"/>
      <c r="H816" s="3"/>
      <c r="AG816" s="91"/>
    </row>
    <row r="817" ht="15.75" customHeight="1">
      <c r="C817" s="3"/>
      <c r="H817" s="3"/>
      <c r="AG817" s="91"/>
    </row>
    <row r="818" ht="15.75" customHeight="1">
      <c r="C818" s="3"/>
      <c r="H818" s="3"/>
      <c r="AG818" s="91"/>
    </row>
    <row r="819" ht="15.75" customHeight="1">
      <c r="C819" s="3"/>
      <c r="H819" s="3"/>
      <c r="AG819" s="91"/>
    </row>
    <row r="820" ht="15.75" customHeight="1">
      <c r="C820" s="3"/>
      <c r="H820" s="3"/>
      <c r="AG820" s="91"/>
    </row>
    <row r="821" ht="15.75" customHeight="1">
      <c r="C821" s="3"/>
      <c r="H821" s="3"/>
      <c r="AG821" s="91"/>
    </row>
    <row r="822" ht="15.75" customHeight="1">
      <c r="C822" s="3"/>
      <c r="H822" s="3"/>
      <c r="AG822" s="91"/>
    </row>
    <row r="823" ht="15.75" customHeight="1">
      <c r="C823" s="3"/>
      <c r="H823" s="3"/>
      <c r="AG823" s="91"/>
    </row>
    <row r="824" ht="15.75" customHeight="1">
      <c r="C824" s="3"/>
      <c r="H824" s="3"/>
      <c r="AG824" s="91"/>
    </row>
    <row r="825" ht="15.75" customHeight="1">
      <c r="C825" s="3"/>
      <c r="H825" s="3"/>
      <c r="AG825" s="91"/>
    </row>
    <row r="826" ht="15.75" customHeight="1">
      <c r="C826" s="3"/>
      <c r="H826" s="3"/>
      <c r="AG826" s="91"/>
    </row>
    <row r="827" ht="15.75" customHeight="1">
      <c r="C827" s="3"/>
      <c r="H827" s="3"/>
      <c r="AG827" s="91"/>
    </row>
    <row r="828" ht="15.75" customHeight="1">
      <c r="C828" s="3"/>
      <c r="H828" s="3"/>
      <c r="AG828" s="91"/>
    </row>
    <row r="829" ht="15.75" customHeight="1">
      <c r="C829" s="3"/>
      <c r="H829" s="3"/>
      <c r="AG829" s="91"/>
    </row>
    <row r="830" ht="15.75" customHeight="1">
      <c r="C830" s="3"/>
      <c r="H830" s="3"/>
      <c r="AG830" s="91"/>
    </row>
    <row r="831" ht="15.75" customHeight="1">
      <c r="C831" s="3"/>
      <c r="H831" s="3"/>
      <c r="AG831" s="91"/>
    </row>
    <row r="832" ht="15.75" customHeight="1">
      <c r="C832" s="3"/>
      <c r="H832" s="3"/>
      <c r="AG832" s="91"/>
    </row>
    <row r="833" ht="15.75" customHeight="1">
      <c r="C833" s="3"/>
      <c r="H833" s="3"/>
      <c r="AG833" s="91"/>
    </row>
    <row r="834" ht="15.75" customHeight="1">
      <c r="C834" s="3"/>
      <c r="H834" s="3"/>
      <c r="AG834" s="91"/>
    </row>
    <row r="835" ht="15.75" customHeight="1">
      <c r="C835" s="3"/>
      <c r="H835" s="3"/>
      <c r="AG835" s="91"/>
    </row>
    <row r="836" ht="15.75" customHeight="1">
      <c r="C836" s="3"/>
      <c r="H836" s="3"/>
      <c r="AG836" s="91"/>
    </row>
    <row r="837" ht="15.75" customHeight="1">
      <c r="C837" s="3"/>
      <c r="H837" s="3"/>
      <c r="AG837" s="91"/>
    </row>
    <row r="838" ht="15.75" customHeight="1">
      <c r="C838" s="3"/>
      <c r="H838" s="3"/>
      <c r="AG838" s="91"/>
    </row>
    <row r="839" ht="15.75" customHeight="1">
      <c r="C839" s="3"/>
      <c r="H839" s="3"/>
      <c r="AG839" s="91"/>
    </row>
    <row r="840" ht="15.75" customHeight="1">
      <c r="C840" s="3"/>
      <c r="H840" s="3"/>
      <c r="AG840" s="91"/>
    </row>
    <row r="841" ht="15.75" customHeight="1">
      <c r="C841" s="3"/>
      <c r="H841" s="3"/>
      <c r="AG841" s="91"/>
    </row>
    <row r="842" ht="15.75" customHeight="1">
      <c r="C842" s="3"/>
      <c r="H842" s="3"/>
      <c r="AG842" s="91"/>
    </row>
    <row r="843" ht="15.75" customHeight="1">
      <c r="C843" s="3"/>
      <c r="H843" s="3"/>
      <c r="AG843" s="91"/>
    </row>
    <row r="844" ht="15.75" customHeight="1">
      <c r="C844" s="3"/>
      <c r="H844" s="3"/>
      <c r="AG844" s="91"/>
    </row>
    <row r="845" ht="15.75" customHeight="1">
      <c r="C845" s="3"/>
      <c r="H845" s="3"/>
      <c r="AG845" s="91"/>
    </row>
    <row r="846" ht="15.75" customHeight="1">
      <c r="C846" s="3"/>
      <c r="H846" s="3"/>
      <c r="AG846" s="91"/>
    </row>
    <row r="847" ht="15.75" customHeight="1">
      <c r="C847" s="3"/>
      <c r="H847" s="3"/>
      <c r="AG847" s="91"/>
    </row>
    <row r="848" ht="15.75" customHeight="1">
      <c r="C848" s="3"/>
      <c r="H848" s="3"/>
      <c r="AG848" s="91"/>
    </row>
    <row r="849" ht="15.75" customHeight="1">
      <c r="C849" s="3"/>
      <c r="H849" s="3"/>
      <c r="AG849" s="91"/>
    </row>
    <row r="850" ht="15.75" customHeight="1">
      <c r="C850" s="3"/>
      <c r="H850" s="3"/>
      <c r="AG850" s="91"/>
    </row>
    <row r="851" ht="15.75" customHeight="1">
      <c r="C851" s="3"/>
      <c r="H851" s="3"/>
      <c r="AG851" s="91"/>
    </row>
    <row r="852" ht="15.75" customHeight="1">
      <c r="C852" s="3"/>
      <c r="H852" s="3"/>
      <c r="AG852" s="91"/>
    </row>
    <row r="853" ht="15.75" customHeight="1">
      <c r="C853" s="3"/>
      <c r="H853" s="3"/>
      <c r="AG853" s="91"/>
    </row>
    <row r="854" ht="15.75" customHeight="1">
      <c r="C854" s="3"/>
      <c r="H854" s="3"/>
      <c r="AG854" s="91"/>
    </row>
    <row r="855" ht="15.75" customHeight="1">
      <c r="C855" s="3"/>
      <c r="H855" s="3"/>
      <c r="AG855" s="91"/>
    </row>
    <row r="856" ht="15.75" customHeight="1">
      <c r="C856" s="3"/>
      <c r="H856" s="3"/>
      <c r="AG856" s="91"/>
    </row>
    <row r="857" ht="15.75" customHeight="1">
      <c r="C857" s="3"/>
      <c r="H857" s="3"/>
      <c r="AG857" s="91"/>
    </row>
    <row r="858" ht="15.75" customHeight="1">
      <c r="C858" s="3"/>
      <c r="H858" s="3"/>
      <c r="AG858" s="91"/>
    </row>
    <row r="859" ht="15.75" customHeight="1">
      <c r="C859" s="3"/>
      <c r="H859" s="3"/>
      <c r="AG859" s="91"/>
    </row>
    <row r="860" ht="15.75" customHeight="1">
      <c r="C860" s="3"/>
      <c r="H860" s="3"/>
      <c r="AG860" s="91"/>
    </row>
    <row r="861" ht="15.75" customHeight="1">
      <c r="C861" s="3"/>
      <c r="H861" s="3"/>
      <c r="AG861" s="91"/>
    </row>
    <row r="862" ht="15.75" customHeight="1">
      <c r="C862" s="3"/>
      <c r="H862" s="3"/>
      <c r="AG862" s="91"/>
    </row>
    <row r="863" ht="15.75" customHeight="1">
      <c r="C863" s="3"/>
      <c r="H863" s="3"/>
      <c r="AG863" s="91"/>
    </row>
    <row r="864" ht="15.75" customHeight="1">
      <c r="C864" s="3"/>
      <c r="H864" s="3"/>
      <c r="AG864" s="91"/>
    </row>
    <row r="865" ht="15.75" customHeight="1">
      <c r="C865" s="3"/>
      <c r="H865" s="3"/>
      <c r="AG865" s="91"/>
    </row>
    <row r="866" ht="15.75" customHeight="1">
      <c r="C866" s="3"/>
      <c r="H866" s="3"/>
      <c r="AG866" s="91"/>
    </row>
    <row r="867" ht="15.75" customHeight="1">
      <c r="C867" s="3"/>
      <c r="H867" s="3"/>
      <c r="AG867" s="91"/>
    </row>
    <row r="868" ht="15.75" customHeight="1">
      <c r="C868" s="3"/>
      <c r="H868" s="3"/>
      <c r="AG868" s="91"/>
    </row>
    <row r="869" ht="15.75" customHeight="1">
      <c r="C869" s="3"/>
      <c r="H869" s="3"/>
      <c r="AG869" s="91"/>
    </row>
    <row r="870" ht="15.75" customHeight="1">
      <c r="C870" s="3"/>
      <c r="H870" s="3"/>
      <c r="AG870" s="91"/>
    </row>
    <row r="871" ht="15.75" customHeight="1">
      <c r="C871" s="3"/>
      <c r="H871" s="3"/>
      <c r="AG871" s="91"/>
    </row>
    <row r="872" ht="15.75" customHeight="1">
      <c r="C872" s="3"/>
      <c r="H872" s="3"/>
      <c r="AG872" s="91"/>
    </row>
    <row r="873" ht="15.75" customHeight="1">
      <c r="C873" s="3"/>
      <c r="H873" s="3"/>
      <c r="AG873" s="91"/>
    </row>
    <row r="874" ht="15.75" customHeight="1">
      <c r="C874" s="3"/>
      <c r="H874" s="3"/>
      <c r="AG874" s="91"/>
    </row>
    <row r="875" ht="15.75" customHeight="1">
      <c r="C875" s="3"/>
      <c r="H875" s="3"/>
      <c r="AG875" s="91"/>
    </row>
    <row r="876" ht="15.75" customHeight="1">
      <c r="C876" s="3"/>
      <c r="H876" s="3"/>
      <c r="AG876" s="91"/>
    </row>
    <row r="877" ht="15.75" customHeight="1">
      <c r="C877" s="3"/>
      <c r="H877" s="3"/>
      <c r="AG877" s="91"/>
    </row>
    <row r="878" ht="15.75" customHeight="1">
      <c r="C878" s="3"/>
      <c r="H878" s="3"/>
      <c r="AG878" s="91"/>
    </row>
    <row r="879" ht="15.75" customHeight="1">
      <c r="C879" s="3"/>
      <c r="H879" s="3"/>
      <c r="AG879" s="91"/>
    </row>
    <row r="880" ht="15.75" customHeight="1">
      <c r="C880" s="3"/>
      <c r="H880" s="3"/>
      <c r="AG880" s="91"/>
    </row>
    <row r="881" ht="15.75" customHeight="1">
      <c r="C881" s="3"/>
      <c r="H881" s="3"/>
      <c r="AG881" s="91"/>
    </row>
    <row r="882" ht="15.75" customHeight="1">
      <c r="C882" s="3"/>
      <c r="H882" s="3"/>
      <c r="AG882" s="91"/>
    </row>
    <row r="883" ht="15.75" customHeight="1">
      <c r="C883" s="3"/>
      <c r="H883" s="3"/>
      <c r="AG883" s="91"/>
    </row>
    <row r="884" ht="15.75" customHeight="1">
      <c r="C884" s="3"/>
      <c r="H884" s="3"/>
      <c r="AG884" s="91"/>
    </row>
    <row r="885" ht="15.75" customHeight="1">
      <c r="C885" s="3"/>
      <c r="H885" s="3"/>
      <c r="AG885" s="91"/>
    </row>
    <row r="886" ht="15.75" customHeight="1">
      <c r="C886" s="3"/>
      <c r="H886" s="3"/>
      <c r="AG886" s="91"/>
    </row>
    <row r="887" ht="15.75" customHeight="1">
      <c r="C887" s="3"/>
      <c r="H887" s="3"/>
      <c r="AG887" s="91"/>
    </row>
    <row r="888" ht="15.75" customHeight="1">
      <c r="C888" s="3"/>
      <c r="H888" s="3"/>
      <c r="AG888" s="91"/>
    </row>
    <row r="889" ht="15.75" customHeight="1">
      <c r="C889" s="3"/>
      <c r="H889" s="3"/>
      <c r="AG889" s="91"/>
    </row>
    <row r="890" ht="15.75" customHeight="1">
      <c r="C890" s="3"/>
      <c r="H890" s="3"/>
      <c r="AG890" s="91"/>
    </row>
    <row r="891" ht="15.75" customHeight="1">
      <c r="C891" s="3"/>
      <c r="H891" s="3"/>
      <c r="AG891" s="91"/>
    </row>
    <row r="892" ht="15.75" customHeight="1">
      <c r="C892" s="3"/>
      <c r="H892" s="3"/>
      <c r="AG892" s="91"/>
    </row>
    <row r="893" ht="15.75" customHeight="1">
      <c r="C893" s="3"/>
      <c r="H893" s="3"/>
      <c r="AG893" s="91"/>
    </row>
    <row r="894" ht="15.75" customHeight="1">
      <c r="C894" s="3"/>
      <c r="H894" s="3"/>
      <c r="AG894" s="91"/>
    </row>
    <row r="895" ht="15.75" customHeight="1">
      <c r="C895" s="3"/>
      <c r="H895" s="3"/>
      <c r="AG895" s="91"/>
    </row>
    <row r="896" ht="15.75" customHeight="1">
      <c r="C896" s="3"/>
      <c r="H896" s="3"/>
      <c r="AG896" s="91"/>
    </row>
    <row r="897" ht="15.75" customHeight="1">
      <c r="C897" s="3"/>
      <c r="H897" s="3"/>
      <c r="AG897" s="91"/>
    </row>
    <row r="898" ht="15.75" customHeight="1">
      <c r="C898" s="3"/>
      <c r="H898" s="3"/>
      <c r="AG898" s="91"/>
    </row>
    <row r="899" ht="15.75" customHeight="1">
      <c r="C899" s="3"/>
      <c r="H899" s="3"/>
      <c r="AG899" s="91"/>
    </row>
    <row r="900" ht="15.75" customHeight="1">
      <c r="C900" s="3"/>
      <c r="H900" s="3"/>
      <c r="AG900" s="91"/>
    </row>
    <row r="901" ht="15.75" customHeight="1">
      <c r="C901" s="3"/>
      <c r="H901" s="3"/>
      <c r="AG901" s="91"/>
    </row>
    <row r="902" ht="15.75" customHeight="1">
      <c r="C902" s="3"/>
      <c r="H902" s="3"/>
      <c r="AG902" s="91"/>
    </row>
    <row r="903" ht="15.75" customHeight="1">
      <c r="C903" s="3"/>
      <c r="H903" s="3"/>
      <c r="AG903" s="91"/>
    </row>
    <row r="904" ht="15.75" customHeight="1">
      <c r="C904" s="3"/>
      <c r="H904" s="3"/>
      <c r="AG904" s="91"/>
    </row>
    <row r="905" ht="15.75" customHeight="1">
      <c r="C905" s="3"/>
      <c r="H905" s="3"/>
      <c r="AG905" s="91"/>
    </row>
    <row r="906" ht="15.75" customHeight="1">
      <c r="C906" s="3"/>
      <c r="H906" s="3"/>
      <c r="AG906" s="91"/>
    </row>
    <row r="907" ht="15.75" customHeight="1">
      <c r="C907" s="3"/>
      <c r="H907" s="3"/>
      <c r="AG907" s="91"/>
    </row>
    <row r="908" ht="15.75" customHeight="1">
      <c r="C908" s="3"/>
      <c r="H908" s="3"/>
      <c r="AG908" s="91"/>
    </row>
    <row r="909" ht="15.75" customHeight="1">
      <c r="C909" s="3"/>
      <c r="H909" s="3"/>
      <c r="AG909" s="91"/>
    </row>
    <row r="910" ht="15.75" customHeight="1">
      <c r="C910" s="3"/>
      <c r="H910" s="3"/>
      <c r="AG910" s="91"/>
    </row>
    <row r="911" ht="15.75" customHeight="1">
      <c r="C911" s="3"/>
      <c r="H911" s="3"/>
      <c r="AG911" s="91"/>
    </row>
    <row r="912" ht="15.75" customHeight="1">
      <c r="C912" s="3"/>
      <c r="H912" s="3"/>
      <c r="AG912" s="91"/>
    </row>
    <row r="913" ht="15.75" customHeight="1">
      <c r="C913" s="3"/>
      <c r="H913" s="3"/>
      <c r="AG913" s="91"/>
    </row>
    <row r="914" ht="15.75" customHeight="1">
      <c r="C914" s="3"/>
      <c r="H914" s="3"/>
      <c r="AG914" s="91"/>
    </row>
    <row r="915" ht="15.75" customHeight="1">
      <c r="C915" s="3"/>
      <c r="H915" s="3"/>
      <c r="AG915" s="91"/>
    </row>
    <row r="916" ht="15.75" customHeight="1">
      <c r="C916" s="3"/>
      <c r="H916" s="3"/>
      <c r="AG916" s="91"/>
    </row>
    <row r="917" ht="15.75" customHeight="1">
      <c r="C917" s="3"/>
      <c r="H917" s="3"/>
      <c r="AG917" s="91"/>
    </row>
    <row r="918" ht="15.75" customHeight="1">
      <c r="C918" s="3"/>
      <c r="H918" s="3"/>
      <c r="AG918" s="91"/>
    </row>
    <row r="919" ht="15.75" customHeight="1">
      <c r="C919" s="3"/>
      <c r="H919" s="3"/>
      <c r="AG919" s="91"/>
    </row>
    <row r="920" ht="15.75" customHeight="1">
      <c r="C920" s="3"/>
      <c r="H920" s="3"/>
      <c r="AG920" s="91"/>
    </row>
    <row r="921" ht="15.75" customHeight="1">
      <c r="C921" s="3"/>
      <c r="H921" s="3"/>
      <c r="AG921" s="91"/>
    </row>
    <row r="922" ht="15.75" customHeight="1">
      <c r="C922" s="3"/>
      <c r="H922" s="3"/>
      <c r="AG922" s="91"/>
    </row>
    <row r="923" ht="15.75" customHeight="1">
      <c r="C923" s="3"/>
      <c r="H923" s="3"/>
      <c r="AG923" s="91"/>
    </row>
    <row r="924" ht="15.75" customHeight="1">
      <c r="C924" s="3"/>
      <c r="H924" s="3"/>
      <c r="AG924" s="91"/>
    </row>
    <row r="925" ht="15.75" customHeight="1">
      <c r="C925" s="3"/>
      <c r="H925" s="3"/>
      <c r="AG925" s="91"/>
    </row>
    <row r="926" ht="15.75" customHeight="1">
      <c r="C926" s="3"/>
      <c r="H926" s="3"/>
      <c r="AG926" s="91"/>
    </row>
    <row r="927" ht="15.75" customHeight="1">
      <c r="C927" s="3"/>
      <c r="H927" s="3"/>
      <c r="AG927" s="91"/>
    </row>
    <row r="928" ht="15.75" customHeight="1">
      <c r="C928" s="3"/>
      <c r="H928" s="3"/>
      <c r="AG928" s="91"/>
    </row>
    <row r="929" ht="15.75" customHeight="1">
      <c r="C929" s="3"/>
      <c r="H929" s="3"/>
      <c r="AG929" s="91"/>
    </row>
    <row r="930" ht="15.75" customHeight="1">
      <c r="C930" s="3"/>
      <c r="H930" s="3"/>
      <c r="AG930" s="91"/>
    </row>
    <row r="931" ht="15.75" customHeight="1">
      <c r="C931" s="3"/>
      <c r="H931" s="3"/>
      <c r="AG931" s="91"/>
    </row>
    <row r="932" ht="15.75" customHeight="1">
      <c r="C932" s="3"/>
      <c r="H932" s="3"/>
      <c r="AG932" s="91"/>
    </row>
    <row r="933" ht="15.75" customHeight="1">
      <c r="C933" s="3"/>
      <c r="H933" s="3"/>
      <c r="AG933" s="91"/>
    </row>
    <row r="934" ht="15.75" customHeight="1">
      <c r="C934" s="3"/>
      <c r="H934" s="3"/>
      <c r="AG934" s="91"/>
    </row>
    <row r="935" ht="15.75" customHeight="1">
      <c r="C935" s="3"/>
      <c r="H935" s="3"/>
      <c r="AG935" s="91"/>
    </row>
    <row r="936" ht="15.75" customHeight="1">
      <c r="C936" s="3"/>
      <c r="H936" s="3"/>
      <c r="AG936" s="91"/>
    </row>
    <row r="937" ht="15.75" customHeight="1">
      <c r="C937" s="3"/>
      <c r="H937" s="3"/>
      <c r="AG937" s="91"/>
    </row>
    <row r="938" ht="15.75" customHeight="1">
      <c r="C938" s="3"/>
      <c r="H938" s="3"/>
      <c r="AG938" s="91"/>
    </row>
    <row r="939" ht="15.75" customHeight="1">
      <c r="C939" s="3"/>
      <c r="H939" s="3"/>
      <c r="AG939" s="91"/>
    </row>
    <row r="940" ht="15.75" customHeight="1">
      <c r="C940" s="3"/>
      <c r="H940" s="3"/>
      <c r="AG940" s="91"/>
    </row>
    <row r="941" ht="15.75" customHeight="1">
      <c r="C941" s="3"/>
      <c r="H941" s="3"/>
      <c r="AG941" s="91"/>
    </row>
    <row r="942" ht="15.75" customHeight="1">
      <c r="C942" s="3"/>
      <c r="H942" s="3"/>
      <c r="AG942" s="91"/>
    </row>
    <row r="943" ht="15.75" customHeight="1">
      <c r="C943" s="3"/>
      <c r="H943" s="3"/>
      <c r="AG943" s="91"/>
    </row>
    <row r="944" ht="15.75" customHeight="1">
      <c r="C944" s="3"/>
      <c r="H944" s="3"/>
      <c r="AG944" s="91"/>
    </row>
    <row r="945" ht="15.75" customHeight="1">
      <c r="C945" s="3"/>
      <c r="H945" s="3"/>
      <c r="AG945" s="91"/>
    </row>
    <row r="946" ht="15.75" customHeight="1">
      <c r="C946" s="3"/>
      <c r="H946" s="3"/>
      <c r="AG946" s="91"/>
    </row>
    <row r="947" ht="15.75" customHeight="1">
      <c r="C947" s="3"/>
      <c r="H947" s="3"/>
      <c r="AG947" s="91"/>
    </row>
    <row r="948" ht="15.75" customHeight="1">
      <c r="C948" s="3"/>
      <c r="H948" s="3"/>
      <c r="AG948" s="91"/>
    </row>
    <row r="949" ht="15.75" customHeight="1">
      <c r="C949" s="3"/>
      <c r="H949" s="3"/>
      <c r="AG949" s="91"/>
    </row>
    <row r="950" ht="15.75" customHeight="1">
      <c r="C950" s="3"/>
      <c r="H950" s="3"/>
      <c r="AG950" s="91"/>
    </row>
    <row r="951" ht="15.75" customHeight="1">
      <c r="C951" s="3"/>
      <c r="H951" s="3"/>
      <c r="AG951" s="91"/>
    </row>
    <row r="952" ht="15.75" customHeight="1">
      <c r="C952" s="3"/>
      <c r="H952" s="3"/>
      <c r="AG952" s="91"/>
    </row>
    <row r="953" ht="15.75" customHeight="1">
      <c r="C953" s="3"/>
      <c r="H953" s="3"/>
      <c r="AG953" s="91"/>
    </row>
    <row r="954" ht="15.75" customHeight="1">
      <c r="C954" s="3"/>
      <c r="H954" s="3"/>
      <c r="AG954" s="91"/>
    </row>
    <row r="955" ht="15.75" customHeight="1">
      <c r="C955" s="3"/>
      <c r="H955" s="3"/>
      <c r="AG955" s="91"/>
    </row>
    <row r="956" ht="15.75" customHeight="1">
      <c r="C956" s="3"/>
      <c r="H956" s="3"/>
      <c r="AG956" s="91"/>
    </row>
    <row r="957" ht="15.75" customHeight="1">
      <c r="C957" s="3"/>
      <c r="H957" s="3"/>
      <c r="AG957" s="91"/>
    </row>
    <row r="958" ht="15.75" customHeight="1">
      <c r="C958" s="3"/>
      <c r="H958" s="3"/>
      <c r="AG958" s="91"/>
    </row>
    <row r="959" ht="15.75" customHeight="1">
      <c r="C959" s="3"/>
      <c r="H959" s="3"/>
      <c r="AG959" s="91"/>
    </row>
    <row r="960" ht="15.75" customHeight="1">
      <c r="C960" s="3"/>
      <c r="H960" s="3"/>
      <c r="AG960" s="91"/>
    </row>
    <row r="961" ht="15.75" customHeight="1">
      <c r="C961" s="3"/>
      <c r="H961" s="3"/>
      <c r="AG961" s="91"/>
    </row>
    <row r="962" ht="15.75" customHeight="1">
      <c r="C962" s="3"/>
      <c r="H962" s="3"/>
      <c r="AG962" s="91"/>
    </row>
    <row r="963" ht="15.75" customHeight="1">
      <c r="C963" s="3"/>
      <c r="H963" s="3"/>
      <c r="AG963" s="91"/>
    </row>
    <row r="964" ht="15.75" customHeight="1">
      <c r="C964" s="3"/>
      <c r="H964" s="3"/>
      <c r="AG964" s="91"/>
    </row>
    <row r="965" ht="15.75" customHeight="1">
      <c r="C965" s="3"/>
      <c r="H965" s="3"/>
      <c r="AG965" s="91"/>
    </row>
    <row r="966" ht="15.75" customHeight="1">
      <c r="C966" s="3"/>
      <c r="H966" s="3"/>
      <c r="AG966" s="91"/>
    </row>
    <row r="967" ht="15.75" customHeight="1">
      <c r="C967" s="3"/>
      <c r="H967" s="3"/>
      <c r="AG967" s="91"/>
    </row>
    <row r="968" ht="15.75" customHeight="1">
      <c r="C968" s="3"/>
      <c r="H968" s="3"/>
      <c r="AG968" s="91"/>
    </row>
    <row r="969" ht="15.75" customHeight="1">
      <c r="C969" s="3"/>
      <c r="H969" s="3"/>
      <c r="AG969" s="91"/>
    </row>
    <row r="970" ht="15.75" customHeight="1">
      <c r="C970" s="3"/>
      <c r="H970" s="3"/>
      <c r="AG970" s="91"/>
    </row>
    <row r="971" ht="15.75" customHeight="1">
      <c r="C971" s="3"/>
      <c r="H971" s="3"/>
      <c r="AG971" s="91"/>
    </row>
    <row r="972" ht="15.75" customHeight="1">
      <c r="C972" s="3"/>
      <c r="H972" s="3"/>
      <c r="AG972" s="91"/>
    </row>
    <row r="973" ht="15.75" customHeight="1">
      <c r="C973" s="3"/>
      <c r="H973" s="3"/>
      <c r="AG973" s="91"/>
    </row>
    <row r="974" ht="15.75" customHeight="1">
      <c r="C974" s="3"/>
      <c r="H974" s="3"/>
      <c r="AG974" s="91"/>
    </row>
    <row r="975" ht="15.75" customHeight="1">
      <c r="C975" s="3"/>
      <c r="H975" s="3"/>
      <c r="AG975" s="91"/>
    </row>
    <row r="976" ht="15.75" customHeight="1">
      <c r="C976" s="3"/>
      <c r="H976" s="3"/>
      <c r="AG976" s="91"/>
    </row>
    <row r="977" ht="15.75" customHeight="1">
      <c r="C977" s="3"/>
      <c r="H977" s="3"/>
      <c r="AG977" s="91"/>
    </row>
    <row r="978" ht="15.75" customHeight="1">
      <c r="C978" s="3"/>
      <c r="H978" s="3"/>
      <c r="AG978" s="91"/>
    </row>
    <row r="979" ht="15.75" customHeight="1">
      <c r="C979" s="3"/>
      <c r="H979" s="3"/>
      <c r="AG979" s="91"/>
    </row>
    <row r="980" ht="15.75" customHeight="1">
      <c r="C980" s="3"/>
      <c r="H980" s="3"/>
      <c r="AG980" s="91"/>
    </row>
    <row r="981" ht="15.75" customHeight="1">
      <c r="C981" s="3"/>
      <c r="H981" s="3"/>
      <c r="AG981" s="91"/>
    </row>
    <row r="982" ht="15.75" customHeight="1">
      <c r="C982" s="3"/>
      <c r="H982" s="3"/>
      <c r="AG982" s="91"/>
    </row>
    <row r="983" ht="15.75" customHeight="1">
      <c r="C983" s="3"/>
      <c r="H983" s="3"/>
      <c r="AG983" s="91"/>
    </row>
    <row r="984" ht="15.75" customHeight="1">
      <c r="C984" s="3"/>
      <c r="H984" s="3"/>
      <c r="AG984" s="91"/>
    </row>
    <row r="985" ht="15.75" customHeight="1">
      <c r="C985" s="3"/>
      <c r="H985" s="3"/>
      <c r="AG985" s="91"/>
    </row>
    <row r="986" ht="15.75" customHeight="1">
      <c r="C986" s="3"/>
      <c r="H986" s="3"/>
      <c r="AG986" s="91"/>
    </row>
    <row r="987" ht="15.75" customHeight="1">
      <c r="C987" s="3"/>
      <c r="H987" s="3"/>
      <c r="AG987" s="91"/>
    </row>
    <row r="988" ht="15.75" customHeight="1">
      <c r="C988" s="3"/>
      <c r="H988" s="3"/>
      <c r="AG988" s="91"/>
    </row>
    <row r="989" ht="15.75" customHeight="1">
      <c r="C989" s="3"/>
      <c r="H989" s="3"/>
      <c r="AG989" s="91"/>
    </row>
    <row r="990" ht="15.75" customHeight="1">
      <c r="C990" s="3"/>
      <c r="H990" s="3"/>
      <c r="AG990" s="91"/>
    </row>
    <row r="991" ht="15.75" customHeight="1">
      <c r="C991" s="3"/>
      <c r="H991" s="3"/>
      <c r="AG991" s="91"/>
    </row>
    <row r="992" ht="15.75" customHeight="1">
      <c r="C992" s="3"/>
      <c r="H992" s="3"/>
      <c r="AG992" s="91"/>
    </row>
    <row r="993" ht="15.75" customHeight="1">
      <c r="C993" s="3"/>
      <c r="H993" s="3"/>
      <c r="AG993" s="91"/>
    </row>
    <row r="994" ht="15.75" customHeight="1">
      <c r="C994" s="3"/>
      <c r="H994" s="3"/>
      <c r="AG994" s="91"/>
    </row>
    <row r="995" ht="15.75" customHeight="1">
      <c r="C995" s="3"/>
      <c r="H995" s="3"/>
      <c r="AG995" s="91"/>
    </row>
    <row r="996" ht="15.75" customHeight="1">
      <c r="C996" s="3"/>
      <c r="H996" s="3"/>
      <c r="AG996" s="91"/>
    </row>
    <row r="997" ht="15.75" customHeight="1">
      <c r="C997" s="3"/>
      <c r="H997" s="3"/>
      <c r="AG997" s="91"/>
    </row>
    <row r="998" ht="15.75" customHeight="1">
      <c r="C998" s="3"/>
      <c r="H998" s="3"/>
      <c r="AG998" s="91"/>
    </row>
    <row r="999" ht="15.75" customHeight="1">
      <c r="C999" s="3"/>
      <c r="H999" s="3"/>
      <c r="AG999" s="91"/>
    </row>
    <row r="1000" ht="15.75" customHeight="1">
      <c r="C1000" s="3"/>
      <c r="H1000" s="3"/>
      <c r="AG1000" s="91"/>
    </row>
  </sheetData>
  <autoFilter ref="$A$3:$AO$93"/>
  <mergeCells count="2">
    <mergeCell ref="AW5:BE5"/>
    <mergeCell ref="AW20:BB20"/>
  </mergeCells>
  <printOptions/>
  <pageMargins bottom="0.75" footer="0.0" header="0.0" left="0.7" right="0.7" top="0.75"/>
  <pageSetup fitToHeight="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D1" s="97" t="s">
        <v>241</v>
      </c>
      <c r="E1" s="98">
        <f>+AL3</f>
        <v>509439.3178</v>
      </c>
      <c r="F1" s="2"/>
      <c r="G1" s="3"/>
      <c r="H1" s="4"/>
      <c r="I1" s="5"/>
      <c r="K1" s="5"/>
      <c r="L1" s="5"/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</row>
    <row r="2" ht="15.0" customHeight="1">
      <c r="D2" s="97" t="s">
        <v>242</v>
      </c>
      <c r="E2" s="98">
        <f>+AH3</f>
        <v>6647.391844</v>
      </c>
      <c r="F2" s="99" t="s">
        <v>243</v>
      </c>
      <c r="G2" s="100">
        <f>+Q2</f>
        <v>89.76927662</v>
      </c>
      <c r="H2" s="13"/>
      <c r="I2" s="14">
        <f>SUBTOTAL(9,I4:I8854)</f>
        <v>506.49</v>
      </c>
      <c r="J2" s="4"/>
      <c r="K2" s="14">
        <f>SUBTOTAL(9,K4:K8854)</f>
        <v>474.261348</v>
      </c>
      <c r="L2" s="15">
        <f>SUMPRODUCT(L5:L8854,K5:K8854)/K2</f>
        <v>0.4554126221</v>
      </c>
      <c r="M2" s="2"/>
      <c r="P2" s="2"/>
      <c r="Q2" s="16">
        <f>+SUMPRODUCT(Q5:Q8854,AH5:AH8854)/SUM(AH5:AH8854)</f>
        <v>89.76927662</v>
      </c>
      <c r="R2" s="12">
        <f>+SUMPRODUCT(R5:R8854,AH5:AH8854)/SUM(AH5:AH8854)</f>
        <v>2867.505696</v>
      </c>
      <c r="S2" s="2"/>
      <c r="AB2" s="7"/>
      <c r="AC2" s="7"/>
      <c r="AD2" s="7"/>
      <c r="AE2" s="7"/>
      <c r="AF2" s="7"/>
      <c r="AG2" s="17">
        <f>SUMPRODUCT($AG5:$AG8854,$K5:$K8854)/SUM($K5:$K8854)</f>
        <v>51.89594985</v>
      </c>
      <c r="AH2" s="18"/>
      <c r="AI2" s="19">
        <v>3000.0</v>
      </c>
      <c r="AJ2" s="20"/>
      <c r="AK2" s="11"/>
      <c r="AL2" s="21"/>
    </row>
    <row r="3" ht="15.0" customHeight="1">
      <c r="A3" s="22" t="s">
        <v>5</v>
      </c>
      <c r="B3" s="22" t="s">
        <v>6</v>
      </c>
      <c r="C3" s="22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SUBTOTAL(9,AH5:AH8854)</f>
        <v>6647.391844</v>
      </c>
      <c r="AI3" s="40">
        <f>SUMPRODUCT(K5:K8854,AI5:AI8854)/K2</f>
        <v>104.6325823</v>
      </c>
      <c r="AJ3" s="39">
        <f>SUBTOTAL(9,AJ5:AJ8854)</f>
        <v>6628.608726</v>
      </c>
      <c r="AK3" s="11"/>
      <c r="AL3" s="39">
        <f>SUBTOTAL(9,AL5:AL8854)</f>
        <v>509439.3178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</row>
    <row r="5" ht="15.75" customHeight="1">
      <c r="A5" s="92" t="s">
        <v>1652</v>
      </c>
      <c r="B5" s="95">
        <v>45702.0</v>
      </c>
      <c r="C5" s="56">
        <v>45678.0</v>
      </c>
      <c r="D5" s="57" t="s">
        <v>88</v>
      </c>
      <c r="E5" s="57" t="str">
        <f t="array" ref="E5">XLOOKUP(D5,RUC!$B$3:$B$110,RUC!$D$3:$D$110)</f>
        <v>#N/A</v>
      </c>
      <c r="G5" s="3">
        <v>50.0</v>
      </c>
      <c r="H5" s="57" t="s">
        <v>47</v>
      </c>
      <c r="I5" s="58">
        <v>6.29</v>
      </c>
      <c r="J5" s="58">
        <v>1.2</v>
      </c>
      <c r="K5" s="59">
        <f t="shared" ref="K5:K63" si="1">+I5-(I5*(J5/100))</f>
        <v>6.21452</v>
      </c>
      <c r="L5" s="60">
        <v>0.597</v>
      </c>
      <c r="M5" s="84">
        <v>0.573</v>
      </c>
      <c r="N5" s="75">
        <v>0.657</v>
      </c>
      <c r="O5" s="60">
        <f t="shared" ref="O5:O19" si="2">+ROUND((M5+N5)/2,3)</f>
        <v>0.615</v>
      </c>
      <c r="P5" s="63">
        <v>90.0</v>
      </c>
      <c r="Q5" s="64">
        <v>89.98</v>
      </c>
      <c r="R5" s="65">
        <v>2737.8</v>
      </c>
      <c r="S5" s="66">
        <f t="shared" ref="S5:S10" si="3">IF((85+ROUNDDOWN(O5,1)*100)&lt;95,95,(85+ROUNDDOWN(O5,1)*100))</f>
        <v>145</v>
      </c>
      <c r="U5" s="87">
        <v>90.0</v>
      </c>
      <c r="V5" s="67">
        <v>1.1023</v>
      </c>
      <c r="Z5" s="87">
        <v>25.0</v>
      </c>
      <c r="AA5" s="70">
        <f t="shared" ref="AA5:AA63" si="4">+Y5+Z5</f>
        <v>25</v>
      </c>
      <c r="AB5" s="71">
        <f t="shared" ref="AB5:AB52" si="5">+((O5*P5*(R5-U5)/100)-S5-AA5+T5)*V5</f>
        <v>1428.092812</v>
      </c>
      <c r="AC5" s="71">
        <f>+(S5-T5)*V5-'data 1'!$F$4</f>
        <v>79.8335</v>
      </c>
      <c r="AD5" s="71">
        <f t="shared" ref="AD5:AD63" si="6">+(Q5-P5)*(R5-U5)*L5*V5/100</f>
        <v>-0.3484891908</v>
      </c>
      <c r="AE5" s="71">
        <f t="shared" ref="AE5:AE63" si="7">+(Y5*V5-70)+V5*(Z5-IF(D5="UNTUCA",IF(+((W5-3)*2.5+(X5-3)*3.1)&gt;0,+((W5-3)*1.5+(X5-3)*3.1),0),IF(+((W5-3)*1.5+(X5-3)*3.1)&gt;0,+((W5-3)*1.5+(X5-3)*3.1),0)))</f>
        <v>-42.4425</v>
      </c>
      <c r="AF5" s="71">
        <f t="shared" ref="AF5:AF63" si="8">(L5-O5)*(R5-U5)*Q5*V5/100</f>
        <v>-47.27194582</v>
      </c>
      <c r="AG5" s="72">
        <f t="shared" ref="AG5:AG10" si="9">+IF(D5="RONALD WILLIAN GARIBAY ESCUDERO",AC5+AD5+AE5+AF5+70,AC5+AD5+AE5+AF5)+70-30-5-3</f>
        <v>21.77056499</v>
      </c>
      <c r="AH5" s="52">
        <f t="shared" ref="AH5:AH63" si="10">31.1035*L5*Q5*1.1023*K5/100</f>
        <v>114.4555823</v>
      </c>
      <c r="AI5" s="73">
        <f t="shared" ref="AI5:AI63" si="11">+((+$AI$2-R5+U5)*L5*Q5*V5)/100</f>
        <v>208.5496566</v>
      </c>
      <c r="AJ5" s="73">
        <f t="shared" ref="AJ5:AJ63" si="12">31.1035*1.1023*K5*P5*O5/100</f>
        <v>117.9327117</v>
      </c>
      <c r="AK5" s="11"/>
      <c r="AL5" s="51">
        <f t="shared" ref="AL5:AL63" si="13">+IF(AB5*K5&gt;0,AB5*K5,0)</f>
        <v>8874.911341</v>
      </c>
    </row>
    <row r="6" ht="15.75" customHeight="1">
      <c r="A6" s="92" t="s">
        <v>1653</v>
      </c>
      <c r="B6" s="95">
        <v>45702.0</v>
      </c>
      <c r="C6" s="56">
        <v>45678.0</v>
      </c>
      <c r="D6" s="57" t="s">
        <v>88</v>
      </c>
      <c r="E6" s="57" t="str">
        <f t="array" ref="E6">XLOOKUP(D6,RUC!$B$3:$B$110,RUC!$D$3:$D$110)</f>
        <v>#N/A</v>
      </c>
      <c r="G6" s="3">
        <v>50.0</v>
      </c>
      <c r="H6" s="57" t="s">
        <v>47</v>
      </c>
      <c r="I6" s="58">
        <v>7.06</v>
      </c>
      <c r="J6" s="58">
        <v>1.3</v>
      </c>
      <c r="K6" s="59">
        <f t="shared" si="1"/>
        <v>6.96822</v>
      </c>
      <c r="L6" s="60">
        <v>0.676</v>
      </c>
      <c r="M6" s="60">
        <v>0.649</v>
      </c>
      <c r="N6" s="62">
        <v>0.649</v>
      </c>
      <c r="O6" s="60">
        <f t="shared" si="2"/>
        <v>0.649</v>
      </c>
      <c r="P6" s="63">
        <v>90.0</v>
      </c>
      <c r="Q6" s="64">
        <v>89.92</v>
      </c>
      <c r="R6" s="65">
        <v>2737.8</v>
      </c>
      <c r="S6" s="66">
        <f t="shared" si="3"/>
        <v>145</v>
      </c>
      <c r="U6" s="87">
        <v>90.0</v>
      </c>
      <c r="V6" s="67">
        <v>1.1023</v>
      </c>
      <c r="Z6" s="87">
        <v>25.0</v>
      </c>
      <c r="AA6" s="70">
        <f t="shared" si="4"/>
        <v>25</v>
      </c>
      <c r="AB6" s="71">
        <f t="shared" si="5"/>
        <v>1517.404112</v>
      </c>
      <c r="AC6" s="71">
        <f>+(S6-T6)*V6-'data 1'!$F$4</f>
        <v>79.8335</v>
      </c>
      <c r="AD6" s="71">
        <f t="shared" si="6"/>
        <v>-1.578416704</v>
      </c>
      <c r="AE6" s="71">
        <f t="shared" si="7"/>
        <v>-42.4425</v>
      </c>
      <c r="AF6" s="71">
        <f t="shared" si="8"/>
        <v>70.86063627</v>
      </c>
      <c r="AG6" s="72">
        <f t="shared" si="9"/>
        <v>138.6732196</v>
      </c>
      <c r="AH6" s="52">
        <f t="shared" si="10"/>
        <v>145.2225028</v>
      </c>
      <c r="AI6" s="73">
        <f t="shared" si="11"/>
        <v>235.9892137</v>
      </c>
      <c r="AJ6" s="73">
        <f t="shared" si="12"/>
        <v>139.5462368</v>
      </c>
      <c r="AK6" s="11"/>
      <c r="AL6" s="51">
        <f t="shared" si="13"/>
        <v>10573.60568</v>
      </c>
    </row>
    <row r="7" ht="15.75" customHeight="1">
      <c r="A7" s="92" t="s">
        <v>1654</v>
      </c>
      <c r="B7" s="95">
        <v>45702.0</v>
      </c>
      <c r="C7" s="56">
        <v>45678.0</v>
      </c>
      <c r="D7" s="57" t="s">
        <v>88</v>
      </c>
      <c r="E7" s="57" t="str">
        <f t="array" ref="E7">XLOOKUP(D7,RUC!$B$3:$B$110,RUC!$D$3:$D$110)</f>
        <v>#N/A</v>
      </c>
      <c r="G7" s="3">
        <v>50.0</v>
      </c>
      <c r="H7" s="57" t="s">
        <v>47</v>
      </c>
      <c r="I7" s="58">
        <v>6.51</v>
      </c>
      <c r="J7" s="58">
        <v>1.5</v>
      </c>
      <c r="K7" s="59">
        <f t="shared" si="1"/>
        <v>6.41235</v>
      </c>
      <c r="L7" s="84">
        <v>0.547</v>
      </c>
      <c r="M7" s="84">
        <v>0.525</v>
      </c>
      <c r="N7" s="75">
        <v>0.659</v>
      </c>
      <c r="O7" s="60">
        <f t="shared" si="2"/>
        <v>0.592</v>
      </c>
      <c r="P7" s="63">
        <v>90.0</v>
      </c>
      <c r="Q7" s="64">
        <v>90.29</v>
      </c>
      <c r="R7" s="65">
        <v>2737.8</v>
      </c>
      <c r="S7" s="66">
        <f t="shared" si="3"/>
        <v>135</v>
      </c>
      <c r="U7" s="87">
        <v>90.0</v>
      </c>
      <c r="V7" s="67">
        <v>1.1023</v>
      </c>
      <c r="Z7" s="87">
        <v>25.0</v>
      </c>
      <c r="AA7" s="70">
        <f t="shared" si="4"/>
        <v>25</v>
      </c>
      <c r="AB7" s="71">
        <f t="shared" si="5"/>
        <v>1378.699344</v>
      </c>
      <c r="AC7" s="71">
        <f>+(S7-T7)*V7-'data 1'!$F$4</f>
        <v>68.8105</v>
      </c>
      <c r="AD7" s="71">
        <f t="shared" si="6"/>
        <v>4.629886126</v>
      </c>
      <c r="AE7" s="71">
        <f t="shared" si="7"/>
        <v>-42.4425</v>
      </c>
      <c r="AF7" s="71">
        <f t="shared" si="8"/>
        <v>-118.587019</v>
      </c>
      <c r="AG7" s="72">
        <f t="shared" si="9"/>
        <v>-55.58913287</v>
      </c>
      <c r="AH7" s="52">
        <f t="shared" si="10"/>
        <v>108.5808576</v>
      </c>
      <c r="AI7" s="73">
        <f t="shared" si="11"/>
        <v>191.7415079</v>
      </c>
      <c r="AJ7" s="73">
        <f t="shared" si="12"/>
        <v>117.136031</v>
      </c>
      <c r="AK7" s="11"/>
      <c r="AL7" s="51">
        <f t="shared" si="13"/>
        <v>8840.702739</v>
      </c>
    </row>
    <row r="8" ht="15.75" customHeight="1">
      <c r="A8" s="92" t="s">
        <v>1655</v>
      </c>
      <c r="B8" s="95">
        <v>45702.0</v>
      </c>
      <c r="C8" s="56">
        <v>45678.0</v>
      </c>
      <c r="D8" s="57" t="s">
        <v>88</v>
      </c>
      <c r="E8" s="57" t="str">
        <f t="array" ref="E8">XLOOKUP(D8,RUC!$B$3:$B$110,RUC!$D$3:$D$110)</f>
        <v>#N/A</v>
      </c>
      <c r="G8" s="3">
        <v>50.0</v>
      </c>
      <c r="H8" s="57" t="s">
        <v>47</v>
      </c>
      <c r="I8" s="58">
        <v>6.63</v>
      </c>
      <c r="J8" s="58">
        <v>1.8</v>
      </c>
      <c r="K8" s="59">
        <f t="shared" si="1"/>
        <v>6.51066</v>
      </c>
      <c r="L8" s="60">
        <v>0.682</v>
      </c>
      <c r="M8" s="60">
        <v>0.655</v>
      </c>
      <c r="N8" s="62">
        <v>0.655</v>
      </c>
      <c r="O8" s="60">
        <f t="shared" si="2"/>
        <v>0.655</v>
      </c>
      <c r="P8" s="63">
        <v>90.0</v>
      </c>
      <c r="Q8" s="64">
        <v>90.02</v>
      </c>
      <c r="R8" s="65">
        <v>2737.8</v>
      </c>
      <c r="S8" s="66">
        <f t="shared" si="3"/>
        <v>145</v>
      </c>
      <c r="U8" s="87">
        <v>90.0</v>
      </c>
      <c r="V8" s="67">
        <v>1.1023</v>
      </c>
      <c r="Z8" s="87">
        <v>25.0</v>
      </c>
      <c r="AA8" s="70">
        <f t="shared" si="4"/>
        <v>25</v>
      </c>
      <c r="AB8" s="71">
        <f t="shared" si="5"/>
        <v>1533.16493</v>
      </c>
      <c r="AC8" s="71">
        <f>+(S8-T8)*V8-'data 1'!$F$4</f>
        <v>79.8335</v>
      </c>
      <c r="AD8" s="71">
        <f t="shared" si="6"/>
        <v>0.3981065798</v>
      </c>
      <c r="AE8" s="71">
        <f t="shared" si="7"/>
        <v>-42.4425</v>
      </c>
      <c r="AF8" s="71">
        <f t="shared" si="8"/>
        <v>70.93944036</v>
      </c>
      <c r="AG8" s="72">
        <f t="shared" si="9"/>
        <v>140.7285469</v>
      </c>
      <c r="AH8" s="52">
        <f t="shared" si="10"/>
        <v>137.043193</v>
      </c>
      <c r="AI8" s="73">
        <f t="shared" si="11"/>
        <v>238.3485654</v>
      </c>
      <c r="AJ8" s="73">
        <f t="shared" si="12"/>
        <v>131.5884874</v>
      </c>
      <c r="AK8" s="11"/>
      <c r="AL8" s="51">
        <f t="shared" si="13"/>
        <v>9981.915581</v>
      </c>
    </row>
    <row r="9" ht="15.75" customHeight="1">
      <c r="A9" s="92" t="s">
        <v>1656</v>
      </c>
      <c r="B9" s="95">
        <v>45702.0</v>
      </c>
      <c r="C9" s="56">
        <v>45678.0</v>
      </c>
      <c r="D9" s="57" t="s">
        <v>88</v>
      </c>
      <c r="E9" s="57" t="str">
        <f t="array" ref="E9">XLOOKUP(D9,RUC!$B$3:$B$110,RUC!$D$3:$D$110)</f>
        <v>#N/A</v>
      </c>
      <c r="G9" s="3">
        <v>50.0</v>
      </c>
      <c r="H9" s="57" t="s">
        <v>47</v>
      </c>
      <c r="I9" s="58">
        <v>6.54</v>
      </c>
      <c r="J9" s="58">
        <v>1.15</v>
      </c>
      <c r="K9" s="59">
        <f t="shared" si="1"/>
        <v>6.46479</v>
      </c>
      <c r="L9" s="60">
        <v>0.494</v>
      </c>
      <c r="M9" s="60">
        <v>0.474</v>
      </c>
      <c r="N9" s="62">
        <v>0.474</v>
      </c>
      <c r="O9" s="60">
        <f t="shared" si="2"/>
        <v>0.474</v>
      </c>
      <c r="P9" s="63">
        <v>90.0</v>
      </c>
      <c r="Q9" s="64">
        <v>90.23</v>
      </c>
      <c r="R9" s="65">
        <v>2737.8</v>
      </c>
      <c r="S9" s="66">
        <f t="shared" si="3"/>
        <v>125</v>
      </c>
      <c r="U9" s="87">
        <v>90.0</v>
      </c>
      <c r="V9" s="67">
        <v>1.1023</v>
      </c>
      <c r="Z9" s="87">
        <v>25.0</v>
      </c>
      <c r="AA9" s="70">
        <f t="shared" si="4"/>
        <v>25</v>
      </c>
      <c r="AB9" s="71">
        <f t="shared" si="5"/>
        <v>1079.759596</v>
      </c>
      <c r="AC9" s="71">
        <f>+(S9-T9)*V9-'data 1'!$F$4</f>
        <v>57.7875</v>
      </c>
      <c r="AD9" s="71">
        <f t="shared" si="6"/>
        <v>3.316192786</v>
      </c>
      <c r="AE9" s="71">
        <f t="shared" si="7"/>
        <v>-42.4425</v>
      </c>
      <c r="AF9" s="71">
        <f t="shared" si="8"/>
        <v>52.67031774</v>
      </c>
      <c r="AG9" s="72">
        <f t="shared" si="9"/>
        <v>103.3315105</v>
      </c>
      <c r="AH9" s="52">
        <f t="shared" si="10"/>
        <v>98.79646318</v>
      </c>
      <c r="AI9" s="73">
        <f t="shared" si="11"/>
        <v>173.0481917</v>
      </c>
      <c r="AJ9" s="73">
        <f t="shared" si="12"/>
        <v>94.5549659</v>
      </c>
      <c r="AK9" s="11"/>
      <c r="AL9" s="51">
        <f t="shared" si="13"/>
        <v>6980.419041</v>
      </c>
    </row>
    <row r="10" ht="15.75" customHeight="1">
      <c r="A10" s="92" t="s">
        <v>1657</v>
      </c>
      <c r="B10" s="95">
        <v>45702.0</v>
      </c>
      <c r="C10" s="56">
        <v>45678.0</v>
      </c>
      <c r="D10" s="57" t="s">
        <v>88</v>
      </c>
      <c r="E10" s="57" t="str">
        <f t="array" ref="E10">XLOOKUP(D10,RUC!$B$3:$B$110,RUC!$D$3:$D$110)</f>
        <v>#N/A</v>
      </c>
      <c r="G10" s="3">
        <v>50.0</v>
      </c>
      <c r="H10" s="57" t="s">
        <v>47</v>
      </c>
      <c r="I10" s="58">
        <v>6.89</v>
      </c>
      <c r="J10" s="58">
        <v>1.2</v>
      </c>
      <c r="K10" s="59">
        <f t="shared" si="1"/>
        <v>6.80732</v>
      </c>
      <c r="L10" s="84">
        <v>0.359</v>
      </c>
      <c r="M10" s="84">
        <v>0.345</v>
      </c>
      <c r="N10" s="75">
        <v>0.506</v>
      </c>
      <c r="O10" s="60">
        <f t="shared" si="2"/>
        <v>0.426</v>
      </c>
      <c r="P10" s="63">
        <v>90.0</v>
      </c>
      <c r="Q10" s="64">
        <v>90.12</v>
      </c>
      <c r="R10" s="65">
        <v>2737.8</v>
      </c>
      <c r="S10" s="66">
        <f t="shared" si="3"/>
        <v>125</v>
      </c>
      <c r="U10" s="87">
        <v>90.0</v>
      </c>
      <c r="V10" s="67">
        <v>1.1023</v>
      </c>
      <c r="Z10" s="87">
        <v>25.0</v>
      </c>
      <c r="AA10" s="70">
        <f t="shared" si="4"/>
        <v>25</v>
      </c>
      <c r="AB10" s="71">
        <f t="shared" si="5"/>
        <v>953.673055</v>
      </c>
      <c r="AC10" s="71">
        <f>+(S10-T10)*V10-'data 1'!$F$4</f>
        <v>57.7875</v>
      </c>
      <c r="AD10" s="71">
        <f t="shared" si="6"/>
        <v>1.25736301</v>
      </c>
      <c r="AE10" s="71">
        <f t="shared" si="7"/>
        <v>-42.4425</v>
      </c>
      <c r="AF10" s="71">
        <f t="shared" si="8"/>
        <v>-176.2304584</v>
      </c>
      <c r="AG10" s="72">
        <f t="shared" si="9"/>
        <v>-127.6280954</v>
      </c>
      <c r="AH10" s="52">
        <f t="shared" si="10"/>
        <v>75.50937358</v>
      </c>
      <c r="AI10" s="73">
        <f t="shared" si="11"/>
        <v>125.6043819</v>
      </c>
      <c r="AJ10" s="73">
        <f t="shared" si="12"/>
        <v>89.48234242</v>
      </c>
      <c r="AK10" s="11"/>
      <c r="AL10" s="51">
        <f t="shared" si="13"/>
        <v>6491.957661</v>
      </c>
    </row>
    <row r="11" ht="15.75" customHeight="1">
      <c r="A11" s="92" t="s">
        <v>1658</v>
      </c>
      <c r="B11" s="56">
        <v>45695.0</v>
      </c>
      <c r="C11" s="56">
        <v>45690.0</v>
      </c>
      <c r="D11" s="57" t="s">
        <v>207</v>
      </c>
      <c r="E11" s="57">
        <f t="array" ref="E11">XLOOKUP(D11,RUC!$B$3:$B$110,RUC!$D$3:$D$110)</f>
        <v>20548542422</v>
      </c>
      <c r="G11" s="3" t="s">
        <v>46</v>
      </c>
      <c r="H11" s="57" t="s">
        <v>47</v>
      </c>
      <c r="I11" s="58">
        <v>31.35</v>
      </c>
      <c r="J11" s="58">
        <v>1.2</v>
      </c>
      <c r="K11" s="59">
        <f t="shared" si="1"/>
        <v>30.9738</v>
      </c>
      <c r="L11" s="60">
        <v>0.642</v>
      </c>
      <c r="M11" s="60">
        <v>0.616</v>
      </c>
      <c r="N11" s="75">
        <v>0.718</v>
      </c>
      <c r="O11" s="60">
        <f t="shared" si="2"/>
        <v>0.667</v>
      </c>
      <c r="P11" s="63">
        <v>90.0</v>
      </c>
      <c r="Q11" s="64">
        <v>89.87</v>
      </c>
      <c r="R11" s="65">
        <v>2826.1</v>
      </c>
      <c r="S11" s="66">
        <v>135.0</v>
      </c>
      <c r="U11" s="67">
        <v>100.0</v>
      </c>
      <c r="V11" s="67">
        <v>1.1023</v>
      </c>
      <c r="Z11" s="69">
        <f>IF(IF(D11="UNTUCA",IF(+((W11-3)*1.5+(X11-3)*3.1)&gt;0,+((W11-3)*1.5+(X11-3)*3.1),0),IF(+((W11-3)*1.5+(X11-3)*3.1)&gt;0,+((W11-3)*1.5+(X11-3)*3.1),0))&lt;30,30,IF(D11="UNTUCA",IF(+((W11-3)*1.5+(X11-3)*3.1)&gt;0,+((W11-3)*1.5+(X11-3)*3.1),0),IF(+((W11-3)*1.5+(X11-3)*3.1)&gt;0,+((W11-3)*1.5+(X11-3)*3.1),0)))</f>
        <v>30</v>
      </c>
      <c r="AA11" s="70">
        <f t="shared" si="4"/>
        <v>30</v>
      </c>
      <c r="AB11" s="71">
        <f t="shared" si="5"/>
        <v>1622.010012</v>
      </c>
      <c r="AC11" s="71">
        <f>+(S11-T11)*V11-'data 1'!$F$4</f>
        <v>68.8105</v>
      </c>
      <c r="AD11" s="71">
        <f t="shared" si="6"/>
        <v>-2.507956333</v>
      </c>
      <c r="AE11" s="71">
        <f t="shared" si="7"/>
        <v>-36.931</v>
      </c>
      <c r="AF11" s="71">
        <f t="shared" si="8"/>
        <v>-67.51438882</v>
      </c>
      <c r="AG11" s="72">
        <f t="shared" ref="AG11:AG25" si="14">+IF(D11="RONALD WILLIAN GARIBAY ESCUDERO",AC11+AD11+AE11+AF11+70,AC11+AD11+AE11+AF11)+70-53</f>
        <v>-21.14284516</v>
      </c>
      <c r="AH11" s="52">
        <f t="shared" si="10"/>
        <v>612.7076867</v>
      </c>
      <c r="AI11" s="73">
        <f t="shared" si="11"/>
        <v>174.1973763</v>
      </c>
      <c r="AJ11" s="73">
        <f t="shared" si="12"/>
        <v>637.4878361</v>
      </c>
      <c r="AK11" s="11"/>
      <c r="AL11" s="51">
        <f t="shared" si="13"/>
        <v>50239.81371</v>
      </c>
    </row>
    <row r="12" ht="15.0" customHeight="1">
      <c r="A12" s="92" t="s">
        <v>1659</v>
      </c>
      <c r="B12" s="95">
        <v>45699.0</v>
      </c>
      <c r="C12" s="56">
        <v>45692.0</v>
      </c>
      <c r="D12" s="57" t="s">
        <v>88</v>
      </c>
      <c r="E12" s="57" t="str">
        <f t="array" ref="E12">XLOOKUP(D12,RUC!$B$3:$B$110,RUC!$D$3:$D$110)</f>
        <v>#N/A</v>
      </c>
      <c r="G12" s="3">
        <v>43.0</v>
      </c>
      <c r="H12" s="57" t="s">
        <v>47</v>
      </c>
      <c r="I12" s="58">
        <v>5.11</v>
      </c>
      <c r="J12" s="58">
        <v>1.2</v>
      </c>
      <c r="K12" s="59">
        <f t="shared" si="1"/>
        <v>5.04868</v>
      </c>
      <c r="L12" s="60">
        <v>1.951</v>
      </c>
      <c r="M12" s="60">
        <v>1.872</v>
      </c>
      <c r="N12" s="75">
        <v>1.935</v>
      </c>
      <c r="O12" s="60">
        <f t="shared" si="2"/>
        <v>1.904</v>
      </c>
      <c r="P12" s="63">
        <v>90.0</v>
      </c>
      <c r="Q12" s="64">
        <v>89.55</v>
      </c>
      <c r="R12" s="65">
        <v>2843.55</v>
      </c>
      <c r="S12" s="96">
        <v>190.0</v>
      </c>
      <c r="U12" s="87">
        <v>90.0</v>
      </c>
      <c r="V12" s="67">
        <v>1.1023</v>
      </c>
      <c r="Z12" s="77">
        <v>25.0</v>
      </c>
      <c r="AA12" s="70">
        <f t="shared" si="4"/>
        <v>25</v>
      </c>
      <c r="AB12" s="71">
        <f t="shared" si="5"/>
        <v>4964.18962</v>
      </c>
      <c r="AC12" s="71">
        <f>+(S12-T12)*V12-'data 1'!$F$4</f>
        <v>129.437</v>
      </c>
      <c r="AD12" s="71">
        <f t="shared" si="6"/>
        <v>-26.64787347</v>
      </c>
      <c r="AE12" s="71">
        <f t="shared" si="7"/>
        <v>-42.4425</v>
      </c>
      <c r="AF12" s="71">
        <f t="shared" si="8"/>
        <v>127.7486215</v>
      </c>
      <c r="AG12" s="72">
        <f t="shared" si="14"/>
        <v>205.095248</v>
      </c>
      <c r="AH12" s="52">
        <f t="shared" si="10"/>
        <v>302.4194878</v>
      </c>
      <c r="AI12" s="73">
        <f t="shared" si="11"/>
        <v>474.625961</v>
      </c>
      <c r="AJ12" s="73">
        <f t="shared" si="12"/>
        <v>296.617225</v>
      </c>
      <c r="AK12" s="11"/>
      <c r="AL12" s="51">
        <f t="shared" si="13"/>
        <v>25062.60485</v>
      </c>
    </row>
    <row r="13" ht="15.0" customHeight="1">
      <c r="A13" s="92" t="s">
        <v>1660</v>
      </c>
      <c r="B13" s="95">
        <v>45699.0</v>
      </c>
      <c r="C13" s="56">
        <v>45693.0</v>
      </c>
      <c r="D13" s="57" t="s">
        <v>88</v>
      </c>
      <c r="E13" s="57" t="str">
        <f t="array" ref="E13">XLOOKUP(D13,RUC!$B$3:$B$110,RUC!$D$3:$D$110)</f>
        <v>#N/A</v>
      </c>
      <c r="G13" s="3">
        <v>50.0</v>
      </c>
      <c r="H13" s="57" t="s">
        <v>47</v>
      </c>
      <c r="I13" s="58">
        <v>6.65</v>
      </c>
      <c r="J13" s="58">
        <v>1.1</v>
      </c>
      <c r="K13" s="59">
        <f t="shared" si="1"/>
        <v>6.57685</v>
      </c>
      <c r="L13" s="60">
        <v>0.527</v>
      </c>
      <c r="M13" s="60">
        <v>0.506</v>
      </c>
      <c r="N13" s="75">
        <v>0.559</v>
      </c>
      <c r="O13" s="60">
        <f t="shared" si="2"/>
        <v>0.533</v>
      </c>
      <c r="P13" s="63">
        <v>90.0</v>
      </c>
      <c r="Q13" s="64">
        <v>90.03</v>
      </c>
      <c r="R13" s="65">
        <v>2871.15</v>
      </c>
      <c r="S13" s="96">
        <f t="shared" ref="S13:S15" si="15">IF((85+ROUNDDOWN(O13,1)*100)&lt;95,95,(85+ROUNDDOWN(O13,1)*100))</f>
        <v>135</v>
      </c>
      <c r="U13" s="87">
        <v>90.0</v>
      </c>
      <c r="V13" s="67">
        <v>1.1023</v>
      </c>
      <c r="Z13" s="77">
        <v>25.0</v>
      </c>
      <c r="AA13" s="70">
        <f t="shared" si="4"/>
        <v>25</v>
      </c>
      <c r="AB13" s="71">
        <f t="shared" si="5"/>
        <v>1294.229891</v>
      </c>
      <c r="AC13" s="71">
        <f>+(S13-T13)*V13-'data 1'!$F$4</f>
        <v>68.8105</v>
      </c>
      <c r="AD13" s="71">
        <f t="shared" si="6"/>
        <v>0.4846811061</v>
      </c>
      <c r="AE13" s="71">
        <f t="shared" si="7"/>
        <v>-42.4425</v>
      </c>
      <c r="AF13" s="71">
        <f t="shared" si="8"/>
        <v>-16.56009107</v>
      </c>
      <c r="AG13" s="72">
        <f t="shared" si="14"/>
        <v>27.29259003</v>
      </c>
      <c r="AH13" s="52">
        <f t="shared" si="10"/>
        <v>106.9854879</v>
      </c>
      <c r="AI13" s="73">
        <f t="shared" si="11"/>
        <v>114.4574916</v>
      </c>
      <c r="AJ13" s="73">
        <f t="shared" si="12"/>
        <v>108.1674832</v>
      </c>
      <c r="AK13" s="11"/>
      <c r="AL13" s="51">
        <f t="shared" si="13"/>
        <v>8511.955859</v>
      </c>
    </row>
    <row r="14" ht="15.0" customHeight="1">
      <c r="A14" s="92" t="s">
        <v>1661</v>
      </c>
      <c r="B14" s="95">
        <v>45699.0</v>
      </c>
      <c r="C14" s="56">
        <v>45693.0</v>
      </c>
      <c r="D14" s="57" t="s">
        <v>88</v>
      </c>
      <c r="E14" s="57" t="str">
        <f t="array" ref="E14">XLOOKUP(D14,RUC!$B$3:$B$110,RUC!$D$3:$D$110)</f>
        <v>#N/A</v>
      </c>
      <c r="G14" s="3">
        <v>50.0</v>
      </c>
      <c r="H14" s="57" t="s">
        <v>47</v>
      </c>
      <c r="I14" s="58">
        <v>7.03</v>
      </c>
      <c r="J14" s="58">
        <v>1.2</v>
      </c>
      <c r="K14" s="59">
        <f t="shared" si="1"/>
        <v>6.94564</v>
      </c>
      <c r="L14" s="60">
        <v>0.564</v>
      </c>
      <c r="M14" s="60">
        <v>0.541</v>
      </c>
      <c r="N14" s="62">
        <v>0.541</v>
      </c>
      <c r="O14" s="60">
        <f t="shared" si="2"/>
        <v>0.541</v>
      </c>
      <c r="P14" s="63">
        <v>90.0</v>
      </c>
      <c r="Q14" s="64">
        <v>90.11</v>
      </c>
      <c r="R14" s="65">
        <v>2871.15</v>
      </c>
      <c r="S14" s="96">
        <f t="shared" si="15"/>
        <v>135</v>
      </c>
      <c r="U14" s="87">
        <v>90.0</v>
      </c>
      <c r="V14" s="67">
        <v>1.1023</v>
      </c>
      <c r="Z14" s="77">
        <v>25.0</v>
      </c>
      <c r="AA14" s="70">
        <f t="shared" si="4"/>
        <v>25</v>
      </c>
      <c r="AB14" s="71">
        <f t="shared" si="5"/>
        <v>1316.302655</v>
      </c>
      <c r="AC14" s="71">
        <f>+(S14-T14)*V14-'data 1'!$F$4</f>
        <v>68.8105</v>
      </c>
      <c r="AD14" s="71">
        <f t="shared" si="6"/>
        <v>1.901936485</v>
      </c>
      <c r="AE14" s="71">
        <f t="shared" si="7"/>
        <v>-42.4425</v>
      </c>
      <c r="AF14" s="71">
        <f t="shared" si="8"/>
        <v>63.53675729</v>
      </c>
      <c r="AG14" s="72">
        <f t="shared" si="14"/>
        <v>108.8066938</v>
      </c>
      <c r="AH14" s="52">
        <f t="shared" si="10"/>
        <v>121.0245378</v>
      </c>
      <c r="AI14" s="73">
        <f t="shared" si="11"/>
        <v>122.6022533</v>
      </c>
      <c r="AJ14" s="73">
        <f t="shared" si="12"/>
        <v>115.9474264</v>
      </c>
      <c r="AK14" s="11"/>
      <c r="AL14" s="51">
        <f t="shared" si="13"/>
        <v>9142.564372</v>
      </c>
    </row>
    <row r="15" ht="15.0" customHeight="1">
      <c r="A15" s="92" t="s">
        <v>1662</v>
      </c>
      <c r="B15" s="95">
        <v>45699.0</v>
      </c>
      <c r="C15" s="56">
        <v>45693.0</v>
      </c>
      <c r="D15" s="57" t="s">
        <v>88</v>
      </c>
      <c r="E15" s="57" t="str">
        <f t="array" ref="E15">XLOOKUP(D15,RUC!$B$3:$B$110,RUC!$D$3:$D$110)</f>
        <v>#N/A</v>
      </c>
      <c r="G15" s="3">
        <v>50.0</v>
      </c>
      <c r="H15" s="57" t="s">
        <v>47</v>
      </c>
      <c r="I15" s="58">
        <v>6.7</v>
      </c>
      <c r="J15" s="58">
        <v>1.2</v>
      </c>
      <c r="K15" s="59">
        <f t="shared" si="1"/>
        <v>6.6196</v>
      </c>
      <c r="L15" s="60">
        <v>0.49</v>
      </c>
      <c r="M15" s="60">
        <v>0.47</v>
      </c>
      <c r="N15" s="60">
        <v>0.47</v>
      </c>
      <c r="O15" s="60">
        <f t="shared" si="2"/>
        <v>0.47</v>
      </c>
      <c r="P15" s="63">
        <v>90.0</v>
      </c>
      <c r="Q15" s="64">
        <v>90.25</v>
      </c>
      <c r="R15" s="65">
        <v>2871.15</v>
      </c>
      <c r="S15" s="96">
        <f t="shared" si="15"/>
        <v>125</v>
      </c>
      <c r="U15" s="87">
        <v>90.0</v>
      </c>
      <c r="V15" s="67">
        <v>1.1023</v>
      </c>
      <c r="Z15" s="77">
        <v>25.0</v>
      </c>
      <c r="AA15" s="70">
        <f t="shared" si="4"/>
        <v>25</v>
      </c>
      <c r="AB15" s="71">
        <f t="shared" si="5"/>
        <v>1131.429876</v>
      </c>
      <c r="AC15" s="71">
        <f>+(S15-T15)*V15-'data 1'!$F$4</f>
        <v>57.7875</v>
      </c>
      <c r="AD15" s="71">
        <f t="shared" si="6"/>
        <v>3.755435515</v>
      </c>
      <c r="AE15" s="71">
        <f t="shared" si="7"/>
        <v>-42.4425</v>
      </c>
      <c r="AF15" s="71">
        <f t="shared" si="8"/>
        <v>55.33519269</v>
      </c>
      <c r="AG15" s="72">
        <f t="shared" si="14"/>
        <v>91.43562821</v>
      </c>
      <c r="AH15" s="52">
        <f t="shared" si="10"/>
        <v>100.3654202</v>
      </c>
      <c r="AI15" s="73">
        <f t="shared" si="11"/>
        <v>106.6816315</v>
      </c>
      <c r="AJ15" s="73">
        <f t="shared" si="12"/>
        <v>96.00219965</v>
      </c>
      <c r="AK15" s="11"/>
      <c r="AL15" s="51">
        <f t="shared" si="13"/>
        <v>7489.613206</v>
      </c>
    </row>
    <row r="16" ht="15.0" customHeight="1">
      <c r="A16" s="92" t="s">
        <v>1663</v>
      </c>
      <c r="B16" s="95">
        <v>45698.0</v>
      </c>
      <c r="C16" s="56">
        <v>45693.0</v>
      </c>
      <c r="D16" s="57" t="s">
        <v>177</v>
      </c>
      <c r="E16" s="57">
        <f t="array" ref="E16">XLOOKUP(D16,RUC!$B$3:$B$110,RUC!$D$3:$D$110)</f>
        <v>10306762465</v>
      </c>
      <c r="G16" s="3">
        <v>100.0</v>
      </c>
      <c r="H16" s="57" t="s">
        <v>47</v>
      </c>
      <c r="I16" s="58">
        <v>8.2</v>
      </c>
      <c r="J16" s="58">
        <v>1.2</v>
      </c>
      <c r="K16" s="59">
        <f t="shared" si="1"/>
        <v>8.1016</v>
      </c>
      <c r="L16" s="60">
        <v>1.241</v>
      </c>
      <c r="M16" s="60">
        <v>1.191</v>
      </c>
      <c r="N16" s="75">
        <v>1.231</v>
      </c>
      <c r="O16" s="60">
        <f t="shared" si="2"/>
        <v>1.211</v>
      </c>
      <c r="P16" s="63">
        <v>90.0</v>
      </c>
      <c r="Q16" s="64">
        <v>89.75</v>
      </c>
      <c r="R16" s="65">
        <v>2871.15</v>
      </c>
      <c r="S16" s="66">
        <f t="shared" ref="S16:S19" si="16">IF((90+ROUNDDOWN(O16,1)*100)&lt;95,95,(90+ROUNDDOWN(O16,1)*100))</f>
        <v>210</v>
      </c>
      <c r="U16" s="67">
        <v>120.0</v>
      </c>
      <c r="V16" s="67">
        <v>1.1023</v>
      </c>
      <c r="Y16" s="57">
        <v>20.0</v>
      </c>
      <c r="Z16" s="69">
        <f t="shared" ref="Z16:Z19" si="17">IF(IF(D16="UNTUCA",IF(+((W16-3)*1.5+(X16-3)*3.1)&gt;0,+((W16-3)*1.5+(X16-3)*3.1),0),IF(+((W16-3)*1.5+(X16-3)*3.1)&gt;0,+((W16-3)*1.5+(X16-3)*3.1),0))&lt;30,30,IF(D16="UNTUCA",IF(+((W16-3)*1.5+(X16-3)*3.1)&gt;0,+((W16-3)*1.5+(X16-3)*3.1),0),IF(+((W16-3)*1.5+(X16-3)*3.1)&gt;0,+((W16-3)*1.5+(X16-3)*3.1),0)))</f>
        <v>30</v>
      </c>
      <c r="AA16" s="70">
        <f t="shared" si="4"/>
        <v>50</v>
      </c>
      <c r="AB16" s="71">
        <f t="shared" si="5"/>
        <v>3018.624724</v>
      </c>
      <c r="AC16" s="71">
        <f>+(S16-T16)*V16-'data 1'!$F$4</f>
        <v>151.483</v>
      </c>
      <c r="AD16" s="71">
        <f t="shared" si="6"/>
        <v>-9.408618681</v>
      </c>
      <c r="AE16" s="71">
        <f t="shared" si="7"/>
        <v>-14.885</v>
      </c>
      <c r="AF16" s="71">
        <f t="shared" si="8"/>
        <v>81.65255697</v>
      </c>
      <c r="AG16" s="72">
        <f t="shared" si="14"/>
        <v>225.8419383</v>
      </c>
      <c r="AH16" s="52">
        <f t="shared" si="10"/>
        <v>309.3756331</v>
      </c>
      <c r="AI16" s="73">
        <f t="shared" si="11"/>
        <v>305.5228462</v>
      </c>
      <c r="AJ16" s="73">
        <f t="shared" si="12"/>
        <v>302.7377082</v>
      </c>
      <c r="AK16" s="11"/>
      <c r="AL16" s="51">
        <f t="shared" si="13"/>
        <v>24455.69006</v>
      </c>
    </row>
    <row r="17" ht="15.0" customHeight="1">
      <c r="A17" s="92" t="s">
        <v>1664</v>
      </c>
      <c r="B17" s="56">
        <v>45699.0</v>
      </c>
      <c r="C17" s="56">
        <v>45694.0</v>
      </c>
      <c r="D17" s="57" t="s">
        <v>63</v>
      </c>
      <c r="E17" s="57" t="str">
        <f t="array" ref="E17">XLOOKUP(D17,RUC!$B$3:$B$110,RUC!$D$3:$D$110)</f>
        <v>#N/A</v>
      </c>
      <c r="G17" s="3">
        <v>100.0</v>
      </c>
      <c r="H17" s="57" t="s">
        <v>47</v>
      </c>
      <c r="I17" s="58">
        <v>8.02</v>
      </c>
      <c r="J17" s="58">
        <v>1.2</v>
      </c>
      <c r="K17" s="59">
        <f t="shared" si="1"/>
        <v>7.92376</v>
      </c>
      <c r="L17" s="60">
        <v>0.534</v>
      </c>
      <c r="M17" s="60">
        <v>0.513</v>
      </c>
      <c r="N17" s="62">
        <v>0.513</v>
      </c>
      <c r="O17" s="60">
        <f t="shared" si="2"/>
        <v>0.513</v>
      </c>
      <c r="P17" s="63">
        <v>90.0</v>
      </c>
      <c r="Q17" s="58">
        <v>89.82</v>
      </c>
      <c r="R17" s="65">
        <v>2838.95</v>
      </c>
      <c r="S17" s="66">
        <f t="shared" si="16"/>
        <v>140</v>
      </c>
      <c r="U17" s="67">
        <v>120.0</v>
      </c>
      <c r="V17" s="67">
        <v>1.1023</v>
      </c>
      <c r="Y17" s="57">
        <v>20.0</v>
      </c>
      <c r="Z17" s="69">
        <f t="shared" si="17"/>
        <v>30</v>
      </c>
      <c r="AA17" s="70">
        <f t="shared" si="4"/>
        <v>50</v>
      </c>
      <c r="AB17" s="71">
        <f t="shared" si="5"/>
        <v>1174.323417</v>
      </c>
      <c r="AC17" s="71">
        <f>+(S17-T17)*V17-'data 1'!$F$4</f>
        <v>74.322</v>
      </c>
      <c r="AD17" s="71">
        <f t="shared" si="6"/>
        <v>-2.88081116</v>
      </c>
      <c r="AE17" s="71">
        <f t="shared" si="7"/>
        <v>-14.885</v>
      </c>
      <c r="AF17" s="71">
        <f t="shared" si="8"/>
        <v>56.53187293</v>
      </c>
      <c r="AG17" s="72">
        <f t="shared" si="14"/>
        <v>130.0880618</v>
      </c>
      <c r="AH17" s="52">
        <f t="shared" si="10"/>
        <v>130.3030826</v>
      </c>
      <c r="AI17" s="73">
        <f t="shared" si="11"/>
        <v>148.5927789</v>
      </c>
      <c r="AJ17" s="73">
        <f t="shared" si="12"/>
        <v>125.4296634</v>
      </c>
      <c r="AK17" s="11"/>
      <c r="AL17" s="51">
        <f t="shared" si="13"/>
        <v>9305.056916</v>
      </c>
    </row>
    <row r="18" ht="15.0" customHeight="1">
      <c r="A18" s="92" t="s">
        <v>1665</v>
      </c>
      <c r="B18" s="56">
        <v>45699.0</v>
      </c>
      <c r="C18" s="56">
        <v>45695.0</v>
      </c>
      <c r="D18" s="57" t="s">
        <v>225</v>
      </c>
      <c r="E18" s="57">
        <f t="array" ref="E18">XLOOKUP(D18,RUC!$B$3:$B$110,RUC!$D$3:$D$110)</f>
        <v>10761932735</v>
      </c>
      <c r="G18" s="3">
        <v>19.0</v>
      </c>
      <c r="H18" s="57" t="s">
        <v>71</v>
      </c>
      <c r="I18" s="58">
        <v>1.08</v>
      </c>
      <c r="J18" s="58">
        <v>11.85</v>
      </c>
      <c r="K18" s="59">
        <f t="shared" si="1"/>
        <v>0.95202</v>
      </c>
      <c r="L18" s="60">
        <v>0.26</v>
      </c>
      <c r="M18" s="60">
        <v>0.25</v>
      </c>
      <c r="N18" s="62">
        <v>0.25</v>
      </c>
      <c r="O18" s="60">
        <f t="shared" si="2"/>
        <v>0.25</v>
      </c>
      <c r="P18" s="63">
        <v>90.0</v>
      </c>
      <c r="Q18" s="58">
        <v>90.05</v>
      </c>
      <c r="R18" s="65">
        <v>2874.65</v>
      </c>
      <c r="S18" s="66">
        <f t="shared" si="16"/>
        <v>110</v>
      </c>
      <c r="U18" s="67">
        <v>100.0</v>
      </c>
      <c r="V18" s="67">
        <v>1.1023</v>
      </c>
      <c r="Z18" s="69">
        <f t="shared" si="17"/>
        <v>30</v>
      </c>
      <c r="AA18" s="70">
        <f t="shared" si="4"/>
        <v>30</v>
      </c>
      <c r="AB18" s="71">
        <f t="shared" si="5"/>
        <v>533.8397564</v>
      </c>
      <c r="AC18" s="71">
        <f>+(S18-T18)*V18-'data 1'!$F$4</f>
        <v>41.253</v>
      </c>
      <c r="AD18" s="71">
        <f t="shared" si="6"/>
        <v>0.3976045703</v>
      </c>
      <c r="AE18" s="71">
        <f t="shared" si="7"/>
        <v>-36.931</v>
      </c>
      <c r="AF18" s="71">
        <f t="shared" si="8"/>
        <v>27.54176274</v>
      </c>
      <c r="AG18" s="72">
        <f t="shared" si="14"/>
        <v>49.26136731</v>
      </c>
      <c r="AH18" s="52">
        <f t="shared" si="10"/>
        <v>7.64209103</v>
      </c>
      <c r="AI18" s="73">
        <f t="shared" si="11"/>
        <v>58.1586658</v>
      </c>
      <c r="AJ18" s="73">
        <f t="shared" si="12"/>
        <v>7.344084405</v>
      </c>
      <c r="AK18" s="11"/>
      <c r="AL18" s="51">
        <f t="shared" si="13"/>
        <v>508.2261249</v>
      </c>
    </row>
    <row r="19" ht="15.0" customHeight="1">
      <c r="A19" s="92" t="s">
        <v>1666</v>
      </c>
      <c r="B19" s="56">
        <v>45699.0</v>
      </c>
      <c r="C19" s="56">
        <v>45695.0</v>
      </c>
      <c r="D19" s="57" t="s">
        <v>225</v>
      </c>
      <c r="E19" s="57">
        <f t="array" ref="E19">XLOOKUP(D19,RUC!$B$3:$B$110,RUC!$D$3:$D$110)</f>
        <v>10761932735</v>
      </c>
      <c r="G19" s="3">
        <v>39.0</v>
      </c>
      <c r="H19" s="57" t="s">
        <v>71</v>
      </c>
      <c r="I19" s="58">
        <v>2.94</v>
      </c>
      <c r="J19" s="58">
        <v>8.5</v>
      </c>
      <c r="K19" s="59">
        <f t="shared" si="1"/>
        <v>2.6901</v>
      </c>
      <c r="L19" s="60">
        <v>0.434</v>
      </c>
      <c r="M19" s="60">
        <v>0.417</v>
      </c>
      <c r="N19" s="62">
        <v>0.417</v>
      </c>
      <c r="O19" s="60">
        <f t="shared" si="2"/>
        <v>0.417</v>
      </c>
      <c r="P19" s="63">
        <v>90.0</v>
      </c>
      <c r="Q19" s="58">
        <v>89.9</v>
      </c>
      <c r="R19" s="65">
        <v>2874.65</v>
      </c>
      <c r="S19" s="66">
        <f t="shared" si="16"/>
        <v>130</v>
      </c>
      <c r="U19" s="67">
        <v>100.0</v>
      </c>
      <c r="V19" s="67">
        <v>1.1023</v>
      </c>
      <c r="Z19" s="69">
        <f t="shared" si="17"/>
        <v>30</v>
      </c>
      <c r="AA19" s="70">
        <f t="shared" si="4"/>
        <v>30</v>
      </c>
      <c r="AB19" s="71">
        <f t="shared" si="5"/>
        <v>971.4858096</v>
      </c>
      <c r="AC19" s="71">
        <f>+(S19-T19)*V19-'data 1'!$F$4</f>
        <v>63.299</v>
      </c>
      <c r="AD19" s="71">
        <f t="shared" si="6"/>
        <v>-1.327387566</v>
      </c>
      <c r="AE19" s="71">
        <f t="shared" si="7"/>
        <v>-36.931</v>
      </c>
      <c r="AF19" s="71">
        <f t="shared" si="8"/>
        <v>46.74300499</v>
      </c>
      <c r="AG19" s="72">
        <f t="shared" si="14"/>
        <v>88.78361742</v>
      </c>
      <c r="AH19" s="52">
        <f t="shared" si="10"/>
        <v>35.9854481</v>
      </c>
      <c r="AI19" s="73">
        <f t="shared" si="11"/>
        <v>96.9185239</v>
      </c>
      <c r="AJ19" s="73">
        <f t="shared" si="12"/>
        <v>34.61434023</v>
      </c>
      <c r="AK19" s="11"/>
      <c r="AL19" s="51">
        <f t="shared" si="13"/>
        <v>2613.393976</v>
      </c>
    </row>
    <row r="20" ht="15.0" customHeight="1">
      <c r="A20" s="92" t="s">
        <v>1667</v>
      </c>
      <c r="B20" s="56">
        <v>45698.0</v>
      </c>
      <c r="C20" s="56">
        <v>45695.0</v>
      </c>
      <c r="D20" s="57" t="s">
        <v>45</v>
      </c>
      <c r="E20" s="57">
        <f t="array" ref="E20">XLOOKUP(D20,RUC!$B$3:$B$110,RUC!$D$3:$D$110)</f>
        <v>10416085884</v>
      </c>
      <c r="G20" s="3" t="s">
        <v>46</v>
      </c>
      <c r="H20" s="57" t="s">
        <v>47</v>
      </c>
      <c r="I20" s="58">
        <v>34.65</v>
      </c>
      <c r="J20" s="58">
        <v>4.6</v>
      </c>
      <c r="K20" s="59">
        <f t="shared" si="1"/>
        <v>33.0561</v>
      </c>
      <c r="L20" s="60">
        <v>0.584</v>
      </c>
      <c r="M20" s="60">
        <v>0.561</v>
      </c>
      <c r="N20" s="75">
        <v>0.642</v>
      </c>
      <c r="O20" s="75">
        <v>0.601</v>
      </c>
      <c r="P20" s="63">
        <v>90.0</v>
      </c>
      <c r="Q20" s="58">
        <v>89.2</v>
      </c>
      <c r="R20" s="65">
        <v>2838.95</v>
      </c>
      <c r="S20" s="96">
        <v>130.0</v>
      </c>
      <c r="U20" s="67">
        <v>90.0</v>
      </c>
      <c r="V20" s="67">
        <v>1.1023</v>
      </c>
      <c r="Z20" s="77">
        <v>15.0</v>
      </c>
      <c r="AA20" s="70">
        <f t="shared" si="4"/>
        <v>15</v>
      </c>
      <c r="AB20" s="71">
        <f t="shared" si="5"/>
        <v>1479.184147</v>
      </c>
      <c r="AC20" s="71">
        <f>+(S20-T20)*V20-'data 1'!$F$4</f>
        <v>63.299</v>
      </c>
      <c r="AD20" s="71">
        <f t="shared" si="6"/>
        <v>-14.15694296</v>
      </c>
      <c r="AE20" s="71">
        <f t="shared" si="7"/>
        <v>-53.4655</v>
      </c>
      <c r="AF20" s="71">
        <f t="shared" si="8"/>
        <v>-45.94946126</v>
      </c>
      <c r="AG20" s="72">
        <f t="shared" si="14"/>
        <v>-33.27290422</v>
      </c>
      <c r="AH20" s="52">
        <f t="shared" si="10"/>
        <v>590.3891729</v>
      </c>
      <c r="AI20" s="73">
        <f t="shared" si="11"/>
        <v>144.1576635</v>
      </c>
      <c r="AJ20" s="73">
        <f t="shared" si="12"/>
        <v>613.0242637</v>
      </c>
      <c r="AK20" s="11"/>
      <c r="AL20" s="51">
        <f t="shared" si="13"/>
        <v>48896.05907</v>
      </c>
    </row>
    <row r="21" ht="15.0" customHeight="1">
      <c r="A21" s="92" t="s">
        <v>1668</v>
      </c>
      <c r="B21" s="56">
        <v>45699.0</v>
      </c>
      <c r="C21" s="56">
        <v>45696.0</v>
      </c>
      <c r="D21" s="57" t="s">
        <v>63</v>
      </c>
      <c r="E21" s="57" t="str">
        <f t="array" ref="E21">XLOOKUP(D21,RUC!$B$3:$B$110,RUC!$D$3:$D$110)</f>
        <v>#N/A</v>
      </c>
      <c r="G21" s="3">
        <v>100.0</v>
      </c>
      <c r="H21" s="57" t="s">
        <v>47</v>
      </c>
      <c r="I21" s="58">
        <v>7.06</v>
      </c>
      <c r="J21" s="58">
        <v>1.2</v>
      </c>
      <c r="K21" s="59">
        <f t="shared" si="1"/>
        <v>6.97528</v>
      </c>
      <c r="L21" s="60">
        <v>0.131</v>
      </c>
      <c r="M21" s="60">
        <v>0.121</v>
      </c>
      <c r="N21" s="62">
        <v>0.121</v>
      </c>
      <c r="O21" s="60">
        <f t="shared" ref="O21:O63" si="18">+ROUND((M21+N21)/2,3)</f>
        <v>0.121</v>
      </c>
      <c r="P21" s="63">
        <v>85.0</v>
      </c>
      <c r="Q21" s="58">
        <v>90.27</v>
      </c>
      <c r="R21" s="65">
        <v>2874.65</v>
      </c>
      <c r="S21" s="66">
        <f t="shared" ref="S21:S27" si="19">IF((90+ROUNDDOWN(O21,1)*100)&lt;95,95,(90+ROUNDDOWN(O21,1)*100))</f>
        <v>100</v>
      </c>
      <c r="U21" s="67">
        <v>120.0</v>
      </c>
      <c r="V21" s="67">
        <v>1.1023</v>
      </c>
      <c r="Y21" s="57">
        <v>20.0</v>
      </c>
      <c r="Z21" s="69">
        <f t="shared" ref="Z21:Z30" si="20">IF(IF(D21="UNTUCA",IF(+((W21-3)*1.5+(X21-3)*3.1)&gt;0,+((W21-3)*1.5+(X21-3)*3.1),0),IF(+((W21-3)*1.5+(X21-3)*3.1)&gt;0,+((W21-3)*1.5+(X21-3)*3.1),0))&lt;30,30,IF(D21="UNTUCA",IF(+((W21-3)*1.5+(X21-3)*3.1)&gt;0,+((W21-3)*1.5+(X21-3)*3.1),0),IF(+((W21-3)*1.5+(X21-3)*3.1)&gt;0,+((W21-3)*1.5+(X21-3)*3.1),0)))</f>
        <v>30</v>
      </c>
      <c r="AA21" s="70">
        <f t="shared" si="4"/>
        <v>50</v>
      </c>
      <c r="AB21" s="71">
        <f t="shared" si="5"/>
        <v>146.953954</v>
      </c>
      <c r="AC21" s="71">
        <f>+(S21-T21)*V21-'data 1'!$F$4</f>
        <v>30.23</v>
      </c>
      <c r="AD21" s="71">
        <f t="shared" si="6"/>
        <v>20.96274466</v>
      </c>
      <c r="AE21" s="71">
        <f t="shared" si="7"/>
        <v>-14.885</v>
      </c>
      <c r="AF21" s="71">
        <f t="shared" si="8"/>
        <v>27.41004042</v>
      </c>
      <c r="AG21" s="72">
        <f t="shared" si="14"/>
        <v>80.71778509</v>
      </c>
      <c r="AH21" s="52">
        <f t="shared" si="10"/>
        <v>28.28039382</v>
      </c>
      <c r="AI21" s="73">
        <f t="shared" si="11"/>
        <v>31.98163098</v>
      </c>
      <c r="AJ21" s="73">
        <f t="shared" si="12"/>
        <v>24.59659617</v>
      </c>
      <c r="AK21" s="11"/>
      <c r="AL21" s="51">
        <f t="shared" si="13"/>
        <v>1025.044976</v>
      </c>
    </row>
    <row r="22" ht="15.0" customHeight="1">
      <c r="A22" s="92" t="s">
        <v>1669</v>
      </c>
      <c r="B22" s="56">
        <v>45710.0</v>
      </c>
      <c r="C22" s="56">
        <v>45696.0</v>
      </c>
      <c r="D22" s="57" t="s">
        <v>53</v>
      </c>
      <c r="E22" s="57">
        <f t="array" ref="E22">XLOOKUP(D22,RUC!$B$3:$B$110,RUC!$D$3:$D$110)</f>
        <v>10457401928</v>
      </c>
      <c r="G22" s="3" t="s">
        <v>46</v>
      </c>
      <c r="H22" s="57" t="s">
        <v>47</v>
      </c>
      <c r="I22" s="58">
        <v>37.43</v>
      </c>
      <c r="J22" s="58">
        <v>16.64</v>
      </c>
      <c r="K22" s="59">
        <f t="shared" si="1"/>
        <v>31.201648</v>
      </c>
      <c r="L22" s="60">
        <v>0.331</v>
      </c>
      <c r="M22" s="60">
        <v>0.318</v>
      </c>
      <c r="N22" s="75">
        <v>0.324</v>
      </c>
      <c r="O22" s="60">
        <f t="shared" si="18"/>
        <v>0.321</v>
      </c>
      <c r="P22" s="63">
        <v>90.0</v>
      </c>
      <c r="Q22" s="58">
        <v>89.0</v>
      </c>
      <c r="R22" s="65">
        <v>2874.65</v>
      </c>
      <c r="S22" s="66">
        <f t="shared" si="19"/>
        <v>120</v>
      </c>
      <c r="U22" s="67">
        <v>100.0</v>
      </c>
      <c r="V22" s="67">
        <v>1.1023</v>
      </c>
      <c r="Z22" s="69">
        <f t="shared" si="20"/>
        <v>30</v>
      </c>
      <c r="AA22" s="70">
        <f t="shared" si="4"/>
        <v>30</v>
      </c>
      <c r="AB22" s="71">
        <f t="shared" si="5"/>
        <v>718.2546952</v>
      </c>
      <c r="AC22" s="71">
        <f>+(S22-T22)*V22-'data 1'!$F$4</f>
        <v>52.276</v>
      </c>
      <c r="AD22" s="71">
        <f t="shared" si="6"/>
        <v>-10.12362406</v>
      </c>
      <c r="AE22" s="71">
        <f t="shared" si="7"/>
        <v>-36.931</v>
      </c>
      <c r="AF22" s="71">
        <f t="shared" si="8"/>
        <v>27.22062059</v>
      </c>
      <c r="AG22" s="72">
        <f t="shared" si="14"/>
        <v>49.44199653</v>
      </c>
      <c r="AH22" s="52">
        <f t="shared" si="10"/>
        <v>315.1407779</v>
      </c>
      <c r="AI22" s="73">
        <f t="shared" si="11"/>
        <v>73.17712962</v>
      </c>
      <c r="AJ22" s="73">
        <f t="shared" si="12"/>
        <v>309.0538401</v>
      </c>
      <c r="AK22" s="11"/>
      <c r="AL22" s="51">
        <f t="shared" si="13"/>
        <v>22410.73017</v>
      </c>
    </row>
    <row r="23" ht="15.0" customHeight="1">
      <c r="A23" s="92" t="s">
        <v>1670</v>
      </c>
      <c r="B23" s="56">
        <v>45709.0</v>
      </c>
      <c r="C23" s="56">
        <v>45696.0</v>
      </c>
      <c r="D23" s="57" t="s">
        <v>225</v>
      </c>
      <c r="E23" s="57">
        <f t="array" ref="E23">XLOOKUP(D23,RUC!$B$3:$B$110,RUC!$D$3:$D$110)</f>
        <v>10761932735</v>
      </c>
      <c r="G23" s="3" t="s">
        <v>46</v>
      </c>
      <c r="H23" s="57" t="s">
        <v>47</v>
      </c>
      <c r="I23" s="58">
        <v>38.6</v>
      </c>
      <c r="J23" s="58">
        <v>18.45</v>
      </c>
      <c r="K23" s="59">
        <f t="shared" si="1"/>
        <v>31.4783</v>
      </c>
      <c r="L23" s="60">
        <v>0.414</v>
      </c>
      <c r="M23" s="60">
        <v>0.397</v>
      </c>
      <c r="N23" s="62">
        <v>0.397</v>
      </c>
      <c r="O23" s="60">
        <f t="shared" si="18"/>
        <v>0.397</v>
      </c>
      <c r="P23" s="63">
        <v>90.0</v>
      </c>
      <c r="Q23" s="58">
        <v>89.0</v>
      </c>
      <c r="R23" s="65">
        <v>2874.65</v>
      </c>
      <c r="S23" s="66">
        <f t="shared" si="19"/>
        <v>120</v>
      </c>
      <c r="U23" s="67">
        <v>100.0</v>
      </c>
      <c r="V23" s="67">
        <v>1.1023</v>
      </c>
      <c r="Z23" s="69">
        <f t="shared" si="20"/>
        <v>30</v>
      </c>
      <c r="AA23" s="70">
        <f t="shared" si="4"/>
        <v>30</v>
      </c>
      <c r="AB23" s="71">
        <f t="shared" si="5"/>
        <v>927.4558691</v>
      </c>
      <c r="AC23" s="71">
        <f>+(S23-T23)*V23-'data 1'!$F$4</f>
        <v>52.276</v>
      </c>
      <c r="AD23" s="71">
        <f t="shared" si="6"/>
        <v>-12.66217632</v>
      </c>
      <c r="AE23" s="71">
        <f t="shared" si="7"/>
        <v>-36.931</v>
      </c>
      <c r="AF23" s="71">
        <f t="shared" si="8"/>
        <v>46.275055</v>
      </c>
      <c r="AG23" s="72">
        <f t="shared" si="14"/>
        <v>65.95787868</v>
      </c>
      <c r="AH23" s="52">
        <f t="shared" si="10"/>
        <v>397.6588819</v>
      </c>
      <c r="AI23" s="73">
        <f t="shared" si="11"/>
        <v>91.52668176</v>
      </c>
      <c r="AJ23" s="73">
        <f t="shared" si="12"/>
        <v>385.6144996</v>
      </c>
      <c r="AK23" s="11"/>
      <c r="AL23" s="51">
        <f t="shared" si="13"/>
        <v>29194.73409</v>
      </c>
    </row>
    <row r="24" ht="15.0" customHeight="1">
      <c r="A24" s="92" t="s">
        <v>1671</v>
      </c>
      <c r="B24" s="56">
        <v>45707.0</v>
      </c>
      <c r="C24" s="56">
        <v>45697.0</v>
      </c>
      <c r="D24" s="57" t="s">
        <v>67</v>
      </c>
      <c r="E24" s="57">
        <f t="array" ref="E24">XLOOKUP(D24,RUC!$B$3:$B$110,RUC!$D$3:$D$110)</f>
        <v>20606094010</v>
      </c>
      <c r="G24" s="3">
        <v>48.0</v>
      </c>
      <c r="H24" s="57" t="s">
        <v>47</v>
      </c>
      <c r="I24" s="58">
        <v>5.41</v>
      </c>
      <c r="J24" s="58">
        <v>1.2</v>
      </c>
      <c r="K24" s="59">
        <f t="shared" si="1"/>
        <v>5.34508</v>
      </c>
      <c r="L24" s="60">
        <v>0.245</v>
      </c>
      <c r="M24" s="60">
        <v>0.235</v>
      </c>
      <c r="N24" s="75">
        <v>0.281</v>
      </c>
      <c r="O24" s="60">
        <f t="shared" si="18"/>
        <v>0.258</v>
      </c>
      <c r="P24" s="63">
        <v>90.0</v>
      </c>
      <c r="Q24" s="58">
        <v>90.1</v>
      </c>
      <c r="R24" s="65">
        <v>2904.45</v>
      </c>
      <c r="S24" s="66">
        <f t="shared" si="19"/>
        <v>110</v>
      </c>
      <c r="U24" s="67">
        <v>120.0</v>
      </c>
      <c r="V24" s="67">
        <v>1.1023</v>
      </c>
      <c r="Y24" s="57">
        <v>20.0</v>
      </c>
      <c r="Z24" s="69">
        <f t="shared" si="20"/>
        <v>30</v>
      </c>
      <c r="AA24" s="70">
        <f t="shared" si="4"/>
        <v>50</v>
      </c>
      <c r="AB24" s="71">
        <f t="shared" si="5"/>
        <v>536.3232824</v>
      </c>
      <c r="AC24" s="71">
        <f>+(S24-T24)*V24-'data 1'!$F$4</f>
        <v>41.253</v>
      </c>
      <c r="AD24" s="71">
        <f t="shared" si="6"/>
        <v>0.7519783126</v>
      </c>
      <c r="AE24" s="71">
        <f t="shared" si="7"/>
        <v>-14.885</v>
      </c>
      <c r="AF24" s="71">
        <f t="shared" si="8"/>
        <v>-35.95070194</v>
      </c>
      <c r="AG24" s="72">
        <f t="shared" si="14"/>
        <v>8.169276373</v>
      </c>
      <c r="AH24" s="52">
        <f t="shared" si="10"/>
        <v>40.45331855</v>
      </c>
      <c r="AI24" s="73">
        <f t="shared" si="11"/>
        <v>52.44918087</v>
      </c>
      <c r="AJ24" s="73">
        <f t="shared" si="12"/>
        <v>42.55254056</v>
      </c>
      <c r="AK24" s="11"/>
      <c r="AL24" s="51">
        <f t="shared" si="13"/>
        <v>2866.69085</v>
      </c>
    </row>
    <row r="25" ht="15.0" customHeight="1">
      <c r="A25" s="92" t="s">
        <v>1672</v>
      </c>
      <c r="B25" s="56">
        <v>45707.0</v>
      </c>
      <c r="C25" s="56">
        <v>45697.0</v>
      </c>
      <c r="D25" s="57" t="s">
        <v>67</v>
      </c>
      <c r="E25" s="57">
        <f t="array" ref="E25">XLOOKUP(D25,RUC!$B$3:$B$110,RUC!$D$3:$D$110)</f>
        <v>20606094010</v>
      </c>
      <c r="G25" s="3">
        <v>27.0</v>
      </c>
      <c r="H25" s="57" t="s">
        <v>47</v>
      </c>
      <c r="I25" s="58">
        <v>2.15</v>
      </c>
      <c r="J25" s="58">
        <v>1.3</v>
      </c>
      <c r="K25" s="59">
        <f t="shared" si="1"/>
        <v>2.12205</v>
      </c>
      <c r="L25" s="60">
        <v>0.352</v>
      </c>
      <c r="M25" s="60">
        <v>0.338</v>
      </c>
      <c r="N25" s="75">
        <v>0.374</v>
      </c>
      <c r="O25" s="60">
        <f t="shared" si="18"/>
        <v>0.356</v>
      </c>
      <c r="P25" s="63">
        <v>90.0</v>
      </c>
      <c r="Q25" s="58">
        <v>90.03</v>
      </c>
      <c r="R25" s="65">
        <v>2904.45</v>
      </c>
      <c r="S25" s="66">
        <f t="shared" si="19"/>
        <v>120</v>
      </c>
      <c r="U25" s="67">
        <v>120.0</v>
      </c>
      <c r="V25" s="67">
        <v>1.1023</v>
      </c>
      <c r="Y25" s="57">
        <v>20.0</v>
      </c>
      <c r="Z25" s="69">
        <f t="shared" si="20"/>
        <v>30</v>
      </c>
      <c r="AA25" s="70">
        <f t="shared" si="4"/>
        <v>50</v>
      </c>
      <c r="AB25" s="71">
        <f t="shared" si="5"/>
        <v>796.0124749</v>
      </c>
      <c r="AC25" s="71">
        <f>+(S25-T25)*V25-'data 1'!$F$4</f>
        <v>52.276</v>
      </c>
      <c r="AD25" s="71">
        <f t="shared" si="6"/>
        <v>0.3241179992</v>
      </c>
      <c r="AE25" s="71">
        <f t="shared" si="7"/>
        <v>-14.885</v>
      </c>
      <c r="AF25" s="71">
        <f t="shared" si="8"/>
        <v>-11.05316041</v>
      </c>
      <c r="AG25" s="72">
        <f t="shared" si="14"/>
        <v>43.66195759</v>
      </c>
      <c r="AH25" s="52">
        <f t="shared" si="10"/>
        <v>23.05656444</v>
      </c>
      <c r="AI25" s="73">
        <f t="shared" si="11"/>
        <v>75.29701299</v>
      </c>
      <c r="AJ25" s="73">
        <f t="shared" si="12"/>
        <v>23.31080059</v>
      </c>
      <c r="AK25" s="11"/>
      <c r="AL25" s="51">
        <f t="shared" si="13"/>
        <v>1689.178272</v>
      </c>
    </row>
    <row r="26" ht="15.0" customHeight="1">
      <c r="A26" s="92" t="s">
        <v>1673</v>
      </c>
      <c r="B26" s="56">
        <v>45700.0</v>
      </c>
      <c r="C26" s="56">
        <v>45698.0</v>
      </c>
      <c r="D26" s="57" t="s">
        <v>177</v>
      </c>
      <c r="E26" s="57">
        <f t="array" ref="E26">XLOOKUP(D26,RUC!$B$3:$B$110,RUC!$D$3:$D$110)</f>
        <v>10306762465</v>
      </c>
      <c r="G26" s="3">
        <v>100.0</v>
      </c>
      <c r="H26" s="57" t="s">
        <v>47</v>
      </c>
      <c r="I26" s="58">
        <v>7.39</v>
      </c>
      <c r="J26" s="58">
        <v>1.3</v>
      </c>
      <c r="K26" s="59">
        <f t="shared" si="1"/>
        <v>7.29393</v>
      </c>
      <c r="L26" s="60">
        <v>0.749</v>
      </c>
      <c r="M26" s="60">
        <v>0.711</v>
      </c>
      <c r="N26" s="62">
        <v>0.711</v>
      </c>
      <c r="O26" s="60">
        <f t="shared" si="18"/>
        <v>0.711</v>
      </c>
      <c r="P26" s="63">
        <v>90.0</v>
      </c>
      <c r="Q26" s="57">
        <v>89.87</v>
      </c>
      <c r="R26" s="65">
        <v>2904.45</v>
      </c>
      <c r="S26" s="66">
        <f t="shared" si="19"/>
        <v>160</v>
      </c>
      <c r="U26" s="67">
        <v>120.0</v>
      </c>
      <c r="V26" s="67">
        <v>1.1023</v>
      </c>
      <c r="Y26" s="57">
        <v>20.0</v>
      </c>
      <c r="Z26" s="69">
        <f t="shared" si="20"/>
        <v>30</v>
      </c>
      <c r="AA26" s="70">
        <f t="shared" si="4"/>
        <v>50</v>
      </c>
      <c r="AB26" s="71">
        <f t="shared" si="5"/>
        <v>1732.56158</v>
      </c>
      <c r="AC26" s="71">
        <f>+(S26-T26)*V26-'data 1'!$F$4</f>
        <v>96.368</v>
      </c>
      <c r="AD26" s="71">
        <f t="shared" si="6"/>
        <v>-2.988576665</v>
      </c>
      <c r="AE26" s="71">
        <f t="shared" si="7"/>
        <v>-14.885</v>
      </c>
      <c r="AF26" s="71">
        <f t="shared" si="8"/>
        <v>104.8184105</v>
      </c>
      <c r="AG26" s="72">
        <f>+IF(D26="RONALD WILLIAN GARIBAY ESCUDERO",AC26+AD26+AE26+AF26+70,AC26+AD26+AE26+AF26)+70-29</f>
        <v>224.3128338</v>
      </c>
      <c r="AH26" s="52">
        <f t="shared" si="10"/>
        <v>168.3322079</v>
      </c>
      <c r="AI26" s="73">
        <f t="shared" si="11"/>
        <v>159.9353238</v>
      </c>
      <c r="AJ26" s="73">
        <f t="shared" si="12"/>
        <v>160.0231336</v>
      </c>
      <c r="AK26" s="11"/>
      <c r="AL26" s="51">
        <f t="shared" si="13"/>
        <v>12637.18289</v>
      </c>
    </row>
    <row r="27" ht="15.0" customHeight="1">
      <c r="A27" s="92" t="s">
        <v>1674</v>
      </c>
      <c r="B27" s="56">
        <v>45708.0</v>
      </c>
      <c r="C27" s="56">
        <v>45700.0</v>
      </c>
      <c r="D27" s="57" t="s">
        <v>63</v>
      </c>
      <c r="E27" s="57" t="str">
        <f t="array" ref="E27">XLOOKUP(D27,RUC!$B$3:$B$110,RUC!$D$3:$D$110)</f>
        <v>#N/A</v>
      </c>
      <c r="G27" s="3">
        <v>105.0</v>
      </c>
      <c r="H27" s="57" t="s">
        <v>47</v>
      </c>
      <c r="I27" s="58">
        <v>8.37</v>
      </c>
      <c r="J27" s="58">
        <v>1.8</v>
      </c>
      <c r="K27" s="59">
        <f t="shared" si="1"/>
        <v>8.21934</v>
      </c>
      <c r="L27" s="60">
        <v>0.188</v>
      </c>
      <c r="M27" s="60">
        <v>0.177</v>
      </c>
      <c r="N27" s="62">
        <v>0.177</v>
      </c>
      <c r="O27" s="60">
        <f t="shared" si="18"/>
        <v>0.177</v>
      </c>
      <c r="P27" s="63">
        <v>90.0</v>
      </c>
      <c r="Q27" s="57">
        <v>90.26</v>
      </c>
      <c r="R27" s="65">
        <v>2891.5</v>
      </c>
      <c r="S27" s="66">
        <f t="shared" si="19"/>
        <v>100</v>
      </c>
      <c r="U27" s="67">
        <v>120.0</v>
      </c>
      <c r="V27" s="67">
        <v>1.1023</v>
      </c>
      <c r="Y27" s="57">
        <v>20.0</v>
      </c>
      <c r="Z27" s="69">
        <f t="shared" si="20"/>
        <v>30</v>
      </c>
      <c r="AA27" s="70">
        <f t="shared" si="4"/>
        <v>50</v>
      </c>
      <c r="AB27" s="71">
        <f t="shared" si="5"/>
        <v>321.3203949</v>
      </c>
      <c r="AC27" s="71">
        <f>+(S27-T27)*V27-'data 1'!$F$4</f>
        <v>30.23</v>
      </c>
      <c r="AD27" s="71">
        <f t="shared" si="6"/>
        <v>1.493295951</v>
      </c>
      <c r="AE27" s="71">
        <f t="shared" si="7"/>
        <v>-14.885</v>
      </c>
      <c r="AF27" s="71">
        <f t="shared" si="8"/>
        <v>30.33211575</v>
      </c>
      <c r="AG27" s="72">
        <f t="shared" ref="AG27:AG29" si="21">+IF(D27="RONALD WILLIAN GARIBAY ESCUDERO",AC27+AD27+AE27+AF27+70,AC27+AD27+AE27+AF27)+70-53</f>
        <v>64.17041171</v>
      </c>
      <c r="AH27" s="52">
        <f t="shared" si="10"/>
        <v>47.81885727</v>
      </c>
      <c r="AI27" s="73">
        <f t="shared" si="11"/>
        <v>42.74045983</v>
      </c>
      <c r="AJ27" s="73">
        <f t="shared" si="12"/>
        <v>44.89125954</v>
      </c>
      <c r="AK27" s="11"/>
      <c r="AL27" s="51">
        <f t="shared" si="13"/>
        <v>2641.041574</v>
      </c>
    </row>
    <row r="28" ht="15.0" customHeight="1">
      <c r="A28" s="92" t="s">
        <v>1675</v>
      </c>
      <c r="B28" s="56">
        <v>45705.0</v>
      </c>
      <c r="C28" s="56">
        <v>45700.0</v>
      </c>
      <c r="D28" s="57" t="s">
        <v>61</v>
      </c>
      <c r="E28" s="57">
        <f t="array" ref="E28">XLOOKUP(D28,RUC!$B$3:$B$110,RUC!$D$3:$D$110)</f>
        <v>20606526599</v>
      </c>
      <c r="G28" s="3">
        <v>230.0</v>
      </c>
      <c r="H28" s="57" t="s">
        <v>47</v>
      </c>
      <c r="I28" s="58">
        <v>19.41</v>
      </c>
      <c r="J28" s="58">
        <v>4.0</v>
      </c>
      <c r="K28" s="59">
        <f t="shared" si="1"/>
        <v>18.6336</v>
      </c>
      <c r="L28" s="60">
        <v>0.187</v>
      </c>
      <c r="M28" s="60">
        <v>0.176</v>
      </c>
      <c r="N28" s="62">
        <v>0.176</v>
      </c>
      <c r="O28" s="60">
        <f t="shared" si="18"/>
        <v>0.176</v>
      </c>
      <c r="P28" s="63">
        <v>90.0</v>
      </c>
      <c r="Q28" s="57">
        <v>90.22</v>
      </c>
      <c r="R28" s="65">
        <v>2891.5</v>
      </c>
      <c r="S28" s="66">
        <f t="shared" ref="S28:S29" si="22">IF((80+ROUNDDOWN(O28,1)*100)&lt;95,95,(80+ROUNDDOWN(O28,1)*100))</f>
        <v>95</v>
      </c>
      <c r="U28" s="67">
        <v>120.0</v>
      </c>
      <c r="V28" s="67">
        <v>1.1023</v>
      </c>
      <c r="Z28" s="69">
        <f t="shared" si="20"/>
        <v>30</v>
      </c>
      <c r="AA28" s="70">
        <f t="shared" si="4"/>
        <v>30</v>
      </c>
      <c r="AB28" s="71">
        <f t="shared" si="5"/>
        <v>346.1283729</v>
      </c>
      <c r="AC28" s="71">
        <f>+(S28-T28)*V28-'data 1'!$F$4</f>
        <v>24.7185</v>
      </c>
      <c r="AD28" s="71">
        <f t="shared" si="6"/>
        <v>1.256837059</v>
      </c>
      <c r="AE28" s="71">
        <f t="shared" si="7"/>
        <v>-36.931</v>
      </c>
      <c r="AF28" s="71">
        <f t="shared" si="8"/>
        <v>30.31867365</v>
      </c>
      <c r="AG28" s="72">
        <f t="shared" si="21"/>
        <v>36.36301071</v>
      </c>
      <c r="AH28" s="52">
        <f t="shared" si="10"/>
        <v>107.7829999</v>
      </c>
      <c r="AI28" s="73">
        <f t="shared" si="11"/>
        <v>42.49427667</v>
      </c>
      <c r="AJ28" s="73">
        <f t="shared" si="12"/>
        <v>101.1954568</v>
      </c>
      <c r="AK28" s="11"/>
      <c r="AL28" s="51">
        <f t="shared" si="13"/>
        <v>6449.617649</v>
      </c>
    </row>
    <row r="29" ht="15.0" customHeight="1">
      <c r="A29" s="92" t="s">
        <v>1676</v>
      </c>
      <c r="B29" s="56">
        <v>45705.0</v>
      </c>
      <c r="C29" s="56">
        <v>45700.0</v>
      </c>
      <c r="D29" s="57" t="s">
        <v>61</v>
      </c>
      <c r="E29" s="57">
        <f t="array" ref="E29">XLOOKUP(D29,RUC!$B$3:$B$110,RUC!$D$3:$D$110)</f>
        <v>20606526599</v>
      </c>
      <c r="G29" s="3">
        <v>60.0</v>
      </c>
      <c r="H29" s="57" t="s">
        <v>47</v>
      </c>
      <c r="I29" s="58">
        <v>4.99</v>
      </c>
      <c r="J29" s="58">
        <v>3.5</v>
      </c>
      <c r="K29" s="59">
        <f t="shared" si="1"/>
        <v>4.81535</v>
      </c>
      <c r="L29" s="60">
        <v>0.247</v>
      </c>
      <c r="M29" s="60">
        <v>0.235</v>
      </c>
      <c r="N29" s="62">
        <v>0.235</v>
      </c>
      <c r="O29" s="60">
        <f t="shared" si="18"/>
        <v>0.235</v>
      </c>
      <c r="P29" s="63">
        <v>90.0</v>
      </c>
      <c r="Q29" s="57">
        <v>90.11</v>
      </c>
      <c r="R29" s="65">
        <v>2915.3</v>
      </c>
      <c r="S29" s="66">
        <f t="shared" si="22"/>
        <v>100</v>
      </c>
      <c r="U29" s="67">
        <v>120.0</v>
      </c>
      <c r="V29" s="67">
        <v>1.1023</v>
      </c>
      <c r="Z29" s="69">
        <f t="shared" si="20"/>
        <v>30</v>
      </c>
      <c r="AA29" s="70">
        <f t="shared" si="4"/>
        <v>30</v>
      </c>
      <c r="AB29" s="71">
        <f t="shared" si="5"/>
        <v>508.3873187</v>
      </c>
      <c r="AC29" s="71">
        <f>+(S29-T29)*V29-'data 1'!$F$4</f>
        <v>30.23</v>
      </c>
      <c r="AD29" s="71">
        <f t="shared" si="6"/>
        <v>0.8371781219</v>
      </c>
      <c r="AE29" s="71">
        <f t="shared" si="7"/>
        <v>-36.931</v>
      </c>
      <c r="AF29" s="71">
        <f t="shared" si="8"/>
        <v>33.31827187</v>
      </c>
      <c r="AG29" s="72">
        <f t="shared" si="21"/>
        <v>44.45445</v>
      </c>
      <c r="AH29" s="52">
        <f t="shared" si="10"/>
        <v>36.74572929</v>
      </c>
      <c r="AI29" s="73">
        <f t="shared" si="11"/>
        <v>50.22125867</v>
      </c>
      <c r="AJ29" s="73">
        <f t="shared" si="12"/>
        <v>34.91783432</v>
      </c>
      <c r="AK29" s="11"/>
      <c r="AL29" s="51">
        <f t="shared" si="13"/>
        <v>2448.062875</v>
      </c>
    </row>
    <row r="30" ht="15.0" customHeight="1">
      <c r="A30" s="92" t="s">
        <v>1677</v>
      </c>
      <c r="B30" s="56">
        <v>45706.0</v>
      </c>
      <c r="C30" s="56">
        <v>45701.0</v>
      </c>
      <c r="D30" s="57" t="s">
        <v>177</v>
      </c>
      <c r="E30" s="57">
        <f t="array" ref="E30">XLOOKUP(D30,RUC!$B$3:$B$110,RUC!$D$3:$D$110)</f>
        <v>10306762465</v>
      </c>
      <c r="G30" s="3">
        <v>86.0</v>
      </c>
      <c r="H30" s="57" t="s">
        <v>47</v>
      </c>
      <c r="I30" s="58">
        <v>6.94</v>
      </c>
      <c r="J30" s="58">
        <v>1.8</v>
      </c>
      <c r="K30" s="59">
        <f t="shared" si="1"/>
        <v>6.81508</v>
      </c>
      <c r="L30" s="60">
        <v>1.012</v>
      </c>
      <c r="M30" s="60">
        <v>0.961</v>
      </c>
      <c r="N30" s="75">
        <v>1.075</v>
      </c>
      <c r="O30" s="60">
        <f t="shared" si="18"/>
        <v>1.018</v>
      </c>
      <c r="P30" s="63">
        <v>90.0</v>
      </c>
      <c r="Q30" s="57">
        <v>89.78</v>
      </c>
      <c r="R30" s="65">
        <v>2915.3</v>
      </c>
      <c r="S30" s="66">
        <f>IF((90+ROUNDDOWN(O30,1)*100)&lt;95,95,(90+ROUNDDOWN(O30,1)*100))</f>
        <v>190</v>
      </c>
      <c r="U30" s="67">
        <v>120.0</v>
      </c>
      <c r="V30" s="67">
        <v>1.1023</v>
      </c>
      <c r="Y30" s="57">
        <v>20.0</v>
      </c>
      <c r="Z30" s="69">
        <f t="shared" si="20"/>
        <v>30</v>
      </c>
      <c r="AA30" s="70">
        <f t="shared" si="4"/>
        <v>50</v>
      </c>
      <c r="AB30" s="71">
        <f t="shared" si="5"/>
        <v>2558.49767</v>
      </c>
      <c r="AC30" s="71">
        <f>+(S30-T30)*V30-'data 1'!$F$4</f>
        <v>129.437</v>
      </c>
      <c r="AD30" s="71">
        <f t="shared" si="6"/>
        <v>-6.860115461</v>
      </c>
      <c r="AE30" s="71">
        <f t="shared" si="7"/>
        <v>-14.885</v>
      </c>
      <c r="AF30" s="71">
        <f t="shared" si="8"/>
        <v>-16.598127</v>
      </c>
      <c r="AG30" s="72">
        <f>+IF(D30="RONALD WILLIAN GARIBAY ESCUDERO",AC30+AD30+AE30+AF30+70,AC30+AD30+AE30+AF30)+70-29</f>
        <v>132.0937575</v>
      </c>
      <c r="AH30" s="52">
        <f t="shared" si="10"/>
        <v>212.2951835</v>
      </c>
      <c r="AI30" s="73">
        <f t="shared" si="11"/>
        <v>205.011283</v>
      </c>
      <c r="AJ30" s="73">
        <f t="shared" si="12"/>
        <v>214.0771503</v>
      </c>
      <c r="AK30" s="11"/>
      <c r="AL30" s="51">
        <f t="shared" si="13"/>
        <v>17436.3663</v>
      </c>
    </row>
    <row r="31" ht="15.0" customHeight="1">
      <c r="A31" s="92" t="s">
        <v>1678</v>
      </c>
      <c r="B31" s="56">
        <v>45706.0</v>
      </c>
      <c r="C31" s="56">
        <v>45701.0</v>
      </c>
      <c r="D31" s="57" t="s">
        <v>88</v>
      </c>
      <c r="E31" s="57" t="str">
        <f t="array" ref="E31">XLOOKUP(D31,RUC!$B$3:$B$110,RUC!$D$3:$D$110)</f>
        <v>#N/A</v>
      </c>
      <c r="G31" s="3">
        <v>50.0</v>
      </c>
      <c r="H31" s="57" t="s">
        <v>47</v>
      </c>
      <c r="I31" s="58">
        <v>6.28</v>
      </c>
      <c r="J31" s="58">
        <v>1.0</v>
      </c>
      <c r="K31" s="59">
        <f t="shared" si="1"/>
        <v>6.2172</v>
      </c>
      <c r="L31" s="60">
        <v>0.466</v>
      </c>
      <c r="M31" s="60">
        <v>0.442</v>
      </c>
      <c r="N31" s="75">
        <v>0.516</v>
      </c>
      <c r="O31" s="60">
        <f t="shared" si="18"/>
        <v>0.479</v>
      </c>
      <c r="P31" s="63">
        <v>90.0</v>
      </c>
      <c r="Q31" s="57">
        <v>90.11</v>
      </c>
      <c r="R31" s="65">
        <v>2915.3</v>
      </c>
      <c r="S31" s="66">
        <f t="shared" ref="S31:S38" si="23">IF((85+ROUNDDOWN(O31,1)*100)&lt;95,95,(85+ROUNDDOWN(O31,1)*100))</f>
        <v>125</v>
      </c>
      <c r="U31" s="87">
        <v>90.0</v>
      </c>
      <c r="V31" s="67">
        <v>1.1023</v>
      </c>
      <c r="Z31" s="77">
        <v>25.0</v>
      </c>
      <c r="AA31" s="70">
        <f t="shared" si="4"/>
        <v>25</v>
      </c>
      <c r="AB31" s="71">
        <f t="shared" si="5"/>
        <v>1177.241883</v>
      </c>
      <c r="AC31" s="71">
        <f>+(S31-T31)*V31-'data 1'!$F$4</f>
        <v>57.7875</v>
      </c>
      <c r="AD31" s="71">
        <f t="shared" si="6"/>
        <v>1.59640463</v>
      </c>
      <c r="AE31" s="71">
        <f t="shared" si="7"/>
        <v>-42.4425</v>
      </c>
      <c r="AF31" s="71">
        <f t="shared" si="8"/>
        <v>-36.48217472</v>
      </c>
      <c r="AG31" s="72">
        <f t="shared" ref="AG31:AG40" si="24">+IF(D31="RONALD WILLIAN GARIBAY ESCUDERO",AC31+AD31+AE31+AF31+70,AC31+AD31+AE31+AF31)+70-53</f>
        <v>-2.540770086</v>
      </c>
      <c r="AH31" s="52">
        <f t="shared" si="10"/>
        <v>89.50819802</v>
      </c>
      <c r="AI31" s="73">
        <f t="shared" si="11"/>
        <v>80.86332942</v>
      </c>
      <c r="AJ31" s="73">
        <f t="shared" si="12"/>
        <v>91.8928943</v>
      </c>
      <c r="AK31" s="11"/>
      <c r="AL31" s="51">
        <f t="shared" si="13"/>
        <v>7319.148233</v>
      </c>
    </row>
    <row r="32" ht="15.0" customHeight="1">
      <c r="A32" s="92" t="s">
        <v>1679</v>
      </c>
      <c r="B32" s="56">
        <v>45706.0</v>
      </c>
      <c r="C32" s="56">
        <v>45701.0</v>
      </c>
      <c r="D32" s="57" t="s">
        <v>88</v>
      </c>
      <c r="E32" s="57" t="str">
        <f t="array" ref="E32">XLOOKUP(D32,RUC!$B$3:$B$110,RUC!$D$3:$D$110)</f>
        <v>#N/A</v>
      </c>
      <c r="G32" s="3">
        <v>50.0</v>
      </c>
      <c r="H32" s="57" t="s">
        <v>47</v>
      </c>
      <c r="I32" s="58">
        <v>6.57</v>
      </c>
      <c r="J32" s="58">
        <v>1.0</v>
      </c>
      <c r="K32" s="59">
        <f t="shared" si="1"/>
        <v>6.5043</v>
      </c>
      <c r="L32" s="60">
        <v>0.692</v>
      </c>
      <c r="M32" s="60">
        <v>0.657</v>
      </c>
      <c r="N32" s="75">
        <v>0.738</v>
      </c>
      <c r="O32" s="60">
        <f t="shared" si="18"/>
        <v>0.698</v>
      </c>
      <c r="P32" s="63">
        <v>90.0</v>
      </c>
      <c r="Q32" s="57">
        <v>89.9</v>
      </c>
      <c r="R32" s="65">
        <v>2915.3</v>
      </c>
      <c r="S32" s="66">
        <f t="shared" si="23"/>
        <v>145</v>
      </c>
      <c r="U32" s="87">
        <v>90.0</v>
      </c>
      <c r="V32" s="67">
        <v>1.1023</v>
      </c>
      <c r="Z32" s="77">
        <v>25.0</v>
      </c>
      <c r="AA32" s="70">
        <f t="shared" si="4"/>
        <v>25</v>
      </c>
      <c r="AB32" s="71">
        <f t="shared" si="5"/>
        <v>1769.029969</v>
      </c>
      <c r="AC32" s="71">
        <f>+(S32-T32)*V32-'data 1'!$F$4</f>
        <v>79.8335</v>
      </c>
      <c r="AD32" s="71">
        <f t="shared" si="6"/>
        <v>-2.155115107</v>
      </c>
      <c r="AE32" s="71">
        <f t="shared" si="7"/>
        <v>-42.4425</v>
      </c>
      <c r="AF32" s="71">
        <f t="shared" si="8"/>
        <v>-16.79868626</v>
      </c>
      <c r="AG32" s="72">
        <f t="shared" si="24"/>
        <v>35.43719864</v>
      </c>
      <c r="AH32" s="52">
        <f t="shared" si="10"/>
        <v>138.7316078</v>
      </c>
      <c r="AI32" s="73">
        <f t="shared" si="11"/>
        <v>119.8004636</v>
      </c>
      <c r="AJ32" s="73">
        <f t="shared" si="12"/>
        <v>140.0901388</v>
      </c>
      <c r="AK32" s="11"/>
      <c r="AL32" s="51">
        <f t="shared" si="13"/>
        <v>11506.30163</v>
      </c>
    </row>
    <row r="33" ht="15.0" customHeight="1">
      <c r="A33" s="92" t="s">
        <v>1680</v>
      </c>
      <c r="B33" s="56">
        <v>45706.0</v>
      </c>
      <c r="C33" s="56">
        <v>45701.0</v>
      </c>
      <c r="D33" s="57" t="s">
        <v>88</v>
      </c>
      <c r="E33" s="57" t="str">
        <f t="array" ref="E33">XLOOKUP(D33,RUC!$B$3:$B$110,RUC!$D$3:$D$110)</f>
        <v>#N/A</v>
      </c>
      <c r="G33" s="3">
        <v>50.0</v>
      </c>
      <c r="H33" s="57" t="s">
        <v>47</v>
      </c>
      <c r="I33" s="58">
        <v>6.41</v>
      </c>
      <c r="J33" s="58">
        <v>1.0</v>
      </c>
      <c r="K33" s="59">
        <f t="shared" si="1"/>
        <v>6.3459</v>
      </c>
      <c r="L33" s="60">
        <v>0.818</v>
      </c>
      <c r="M33" s="60">
        <v>0.777</v>
      </c>
      <c r="N33" s="75">
        <v>0.857</v>
      </c>
      <c r="O33" s="60">
        <f t="shared" si="18"/>
        <v>0.817</v>
      </c>
      <c r="P33" s="63">
        <v>90.0</v>
      </c>
      <c r="Q33" s="57">
        <v>89.55</v>
      </c>
      <c r="R33" s="65">
        <v>2915.3</v>
      </c>
      <c r="S33" s="66">
        <f t="shared" si="23"/>
        <v>165</v>
      </c>
      <c r="U33" s="87">
        <v>90.0</v>
      </c>
      <c r="V33" s="67">
        <v>1.1023</v>
      </c>
      <c r="Z33" s="77">
        <v>25.0</v>
      </c>
      <c r="AA33" s="70">
        <f t="shared" si="4"/>
        <v>25</v>
      </c>
      <c r="AB33" s="71">
        <f t="shared" si="5"/>
        <v>2080.528518</v>
      </c>
      <c r="AC33" s="71">
        <f>+(S33-T33)*V33-'data 1'!$F$4</f>
        <v>101.8795</v>
      </c>
      <c r="AD33" s="71">
        <f t="shared" si="6"/>
        <v>-11.46384207</v>
      </c>
      <c r="AE33" s="71">
        <f t="shared" si="7"/>
        <v>-42.4425</v>
      </c>
      <c r="AF33" s="71">
        <f t="shared" si="8"/>
        <v>2.788880894</v>
      </c>
      <c r="AG33" s="72">
        <f t="shared" si="24"/>
        <v>67.76203883</v>
      </c>
      <c r="AH33" s="52">
        <f t="shared" si="10"/>
        <v>159.3753631</v>
      </c>
      <c r="AI33" s="73">
        <f t="shared" si="11"/>
        <v>141.0625097</v>
      </c>
      <c r="AJ33" s="73">
        <f t="shared" si="12"/>
        <v>159.9804299</v>
      </c>
      <c r="AK33" s="11"/>
      <c r="AL33" s="51">
        <f t="shared" si="13"/>
        <v>13202.82592</v>
      </c>
    </row>
    <row r="34" ht="15.0" customHeight="1">
      <c r="A34" s="92" t="s">
        <v>1681</v>
      </c>
      <c r="B34" s="56">
        <v>45706.0</v>
      </c>
      <c r="C34" s="56">
        <v>45701.0</v>
      </c>
      <c r="D34" s="57" t="s">
        <v>88</v>
      </c>
      <c r="E34" s="57" t="str">
        <f t="array" ref="E34">XLOOKUP(D34,RUC!$B$3:$B$110,RUC!$D$3:$D$110)</f>
        <v>#N/A</v>
      </c>
      <c r="G34" s="3">
        <v>50.0</v>
      </c>
      <c r="H34" s="57" t="s">
        <v>47</v>
      </c>
      <c r="I34" s="58">
        <v>7.26</v>
      </c>
      <c r="J34" s="58">
        <v>1.0</v>
      </c>
      <c r="K34" s="59">
        <f t="shared" si="1"/>
        <v>7.1874</v>
      </c>
      <c r="L34" s="60">
        <v>0.979</v>
      </c>
      <c r="M34" s="60">
        <v>0.93</v>
      </c>
      <c r="N34" s="75">
        <v>1.013</v>
      </c>
      <c r="O34" s="60">
        <f t="shared" si="18"/>
        <v>0.972</v>
      </c>
      <c r="P34" s="63">
        <v>90.0</v>
      </c>
      <c r="Q34" s="57">
        <v>89.43</v>
      </c>
      <c r="R34" s="65">
        <v>2915.3</v>
      </c>
      <c r="S34" s="66">
        <f t="shared" si="23"/>
        <v>175</v>
      </c>
      <c r="U34" s="87">
        <v>90.0</v>
      </c>
      <c r="V34" s="67">
        <v>1.1023</v>
      </c>
      <c r="Z34" s="77">
        <v>25.0</v>
      </c>
      <c r="AA34" s="70">
        <f t="shared" si="4"/>
        <v>25</v>
      </c>
      <c r="AB34" s="71">
        <f t="shared" si="5"/>
        <v>2503.954301</v>
      </c>
      <c r="AC34" s="71">
        <f>+(S34-T34)*V34-'data 1'!$F$4</f>
        <v>112.9025</v>
      </c>
      <c r="AD34" s="71">
        <f t="shared" si="6"/>
        <v>-17.3788856</v>
      </c>
      <c r="AE34" s="71">
        <f t="shared" si="7"/>
        <v>-42.4425</v>
      </c>
      <c r="AF34" s="71">
        <f t="shared" si="8"/>
        <v>19.4960059</v>
      </c>
      <c r="AG34" s="72">
        <f t="shared" si="24"/>
        <v>89.5771203</v>
      </c>
      <c r="AH34" s="52">
        <f t="shared" si="10"/>
        <v>215.7480142</v>
      </c>
      <c r="AI34" s="73">
        <f t="shared" si="11"/>
        <v>168.6004133</v>
      </c>
      <c r="AJ34" s="73">
        <f t="shared" si="12"/>
        <v>215.5706638</v>
      </c>
      <c r="AK34" s="11"/>
      <c r="AL34" s="51">
        <f t="shared" si="13"/>
        <v>17996.92114</v>
      </c>
    </row>
    <row r="35" ht="15.0" customHeight="1">
      <c r="A35" s="92" t="s">
        <v>1682</v>
      </c>
      <c r="B35" s="56">
        <v>45706.0</v>
      </c>
      <c r="C35" s="56">
        <v>45701.0</v>
      </c>
      <c r="D35" s="57" t="s">
        <v>88</v>
      </c>
      <c r="E35" s="57" t="str">
        <f t="array" ref="E35">XLOOKUP(D35,RUC!$B$3:$B$110,RUC!$D$3:$D$110)</f>
        <v>#N/A</v>
      </c>
      <c r="G35" s="3">
        <v>50.0</v>
      </c>
      <c r="H35" s="57" t="s">
        <v>47</v>
      </c>
      <c r="I35" s="58">
        <v>7.0</v>
      </c>
      <c r="J35" s="58">
        <v>1.0</v>
      </c>
      <c r="K35" s="59">
        <f t="shared" si="1"/>
        <v>6.93</v>
      </c>
      <c r="L35" s="60">
        <v>0.526</v>
      </c>
      <c r="M35" s="60">
        <v>0.499</v>
      </c>
      <c r="N35" s="75">
        <v>0.564</v>
      </c>
      <c r="O35" s="60">
        <f t="shared" si="18"/>
        <v>0.532</v>
      </c>
      <c r="P35" s="63">
        <v>90.0</v>
      </c>
      <c r="Q35" s="57">
        <v>89.92</v>
      </c>
      <c r="R35" s="65">
        <v>2915.3</v>
      </c>
      <c r="S35" s="66">
        <f t="shared" si="23"/>
        <v>135</v>
      </c>
      <c r="U35" s="87">
        <v>90.0</v>
      </c>
      <c r="V35" s="67">
        <v>1.1023</v>
      </c>
      <c r="Z35" s="77">
        <v>25.0</v>
      </c>
      <c r="AA35" s="70">
        <f t="shared" si="4"/>
        <v>25</v>
      </c>
      <c r="AB35" s="71">
        <f t="shared" si="5"/>
        <v>1314.772337</v>
      </c>
      <c r="AC35" s="71">
        <f>+(S35-T35)*V35-'data 1'!$F$4</f>
        <v>68.8105</v>
      </c>
      <c r="AD35" s="71">
        <f t="shared" si="6"/>
        <v>-1.310509302</v>
      </c>
      <c r="AE35" s="71">
        <f t="shared" si="7"/>
        <v>-42.4425</v>
      </c>
      <c r="AF35" s="71">
        <f t="shared" si="8"/>
        <v>-16.80242345</v>
      </c>
      <c r="AG35" s="72">
        <f t="shared" si="24"/>
        <v>25.25506725</v>
      </c>
      <c r="AH35" s="52">
        <f t="shared" si="10"/>
        <v>112.3787886</v>
      </c>
      <c r="AI35" s="73">
        <f t="shared" si="11"/>
        <v>91.08246064</v>
      </c>
      <c r="AJ35" s="73">
        <f t="shared" si="12"/>
        <v>113.7617975</v>
      </c>
      <c r="AK35" s="11"/>
      <c r="AL35" s="51">
        <f t="shared" si="13"/>
        <v>9111.372298</v>
      </c>
    </row>
    <row r="36" ht="15.0" customHeight="1">
      <c r="A36" s="92" t="s">
        <v>1683</v>
      </c>
      <c r="B36" s="56">
        <v>45706.0</v>
      </c>
      <c r="C36" s="56">
        <v>45701.0</v>
      </c>
      <c r="D36" s="57" t="s">
        <v>88</v>
      </c>
      <c r="E36" s="57" t="str">
        <f t="array" ref="E36">XLOOKUP(D36,RUC!$B$3:$B$110,RUC!$D$3:$D$110)</f>
        <v>#N/A</v>
      </c>
      <c r="G36" s="3">
        <v>50.0</v>
      </c>
      <c r="H36" s="57" t="s">
        <v>47</v>
      </c>
      <c r="I36" s="58">
        <v>6.53</v>
      </c>
      <c r="J36" s="58">
        <v>1.0</v>
      </c>
      <c r="K36" s="59">
        <f t="shared" si="1"/>
        <v>6.4647</v>
      </c>
      <c r="L36" s="60">
        <v>0.633</v>
      </c>
      <c r="M36" s="60">
        <v>0.601</v>
      </c>
      <c r="N36" s="75">
        <v>0.69</v>
      </c>
      <c r="O36" s="60">
        <f t="shared" si="18"/>
        <v>0.646</v>
      </c>
      <c r="P36" s="63">
        <v>90.0</v>
      </c>
      <c r="Q36" s="57">
        <v>90.07</v>
      </c>
      <c r="R36" s="65">
        <v>2915.3</v>
      </c>
      <c r="S36" s="66">
        <f t="shared" si="23"/>
        <v>145</v>
      </c>
      <c r="U36" s="87">
        <v>90.0</v>
      </c>
      <c r="V36" s="67">
        <v>1.1023</v>
      </c>
      <c r="Z36" s="77">
        <v>25.0</v>
      </c>
      <c r="AA36" s="70">
        <f t="shared" si="4"/>
        <v>25</v>
      </c>
      <c r="AB36" s="71">
        <f t="shared" si="5"/>
        <v>1623.27941</v>
      </c>
      <c r="AC36" s="71">
        <f>+(S36-T36)*V36-'data 1'!$F$4</f>
        <v>79.8335</v>
      </c>
      <c r="AD36" s="71">
        <f t="shared" si="6"/>
        <v>1.379958821</v>
      </c>
      <c r="AE36" s="71">
        <f t="shared" si="7"/>
        <v>-42.4425</v>
      </c>
      <c r="AF36" s="71">
        <f t="shared" si="8"/>
        <v>-36.46598021</v>
      </c>
      <c r="AG36" s="72">
        <f t="shared" si="24"/>
        <v>19.30497861</v>
      </c>
      <c r="AH36" s="52">
        <f t="shared" si="10"/>
        <v>126.3692238</v>
      </c>
      <c r="AI36" s="73">
        <f t="shared" si="11"/>
        <v>109.7934887</v>
      </c>
      <c r="AJ36" s="73">
        <f t="shared" si="12"/>
        <v>128.8642566</v>
      </c>
      <c r="AK36" s="11"/>
      <c r="AL36" s="51">
        <f t="shared" si="13"/>
        <v>10494.0144</v>
      </c>
    </row>
    <row r="37" ht="15.0" customHeight="1">
      <c r="A37" s="92" t="s">
        <v>1684</v>
      </c>
      <c r="B37" s="56">
        <v>45706.0</v>
      </c>
      <c r="C37" s="56">
        <v>45701.0</v>
      </c>
      <c r="D37" s="57" t="s">
        <v>88</v>
      </c>
      <c r="E37" s="57" t="str">
        <f t="array" ref="E37">XLOOKUP(D37,RUC!$B$3:$B$110,RUC!$D$3:$D$110)</f>
        <v>#N/A</v>
      </c>
      <c r="G37" s="3">
        <v>50.0</v>
      </c>
      <c r="H37" s="57" t="s">
        <v>47</v>
      </c>
      <c r="I37" s="58">
        <v>5.39</v>
      </c>
      <c r="J37" s="58">
        <v>1.0</v>
      </c>
      <c r="K37" s="59">
        <f t="shared" si="1"/>
        <v>5.3361</v>
      </c>
      <c r="L37" s="60">
        <v>0.386</v>
      </c>
      <c r="M37" s="60">
        <v>0.367</v>
      </c>
      <c r="N37" s="75">
        <v>0.444</v>
      </c>
      <c r="O37" s="60">
        <f t="shared" si="18"/>
        <v>0.406</v>
      </c>
      <c r="P37" s="63">
        <v>90.0</v>
      </c>
      <c r="Q37" s="57">
        <v>90.28</v>
      </c>
      <c r="R37" s="65">
        <v>2915.3</v>
      </c>
      <c r="S37" s="66">
        <f t="shared" si="23"/>
        <v>125</v>
      </c>
      <c r="U37" s="87">
        <v>90.0</v>
      </c>
      <c r="V37" s="67">
        <v>1.1023</v>
      </c>
      <c r="Z37" s="77">
        <v>25.0</v>
      </c>
      <c r="AA37" s="70">
        <f t="shared" si="4"/>
        <v>25</v>
      </c>
      <c r="AB37" s="71">
        <f t="shared" si="5"/>
        <v>972.6305206</v>
      </c>
      <c r="AC37" s="71">
        <f>+(S37-T37)*V37-'data 1'!$F$4</f>
        <v>57.7875</v>
      </c>
      <c r="AD37" s="71">
        <f t="shared" si="6"/>
        <v>3.365965908</v>
      </c>
      <c r="AE37" s="71">
        <f t="shared" si="7"/>
        <v>-42.4425</v>
      </c>
      <c r="AF37" s="71">
        <f t="shared" si="8"/>
        <v>-56.2323098</v>
      </c>
      <c r="AG37" s="72">
        <f t="shared" si="24"/>
        <v>-20.52134389</v>
      </c>
      <c r="AH37" s="52">
        <f t="shared" si="10"/>
        <v>63.75465268</v>
      </c>
      <c r="AI37" s="73">
        <f t="shared" si="11"/>
        <v>67.10757841</v>
      </c>
      <c r="AJ37" s="73">
        <f t="shared" si="12"/>
        <v>66.8500247</v>
      </c>
      <c r="AK37" s="11"/>
      <c r="AL37" s="51">
        <f t="shared" si="13"/>
        <v>5190.053721</v>
      </c>
    </row>
    <row r="38" ht="15.0" customHeight="1">
      <c r="A38" s="92" t="s">
        <v>1685</v>
      </c>
      <c r="B38" s="56">
        <v>45706.0</v>
      </c>
      <c r="C38" s="56">
        <v>45701.0</v>
      </c>
      <c r="D38" s="57" t="s">
        <v>88</v>
      </c>
      <c r="E38" s="57" t="str">
        <f t="array" ref="E38">XLOOKUP(D38,RUC!$B$3:$B$110,RUC!$D$3:$D$110)</f>
        <v>#N/A</v>
      </c>
      <c r="G38" s="3">
        <v>50.0</v>
      </c>
      <c r="H38" s="57" t="s">
        <v>47</v>
      </c>
      <c r="I38" s="58">
        <v>5.41</v>
      </c>
      <c r="J38" s="58">
        <v>1.0</v>
      </c>
      <c r="K38" s="59">
        <f t="shared" si="1"/>
        <v>5.3559</v>
      </c>
      <c r="L38" s="60">
        <v>0.235</v>
      </c>
      <c r="M38" s="60">
        <v>0.223</v>
      </c>
      <c r="N38" s="75">
        <v>0.297</v>
      </c>
      <c r="O38" s="60">
        <f t="shared" si="18"/>
        <v>0.26</v>
      </c>
      <c r="P38" s="63">
        <v>90.0</v>
      </c>
      <c r="Q38" s="57">
        <v>90.22</v>
      </c>
      <c r="R38" s="65">
        <v>2915.3</v>
      </c>
      <c r="S38" s="66">
        <f t="shared" si="23"/>
        <v>105</v>
      </c>
      <c r="U38" s="87">
        <v>90.0</v>
      </c>
      <c r="V38" s="67">
        <v>1.1023</v>
      </c>
      <c r="Z38" s="77">
        <v>25.0</v>
      </c>
      <c r="AA38" s="70">
        <f t="shared" si="4"/>
        <v>25</v>
      </c>
      <c r="AB38" s="71">
        <f t="shared" si="5"/>
        <v>585.4537965</v>
      </c>
      <c r="AC38" s="71">
        <f>+(S38-T38)*V38-'data 1'!$F$4</f>
        <v>35.7415</v>
      </c>
      <c r="AD38" s="71">
        <f t="shared" si="6"/>
        <v>1.610107674</v>
      </c>
      <c r="AE38" s="71">
        <f t="shared" si="7"/>
        <v>-42.4425</v>
      </c>
      <c r="AF38" s="71">
        <f t="shared" si="8"/>
        <v>-70.24367233</v>
      </c>
      <c r="AG38" s="72">
        <f t="shared" si="24"/>
        <v>-58.33456465</v>
      </c>
      <c r="AH38" s="52">
        <f t="shared" si="10"/>
        <v>38.93249298</v>
      </c>
      <c r="AI38" s="73">
        <f t="shared" si="11"/>
        <v>40.82849744</v>
      </c>
      <c r="AJ38" s="73">
        <f t="shared" si="12"/>
        <v>42.96921171</v>
      </c>
      <c r="AK38" s="11"/>
      <c r="AL38" s="51">
        <f t="shared" si="13"/>
        <v>3135.631988</v>
      </c>
    </row>
    <row r="39" ht="15.0" customHeight="1">
      <c r="A39" s="92" t="s">
        <v>1686</v>
      </c>
      <c r="B39" s="56">
        <v>45708.0</v>
      </c>
      <c r="C39" s="56">
        <v>45702.0</v>
      </c>
      <c r="D39" s="57" t="s">
        <v>61</v>
      </c>
      <c r="E39" s="57">
        <f t="array" ref="E39">XLOOKUP(D39,RUC!$B$3:$B$110,RUC!$D$3:$D$110)</f>
        <v>20606526599</v>
      </c>
      <c r="G39" s="3">
        <v>130.0</v>
      </c>
      <c r="H39" s="57" t="s">
        <v>47</v>
      </c>
      <c r="I39" s="58">
        <v>10.74</v>
      </c>
      <c r="J39" s="58">
        <v>1.4</v>
      </c>
      <c r="K39" s="59">
        <f t="shared" si="1"/>
        <v>10.58964</v>
      </c>
      <c r="L39" s="60">
        <v>0.183</v>
      </c>
      <c r="M39" s="60">
        <v>0.172</v>
      </c>
      <c r="N39" s="62">
        <v>0.213</v>
      </c>
      <c r="O39" s="60">
        <f t="shared" si="18"/>
        <v>0.193</v>
      </c>
      <c r="P39" s="63">
        <v>90.0</v>
      </c>
      <c r="Q39" s="57">
        <v>90.22</v>
      </c>
      <c r="R39" s="65">
        <v>2921.5</v>
      </c>
      <c r="S39" s="66">
        <f t="shared" ref="S39:S42" si="25">IF((90+ROUNDDOWN(O39,1)*100)&lt;95,95,(90+ROUNDDOWN(O39,1)*100))</f>
        <v>100</v>
      </c>
      <c r="U39" s="67">
        <v>120.0</v>
      </c>
      <c r="V39" s="67">
        <v>1.1023</v>
      </c>
      <c r="Z39" s="69">
        <f t="shared" ref="Z39:Z42" si="26">IF(IF(D39="UNTUCA",IF(+((W39-3)*1.5+(X39-3)*3.1)&gt;0,+((W39-3)*1.5+(X39-3)*3.1),0),IF(+((W39-3)*1.5+(X39-3)*3.1)&gt;0,+((W39-3)*1.5+(X39-3)*3.1),0))&lt;30,30,IF(D39="UNTUCA",IF(+((W39-3)*1.5+(X39-3)*3.1)&gt;0,+((W39-3)*1.5+(X39-3)*3.1),0),IF(+((W39-3)*1.5+(X39-3)*3.1)&gt;0,+((W39-3)*1.5+(X39-3)*3.1),0)))</f>
        <v>30</v>
      </c>
      <c r="AA39" s="70">
        <f t="shared" si="4"/>
        <v>30</v>
      </c>
      <c r="AB39" s="71">
        <f t="shared" si="5"/>
        <v>393.1028323</v>
      </c>
      <c r="AC39" s="71">
        <f>+(S39-T39)*V39-'data 1'!$F$4</f>
        <v>30.23</v>
      </c>
      <c r="AD39" s="71">
        <f t="shared" si="6"/>
        <v>1.243266423</v>
      </c>
      <c r="AE39" s="71">
        <f t="shared" si="7"/>
        <v>-36.931</v>
      </c>
      <c r="AF39" s="71">
        <f t="shared" si="8"/>
        <v>-27.86077911</v>
      </c>
      <c r="AG39" s="72">
        <f t="shared" si="24"/>
        <v>-16.31851268</v>
      </c>
      <c r="AH39" s="52">
        <f t="shared" si="10"/>
        <v>59.94378723</v>
      </c>
      <c r="AI39" s="73">
        <f t="shared" si="11"/>
        <v>36.1255303</v>
      </c>
      <c r="AJ39" s="73">
        <f t="shared" si="12"/>
        <v>63.06524453</v>
      </c>
      <c r="AK39" s="11"/>
      <c r="AL39" s="51">
        <f t="shared" si="13"/>
        <v>4162.817477</v>
      </c>
    </row>
    <row r="40" ht="15.0" customHeight="1">
      <c r="A40" s="92" t="s">
        <v>1687</v>
      </c>
      <c r="B40" s="56">
        <v>45707.0</v>
      </c>
      <c r="C40" s="56">
        <v>45702.0</v>
      </c>
      <c r="D40" s="57" t="s">
        <v>61</v>
      </c>
      <c r="E40" s="57">
        <f t="array" ref="E40">XLOOKUP(D40,RUC!$B$3:$B$110,RUC!$D$3:$D$110)</f>
        <v>20606526599</v>
      </c>
      <c r="G40" s="3">
        <v>162.0</v>
      </c>
      <c r="H40" s="57" t="s">
        <v>47</v>
      </c>
      <c r="I40" s="58">
        <v>12.71</v>
      </c>
      <c r="J40" s="58">
        <v>1.3</v>
      </c>
      <c r="K40" s="59">
        <f t="shared" si="1"/>
        <v>12.54477</v>
      </c>
      <c r="L40" s="60">
        <v>0.327</v>
      </c>
      <c r="M40" s="60">
        <v>0.311</v>
      </c>
      <c r="N40" s="62">
        <v>0.311</v>
      </c>
      <c r="O40" s="60">
        <f t="shared" si="18"/>
        <v>0.311</v>
      </c>
      <c r="P40" s="63">
        <v>90.0</v>
      </c>
      <c r="Q40" s="57">
        <v>90.07</v>
      </c>
      <c r="R40" s="65">
        <v>2921.5</v>
      </c>
      <c r="S40" s="66">
        <f t="shared" si="25"/>
        <v>120</v>
      </c>
      <c r="U40" s="67">
        <v>120.0</v>
      </c>
      <c r="V40" s="67">
        <v>1.1023</v>
      </c>
      <c r="Z40" s="69">
        <f t="shared" si="26"/>
        <v>30</v>
      </c>
      <c r="AA40" s="70">
        <f t="shared" si="4"/>
        <v>30</v>
      </c>
      <c r="AB40" s="71">
        <f t="shared" si="5"/>
        <v>699.0123567</v>
      </c>
      <c r="AC40" s="71">
        <f>+(S40-T40)*V40-'data 1'!$F$4</f>
        <v>52.276</v>
      </c>
      <c r="AD40" s="71">
        <f t="shared" si="6"/>
        <v>0.7068645907</v>
      </c>
      <c r="AE40" s="71">
        <f t="shared" si="7"/>
        <v>-36.931</v>
      </c>
      <c r="AF40" s="71">
        <f t="shared" si="8"/>
        <v>44.50313233</v>
      </c>
      <c r="AG40" s="72">
        <f t="shared" si="24"/>
        <v>77.55499692</v>
      </c>
      <c r="AH40" s="52">
        <f t="shared" si="10"/>
        <v>126.6775595</v>
      </c>
      <c r="AI40" s="73">
        <f t="shared" si="11"/>
        <v>64.44485248</v>
      </c>
      <c r="AJ40" s="73">
        <f t="shared" si="12"/>
        <v>120.3856359</v>
      </c>
      <c r="AK40" s="11"/>
      <c r="AL40" s="51">
        <f t="shared" si="13"/>
        <v>8768.949241</v>
      </c>
    </row>
    <row r="41" ht="15.0" customHeight="1">
      <c r="A41" s="92" t="s">
        <v>1688</v>
      </c>
      <c r="B41" s="56">
        <v>45705.0</v>
      </c>
      <c r="C41" s="56">
        <v>45703.0</v>
      </c>
      <c r="D41" s="57" t="s">
        <v>264</v>
      </c>
      <c r="E41" s="57">
        <f t="array" ref="E41">XLOOKUP(D41,RUC!$B$3:$B$110,RUC!$D$3:$D$110)</f>
        <v>20606102519</v>
      </c>
      <c r="G41" s="3">
        <v>112.0</v>
      </c>
      <c r="H41" s="57" t="s">
        <v>47</v>
      </c>
      <c r="I41" s="58">
        <v>9.36</v>
      </c>
      <c r="J41" s="58">
        <v>3.5</v>
      </c>
      <c r="K41" s="59">
        <f t="shared" si="1"/>
        <v>9.0324</v>
      </c>
      <c r="L41" s="60">
        <v>0.399</v>
      </c>
      <c r="M41" s="60">
        <v>0.379</v>
      </c>
      <c r="N41" s="62">
        <v>0.379</v>
      </c>
      <c r="O41" s="60">
        <f t="shared" si="18"/>
        <v>0.379</v>
      </c>
      <c r="P41" s="63">
        <v>90.0</v>
      </c>
      <c r="Q41" s="57">
        <v>89.77</v>
      </c>
      <c r="R41" s="65">
        <v>2921.5</v>
      </c>
      <c r="S41" s="66">
        <f t="shared" si="25"/>
        <v>120</v>
      </c>
      <c r="U41" s="67">
        <v>120.0</v>
      </c>
      <c r="V41" s="67">
        <v>1.1023</v>
      </c>
      <c r="Y41" s="57">
        <v>20.0</v>
      </c>
      <c r="Z41" s="69">
        <f t="shared" si="26"/>
        <v>30</v>
      </c>
      <c r="AA41" s="70">
        <f t="shared" si="4"/>
        <v>50</v>
      </c>
      <c r="AB41" s="71">
        <f t="shared" si="5"/>
        <v>865.9576758</v>
      </c>
      <c r="AC41" s="71">
        <f>+(S41-T41)*V41-'data 1'!$F$4</f>
        <v>52.276</v>
      </c>
      <c r="AD41" s="71">
        <f t="shared" si="6"/>
        <v>-2.833943359</v>
      </c>
      <c r="AE41" s="71">
        <f t="shared" si="7"/>
        <v>-14.885</v>
      </c>
      <c r="AF41" s="71">
        <f t="shared" si="8"/>
        <v>55.4436298</v>
      </c>
      <c r="AG41" s="72">
        <f>+IF(D41="RONALD WILLIAN GARIBAY ESCUDERO",AC41+AD41+AE41+AF41+70,AC41+AD41+AE41+AF41)+70</f>
        <v>160.0006864</v>
      </c>
      <c r="AH41" s="52">
        <f t="shared" si="10"/>
        <v>110.9216579</v>
      </c>
      <c r="AI41" s="73">
        <f t="shared" si="11"/>
        <v>78.37263333</v>
      </c>
      <c r="AJ41" s="73">
        <f t="shared" si="12"/>
        <v>105.6316225</v>
      </c>
      <c r="AK41" s="11"/>
      <c r="AL41" s="51">
        <f t="shared" si="13"/>
        <v>7821.676111</v>
      </c>
    </row>
    <row r="42" ht="15.0" customHeight="1">
      <c r="A42" s="92" t="s">
        <v>1689</v>
      </c>
      <c r="B42" s="56">
        <v>45706.0</v>
      </c>
      <c r="C42" s="56">
        <v>45704.0</v>
      </c>
      <c r="D42" s="57" t="s">
        <v>67</v>
      </c>
      <c r="E42" s="57">
        <f t="array" ref="E42">XLOOKUP(D42,RUC!$B$3:$B$110,RUC!$D$3:$D$110)</f>
        <v>20606094010</v>
      </c>
      <c r="G42" s="3">
        <v>90.0</v>
      </c>
      <c r="H42" s="57" t="s">
        <v>47</v>
      </c>
      <c r="I42" s="58">
        <v>7.91</v>
      </c>
      <c r="J42" s="58">
        <v>2.6</v>
      </c>
      <c r="K42" s="59">
        <f t="shared" si="1"/>
        <v>7.70434</v>
      </c>
      <c r="L42" s="60">
        <v>0.498</v>
      </c>
      <c r="M42" s="60">
        <v>0.473</v>
      </c>
      <c r="N42" s="62">
        <v>0.473</v>
      </c>
      <c r="O42" s="60">
        <f t="shared" si="18"/>
        <v>0.473</v>
      </c>
      <c r="P42" s="63">
        <v>90.0</v>
      </c>
      <c r="Q42" s="57">
        <v>89.92</v>
      </c>
      <c r="R42" s="65">
        <v>2900.55</v>
      </c>
      <c r="S42" s="66">
        <f t="shared" si="25"/>
        <v>130</v>
      </c>
      <c r="U42" s="67">
        <v>120.0</v>
      </c>
      <c r="V42" s="67">
        <v>1.1023</v>
      </c>
      <c r="Y42" s="57">
        <v>20.0</v>
      </c>
      <c r="Z42" s="69">
        <f t="shared" si="26"/>
        <v>30</v>
      </c>
      <c r="AA42" s="70">
        <f t="shared" si="4"/>
        <v>50</v>
      </c>
      <c r="AB42" s="71">
        <f t="shared" si="5"/>
        <v>1106.356613</v>
      </c>
      <c r="AC42" s="71">
        <f>+(S42-T42)*V42-'data 1'!$F$4</f>
        <v>63.299</v>
      </c>
      <c r="AD42" s="71">
        <f t="shared" si="6"/>
        <v>-1.221096106</v>
      </c>
      <c r="AE42" s="71">
        <f t="shared" si="7"/>
        <v>-14.885</v>
      </c>
      <c r="AF42" s="71">
        <f t="shared" si="8"/>
        <v>68.90120596</v>
      </c>
      <c r="AG42" s="72">
        <f>+IF(D42="RONALD WILLIAN GARIBAY ESCUDERO",AC42+AD42+AE42+AF42+70,AC42+AD42+AE42+AF42)+70-29</f>
        <v>157.0941099</v>
      </c>
      <c r="AH42" s="52">
        <f t="shared" si="10"/>
        <v>118.2851298</v>
      </c>
      <c r="AI42" s="73">
        <f t="shared" si="11"/>
        <v>108.3230884</v>
      </c>
      <c r="AJ42" s="73">
        <f t="shared" si="12"/>
        <v>112.4470742</v>
      </c>
      <c r="AK42" s="11"/>
      <c r="AL42" s="51">
        <f t="shared" si="13"/>
        <v>8523.747506</v>
      </c>
    </row>
    <row r="43" ht="15.0" customHeight="1">
      <c r="A43" s="92" t="s">
        <v>1690</v>
      </c>
      <c r="B43" s="56">
        <v>45709.0</v>
      </c>
      <c r="C43" s="56">
        <v>45706.0</v>
      </c>
      <c r="D43" s="57" t="s">
        <v>74</v>
      </c>
      <c r="E43" s="57">
        <f t="array" ref="E43">XLOOKUP(D43,RUC!$B$3:$B$110,RUC!$D$3:$D$110)</f>
        <v>10082235774</v>
      </c>
      <c r="G43" s="3">
        <v>18.0</v>
      </c>
      <c r="H43" s="57" t="s">
        <v>47</v>
      </c>
      <c r="I43" s="58">
        <v>1.81</v>
      </c>
      <c r="J43" s="58">
        <v>3.5</v>
      </c>
      <c r="K43" s="59">
        <f t="shared" si="1"/>
        <v>1.74665</v>
      </c>
      <c r="L43" s="60">
        <v>0.191</v>
      </c>
      <c r="M43" s="60">
        <v>0.188</v>
      </c>
      <c r="N43" s="62">
        <v>0.188</v>
      </c>
      <c r="O43" s="60">
        <f t="shared" si="18"/>
        <v>0.188</v>
      </c>
      <c r="P43" s="63">
        <v>85.0</v>
      </c>
      <c r="Q43" s="57">
        <v>90.22</v>
      </c>
      <c r="R43" s="65">
        <v>2927.1</v>
      </c>
      <c r="S43" s="76">
        <v>95.0</v>
      </c>
      <c r="U43" s="87">
        <v>80.0</v>
      </c>
      <c r="V43" s="67">
        <v>1.1023</v>
      </c>
      <c r="Z43" s="77">
        <v>10.0</v>
      </c>
      <c r="AA43" s="70">
        <f t="shared" si="4"/>
        <v>10</v>
      </c>
      <c r="AB43" s="71">
        <f t="shared" si="5"/>
        <v>385.7681611</v>
      </c>
      <c r="AC43" s="71">
        <f>+(S43-T43)*V43-'data 1'!$F$4</f>
        <v>24.7185</v>
      </c>
      <c r="AD43" s="71">
        <f t="shared" si="6"/>
        <v>31.29006022</v>
      </c>
      <c r="AE43" s="71">
        <f t="shared" si="7"/>
        <v>-58.977</v>
      </c>
      <c r="AF43" s="71">
        <f t="shared" si="8"/>
        <v>8.494280656</v>
      </c>
      <c r="AG43" s="72">
        <f t="shared" ref="AG43:AG49" si="27">+IF(D43="RONALD WILLIAN GARIBAY ESCUDERO",AC43+AD43+AE43+AF43+70,AC43+AD43+AE43+AF43)+70</f>
        <v>75.52584088</v>
      </c>
      <c r="AH43" s="52">
        <f t="shared" si="10"/>
        <v>10.3193216</v>
      </c>
      <c r="AI43" s="73">
        <f t="shared" si="11"/>
        <v>29.04313428</v>
      </c>
      <c r="AJ43" s="73">
        <f t="shared" si="12"/>
        <v>9.569554771</v>
      </c>
      <c r="AK43" s="11"/>
      <c r="AL43" s="51">
        <f t="shared" si="13"/>
        <v>673.8019586</v>
      </c>
    </row>
    <row r="44" ht="15.0" customHeight="1">
      <c r="A44" s="92" t="s">
        <v>1691</v>
      </c>
      <c r="B44" s="56">
        <v>45709.0</v>
      </c>
      <c r="C44" s="56">
        <v>45706.0</v>
      </c>
      <c r="D44" s="57" t="s">
        <v>74</v>
      </c>
      <c r="E44" s="57">
        <f t="array" ref="E44">XLOOKUP(D44,RUC!$B$3:$B$110,RUC!$D$3:$D$110)</f>
        <v>10082235774</v>
      </c>
      <c r="G44" s="3">
        <v>32.0</v>
      </c>
      <c r="H44" s="57" t="s">
        <v>47</v>
      </c>
      <c r="I44" s="58">
        <v>3.14</v>
      </c>
      <c r="J44" s="58">
        <v>2.95</v>
      </c>
      <c r="K44" s="59">
        <f t="shared" si="1"/>
        <v>3.04737</v>
      </c>
      <c r="L44" s="60">
        <v>0.434</v>
      </c>
      <c r="M44" s="60">
        <v>0.427</v>
      </c>
      <c r="N44" s="62">
        <v>0.427</v>
      </c>
      <c r="O44" s="60">
        <f t="shared" si="18"/>
        <v>0.427</v>
      </c>
      <c r="P44" s="63">
        <v>90.0</v>
      </c>
      <c r="Q44" s="57">
        <v>89.88</v>
      </c>
      <c r="R44" s="65">
        <v>2927.1</v>
      </c>
      <c r="S44" s="76">
        <v>115.0</v>
      </c>
      <c r="U44" s="87">
        <v>80.0</v>
      </c>
      <c r="V44" s="67">
        <v>1.1023</v>
      </c>
      <c r="Z44" s="77">
        <v>10.0</v>
      </c>
      <c r="AA44" s="70">
        <f t="shared" si="4"/>
        <v>10</v>
      </c>
      <c r="AB44" s="71">
        <f t="shared" si="5"/>
        <v>1068.283606</v>
      </c>
      <c r="AC44" s="71">
        <f>+(S44-T44)*V44-'data 1'!$F$4</f>
        <v>46.7645</v>
      </c>
      <c r="AD44" s="71">
        <f t="shared" si="6"/>
        <v>-1.634457018</v>
      </c>
      <c r="AE44" s="71">
        <f t="shared" si="7"/>
        <v>-58.977</v>
      </c>
      <c r="AF44" s="71">
        <f t="shared" si="8"/>
        <v>19.74529527</v>
      </c>
      <c r="AG44" s="72">
        <f t="shared" si="27"/>
        <v>75.89833825</v>
      </c>
      <c r="AH44" s="52">
        <f t="shared" si="10"/>
        <v>40.7555774</v>
      </c>
      <c r="AI44" s="73">
        <f t="shared" si="11"/>
        <v>65.7445998</v>
      </c>
      <c r="AJ44" s="73">
        <f t="shared" si="12"/>
        <v>40.15176506</v>
      </c>
      <c r="AK44" s="11"/>
      <c r="AL44" s="51">
        <f t="shared" si="13"/>
        <v>3255.455413</v>
      </c>
    </row>
    <row r="45" ht="15.0" customHeight="1">
      <c r="A45" s="92" t="s">
        <v>1692</v>
      </c>
      <c r="B45" s="56">
        <v>45709.0</v>
      </c>
      <c r="C45" s="56">
        <v>45706.0</v>
      </c>
      <c r="D45" s="57" t="s">
        <v>74</v>
      </c>
      <c r="E45" s="57">
        <f t="array" ref="E45">XLOOKUP(D45,RUC!$B$3:$B$110,RUC!$D$3:$D$110)</f>
        <v>10082235774</v>
      </c>
      <c r="G45" s="3">
        <v>36.0</v>
      </c>
      <c r="H45" s="57" t="s">
        <v>47</v>
      </c>
      <c r="I45" s="58">
        <v>3.19</v>
      </c>
      <c r="J45" s="58">
        <v>3.35</v>
      </c>
      <c r="K45" s="59">
        <f t="shared" si="1"/>
        <v>3.083135</v>
      </c>
      <c r="L45" s="60">
        <v>0.242</v>
      </c>
      <c r="M45" s="60">
        <v>0.238</v>
      </c>
      <c r="N45" s="62">
        <v>0.238</v>
      </c>
      <c r="O45" s="60">
        <f t="shared" si="18"/>
        <v>0.238</v>
      </c>
      <c r="P45" s="63">
        <v>85.0</v>
      </c>
      <c r="Q45" s="57">
        <v>90.08</v>
      </c>
      <c r="R45" s="65">
        <v>2927.1</v>
      </c>
      <c r="S45" s="76">
        <v>105.0</v>
      </c>
      <c r="U45" s="87">
        <v>80.0</v>
      </c>
      <c r="V45" s="67">
        <v>1.1023</v>
      </c>
      <c r="Z45" s="77">
        <v>10.0</v>
      </c>
      <c r="AA45" s="70">
        <f t="shared" si="4"/>
        <v>10</v>
      </c>
      <c r="AB45" s="71">
        <f t="shared" si="5"/>
        <v>508.1253902</v>
      </c>
      <c r="AC45" s="71">
        <f>+(S45-T45)*V45-'data 1'!$F$4</f>
        <v>35.7415</v>
      </c>
      <c r="AD45" s="71">
        <f t="shared" si="6"/>
        <v>38.58172197</v>
      </c>
      <c r="AE45" s="71">
        <f t="shared" si="7"/>
        <v>-58.977</v>
      </c>
      <c r="AF45" s="71">
        <f t="shared" si="8"/>
        <v>11.30813273</v>
      </c>
      <c r="AG45" s="72">
        <f t="shared" si="27"/>
        <v>96.6543547</v>
      </c>
      <c r="AH45" s="52">
        <f t="shared" si="10"/>
        <v>23.04333609</v>
      </c>
      <c r="AI45" s="73">
        <f t="shared" si="11"/>
        <v>36.74100539</v>
      </c>
      <c r="AJ45" s="73">
        <f t="shared" si="12"/>
        <v>21.38442088</v>
      </c>
      <c r="AK45" s="11"/>
      <c r="AL45" s="51">
        <f t="shared" si="13"/>
        <v>1566.619175</v>
      </c>
    </row>
    <row r="46" ht="15.0" customHeight="1">
      <c r="A46" s="92" t="s">
        <v>1693</v>
      </c>
      <c r="B46" s="56">
        <v>45709.0</v>
      </c>
      <c r="C46" s="56">
        <v>45706.0</v>
      </c>
      <c r="D46" s="57" t="s">
        <v>74</v>
      </c>
      <c r="E46" s="57">
        <f t="array" ref="E46">XLOOKUP(D46,RUC!$B$3:$B$110,RUC!$D$3:$D$110)</f>
        <v>10082235774</v>
      </c>
      <c r="G46" s="3">
        <v>37.0</v>
      </c>
      <c r="H46" s="57" t="s">
        <v>47</v>
      </c>
      <c r="I46" s="58">
        <v>3.51</v>
      </c>
      <c r="J46" s="58">
        <v>3.4</v>
      </c>
      <c r="K46" s="59">
        <f t="shared" si="1"/>
        <v>3.39066</v>
      </c>
      <c r="L46" s="60">
        <v>0.413</v>
      </c>
      <c r="M46" s="60">
        <v>0.406</v>
      </c>
      <c r="N46" s="62">
        <v>0.406</v>
      </c>
      <c r="O46" s="60">
        <f t="shared" si="18"/>
        <v>0.406</v>
      </c>
      <c r="P46" s="63">
        <v>90.0</v>
      </c>
      <c r="Q46" s="57">
        <v>89.92</v>
      </c>
      <c r="R46" s="65">
        <v>2927.1</v>
      </c>
      <c r="S46" s="76">
        <v>115.0</v>
      </c>
      <c r="U46" s="87">
        <v>80.0</v>
      </c>
      <c r="V46" s="67">
        <v>1.1023</v>
      </c>
      <c r="Z46" s="77">
        <v>10.0</v>
      </c>
      <c r="AA46" s="70">
        <f t="shared" si="4"/>
        <v>10</v>
      </c>
      <c r="AB46" s="71">
        <f t="shared" si="5"/>
        <v>1008.968634</v>
      </c>
      <c r="AC46" s="71">
        <f>+(S46-T46)*V46-'data 1'!$F$4</f>
        <v>46.7645</v>
      </c>
      <c r="AD46" s="71">
        <f t="shared" si="6"/>
        <v>-1.036913592</v>
      </c>
      <c r="AE46" s="71">
        <f t="shared" si="7"/>
        <v>-58.977</v>
      </c>
      <c r="AF46" s="71">
        <f t="shared" si="8"/>
        <v>19.75408267</v>
      </c>
      <c r="AG46" s="72">
        <f t="shared" si="27"/>
        <v>76.50466908</v>
      </c>
      <c r="AH46" s="52">
        <f t="shared" si="10"/>
        <v>43.17175085</v>
      </c>
      <c r="AI46" s="73">
        <f t="shared" si="11"/>
        <v>62.59125257</v>
      </c>
      <c r="AJ46" s="73">
        <f t="shared" si="12"/>
        <v>42.47778429</v>
      </c>
      <c r="AK46" s="11"/>
      <c r="AL46" s="51">
        <f t="shared" si="13"/>
        <v>3421.069588</v>
      </c>
    </row>
    <row r="47" ht="15.0" customHeight="1">
      <c r="A47" s="92" t="s">
        <v>1694</v>
      </c>
      <c r="B47" s="56">
        <v>45709.0</v>
      </c>
      <c r="C47" s="56">
        <v>45706.0</v>
      </c>
      <c r="D47" s="57" t="s">
        <v>74</v>
      </c>
      <c r="E47" s="57">
        <f t="array" ref="E47">XLOOKUP(D47,RUC!$B$3:$B$110,RUC!$D$3:$D$110)</f>
        <v>10082235774</v>
      </c>
      <c r="G47" s="3">
        <v>29.0</v>
      </c>
      <c r="H47" s="57" t="s">
        <v>47</v>
      </c>
      <c r="I47" s="58">
        <v>2.72</v>
      </c>
      <c r="J47" s="58">
        <v>3.4</v>
      </c>
      <c r="K47" s="59">
        <f t="shared" si="1"/>
        <v>2.62752</v>
      </c>
      <c r="L47" s="60">
        <v>0.298</v>
      </c>
      <c r="M47" s="60">
        <v>0.293</v>
      </c>
      <c r="N47" s="62">
        <v>0.293</v>
      </c>
      <c r="O47" s="60">
        <f t="shared" si="18"/>
        <v>0.293</v>
      </c>
      <c r="P47" s="63">
        <v>90.0</v>
      </c>
      <c r="Q47" s="57">
        <v>90.16</v>
      </c>
      <c r="R47" s="65">
        <v>2927.1</v>
      </c>
      <c r="S47" s="76">
        <v>105.0</v>
      </c>
      <c r="U47" s="87">
        <v>80.0</v>
      </c>
      <c r="V47" s="67">
        <v>1.1023</v>
      </c>
      <c r="Z47" s="77">
        <v>10.0</v>
      </c>
      <c r="AA47" s="70">
        <f t="shared" si="4"/>
        <v>10</v>
      </c>
      <c r="AB47" s="71">
        <f t="shared" si="5"/>
        <v>700.8205916</v>
      </c>
      <c r="AC47" s="71">
        <f>+(S47-T47)*V47-'data 1'!$F$4</f>
        <v>35.7415</v>
      </c>
      <c r="AD47" s="71">
        <f t="shared" si="6"/>
        <v>1.496369252</v>
      </c>
      <c r="AE47" s="71">
        <f t="shared" si="7"/>
        <v>-58.977</v>
      </c>
      <c r="AF47" s="71">
        <f t="shared" si="8"/>
        <v>14.14771935</v>
      </c>
      <c r="AG47" s="72">
        <f t="shared" si="27"/>
        <v>62.4085886</v>
      </c>
      <c r="AH47" s="52">
        <f t="shared" si="10"/>
        <v>24.20389537</v>
      </c>
      <c r="AI47" s="73">
        <f t="shared" si="11"/>
        <v>45.28323656</v>
      </c>
      <c r="AJ47" s="73">
        <f t="shared" si="12"/>
        <v>23.75555764</v>
      </c>
      <c r="AK47" s="11"/>
      <c r="AL47" s="51">
        <f t="shared" si="13"/>
        <v>1841.420121</v>
      </c>
    </row>
    <row r="48" ht="15.0" customHeight="1">
      <c r="A48" s="92" t="s">
        <v>1695</v>
      </c>
      <c r="B48" s="56">
        <v>45709.0</v>
      </c>
      <c r="C48" s="56">
        <v>45706.0</v>
      </c>
      <c r="D48" s="57" t="s">
        <v>74</v>
      </c>
      <c r="E48" s="57">
        <f t="array" ref="E48">XLOOKUP(D48,RUC!$B$3:$B$110,RUC!$D$3:$D$110)</f>
        <v>10082235774</v>
      </c>
      <c r="G48" s="3">
        <v>26.0</v>
      </c>
      <c r="H48" s="57" t="s">
        <v>47</v>
      </c>
      <c r="I48" s="58">
        <v>2.44</v>
      </c>
      <c r="J48" s="58">
        <v>3.35</v>
      </c>
      <c r="K48" s="59">
        <f t="shared" si="1"/>
        <v>2.35826</v>
      </c>
      <c r="L48" s="60">
        <v>0.289</v>
      </c>
      <c r="M48" s="60">
        <v>0.285</v>
      </c>
      <c r="N48" s="62">
        <v>0.285</v>
      </c>
      <c r="O48" s="60">
        <f t="shared" si="18"/>
        <v>0.285</v>
      </c>
      <c r="P48" s="63">
        <v>90.0</v>
      </c>
      <c r="Q48" s="57">
        <v>90.27</v>
      </c>
      <c r="R48" s="65">
        <v>2927.1</v>
      </c>
      <c r="S48" s="76">
        <v>105.0</v>
      </c>
      <c r="U48" s="87">
        <v>80.0</v>
      </c>
      <c r="V48" s="67">
        <v>1.1023</v>
      </c>
      <c r="Z48" s="77">
        <v>10.0</v>
      </c>
      <c r="AA48" s="70">
        <f t="shared" si="4"/>
        <v>10</v>
      </c>
      <c r="AB48" s="71">
        <f t="shared" si="5"/>
        <v>678.2244116</v>
      </c>
      <c r="AC48" s="71">
        <f>+(S48-T48)*V48-'data 1'!$F$4</f>
        <v>35.7415</v>
      </c>
      <c r="AD48" s="71">
        <f t="shared" si="6"/>
        <v>2.448861005</v>
      </c>
      <c r="AE48" s="71">
        <f t="shared" si="7"/>
        <v>-58.977</v>
      </c>
      <c r="AF48" s="71">
        <f t="shared" si="8"/>
        <v>11.33198426</v>
      </c>
      <c r="AG48" s="72">
        <f t="shared" si="27"/>
        <v>60.54534526</v>
      </c>
      <c r="AH48" s="52">
        <f t="shared" si="10"/>
        <v>21.09317905</v>
      </c>
      <c r="AI48" s="73">
        <f t="shared" si="11"/>
        <v>43.96920143</v>
      </c>
      <c r="AJ48" s="73">
        <f t="shared" si="12"/>
        <v>20.73901489</v>
      </c>
      <c r="AK48" s="11"/>
      <c r="AL48" s="51">
        <f t="shared" si="13"/>
        <v>1599.429501</v>
      </c>
    </row>
    <row r="49" ht="15.0" customHeight="1">
      <c r="A49" s="92" t="s">
        <v>1696</v>
      </c>
      <c r="B49" s="56">
        <v>45709.0</v>
      </c>
      <c r="C49" s="56">
        <v>45706.0</v>
      </c>
      <c r="D49" s="57" t="s">
        <v>74</v>
      </c>
      <c r="E49" s="57">
        <f t="array" ref="E49">XLOOKUP(D49,RUC!$B$3:$B$110,RUC!$D$3:$D$110)</f>
        <v>10082235774</v>
      </c>
      <c r="G49" s="3">
        <v>31.0</v>
      </c>
      <c r="H49" s="57" t="s">
        <v>47</v>
      </c>
      <c r="I49" s="58">
        <v>3.08</v>
      </c>
      <c r="J49" s="58">
        <v>3.5</v>
      </c>
      <c r="K49" s="59">
        <f t="shared" si="1"/>
        <v>2.9722</v>
      </c>
      <c r="L49" s="60">
        <v>0.488</v>
      </c>
      <c r="M49" s="60">
        <v>0.48</v>
      </c>
      <c r="N49" s="62">
        <v>0.48</v>
      </c>
      <c r="O49" s="60">
        <f t="shared" si="18"/>
        <v>0.48</v>
      </c>
      <c r="P49" s="63">
        <v>90.0</v>
      </c>
      <c r="Q49" s="57">
        <v>89.95</v>
      </c>
      <c r="R49" s="65">
        <v>2927.1</v>
      </c>
      <c r="S49" s="76">
        <v>115.0</v>
      </c>
      <c r="U49" s="87">
        <v>80.0</v>
      </c>
      <c r="V49" s="67">
        <v>1.1023</v>
      </c>
      <c r="Z49" s="77">
        <v>10.0</v>
      </c>
      <c r="AA49" s="70">
        <f t="shared" si="4"/>
        <v>10</v>
      </c>
      <c r="AB49" s="71">
        <f t="shared" si="5"/>
        <v>1217.983299</v>
      </c>
      <c r="AC49" s="71">
        <f>+(S49-T49)*V49-'data 1'!$F$4</f>
        <v>46.7645</v>
      </c>
      <c r="AD49" s="71">
        <f t="shared" si="6"/>
        <v>-0.7657594325</v>
      </c>
      <c r="AE49" s="71">
        <f t="shared" si="7"/>
        <v>-58.977</v>
      </c>
      <c r="AF49" s="71">
        <f t="shared" si="8"/>
        <v>22.58362654</v>
      </c>
      <c r="AG49" s="72">
        <f t="shared" si="27"/>
        <v>79.60536711</v>
      </c>
      <c r="AH49" s="52">
        <f t="shared" si="10"/>
        <v>44.7309466</v>
      </c>
      <c r="AI49" s="73">
        <f t="shared" si="11"/>
        <v>73.9823773</v>
      </c>
      <c r="AJ49" s="73">
        <f t="shared" si="12"/>
        <v>44.02210912</v>
      </c>
      <c r="AK49" s="11"/>
      <c r="AL49" s="51">
        <f t="shared" si="13"/>
        <v>3620.08996</v>
      </c>
    </row>
    <row r="50" ht="15.0" customHeight="1">
      <c r="A50" s="92" t="s">
        <v>1697</v>
      </c>
      <c r="B50" s="56">
        <v>45712.0</v>
      </c>
      <c r="C50" s="56">
        <v>45707.0</v>
      </c>
      <c r="D50" s="57" t="s">
        <v>63</v>
      </c>
      <c r="E50" s="57" t="str">
        <f t="array" ref="E50">XLOOKUP(D50,RUC!$B$3:$B$110,RUC!$D$3:$D$110)</f>
        <v>#N/A</v>
      </c>
      <c r="G50" s="3">
        <v>70.0</v>
      </c>
      <c r="H50" s="57" t="s">
        <v>47</v>
      </c>
      <c r="I50" s="58">
        <v>7.23</v>
      </c>
      <c r="J50" s="58">
        <v>1.1</v>
      </c>
      <c r="K50" s="59">
        <f t="shared" si="1"/>
        <v>7.15047</v>
      </c>
      <c r="L50" s="60">
        <v>0.433</v>
      </c>
      <c r="M50" s="60">
        <v>0.411</v>
      </c>
      <c r="N50" s="75">
        <v>0.483</v>
      </c>
      <c r="O50" s="60">
        <f t="shared" si="18"/>
        <v>0.447</v>
      </c>
      <c r="P50" s="63">
        <v>90.0</v>
      </c>
      <c r="Q50" s="57">
        <v>90.07</v>
      </c>
      <c r="R50" s="65">
        <v>2927.1</v>
      </c>
      <c r="S50" s="66">
        <f t="shared" ref="S50:S54" si="28">IF((90+ROUNDDOWN(O50,1)*100)&lt;95,95,(90+ROUNDDOWN(O50,1)*100))</f>
        <v>130</v>
      </c>
      <c r="U50" s="67">
        <v>120.0</v>
      </c>
      <c r="V50" s="67">
        <v>1.1023</v>
      </c>
      <c r="Y50" s="57">
        <v>20.0</v>
      </c>
      <c r="Z50" s="69">
        <f t="shared" ref="Z50:Z54" si="29">IF(IF(D50="UNTUCA",IF(+((W50-3)*1.5+(X50-3)*3.1)&gt;0,+((W50-3)*1.5+(X50-3)*3.1),0),IF(+((W50-3)*1.5+(X50-3)*3.1)&gt;0,+((W50-3)*1.5+(X50-3)*3.1),0))&lt;30,30,IF(D50="UNTUCA",IF(+((W50-3)*1.5+(X50-3)*3.1)&gt;0,+((W50-3)*1.5+(X50-3)*3.1),0),IF(+((W50-3)*1.5+(X50-3)*3.1)&gt;0,+((W50-3)*1.5+(X50-3)*3.1),0)))</f>
        <v>30</v>
      </c>
      <c r="AA50" s="70">
        <f t="shared" si="4"/>
        <v>50</v>
      </c>
      <c r="AB50" s="71">
        <f t="shared" si="5"/>
        <v>1046.409345</v>
      </c>
      <c r="AC50" s="71">
        <f>+(S50-T50)*V50-'data 1'!$F$4</f>
        <v>63.299</v>
      </c>
      <c r="AD50" s="71">
        <f t="shared" si="6"/>
        <v>0.9378721246</v>
      </c>
      <c r="AE50" s="71">
        <f t="shared" si="7"/>
        <v>-14.885</v>
      </c>
      <c r="AF50" s="71">
        <f t="shared" si="8"/>
        <v>-39.01807957</v>
      </c>
      <c r="AG50" s="72">
        <f t="shared" ref="AG50:AG52" si="30">+IF(D50="RONALD WILLIAN GARIBAY ESCUDERO",AC50+AD50+AE50+AF50+70,AC50+AD50+AE50+AF50)+70-53</f>
        <v>27.33379256</v>
      </c>
      <c r="AH50" s="52">
        <f t="shared" si="10"/>
        <v>95.61184907</v>
      </c>
      <c r="AI50" s="73">
        <f t="shared" si="11"/>
        <v>82.92779046</v>
      </c>
      <c r="AJ50" s="73">
        <f t="shared" si="12"/>
        <v>98.62651574</v>
      </c>
      <c r="AK50" s="11"/>
      <c r="AL50" s="51">
        <f t="shared" si="13"/>
        <v>7482.318626</v>
      </c>
    </row>
    <row r="51" ht="15.0" customHeight="1">
      <c r="A51" s="92" t="s">
        <v>1698</v>
      </c>
      <c r="B51" s="56">
        <v>45712.0</v>
      </c>
      <c r="C51" s="56">
        <v>45708.0</v>
      </c>
      <c r="D51" s="57" t="s">
        <v>53</v>
      </c>
      <c r="E51" s="57">
        <f t="array" ref="E51">XLOOKUP(D51,RUC!$B$3:$B$110,RUC!$D$3:$D$110)</f>
        <v>10457401928</v>
      </c>
      <c r="G51" s="3">
        <v>39.0</v>
      </c>
      <c r="H51" s="57" t="s">
        <v>47</v>
      </c>
      <c r="I51" s="58">
        <v>2.95</v>
      </c>
      <c r="J51" s="58">
        <v>8.0</v>
      </c>
      <c r="K51" s="59">
        <f t="shared" si="1"/>
        <v>2.714</v>
      </c>
      <c r="L51" s="60">
        <v>0.427</v>
      </c>
      <c r="M51" s="60">
        <v>0.406</v>
      </c>
      <c r="N51" s="75">
        <v>0.406</v>
      </c>
      <c r="O51" s="60">
        <f t="shared" si="18"/>
        <v>0.406</v>
      </c>
      <c r="P51" s="63">
        <v>90.0</v>
      </c>
      <c r="Q51" s="57">
        <v>90.12</v>
      </c>
      <c r="R51" s="65">
        <v>2932.05</v>
      </c>
      <c r="S51" s="66">
        <f t="shared" si="28"/>
        <v>130</v>
      </c>
      <c r="U51" s="67">
        <v>120.0</v>
      </c>
      <c r="V51" s="67">
        <v>1.1023</v>
      </c>
      <c r="Y51" s="57">
        <v>20.0</v>
      </c>
      <c r="Z51" s="69">
        <f t="shared" si="29"/>
        <v>30</v>
      </c>
      <c r="AA51" s="70">
        <f t="shared" si="4"/>
        <v>50</v>
      </c>
      <c r="AB51" s="71">
        <f t="shared" si="5"/>
        <v>934.2246801</v>
      </c>
      <c r="AC51" s="71">
        <f>+(S51-T51)*V51-'data 1'!$F$4</f>
        <v>63.299</v>
      </c>
      <c r="AD51" s="71">
        <f t="shared" si="6"/>
        <v>1.588297919</v>
      </c>
      <c r="AE51" s="71">
        <f t="shared" si="7"/>
        <v>-14.885</v>
      </c>
      <c r="AF51" s="71">
        <f t="shared" si="8"/>
        <v>58.66287233</v>
      </c>
      <c r="AG51" s="72">
        <f t="shared" si="30"/>
        <v>125.6651702</v>
      </c>
      <c r="AH51" s="52">
        <f t="shared" si="10"/>
        <v>35.80700284</v>
      </c>
      <c r="AI51" s="73">
        <f t="shared" si="11"/>
        <v>79.72438827</v>
      </c>
      <c r="AJ51" s="73">
        <f t="shared" si="12"/>
        <v>34.00066847</v>
      </c>
      <c r="AK51" s="11"/>
      <c r="AL51" s="51">
        <f t="shared" si="13"/>
        <v>2535.485782</v>
      </c>
    </row>
    <row r="52" ht="15.0" customHeight="1">
      <c r="A52" s="92" t="s">
        <v>1699</v>
      </c>
      <c r="B52" s="56">
        <v>45716.0</v>
      </c>
      <c r="C52" s="56">
        <v>45708.0</v>
      </c>
      <c r="D52" s="57" t="s">
        <v>225</v>
      </c>
      <c r="E52" s="57">
        <f t="array" ref="E52">XLOOKUP(D52,RUC!$B$3:$B$110,RUC!$D$3:$D$110)</f>
        <v>10761932735</v>
      </c>
      <c r="G52" s="3">
        <v>215.0</v>
      </c>
      <c r="H52" s="57" t="s">
        <v>47</v>
      </c>
      <c r="I52" s="58">
        <v>18.57</v>
      </c>
      <c r="J52" s="58">
        <v>15.5</v>
      </c>
      <c r="K52" s="59">
        <f t="shared" si="1"/>
        <v>15.69165</v>
      </c>
      <c r="L52" s="60">
        <v>0.2</v>
      </c>
      <c r="M52" s="60">
        <v>0.188</v>
      </c>
      <c r="N52" s="60">
        <v>0.188</v>
      </c>
      <c r="O52" s="60">
        <f t="shared" si="18"/>
        <v>0.188</v>
      </c>
      <c r="P52" s="63">
        <v>90.0</v>
      </c>
      <c r="Q52" s="57">
        <v>90.14</v>
      </c>
      <c r="R52" s="65">
        <v>2932.05</v>
      </c>
      <c r="S52" s="66">
        <f t="shared" si="28"/>
        <v>100</v>
      </c>
      <c r="U52" s="67">
        <v>120.0</v>
      </c>
      <c r="V52" s="67">
        <v>1.1023</v>
      </c>
      <c r="Y52" s="57">
        <v>10.0</v>
      </c>
      <c r="Z52" s="69">
        <f t="shared" si="29"/>
        <v>30</v>
      </c>
      <c r="AA52" s="70">
        <f t="shared" si="4"/>
        <v>40</v>
      </c>
      <c r="AB52" s="71">
        <f t="shared" si="5"/>
        <v>370.1510834</v>
      </c>
      <c r="AC52" s="71">
        <f>+(S52-T52)*V52-'data 1'!$F$4</f>
        <v>30.23</v>
      </c>
      <c r="AD52" s="71">
        <f t="shared" si="6"/>
        <v>0.8679223602</v>
      </c>
      <c r="AE52" s="71">
        <f t="shared" si="7"/>
        <v>-25.908</v>
      </c>
      <c r="AF52" s="71">
        <f t="shared" si="8"/>
        <v>33.52908066</v>
      </c>
      <c r="AG52" s="72">
        <f t="shared" si="30"/>
        <v>55.71900302</v>
      </c>
      <c r="AH52" s="52">
        <f t="shared" si="10"/>
        <v>96.9896141</v>
      </c>
      <c r="AI52" s="73">
        <f t="shared" si="11"/>
        <v>37.34992094</v>
      </c>
      <c r="AJ52" s="73">
        <f t="shared" si="12"/>
        <v>91.02863715</v>
      </c>
      <c r="AK52" s="11"/>
      <c r="AL52" s="51">
        <f t="shared" si="13"/>
        <v>5808.281247</v>
      </c>
    </row>
    <row r="53" ht="15.0" customHeight="1">
      <c r="A53" s="92" t="s">
        <v>1700</v>
      </c>
      <c r="B53" s="56"/>
      <c r="C53" s="56">
        <v>45708.0</v>
      </c>
      <c r="D53" s="57" t="s">
        <v>53</v>
      </c>
      <c r="E53" s="57">
        <f t="array" ref="E53">XLOOKUP(D53,RUC!$B$3:$B$110,RUC!$D$3:$D$110)</f>
        <v>10457401928</v>
      </c>
      <c r="G53" s="3">
        <v>45.0</v>
      </c>
      <c r="H53" s="57" t="s">
        <v>47</v>
      </c>
      <c r="I53" s="58">
        <v>3.75</v>
      </c>
      <c r="J53" s="58">
        <v>18.65</v>
      </c>
      <c r="K53" s="59">
        <f t="shared" si="1"/>
        <v>3.050625</v>
      </c>
      <c r="L53" s="60">
        <v>0.07</v>
      </c>
      <c r="M53" s="60">
        <v>0.06</v>
      </c>
      <c r="N53" s="75">
        <v>0.082</v>
      </c>
      <c r="O53" s="60">
        <f t="shared" si="18"/>
        <v>0.071</v>
      </c>
      <c r="P53" s="63">
        <v>85.0</v>
      </c>
      <c r="Q53" s="57">
        <v>90.15</v>
      </c>
      <c r="R53" s="65">
        <v>2932.05</v>
      </c>
      <c r="S53" s="66">
        <f t="shared" si="28"/>
        <v>95</v>
      </c>
      <c r="U53" s="67">
        <v>120.0</v>
      </c>
      <c r="V53" s="67">
        <v>1.1023</v>
      </c>
      <c r="Y53" s="57">
        <v>20.0</v>
      </c>
      <c r="Z53" s="69">
        <f t="shared" si="29"/>
        <v>30</v>
      </c>
      <c r="AA53" s="70">
        <f t="shared" si="4"/>
        <v>50</v>
      </c>
      <c r="AB53" s="108">
        <v>0.0</v>
      </c>
      <c r="AC53" s="71">
        <f>+(S53-T53)*V53-'data 1'!$F$4</f>
        <v>24.7185</v>
      </c>
      <c r="AD53" s="71">
        <f t="shared" si="6"/>
        <v>11.17450039</v>
      </c>
      <c r="AE53" s="71">
        <f t="shared" si="7"/>
        <v>-14.885</v>
      </c>
      <c r="AF53" s="71">
        <f t="shared" si="8"/>
        <v>-2.794400028</v>
      </c>
      <c r="AG53" s="72">
        <f>+IF(D53="RONALD WILLIAN GARIBAY ESCUDERO",AC53+AD53+AE53+AF53+70,AC53+AD53+AE53+AF53)+70-53+27.23</f>
        <v>62.44360036</v>
      </c>
      <c r="AH53" s="52">
        <f t="shared" si="10"/>
        <v>6.600269446</v>
      </c>
      <c r="AI53" s="73">
        <f t="shared" si="11"/>
        <v>13.07392257</v>
      </c>
      <c r="AJ53" s="73">
        <f t="shared" si="12"/>
        <v>6.312118867</v>
      </c>
      <c r="AK53" s="11"/>
      <c r="AL53" s="51">
        <f t="shared" si="13"/>
        <v>0</v>
      </c>
    </row>
    <row r="54" ht="15.0" customHeight="1">
      <c r="A54" s="92" t="s">
        <v>1701</v>
      </c>
      <c r="B54" s="56">
        <v>45712.0</v>
      </c>
      <c r="C54" s="56">
        <v>45708.0</v>
      </c>
      <c r="D54" s="57" t="s">
        <v>53</v>
      </c>
      <c r="E54" s="57">
        <f t="array" ref="E54">XLOOKUP(D54,RUC!$B$3:$B$110,RUC!$D$3:$D$110)</f>
        <v>10457401928</v>
      </c>
      <c r="G54" s="3">
        <v>175.0</v>
      </c>
      <c r="H54" s="57" t="s">
        <v>47</v>
      </c>
      <c r="I54" s="58">
        <v>14.45</v>
      </c>
      <c r="J54" s="58">
        <v>20.5</v>
      </c>
      <c r="K54" s="59">
        <f t="shared" si="1"/>
        <v>11.48775</v>
      </c>
      <c r="L54" s="60">
        <v>0.113</v>
      </c>
      <c r="M54" s="60">
        <v>0.102</v>
      </c>
      <c r="N54" s="75">
        <v>0.128</v>
      </c>
      <c r="O54" s="60">
        <f t="shared" si="18"/>
        <v>0.115</v>
      </c>
      <c r="P54" s="63">
        <v>85.0</v>
      </c>
      <c r="Q54" s="57">
        <v>90.22</v>
      </c>
      <c r="R54" s="65">
        <v>2932.05</v>
      </c>
      <c r="S54" s="66">
        <f t="shared" si="28"/>
        <v>100</v>
      </c>
      <c r="U54" s="67">
        <v>120.0</v>
      </c>
      <c r="V54" s="67">
        <v>1.1023</v>
      </c>
      <c r="Y54" s="57">
        <v>20.0</v>
      </c>
      <c r="Z54" s="69">
        <f t="shared" si="29"/>
        <v>30</v>
      </c>
      <c r="AA54" s="70">
        <f t="shared" si="4"/>
        <v>50</v>
      </c>
      <c r="AB54" s="71">
        <f t="shared" ref="AB54:AB63" si="31">+((O54*P54*(R54-U54)/100)-S54-AA54+T54)*V54</f>
        <v>137.6528954</v>
      </c>
      <c r="AC54" s="71">
        <f>+(S54-T54)*V54-'data 1'!$F$4</f>
        <v>30.23</v>
      </c>
      <c r="AD54" s="71">
        <f t="shared" si="6"/>
        <v>18.28402441</v>
      </c>
      <c r="AE54" s="71">
        <f t="shared" si="7"/>
        <v>-14.885</v>
      </c>
      <c r="AF54" s="71">
        <f t="shared" si="8"/>
        <v>-5.593139667</v>
      </c>
      <c r="AG54" s="72">
        <f>+IF(D54="RONALD WILLIAN GARIBAY ESCUDERO",AC54+AD54+AE54+AF54+70,AC54+AD54+AE54+AF54)+70-53</f>
        <v>45.03588474</v>
      </c>
      <c r="AH54" s="52">
        <f t="shared" si="10"/>
        <v>40.15367609</v>
      </c>
      <c r="AI54" s="73">
        <f t="shared" si="11"/>
        <v>21.12143416</v>
      </c>
      <c r="AJ54" s="73">
        <f t="shared" si="12"/>
        <v>38.50000723</v>
      </c>
      <c r="AK54" s="11"/>
      <c r="AL54" s="51">
        <f t="shared" si="13"/>
        <v>1581.322049</v>
      </c>
    </row>
    <row r="55" ht="15.0" customHeight="1">
      <c r="A55" s="92" t="s">
        <v>1702</v>
      </c>
      <c r="B55" s="56">
        <v>45716.0</v>
      </c>
      <c r="C55" s="56">
        <v>45712.0</v>
      </c>
      <c r="D55" s="57" t="s">
        <v>45</v>
      </c>
      <c r="E55" s="57">
        <f t="array" ref="E55">XLOOKUP(D55,RUC!$B$3:$B$110,RUC!$D$3:$D$110)</f>
        <v>10416085884</v>
      </c>
      <c r="G55" s="3" t="s">
        <v>46</v>
      </c>
      <c r="H55" s="57" t="s">
        <v>47</v>
      </c>
      <c r="I55" s="58">
        <v>27.38</v>
      </c>
      <c r="J55" s="58">
        <v>16.35</v>
      </c>
      <c r="K55" s="59">
        <f t="shared" si="1"/>
        <v>22.90337</v>
      </c>
      <c r="L55" s="60">
        <v>0.187</v>
      </c>
      <c r="M55" s="60">
        <v>0.175</v>
      </c>
      <c r="N55" s="62">
        <v>0.221</v>
      </c>
      <c r="O55" s="60">
        <f t="shared" si="18"/>
        <v>0.198</v>
      </c>
      <c r="P55" s="63">
        <v>90.0</v>
      </c>
      <c r="Q55" s="57">
        <v>90.11</v>
      </c>
      <c r="R55" s="65">
        <v>2931.9</v>
      </c>
      <c r="S55" s="121">
        <v>85.0</v>
      </c>
      <c r="U55" s="67">
        <v>90.0</v>
      </c>
      <c r="V55" s="67">
        <v>1.1023</v>
      </c>
      <c r="Z55" s="77">
        <v>15.0</v>
      </c>
      <c r="AA55" s="70">
        <f t="shared" si="4"/>
        <v>15</v>
      </c>
      <c r="AB55" s="71">
        <f t="shared" si="31"/>
        <v>448.0040191</v>
      </c>
      <c r="AC55" s="71">
        <f>+(S55-T55)*V55-'data 1'!$F$4</f>
        <v>13.6955</v>
      </c>
      <c r="AD55" s="71">
        <f t="shared" si="6"/>
        <v>0.6443812443</v>
      </c>
      <c r="AE55" s="71">
        <f t="shared" si="7"/>
        <v>-53.4655</v>
      </c>
      <c r="AF55" s="71">
        <f t="shared" si="8"/>
        <v>-31.05090584</v>
      </c>
      <c r="AG55" s="72">
        <f>+IF(D55="RONALD WILLIAN GARIBAY ESCUDERO",AC55+AD55+AE55+AF55+70,AC55+AD55+AE55+AF55)+70</f>
        <v>-0.1765245978</v>
      </c>
      <c r="AH55" s="52">
        <f t="shared" si="10"/>
        <v>132.3192573</v>
      </c>
      <c r="AI55" s="73">
        <f t="shared" si="11"/>
        <v>29.36610001</v>
      </c>
      <c r="AJ55" s="73">
        <f t="shared" si="12"/>
        <v>139.9317154</v>
      </c>
      <c r="AK55" s="11"/>
      <c r="AL55" s="51">
        <f t="shared" si="13"/>
        <v>10260.80181</v>
      </c>
    </row>
    <row r="56" ht="15.0" customHeight="1">
      <c r="A56" s="92" t="s">
        <v>1703</v>
      </c>
      <c r="B56" s="95">
        <v>45717.0</v>
      </c>
      <c r="C56" s="56">
        <v>45714.0</v>
      </c>
      <c r="D56" s="57" t="s">
        <v>51</v>
      </c>
      <c r="E56" s="57" t="str">
        <f t="array" ref="E56">XLOOKUP(D56,RUC!$B$3:$B$110,RUC!$D$3:$D$110)</f>
        <v>#N/A</v>
      </c>
      <c r="G56" s="3">
        <v>57.0</v>
      </c>
      <c r="H56" s="57" t="s">
        <v>47</v>
      </c>
      <c r="I56" s="58">
        <v>5.51</v>
      </c>
      <c r="J56" s="58">
        <v>1.1</v>
      </c>
      <c r="K56" s="59">
        <f t="shared" si="1"/>
        <v>5.44939</v>
      </c>
      <c r="L56" s="60">
        <v>0.445</v>
      </c>
      <c r="M56" s="60">
        <v>0.418</v>
      </c>
      <c r="N56" s="75">
        <v>0.448</v>
      </c>
      <c r="O56" s="60">
        <f t="shared" si="18"/>
        <v>0.433</v>
      </c>
      <c r="P56" s="63">
        <v>90.0</v>
      </c>
      <c r="Q56" s="57">
        <v>89.91</v>
      </c>
      <c r="R56" s="65">
        <v>2901.0</v>
      </c>
      <c r="S56" s="76">
        <f t="shared" ref="S56:S58" si="32">IF((80+ROUNDDOWN(O56,1)*100)&lt;95,95,(80+ROUNDDOWN(O56,1)*100))</f>
        <v>120</v>
      </c>
      <c r="U56" s="67">
        <v>100.0</v>
      </c>
      <c r="V56" s="67">
        <v>1.1023</v>
      </c>
      <c r="Z56" s="69">
        <f t="shared" ref="Z56:Z58" si="33">IF(IF(D56="UNTUCA",IF(+((W56-3)*1.5+(X56-3)*3.1)&gt;0,+((W56-3)*1.5+(X56-3)*3.1),0),IF(+((W56-3)*1.5+(X56-3)*3.1)&gt;0,+((W56-3)*1.5+(X56-3)*3.1),0))&lt;30,30,IF(D56="UNTUCA",IF(+((W56-3)*1.5+(X56-3)*3.1)&gt;0,+((W56-3)*1.5+(X56-3)*3.1),0),IF(+((W56-3)*1.5+(X56-3)*3.1)&gt;0,+((W56-3)*1.5+(X56-3)*3.1),0)))</f>
        <v>30</v>
      </c>
      <c r="AA56" s="70">
        <f t="shared" si="4"/>
        <v>30</v>
      </c>
      <c r="AB56" s="71">
        <f t="shared" si="31"/>
        <v>1037.870234</v>
      </c>
      <c r="AC56" s="71">
        <f>+(S56-T56)*V56-'data 1'!$F$4</f>
        <v>52.276</v>
      </c>
      <c r="AD56" s="71">
        <f t="shared" si="6"/>
        <v>-1.236560691</v>
      </c>
      <c r="AE56" s="71">
        <f t="shared" si="7"/>
        <v>-36.931</v>
      </c>
      <c r="AF56" s="71">
        <f t="shared" si="8"/>
        <v>33.31211138</v>
      </c>
      <c r="AG56" s="72">
        <f t="shared" ref="AG56:AG58" si="34">+IF(D56="RONALD WILLIAN GARIBAY ESCUDERO",AC56+AD56+AE56+AF56+70,AC56+AD56+AE56+AF56)+70-53</f>
        <v>134.4205507</v>
      </c>
      <c r="AH56" s="52">
        <f t="shared" si="10"/>
        <v>74.75237034</v>
      </c>
      <c r="AI56" s="73">
        <f t="shared" si="11"/>
        <v>87.76490609</v>
      </c>
      <c r="AJ56" s="73">
        <f t="shared" si="12"/>
        <v>72.80938547</v>
      </c>
      <c r="AK56" s="11"/>
      <c r="AL56" s="51">
        <f t="shared" si="13"/>
        <v>5655.759676</v>
      </c>
    </row>
    <row r="57" ht="15.0" customHeight="1">
      <c r="A57" s="92" t="s">
        <v>1704</v>
      </c>
      <c r="B57" s="95">
        <v>45717.0</v>
      </c>
      <c r="C57" s="56">
        <v>45714.0</v>
      </c>
      <c r="D57" s="57" t="s">
        <v>51</v>
      </c>
      <c r="E57" s="57" t="str">
        <f t="array" ref="E57">XLOOKUP(D57,RUC!$B$3:$B$110,RUC!$D$3:$D$110)</f>
        <v>#N/A</v>
      </c>
      <c r="G57" s="3">
        <v>8.0</v>
      </c>
      <c r="H57" s="57" t="s">
        <v>47</v>
      </c>
      <c r="I57" s="58">
        <v>0.82</v>
      </c>
      <c r="J57" s="58">
        <v>1.2</v>
      </c>
      <c r="K57" s="59">
        <f t="shared" si="1"/>
        <v>0.81016</v>
      </c>
      <c r="L57" s="60">
        <v>0.45</v>
      </c>
      <c r="M57" s="60">
        <v>0.423</v>
      </c>
      <c r="N57" s="62">
        <v>0.423</v>
      </c>
      <c r="O57" s="60">
        <f t="shared" si="18"/>
        <v>0.423</v>
      </c>
      <c r="P57" s="63">
        <v>90.0</v>
      </c>
      <c r="Q57" s="57">
        <v>89.94</v>
      </c>
      <c r="R57" s="65">
        <v>2901.0</v>
      </c>
      <c r="S57" s="76">
        <f t="shared" si="32"/>
        <v>120</v>
      </c>
      <c r="U57" s="67">
        <v>100.0</v>
      </c>
      <c r="V57" s="67">
        <v>1.1023</v>
      </c>
      <c r="Z57" s="69">
        <f t="shared" si="33"/>
        <v>30</v>
      </c>
      <c r="AA57" s="70">
        <f t="shared" si="4"/>
        <v>30</v>
      </c>
      <c r="AB57" s="71">
        <f t="shared" si="31"/>
        <v>1010.082354</v>
      </c>
      <c r="AC57" s="71">
        <f>+(S57-T57)*V57-'data 1'!$F$4</f>
        <v>52.276</v>
      </c>
      <c r="AD57" s="71">
        <f t="shared" si="6"/>
        <v>-0.833636421</v>
      </c>
      <c r="AE57" s="71">
        <f t="shared" si="7"/>
        <v>-36.931</v>
      </c>
      <c r="AF57" s="71">
        <f t="shared" si="8"/>
        <v>74.9772597</v>
      </c>
      <c r="AG57" s="72">
        <f t="shared" si="34"/>
        <v>176.4886233</v>
      </c>
      <c r="AH57" s="52">
        <f t="shared" si="10"/>
        <v>11.24204355</v>
      </c>
      <c r="AI57" s="73">
        <f t="shared" si="11"/>
        <v>88.78064192</v>
      </c>
      <c r="AJ57" s="73">
        <f t="shared" si="12"/>
        <v>10.57457065</v>
      </c>
      <c r="AK57" s="11"/>
      <c r="AL57" s="51">
        <f t="shared" si="13"/>
        <v>818.3283196</v>
      </c>
    </row>
    <row r="58" ht="15.0" customHeight="1">
      <c r="A58" s="92" t="s">
        <v>1705</v>
      </c>
      <c r="B58" s="95">
        <v>45717.0</v>
      </c>
      <c r="C58" s="56">
        <v>45714.0</v>
      </c>
      <c r="D58" s="57" t="s">
        <v>51</v>
      </c>
      <c r="E58" s="57" t="str">
        <f t="array" ref="E58">XLOOKUP(D58,RUC!$B$3:$B$110,RUC!$D$3:$D$110)</f>
        <v>#N/A</v>
      </c>
      <c r="G58" s="3">
        <v>23.0</v>
      </c>
      <c r="H58" s="57" t="s">
        <v>47</v>
      </c>
      <c r="I58" s="58">
        <v>2.77</v>
      </c>
      <c r="J58" s="58">
        <v>2.25</v>
      </c>
      <c r="K58" s="59">
        <f t="shared" si="1"/>
        <v>2.707675</v>
      </c>
      <c r="L58" s="60">
        <v>0.133</v>
      </c>
      <c r="M58" s="60">
        <v>0.123</v>
      </c>
      <c r="N58" s="75">
        <v>0.149</v>
      </c>
      <c r="O58" s="60">
        <f t="shared" si="18"/>
        <v>0.136</v>
      </c>
      <c r="P58" s="63">
        <v>90.0</v>
      </c>
      <c r="Q58" s="57">
        <v>90.27</v>
      </c>
      <c r="R58" s="65">
        <v>2901.0</v>
      </c>
      <c r="S58" s="76">
        <f t="shared" si="32"/>
        <v>95</v>
      </c>
      <c r="U58" s="67">
        <v>100.0</v>
      </c>
      <c r="V58" s="67">
        <v>1.1023</v>
      </c>
      <c r="Z58" s="69">
        <f t="shared" si="33"/>
        <v>30</v>
      </c>
      <c r="AA58" s="70">
        <f t="shared" si="4"/>
        <v>30</v>
      </c>
      <c r="AB58" s="71">
        <f t="shared" si="31"/>
        <v>240.1276775</v>
      </c>
      <c r="AC58" s="71">
        <f>+(S58-T58)*V58-'data 1'!$F$4</f>
        <v>24.7185</v>
      </c>
      <c r="AD58" s="71">
        <f t="shared" si="6"/>
        <v>1.10873644</v>
      </c>
      <c r="AE58" s="71">
        <f t="shared" si="7"/>
        <v>-36.931</v>
      </c>
      <c r="AF58" s="71">
        <f t="shared" si="8"/>
        <v>-8.361373303</v>
      </c>
      <c r="AG58" s="72">
        <f t="shared" si="34"/>
        <v>67.53486314</v>
      </c>
      <c r="AH58" s="52">
        <f t="shared" si="10"/>
        <v>11.14552904</v>
      </c>
      <c r="AI58" s="73">
        <f t="shared" si="11"/>
        <v>26.33588804</v>
      </c>
      <c r="AJ58" s="73">
        <f t="shared" si="12"/>
        <v>11.36284342</v>
      </c>
      <c r="AK58" s="11"/>
      <c r="AL58" s="51">
        <f t="shared" si="13"/>
        <v>650.1877092</v>
      </c>
    </row>
    <row r="59" ht="15.0" customHeight="1">
      <c r="A59" s="92" t="s">
        <v>1706</v>
      </c>
      <c r="B59" s="56">
        <v>45717.0</v>
      </c>
      <c r="C59" s="56">
        <v>45715.0</v>
      </c>
      <c r="D59" s="57" t="s">
        <v>74</v>
      </c>
      <c r="E59" s="57">
        <f t="array" ref="E59">XLOOKUP(D59,RUC!$B$3:$B$110,RUC!$D$3:$D$110)</f>
        <v>10082235774</v>
      </c>
      <c r="G59" s="3">
        <v>48.0</v>
      </c>
      <c r="H59" s="57" t="s">
        <v>47</v>
      </c>
      <c r="I59" s="58">
        <v>4.96</v>
      </c>
      <c r="J59" s="58">
        <v>2.5</v>
      </c>
      <c r="K59" s="59">
        <f t="shared" si="1"/>
        <v>4.836</v>
      </c>
      <c r="L59" s="60">
        <v>0.402</v>
      </c>
      <c r="M59" s="60">
        <v>0.396</v>
      </c>
      <c r="N59" s="62">
        <v>0.396</v>
      </c>
      <c r="O59" s="60">
        <f t="shared" si="18"/>
        <v>0.396</v>
      </c>
      <c r="P59" s="63">
        <v>90.0</v>
      </c>
      <c r="Q59" s="57">
        <v>90.09</v>
      </c>
      <c r="R59" s="65">
        <v>2880.8</v>
      </c>
      <c r="S59" s="76">
        <v>110.0</v>
      </c>
      <c r="U59" s="87">
        <v>80.0</v>
      </c>
      <c r="V59" s="67">
        <v>1.1023</v>
      </c>
      <c r="Z59" s="77">
        <v>10.0</v>
      </c>
      <c r="AA59" s="70">
        <f t="shared" si="4"/>
        <v>10</v>
      </c>
      <c r="AB59" s="71">
        <f t="shared" si="31"/>
        <v>968.0455038</v>
      </c>
      <c r="AC59" s="71">
        <f>+(S59-T59)*V59-'data 1'!$F$4</f>
        <v>41.253</v>
      </c>
      <c r="AD59" s="71">
        <f t="shared" si="6"/>
        <v>1.116993042</v>
      </c>
      <c r="AE59" s="71">
        <f t="shared" si="7"/>
        <v>-58.977</v>
      </c>
      <c r="AF59" s="71">
        <f t="shared" si="8"/>
        <v>16.68820947</v>
      </c>
      <c r="AG59" s="72">
        <f t="shared" ref="AG59:AG63" si="35">+IF(D59="RONALD WILLIAN GARIBAY ESCUDERO",AC59+AD59+AE59+AF59+70,AC59+AD59+AE59+AF59)+70</f>
        <v>70.08120252</v>
      </c>
      <c r="AH59" s="52">
        <f t="shared" si="10"/>
        <v>60.04792456</v>
      </c>
      <c r="AI59" s="73">
        <f t="shared" si="11"/>
        <v>79.52282167</v>
      </c>
      <c r="AJ59" s="73">
        <f t="shared" si="12"/>
        <v>59.09259429</v>
      </c>
      <c r="AK59" s="11"/>
      <c r="AL59" s="51">
        <f t="shared" si="13"/>
        <v>4681.468056</v>
      </c>
    </row>
    <row r="60" ht="15.0" customHeight="1">
      <c r="A60" s="92" t="s">
        <v>1707</v>
      </c>
      <c r="B60" s="56">
        <v>45717.0</v>
      </c>
      <c r="C60" s="56">
        <v>45715.0</v>
      </c>
      <c r="D60" s="57" t="s">
        <v>74</v>
      </c>
      <c r="E60" s="57">
        <f t="array" ref="E60">XLOOKUP(D60,RUC!$B$3:$B$110,RUC!$D$3:$D$110)</f>
        <v>10082235774</v>
      </c>
      <c r="G60" s="3">
        <v>47.0</v>
      </c>
      <c r="H60" s="57" t="s">
        <v>47</v>
      </c>
      <c r="I60" s="58">
        <v>4.47</v>
      </c>
      <c r="J60" s="58">
        <v>2.1</v>
      </c>
      <c r="K60" s="59">
        <f t="shared" si="1"/>
        <v>4.37613</v>
      </c>
      <c r="L60" s="60">
        <v>0.25</v>
      </c>
      <c r="M60" s="60">
        <v>0.246</v>
      </c>
      <c r="N60" s="62">
        <v>0.246</v>
      </c>
      <c r="O60" s="60">
        <f t="shared" si="18"/>
        <v>0.246</v>
      </c>
      <c r="P60" s="63">
        <v>85.0</v>
      </c>
      <c r="Q60" s="57">
        <v>90.21</v>
      </c>
      <c r="R60" s="65">
        <v>2880.8</v>
      </c>
      <c r="S60" s="76">
        <v>105.0</v>
      </c>
      <c r="U60" s="87">
        <v>80.0</v>
      </c>
      <c r="V60" s="67">
        <v>1.1023</v>
      </c>
      <c r="Z60" s="77">
        <v>10.0</v>
      </c>
      <c r="AA60" s="70">
        <f t="shared" si="4"/>
        <v>10</v>
      </c>
      <c r="AB60" s="71">
        <f t="shared" si="31"/>
        <v>518.7944967</v>
      </c>
      <c r="AC60" s="71">
        <f>+(S60-T60)*V60-'data 1'!$F$4</f>
        <v>35.7415</v>
      </c>
      <c r="AD60" s="71">
        <f t="shared" si="6"/>
        <v>40.21236697</v>
      </c>
      <c r="AE60" s="71">
        <f t="shared" si="7"/>
        <v>-58.977</v>
      </c>
      <c r="AF60" s="71">
        <f t="shared" si="8"/>
        <v>11.14029213</v>
      </c>
      <c r="AG60" s="72">
        <f t="shared" si="35"/>
        <v>98.11715909</v>
      </c>
      <c r="AH60" s="52">
        <f t="shared" si="10"/>
        <v>33.83716551</v>
      </c>
      <c r="AI60" s="73">
        <f t="shared" si="11"/>
        <v>49.52036453</v>
      </c>
      <c r="AJ60" s="73">
        <f t="shared" si="12"/>
        <v>31.37280261</v>
      </c>
      <c r="AK60" s="11"/>
      <c r="AL60" s="51">
        <f t="shared" si="13"/>
        <v>2270.312161</v>
      </c>
    </row>
    <row r="61" ht="15.0" customHeight="1">
      <c r="A61" s="92" t="s">
        <v>1708</v>
      </c>
      <c r="B61" s="56">
        <v>45717.0</v>
      </c>
      <c r="C61" s="56">
        <v>45715.0</v>
      </c>
      <c r="D61" s="57" t="s">
        <v>74</v>
      </c>
      <c r="E61" s="57">
        <f t="array" ref="E61">XLOOKUP(D61,RUC!$B$3:$B$110,RUC!$D$3:$D$110)</f>
        <v>10082235774</v>
      </c>
      <c r="G61" s="3">
        <v>48.0</v>
      </c>
      <c r="H61" s="57" t="s">
        <v>47</v>
      </c>
      <c r="I61" s="58">
        <v>4.54</v>
      </c>
      <c r="J61" s="58">
        <v>2.1</v>
      </c>
      <c r="K61" s="59">
        <f t="shared" si="1"/>
        <v>4.44466</v>
      </c>
      <c r="L61" s="60">
        <v>0.297</v>
      </c>
      <c r="M61" s="60">
        <v>0.293</v>
      </c>
      <c r="N61" s="62">
        <v>0.293</v>
      </c>
      <c r="O61" s="60">
        <f t="shared" si="18"/>
        <v>0.293</v>
      </c>
      <c r="P61" s="63">
        <v>90.0</v>
      </c>
      <c r="Q61" s="57">
        <v>90.15</v>
      </c>
      <c r="R61" s="65">
        <v>2880.8</v>
      </c>
      <c r="S61" s="76">
        <v>105.0</v>
      </c>
      <c r="U61" s="87">
        <v>80.0</v>
      </c>
      <c r="V61" s="67">
        <v>1.1023</v>
      </c>
      <c r="Z61" s="77">
        <v>10.0</v>
      </c>
      <c r="AA61" s="70">
        <f t="shared" si="4"/>
        <v>10</v>
      </c>
      <c r="AB61" s="71">
        <f t="shared" si="31"/>
        <v>687.3622692</v>
      </c>
      <c r="AC61" s="71">
        <f>+(S61-T61)*V61-'data 1'!$F$4</f>
        <v>35.7415</v>
      </c>
      <c r="AD61" s="71">
        <f t="shared" si="6"/>
        <v>1.37540188</v>
      </c>
      <c r="AE61" s="71">
        <f t="shared" si="7"/>
        <v>-58.977</v>
      </c>
      <c r="AF61" s="71">
        <f t="shared" si="8"/>
        <v>11.13288256</v>
      </c>
      <c r="AG61" s="72">
        <f t="shared" si="35"/>
        <v>59.27278443</v>
      </c>
      <c r="AH61" s="52">
        <f t="shared" si="10"/>
        <v>40.80090482</v>
      </c>
      <c r="AI61" s="73">
        <f t="shared" si="11"/>
        <v>58.79106424</v>
      </c>
      <c r="AJ61" s="73">
        <f t="shared" si="12"/>
        <v>40.18442364</v>
      </c>
      <c r="AK61" s="11"/>
      <c r="AL61" s="51">
        <f t="shared" si="13"/>
        <v>3055.091583</v>
      </c>
    </row>
    <row r="62" ht="15.0" customHeight="1">
      <c r="A62" s="92" t="s">
        <v>1709</v>
      </c>
      <c r="B62" s="56">
        <v>45717.0</v>
      </c>
      <c r="C62" s="56">
        <v>45715.0</v>
      </c>
      <c r="D62" s="57" t="s">
        <v>74</v>
      </c>
      <c r="E62" s="57">
        <f t="array" ref="E62">XLOOKUP(D62,RUC!$B$3:$B$110,RUC!$D$3:$D$110)</f>
        <v>10082235774</v>
      </c>
      <c r="G62" s="3">
        <v>48.0</v>
      </c>
      <c r="H62" s="57" t="s">
        <v>47</v>
      </c>
      <c r="I62" s="58">
        <v>4.66</v>
      </c>
      <c r="J62" s="58">
        <v>2.3</v>
      </c>
      <c r="K62" s="59">
        <f t="shared" si="1"/>
        <v>4.55282</v>
      </c>
      <c r="L62" s="60">
        <v>0.305</v>
      </c>
      <c r="M62" s="60">
        <v>0.3</v>
      </c>
      <c r="N62" s="62">
        <v>0.3</v>
      </c>
      <c r="O62" s="60">
        <f t="shared" si="18"/>
        <v>0.3</v>
      </c>
      <c r="P62" s="63">
        <v>90.0</v>
      </c>
      <c r="Q62" s="57">
        <v>90.17</v>
      </c>
      <c r="R62" s="65">
        <v>2880.8</v>
      </c>
      <c r="S62" s="76">
        <v>110.0</v>
      </c>
      <c r="U62" s="87">
        <v>80.0</v>
      </c>
      <c r="V62" s="67">
        <v>1.1023</v>
      </c>
      <c r="Z62" s="77">
        <v>10.0</v>
      </c>
      <c r="AA62" s="70">
        <f t="shared" si="4"/>
        <v>10</v>
      </c>
      <c r="AB62" s="71">
        <f t="shared" si="31"/>
        <v>701.3008968</v>
      </c>
      <c r="AC62" s="71">
        <f>+(S62-T62)*V62-'data 1'!$F$4</f>
        <v>41.253</v>
      </c>
      <c r="AD62" s="71">
        <f t="shared" si="6"/>
        <v>1.600776374</v>
      </c>
      <c r="AE62" s="71">
        <f t="shared" si="7"/>
        <v>-58.977</v>
      </c>
      <c r="AF62" s="71">
        <f t="shared" si="8"/>
        <v>13.91919052</v>
      </c>
      <c r="AG62" s="72">
        <f t="shared" si="35"/>
        <v>67.79596689</v>
      </c>
      <c r="AH62" s="52">
        <f t="shared" si="10"/>
        <v>42.92906788</v>
      </c>
      <c r="AI62" s="73">
        <f t="shared" si="11"/>
        <v>60.3880562</v>
      </c>
      <c r="AJ62" s="73">
        <f t="shared" si="12"/>
        <v>42.14570411</v>
      </c>
      <c r="AK62" s="11"/>
      <c r="AL62" s="51">
        <f t="shared" si="13"/>
        <v>3192.896749</v>
      </c>
    </row>
    <row r="63" ht="15.0" customHeight="1">
      <c r="A63" s="92" t="s">
        <v>1710</v>
      </c>
      <c r="B63" s="56">
        <v>45717.0</v>
      </c>
      <c r="C63" s="56">
        <v>45715.0</v>
      </c>
      <c r="D63" s="57" t="s">
        <v>74</v>
      </c>
      <c r="E63" s="57">
        <f t="array" ref="E63">XLOOKUP(D63,RUC!$B$3:$B$110,RUC!$D$3:$D$110)</f>
        <v>10082235774</v>
      </c>
      <c r="G63" s="3">
        <v>41.0</v>
      </c>
      <c r="H63" s="57" t="s">
        <v>47</v>
      </c>
      <c r="I63" s="58">
        <v>3.57</v>
      </c>
      <c r="J63" s="58">
        <v>2.45</v>
      </c>
      <c r="K63" s="59">
        <f t="shared" si="1"/>
        <v>3.482535</v>
      </c>
      <c r="L63" s="60">
        <v>0.212</v>
      </c>
      <c r="M63" s="60">
        <v>0.209</v>
      </c>
      <c r="N63" s="62">
        <v>0.209</v>
      </c>
      <c r="O63" s="60">
        <f t="shared" si="18"/>
        <v>0.209</v>
      </c>
      <c r="P63" s="63">
        <v>85.0</v>
      </c>
      <c r="Q63" s="57">
        <v>90.23</v>
      </c>
      <c r="R63" s="65">
        <v>2880.8</v>
      </c>
      <c r="S63" s="76">
        <v>105.0</v>
      </c>
      <c r="U63" s="87">
        <v>80.0</v>
      </c>
      <c r="V63" s="67">
        <v>1.1023</v>
      </c>
      <c r="Z63" s="77">
        <v>10.0</v>
      </c>
      <c r="AA63" s="70">
        <f t="shared" si="4"/>
        <v>10</v>
      </c>
      <c r="AB63" s="71">
        <f t="shared" si="31"/>
        <v>421.6982249</v>
      </c>
      <c r="AC63" s="71">
        <f>+(S63-T63)*V63-'data 1'!$F$4</f>
        <v>35.7415</v>
      </c>
      <c r="AD63" s="71">
        <f t="shared" si="6"/>
        <v>34.23098963</v>
      </c>
      <c r="AE63" s="71">
        <f t="shared" si="7"/>
        <v>-58.977</v>
      </c>
      <c r="AF63" s="71">
        <f t="shared" si="8"/>
        <v>8.357071489</v>
      </c>
      <c r="AG63" s="72">
        <f t="shared" si="35"/>
        <v>89.35256112</v>
      </c>
      <c r="AH63" s="52">
        <f t="shared" si="10"/>
        <v>22.83975166</v>
      </c>
      <c r="AI63" s="73">
        <f t="shared" si="11"/>
        <v>42.00257924</v>
      </c>
      <c r="AJ63" s="73">
        <f t="shared" si="12"/>
        <v>21.21142135</v>
      </c>
      <c r="AK63" s="11"/>
      <c r="AL63" s="51">
        <f t="shared" si="13"/>
        <v>1468.578828</v>
      </c>
    </row>
    <row r="64" ht="15.0" customHeight="1">
      <c r="B64" s="56"/>
      <c r="C64" s="56"/>
      <c r="G64" s="3"/>
      <c r="L64" s="60"/>
      <c r="M64" s="60"/>
      <c r="N64" s="62"/>
      <c r="R64" s="65"/>
      <c r="AG64" s="91"/>
    </row>
    <row r="65" ht="15.0" customHeight="1">
      <c r="B65" s="56"/>
      <c r="C65" s="56"/>
      <c r="G65" s="3"/>
      <c r="L65" s="60"/>
      <c r="M65" s="60"/>
      <c r="N65" s="62"/>
      <c r="R65" s="65"/>
      <c r="AG65" s="91"/>
    </row>
    <row r="66" ht="15.0" customHeight="1">
      <c r="B66" s="56"/>
      <c r="C66" s="56"/>
      <c r="G66" s="3"/>
      <c r="L66" s="60"/>
      <c r="M66" s="60"/>
      <c r="N66" s="62"/>
      <c r="R66" s="65"/>
      <c r="AG66" s="91"/>
    </row>
    <row r="67" ht="15.0" customHeight="1">
      <c r="B67" s="56"/>
      <c r="C67" s="56"/>
      <c r="G67" s="3"/>
      <c r="L67" s="60"/>
      <c r="M67" s="60"/>
      <c r="N67" s="62"/>
      <c r="R67" s="65"/>
      <c r="AG67" s="91"/>
    </row>
    <row r="68" ht="15.0" customHeight="1">
      <c r="B68" s="56"/>
      <c r="C68" s="56"/>
      <c r="G68" s="3"/>
      <c r="L68" s="60"/>
      <c r="M68" s="60"/>
      <c r="N68" s="62"/>
      <c r="R68" s="65"/>
      <c r="AG68" s="91"/>
    </row>
    <row r="69" ht="15.0" customHeight="1">
      <c r="B69" s="56"/>
      <c r="C69" s="56"/>
      <c r="D69" s="65"/>
      <c r="G69" s="3"/>
      <c r="L69" s="60"/>
      <c r="M69" s="60"/>
      <c r="N69" s="62"/>
      <c r="R69" s="65"/>
      <c r="AG69" s="91"/>
    </row>
    <row r="70" ht="15.0" customHeight="1">
      <c r="B70" s="56"/>
      <c r="C70" s="56"/>
      <c r="G70" s="3"/>
      <c r="L70" s="60"/>
      <c r="M70" s="60"/>
      <c r="N70" s="62"/>
      <c r="R70" s="65"/>
      <c r="AG70" s="91"/>
    </row>
    <row r="71" ht="15.0" customHeight="1">
      <c r="B71" s="56"/>
      <c r="C71" s="56"/>
      <c r="G71" s="3"/>
      <c r="L71" s="60"/>
      <c r="M71" s="60"/>
      <c r="N71" s="62"/>
      <c r="R71" s="65"/>
      <c r="AG71" s="91"/>
    </row>
    <row r="72" ht="15.0" customHeight="1">
      <c r="B72" s="56"/>
      <c r="C72" s="56"/>
      <c r="G72" s="3"/>
      <c r="L72" s="60"/>
      <c r="M72" s="60"/>
      <c r="N72" s="62"/>
      <c r="R72" s="65"/>
      <c r="AG72" s="91"/>
    </row>
    <row r="73" ht="15.0" customHeight="1">
      <c r="B73" s="56"/>
      <c r="C73" s="56"/>
      <c r="G73" s="3"/>
      <c r="L73" s="60"/>
      <c r="M73" s="60"/>
      <c r="N73" s="62"/>
      <c r="R73" s="65"/>
      <c r="AG73" s="91"/>
    </row>
    <row r="74" ht="15.0" customHeight="1">
      <c r="B74" s="56"/>
      <c r="C74" s="56"/>
      <c r="G74" s="3"/>
      <c r="L74" s="60"/>
      <c r="M74" s="60"/>
      <c r="N74" s="62"/>
      <c r="R74" s="65"/>
      <c r="AG74" s="91"/>
    </row>
    <row r="75" ht="15.0" customHeight="1">
      <c r="B75" s="56"/>
      <c r="C75" s="56"/>
      <c r="G75" s="3"/>
      <c r="L75" s="60"/>
      <c r="M75" s="60"/>
      <c r="N75" s="62"/>
      <c r="R75" s="65"/>
      <c r="AG75" s="91"/>
    </row>
    <row r="76" ht="15.0" customHeight="1">
      <c r="B76" s="56"/>
      <c r="C76" s="56"/>
      <c r="G76" s="3"/>
      <c r="L76" s="60"/>
      <c r="M76" s="60"/>
      <c r="N76" s="62"/>
      <c r="R76" s="65"/>
      <c r="AG76" s="91"/>
    </row>
    <row r="77" ht="15.0" customHeight="1">
      <c r="B77" s="56"/>
      <c r="C77" s="56"/>
      <c r="G77" s="3"/>
      <c r="L77" s="60"/>
      <c r="M77" s="60"/>
      <c r="N77" s="62"/>
      <c r="R77" s="65"/>
      <c r="AG77" s="91"/>
    </row>
    <row r="78" ht="15.0" customHeight="1">
      <c r="B78" s="56"/>
      <c r="C78" s="56"/>
      <c r="G78" s="3"/>
      <c r="L78" s="60"/>
      <c r="M78" s="60"/>
      <c r="N78" s="62"/>
      <c r="R78" s="65"/>
      <c r="AG78" s="91"/>
    </row>
    <row r="79" ht="15.0" customHeight="1">
      <c r="B79" s="56"/>
      <c r="C79" s="56"/>
      <c r="G79" s="3"/>
      <c r="L79" s="60"/>
      <c r="M79" s="60"/>
      <c r="N79" s="62"/>
      <c r="R79" s="65"/>
      <c r="AG79" s="91"/>
    </row>
    <row r="80" ht="15.0" customHeight="1">
      <c r="B80" s="56"/>
      <c r="C80" s="56"/>
      <c r="G80" s="3"/>
      <c r="L80" s="60"/>
      <c r="M80" s="60"/>
      <c r="N80" s="62"/>
      <c r="R80" s="65"/>
      <c r="AG80" s="91"/>
    </row>
    <row r="81" ht="15.0" customHeight="1">
      <c r="B81" s="56"/>
      <c r="C81" s="56"/>
      <c r="G81" s="3"/>
      <c r="L81" s="60"/>
      <c r="M81" s="60"/>
      <c r="N81" s="62"/>
      <c r="R81" s="65"/>
      <c r="AG81" s="91"/>
    </row>
    <row r="82" ht="15.0" customHeight="1">
      <c r="B82" s="56"/>
      <c r="C82" s="56"/>
      <c r="G82" s="3"/>
      <c r="L82" s="60"/>
      <c r="M82" s="60"/>
      <c r="N82" s="62"/>
      <c r="R82" s="65"/>
      <c r="AG82" s="91"/>
    </row>
    <row r="83" ht="15.0" customHeight="1">
      <c r="B83" s="56"/>
      <c r="C83" s="56"/>
      <c r="G83" s="3"/>
      <c r="L83" s="60"/>
      <c r="M83" s="60"/>
      <c r="N83" s="62"/>
      <c r="R83" s="65"/>
      <c r="AG83" s="91"/>
    </row>
    <row r="84" ht="15.0" customHeight="1">
      <c r="B84" s="56"/>
      <c r="C84" s="56"/>
      <c r="G84" s="3"/>
      <c r="L84" s="60"/>
      <c r="M84" s="60"/>
      <c r="N84" s="62"/>
      <c r="R84" s="65"/>
      <c r="AG84" s="91"/>
    </row>
    <row r="85" ht="15.0" customHeight="1">
      <c r="B85" s="56"/>
      <c r="C85" s="56"/>
      <c r="G85" s="3"/>
      <c r="L85" s="60"/>
      <c r="M85" s="60"/>
      <c r="N85" s="62"/>
      <c r="R85" s="65"/>
      <c r="AG85" s="91"/>
    </row>
    <row r="86" ht="15.0" customHeight="1">
      <c r="B86" s="56"/>
      <c r="C86" s="56"/>
      <c r="G86" s="3"/>
      <c r="L86" s="60"/>
      <c r="M86" s="60"/>
      <c r="N86" s="62"/>
      <c r="R86" s="65"/>
      <c r="AG86" s="91"/>
    </row>
    <row r="87" ht="15.0" customHeight="1">
      <c r="B87" s="56"/>
      <c r="C87" s="56"/>
      <c r="G87" s="3"/>
      <c r="L87" s="60"/>
      <c r="M87" s="60"/>
      <c r="N87" s="62"/>
      <c r="R87" s="65"/>
      <c r="AG87" s="91"/>
    </row>
    <row r="88" ht="15.0" customHeight="1">
      <c r="B88" s="56"/>
      <c r="C88" s="56"/>
      <c r="G88" s="3"/>
      <c r="L88" s="60"/>
      <c r="M88" s="60"/>
      <c r="N88" s="62"/>
      <c r="R88" s="65"/>
      <c r="AG88" s="91"/>
    </row>
    <row r="89" ht="15.0" customHeight="1">
      <c r="B89" s="56"/>
      <c r="C89" s="56"/>
      <c r="G89" s="3"/>
      <c r="L89" s="60"/>
      <c r="M89" s="60"/>
      <c r="N89" s="62"/>
      <c r="R89" s="65"/>
      <c r="AG89" s="91"/>
    </row>
    <row r="90" ht="15.0" customHeight="1">
      <c r="B90" s="56"/>
      <c r="C90" s="56"/>
      <c r="G90" s="3"/>
      <c r="L90" s="60"/>
      <c r="M90" s="60"/>
      <c r="N90" s="62"/>
      <c r="R90" s="65"/>
      <c r="AG90" s="91"/>
    </row>
    <row r="91" ht="15.0" customHeight="1">
      <c r="B91" s="56"/>
      <c r="C91" s="56"/>
      <c r="G91" s="3"/>
      <c r="L91" s="60"/>
      <c r="M91" s="60"/>
      <c r="N91" s="62"/>
      <c r="R91" s="65"/>
      <c r="AG91" s="91"/>
    </row>
    <row r="92" ht="15.0" customHeight="1">
      <c r="B92" s="56"/>
      <c r="C92" s="56"/>
      <c r="G92" s="3"/>
      <c r="L92" s="60"/>
      <c r="M92" s="60"/>
      <c r="N92" s="62"/>
      <c r="R92" s="65"/>
      <c r="AG92" s="91"/>
    </row>
    <row r="93" ht="15.0" customHeight="1">
      <c r="B93" s="56"/>
      <c r="C93" s="56"/>
      <c r="G93" s="3"/>
      <c r="L93" s="60"/>
      <c r="M93" s="60"/>
      <c r="N93" s="62"/>
      <c r="R93" s="65"/>
      <c r="AG93" s="91"/>
    </row>
    <row r="94" ht="15.0" customHeight="1">
      <c r="B94" s="56"/>
      <c r="C94" s="56"/>
      <c r="G94" s="3"/>
      <c r="L94" s="60"/>
      <c r="M94" s="60"/>
      <c r="N94" s="62"/>
      <c r="R94" s="65"/>
      <c r="AG94" s="91"/>
    </row>
    <row r="95" ht="15.0" customHeight="1">
      <c r="B95" s="56"/>
      <c r="C95" s="56"/>
      <c r="G95" s="3"/>
      <c r="L95" s="60"/>
      <c r="M95" s="60"/>
      <c r="N95" s="62"/>
      <c r="R95" s="65"/>
      <c r="AG95" s="91"/>
    </row>
    <row r="96" ht="15.0" customHeight="1">
      <c r="B96" s="56"/>
      <c r="C96" s="56"/>
      <c r="G96" s="3"/>
      <c r="L96" s="60"/>
      <c r="M96" s="60"/>
      <c r="N96" s="62"/>
      <c r="R96" s="65"/>
      <c r="AG96" s="91"/>
    </row>
    <row r="97" ht="15.0" customHeight="1">
      <c r="B97" s="56"/>
      <c r="C97" s="56"/>
      <c r="G97" s="3"/>
      <c r="L97" s="60"/>
      <c r="M97" s="60"/>
      <c r="N97" s="62"/>
      <c r="R97" s="65"/>
      <c r="AG97" s="91"/>
    </row>
    <row r="98" ht="15.0" customHeight="1">
      <c r="B98" s="56"/>
      <c r="C98" s="56"/>
      <c r="G98" s="3"/>
      <c r="L98" s="60"/>
      <c r="M98" s="60"/>
      <c r="N98" s="62"/>
      <c r="R98" s="65"/>
      <c r="AG98" s="91"/>
    </row>
    <row r="99" ht="15.0" customHeight="1">
      <c r="B99" s="56"/>
      <c r="C99" s="56"/>
      <c r="G99" s="3"/>
      <c r="L99" s="60"/>
      <c r="M99" s="60"/>
      <c r="N99" s="62"/>
      <c r="R99" s="65"/>
      <c r="AG99" s="91"/>
    </row>
    <row r="100" ht="15.0" customHeight="1">
      <c r="B100" s="56"/>
      <c r="C100" s="56"/>
      <c r="G100" s="3"/>
      <c r="L100" s="60"/>
      <c r="M100" s="60"/>
      <c r="N100" s="62"/>
      <c r="R100" s="65"/>
      <c r="AG100" s="91"/>
    </row>
    <row r="101" ht="15.0" customHeight="1">
      <c r="B101" s="56"/>
      <c r="C101" s="56"/>
      <c r="G101" s="3"/>
      <c r="L101" s="60"/>
      <c r="M101" s="60"/>
      <c r="N101" s="62"/>
      <c r="R101" s="65"/>
      <c r="AG101" s="91"/>
    </row>
    <row r="102" ht="15.0" customHeight="1">
      <c r="B102" s="56"/>
      <c r="C102" s="56"/>
      <c r="G102" s="3"/>
      <c r="L102" s="60"/>
      <c r="M102" s="60"/>
      <c r="N102" s="62"/>
      <c r="R102" s="65"/>
      <c r="AG102" s="91"/>
    </row>
    <row r="103" ht="15.0" customHeight="1">
      <c r="B103" s="56"/>
      <c r="C103" s="56"/>
      <c r="G103" s="3"/>
      <c r="L103" s="60"/>
      <c r="M103" s="60"/>
      <c r="N103" s="62"/>
      <c r="R103" s="65"/>
      <c r="AG103" s="91"/>
    </row>
    <row r="104" ht="15.0" customHeight="1">
      <c r="B104" s="56"/>
      <c r="C104" s="56"/>
      <c r="G104" s="3"/>
      <c r="L104" s="60"/>
      <c r="M104" s="60"/>
      <c r="N104" s="62"/>
      <c r="R104" s="65"/>
      <c r="AG104" s="91"/>
    </row>
    <row r="105" ht="15.0" customHeight="1">
      <c r="B105" s="56"/>
      <c r="C105" s="56"/>
      <c r="G105" s="3"/>
      <c r="L105" s="60"/>
      <c r="M105" s="60"/>
      <c r="N105" s="62"/>
      <c r="R105" s="65"/>
      <c r="AG105" s="91"/>
    </row>
    <row r="106" ht="15.0" customHeight="1">
      <c r="B106" s="56"/>
      <c r="C106" s="56"/>
      <c r="G106" s="3"/>
      <c r="L106" s="60"/>
      <c r="M106" s="60"/>
      <c r="N106" s="62"/>
      <c r="R106" s="65"/>
      <c r="AG106" s="91"/>
    </row>
    <row r="107" ht="15.0" customHeight="1">
      <c r="B107" s="56"/>
      <c r="C107" s="56"/>
      <c r="G107" s="3"/>
      <c r="L107" s="60"/>
      <c r="M107" s="60"/>
      <c r="N107" s="62"/>
      <c r="R107" s="65"/>
      <c r="AG107" s="91"/>
    </row>
    <row r="108" ht="15.0" customHeight="1">
      <c r="B108" s="56"/>
      <c r="C108" s="56"/>
      <c r="G108" s="3"/>
      <c r="L108" s="60"/>
      <c r="M108" s="60"/>
      <c r="N108" s="62"/>
      <c r="R108" s="65"/>
      <c r="AG108" s="91"/>
    </row>
    <row r="109" ht="15.0" customHeight="1">
      <c r="B109" s="56"/>
      <c r="C109" s="56"/>
      <c r="G109" s="3"/>
      <c r="L109" s="60"/>
      <c r="M109" s="60"/>
      <c r="N109" s="62"/>
      <c r="R109" s="65"/>
      <c r="AG109" s="91"/>
    </row>
    <row r="110" ht="15.0" customHeight="1">
      <c r="B110" s="56"/>
      <c r="C110" s="56"/>
      <c r="G110" s="3"/>
      <c r="L110" s="60"/>
      <c r="M110" s="60"/>
      <c r="N110" s="62"/>
      <c r="R110" s="65"/>
      <c r="AG110" s="91"/>
    </row>
    <row r="111" ht="15.0" customHeight="1">
      <c r="B111" s="56"/>
      <c r="C111" s="56"/>
      <c r="G111" s="3"/>
      <c r="L111" s="60"/>
      <c r="M111" s="60"/>
      <c r="N111" s="62"/>
      <c r="R111" s="65"/>
      <c r="AG111" s="91"/>
    </row>
    <row r="112" ht="15.0" customHeight="1">
      <c r="B112" s="56"/>
      <c r="C112" s="56"/>
      <c r="G112" s="3"/>
      <c r="L112" s="60"/>
      <c r="M112" s="60"/>
      <c r="N112" s="62"/>
      <c r="R112" s="65"/>
      <c r="AG112" s="91"/>
    </row>
    <row r="113" ht="15.0" customHeight="1">
      <c r="B113" s="56"/>
      <c r="C113" s="56"/>
      <c r="G113" s="3"/>
      <c r="L113" s="60"/>
      <c r="M113" s="60"/>
      <c r="N113" s="62"/>
      <c r="R113" s="65"/>
      <c r="AG113" s="91"/>
    </row>
    <row r="114" ht="15.0" customHeight="1">
      <c r="B114" s="56"/>
      <c r="C114" s="56"/>
      <c r="G114" s="3"/>
      <c r="L114" s="60"/>
      <c r="M114" s="60"/>
      <c r="N114" s="62"/>
      <c r="R114" s="65"/>
      <c r="AG114" s="91"/>
    </row>
    <row r="115" ht="15.0" customHeight="1">
      <c r="B115" s="56"/>
      <c r="C115" s="56"/>
      <c r="G115" s="3"/>
      <c r="L115" s="60"/>
      <c r="M115" s="60"/>
      <c r="N115" s="62"/>
      <c r="R115" s="65"/>
      <c r="AG115" s="91"/>
    </row>
    <row r="116" ht="15.0" customHeight="1">
      <c r="B116" s="56"/>
      <c r="C116" s="56"/>
      <c r="G116" s="3"/>
      <c r="L116" s="60"/>
      <c r="M116" s="60"/>
      <c r="N116" s="62"/>
      <c r="R116" s="65"/>
      <c r="AG116" s="91"/>
    </row>
    <row r="117" ht="15.0" customHeight="1">
      <c r="B117" s="56"/>
      <c r="C117" s="56"/>
      <c r="G117" s="3"/>
      <c r="L117" s="60"/>
      <c r="M117" s="60"/>
      <c r="N117" s="62"/>
      <c r="R117" s="65"/>
      <c r="AG117" s="91"/>
    </row>
    <row r="118" ht="15.0" customHeight="1">
      <c r="B118" s="56"/>
      <c r="C118" s="56"/>
      <c r="G118" s="3"/>
      <c r="L118" s="60"/>
      <c r="M118" s="60"/>
      <c r="N118" s="62"/>
      <c r="R118" s="65"/>
      <c r="AG118" s="91"/>
    </row>
    <row r="119" ht="15.0" customHeight="1">
      <c r="B119" s="56"/>
      <c r="C119" s="56"/>
      <c r="G119" s="3"/>
      <c r="L119" s="60"/>
      <c r="M119" s="60"/>
      <c r="N119" s="62"/>
      <c r="R119" s="65"/>
      <c r="AG119" s="91"/>
    </row>
    <row r="120" ht="15.0" customHeight="1">
      <c r="B120" s="56"/>
      <c r="C120" s="56"/>
      <c r="G120" s="3"/>
      <c r="L120" s="60"/>
      <c r="M120" s="60"/>
      <c r="N120" s="62"/>
      <c r="R120" s="65"/>
      <c r="AG120" s="91"/>
    </row>
    <row r="121" ht="15.0" customHeight="1">
      <c r="B121" s="56"/>
      <c r="C121" s="56"/>
      <c r="G121" s="3"/>
      <c r="L121" s="60"/>
      <c r="M121" s="60"/>
      <c r="N121" s="62"/>
      <c r="R121" s="65"/>
      <c r="AG121" s="91"/>
    </row>
    <row r="122" ht="15.0" customHeight="1">
      <c r="B122" s="56"/>
      <c r="C122" s="56"/>
      <c r="G122" s="3"/>
      <c r="L122" s="60"/>
      <c r="M122" s="60"/>
      <c r="N122" s="62"/>
      <c r="R122" s="65"/>
      <c r="AG122" s="91"/>
    </row>
    <row r="123" ht="15.0" customHeight="1">
      <c r="B123" s="56"/>
      <c r="C123" s="56"/>
      <c r="G123" s="3"/>
      <c r="L123" s="60"/>
      <c r="M123" s="60"/>
      <c r="N123" s="62"/>
      <c r="R123" s="65"/>
      <c r="AG123" s="91"/>
    </row>
    <row r="124" ht="15.0" customHeight="1">
      <c r="B124" s="56"/>
      <c r="C124" s="56"/>
      <c r="G124" s="3"/>
      <c r="L124" s="60"/>
      <c r="M124" s="60"/>
      <c r="N124" s="62"/>
      <c r="R124" s="65"/>
      <c r="AG124" s="91"/>
    </row>
    <row r="125" ht="15.0" customHeight="1">
      <c r="B125" s="56"/>
      <c r="C125" s="56"/>
      <c r="G125" s="3"/>
      <c r="L125" s="60"/>
      <c r="M125" s="60"/>
      <c r="N125" s="62"/>
      <c r="R125" s="65"/>
      <c r="AG125" s="91"/>
    </row>
    <row r="126" ht="15.0" customHeight="1">
      <c r="B126" s="56"/>
      <c r="C126" s="56"/>
      <c r="G126" s="3"/>
      <c r="L126" s="60"/>
      <c r="M126" s="60"/>
      <c r="N126" s="62"/>
      <c r="R126" s="65"/>
      <c r="AG126" s="91"/>
    </row>
    <row r="127" ht="15.0" customHeight="1">
      <c r="B127" s="56"/>
      <c r="C127" s="56"/>
      <c r="G127" s="3"/>
      <c r="L127" s="60"/>
      <c r="M127" s="60"/>
      <c r="N127" s="62"/>
      <c r="R127" s="65"/>
      <c r="AG127" s="91"/>
    </row>
    <row r="128" ht="15.0" customHeight="1">
      <c r="B128" s="56"/>
      <c r="C128" s="56"/>
      <c r="G128" s="3"/>
      <c r="L128" s="60"/>
      <c r="M128" s="60"/>
      <c r="N128" s="62"/>
      <c r="R128" s="65"/>
      <c r="AG128" s="91"/>
    </row>
    <row r="129" ht="15.0" customHeight="1">
      <c r="B129" s="56"/>
      <c r="C129" s="56"/>
      <c r="G129" s="3"/>
      <c r="L129" s="60"/>
      <c r="M129" s="60"/>
      <c r="N129" s="62"/>
      <c r="R129" s="65"/>
      <c r="AG129" s="91"/>
    </row>
    <row r="130" ht="15.0" customHeight="1">
      <c r="B130" s="56"/>
      <c r="C130" s="56"/>
      <c r="G130" s="3"/>
      <c r="L130" s="60"/>
      <c r="M130" s="60"/>
      <c r="N130" s="62"/>
      <c r="R130" s="65"/>
      <c r="AG130" s="91"/>
    </row>
    <row r="131" ht="15.0" customHeight="1">
      <c r="B131" s="56"/>
      <c r="C131" s="56"/>
      <c r="G131" s="3"/>
      <c r="L131" s="60"/>
      <c r="M131" s="60"/>
      <c r="N131" s="62"/>
      <c r="R131" s="65"/>
      <c r="AG131" s="91"/>
    </row>
    <row r="132" ht="15.0" customHeight="1">
      <c r="B132" s="56"/>
      <c r="C132" s="56"/>
      <c r="G132" s="3"/>
      <c r="L132" s="60"/>
      <c r="M132" s="60"/>
      <c r="N132" s="62"/>
      <c r="R132" s="65"/>
      <c r="AG132" s="91"/>
    </row>
    <row r="133" ht="15.0" customHeight="1">
      <c r="B133" s="56"/>
      <c r="C133" s="56"/>
      <c r="G133" s="3"/>
      <c r="L133" s="60"/>
      <c r="M133" s="60"/>
      <c r="N133" s="62"/>
      <c r="R133" s="65"/>
      <c r="AG133" s="91"/>
    </row>
    <row r="134" ht="15.0" customHeight="1">
      <c r="B134" s="56"/>
      <c r="C134" s="56"/>
      <c r="G134" s="3"/>
      <c r="L134" s="60"/>
      <c r="M134" s="60"/>
      <c r="N134" s="62"/>
      <c r="R134" s="65"/>
      <c r="AG134" s="91"/>
    </row>
    <row r="135" ht="15.0" customHeight="1">
      <c r="B135" s="56"/>
      <c r="C135" s="56"/>
      <c r="G135" s="3"/>
      <c r="L135" s="60"/>
      <c r="M135" s="60"/>
      <c r="N135" s="62"/>
      <c r="R135" s="65"/>
      <c r="AG135" s="91"/>
    </row>
    <row r="136" ht="15.0" customHeight="1">
      <c r="B136" s="56"/>
      <c r="C136" s="56"/>
      <c r="G136" s="3"/>
      <c r="L136" s="60"/>
      <c r="M136" s="60"/>
      <c r="N136" s="62"/>
      <c r="R136" s="65"/>
      <c r="AG136" s="91"/>
    </row>
    <row r="137" ht="15.0" customHeight="1">
      <c r="B137" s="56"/>
      <c r="C137" s="56"/>
      <c r="G137" s="3"/>
      <c r="L137" s="60"/>
      <c r="M137" s="60"/>
      <c r="N137" s="62"/>
      <c r="R137" s="65"/>
      <c r="AG137" s="91"/>
    </row>
    <row r="138" ht="15.0" customHeight="1">
      <c r="B138" s="56"/>
      <c r="C138" s="56"/>
      <c r="G138" s="3"/>
      <c r="L138" s="60"/>
      <c r="M138" s="60"/>
      <c r="N138" s="62"/>
      <c r="R138" s="65"/>
      <c r="AG138" s="91"/>
    </row>
    <row r="139" ht="15.0" customHeight="1">
      <c r="B139" s="56"/>
      <c r="C139" s="56"/>
      <c r="G139" s="3"/>
      <c r="L139" s="60"/>
      <c r="M139" s="60"/>
      <c r="N139" s="62"/>
      <c r="R139" s="65"/>
      <c r="AG139" s="91"/>
    </row>
    <row r="140" ht="15.0" customHeight="1">
      <c r="B140" s="56"/>
      <c r="C140" s="56"/>
      <c r="G140" s="3"/>
      <c r="L140" s="60"/>
      <c r="M140" s="60"/>
      <c r="N140" s="62"/>
      <c r="R140" s="65"/>
      <c r="AG140" s="91"/>
    </row>
    <row r="141" ht="15.0" customHeight="1">
      <c r="B141" s="56"/>
      <c r="C141" s="56"/>
      <c r="G141" s="3"/>
      <c r="L141" s="60"/>
      <c r="M141" s="60"/>
      <c r="N141" s="62"/>
      <c r="R141" s="65"/>
      <c r="AG141" s="91"/>
    </row>
    <row r="142" ht="15.0" customHeight="1">
      <c r="B142" s="56"/>
      <c r="C142" s="56"/>
      <c r="G142" s="3"/>
      <c r="L142" s="60"/>
      <c r="M142" s="60"/>
      <c r="N142" s="62"/>
      <c r="R142" s="65"/>
      <c r="AG142" s="91"/>
    </row>
    <row r="143" ht="15.0" customHeight="1">
      <c r="B143" s="56"/>
      <c r="C143" s="56"/>
      <c r="G143" s="3"/>
      <c r="L143" s="60"/>
      <c r="M143" s="60"/>
      <c r="N143" s="62"/>
      <c r="R143" s="65"/>
      <c r="AG143" s="91"/>
    </row>
    <row r="144" ht="15.0" customHeight="1">
      <c r="B144" s="56"/>
      <c r="C144" s="56"/>
      <c r="G144" s="3"/>
      <c r="L144" s="60"/>
      <c r="M144" s="60"/>
      <c r="N144" s="62"/>
      <c r="R144" s="65"/>
      <c r="AG144" s="91"/>
    </row>
    <row r="145" ht="15.0" customHeight="1">
      <c r="B145" s="56"/>
      <c r="C145" s="56"/>
      <c r="G145" s="3"/>
      <c r="L145" s="60"/>
      <c r="M145" s="60"/>
      <c r="N145" s="62"/>
      <c r="R145" s="65"/>
      <c r="AG145" s="91"/>
    </row>
    <row r="146" ht="15.0" customHeight="1">
      <c r="B146" s="56"/>
      <c r="C146" s="56"/>
      <c r="G146" s="3"/>
      <c r="L146" s="60"/>
      <c r="M146" s="60"/>
      <c r="N146" s="62"/>
      <c r="R146" s="65"/>
      <c r="AG146" s="91"/>
    </row>
    <row r="147" ht="15.0" customHeight="1">
      <c r="B147" s="56"/>
      <c r="C147" s="56"/>
      <c r="G147" s="3"/>
      <c r="L147" s="60"/>
      <c r="M147" s="60"/>
      <c r="N147" s="62"/>
      <c r="R147" s="65"/>
      <c r="AG147" s="91"/>
    </row>
    <row r="148" ht="15.0" customHeight="1">
      <c r="B148" s="56"/>
      <c r="C148" s="56"/>
      <c r="G148" s="3"/>
      <c r="L148" s="60"/>
      <c r="M148" s="60"/>
      <c r="N148" s="62"/>
      <c r="R148" s="65"/>
      <c r="AG148" s="91"/>
    </row>
    <row r="149" ht="15.0" customHeight="1">
      <c r="B149" s="56"/>
      <c r="C149" s="56"/>
      <c r="G149" s="3"/>
      <c r="L149" s="60"/>
      <c r="M149" s="60"/>
      <c r="N149" s="62"/>
      <c r="R149" s="65"/>
      <c r="AG149" s="91"/>
    </row>
    <row r="150" ht="15.0" customHeight="1">
      <c r="B150" s="56"/>
      <c r="C150" s="56"/>
      <c r="G150" s="3"/>
      <c r="L150" s="60"/>
      <c r="M150" s="60"/>
      <c r="N150" s="62"/>
      <c r="R150" s="65"/>
      <c r="AG150" s="91"/>
    </row>
    <row r="151" ht="15.0" customHeight="1">
      <c r="B151" s="56"/>
      <c r="C151" s="56"/>
      <c r="G151" s="3"/>
      <c r="L151" s="60"/>
      <c r="M151" s="60"/>
      <c r="N151" s="62"/>
      <c r="R151" s="65"/>
      <c r="AG151" s="91"/>
    </row>
    <row r="152" ht="15.0" customHeight="1">
      <c r="B152" s="56"/>
      <c r="C152" s="56"/>
      <c r="G152" s="3"/>
      <c r="L152" s="60"/>
      <c r="M152" s="60"/>
      <c r="N152" s="62"/>
      <c r="R152" s="65"/>
      <c r="AG152" s="91"/>
    </row>
    <row r="153" ht="15.0" customHeight="1">
      <c r="B153" s="56"/>
      <c r="C153" s="56"/>
      <c r="G153" s="3"/>
      <c r="L153" s="60"/>
      <c r="M153" s="60"/>
      <c r="N153" s="62"/>
      <c r="R153" s="65"/>
      <c r="AG153" s="91"/>
    </row>
    <row r="154" ht="15.0" customHeight="1">
      <c r="B154" s="56"/>
      <c r="C154" s="56"/>
      <c r="G154" s="3"/>
      <c r="L154" s="60"/>
      <c r="M154" s="60"/>
      <c r="N154" s="62"/>
      <c r="R154" s="65"/>
      <c r="AG154" s="91"/>
    </row>
    <row r="155" ht="15.0" customHeight="1">
      <c r="B155" s="56"/>
      <c r="C155" s="56"/>
      <c r="G155" s="3"/>
      <c r="L155" s="60"/>
      <c r="M155" s="60"/>
      <c r="N155" s="62"/>
      <c r="R155" s="65"/>
      <c r="AG155" s="91"/>
    </row>
    <row r="156" ht="15.0" customHeight="1">
      <c r="B156" s="56"/>
      <c r="C156" s="56"/>
      <c r="G156" s="3"/>
      <c r="L156" s="60"/>
      <c r="M156" s="60"/>
      <c r="N156" s="62"/>
      <c r="R156" s="65"/>
      <c r="AG156" s="91"/>
    </row>
    <row r="157" ht="15.0" customHeight="1">
      <c r="B157" s="56"/>
      <c r="C157" s="56"/>
      <c r="G157" s="3"/>
      <c r="L157" s="60"/>
      <c r="M157" s="60"/>
      <c r="N157" s="62"/>
      <c r="R157" s="65"/>
      <c r="AG157" s="91"/>
    </row>
    <row r="158" ht="15.0" customHeight="1">
      <c r="B158" s="56"/>
      <c r="C158" s="56"/>
      <c r="G158" s="3"/>
      <c r="L158" s="60"/>
      <c r="M158" s="60"/>
      <c r="N158" s="62"/>
      <c r="R158" s="65"/>
      <c r="AG158" s="91"/>
    </row>
    <row r="159" ht="15.0" customHeight="1">
      <c r="B159" s="56"/>
      <c r="C159" s="56"/>
      <c r="G159" s="3"/>
      <c r="L159" s="60"/>
      <c r="M159" s="60"/>
      <c r="N159" s="62"/>
      <c r="R159" s="65"/>
      <c r="AG159" s="91"/>
    </row>
    <row r="160" ht="15.0" customHeight="1">
      <c r="B160" s="56"/>
      <c r="C160" s="56"/>
      <c r="G160" s="3"/>
      <c r="L160" s="60"/>
      <c r="M160" s="60"/>
      <c r="N160" s="62"/>
      <c r="R160" s="65"/>
      <c r="AG160" s="91"/>
    </row>
    <row r="161" ht="15.0" customHeight="1">
      <c r="B161" s="56"/>
      <c r="C161" s="56"/>
      <c r="G161" s="3"/>
      <c r="L161" s="60"/>
      <c r="M161" s="60"/>
      <c r="N161" s="62"/>
      <c r="R161" s="65"/>
      <c r="AG161" s="91"/>
    </row>
    <row r="162" ht="15.0" customHeight="1">
      <c r="B162" s="56"/>
      <c r="C162" s="56"/>
      <c r="G162" s="3"/>
      <c r="L162" s="60"/>
      <c r="M162" s="60"/>
      <c r="N162" s="62"/>
      <c r="R162" s="65"/>
      <c r="AG162" s="91"/>
    </row>
    <row r="163" ht="15.0" customHeight="1">
      <c r="B163" s="56"/>
      <c r="C163" s="56"/>
      <c r="G163" s="3"/>
      <c r="L163" s="60"/>
      <c r="M163" s="60"/>
      <c r="N163" s="62"/>
      <c r="R163" s="65"/>
      <c r="AG163" s="91"/>
    </row>
    <row r="164" ht="15.0" customHeight="1">
      <c r="B164" s="56"/>
      <c r="C164" s="56"/>
      <c r="G164" s="3"/>
      <c r="L164" s="60"/>
      <c r="M164" s="60"/>
      <c r="N164" s="62"/>
      <c r="R164" s="65"/>
      <c r="AG164" s="91"/>
    </row>
    <row r="165" ht="15.0" customHeight="1">
      <c r="B165" s="56"/>
      <c r="C165" s="56"/>
      <c r="G165" s="3"/>
      <c r="L165" s="60"/>
      <c r="M165" s="60"/>
      <c r="N165" s="62"/>
      <c r="R165" s="65"/>
      <c r="AG165" s="91"/>
    </row>
    <row r="166" ht="15.0" customHeight="1">
      <c r="B166" s="56"/>
      <c r="C166" s="56"/>
      <c r="G166" s="3"/>
      <c r="L166" s="60"/>
      <c r="M166" s="60"/>
      <c r="N166" s="62"/>
      <c r="R166" s="65"/>
      <c r="AG166" s="91"/>
    </row>
    <row r="167" ht="15.0" customHeight="1">
      <c r="B167" s="56"/>
      <c r="C167" s="56"/>
      <c r="G167" s="3"/>
      <c r="L167" s="60"/>
      <c r="M167" s="60"/>
      <c r="N167" s="62"/>
      <c r="R167" s="65"/>
      <c r="AG167" s="91"/>
    </row>
    <row r="168" ht="15.0" customHeight="1">
      <c r="B168" s="56"/>
      <c r="C168" s="56"/>
      <c r="G168" s="3"/>
      <c r="L168" s="60"/>
      <c r="M168" s="60"/>
      <c r="N168" s="62"/>
      <c r="R168" s="65"/>
      <c r="AG168" s="91"/>
    </row>
    <row r="169" ht="15.0" customHeight="1">
      <c r="B169" s="56"/>
      <c r="C169" s="56"/>
      <c r="G169" s="3"/>
      <c r="L169" s="60"/>
      <c r="M169" s="60"/>
      <c r="N169" s="62"/>
      <c r="R169" s="65"/>
      <c r="AG169" s="91"/>
    </row>
    <row r="170" ht="15.0" customHeight="1">
      <c r="B170" s="56"/>
      <c r="C170" s="56"/>
      <c r="G170" s="3"/>
      <c r="L170" s="60"/>
      <c r="M170" s="60"/>
      <c r="N170" s="62"/>
      <c r="R170" s="65"/>
      <c r="AG170" s="91"/>
    </row>
    <row r="171" ht="15.0" customHeight="1">
      <c r="B171" s="56"/>
      <c r="C171" s="56"/>
      <c r="G171" s="3"/>
      <c r="L171" s="60"/>
      <c r="M171" s="60"/>
      <c r="N171" s="62"/>
      <c r="R171" s="65"/>
      <c r="AG171" s="91"/>
    </row>
    <row r="172" ht="15.0" customHeight="1">
      <c r="B172" s="56"/>
      <c r="C172" s="56"/>
      <c r="G172" s="3"/>
      <c r="L172" s="60"/>
      <c r="M172" s="60"/>
      <c r="N172" s="62"/>
      <c r="R172" s="65"/>
      <c r="AG172" s="91"/>
    </row>
    <row r="173" ht="15.0" customHeight="1">
      <c r="B173" s="56"/>
      <c r="C173" s="56"/>
      <c r="G173" s="3"/>
      <c r="L173" s="60"/>
      <c r="M173" s="60"/>
      <c r="N173" s="62"/>
      <c r="R173" s="65"/>
      <c r="AG173" s="91"/>
    </row>
    <row r="174" ht="15.0" customHeight="1">
      <c r="B174" s="56"/>
      <c r="C174" s="56"/>
      <c r="G174" s="3"/>
      <c r="L174" s="60"/>
      <c r="M174" s="60"/>
      <c r="N174" s="62"/>
      <c r="R174" s="65"/>
      <c r="AG174" s="91"/>
    </row>
    <row r="175" ht="15.0" customHeight="1">
      <c r="B175" s="56"/>
      <c r="C175" s="56"/>
      <c r="G175" s="3"/>
      <c r="L175" s="60"/>
      <c r="M175" s="60"/>
      <c r="N175" s="62"/>
      <c r="R175" s="65"/>
      <c r="AG175" s="91"/>
    </row>
    <row r="176" ht="15.0" customHeight="1">
      <c r="B176" s="56"/>
      <c r="C176" s="56"/>
      <c r="G176" s="3"/>
      <c r="L176" s="60"/>
      <c r="M176" s="60"/>
      <c r="N176" s="62"/>
      <c r="R176" s="65"/>
      <c r="AG176" s="91"/>
    </row>
    <row r="177" ht="15.0" customHeight="1">
      <c r="B177" s="56"/>
      <c r="C177" s="56"/>
      <c r="G177" s="3"/>
      <c r="L177" s="60"/>
      <c r="M177" s="60"/>
      <c r="N177" s="62"/>
      <c r="R177" s="65"/>
      <c r="AG177" s="91"/>
    </row>
    <row r="178" ht="15.0" customHeight="1">
      <c r="B178" s="56"/>
      <c r="C178" s="56"/>
      <c r="G178" s="3"/>
      <c r="L178" s="60"/>
      <c r="M178" s="60"/>
      <c r="N178" s="62"/>
      <c r="R178" s="65"/>
      <c r="AG178" s="91"/>
    </row>
    <row r="179" ht="15.0" customHeight="1">
      <c r="B179" s="56"/>
      <c r="C179" s="56"/>
      <c r="G179" s="3"/>
      <c r="L179" s="60"/>
      <c r="M179" s="60"/>
      <c r="N179" s="62"/>
      <c r="R179" s="65"/>
      <c r="AG179" s="91"/>
    </row>
    <row r="180" ht="15.0" customHeight="1">
      <c r="B180" s="56"/>
      <c r="C180" s="56"/>
      <c r="G180" s="3"/>
      <c r="L180" s="60"/>
      <c r="M180" s="60"/>
      <c r="N180" s="62"/>
      <c r="R180" s="65"/>
      <c r="AG180" s="91"/>
    </row>
    <row r="181" ht="15.0" customHeight="1">
      <c r="B181" s="56"/>
      <c r="C181" s="56"/>
      <c r="G181" s="3"/>
      <c r="L181" s="60"/>
      <c r="M181" s="60"/>
      <c r="N181" s="62"/>
      <c r="R181" s="65"/>
      <c r="AG181" s="91"/>
    </row>
    <row r="182" ht="15.0" customHeight="1">
      <c r="B182" s="56"/>
      <c r="C182" s="56"/>
      <c r="G182" s="3"/>
      <c r="L182" s="60"/>
      <c r="M182" s="60"/>
      <c r="N182" s="62"/>
      <c r="R182" s="65"/>
      <c r="AG182" s="91"/>
    </row>
    <row r="183" ht="15.0" customHeight="1">
      <c r="B183" s="56"/>
      <c r="C183" s="56"/>
      <c r="G183" s="3"/>
      <c r="L183" s="60"/>
      <c r="M183" s="60"/>
      <c r="N183" s="62"/>
      <c r="R183" s="65"/>
      <c r="AG183" s="91"/>
    </row>
    <row r="184" ht="15.0" customHeight="1">
      <c r="B184" s="56"/>
      <c r="C184" s="56"/>
      <c r="G184" s="3"/>
      <c r="L184" s="60"/>
      <c r="M184" s="60"/>
      <c r="N184" s="62"/>
      <c r="R184" s="65"/>
      <c r="AG184" s="91"/>
    </row>
    <row r="185" ht="15.0" customHeight="1">
      <c r="B185" s="56"/>
      <c r="C185" s="56"/>
      <c r="G185" s="3"/>
      <c r="L185" s="60"/>
      <c r="M185" s="60"/>
      <c r="N185" s="62"/>
      <c r="R185" s="65"/>
      <c r="AG185" s="91"/>
    </row>
    <row r="186" ht="15.0" customHeight="1">
      <c r="B186" s="56"/>
      <c r="C186" s="56"/>
      <c r="G186" s="3"/>
      <c r="L186" s="60"/>
      <c r="M186" s="60"/>
      <c r="N186" s="62"/>
      <c r="R186" s="65"/>
      <c r="AG186" s="91"/>
    </row>
    <row r="187" ht="15.0" customHeight="1">
      <c r="B187" s="56"/>
      <c r="C187" s="56"/>
      <c r="G187" s="3"/>
      <c r="L187" s="60"/>
      <c r="M187" s="60"/>
      <c r="N187" s="62"/>
      <c r="R187" s="65"/>
      <c r="AG187" s="91"/>
    </row>
    <row r="188" ht="15.0" customHeight="1">
      <c r="B188" s="56"/>
      <c r="C188" s="56"/>
      <c r="G188" s="3"/>
      <c r="L188" s="60"/>
      <c r="M188" s="60"/>
      <c r="N188" s="62"/>
      <c r="R188" s="65"/>
      <c r="AG188" s="91"/>
    </row>
    <row r="189" ht="15.0" customHeight="1">
      <c r="B189" s="56"/>
      <c r="C189" s="56"/>
      <c r="G189" s="3"/>
      <c r="L189" s="60"/>
      <c r="M189" s="60"/>
      <c r="N189" s="62"/>
      <c r="R189" s="65"/>
      <c r="AG189" s="91"/>
    </row>
    <row r="190" ht="15.0" customHeight="1">
      <c r="B190" s="56"/>
      <c r="C190" s="56"/>
      <c r="G190" s="3"/>
      <c r="L190" s="60"/>
      <c r="M190" s="60"/>
      <c r="N190" s="62"/>
      <c r="R190" s="65"/>
      <c r="AG190" s="91"/>
    </row>
    <row r="191" ht="15.0" customHeight="1">
      <c r="B191" s="56"/>
      <c r="C191" s="56"/>
      <c r="G191" s="3"/>
      <c r="L191" s="60"/>
      <c r="M191" s="60"/>
      <c r="N191" s="62"/>
      <c r="R191" s="65"/>
      <c r="AG191" s="91"/>
    </row>
    <row r="192" ht="15.0" customHeight="1">
      <c r="B192" s="56"/>
      <c r="C192" s="56"/>
      <c r="G192" s="3"/>
      <c r="L192" s="60"/>
      <c r="M192" s="60"/>
      <c r="N192" s="62"/>
      <c r="R192" s="65"/>
      <c r="AG192" s="91"/>
    </row>
    <row r="193" ht="15.0" customHeight="1">
      <c r="B193" s="56"/>
      <c r="C193" s="56"/>
      <c r="G193" s="3"/>
      <c r="L193" s="60"/>
      <c r="M193" s="60"/>
      <c r="N193" s="62"/>
      <c r="R193" s="65"/>
      <c r="AG193" s="91"/>
    </row>
    <row r="194" ht="15.0" customHeight="1">
      <c r="B194" s="56"/>
      <c r="C194" s="56"/>
      <c r="G194" s="3"/>
      <c r="L194" s="60"/>
      <c r="M194" s="60"/>
      <c r="N194" s="62"/>
      <c r="R194" s="65"/>
      <c r="AG194" s="91"/>
    </row>
    <row r="195" ht="15.0" customHeight="1">
      <c r="B195" s="56"/>
      <c r="C195" s="56"/>
      <c r="G195" s="3"/>
      <c r="L195" s="60"/>
      <c r="M195" s="60"/>
      <c r="N195" s="62"/>
      <c r="R195" s="65"/>
      <c r="AG195" s="91"/>
    </row>
    <row r="196" ht="15.0" customHeight="1">
      <c r="B196" s="56"/>
      <c r="C196" s="56"/>
      <c r="G196" s="3"/>
      <c r="L196" s="60"/>
      <c r="M196" s="60"/>
      <c r="N196" s="62"/>
      <c r="R196" s="65"/>
      <c r="AG196" s="91"/>
    </row>
    <row r="197" ht="15.0" customHeight="1">
      <c r="B197" s="56"/>
      <c r="C197" s="56"/>
      <c r="G197" s="3"/>
      <c r="L197" s="60"/>
      <c r="M197" s="60"/>
      <c r="N197" s="62"/>
      <c r="R197" s="65"/>
      <c r="AG197" s="91"/>
    </row>
    <row r="198" ht="15.0" customHeight="1">
      <c r="B198" s="56"/>
      <c r="C198" s="56"/>
      <c r="G198" s="3"/>
      <c r="L198" s="60"/>
      <c r="M198" s="60"/>
      <c r="N198" s="62"/>
      <c r="R198" s="65"/>
      <c r="AG198" s="91"/>
    </row>
    <row r="199" ht="15.0" customHeight="1">
      <c r="B199" s="56"/>
      <c r="C199" s="56"/>
      <c r="G199" s="3"/>
      <c r="L199" s="60"/>
      <c r="M199" s="60"/>
      <c r="N199" s="62"/>
      <c r="R199" s="65"/>
      <c r="AG199" s="91"/>
    </row>
    <row r="200" ht="15.0" customHeight="1">
      <c r="B200" s="56"/>
      <c r="C200" s="56"/>
      <c r="G200" s="3"/>
      <c r="L200" s="60"/>
      <c r="M200" s="60"/>
      <c r="N200" s="62"/>
      <c r="R200" s="65"/>
      <c r="AG200" s="91"/>
    </row>
    <row r="201" ht="15.0" customHeight="1">
      <c r="B201" s="56"/>
      <c r="C201" s="56"/>
      <c r="G201" s="3"/>
      <c r="L201" s="60"/>
      <c r="M201" s="60"/>
      <c r="N201" s="62"/>
      <c r="R201" s="65"/>
      <c r="AG201" s="91"/>
    </row>
    <row r="202" ht="15.0" customHeight="1">
      <c r="B202" s="56"/>
      <c r="C202" s="56"/>
      <c r="G202" s="3"/>
      <c r="L202" s="60"/>
      <c r="M202" s="60"/>
      <c r="N202" s="62"/>
      <c r="R202" s="65"/>
      <c r="AG202" s="91"/>
    </row>
    <row r="203" ht="15.0" customHeight="1">
      <c r="B203" s="56"/>
      <c r="C203" s="56"/>
      <c r="G203" s="3"/>
      <c r="L203" s="60"/>
      <c r="M203" s="60"/>
      <c r="N203" s="62"/>
      <c r="R203" s="65"/>
      <c r="AG203" s="91"/>
    </row>
    <row r="204" ht="15.0" customHeight="1">
      <c r="B204" s="56"/>
      <c r="C204" s="56"/>
      <c r="G204" s="3"/>
      <c r="L204" s="60"/>
      <c r="M204" s="60"/>
      <c r="N204" s="62"/>
      <c r="R204" s="65"/>
      <c r="AG204" s="91"/>
    </row>
    <row r="205" ht="15.0" customHeight="1">
      <c r="B205" s="56"/>
      <c r="C205" s="56"/>
      <c r="G205" s="3"/>
      <c r="L205" s="60"/>
      <c r="M205" s="60"/>
      <c r="N205" s="62"/>
      <c r="R205" s="65"/>
      <c r="AG205" s="91"/>
    </row>
    <row r="206" ht="15.0" customHeight="1">
      <c r="B206" s="56"/>
      <c r="C206" s="56"/>
      <c r="G206" s="3"/>
      <c r="L206" s="60"/>
      <c r="M206" s="60"/>
      <c r="N206" s="62"/>
      <c r="R206" s="65"/>
      <c r="AG206" s="91"/>
    </row>
    <row r="207" ht="15.0" customHeight="1">
      <c r="B207" s="56"/>
      <c r="C207" s="56"/>
      <c r="G207" s="3"/>
      <c r="L207" s="60"/>
      <c r="M207" s="60"/>
      <c r="N207" s="62"/>
      <c r="R207" s="65"/>
      <c r="AG207" s="91"/>
    </row>
    <row r="208" ht="15.0" customHeight="1">
      <c r="B208" s="56"/>
      <c r="C208" s="56"/>
      <c r="G208" s="3"/>
      <c r="L208" s="60"/>
      <c r="M208" s="60"/>
      <c r="N208" s="62"/>
      <c r="R208" s="65"/>
      <c r="AG208" s="91"/>
    </row>
    <row r="209" ht="15.0" customHeight="1">
      <c r="B209" s="56"/>
      <c r="C209" s="56"/>
      <c r="G209" s="3"/>
      <c r="L209" s="60"/>
      <c r="M209" s="60"/>
      <c r="N209" s="62"/>
      <c r="R209" s="65"/>
      <c r="AG209" s="91"/>
    </row>
    <row r="210" ht="15.0" customHeight="1">
      <c r="B210" s="56"/>
      <c r="C210" s="56"/>
      <c r="G210" s="3"/>
      <c r="L210" s="60"/>
      <c r="M210" s="60"/>
      <c r="N210" s="62"/>
      <c r="R210" s="65"/>
      <c r="AG210" s="91"/>
    </row>
    <row r="211" ht="15.0" customHeight="1">
      <c r="B211" s="56"/>
      <c r="C211" s="56"/>
      <c r="G211" s="3"/>
      <c r="L211" s="60"/>
      <c r="M211" s="60"/>
      <c r="N211" s="62"/>
      <c r="R211" s="65"/>
      <c r="AG211" s="91"/>
    </row>
    <row r="212" ht="15.0" customHeight="1">
      <c r="B212" s="56"/>
      <c r="C212" s="56"/>
      <c r="G212" s="3"/>
      <c r="L212" s="60"/>
      <c r="M212" s="60"/>
      <c r="N212" s="62"/>
      <c r="R212" s="65"/>
      <c r="AG212" s="91"/>
    </row>
    <row r="213" ht="15.0" customHeight="1">
      <c r="B213" s="56"/>
      <c r="C213" s="56"/>
      <c r="G213" s="3"/>
      <c r="L213" s="60"/>
      <c r="M213" s="60"/>
      <c r="N213" s="62"/>
      <c r="R213" s="65"/>
      <c r="AG213" s="91"/>
    </row>
    <row r="214" ht="15.0" customHeight="1">
      <c r="B214" s="56"/>
      <c r="C214" s="56"/>
      <c r="G214" s="3"/>
      <c r="L214" s="60"/>
      <c r="M214" s="60"/>
      <c r="N214" s="62"/>
      <c r="R214" s="65"/>
      <c r="AG214" s="91"/>
    </row>
    <row r="215" ht="15.0" customHeight="1">
      <c r="B215" s="56"/>
      <c r="C215" s="56"/>
      <c r="G215" s="3"/>
      <c r="L215" s="60"/>
      <c r="M215" s="60"/>
      <c r="N215" s="62"/>
      <c r="R215" s="65"/>
      <c r="AG215" s="91"/>
    </row>
    <row r="216" ht="15.0" customHeight="1">
      <c r="B216" s="56"/>
      <c r="C216" s="56"/>
      <c r="G216" s="3"/>
      <c r="L216" s="60"/>
      <c r="M216" s="60"/>
      <c r="N216" s="62"/>
      <c r="R216" s="65"/>
      <c r="AG216" s="91"/>
    </row>
    <row r="217" ht="15.0" customHeight="1">
      <c r="B217" s="56"/>
      <c r="C217" s="56"/>
      <c r="G217" s="3"/>
      <c r="L217" s="60"/>
      <c r="M217" s="60"/>
      <c r="N217" s="62"/>
      <c r="R217" s="65"/>
      <c r="AG217" s="91"/>
    </row>
    <row r="218" ht="15.0" customHeight="1">
      <c r="B218" s="56"/>
      <c r="C218" s="56"/>
      <c r="G218" s="3"/>
      <c r="L218" s="60"/>
      <c r="M218" s="60"/>
      <c r="N218" s="62"/>
      <c r="R218" s="65"/>
      <c r="AG218" s="91"/>
    </row>
    <row r="219" ht="15.0" customHeight="1">
      <c r="B219" s="56"/>
      <c r="C219" s="56"/>
      <c r="G219" s="3"/>
      <c r="L219" s="60"/>
      <c r="M219" s="60"/>
      <c r="N219" s="62"/>
      <c r="R219" s="65"/>
      <c r="AG219" s="91"/>
    </row>
    <row r="220" ht="15.0" customHeight="1">
      <c r="B220" s="56"/>
      <c r="C220" s="56"/>
      <c r="G220" s="3"/>
      <c r="L220" s="60"/>
      <c r="M220" s="60"/>
      <c r="N220" s="62"/>
      <c r="R220" s="65"/>
      <c r="AG220" s="91"/>
    </row>
    <row r="221" ht="15.0" customHeight="1">
      <c r="B221" s="56"/>
      <c r="C221" s="56"/>
      <c r="G221" s="3"/>
      <c r="L221" s="60"/>
      <c r="M221" s="60"/>
      <c r="N221" s="62"/>
      <c r="R221" s="65"/>
      <c r="AG221" s="91"/>
    </row>
    <row r="222" ht="15.0" customHeight="1">
      <c r="B222" s="56"/>
      <c r="C222" s="56"/>
      <c r="G222" s="3"/>
      <c r="L222" s="60"/>
      <c r="M222" s="60"/>
      <c r="N222" s="62"/>
      <c r="R222" s="65"/>
      <c r="AG222" s="91"/>
    </row>
    <row r="223" ht="15.0" customHeight="1">
      <c r="B223" s="56"/>
      <c r="C223" s="56"/>
      <c r="G223" s="3"/>
      <c r="L223" s="60"/>
      <c r="M223" s="60"/>
      <c r="N223" s="62"/>
      <c r="R223" s="65"/>
      <c r="AG223" s="91"/>
    </row>
    <row r="224" ht="15.0" customHeight="1">
      <c r="B224" s="56"/>
      <c r="C224" s="56"/>
      <c r="G224" s="3"/>
      <c r="L224" s="60"/>
      <c r="M224" s="60"/>
      <c r="N224" s="62"/>
      <c r="R224" s="65"/>
      <c r="AG224" s="91"/>
    </row>
    <row r="225" ht="15.0" customHeight="1">
      <c r="B225" s="56"/>
      <c r="C225" s="56"/>
      <c r="G225" s="3"/>
      <c r="L225" s="60"/>
      <c r="M225" s="60"/>
      <c r="N225" s="62"/>
      <c r="R225" s="65"/>
      <c r="AG225" s="91"/>
    </row>
    <row r="226" ht="15.0" customHeight="1">
      <c r="B226" s="56"/>
      <c r="C226" s="56"/>
      <c r="G226" s="3"/>
      <c r="L226" s="60"/>
      <c r="M226" s="60"/>
      <c r="N226" s="62"/>
      <c r="R226" s="65"/>
      <c r="AG226" s="91"/>
    </row>
    <row r="227" ht="15.0" customHeight="1">
      <c r="B227" s="56"/>
      <c r="C227" s="56"/>
      <c r="G227" s="3"/>
      <c r="L227" s="60"/>
      <c r="M227" s="60"/>
      <c r="N227" s="62"/>
      <c r="R227" s="65"/>
      <c r="AG227" s="91"/>
    </row>
    <row r="228" ht="15.0" customHeight="1">
      <c r="B228" s="56"/>
      <c r="C228" s="56"/>
      <c r="G228" s="3"/>
      <c r="L228" s="60"/>
      <c r="M228" s="60"/>
      <c r="N228" s="62"/>
      <c r="R228" s="65"/>
      <c r="AG228" s="91"/>
    </row>
    <row r="229" ht="15.0" customHeight="1">
      <c r="B229" s="56"/>
      <c r="C229" s="56"/>
      <c r="G229" s="3"/>
      <c r="L229" s="60"/>
      <c r="M229" s="60"/>
      <c r="N229" s="62"/>
      <c r="R229" s="65"/>
      <c r="AG229" s="91"/>
    </row>
    <row r="230" ht="15.0" customHeight="1">
      <c r="B230" s="56"/>
      <c r="C230" s="56"/>
      <c r="G230" s="3"/>
      <c r="L230" s="60"/>
      <c r="M230" s="60"/>
      <c r="N230" s="62"/>
      <c r="R230" s="65"/>
      <c r="AG230" s="91"/>
    </row>
    <row r="231" ht="15.0" customHeight="1">
      <c r="B231" s="56"/>
      <c r="C231" s="56"/>
      <c r="G231" s="3"/>
      <c r="L231" s="60"/>
      <c r="M231" s="60"/>
      <c r="N231" s="62"/>
      <c r="R231" s="65"/>
      <c r="AG231" s="91"/>
    </row>
    <row r="232" ht="15.0" customHeight="1">
      <c r="B232" s="56"/>
      <c r="C232" s="56"/>
      <c r="G232" s="3"/>
      <c r="L232" s="60"/>
      <c r="M232" s="60"/>
      <c r="N232" s="62"/>
      <c r="R232" s="65"/>
      <c r="AG232" s="91"/>
    </row>
    <row r="233" ht="15.0" customHeight="1">
      <c r="B233" s="56"/>
      <c r="C233" s="56"/>
      <c r="G233" s="3"/>
      <c r="L233" s="60"/>
      <c r="M233" s="60"/>
      <c r="N233" s="62"/>
      <c r="R233" s="65"/>
      <c r="AG233" s="91"/>
    </row>
    <row r="234" ht="15.0" customHeight="1">
      <c r="B234" s="56"/>
      <c r="C234" s="56"/>
      <c r="G234" s="3"/>
      <c r="L234" s="60"/>
      <c r="M234" s="60"/>
      <c r="N234" s="62"/>
      <c r="R234" s="65"/>
      <c r="AG234" s="91"/>
    </row>
    <row r="235" ht="15.0" customHeight="1">
      <c r="B235" s="56"/>
      <c r="C235" s="56"/>
      <c r="G235" s="3"/>
      <c r="L235" s="60"/>
      <c r="M235" s="60"/>
      <c r="N235" s="62"/>
      <c r="R235" s="65"/>
      <c r="AG235" s="91"/>
    </row>
    <row r="236" ht="15.0" customHeight="1">
      <c r="B236" s="56"/>
      <c r="C236" s="56"/>
      <c r="G236" s="3"/>
      <c r="L236" s="60"/>
      <c r="M236" s="60"/>
      <c r="N236" s="62"/>
      <c r="R236" s="65"/>
      <c r="AG236" s="91"/>
    </row>
    <row r="237" ht="15.0" customHeight="1">
      <c r="B237" s="56"/>
      <c r="C237" s="56"/>
      <c r="G237" s="3"/>
      <c r="L237" s="60"/>
      <c r="M237" s="60"/>
      <c r="N237" s="62"/>
      <c r="R237" s="65"/>
      <c r="AG237" s="91"/>
    </row>
    <row r="238" ht="15.0" customHeight="1">
      <c r="B238" s="56"/>
      <c r="C238" s="56"/>
      <c r="G238" s="3"/>
      <c r="L238" s="60"/>
      <c r="M238" s="60"/>
      <c r="N238" s="62"/>
      <c r="R238" s="65"/>
      <c r="AG238" s="91"/>
    </row>
    <row r="239" ht="15.0" customHeight="1">
      <c r="B239" s="56"/>
      <c r="C239" s="56"/>
      <c r="G239" s="3"/>
      <c r="L239" s="60"/>
      <c r="M239" s="60"/>
      <c r="N239" s="62"/>
      <c r="R239" s="65"/>
      <c r="AG239" s="91"/>
    </row>
    <row r="240" ht="15.0" customHeight="1">
      <c r="B240" s="56"/>
      <c r="C240" s="56"/>
      <c r="G240" s="3"/>
      <c r="L240" s="60"/>
      <c r="M240" s="60"/>
      <c r="N240" s="62"/>
      <c r="R240" s="65"/>
      <c r="AG240" s="91"/>
    </row>
    <row r="241" ht="15.0" customHeight="1">
      <c r="B241" s="56"/>
      <c r="C241" s="56"/>
      <c r="G241" s="3"/>
      <c r="L241" s="60"/>
      <c r="M241" s="60"/>
      <c r="N241" s="62"/>
      <c r="R241" s="65"/>
      <c r="AG241" s="91"/>
    </row>
    <row r="242" ht="15.0" customHeight="1">
      <c r="B242" s="56"/>
      <c r="C242" s="56"/>
      <c r="G242" s="3"/>
      <c r="L242" s="60"/>
      <c r="M242" s="60"/>
      <c r="N242" s="62"/>
      <c r="R242" s="65"/>
      <c r="AG242" s="91"/>
    </row>
    <row r="243" ht="15.0" customHeight="1">
      <c r="B243" s="56"/>
      <c r="C243" s="56"/>
      <c r="G243" s="3"/>
      <c r="L243" s="60"/>
      <c r="M243" s="60"/>
      <c r="N243" s="62"/>
      <c r="R243" s="65"/>
      <c r="AG243" s="91"/>
    </row>
    <row r="244" ht="15.0" customHeight="1">
      <c r="B244" s="56"/>
      <c r="C244" s="56"/>
      <c r="G244" s="3"/>
      <c r="L244" s="60"/>
      <c r="M244" s="60"/>
      <c r="N244" s="62"/>
      <c r="R244" s="65"/>
      <c r="AG244" s="91"/>
    </row>
    <row r="245" ht="15.0" customHeight="1">
      <c r="B245" s="56"/>
      <c r="C245" s="56"/>
      <c r="G245" s="3"/>
      <c r="L245" s="60"/>
      <c r="M245" s="60"/>
      <c r="N245" s="62"/>
      <c r="R245" s="65"/>
      <c r="AG245" s="91"/>
    </row>
    <row r="246" ht="15.0" customHeight="1">
      <c r="B246" s="56"/>
      <c r="C246" s="56"/>
      <c r="G246" s="3"/>
      <c r="L246" s="60"/>
      <c r="M246" s="60"/>
      <c r="N246" s="62"/>
      <c r="R246" s="65"/>
      <c r="AG246" s="91"/>
    </row>
    <row r="247" ht="15.0" customHeight="1">
      <c r="B247" s="56"/>
      <c r="C247" s="56"/>
      <c r="G247" s="3"/>
      <c r="L247" s="60"/>
      <c r="M247" s="60"/>
      <c r="N247" s="62"/>
      <c r="R247" s="65"/>
      <c r="AG247" s="91"/>
    </row>
    <row r="248" ht="15.0" customHeight="1">
      <c r="B248" s="56"/>
      <c r="C248" s="56"/>
      <c r="G248" s="3"/>
      <c r="L248" s="60"/>
      <c r="M248" s="60"/>
      <c r="N248" s="62"/>
      <c r="R248" s="65"/>
      <c r="AG248" s="91"/>
    </row>
    <row r="249" ht="15.0" customHeight="1">
      <c r="B249" s="56"/>
      <c r="C249" s="56"/>
      <c r="G249" s="3"/>
      <c r="L249" s="60"/>
      <c r="M249" s="60"/>
      <c r="N249" s="62"/>
      <c r="R249" s="65"/>
      <c r="AG249" s="91"/>
    </row>
    <row r="250" ht="15.0" customHeight="1">
      <c r="B250" s="56"/>
      <c r="C250" s="56"/>
      <c r="G250" s="3"/>
      <c r="L250" s="60"/>
      <c r="M250" s="60"/>
      <c r="N250" s="62"/>
      <c r="R250" s="65"/>
      <c r="AG250" s="91"/>
    </row>
    <row r="251" ht="15.0" customHeight="1">
      <c r="B251" s="56"/>
      <c r="C251" s="56"/>
      <c r="G251" s="3"/>
      <c r="L251" s="60"/>
      <c r="M251" s="60"/>
      <c r="N251" s="62"/>
      <c r="R251" s="65"/>
      <c r="AG251" s="91"/>
    </row>
    <row r="252" ht="15.0" customHeight="1">
      <c r="B252" s="56"/>
      <c r="C252" s="56"/>
      <c r="G252" s="3"/>
      <c r="L252" s="60"/>
      <c r="M252" s="60"/>
      <c r="N252" s="62"/>
      <c r="R252" s="65"/>
      <c r="AG252" s="91"/>
    </row>
    <row r="253" ht="15.0" customHeight="1">
      <c r="B253" s="56"/>
      <c r="C253" s="56"/>
      <c r="G253" s="3"/>
      <c r="L253" s="60"/>
      <c r="M253" s="60"/>
      <c r="N253" s="62"/>
      <c r="R253" s="65"/>
      <c r="AG253" s="91"/>
    </row>
    <row r="254" ht="15.0" customHeight="1">
      <c r="B254" s="56"/>
      <c r="C254" s="56"/>
      <c r="G254" s="3"/>
      <c r="L254" s="60"/>
      <c r="M254" s="60"/>
      <c r="N254" s="62"/>
      <c r="R254" s="65"/>
      <c r="AG254" s="91"/>
    </row>
    <row r="255" ht="15.0" customHeight="1">
      <c r="B255" s="56"/>
      <c r="C255" s="56"/>
      <c r="G255" s="3"/>
      <c r="L255" s="60"/>
      <c r="M255" s="60"/>
      <c r="N255" s="62"/>
      <c r="R255" s="65"/>
      <c r="AG255" s="91"/>
    </row>
    <row r="256" ht="15.0" customHeight="1">
      <c r="B256" s="56"/>
      <c r="C256" s="56"/>
      <c r="G256" s="3"/>
      <c r="L256" s="60"/>
      <c r="M256" s="60"/>
      <c r="N256" s="62"/>
      <c r="R256" s="65"/>
      <c r="AG256" s="91"/>
    </row>
    <row r="257" ht="15.0" customHeight="1">
      <c r="B257" s="56"/>
      <c r="C257" s="56"/>
      <c r="G257" s="3"/>
      <c r="L257" s="60"/>
      <c r="M257" s="60"/>
      <c r="N257" s="62"/>
      <c r="R257" s="65"/>
      <c r="AG257" s="91"/>
    </row>
    <row r="258" ht="15.0" customHeight="1">
      <c r="B258" s="56"/>
      <c r="C258" s="56"/>
      <c r="G258" s="3"/>
      <c r="L258" s="60"/>
      <c r="M258" s="60"/>
      <c r="N258" s="62"/>
      <c r="R258" s="65"/>
      <c r="AG258" s="91"/>
    </row>
    <row r="259" ht="15.0" customHeight="1">
      <c r="B259" s="56"/>
      <c r="C259" s="56"/>
      <c r="G259" s="3"/>
      <c r="L259" s="60"/>
      <c r="M259" s="60"/>
      <c r="N259" s="62"/>
      <c r="R259" s="65"/>
      <c r="AG259" s="91"/>
    </row>
    <row r="260" ht="15.0" customHeight="1">
      <c r="B260" s="56"/>
      <c r="C260" s="56"/>
      <c r="G260" s="3"/>
      <c r="L260" s="60"/>
      <c r="M260" s="60"/>
      <c r="N260" s="62"/>
      <c r="R260" s="65"/>
      <c r="AG260" s="91"/>
    </row>
    <row r="261" ht="15.0" customHeight="1">
      <c r="B261" s="56"/>
      <c r="C261" s="56"/>
      <c r="G261" s="3"/>
      <c r="L261" s="60"/>
      <c r="M261" s="60"/>
      <c r="N261" s="62"/>
      <c r="R261" s="65"/>
      <c r="AG261" s="91"/>
    </row>
    <row r="262" ht="15.0" customHeight="1">
      <c r="B262" s="56"/>
      <c r="C262" s="56"/>
      <c r="G262" s="3"/>
      <c r="L262" s="60"/>
      <c r="M262" s="60"/>
      <c r="N262" s="62"/>
      <c r="R262" s="65"/>
      <c r="AG262" s="91"/>
    </row>
    <row r="263" ht="15.0" customHeight="1">
      <c r="B263" s="56"/>
      <c r="C263" s="56"/>
      <c r="G263" s="3"/>
      <c r="L263" s="60"/>
      <c r="M263" s="60"/>
      <c r="N263" s="62"/>
      <c r="R263" s="65"/>
      <c r="AG263" s="91"/>
    </row>
    <row r="264" ht="15.75" customHeight="1">
      <c r="AG264" s="91"/>
    </row>
    <row r="265" ht="15.75" customHeight="1">
      <c r="AG265" s="91"/>
    </row>
    <row r="266" ht="15.75" customHeight="1">
      <c r="AG266" s="91"/>
    </row>
    <row r="267" ht="15.75" customHeight="1">
      <c r="AG267" s="91"/>
    </row>
    <row r="268" ht="15.75" customHeight="1">
      <c r="AG268" s="91"/>
    </row>
    <row r="269" ht="15.75" customHeight="1">
      <c r="AG269" s="91"/>
    </row>
    <row r="270" ht="15.75" customHeight="1">
      <c r="AG270" s="91"/>
    </row>
    <row r="271" ht="15.75" customHeight="1">
      <c r="AG271" s="91"/>
    </row>
    <row r="272" ht="15.75" customHeight="1">
      <c r="AG272" s="91"/>
    </row>
    <row r="273" ht="15.75" customHeight="1">
      <c r="AG273" s="91"/>
    </row>
    <row r="274" ht="15.75" customHeight="1">
      <c r="AG274" s="91"/>
    </row>
    <row r="275" ht="15.75" customHeight="1">
      <c r="AG275" s="91"/>
    </row>
    <row r="276" ht="15.75" customHeight="1">
      <c r="AG276" s="91"/>
    </row>
    <row r="277" ht="15.75" customHeight="1">
      <c r="AG277" s="91"/>
    </row>
    <row r="278" ht="15.75" customHeight="1">
      <c r="AG278" s="91"/>
    </row>
    <row r="279" ht="15.75" customHeight="1">
      <c r="AG279" s="91"/>
    </row>
    <row r="280" ht="15.75" customHeight="1">
      <c r="AG280" s="91"/>
    </row>
    <row r="281" ht="15.75" customHeight="1">
      <c r="AG281" s="91"/>
    </row>
    <row r="282" ht="15.75" customHeight="1">
      <c r="AG282" s="91"/>
    </row>
    <row r="283" ht="15.75" customHeight="1">
      <c r="AG283" s="91"/>
    </row>
    <row r="284" ht="15.75" customHeight="1">
      <c r="AG284" s="91"/>
    </row>
    <row r="285" ht="15.75" customHeight="1">
      <c r="AG285" s="91"/>
    </row>
    <row r="286" ht="15.75" customHeight="1">
      <c r="AG286" s="91"/>
    </row>
    <row r="287" ht="15.75" customHeight="1">
      <c r="AG287" s="91"/>
    </row>
    <row r="288" ht="15.75" customHeight="1">
      <c r="AG288" s="91"/>
    </row>
    <row r="289" ht="15.75" customHeight="1">
      <c r="AG289" s="91"/>
    </row>
    <row r="290" ht="15.75" customHeight="1">
      <c r="AG290" s="91"/>
    </row>
    <row r="291" ht="15.75" customHeight="1">
      <c r="AG291" s="91"/>
    </row>
    <row r="292" ht="15.75" customHeight="1">
      <c r="AG292" s="91"/>
    </row>
    <row r="293" ht="15.75" customHeight="1">
      <c r="AG293" s="91"/>
    </row>
    <row r="294" ht="15.75" customHeight="1">
      <c r="AG294" s="91"/>
    </row>
    <row r="295" ht="15.75" customHeight="1">
      <c r="AG295" s="91"/>
    </row>
    <row r="296" ht="15.75" customHeight="1">
      <c r="AG296" s="91"/>
    </row>
    <row r="297" ht="15.75" customHeight="1">
      <c r="AG297" s="91"/>
    </row>
    <row r="298" ht="15.75" customHeight="1">
      <c r="AG298" s="91"/>
    </row>
    <row r="299" ht="15.75" customHeight="1">
      <c r="AG299" s="91"/>
    </row>
    <row r="300" ht="15.75" customHeight="1">
      <c r="AG300" s="91"/>
    </row>
    <row r="301" ht="15.75" customHeight="1">
      <c r="AG301" s="91"/>
    </row>
    <row r="302" ht="15.75" customHeight="1">
      <c r="AG302" s="91"/>
    </row>
    <row r="303" ht="15.75" customHeight="1">
      <c r="AG303" s="91"/>
    </row>
    <row r="304" ht="15.75" customHeight="1">
      <c r="AG304" s="91"/>
    </row>
    <row r="305" ht="15.75" customHeight="1"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L$4">
    <sortState ref="A3:AL4">
      <sortCondition ref="A3:A4"/>
    </sortState>
  </autoFilter>
  <printOptions/>
  <pageMargins bottom="0.75" footer="0.0" header="0.0" left="0.7" right="0.7" top="0.75"/>
  <pageSetup fitToHeight="0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  <col customWidth="1" min="39" max="39" width="15.29"/>
    <col customWidth="1" min="40" max="40" width="14.43"/>
  </cols>
  <sheetData>
    <row r="1" ht="15.0" customHeight="1">
      <c r="A1" s="67"/>
      <c r="D1" s="97" t="s">
        <v>540</v>
      </c>
      <c r="E1" s="98">
        <f>+E2/+(Q2/100)</f>
        <v>6233.526641</v>
      </c>
      <c r="F1" s="97" t="s">
        <v>241</v>
      </c>
      <c r="G1" s="98">
        <f>+$AL3</f>
        <v>452966.8154</v>
      </c>
      <c r="H1" s="4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  <c r="AM1" s="12"/>
      <c r="AN1" s="12"/>
    </row>
    <row r="2" ht="15.0" customHeight="1">
      <c r="B2" s="65"/>
      <c r="D2" s="97" t="s">
        <v>242</v>
      </c>
      <c r="E2" s="98">
        <f>+AH3</f>
        <v>5823.377095</v>
      </c>
      <c r="F2" s="99" t="s">
        <v>243</v>
      </c>
      <c r="G2" s="100">
        <f>+Q2</f>
        <v>93.42026481</v>
      </c>
      <c r="H2" s="13"/>
      <c r="I2" s="14">
        <f>SUBTOTAL(9,I4:I8599)</f>
        <v>755.68</v>
      </c>
      <c r="J2" s="4"/>
      <c r="K2" s="14">
        <f>SUBTOTAL(9,K4:K8599)</f>
        <v>666.359372</v>
      </c>
      <c r="L2" s="15">
        <f>SUMPRODUCT(L5:L8599,K5:K8599)/K2</f>
        <v>0.2730631454</v>
      </c>
      <c r="M2" s="2"/>
      <c r="P2" s="16">
        <f t="shared" ref="P2:Q2" si="1">+SUMPRODUCT(P5:P8599,AG5:AG8599)/SUM(AG5:AG8599)</f>
        <v>89.62537599</v>
      </c>
      <c r="Q2" s="16">
        <f t="shared" si="1"/>
        <v>93.42026481</v>
      </c>
      <c r="R2" s="12">
        <f>+SUMPRODUCT(R5:R8599,AH5:AH8599)/SUM(AH5:AH8599)</f>
        <v>3339.512069</v>
      </c>
      <c r="S2" s="2"/>
      <c r="AB2" s="7"/>
      <c r="AC2" s="7"/>
      <c r="AD2" s="7"/>
      <c r="AE2" s="7"/>
      <c r="AF2" s="7"/>
      <c r="AG2" s="17">
        <f>SUMPRODUCT($AG5:$AG8599,$K5:$K8599)/SUM($K5:$K8599)</f>
        <v>100.2558697</v>
      </c>
      <c r="AH2" s="18"/>
      <c r="AI2" s="19">
        <v>3350.0</v>
      </c>
      <c r="AJ2" s="20"/>
      <c r="AK2" s="11"/>
      <c r="AL2" s="21"/>
      <c r="AM2" s="21"/>
      <c r="AN2" s="21"/>
    </row>
    <row r="3" ht="15.0" customHeight="1">
      <c r="A3" s="22" t="s">
        <v>5</v>
      </c>
      <c r="B3" s="22" t="s">
        <v>6</v>
      </c>
      <c r="C3" s="22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SUBTOTAL(9,AH5:AH8599)</f>
        <v>5823.377095</v>
      </c>
      <c r="AI3" s="40">
        <f>SUMPRODUCT(K5:K8599,AI5:AI8599)/K2</f>
        <v>32.64270935</v>
      </c>
      <c r="AJ3" s="39">
        <f>SUBTOTAL(9,AJ5:AJ8599)</f>
        <v>5390.937431</v>
      </c>
      <c r="AK3" s="11"/>
      <c r="AL3" s="39">
        <f>SUBTOTAL(9,AL5:AL8599)</f>
        <v>452966.8154</v>
      </c>
      <c r="AM3" s="127" t="s">
        <v>542</v>
      </c>
      <c r="AN3" s="128" t="s">
        <v>543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  <c r="AM4" s="52"/>
      <c r="AN4" s="52"/>
    </row>
    <row r="5" ht="15.0" customHeight="1">
      <c r="A5" s="116" t="s">
        <v>1711</v>
      </c>
      <c r="B5" s="56">
        <v>45766.0</v>
      </c>
      <c r="C5" s="56">
        <v>45762.0</v>
      </c>
      <c r="D5" s="57" t="s">
        <v>295</v>
      </c>
      <c r="E5" s="57">
        <f t="array" ref="E5">XLOOKUP(D5,RUC!$B$3:$B$110,RUC!$D$3:$D$110)</f>
        <v>20601769396</v>
      </c>
      <c r="G5" s="3">
        <v>42.0</v>
      </c>
      <c r="H5" s="57" t="s">
        <v>40</v>
      </c>
      <c r="I5" s="57">
        <v>3.18</v>
      </c>
      <c r="J5" s="57">
        <v>15.6</v>
      </c>
      <c r="K5" s="59">
        <f t="shared" ref="K5:K7" si="2">+I5-(I5*(J5/100))</f>
        <v>2.68392</v>
      </c>
      <c r="L5" s="60">
        <v>0.322</v>
      </c>
      <c r="M5" s="60">
        <v>0.303</v>
      </c>
      <c r="N5" s="62">
        <v>0.303</v>
      </c>
      <c r="O5" s="60">
        <f t="shared" ref="O5:O7" si="3">+ROUND((M5+N5)/2,3)</f>
        <v>0.303</v>
      </c>
      <c r="P5" s="63">
        <v>90.0</v>
      </c>
      <c r="Q5" s="58">
        <v>90.1</v>
      </c>
      <c r="R5" s="65">
        <v>3219.6</v>
      </c>
      <c r="S5" s="66">
        <f t="shared" ref="S5:S7" si="4">IF((90+ROUNDDOWN(O5,1)*100)&lt;95,95,(90+ROUNDDOWN(O5,1)*100))</f>
        <v>120</v>
      </c>
      <c r="U5" s="67">
        <v>120.0</v>
      </c>
      <c r="V5" s="67">
        <v>1.1023</v>
      </c>
      <c r="Y5" s="57">
        <v>20.0</v>
      </c>
      <c r="Z5" s="69">
        <f t="shared" ref="Z5:Z7" si="5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7" si="6">+Y5+Z5</f>
        <v>50</v>
      </c>
      <c r="AB5" s="71">
        <f t="shared" ref="AB5:AB7" si="7">+((O5*P5*(R5-U5)/100)-S5-AA5+T5)*V5</f>
        <v>744.3401121</v>
      </c>
      <c r="AC5" s="71">
        <f>+(S5-T5)*V5-'data 1'!$F$4</f>
        <v>52.276</v>
      </c>
      <c r="AD5" s="71">
        <f t="shared" ref="AD5:AD7" si="8">+(Q5-P5)*(R5-U5)*L5*V5/100</f>
        <v>1.100173884</v>
      </c>
      <c r="AE5" s="71">
        <f t="shared" ref="AE5:AE7" si="9">+(Y5*V5-70)+V5*(Z5-IF(D5="UNTUCA",IF(+((W5-3)*2.5+(X5-3)*3.1)&gt;0,+((W5-3)*1.5+(X5-3)*3.1),0),IF(+((W5-3)*1.5+(X5-3)*3.1)&gt;0,+((W5-3)*1.5+(X5-3)*3.1),0)))</f>
        <v>-14.885</v>
      </c>
      <c r="AF5" s="71">
        <f t="shared" ref="AF5:AF7" si="10">(L5-O5)*(R5-U5)*Q5*V5/100</f>
        <v>58.49030036</v>
      </c>
      <c r="AG5" s="72">
        <f t="shared" ref="AG5:AG7" si="11">+IF(D5="RONALD WILLIAN GARIBAY ESCUDERO",AC5+AD5+AE5+AF5+70,AC5+AD5+AE5+AF5)+70-53</f>
        <v>113.9814742</v>
      </c>
      <c r="AH5" s="52">
        <f t="shared" ref="AH5:AH7" si="12">31.1035*L5*Q5*1.1023*K5/100</f>
        <v>26.69680557</v>
      </c>
      <c r="AI5" s="73">
        <f t="shared" ref="AI5:AI7" si="13">+((+$AI$2-R5+U5)*L5*Q5*V5)/100</f>
        <v>80.07829074</v>
      </c>
      <c r="AJ5" s="73">
        <f t="shared" ref="AJ5:AJ7" si="14">31.1035*1.1023*K5*P5*O5/100</f>
        <v>25.09364639</v>
      </c>
      <c r="AK5" s="11"/>
      <c r="AL5" s="51">
        <f t="shared" ref="AL5:AL7" si="15">+IF(AB5*K5&gt;0,AB5*K5,0)</f>
        <v>1997.749314</v>
      </c>
      <c r="AM5" s="51" t="str">
        <f t="array" ref="AM5">XLOOKUP(D5,RUC!$B$3:$B$62,RUC!$M$3:$M$62)</f>
        <v>Evelyn</v>
      </c>
      <c r="AN5" s="131" t="s">
        <v>558</v>
      </c>
    </row>
    <row r="6" ht="15.0" customHeight="1">
      <c r="A6" s="116" t="s">
        <v>1712</v>
      </c>
      <c r="B6" s="56">
        <v>45766.0</v>
      </c>
      <c r="C6" s="56">
        <v>45762.0</v>
      </c>
      <c r="D6" s="57" t="s">
        <v>295</v>
      </c>
      <c r="E6" s="57">
        <f t="array" ref="E6">XLOOKUP(D6,RUC!$B$3:$B$110,RUC!$D$3:$D$110)</f>
        <v>20601769396</v>
      </c>
      <c r="G6" s="3">
        <v>38.0</v>
      </c>
      <c r="H6" s="57" t="s">
        <v>40</v>
      </c>
      <c r="I6" s="57">
        <v>2.81</v>
      </c>
      <c r="J6" s="57">
        <v>12.6</v>
      </c>
      <c r="K6" s="59">
        <f t="shared" si="2"/>
        <v>2.45594</v>
      </c>
      <c r="L6" s="60">
        <v>0.401</v>
      </c>
      <c r="M6" s="60">
        <v>0.377</v>
      </c>
      <c r="N6" s="62">
        <v>0.377</v>
      </c>
      <c r="O6" s="60">
        <f t="shared" si="3"/>
        <v>0.377</v>
      </c>
      <c r="P6" s="63">
        <v>90.0</v>
      </c>
      <c r="Q6" s="58">
        <v>90.2</v>
      </c>
      <c r="R6" s="65">
        <v>3219.6</v>
      </c>
      <c r="S6" s="66">
        <f t="shared" si="4"/>
        <v>120</v>
      </c>
      <c r="U6" s="67">
        <v>120.0</v>
      </c>
      <c r="V6" s="67">
        <v>1.1023</v>
      </c>
      <c r="Y6" s="57">
        <v>20.0</v>
      </c>
      <c r="Z6" s="69">
        <f t="shared" si="5"/>
        <v>30</v>
      </c>
      <c r="AA6" s="70">
        <f t="shared" si="6"/>
        <v>50</v>
      </c>
      <c r="AB6" s="71">
        <f t="shared" si="7"/>
        <v>971.8916048</v>
      </c>
      <c r="AC6" s="71">
        <f>+(S6-T6)*V6-'data 1'!$F$4</f>
        <v>52.276</v>
      </c>
      <c r="AD6" s="71">
        <f t="shared" si="8"/>
        <v>2.740184642</v>
      </c>
      <c r="AE6" s="71">
        <f t="shared" si="9"/>
        <v>-14.885</v>
      </c>
      <c r="AF6" s="71">
        <f t="shared" si="10"/>
        <v>73.9644852</v>
      </c>
      <c r="AG6" s="72">
        <f t="shared" si="11"/>
        <v>131.0956698</v>
      </c>
      <c r="AH6" s="52">
        <f t="shared" si="12"/>
        <v>30.45634139</v>
      </c>
      <c r="AI6" s="73">
        <f t="shared" si="13"/>
        <v>99.8355103</v>
      </c>
      <c r="AJ6" s="73">
        <f t="shared" si="14"/>
        <v>28.57002902</v>
      </c>
      <c r="AK6" s="11"/>
      <c r="AL6" s="51">
        <f t="shared" si="15"/>
        <v>2386.907468</v>
      </c>
      <c r="AM6" s="51" t="str">
        <f t="array" ref="AM6">XLOOKUP(D6,RUC!$B$3:$B$62,RUC!$M$3:$M$62)</f>
        <v>Evelyn</v>
      </c>
      <c r="AN6" s="131" t="s">
        <v>558</v>
      </c>
    </row>
    <row r="7" ht="15.0" customHeight="1">
      <c r="A7" s="116" t="s">
        <v>1713</v>
      </c>
      <c r="B7" s="56">
        <v>45766.0</v>
      </c>
      <c r="C7" s="56">
        <v>45762.0</v>
      </c>
      <c r="D7" s="57" t="s">
        <v>295</v>
      </c>
      <c r="E7" s="57">
        <f t="array" ref="E7">XLOOKUP(D7,RUC!$B$3:$B$110,RUC!$D$3:$D$110)</f>
        <v>20601769396</v>
      </c>
      <c r="G7" s="3">
        <v>37.0</v>
      </c>
      <c r="H7" s="57" t="s">
        <v>40</v>
      </c>
      <c r="I7" s="57">
        <v>2.58</v>
      </c>
      <c r="J7" s="57">
        <v>14.35</v>
      </c>
      <c r="K7" s="59">
        <f t="shared" si="2"/>
        <v>2.20977</v>
      </c>
      <c r="L7" s="60">
        <v>0.354</v>
      </c>
      <c r="M7" s="60">
        <v>0.333</v>
      </c>
      <c r="N7" s="62">
        <v>0.333</v>
      </c>
      <c r="O7" s="60">
        <f t="shared" si="3"/>
        <v>0.333</v>
      </c>
      <c r="P7" s="63">
        <v>90.0</v>
      </c>
      <c r="Q7" s="58">
        <v>90.1</v>
      </c>
      <c r="R7" s="65">
        <v>3219.6</v>
      </c>
      <c r="S7" s="66">
        <f t="shared" si="4"/>
        <v>120</v>
      </c>
      <c r="U7" s="67">
        <v>120.0</v>
      </c>
      <c r="V7" s="67">
        <v>1.1023</v>
      </c>
      <c r="Y7" s="57">
        <v>20.0</v>
      </c>
      <c r="Z7" s="69">
        <f t="shared" si="5"/>
        <v>30</v>
      </c>
      <c r="AA7" s="70">
        <f t="shared" si="6"/>
        <v>50</v>
      </c>
      <c r="AB7" s="71">
        <f t="shared" si="7"/>
        <v>836.5907173</v>
      </c>
      <c r="AC7" s="71">
        <f>+(S7-T7)*V7-'data 1'!$F$4</f>
        <v>52.276</v>
      </c>
      <c r="AD7" s="71">
        <f t="shared" si="8"/>
        <v>1.209507934</v>
      </c>
      <c r="AE7" s="71">
        <f t="shared" si="9"/>
        <v>-14.885</v>
      </c>
      <c r="AF7" s="71">
        <f t="shared" si="10"/>
        <v>64.64717408</v>
      </c>
      <c r="AG7" s="72">
        <f t="shared" si="11"/>
        <v>120.247682</v>
      </c>
      <c r="AH7" s="52">
        <f t="shared" si="12"/>
        <v>24.16485511</v>
      </c>
      <c r="AI7" s="73">
        <f t="shared" si="13"/>
        <v>88.03638175</v>
      </c>
      <c r="AJ7" s="73">
        <f t="shared" si="14"/>
        <v>22.70611774</v>
      </c>
      <c r="AK7" s="11"/>
      <c r="AL7" s="51">
        <f t="shared" si="15"/>
        <v>1848.673069</v>
      </c>
      <c r="AM7" s="51" t="str">
        <f t="array" ref="AM7">XLOOKUP(D7,RUC!$B$3:$B$62,RUC!$M$3:$M$62)</f>
        <v>Evelyn</v>
      </c>
      <c r="AN7" s="131" t="s">
        <v>558</v>
      </c>
    </row>
    <row r="8" ht="15.0" customHeight="1">
      <c r="A8" s="117" t="s">
        <v>508</v>
      </c>
      <c r="B8" s="56"/>
      <c r="C8" s="56"/>
      <c r="G8" s="3"/>
      <c r="K8" s="59"/>
      <c r="L8" s="60"/>
      <c r="M8" s="60"/>
      <c r="N8" s="75"/>
      <c r="O8" s="60"/>
      <c r="P8" s="63"/>
      <c r="Q8" s="58"/>
      <c r="R8" s="65"/>
      <c r="S8" s="66"/>
      <c r="U8" s="67"/>
      <c r="V8" s="67"/>
      <c r="Z8" s="69"/>
      <c r="AA8" s="70"/>
      <c r="AB8" s="71"/>
      <c r="AC8" s="71"/>
      <c r="AD8" s="71"/>
      <c r="AE8" s="71"/>
      <c r="AF8" s="71"/>
      <c r="AG8" s="72"/>
      <c r="AH8" s="52"/>
      <c r="AI8" s="73"/>
      <c r="AJ8" s="73"/>
      <c r="AK8" s="11"/>
      <c r="AL8" s="51"/>
      <c r="AM8" s="51"/>
      <c r="AN8" s="131" t="s">
        <v>731</v>
      </c>
    </row>
    <row r="9" ht="15.0" customHeight="1">
      <c r="A9" s="117" t="s">
        <v>509</v>
      </c>
      <c r="B9" s="56"/>
      <c r="C9" s="56"/>
      <c r="G9" s="3"/>
      <c r="K9" s="59"/>
      <c r="L9" s="60"/>
      <c r="M9" s="60"/>
      <c r="N9" s="75"/>
      <c r="O9" s="60"/>
      <c r="P9" s="63"/>
      <c r="Q9" s="58"/>
      <c r="R9" s="65"/>
      <c r="S9" s="86"/>
      <c r="U9" s="67"/>
      <c r="V9" s="67"/>
      <c r="Z9" s="69"/>
      <c r="AA9" s="70"/>
      <c r="AB9" s="71"/>
      <c r="AC9" s="71"/>
      <c r="AD9" s="71"/>
      <c r="AE9" s="71"/>
      <c r="AF9" s="71"/>
      <c r="AG9" s="72"/>
      <c r="AH9" s="52"/>
      <c r="AI9" s="73"/>
      <c r="AJ9" s="73"/>
      <c r="AK9" s="11"/>
      <c r="AL9" s="51"/>
      <c r="AM9" s="51"/>
      <c r="AN9" s="131" t="s">
        <v>731</v>
      </c>
    </row>
    <row r="10" ht="15.0" customHeight="1">
      <c r="A10" s="117" t="s">
        <v>510</v>
      </c>
      <c r="B10" s="56"/>
      <c r="C10" s="56"/>
      <c r="G10" s="3"/>
      <c r="J10" s="58"/>
      <c r="K10" s="59"/>
      <c r="L10" s="60"/>
      <c r="M10" s="60"/>
      <c r="N10" s="75"/>
      <c r="O10" s="60"/>
      <c r="P10" s="63"/>
      <c r="Q10" s="58"/>
      <c r="R10" s="65"/>
      <c r="S10" s="66"/>
      <c r="U10" s="67"/>
      <c r="V10" s="67"/>
      <c r="Z10" s="69"/>
      <c r="AA10" s="70"/>
      <c r="AB10" s="71"/>
      <c r="AC10" s="71"/>
      <c r="AD10" s="71"/>
      <c r="AE10" s="71"/>
      <c r="AF10" s="71"/>
      <c r="AG10" s="72"/>
      <c r="AH10" s="52"/>
      <c r="AI10" s="73"/>
      <c r="AJ10" s="73"/>
      <c r="AK10" s="11"/>
      <c r="AL10" s="51"/>
      <c r="AM10" s="51"/>
      <c r="AN10" s="131" t="s">
        <v>731</v>
      </c>
    </row>
    <row r="11" ht="15.0" customHeight="1">
      <c r="A11" s="117" t="s">
        <v>511</v>
      </c>
      <c r="B11" s="56"/>
      <c r="C11" s="56"/>
      <c r="G11" s="3"/>
      <c r="J11" s="58"/>
      <c r="K11" s="59"/>
      <c r="L11" s="60"/>
      <c r="M11" s="60"/>
      <c r="N11" s="75"/>
      <c r="O11" s="60"/>
      <c r="P11" s="63"/>
      <c r="Q11" s="58"/>
      <c r="R11" s="65"/>
      <c r="S11" s="66"/>
      <c r="U11" s="67"/>
      <c r="V11" s="67"/>
      <c r="Z11" s="69"/>
      <c r="AA11" s="70"/>
      <c r="AB11" s="71"/>
      <c r="AC11" s="71"/>
      <c r="AD11" s="71"/>
      <c r="AE11" s="71"/>
      <c r="AF11" s="71"/>
      <c r="AG11" s="72"/>
      <c r="AH11" s="52"/>
      <c r="AI11" s="73"/>
      <c r="AJ11" s="73"/>
      <c r="AK11" s="11"/>
      <c r="AL11" s="51"/>
      <c r="AM11" s="51"/>
      <c r="AN11" s="131" t="s">
        <v>731</v>
      </c>
    </row>
    <row r="12" ht="15.0" customHeight="1">
      <c r="A12" s="116" t="s">
        <v>1714</v>
      </c>
      <c r="B12" s="56">
        <v>45797.0</v>
      </c>
      <c r="C12" s="56">
        <v>45779.0</v>
      </c>
      <c r="D12" s="57" t="s">
        <v>225</v>
      </c>
      <c r="E12" s="57">
        <f t="array" ref="E12">XLOOKUP(D12,RUC!$B$3:$B$110,RUC!$D$3:$D$110)</f>
        <v>10761932735</v>
      </c>
      <c r="G12" s="3">
        <v>73.0</v>
      </c>
      <c r="H12" s="57" t="s">
        <v>47</v>
      </c>
      <c r="I12" s="57">
        <v>5.64</v>
      </c>
      <c r="J12" s="58">
        <v>28.05</v>
      </c>
      <c r="K12" s="59">
        <f t="shared" ref="K12:K20" si="16">+I12-(I12*(J12/100))</f>
        <v>4.05798</v>
      </c>
      <c r="L12" s="60">
        <v>0.234</v>
      </c>
      <c r="M12" s="60">
        <v>0.218</v>
      </c>
      <c r="N12" s="62">
        <v>0.218</v>
      </c>
      <c r="O12" s="60">
        <f t="shared" ref="O12:O20" si="17">+ROUND((M12+N12)/2,3)</f>
        <v>0.218</v>
      </c>
      <c r="P12" s="63">
        <v>90.0</v>
      </c>
      <c r="Q12" s="58">
        <v>91.78</v>
      </c>
      <c r="R12" s="65">
        <v>3249.7</v>
      </c>
      <c r="S12" s="66">
        <f t="shared" ref="S12:S15" si="18">IF((90+ROUNDDOWN(O12,1)*100)&lt;95,95,(90+ROUNDDOWN(O12,1)*100))</f>
        <v>110</v>
      </c>
      <c r="U12" s="67">
        <v>140.0</v>
      </c>
      <c r="V12" s="67">
        <v>1.1023</v>
      </c>
      <c r="Z12" s="69">
        <f t="shared" ref="Z12:Z20" si="19">IF(IF(D12="UNTUCA",IF(+((W12-3)*1.5+(X12-3)*3.1)&gt;0,+((W12-3)*1.5+(X12-3)*3.1),0),IF(+((W12-3)*1.5+(X12-3)*3.1)&gt;0,+((W12-3)*1.5+(X12-3)*3.1),0))&lt;30,30,IF(D12="UNTUCA",IF(+((W12-3)*1.5+(X12-3)*3.1)&gt;0,+((W12-3)*1.5+(X12-3)*3.1),0),IF(+((W12-3)*1.5+(X12-3)*3.1)&gt;0,+((W12-3)*1.5+(X12-3)*3.1),0)))</f>
        <v>30</v>
      </c>
      <c r="AA12" s="70">
        <f t="shared" ref="AA12:AA20" si="20">+Y12+Z12</f>
        <v>30</v>
      </c>
      <c r="AB12" s="71">
        <f t="shared" ref="AB12:AB20" si="21">+((O12*P12*(R12-U12)/100)-S12-AA12+T12)*V12</f>
        <v>518.2167372</v>
      </c>
      <c r="AC12" s="71">
        <f>+(S12-T12)*V12-'data 1'!$F$4</f>
        <v>41.253</v>
      </c>
      <c r="AD12" s="71">
        <f t="shared" ref="AD12:AD20" si="22">+(Q12-P12)*(R12-U12)*L12*V12/100</f>
        <v>14.27756549</v>
      </c>
      <c r="AE12" s="71">
        <f t="shared" ref="AE12:AE20" si="23">+(Y12*V12-70)+V12*(Z12-IF(D12="UNTUCA",IF(+((W12-3)*2.5+(X12-3)*3.1)&gt;0,+((W12-3)*1.5+(X12-3)*3.1),0),IF(+((W12-3)*1.5+(X12-3)*3.1)&gt;0,+((W12-3)*1.5+(X12-3)*3.1),0)))</f>
        <v>-36.931</v>
      </c>
      <c r="AF12" s="71">
        <f t="shared" ref="AF12:AF20" si="24">(L12-O12)*(R12-U12)*Q12*V12/100</f>
        <v>50.33688506</v>
      </c>
      <c r="AG12" s="72">
        <f t="shared" ref="AG12:AG20" si="25">+IF(D12="RONALD WILLIAN GARIBAY ESCUDERO",AC12+AD12+AE12+AF12+70,AC12+AD12+AE12+AF12)+70-53</f>
        <v>85.93645054</v>
      </c>
      <c r="AH12" s="52">
        <f t="shared" ref="AH12:AH20" si="26">31.1035*L12*Q12*1.1023*K12/100</f>
        <v>29.8801575</v>
      </c>
      <c r="AI12" s="73">
        <f t="shared" ref="AI12:AI20" si="27">+((+$AI$2-R12+U12)*L12*Q12*V12)/100</f>
        <v>56.88758389</v>
      </c>
      <c r="AJ12" s="73">
        <f t="shared" ref="AJ12:AJ20" si="28">31.1035*1.1023*K12*P12*O12/100</f>
        <v>27.29719201</v>
      </c>
      <c r="AK12" s="11"/>
      <c r="AL12" s="51">
        <f t="shared" ref="AL12:AL108" si="29">+IF(AB12*K12&gt;0,AB12*K12,0)</f>
        <v>2102.913155</v>
      </c>
      <c r="AM12" s="51" t="str">
        <f t="array" ref="AM12">XLOOKUP(D12,RUC!$B$3:$B$62,RUC!$M$3:$M$62)</f>
        <v>Richard Sapacayo</v>
      </c>
      <c r="AN12" s="131" t="s">
        <v>551</v>
      </c>
    </row>
    <row r="13" ht="15.0" customHeight="1">
      <c r="A13" s="116" t="s">
        <v>1715</v>
      </c>
      <c r="B13" s="56">
        <v>45797.0</v>
      </c>
      <c r="C13" s="56">
        <v>45779.0</v>
      </c>
      <c r="D13" s="57" t="s">
        <v>225</v>
      </c>
      <c r="E13" s="57">
        <f t="array" ref="E13">XLOOKUP(D13,RUC!$B$3:$B$110,RUC!$D$3:$D$110)</f>
        <v>10761932735</v>
      </c>
      <c r="G13" s="3">
        <v>18.0</v>
      </c>
      <c r="H13" s="57" t="s">
        <v>47</v>
      </c>
      <c r="I13" s="57">
        <v>1.17</v>
      </c>
      <c r="J13" s="58">
        <v>25.55</v>
      </c>
      <c r="K13" s="59">
        <f t="shared" si="16"/>
        <v>0.871065</v>
      </c>
      <c r="L13" s="60">
        <v>0.216</v>
      </c>
      <c r="M13" s="60">
        <v>0.201</v>
      </c>
      <c r="N13" s="62">
        <v>0.201</v>
      </c>
      <c r="O13" s="60">
        <f t="shared" si="17"/>
        <v>0.201</v>
      </c>
      <c r="P13" s="63">
        <v>90.0</v>
      </c>
      <c r="Q13" s="58">
        <v>91.43</v>
      </c>
      <c r="R13" s="65">
        <v>3249.7</v>
      </c>
      <c r="S13" s="66">
        <f t="shared" si="18"/>
        <v>110</v>
      </c>
      <c r="U13" s="67">
        <v>140.0</v>
      </c>
      <c r="V13" s="67">
        <v>1.1023</v>
      </c>
      <c r="Z13" s="69">
        <f t="shared" si="19"/>
        <v>30</v>
      </c>
      <c r="AA13" s="70">
        <f t="shared" si="20"/>
        <v>30</v>
      </c>
      <c r="AB13" s="71">
        <f t="shared" si="21"/>
        <v>465.7710559</v>
      </c>
      <c r="AC13" s="71">
        <f>+(S13-T13)*V13-'data 1'!$F$4</f>
        <v>41.253</v>
      </c>
      <c r="AD13" s="71">
        <f t="shared" si="22"/>
        <v>10.58785755</v>
      </c>
      <c r="AE13" s="71">
        <f t="shared" si="23"/>
        <v>-36.931</v>
      </c>
      <c r="AF13" s="71">
        <f t="shared" si="24"/>
        <v>47.01086907</v>
      </c>
      <c r="AG13" s="72">
        <f t="shared" si="25"/>
        <v>78.92072662</v>
      </c>
      <c r="AH13" s="52">
        <f t="shared" si="26"/>
        <v>5.897963819</v>
      </c>
      <c r="AI13" s="73">
        <f t="shared" si="27"/>
        <v>52.31136459</v>
      </c>
      <c r="AJ13" s="73">
        <f t="shared" si="28"/>
        <v>5.402542599</v>
      </c>
      <c r="AK13" s="11"/>
      <c r="AL13" s="51">
        <f t="shared" si="29"/>
        <v>405.7168648</v>
      </c>
      <c r="AM13" s="51" t="str">
        <f t="array" ref="AM13">XLOOKUP(D13,RUC!$B$3:$B$62,RUC!$M$3:$M$62)</f>
        <v>Richard Sapacayo</v>
      </c>
      <c r="AN13" s="131" t="s">
        <v>558</v>
      </c>
    </row>
    <row r="14" ht="15.0" customHeight="1">
      <c r="A14" s="116" t="s">
        <v>1716</v>
      </c>
      <c r="B14" s="56">
        <v>45797.0</v>
      </c>
      <c r="C14" s="56">
        <v>45779.0</v>
      </c>
      <c r="D14" s="57" t="s">
        <v>225</v>
      </c>
      <c r="E14" s="57">
        <f t="array" ref="E14">XLOOKUP(D14,RUC!$B$3:$B$110,RUC!$D$3:$D$110)</f>
        <v>10761932735</v>
      </c>
      <c r="G14" s="3">
        <v>78.0</v>
      </c>
      <c r="H14" s="57" t="s">
        <v>47</v>
      </c>
      <c r="I14" s="57">
        <v>5.82</v>
      </c>
      <c r="J14" s="58">
        <v>23.85</v>
      </c>
      <c r="K14" s="59">
        <f t="shared" si="16"/>
        <v>4.43193</v>
      </c>
      <c r="L14" s="60">
        <v>0.324</v>
      </c>
      <c r="M14" s="60">
        <v>0.305</v>
      </c>
      <c r="N14" s="62">
        <v>0.305</v>
      </c>
      <c r="O14" s="60">
        <f t="shared" si="17"/>
        <v>0.305</v>
      </c>
      <c r="P14" s="63">
        <v>90.0</v>
      </c>
      <c r="Q14" s="58">
        <v>91.07</v>
      </c>
      <c r="R14" s="65">
        <v>3249.7</v>
      </c>
      <c r="S14" s="66">
        <f t="shared" si="18"/>
        <v>120</v>
      </c>
      <c r="U14" s="67">
        <v>140.0</v>
      </c>
      <c r="V14" s="67">
        <v>1.1023</v>
      </c>
      <c r="Z14" s="69">
        <f t="shared" si="19"/>
        <v>30</v>
      </c>
      <c r="AA14" s="70">
        <f t="shared" si="20"/>
        <v>30</v>
      </c>
      <c r="AB14" s="71">
        <f t="shared" si="21"/>
        <v>775.5922241</v>
      </c>
      <c r="AC14" s="71">
        <f>+(S14-T14)*V14-'data 1'!$F$4</f>
        <v>52.276</v>
      </c>
      <c r="AD14" s="71">
        <f t="shared" si="22"/>
        <v>11.88357438</v>
      </c>
      <c r="AE14" s="71">
        <f t="shared" si="23"/>
        <v>-36.931</v>
      </c>
      <c r="AF14" s="71">
        <f t="shared" si="24"/>
        <v>59.31263778</v>
      </c>
      <c r="AG14" s="72">
        <f t="shared" si="25"/>
        <v>103.5412122</v>
      </c>
      <c r="AH14" s="52">
        <f t="shared" si="26"/>
        <v>44.83553005</v>
      </c>
      <c r="AI14" s="73">
        <f t="shared" si="27"/>
        <v>78.15808771</v>
      </c>
      <c r="AJ14" s="73">
        <f t="shared" si="28"/>
        <v>41.71039574</v>
      </c>
      <c r="AK14" s="11"/>
      <c r="AL14" s="51">
        <f t="shared" si="29"/>
        <v>3437.370446</v>
      </c>
      <c r="AM14" s="51" t="str">
        <f t="array" ref="AM14">XLOOKUP(D14,RUC!$B$3:$B$62,RUC!$M$3:$M$62)</f>
        <v>Richard Sapacayo</v>
      </c>
      <c r="AN14" s="131" t="s">
        <v>558</v>
      </c>
    </row>
    <row r="15" ht="15.0" customHeight="1">
      <c r="A15" s="116" t="s">
        <v>1717</v>
      </c>
      <c r="B15" s="56">
        <v>45797.0</v>
      </c>
      <c r="C15" s="56">
        <v>45779.0</v>
      </c>
      <c r="D15" s="57" t="s">
        <v>225</v>
      </c>
      <c r="E15" s="57">
        <f t="array" ref="E15">XLOOKUP(D15,RUC!$B$3:$B$110,RUC!$D$3:$D$110)</f>
        <v>10761932735</v>
      </c>
      <c r="G15" s="3" t="s">
        <v>46</v>
      </c>
      <c r="H15" s="57" t="s">
        <v>47</v>
      </c>
      <c r="I15" s="57">
        <v>11.54</v>
      </c>
      <c r="J15" s="58">
        <v>21.08</v>
      </c>
      <c r="K15" s="59">
        <f t="shared" si="16"/>
        <v>9.107368</v>
      </c>
      <c r="L15" s="60">
        <v>0.181</v>
      </c>
      <c r="M15" s="60">
        <v>0.166</v>
      </c>
      <c r="N15" s="62">
        <v>0.166</v>
      </c>
      <c r="O15" s="60">
        <f t="shared" si="17"/>
        <v>0.166</v>
      </c>
      <c r="P15" s="63">
        <v>90.0</v>
      </c>
      <c r="Q15" s="58">
        <v>89.0</v>
      </c>
      <c r="R15" s="65">
        <v>3249.7</v>
      </c>
      <c r="S15" s="66">
        <f t="shared" si="18"/>
        <v>100</v>
      </c>
      <c r="U15" s="67">
        <v>140.0</v>
      </c>
      <c r="V15" s="67">
        <v>1.1023</v>
      </c>
      <c r="Z15" s="69">
        <f t="shared" si="19"/>
        <v>30</v>
      </c>
      <c r="AA15" s="70">
        <f t="shared" si="20"/>
        <v>30</v>
      </c>
      <c r="AB15" s="71">
        <f t="shared" si="21"/>
        <v>368.8176531</v>
      </c>
      <c r="AC15" s="71">
        <f>+(S15-T15)*V15-'data 1'!$F$4</f>
        <v>30.23</v>
      </c>
      <c r="AD15" s="71">
        <f t="shared" si="22"/>
        <v>-6.204358381</v>
      </c>
      <c r="AE15" s="71">
        <f t="shared" si="23"/>
        <v>-36.931</v>
      </c>
      <c r="AF15" s="71">
        <f t="shared" si="24"/>
        <v>45.76142784</v>
      </c>
      <c r="AG15" s="72">
        <f t="shared" si="25"/>
        <v>49.85606946</v>
      </c>
      <c r="AH15" s="52">
        <f t="shared" si="26"/>
        <v>50.30029547</v>
      </c>
      <c r="AI15" s="73">
        <f t="shared" si="27"/>
        <v>42.66995253</v>
      </c>
      <c r="AJ15" s="73">
        <f t="shared" si="28"/>
        <v>46.65009711</v>
      </c>
      <c r="AK15" s="11"/>
      <c r="AL15" s="51">
        <f t="shared" si="29"/>
        <v>3358.958092</v>
      </c>
      <c r="AM15" s="51" t="str">
        <f t="array" ref="AM15">XLOOKUP(D15,RUC!$B$3:$B$62,RUC!$M$3:$M$62)</f>
        <v>Richard Sapacayo</v>
      </c>
      <c r="AN15" s="131" t="s">
        <v>558</v>
      </c>
    </row>
    <row r="16" ht="15.0" customHeight="1">
      <c r="A16" s="116" t="s">
        <v>1718</v>
      </c>
      <c r="B16" s="56">
        <v>45795.0</v>
      </c>
      <c r="C16" s="56">
        <v>45783.0</v>
      </c>
      <c r="D16" s="57" t="s">
        <v>45</v>
      </c>
      <c r="E16" s="57">
        <f t="array" ref="E16">XLOOKUP(D16,RUC!$B$3:$B$110,RUC!$D$3:$D$110)</f>
        <v>10416085884</v>
      </c>
      <c r="G16" s="3" t="s">
        <v>46</v>
      </c>
      <c r="H16" s="57" t="s">
        <v>47</v>
      </c>
      <c r="I16" s="58">
        <v>33.77</v>
      </c>
      <c r="J16" s="58">
        <v>9.65</v>
      </c>
      <c r="K16" s="59">
        <f t="shared" si="16"/>
        <v>30.511195</v>
      </c>
      <c r="L16" s="123">
        <v>0.31</v>
      </c>
      <c r="M16" s="123">
        <v>0.31</v>
      </c>
      <c r="N16" s="123">
        <v>0.31</v>
      </c>
      <c r="O16" s="60">
        <f t="shared" si="17"/>
        <v>0.31</v>
      </c>
      <c r="P16" s="63">
        <v>90.0</v>
      </c>
      <c r="Q16" s="58">
        <v>91.51</v>
      </c>
      <c r="R16" s="65">
        <v>3391.45</v>
      </c>
      <c r="S16" s="66">
        <v>110.0</v>
      </c>
      <c r="U16" s="67">
        <v>90.0</v>
      </c>
      <c r="V16" s="67">
        <v>1.1023</v>
      </c>
      <c r="Z16" s="69">
        <f t="shared" si="19"/>
        <v>30</v>
      </c>
      <c r="AA16" s="70">
        <f t="shared" si="20"/>
        <v>30</v>
      </c>
      <c r="AB16" s="71">
        <f t="shared" si="21"/>
        <v>861.0115455</v>
      </c>
      <c r="AC16" s="71">
        <f>+(S16-T16)*V16-'data 1'!$F$4</f>
        <v>41.253</v>
      </c>
      <c r="AD16" s="71">
        <f t="shared" si="22"/>
        <v>17.0350406</v>
      </c>
      <c r="AE16" s="71">
        <f t="shared" si="23"/>
        <v>-36.931</v>
      </c>
      <c r="AF16" s="71">
        <f t="shared" si="24"/>
        <v>0</v>
      </c>
      <c r="AG16" s="72">
        <f t="shared" si="25"/>
        <v>38.3570406</v>
      </c>
      <c r="AH16" s="52">
        <f t="shared" si="26"/>
        <v>296.7553354</v>
      </c>
      <c r="AI16" s="73">
        <f t="shared" si="27"/>
        <v>15.18166104</v>
      </c>
      <c r="AJ16" s="73">
        <f t="shared" si="28"/>
        <v>291.8585968</v>
      </c>
      <c r="AK16" s="11"/>
      <c r="AL16" s="51">
        <f t="shared" si="29"/>
        <v>26270.49116</v>
      </c>
      <c r="AM16" s="51" t="str">
        <f t="array" ref="AM16">XLOOKUP(D16,RUC!$B$3:$B$62,RUC!$M$3:$M$62)</f>
        <v>Alfred Torres</v>
      </c>
      <c r="AN16" s="131" t="s">
        <v>558</v>
      </c>
    </row>
    <row r="17" ht="15.0" customHeight="1">
      <c r="A17" s="116" t="s">
        <v>1719</v>
      </c>
      <c r="B17" s="56">
        <v>45795.0</v>
      </c>
      <c r="C17" s="56">
        <v>45783.0</v>
      </c>
      <c r="D17" s="57" t="s">
        <v>45</v>
      </c>
      <c r="E17" s="57">
        <f t="array" ref="E17">XLOOKUP(D17,RUC!$B$3:$B$110,RUC!$D$3:$D$110)</f>
        <v>10416085884</v>
      </c>
      <c r="G17" s="3" t="s">
        <v>46</v>
      </c>
      <c r="H17" s="57" t="s">
        <v>47</v>
      </c>
      <c r="I17" s="58">
        <v>32.13</v>
      </c>
      <c r="J17" s="58">
        <v>17.1</v>
      </c>
      <c r="K17" s="59">
        <f t="shared" si="16"/>
        <v>26.63577</v>
      </c>
      <c r="L17" s="123">
        <v>0.211</v>
      </c>
      <c r="M17" s="123">
        <v>0.211</v>
      </c>
      <c r="N17" s="123">
        <v>0.211</v>
      </c>
      <c r="O17" s="60">
        <f t="shared" si="17"/>
        <v>0.211</v>
      </c>
      <c r="P17" s="63">
        <v>90.0</v>
      </c>
      <c r="Q17" s="58">
        <v>93.83</v>
      </c>
      <c r="R17" s="65">
        <v>3391.45</v>
      </c>
      <c r="S17" s="66">
        <v>100.0</v>
      </c>
      <c r="U17" s="67">
        <v>90.0</v>
      </c>
      <c r="V17" s="67">
        <v>1.1023</v>
      </c>
      <c r="Z17" s="69">
        <f t="shared" si="19"/>
        <v>30</v>
      </c>
      <c r="AA17" s="70">
        <f t="shared" si="20"/>
        <v>30</v>
      </c>
      <c r="AB17" s="71">
        <f t="shared" si="21"/>
        <v>547.7828648</v>
      </c>
      <c r="AC17" s="71">
        <f>+(S17-T17)*V17-'data 1'!$F$4</f>
        <v>30.23</v>
      </c>
      <c r="AD17" s="71">
        <f t="shared" si="22"/>
        <v>29.40937269</v>
      </c>
      <c r="AE17" s="71">
        <f t="shared" si="23"/>
        <v>-36.931</v>
      </c>
      <c r="AF17" s="71">
        <f t="shared" si="24"/>
        <v>0</v>
      </c>
      <c r="AG17" s="72">
        <f t="shared" si="25"/>
        <v>39.70837269</v>
      </c>
      <c r="AH17" s="52">
        <f t="shared" si="26"/>
        <v>180.8000295</v>
      </c>
      <c r="AI17" s="73">
        <f t="shared" si="27"/>
        <v>10.59529891</v>
      </c>
      <c r="AJ17" s="73">
        <f t="shared" si="28"/>
        <v>173.4200432</v>
      </c>
      <c r="AK17" s="11"/>
      <c r="AL17" s="51">
        <f t="shared" si="29"/>
        <v>14590.6184</v>
      </c>
      <c r="AM17" s="51" t="str">
        <f t="array" ref="AM17">XLOOKUP(D17,RUC!$B$3:$B$62,RUC!$M$3:$M$62)</f>
        <v>Alfred Torres</v>
      </c>
      <c r="AN17" s="131" t="s">
        <v>551</v>
      </c>
    </row>
    <row r="18" ht="15.0" customHeight="1">
      <c r="A18" s="116" t="s">
        <v>1720</v>
      </c>
      <c r="B18" s="56">
        <v>45793.0</v>
      </c>
      <c r="C18" s="56">
        <v>45787.0</v>
      </c>
      <c r="D18" s="57" t="s">
        <v>45</v>
      </c>
      <c r="E18" s="57">
        <f t="array" ref="E18">XLOOKUP(D18,RUC!$B$3:$B$110,RUC!$D$3:$D$110)</f>
        <v>10416085884</v>
      </c>
      <c r="G18" s="3">
        <v>200.0</v>
      </c>
      <c r="H18" s="57" t="s">
        <v>47</v>
      </c>
      <c r="I18" s="58">
        <v>8.91</v>
      </c>
      <c r="J18" s="58">
        <v>4.9</v>
      </c>
      <c r="K18" s="59">
        <f t="shared" si="16"/>
        <v>8.47341</v>
      </c>
      <c r="L18" s="60">
        <v>0.331</v>
      </c>
      <c r="M18" s="60">
        <v>0.311</v>
      </c>
      <c r="N18" s="62">
        <v>0.311</v>
      </c>
      <c r="O18" s="60">
        <f t="shared" si="17"/>
        <v>0.311</v>
      </c>
      <c r="P18" s="63">
        <v>90.0</v>
      </c>
      <c r="Q18" s="58">
        <v>96.46</v>
      </c>
      <c r="R18" s="65">
        <v>3324.55</v>
      </c>
      <c r="S18" s="66">
        <v>110.0</v>
      </c>
      <c r="U18" s="67">
        <v>90.0</v>
      </c>
      <c r="V18" s="67">
        <v>1.1023</v>
      </c>
      <c r="Z18" s="69">
        <f t="shared" si="19"/>
        <v>30</v>
      </c>
      <c r="AA18" s="70">
        <f t="shared" si="20"/>
        <v>30</v>
      </c>
      <c r="AB18" s="71">
        <f t="shared" si="21"/>
        <v>843.6459058</v>
      </c>
      <c r="AC18" s="71">
        <f>+(S18-T18)*V18-'data 1'!$F$4</f>
        <v>41.253</v>
      </c>
      <c r="AD18" s="71">
        <f t="shared" si="22"/>
        <v>76.23847282</v>
      </c>
      <c r="AE18" s="71">
        <f t="shared" si="23"/>
        <v>-36.931</v>
      </c>
      <c r="AF18" s="71">
        <f t="shared" si="24"/>
        <v>68.78455462</v>
      </c>
      <c r="AG18" s="72">
        <f t="shared" si="25"/>
        <v>166.3450274</v>
      </c>
      <c r="AH18" s="52">
        <f t="shared" si="26"/>
        <v>92.75611313</v>
      </c>
      <c r="AI18" s="73">
        <f t="shared" si="27"/>
        <v>40.63207449</v>
      </c>
      <c r="AJ18" s="73">
        <f t="shared" si="28"/>
        <v>81.31491057</v>
      </c>
      <c r="AK18" s="11"/>
      <c r="AL18" s="51">
        <f t="shared" si="29"/>
        <v>7148.557654</v>
      </c>
      <c r="AM18" s="51" t="str">
        <f t="array" ref="AM18">XLOOKUP(D18,RUC!$B$3:$B$62,RUC!$M$3:$M$62)</f>
        <v>Alfred Torres</v>
      </c>
      <c r="AN18" s="131" t="s">
        <v>551</v>
      </c>
    </row>
    <row r="19" ht="15.0" customHeight="1">
      <c r="A19" s="116" t="s">
        <v>1721</v>
      </c>
      <c r="B19" s="56">
        <v>45793.0</v>
      </c>
      <c r="C19" s="56">
        <v>45787.0</v>
      </c>
      <c r="D19" s="57" t="s">
        <v>45</v>
      </c>
      <c r="E19" s="57">
        <f t="array" ref="E19">XLOOKUP(D19,RUC!$B$3:$B$110,RUC!$D$3:$D$110)</f>
        <v>10416085884</v>
      </c>
      <c r="G19" s="3" t="s">
        <v>46</v>
      </c>
      <c r="H19" s="57" t="s">
        <v>47</v>
      </c>
      <c r="I19" s="58">
        <v>2.08</v>
      </c>
      <c r="J19" s="58">
        <v>8.5</v>
      </c>
      <c r="K19" s="59">
        <f t="shared" si="16"/>
        <v>1.9032</v>
      </c>
      <c r="L19" s="60">
        <v>0.191</v>
      </c>
      <c r="M19" s="60">
        <v>0.176</v>
      </c>
      <c r="N19" s="62">
        <v>0.176</v>
      </c>
      <c r="O19" s="60">
        <f t="shared" si="17"/>
        <v>0.176</v>
      </c>
      <c r="P19" s="63">
        <v>90.0</v>
      </c>
      <c r="Q19" s="58">
        <v>94.76</v>
      </c>
      <c r="R19" s="65">
        <v>3324.55</v>
      </c>
      <c r="S19" s="66">
        <f t="shared" ref="S19:S20" si="30">IF((90+ROUNDDOWN(O19,1)*100)&lt;95,95,(90+ROUNDDOWN(O19,1)*100))</f>
        <v>100</v>
      </c>
      <c r="U19" s="67">
        <v>90.0</v>
      </c>
      <c r="V19" s="67">
        <v>1.1023</v>
      </c>
      <c r="Z19" s="69">
        <f t="shared" si="19"/>
        <v>30</v>
      </c>
      <c r="AA19" s="70">
        <f t="shared" si="20"/>
        <v>30</v>
      </c>
      <c r="AB19" s="71">
        <f t="shared" si="21"/>
        <v>421.4674033</v>
      </c>
      <c r="AC19" s="71">
        <f>+(S19-T19)*V19-'data 1'!$F$4</f>
        <v>30.23</v>
      </c>
      <c r="AD19" s="71">
        <f t="shared" si="22"/>
        <v>32.4155949</v>
      </c>
      <c r="AE19" s="71">
        <f t="shared" si="23"/>
        <v>-36.931</v>
      </c>
      <c r="AF19" s="71">
        <f t="shared" si="24"/>
        <v>50.67922763</v>
      </c>
      <c r="AG19" s="72">
        <f t="shared" si="25"/>
        <v>93.39382252</v>
      </c>
      <c r="AH19" s="52">
        <f t="shared" si="26"/>
        <v>11.81005493</v>
      </c>
      <c r="AI19" s="73">
        <f t="shared" si="27"/>
        <v>23.03308785</v>
      </c>
      <c r="AJ19" s="73">
        <f t="shared" si="28"/>
        <v>10.33590897</v>
      </c>
      <c r="AK19" s="11"/>
      <c r="AL19" s="51">
        <f t="shared" si="29"/>
        <v>802.1367619</v>
      </c>
      <c r="AM19" s="51" t="str">
        <f t="array" ref="AM19">XLOOKUP(D19,RUC!$B$3:$B$62,RUC!$M$3:$M$62)</f>
        <v>Alfred Torres</v>
      </c>
      <c r="AN19" s="131" t="s">
        <v>558</v>
      </c>
    </row>
    <row r="20" ht="15.0" customHeight="1">
      <c r="A20" s="116" t="s">
        <v>1722</v>
      </c>
      <c r="B20" s="56">
        <v>45732.0</v>
      </c>
      <c r="C20" s="56">
        <v>45787.0</v>
      </c>
      <c r="D20" s="57" t="s">
        <v>45</v>
      </c>
      <c r="E20" s="57">
        <f t="array" ref="E20">XLOOKUP(D20,RUC!$B$3:$B$110,RUC!$D$3:$D$110)</f>
        <v>10416085884</v>
      </c>
      <c r="G20" s="3" t="s">
        <v>46</v>
      </c>
      <c r="H20" s="57" t="s">
        <v>47</v>
      </c>
      <c r="I20" s="58">
        <v>24.14</v>
      </c>
      <c r="J20" s="58">
        <v>8.6</v>
      </c>
      <c r="K20" s="59">
        <f t="shared" si="16"/>
        <v>22.06396</v>
      </c>
      <c r="L20" s="60">
        <v>0.17</v>
      </c>
      <c r="M20" s="60">
        <v>0.154</v>
      </c>
      <c r="N20" s="62">
        <v>0.154</v>
      </c>
      <c r="O20" s="60">
        <f t="shared" si="17"/>
        <v>0.154</v>
      </c>
      <c r="P20" s="63">
        <v>90.0</v>
      </c>
      <c r="Q20" s="58">
        <v>98.23</v>
      </c>
      <c r="R20" s="65">
        <v>3324.55</v>
      </c>
      <c r="S20" s="66">
        <f t="shared" si="30"/>
        <v>100</v>
      </c>
      <c r="U20" s="67">
        <v>90.0</v>
      </c>
      <c r="V20" s="67">
        <v>1.1023</v>
      </c>
      <c r="Z20" s="69">
        <f t="shared" si="19"/>
        <v>30</v>
      </c>
      <c r="AA20" s="70">
        <f t="shared" si="20"/>
        <v>30</v>
      </c>
      <c r="AB20" s="71">
        <f t="shared" si="21"/>
        <v>350.8716028</v>
      </c>
      <c r="AC20" s="71">
        <f>+(S20-T20)*V20-'data 1'!$F$4</f>
        <v>30.23</v>
      </c>
      <c r="AD20" s="71">
        <f t="shared" si="22"/>
        <v>49.88413351</v>
      </c>
      <c r="AE20" s="71">
        <f t="shared" si="23"/>
        <v>-36.931</v>
      </c>
      <c r="AF20" s="71">
        <f t="shared" si="24"/>
        <v>56.03737757</v>
      </c>
      <c r="AG20" s="72">
        <f t="shared" si="25"/>
        <v>116.2205111</v>
      </c>
      <c r="AH20" s="52">
        <f t="shared" si="26"/>
        <v>126.3239207</v>
      </c>
      <c r="AI20" s="73">
        <f t="shared" si="27"/>
        <v>21.251364</v>
      </c>
      <c r="AJ20" s="73">
        <f t="shared" si="28"/>
        <v>104.8469403</v>
      </c>
      <c r="AK20" s="11"/>
      <c r="AL20" s="51">
        <f t="shared" si="29"/>
        <v>7741.61701</v>
      </c>
      <c r="AM20" s="51" t="str">
        <f t="array" ref="AM20">XLOOKUP(D20,RUC!$B$3:$B$62,RUC!$M$3:$M$62)</f>
        <v>Alfred Torres</v>
      </c>
      <c r="AN20" s="131" t="s">
        <v>549</v>
      </c>
    </row>
    <row r="21" ht="15.0" customHeight="1">
      <c r="A21" s="117" t="s">
        <v>533</v>
      </c>
      <c r="B21" s="56">
        <v>45798.0</v>
      </c>
      <c r="C21" s="56">
        <v>45791.0</v>
      </c>
      <c r="D21" s="57" t="s">
        <v>88</v>
      </c>
      <c r="E21" s="57" t="str">
        <f t="array" ref="E21">XLOOKUP(D21,RUC!$B$3:$B$110,RUC!$D$3:$D$110)</f>
        <v>#N/A</v>
      </c>
      <c r="G21" s="3"/>
      <c r="I21" s="58"/>
      <c r="J21" s="58"/>
      <c r="K21" s="59"/>
      <c r="L21" s="60"/>
      <c r="M21" s="60"/>
      <c r="N21" s="75"/>
      <c r="O21" s="60"/>
      <c r="P21" s="63"/>
      <c r="Q21" s="58"/>
      <c r="R21" s="65"/>
      <c r="S21" s="76"/>
      <c r="U21" s="87"/>
      <c r="V21" s="67"/>
      <c r="Z21" s="87"/>
      <c r="AA21" s="70"/>
      <c r="AB21" s="71"/>
      <c r="AC21" s="71"/>
      <c r="AD21" s="71"/>
      <c r="AE21" s="71"/>
      <c r="AF21" s="71"/>
      <c r="AG21" s="72"/>
      <c r="AH21" s="52"/>
      <c r="AI21" s="73"/>
      <c r="AJ21" s="73"/>
      <c r="AK21" s="11"/>
      <c r="AL21" s="51">
        <f t="shared" si="29"/>
        <v>0</v>
      </c>
      <c r="AM21" s="51" t="str">
        <f t="array" ref="AM21">XLOOKUP(D21,RUC!$B$3:$B$62,RUC!$M$3:$M$62)</f>
        <v>#N/A</v>
      </c>
      <c r="AN21" s="131" t="s">
        <v>731</v>
      </c>
    </row>
    <row r="22" ht="15.0" customHeight="1">
      <c r="A22" s="117" t="s">
        <v>534</v>
      </c>
      <c r="B22" s="56">
        <v>45798.0</v>
      </c>
      <c r="C22" s="56">
        <v>45791.0</v>
      </c>
      <c r="D22" s="57" t="s">
        <v>88</v>
      </c>
      <c r="E22" s="57" t="str">
        <f t="array" ref="E22">XLOOKUP(D22,RUC!$B$3:$B$110,RUC!$D$3:$D$110)</f>
        <v>#N/A</v>
      </c>
      <c r="G22" s="3"/>
      <c r="I22" s="58"/>
      <c r="J22" s="58"/>
      <c r="K22" s="59"/>
      <c r="L22" s="60"/>
      <c r="M22" s="60"/>
      <c r="N22" s="75"/>
      <c r="O22" s="60"/>
      <c r="P22" s="63"/>
      <c r="Q22" s="58"/>
      <c r="R22" s="65"/>
      <c r="S22" s="76"/>
      <c r="U22" s="87"/>
      <c r="V22" s="67"/>
      <c r="Z22" s="87"/>
      <c r="AA22" s="70"/>
      <c r="AB22" s="71"/>
      <c r="AC22" s="71"/>
      <c r="AD22" s="71"/>
      <c r="AE22" s="71"/>
      <c r="AF22" s="71"/>
      <c r="AG22" s="72"/>
      <c r="AH22" s="52"/>
      <c r="AI22" s="73"/>
      <c r="AJ22" s="73"/>
      <c r="AK22" s="11"/>
      <c r="AL22" s="51">
        <f t="shared" si="29"/>
        <v>0</v>
      </c>
      <c r="AM22" s="51" t="str">
        <f t="array" ref="AM22">XLOOKUP(D22,RUC!$B$3:$B$62,RUC!$M$3:$M$62)</f>
        <v>#N/A</v>
      </c>
      <c r="AN22" s="131" t="s">
        <v>731</v>
      </c>
    </row>
    <row r="23" ht="15.0" customHeight="1">
      <c r="A23" s="117" t="s">
        <v>535</v>
      </c>
      <c r="B23" s="56">
        <v>45798.0</v>
      </c>
      <c r="C23" s="56">
        <v>45791.0</v>
      </c>
      <c r="D23" s="57" t="s">
        <v>88</v>
      </c>
      <c r="E23" s="57" t="str">
        <f t="array" ref="E23">XLOOKUP(D23,RUC!$B$3:$B$110,RUC!$D$3:$D$110)</f>
        <v>#N/A</v>
      </c>
      <c r="G23" s="3"/>
      <c r="I23" s="58"/>
      <c r="J23" s="58"/>
      <c r="K23" s="59"/>
      <c r="L23" s="60"/>
      <c r="M23" s="60"/>
      <c r="N23" s="75"/>
      <c r="O23" s="60"/>
      <c r="P23" s="63"/>
      <c r="Q23" s="58"/>
      <c r="R23" s="65"/>
      <c r="S23" s="76"/>
      <c r="U23" s="87"/>
      <c r="V23" s="67"/>
      <c r="Z23" s="87"/>
      <c r="AA23" s="70"/>
      <c r="AB23" s="71"/>
      <c r="AC23" s="71"/>
      <c r="AD23" s="71"/>
      <c r="AE23" s="71"/>
      <c r="AF23" s="71"/>
      <c r="AG23" s="72"/>
      <c r="AH23" s="52"/>
      <c r="AI23" s="73"/>
      <c r="AJ23" s="73"/>
      <c r="AK23" s="11"/>
      <c r="AL23" s="51">
        <f t="shared" si="29"/>
        <v>0</v>
      </c>
      <c r="AM23" s="51" t="str">
        <f t="array" ref="AM23">XLOOKUP(D23,RUC!$B$3:$B$62,RUC!$M$3:$M$62)</f>
        <v>#N/A</v>
      </c>
      <c r="AN23" s="131" t="s">
        <v>731</v>
      </c>
    </row>
    <row r="24" ht="15.0" customHeight="1">
      <c r="A24" s="117" t="s">
        <v>536</v>
      </c>
      <c r="B24" s="56">
        <v>45798.0</v>
      </c>
      <c r="C24" s="56">
        <v>45791.0</v>
      </c>
      <c r="D24" s="57" t="s">
        <v>88</v>
      </c>
      <c r="E24" s="57" t="str">
        <f t="array" ref="E24">XLOOKUP(D24,RUC!$B$3:$B$110,RUC!$D$3:$D$110)</f>
        <v>#N/A</v>
      </c>
      <c r="G24" s="3"/>
      <c r="I24" s="58"/>
      <c r="J24" s="58"/>
      <c r="K24" s="59"/>
      <c r="L24" s="60"/>
      <c r="M24" s="60"/>
      <c r="N24" s="75"/>
      <c r="O24" s="60"/>
      <c r="P24" s="63"/>
      <c r="Q24" s="58"/>
      <c r="R24" s="65"/>
      <c r="S24" s="76"/>
      <c r="U24" s="87"/>
      <c r="V24" s="67"/>
      <c r="Z24" s="87"/>
      <c r="AA24" s="70"/>
      <c r="AB24" s="71"/>
      <c r="AC24" s="71"/>
      <c r="AD24" s="71"/>
      <c r="AE24" s="71"/>
      <c r="AF24" s="71"/>
      <c r="AG24" s="72"/>
      <c r="AH24" s="52"/>
      <c r="AI24" s="73"/>
      <c r="AJ24" s="73"/>
      <c r="AK24" s="11"/>
      <c r="AL24" s="51">
        <f t="shared" si="29"/>
        <v>0</v>
      </c>
      <c r="AM24" s="51" t="str">
        <f t="array" ref="AM24">XLOOKUP(D24,RUC!$B$3:$B$62,RUC!$M$3:$M$62)</f>
        <v>#N/A</v>
      </c>
      <c r="AN24" s="131" t="s">
        <v>731</v>
      </c>
    </row>
    <row r="25" ht="15.0" customHeight="1">
      <c r="A25" s="117" t="s">
        <v>537</v>
      </c>
      <c r="B25" s="56">
        <v>45798.0</v>
      </c>
      <c r="C25" s="56">
        <v>45791.0</v>
      </c>
      <c r="D25" s="57" t="s">
        <v>88</v>
      </c>
      <c r="E25" s="57" t="str">
        <f t="array" ref="E25">XLOOKUP(D25,RUC!$B$3:$B$110,RUC!$D$3:$D$110)</f>
        <v>#N/A</v>
      </c>
      <c r="G25" s="3"/>
      <c r="I25" s="58"/>
      <c r="J25" s="58"/>
      <c r="K25" s="59"/>
      <c r="L25" s="60"/>
      <c r="M25" s="60"/>
      <c r="N25" s="75"/>
      <c r="O25" s="60"/>
      <c r="P25" s="63"/>
      <c r="Q25" s="58"/>
      <c r="R25" s="65"/>
      <c r="S25" s="76"/>
      <c r="U25" s="87"/>
      <c r="V25" s="67"/>
      <c r="Z25" s="87"/>
      <c r="AA25" s="70"/>
      <c r="AB25" s="71"/>
      <c r="AC25" s="71"/>
      <c r="AD25" s="71"/>
      <c r="AE25" s="71"/>
      <c r="AF25" s="71"/>
      <c r="AG25" s="72"/>
      <c r="AH25" s="52"/>
      <c r="AI25" s="73"/>
      <c r="AJ25" s="73"/>
      <c r="AK25" s="11"/>
      <c r="AL25" s="51">
        <f t="shared" si="29"/>
        <v>0</v>
      </c>
      <c r="AM25" s="51" t="str">
        <f t="array" ref="AM25">XLOOKUP(D25,RUC!$B$3:$B$62,RUC!$M$3:$M$62)</f>
        <v>#N/A</v>
      </c>
      <c r="AN25" s="131" t="s">
        <v>731</v>
      </c>
    </row>
    <row r="26" ht="15.0" customHeight="1">
      <c r="A26" s="117" t="s">
        <v>538</v>
      </c>
      <c r="B26" s="56">
        <v>45798.0</v>
      </c>
      <c r="C26" s="56">
        <v>45791.0</v>
      </c>
      <c r="D26" s="57" t="s">
        <v>88</v>
      </c>
      <c r="E26" s="57" t="str">
        <f t="array" ref="E26">XLOOKUP(D26,RUC!$B$3:$B$110,RUC!$D$3:$D$110)</f>
        <v>#N/A</v>
      </c>
      <c r="G26" s="3"/>
      <c r="I26" s="58"/>
      <c r="J26" s="58"/>
      <c r="K26" s="59"/>
      <c r="L26" s="60"/>
      <c r="M26" s="60"/>
      <c r="N26" s="60"/>
      <c r="O26" s="60"/>
      <c r="P26" s="63"/>
      <c r="Q26" s="58"/>
      <c r="R26" s="65"/>
      <c r="S26" s="76"/>
      <c r="U26" s="87"/>
      <c r="V26" s="67"/>
      <c r="Z26" s="87"/>
      <c r="AA26" s="70"/>
      <c r="AB26" s="71"/>
      <c r="AC26" s="71"/>
      <c r="AD26" s="71"/>
      <c r="AE26" s="71"/>
      <c r="AF26" s="71"/>
      <c r="AG26" s="72"/>
      <c r="AH26" s="52"/>
      <c r="AI26" s="73"/>
      <c r="AJ26" s="73"/>
      <c r="AK26" s="11"/>
      <c r="AL26" s="51">
        <f t="shared" si="29"/>
        <v>0</v>
      </c>
      <c r="AM26" s="51" t="str">
        <f t="array" ref="AM26">XLOOKUP(D26,RUC!$B$3:$B$62,RUC!$M$3:$M$62)</f>
        <v>#N/A</v>
      </c>
      <c r="AN26" s="131" t="s">
        <v>731</v>
      </c>
    </row>
    <row r="27" ht="15.0" customHeight="1">
      <c r="A27" s="117" t="s">
        <v>539</v>
      </c>
      <c r="B27" s="56">
        <v>45798.0</v>
      </c>
      <c r="C27" s="56">
        <v>45791.0</v>
      </c>
      <c r="D27" s="57" t="s">
        <v>88</v>
      </c>
      <c r="E27" s="57" t="str">
        <f t="array" ref="E27">XLOOKUP(D27,RUC!$B$3:$B$110,RUC!$D$3:$D$110)</f>
        <v>#N/A</v>
      </c>
      <c r="G27" s="3"/>
      <c r="I27" s="58"/>
      <c r="J27" s="58"/>
      <c r="K27" s="59"/>
      <c r="L27" s="60"/>
      <c r="M27" s="60"/>
      <c r="N27" s="75"/>
      <c r="O27" s="60"/>
      <c r="P27" s="63"/>
      <c r="Q27" s="58"/>
      <c r="R27" s="65"/>
      <c r="S27" s="76"/>
      <c r="U27" s="87"/>
      <c r="V27" s="67"/>
      <c r="Z27" s="87"/>
      <c r="AA27" s="70"/>
      <c r="AB27" s="71"/>
      <c r="AC27" s="71"/>
      <c r="AD27" s="71"/>
      <c r="AE27" s="71"/>
      <c r="AF27" s="71"/>
      <c r="AG27" s="72"/>
      <c r="AH27" s="52"/>
      <c r="AI27" s="73"/>
      <c r="AJ27" s="73"/>
      <c r="AK27" s="11"/>
      <c r="AL27" s="51">
        <f t="shared" si="29"/>
        <v>0</v>
      </c>
      <c r="AM27" s="51" t="str">
        <f t="array" ref="AM27">XLOOKUP(D27,RUC!$B$3:$B$62,RUC!$M$3:$M$62)</f>
        <v>#N/A</v>
      </c>
      <c r="AN27" s="131" t="s">
        <v>731</v>
      </c>
    </row>
    <row r="28" ht="15.0" customHeight="1">
      <c r="A28" s="116" t="s">
        <v>1723</v>
      </c>
      <c r="B28" s="56">
        <v>45798.0</v>
      </c>
      <c r="C28" s="56">
        <v>45794.0</v>
      </c>
      <c r="D28" s="57" t="s">
        <v>45</v>
      </c>
      <c r="E28" s="57">
        <f t="array" ref="E28">XLOOKUP(D28,RUC!$B$3:$B$110,RUC!$D$3:$D$110)</f>
        <v>10416085884</v>
      </c>
      <c r="G28" s="3" t="s">
        <v>46</v>
      </c>
      <c r="H28" s="57" t="s">
        <v>47</v>
      </c>
      <c r="I28" s="58">
        <v>32.1</v>
      </c>
      <c r="J28" s="58">
        <v>11.0</v>
      </c>
      <c r="K28" s="59">
        <f t="shared" ref="K28:K108" si="31">+I28-(I28*(J28/100))</f>
        <v>28.569</v>
      </c>
      <c r="L28" s="60">
        <v>0.116</v>
      </c>
      <c r="M28" s="60">
        <v>0.104</v>
      </c>
      <c r="N28" s="62">
        <v>0.104</v>
      </c>
      <c r="O28" s="60">
        <f t="shared" ref="O28:O36" si="32">+ROUND((M28+N28)/2,3)</f>
        <v>0.104</v>
      </c>
      <c r="P28" s="63">
        <v>85.0</v>
      </c>
      <c r="Q28" s="58">
        <v>93.97</v>
      </c>
      <c r="R28" s="65">
        <v>3182.95</v>
      </c>
      <c r="S28" s="76">
        <v>110.0</v>
      </c>
      <c r="U28" s="67">
        <v>90.0</v>
      </c>
      <c r="V28" s="67">
        <v>1.1023</v>
      </c>
      <c r="Z28" s="69">
        <f t="shared" ref="Z28:Z30" si="33">IF(IF(D28="UNTUCA",IF(+((W28-3)*1.5+(X28-3)*3.1)&gt;0,+((W28-3)*1.5+(X28-3)*3.1),0),IF(+((W28-3)*1.5+(X28-3)*3.1)&gt;0,+((W28-3)*1.5+(X28-3)*3.1),0))&lt;30,30,IF(D28="UNTUCA",IF(+((W28-3)*1.5+(X28-3)*3.1)&gt;0,+((W28-3)*1.5+(X28-3)*3.1),0),IF(+((W28-3)*1.5+(X28-3)*3.1)&gt;0,+((W28-3)*1.5+(X28-3)*3.1),0)))</f>
        <v>30</v>
      </c>
      <c r="AA28" s="70">
        <f t="shared" ref="AA28:AA108" si="34">+Y28+Z28</f>
        <v>30</v>
      </c>
      <c r="AB28" s="71">
        <f t="shared" ref="AB28:AB108" si="35">+((O28*P28*(R28-U28)/100)-S28-AA28+T28)*V28</f>
        <v>147.0653166</v>
      </c>
      <c r="AC28" s="71">
        <f>+(S28-T28)*V28-'data 1'!$F$4</f>
        <v>41.253</v>
      </c>
      <c r="AD28" s="71">
        <f t="shared" ref="AD28:AD108" si="36">+(Q28-P28)*(R28-U28)*L28*V28/100</f>
        <v>35.47506003</v>
      </c>
      <c r="AE28" s="71">
        <f t="shared" ref="AE28:AE108" si="37">+(Y28*V28-70)+V28*(Z28-IF(D28="UNTUCA",IF(+((W28-3)*2.5+(X28-3)*3.1)&gt;0,+((W28-3)*1.5+(X28-3)*3.1),0),IF(+((W28-3)*1.5+(X28-3)*3.1)&gt;0,+((W28-3)*1.5+(X28-3)*3.1),0)))</f>
        <v>-36.931</v>
      </c>
      <c r="AF28" s="71">
        <f t="shared" ref="AF28:AF108" si="38">(L28-O28)*(R28-U28)*Q28*V28/100</f>
        <v>38.4452934</v>
      </c>
      <c r="AG28" s="72">
        <f t="shared" ref="AG28:AG62" si="39">+IF(D28="RONALD WILLIAN GARIBAY ESCUDERO",AC28+AD28+AE28+AF28+70,AC28+AD28+AE28+AF28)+70-53</f>
        <v>95.24235343</v>
      </c>
      <c r="AH28" s="52">
        <f t="shared" ref="AH28:AH108" si="40">31.1035*L28*Q28*1.1023*K28/100</f>
        <v>106.7705118</v>
      </c>
      <c r="AI28" s="73">
        <f t="shared" ref="AI28:AI108" si="41">+((+$AI$2-R28+U28)*L28*Q28*V28)/100</f>
        <v>30.88621084</v>
      </c>
      <c r="AJ28" s="73">
        <f t="shared" ref="AJ28:AJ108" si="42">31.1035*1.1023*K28*P28*O28/100</f>
        <v>86.58773381</v>
      </c>
      <c r="AK28" s="11"/>
      <c r="AL28" s="51">
        <f t="shared" si="29"/>
        <v>4201.50903</v>
      </c>
      <c r="AM28" s="51" t="str">
        <f t="array" ref="AM28">XLOOKUP(D28,RUC!$B$3:$B$62,RUC!$M$3:$M$62)</f>
        <v>Alfred Torres</v>
      </c>
      <c r="AN28" s="131" t="s">
        <v>547</v>
      </c>
    </row>
    <row r="29" ht="15.0" customHeight="1">
      <c r="A29" s="116" t="s">
        <v>1724</v>
      </c>
      <c r="B29" s="56">
        <v>45801.0</v>
      </c>
      <c r="C29" s="56">
        <v>45797.0</v>
      </c>
      <c r="D29" s="57" t="s">
        <v>295</v>
      </c>
      <c r="E29" s="57">
        <f t="array" ref="E29">XLOOKUP(D29,RUC!$B$3:$B$110,RUC!$D$3:$D$110)</f>
        <v>20601769396</v>
      </c>
      <c r="G29" s="3">
        <v>40.0</v>
      </c>
      <c r="H29" s="57" t="s">
        <v>339</v>
      </c>
      <c r="I29" s="58">
        <v>3.31</v>
      </c>
      <c r="J29" s="58">
        <v>7.2</v>
      </c>
      <c r="K29" s="59">
        <f t="shared" si="31"/>
        <v>3.07168</v>
      </c>
      <c r="L29" s="60">
        <v>0.265</v>
      </c>
      <c r="M29" s="60">
        <v>0.249</v>
      </c>
      <c r="N29" s="62">
        <v>0.249</v>
      </c>
      <c r="O29" s="60">
        <f t="shared" si="32"/>
        <v>0.249</v>
      </c>
      <c r="P29" s="63">
        <v>90.0</v>
      </c>
      <c r="Q29" s="58">
        <v>92.83</v>
      </c>
      <c r="R29" s="65">
        <v>3261.55</v>
      </c>
      <c r="S29" s="66">
        <f t="shared" ref="S29:S30" si="43">IF((90+ROUNDDOWN(O29,1)*100)&lt;95,95,(90+ROUNDDOWN(O29,1)*100))</f>
        <v>110</v>
      </c>
      <c r="U29" s="67">
        <v>120.0</v>
      </c>
      <c r="V29" s="67">
        <v>1.1023</v>
      </c>
      <c r="Y29" s="57">
        <v>20.0</v>
      </c>
      <c r="Z29" s="69">
        <f t="shared" si="33"/>
        <v>30</v>
      </c>
      <c r="AA29" s="70">
        <f t="shared" si="34"/>
        <v>50</v>
      </c>
      <c r="AB29" s="71">
        <f t="shared" si="35"/>
        <v>599.6747396</v>
      </c>
      <c r="AC29" s="71">
        <f>+(S29-T29)*V29-'data 1'!$F$4</f>
        <v>41.253</v>
      </c>
      <c r="AD29" s="71">
        <f t="shared" si="36"/>
        <v>25.97024777</v>
      </c>
      <c r="AE29" s="71">
        <f t="shared" si="37"/>
        <v>-14.885</v>
      </c>
      <c r="AF29" s="71">
        <f t="shared" si="38"/>
        <v>51.4342151</v>
      </c>
      <c r="AG29" s="72">
        <f t="shared" si="39"/>
        <v>120.7724629</v>
      </c>
      <c r="AH29" s="52">
        <f t="shared" si="40"/>
        <v>25.90712757</v>
      </c>
      <c r="AI29" s="73">
        <f t="shared" si="41"/>
        <v>56.52439612</v>
      </c>
      <c r="AJ29" s="73">
        <f t="shared" si="42"/>
        <v>23.60080931</v>
      </c>
      <c r="AK29" s="11"/>
      <c r="AL29" s="51">
        <f t="shared" si="29"/>
        <v>1842.008904</v>
      </c>
      <c r="AM29" s="51" t="str">
        <f t="array" ref="AM29">XLOOKUP(D29,RUC!$B$3:$B$62,RUC!$M$3:$M$62)</f>
        <v>Evelyn</v>
      </c>
      <c r="AN29" s="131" t="s">
        <v>558</v>
      </c>
    </row>
    <row r="30" ht="15.0" customHeight="1">
      <c r="A30" s="116" t="s">
        <v>1725</v>
      </c>
      <c r="B30" s="56">
        <v>45801.0</v>
      </c>
      <c r="C30" s="56">
        <v>45797.0</v>
      </c>
      <c r="D30" s="57" t="s">
        <v>295</v>
      </c>
      <c r="E30" s="57">
        <f t="array" ref="E30">XLOOKUP(D30,RUC!$B$3:$B$110,RUC!$D$3:$D$110)</f>
        <v>20601769396</v>
      </c>
      <c r="G30" s="3">
        <v>40.0</v>
      </c>
      <c r="H30" s="57" t="s">
        <v>339</v>
      </c>
      <c r="I30" s="58">
        <v>3.25</v>
      </c>
      <c r="J30" s="58">
        <v>7.9</v>
      </c>
      <c r="K30" s="59">
        <f t="shared" si="31"/>
        <v>2.99325</v>
      </c>
      <c r="L30" s="60">
        <v>0.263</v>
      </c>
      <c r="M30" s="60">
        <v>0.247</v>
      </c>
      <c r="N30" s="62">
        <v>0.247</v>
      </c>
      <c r="O30" s="60">
        <f t="shared" si="32"/>
        <v>0.247</v>
      </c>
      <c r="P30" s="63">
        <v>90.0</v>
      </c>
      <c r="Q30" s="58">
        <v>89.73</v>
      </c>
      <c r="R30" s="65">
        <v>3261.55</v>
      </c>
      <c r="S30" s="66">
        <f t="shared" si="43"/>
        <v>110</v>
      </c>
      <c r="U30" s="67">
        <v>120.0</v>
      </c>
      <c r="V30" s="67">
        <v>1.1023</v>
      </c>
      <c r="Y30" s="57">
        <v>20.0</v>
      </c>
      <c r="Z30" s="69">
        <f t="shared" si="33"/>
        <v>30</v>
      </c>
      <c r="AA30" s="70">
        <f t="shared" si="34"/>
        <v>50</v>
      </c>
      <c r="AB30" s="71">
        <f t="shared" si="35"/>
        <v>593.4414646</v>
      </c>
      <c r="AC30" s="71">
        <f>+(S30-T30)*V30-'data 1'!$F$4</f>
        <v>41.253</v>
      </c>
      <c r="AD30" s="71">
        <f t="shared" si="36"/>
        <v>-2.459026994</v>
      </c>
      <c r="AE30" s="71">
        <f t="shared" si="37"/>
        <v>-14.885</v>
      </c>
      <c r="AF30" s="71">
        <f t="shared" si="38"/>
        <v>49.71660154</v>
      </c>
      <c r="AG30" s="72">
        <f t="shared" si="39"/>
        <v>90.62557454</v>
      </c>
      <c r="AH30" s="52">
        <f t="shared" si="40"/>
        <v>24.21840161</v>
      </c>
      <c r="AI30" s="73">
        <f t="shared" si="41"/>
        <v>54.22444594</v>
      </c>
      <c r="AJ30" s="73">
        <f t="shared" si="42"/>
        <v>22.81347921</v>
      </c>
      <c r="AK30" s="11"/>
      <c r="AL30" s="51">
        <f t="shared" si="29"/>
        <v>1776.318664</v>
      </c>
      <c r="AM30" s="51" t="str">
        <f t="array" ref="AM30">XLOOKUP(D30,RUC!$B$3:$B$62,RUC!$M$3:$M$62)</f>
        <v>Evelyn</v>
      </c>
      <c r="AN30" s="131" t="s">
        <v>689</v>
      </c>
    </row>
    <row r="31" ht="15.0" customHeight="1">
      <c r="A31" s="116" t="s">
        <v>1726</v>
      </c>
      <c r="B31" s="56">
        <v>45803.0</v>
      </c>
      <c r="C31" s="56">
        <v>45797.0</v>
      </c>
      <c r="D31" s="57" t="s">
        <v>146</v>
      </c>
      <c r="E31" s="57">
        <f t="array" ref="E31">XLOOKUP(D31,RUC!$B$3:$B$110,RUC!$D$3:$D$110)</f>
        <v>20517242919</v>
      </c>
      <c r="G31" s="3">
        <v>40.0</v>
      </c>
      <c r="H31" s="57" t="s">
        <v>47</v>
      </c>
      <c r="I31" s="58">
        <v>4.01</v>
      </c>
      <c r="J31" s="130">
        <v>4.0</v>
      </c>
      <c r="K31" s="59">
        <f t="shared" si="31"/>
        <v>3.8496</v>
      </c>
      <c r="L31" s="60">
        <v>0.225</v>
      </c>
      <c r="M31" s="60">
        <v>0.221</v>
      </c>
      <c r="N31" s="62">
        <v>0.221</v>
      </c>
      <c r="O31" s="60">
        <f t="shared" si="32"/>
        <v>0.221</v>
      </c>
      <c r="P31" s="63">
        <v>90.0</v>
      </c>
      <c r="Q31" s="57">
        <v>90.65</v>
      </c>
      <c r="R31" s="65">
        <v>3261.55</v>
      </c>
      <c r="S31" s="76">
        <v>105.0</v>
      </c>
      <c r="U31" s="87">
        <v>80.0</v>
      </c>
      <c r="V31" s="67">
        <v>1.1023</v>
      </c>
      <c r="Z31" s="87">
        <v>10.0</v>
      </c>
      <c r="AA31" s="70">
        <f t="shared" si="34"/>
        <v>10</v>
      </c>
      <c r="AB31" s="71">
        <f t="shared" si="35"/>
        <v>570.7822882</v>
      </c>
      <c r="AC31" s="71">
        <f>+(S31-T31)*V31-'data 1'!$F$4</f>
        <v>35.7415</v>
      </c>
      <c r="AD31" s="71">
        <f t="shared" si="36"/>
        <v>5.129020501</v>
      </c>
      <c r="AE31" s="71">
        <f t="shared" si="37"/>
        <v>-58.977</v>
      </c>
      <c r="AF31" s="71">
        <f t="shared" si="38"/>
        <v>12.71646382</v>
      </c>
      <c r="AG31" s="72">
        <f t="shared" si="39"/>
        <v>11.60998432</v>
      </c>
      <c r="AH31" s="52">
        <f t="shared" si="40"/>
        <v>26.91999665</v>
      </c>
      <c r="AI31" s="73">
        <f t="shared" si="41"/>
        <v>37.87225365</v>
      </c>
      <c r="AJ31" s="73">
        <f t="shared" si="42"/>
        <v>26.25182243</v>
      </c>
      <c r="AK31" s="11"/>
      <c r="AL31" s="51">
        <f t="shared" si="29"/>
        <v>2197.283497</v>
      </c>
      <c r="AM31" s="51" t="str">
        <f t="array" ref="AM31">XLOOKUP(D31,RUC!$B$3:$B$62,RUC!$M$3:$M$62)</f>
        <v>Melchor Vera</v>
      </c>
      <c r="AN31" s="131" t="s">
        <v>558</v>
      </c>
    </row>
    <row r="32" ht="15.0" customHeight="1">
      <c r="A32" s="116" t="s">
        <v>1727</v>
      </c>
      <c r="B32" s="56">
        <v>45801.0</v>
      </c>
      <c r="C32" s="56">
        <v>45797.0</v>
      </c>
      <c r="D32" s="57" t="s">
        <v>295</v>
      </c>
      <c r="E32" s="57">
        <f t="array" ref="E32">XLOOKUP(D32,RUC!$B$3:$B$110,RUC!$D$3:$D$110)</f>
        <v>20601769396</v>
      </c>
      <c r="G32" s="3">
        <v>45.0</v>
      </c>
      <c r="H32" s="57" t="s">
        <v>71</v>
      </c>
      <c r="I32" s="58">
        <v>3.77</v>
      </c>
      <c r="J32" s="58">
        <v>7.9</v>
      </c>
      <c r="K32" s="59">
        <f t="shared" si="31"/>
        <v>3.47217</v>
      </c>
      <c r="L32" s="60">
        <v>0.277</v>
      </c>
      <c r="M32" s="60">
        <v>0.26</v>
      </c>
      <c r="N32" s="62">
        <v>0.26</v>
      </c>
      <c r="O32" s="60">
        <f t="shared" si="32"/>
        <v>0.26</v>
      </c>
      <c r="P32" s="63">
        <v>90.0</v>
      </c>
      <c r="Q32" s="57">
        <v>90.97</v>
      </c>
      <c r="R32" s="65">
        <v>3261.55</v>
      </c>
      <c r="S32" s="66">
        <f>IF((90+ROUNDDOWN(O32,1)*100)&lt;95,95,(90+ROUNDDOWN(O32,1)*100))</f>
        <v>110</v>
      </c>
      <c r="U32" s="67">
        <v>120.0</v>
      </c>
      <c r="V32" s="67">
        <v>1.1023</v>
      </c>
      <c r="Y32" s="57">
        <v>20.0</v>
      </c>
      <c r="Z32" s="69">
        <f>IF(IF(D32="UNTUCA",IF(+((W32-3)*1.5+(X32-3)*3.1)&gt;0,+((W32-3)*1.5+(X32-3)*3.1),0),IF(+((W32-3)*1.5+(X32-3)*3.1)&gt;0,+((W32-3)*1.5+(X32-3)*3.1),0))&lt;30,30,IF(D32="UNTUCA",IF(+((W32-3)*1.5+(X32-3)*3.1)&gt;0,+((W32-3)*1.5+(X32-3)*3.1),0),IF(+((W32-3)*1.5+(X32-3)*3.1)&gt;0,+((W32-3)*1.5+(X32-3)*3.1),0)))</f>
        <v>30</v>
      </c>
      <c r="AA32" s="70">
        <f t="shared" si="34"/>
        <v>50</v>
      </c>
      <c r="AB32" s="71">
        <f t="shared" si="35"/>
        <v>633.9577522</v>
      </c>
      <c r="AC32" s="71">
        <f>+(S32-T32)*V32-'data 1'!$F$4</f>
        <v>41.253</v>
      </c>
      <c r="AD32" s="71">
        <f t="shared" si="36"/>
        <v>9.304548135</v>
      </c>
      <c r="AE32" s="71">
        <f t="shared" si="37"/>
        <v>-14.885</v>
      </c>
      <c r="AF32" s="71">
        <f t="shared" si="38"/>
        <v>53.55387489</v>
      </c>
      <c r="AG32" s="72">
        <f t="shared" si="39"/>
        <v>106.226423</v>
      </c>
      <c r="AH32" s="52">
        <f t="shared" si="40"/>
        <v>29.99770386</v>
      </c>
      <c r="AI32" s="73">
        <f t="shared" si="41"/>
        <v>57.90014757</v>
      </c>
      <c r="AJ32" s="73">
        <f t="shared" si="42"/>
        <v>27.85645882</v>
      </c>
      <c r="AK32" s="11"/>
      <c r="AL32" s="51">
        <f t="shared" si="29"/>
        <v>2201.209088</v>
      </c>
      <c r="AM32" s="51" t="str">
        <f t="array" ref="AM32">XLOOKUP(D32,RUC!$B$3:$B$62,RUC!$M$3:$M$62)</f>
        <v>Evelyn</v>
      </c>
      <c r="AN32" s="131" t="s">
        <v>558</v>
      </c>
    </row>
    <row r="33" ht="15.0" customHeight="1">
      <c r="A33" s="116" t="s">
        <v>1728</v>
      </c>
      <c r="B33" s="56">
        <v>45803.0</v>
      </c>
      <c r="C33" s="56">
        <v>45797.0</v>
      </c>
      <c r="D33" s="57" t="s">
        <v>146</v>
      </c>
      <c r="E33" s="57">
        <f t="array" ref="E33">XLOOKUP(D33,RUC!$B$3:$B$110,RUC!$D$3:$D$110)</f>
        <v>20517242919</v>
      </c>
      <c r="G33" s="3">
        <v>44.0</v>
      </c>
      <c r="H33" s="57" t="s">
        <v>47</v>
      </c>
      <c r="I33" s="58">
        <v>4.47</v>
      </c>
      <c r="J33" s="58">
        <v>4.0</v>
      </c>
      <c r="K33" s="59">
        <f t="shared" si="31"/>
        <v>4.2912</v>
      </c>
      <c r="L33" s="60">
        <v>0.24</v>
      </c>
      <c r="M33" s="60">
        <v>0.236</v>
      </c>
      <c r="N33" s="62">
        <v>0.236</v>
      </c>
      <c r="O33" s="60">
        <f t="shared" si="32"/>
        <v>0.236</v>
      </c>
      <c r="P33" s="63">
        <v>90.0</v>
      </c>
      <c r="Q33" s="57">
        <v>90.83</v>
      </c>
      <c r="R33" s="65">
        <v>3261.55</v>
      </c>
      <c r="S33" s="76">
        <v>105.0</v>
      </c>
      <c r="U33" s="87">
        <v>80.0</v>
      </c>
      <c r="V33" s="67">
        <v>1.1023</v>
      </c>
      <c r="Z33" s="87">
        <v>10.0</v>
      </c>
      <c r="AA33" s="70">
        <f t="shared" si="34"/>
        <v>10</v>
      </c>
      <c r="AB33" s="71">
        <f t="shared" si="35"/>
        <v>618.1270928</v>
      </c>
      <c r="AC33" s="71">
        <f>+(S33-T33)*V33-'data 1'!$F$4</f>
        <v>35.7415</v>
      </c>
      <c r="AD33" s="71">
        <f t="shared" si="36"/>
        <v>6.985988949</v>
      </c>
      <c r="AE33" s="71">
        <f t="shared" si="37"/>
        <v>-58.977</v>
      </c>
      <c r="AF33" s="71">
        <f t="shared" si="38"/>
        <v>12.74171438</v>
      </c>
      <c r="AG33" s="72">
        <f t="shared" si="39"/>
        <v>13.49220333</v>
      </c>
      <c r="AH33" s="52">
        <f t="shared" si="40"/>
        <v>32.07217267</v>
      </c>
      <c r="AI33" s="73">
        <f t="shared" si="41"/>
        <v>40.47728537</v>
      </c>
      <c r="AJ33" s="73">
        <f t="shared" si="42"/>
        <v>31.24944711</v>
      </c>
      <c r="AK33" s="11"/>
      <c r="AL33" s="51">
        <f t="shared" si="29"/>
        <v>2652.506981</v>
      </c>
      <c r="AM33" s="51" t="str">
        <f t="array" ref="AM33">XLOOKUP(D33,RUC!$B$3:$B$62,RUC!$M$3:$M$62)</f>
        <v>Melchor Vera</v>
      </c>
      <c r="AN33" s="131" t="s">
        <v>558</v>
      </c>
    </row>
    <row r="34" ht="15.0" customHeight="1">
      <c r="A34" s="116" t="s">
        <v>1729</v>
      </c>
      <c r="B34" s="56">
        <v>45803.0</v>
      </c>
      <c r="C34" s="56">
        <v>45797.0</v>
      </c>
      <c r="D34" s="57" t="s">
        <v>146</v>
      </c>
      <c r="E34" s="57">
        <f t="array" ref="E34">XLOOKUP(D34,RUC!$B$3:$B$110,RUC!$D$3:$D$110)</f>
        <v>20517242919</v>
      </c>
      <c r="G34" s="3">
        <v>44.0</v>
      </c>
      <c r="H34" s="57" t="s">
        <v>47</v>
      </c>
      <c r="I34" s="58">
        <v>4.41</v>
      </c>
      <c r="J34" s="58">
        <v>2.7</v>
      </c>
      <c r="K34" s="59">
        <f t="shared" si="31"/>
        <v>4.29093</v>
      </c>
      <c r="L34" s="60">
        <v>0.275</v>
      </c>
      <c r="M34" s="60">
        <v>0.271</v>
      </c>
      <c r="N34" s="62">
        <v>0.271</v>
      </c>
      <c r="O34" s="60">
        <f t="shared" si="32"/>
        <v>0.271</v>
      </c>
      <c r="P34" s="63">
        <v>90.0</v>
      </c>
      <c r="Q34" s="57">
        <v>89.45</v>
      </c>
      <c r="R34" s="65">
        <v>3261.55</v>
      </c>
      <c r="S34" s="76">
        <v>105.0</v>
      </c>
      <c r="U34" s="87">
        <v>80.0</v>
      </c>
      <c r="V34" s="67">
        <v>1.1023</v>
      </c>
      <c r="Z34" s="87">
        <v>10.0</v>
      </c>
      <c r="AA34" s="70">
        <f t="shared" si="34"/>
        <v>10</v>
      </c>
      <c r="AB34" s="71">
        <f t="shared" si="35"/>
        <v>728.5983036</v>
      </c>
      <c r="AC34" s="71">
        <f>+(S34-T34)*V34-'data 1'!$F$4</f>
        <v>35.7415</v>
      </c>
      <c r="AD34" s="71">
        <f t="shared" si="36"/>
        <v>-5.30437163</v>
      </c>
      <c r="AE34" s="71">
        <f t="shared" si="37"/>
        <v>-58.977</v>
      </c>
      <c r="AF34" s="71">
        <f t="shared" si="38"/>
        <v>12.54812674</v>
      </c>
      <c r="AG34" s="72">
        <f t="shared" si="39"/>
        <v>1.008255108</v>
      </c>
      <c r="AH34" s="52">
        <f t="shared" si="40"/>
        <v>36.18874628</v>
      </c>
      <c r="AI34" s="73">
        <f t="shared" si="41"/>
        <v>45.67555798</v>
      </c>
      <c r="AJ34" s="73">
        <f t="shared" si="42"/>
        <v>35.88164122</v>
      </c>
      <c r="AK34" s="11"/>
      <c r="AL34" s="51">
        <f t="shared" si="29"/>
        <v>3126.364319</v>
      </c>
      <c r="AM34" s="51" t="str">
        <f t="array" ref="AM34">XLOOKUP(D34,RUC!$B$3:$B$62,RUC!$M$3:$M$62)</f>
        <v>Melchor Vera</v>
      </c>
      <c r="AN34" s="131" t="s">
        <v>689</v>
      </c>
    </row>
    <row r="35" ht="15.0" customHeight="1">
      <c r="A35" s="116" t="s">
        <v>1730</v>
      </c>
      <c r="B35" s="56">
        <v>45803.0</v>
      </c>
      <c r="C35" s="56">
        <v>45797.0</v>
      </c>
      <c r="D35" s="57" t="s">
        <v>146</v>
      </c>
      <c r="E35" s="57">
        <f t="array" ref="E35">XLOOKUP(D35,RUC!$B$3:$B$110,RUC!$D$3:$D$110)</f>
        <v>20517242919</v>
      </c>
      <c r="G35" s="3">
        <v>62.0</v>
      </c>
      <c r="H35" s="57" t="s">
        <v>47</v>
      </c>
      <c r="I35" s="58">
        <v>6.14</v>
      </c>
      <c r="J35" s="58">
        <v>3.15</v>
      </c>
      <c r="K35" s="59">
        <f t="shared" si="31"/>
        <v>5.94659</v>
      </c>
      <c r="L35" s="60">
        <v>0.23</v>
      </c>
      <c r="M35" s="60">
        <v>0.227</v>
      </c>
      <c r="N35" s="62">
        <v>0.227</v>
      </c>
      <c r="O35" s="60">
        <f t="shared" si="32"/>
        <v>0.227</v>
      </c>
      <c r="P35" s="63">
        <v>90.0</v>
      </c>
      <c r="Q35" s="57">
        <v>92.17</v>
      </c>
      <c r="R35" s="65">
        <v>3261.55</v>
      </c>
      <c r="S35" s="76">
        <v>105.0</v>
      </c>
      <c r="U35" s="87">
        <v>80.0</v>
      </c>
      <c r="V35" s="67">
        <v>1.1023</v>
      </c>
      <c r="Z35" s="87">
        <v>10.0</v>
      </c>
      <c r="AA35" s="70">
        <f t="shared" si="34"/>
        <v>10</v>
      </c>
      <c r="AB35" s="71">
        <f t="shared" si="35"/>
        <v>589.72021</v>
      </c>
      <c r="AC35" s="71">
        <f>+(S35-T35)*V35-'data 1'!$F$4</f>
        <v>35.7415</v>
      </c>
      <c r="AD35" s="71">
        <f t="shared" si="36"/>
        <v>17.50354962</v>
      </c>
      <c r="AE35" s="71">
        <f t="shared" si="37"/>
        <v>-58.977</v>
      </c>
      <c r="AF35" s="71">
        <f t="shared" si="38"/>
        <v>9.697268094</v>
      </c>
      <c r="AG35" s="72">
        <f t="shared" si="39"/>
        <v>20.96531772</v>
      </c>
      <c r="AH35" s="52">
        <f t="shared" si="40"/>
        <v>43.22096796</v>
      </c>
      <c r="AI35" s="73">
        <f t="shared" si="41"/>
        <v>39.36300508</v>
      </c>
      <c r="AJ35" s="73">
        <f t="shared" si="42"/>
        <v>41.65291807</v>
      </c>
      <c r="AK35" s="11"/>
      <c r="AL35" s="51">
        <f t="shared" si="29"/>
        <v>3506.824304</v>
      </c>
      <c r="AM35" s="51" t="str">
        <f t="array" ref="AM35">XLOOKUP(D35,RUC!$B$3:$B$62,RUC!$M$3:$M$62)</f>
        <v>Melchor Vera</v>
      </c>
      <c r="AN35" s="131" t="s">
        <v>558</v>
      </c>
    </row>
    <row r="36" ht="15.0" customHeight="1">
      <c r="A36" s="116" t="s">
        <v>1731</v>
      </c>
      <c r="B36" s="56">
        <v>45803.0</v>
      </c>
      <c r="C36" s="56">
        <v>45797.0</v>
      </c>
      <c r="D36" s="57" t="s">
        <v>146</v>
      </c>
      <c r="E36" s="57">
        <f t="array" ref="E36">XLOOKUP(D36,RUC!$B$3:$B$110,RUC!$D$3:$D$110)</f>
        <v>20517242919</v>
      </c>
      <c r="G36" s="3">
        <v>57.0</v>
      </c>
      <c r="H36" s="57" t="s">
        <v>47</v>
      </c>
      <c r="I36" s="58">
        <v>4.85</v>
      </c>
      <c r="J36" s="58">
        <v>4.05</v>
      </c>
      <c r="K36" s="59">
        <f t="shared" si="31"/>
        <v>4.653575</v>
      </c>
      <c r="L36" s="60">
        <v>0.167</v>
      </c>
      <c r="M36" s="60">
        <v>0.164</v>
      </c>
      <c r="N36" s="75">
        <v>0.189</v>
      </c>
      <c r="O36" s="60">
        <f t="shared" si="32"/>
        <v>0.177</v>
      </c>
      <c r="P36" s="63">
        <v>85.0</v>
      </c>
      <c r="Q36" s="57">
        <v>88.02</v>
      </c>
      <c r="R36" s="65">
        <v>3261.55</v>
      </c>
      <c r="S36" s="76">
        <v>95.0</v>
      </c>
      <c r="U36" s="87">
        <v>80.0</v>
      </c>
      <c r="V36" s="67">
        <v>1.1023</v>
      </c>
      <c r="Z36" s="87">
        <v>10.0</v>
      </c>
      <c r="AA36" s="70">
        <f t="shared" si="34"/>
        <v>10</v>
      </c>
      <c r="AB36" s="71">
        <f t="shared" si="35"/>
        <v>411.8900449</v>
      </c>
      <c r="AC36" s="71">
        <f>+(S36-T36)*V36-'data 1'!$F$4</f>
        <v>24.7185</v>
      </c>
      <c r="AD36" s="71">
        <f t="shared" si="36"/>
        <v>17.6873176</v>
      </c>
      <c r="AE36" s="71">
        <f t="shared" si="37"/>
        <v>-58.977</v>
      </c>
      <c r="AF36" s="71">
        <f t="shared" si="38"/>
        <v>-30.86881262</v>
      </c>
      <c r="AG36" s="72">
        <f t="shared" si="39"/>
        <v>-30.43999501</v>
      </c>
      <c r="AH36" s="52">
        <f t="shared" si="40"/>
        <v>23.4527418</v>
      </c>
      <c r="AI36" s="73">
        <f t="shared" si="41"/>
        <v>27.29409244</v>
      </c>
      <c r="AJ36" s="73">
        <f t="shared" si="42"/>
        <v>24.00424104</v>
      </c>
      <c r="AK36" s="11"/>
      <c r="AL36" s="51">
        <f t="shared" si="29"/>
        <v>1916.761216</v>
      </c>
      <c r="AM36" s="51" t="str">
        <f t="array" ref="AM36">XLOOKUP(D36,RUC!$B$3:$B$62,RUC!$M$3:$M$62)</f>
        <v>Melchor Vera</v>
      </c>
      <c r="AN36" s="131" t="s">
        <v>689</v>
      </c>
    </row>
    <row r="37" ht="15.0" customHeight="1">
      <c r="A37" s="116" t="s">
        <v>1732</v>
      </c>
      <c r="B37" s="56">
        <v>45803.0</v>
      </c>
      <c r="C37" s="56">
        <v>45799.0</v>
      </c>
      <c r="D37" s="57" t="s">
        <v>45</v>
      </c>
      <c r="E37" s="57">
        <f t="array" ref="E37">XLOOKUP(D37,RUC!$B$3:$B$110,RUC!$D$3:$D$110)</f>
        <v>10416085884</v>
      </c>
      <c r="G37" s="3" t="s">
        <v>46</v>
      </c>
      <c r="H37" s="57" t="s">
        <v>47</v>
      </c>
      <c r="I37" s="58">
        <v>28.07</v>
      </c>
      <c r="J37" s="58">
        <v>2.5</v>
      </c>
      <c r="K37" s="59">
        <f t="shared" si="31"/>
        <v>27.36825</v>
      </c>
      <c r="L37" s="60">
        <v>0.201</v>
      </c>
      <c r="M37" s="60">
        <v>0.185</v>
      </c>
      <c r="N37" s="75">
        <v>0.22</v>
      </c>
      <c r="O37" s="61">
        <v>0.202</v>
      </c>
      <c r="P37" s="63">
        <v>90.0</v>
      </c>
      <c r="Q37" s="57">
        <v>92.04</v>
      </c>
      <c r="R37" s="65">
        <v>3284.0</v>
      </c>
      <c r="S37" s="76">
        <v>100.0</v>
      </c>
      <c r="U37" s="67">
        <v>90.0</v>
      </c>
      <c r="V37" s="67">
        <v>1.1023</v>
      </c>
      <c r="Y37" s="57">
        <v>20.0</v>
      </c>
      <c r="Z37" s="69">
        <f t="shared" ref="Z37:Z45" si="44">IF(IF(D37="UNTUCA",IF(+((W37-3)*1.5+(X37-3)*3.1)&gt;0,+((W37-3)*1.5+(X37-3)*3.1),0),IF(+((W37-3)*1.5+(X37-3)*3.1)&gt;0,+((W37-3)*1.5+(X37-3)*3.1),0))&lt;30,30,IF(D37="UNTUCA",IF(+((W37-3)*1.5+(X37-3)*3.1)&gt;0,+((W37-3)*1.5+(X37-3)*3.1),0),IF(+((W37-3)*1.5+(X37-3)*3.1)&gt;0,+((W37-3)*1.5+(X37-3)*3.1),0)))</f>
        <v>30</v>
      </c>
      <c r="AA37" s="70">
        <f t="shared" si="34"/>
        <v>50</v>
      </c>
      <c r="AB37" s="71">
        <f t="shared" si="35"/>
        <v>474.7266592</v>
      </c>
      <c r="AC37" s="71">
        <f>+(S37-T37)*V37-'data 1'!$F$4</f>
        <v>30.23</v>
      </c>
      <c r="AD37" s="71">
        <f t="shared" si="36"/>
        <v>14.43646772</v>
      </c>
      <c r="AE37" s="71">
        <f t="shared" si="37"/>
        <v>-14.885</v>
      </c>
      <c r="AF37" s="71">
        <f t="shared" si="38"/>
        <v>-3.240494802</v>
      </c>
      <c r="AG37" s="72">
        <f t="shared" si="39"/>
        <v>43.54097292</v>
      </c>
      <c r="AH37" s="52">
        <f t="shared" si="40"/>
        <v>173.5916236</v>
      </c>
      <c r="AI37" s="73">
        <f t="shared" si="41"/>
        <v>31.81244678</v>
      </c>
      <c r="AJ37" s="73">
        <f t="shared" si="42"/>
        <v>170.5885888</v>
      </c>
      <c r="AK37" s="11"/>
      <c r="AL37" s="51">
        <f t="shared" si="29"/>
        <v>12992.43789</v>
      </c>
      <c r="AM37" s="51" t="str">
        <f t="array" ref="AM37">XLOOKUP(D37,RUC!$B$3:$B$62,RUC!$M$3:$M$62)</f>
        <v>Alfred Torres</v>
      </c>
      <c r="AN37" s="131" t="s">
        <v>549</v>
      </c>
    </row>
    <row r="38" ht="15.0" customHeight="1">
      <c r="A38" s="116" t="s">
        <v>1733</v>
      </c>
      <c r="B38" s="56">
        <v>45806.0</v>
      </c>
      <c r="C38" s="56">
        <v>45802.0</v>
      </c>
      <c r="D38" s="57" t="s">
        <v>295</v>
      </c>
      <c r="E38" s="57">
        <f t="array" ref="E38">XLOOKUP(D38,RUC!$B$3:$B$110,RUC!$D$3:$D$110)</f>
        <v>20601769396</v>
      </c>
      <c r="G38" s="3">
        <v>50.0</v>
      </c>
      <c r="H38" s="57" t="s">
        <v>339</v>
      </c>
      <c r="I38" s="58">
        <v>3.62</v>
      </c>
      <c r="J38" s="58">
        <v>22.0</v>
      </c>
      <c r="K38" s="59">
        <f t="shared" si="31"/>
        <v>2.8236</v>
      </c>
      <c r="L38" s="60">
        <v>0.225</v>
      </c>
      <c r="M38" s="60">
        <v>0.209</v>
      </c>
      <c r="N38" s="62">
        <v>0.209</v>
      </c>
      <c r="O38" s="60">
        <f t="shared" ref="O38:O65" si="45">+ROUND((M38+N38)/2,3)</f>
        <v>0.209</v>
      </c>
      <c r="P38" s="63">
        <v>90.0</v>
      </c>
      <c r="Q38" s="58">
        <v>92.89</v>
      </c>
      <c r="R38" s="65">
        <v>3296.7</v>
      </c>
      <c r="S38" s="66">
        <f t="shared" ref="S38:S43" si="46">IF((90+ROUNDDOWN(O38,1)*100)&lt;95,95,(90+ROUNDDOWN(O38,1)*100))</f>
        <v>110</v>
      </c>
      <c r="U38" s="67">
        <v>120.0</v>
      </c>
      <c r="V38" s="67">
        <v>1.1023</v>
      </c>
      <c r="Y38" s="57">
        <v>20.0</v>
      </c>
      <c r="Z38" s="69">
        <f t="shared" si="44"/>
        <v>30</v>
      </c>
      <c r="AA38" s="70">
        <f t="shared" si="34"/>
        <v>50</v>
      </c>
      <c r="AB38" s="71">
        <f t="shared" si="35"/>
        <v>482.2973327</v>
      </c>
      <c r="AC38" s="71">
        <f>+(S38-T38)*V38-'data 1'!$F$4</f>
        <v>41.253</v>
      </c>
      <c r="AD38" s="71">
        <f t="shared" si="36"/>
        <v>22.76965086</v>
      </c>
      <c r="AE38" s="71">
        <f t="shared" si="37"/>
        <v>-14.885</v>
      </c>
      <c r="AF38" s="71">
        <f t="shared" si="38"/>
        <v>52.04331548</v>
      </c>
      <c r="AG38" s="72">
        <f t="shared" si="39"/>
        <v>118.1809663</v>
      </c>
      <c r="AH38" s="52">
        <f t="shared" si="40"/>
        <v>20.23316036</v>
      </c>
      <c r="AI38" s="73">
        <f t="shared" si="41"/>
        <v>39.92545288</v>
      </c>
      <c r="AJ38" s="73">
        <f t="shared" si="42"/>
        <v>18.2096265</v>
      </c>
      <c r="AK38" s="11"/>
      <c r="AL38" s="51">
        <f t="shared" si="29"/>
        <v>1361.814749</v>
      </c>
      <c r="AM38" s="51" t="str">
        <f t="array" ref="AM38">XLOOKUP(D38,RUC!$B$3:$B$62,RUC!$M$3:$M$62)</f>
        <v>Evelyn</v>
      </c>
      <c r="AN38" s="131" t="s">
        <v>551</v>
      </c>
    </row>
    <row r="39" ht="15.0" customHeight="1">
      <c r="A39" s="116" t="s">
        <v>1734</v>
      </c>
      <c r="B39" s="56">
        <v>45806.0</v>
      </c>
      <c r="C39" s="56">
        <v>45802.0</v>
      </c>
      <c r="D39" s="57" t="s">
        <v>295</v>
      </c>
      <c r="E39" s="57">
        <f t="array" ref="E39">XLOOKUP(D39,RUC!$B$3:$B$110,RUC!$D$3:$D$110)</f>
        <v>20601769396</v>
      </c>
      <c r="G39" s="3">
        <v>50.0</v>
      </c>
      <c r="H39" s="57" t="s">
        <v>339</v>
      </c>
      <c r="I39" s="58">
        <v>3.69</v>
      </c>
      <c r="J39" s="58">
        <v>18.0</v>
      </c>
      <c r="K39" s="59">
        <f t="shared" si="31"/>
        <v>3.0258</v>
      </c>
      <c r="L39" s="60">
        <v>0.266</v>
      </c>
      <c r="M39" s="60">
        <v>0.25</v>
      </c>
      <c r="N39" s="62">
        <v>0.25</v>
      </c>
      <c r="O39" s="60">
        <f t="shared" si="45"/>
        <v>0.25</v>
      </c>
      <c r="P39" s="63">
        <v>90.0</v>
      </c>
      <c r="Q39" s="58">
        <v>92.48</v>
      </c>
      <c r="R39" s="65">
        <v>3296.7</v>
      </c>
      <c r="S39" s="66">
        <f t="shared" si="46"/>
        <v>110</v>
      </c>
      <c r="U39" s="67">
        <v>120.0</v>
      </c>
      <c r="V39" s="67">
        <v>1.1023</v>
      </c>
      <c r="Y39" s="57">
        <v>20.0</v>
      </c>
      <c r="Z39" s="69">
        <f t="shared" si="44"/>
        <v>30</v>
      </c>
      <c r="AA39" s="70">
        <f t="shared" si="34"/>
        <v>50</v>
      </c>
      <c r="AB39" s="71">
        <f t="shared" si="35"/>
        <v>611.5091923</v>
      </c>
      <c r="AC39" s="71">
        <f>+(S39-T39)*V39-'data 1'!$F$4</f>
        <v>41.253</v>
      </c>
      <c r="AD39" s="71">
        <f t="shared" si="36"/>
        <v>23.09985894</v>
      </c>
      <c r="AE39" s="71">
        <f t="shared" si="37"/>
        <v>-14.885</v>
      </c>
      <c r="AF39" s="71">
        <f t="shared" si="38"/>
        <v>51.8136055</v>
      </c>
      <c r="AG39" s="72">
        <f t="shared" si="39"/>
        <v>118.2814644</v>
      </c>
      <c r="AH39" s="52">
        <f t="shared" si="40"/>
        <v>25.51988691</v>
      </c>
      <c r="AI39" s="73">
        <f t="shared" si="41"/>
        <v>46.99242185</v>
      </c>
      <c r="AJ39" s="73">
        <f t="shared" si="42"/>
        <v>23.34166361</v>
      </c>
      <c r="AK39" s="11"/>
      <c r="AL39" s="51">
        <f t="shared" si="29"/>
        <v>1850.304514</v>
      </c>
      <c r="AM39" s="51" t="str">
        <f t="array" ref="AM39">XLOOKUP(D39,RUC!$B$3:$B$62,RUC!$M$3:$M$62)</f>
        <v>Evelyn</v>
      </c>
      <c r="AN39" s="131" t="s">
        <v>551</v>
      </c>
    </row>
    <row r="40" ht="15.0" customHeight="1">
      <c r="A40" s="116" t="s">
        <v>1735</v>
      </c>
      <c r="B40" s="56">
        <v>45806.0</v>
      </c>
      <c r="C40" s="56">
        <v>45802.0</v>
      </c>
      <c r="D40" s="57" t="s">
        <v>295</v>
      </c>
      <c r="E40" s="57">
        <f t="array" ref="E40">XLOOKUP(D40,RUC!$B$3:$B$110,RUC!$D$3:$D$110)</f>
        <v>20601769396</v>
      </c>
      <c r="G40" s="3">
        <v>50.0</v>
      </c>
      <c r="H40" s="57" t="s">
        <v>339</v>
      </c>
      <c r="I40" s="58">
        <v>3.38</v>
      </c>
      <c r="J40" s="58">
        <v>20.0</v>
      </c>
      <c r="K40" s="59">
        <f t="shared" si="31"/>
        <v>2.704</v>
      </c>
      <c r="L40" s="60">
        <v>0.266</v>
      </c>
      <c r="M40" s="60">
        <v>0.25</v>
      </c>
      <c r="N40" s="62">
        <v>0.25</v>
      </c>
      <c r="O40" s="60">
        <f t="shared" si="45"/>
        <v>0.25</v>
      </c>
      <c r="P40" s="63">
        <v>90.0</v>
      </c>
      <c r="Q40" s="58">
        <v>91.73</v>
      </c>
      <c r="R40" s="65">
        <v>3296.7</v>
      </c>
      <c r="S40" s="66">
        <f t="shared" si="46"/>
        <v>110</v>
      </c>
      <c r="U40" s="67">
        <v>120.0</v>
      </c>
      <c r="V40" s="67">
        <v>1.1023</v>
      </c>
      <c r="Y40" s="57">
        <v>20.0</v>
      </c>
      <c r="Z40" s="69">
        <f t="shared" si="44"/>
        <v>30</v>
      </c>
      <c r="AA40" s="70">
        <f t="shared" si="34"/>
        <v>50</v>
      </c>
      <c r="AB40" s="71">
        <f t="shared" si="35"/>
        <v>611.5091923</v>
      </c>
      <c r="AC40" s="71">
        <f>+(S40-T40)*V40-'data 1'!$F$4</f>
        <v>41.253</v>
      </c>
      <c r="AD40" s="71">
        <f t="shared" si="36"/>
        <v>16.1140145</v>
      </c>
      <c r="AE40" s="71">
        <f t="shared" si="37"/>
        <v>-14.885</v>
      </c>
      <c r="AF40" s="71">
        <f t="shared" si="38"/>
        <v>51.39340433</v>
      </c>
      <c r="AG40" s="72">
        <f t="shared" si="39"/>
        <v>110.8754188</v>
      </c>
      <c r="AH40" s="52">
        <f t="shared" si="40"/>
        <v>22.62084306</v>
      </c>
      <c r="AI40" s="73">
        <f t="shared" si="41"/>
        <v>46.61131981</v>
      </c>
      <c r="AJ40" s="73">
        <f t="shared" si="42"/>
        <v>20.85923009</v>
      </c>
      <c r="AK40" s="11"/>
      <c r="AL40" s="51">
        <f t="shared" si="29"/>
        <v>1653.520856</v>
      </c>
      <c r="AM40" s="51" t="str">
        <f t="array" ref="AM40">XLOOKUP(D40,RUC!$B$3:$B$62,RUC!$M$3:$M$62)</f>
        <v>Evelyn</v>
      </c>
      <c r="AN40" s="131" t="s">
        <v>551</v>
      </c>
    </row>
    <row r="41" ht="15.0" customHeight="1">
      <c r="A41" s="116" t="s">
        <v>1736</v>
      </c>
      <c r="B41" s="56">
        <v>45805.0</v>
      </c>
      <c r="C41" s="56">
        <v>45802.0</v>
      </c>
      <c r="D41" s="57" t="s">
        <v>295</v>
      </c>
      <c r="E41" s="57">
        <f t="array" ref="E41">XLOOKUP(D41,RUC!$B$3:$B$110,RUC!$D$3:$D$110)</f>
        <v>20601769396</v>
      </c>
      <c r="G41" s="3">
        <v>50.0</v>
      </c>
      <c r="H41" s="57" t="s">
        <v>339</v>
      </c>
      <c r="I41" s="58">
        <v>3.52</v>
      </c>
      <c r="J41" s="58">
        <v>17.0</v>
      </c>
      <c r="K41" s="59">
        <f t="shared" si="31"/>
        <v>2.9216</v>
      </c>
      <c r="L41" s="60">
        <v>0.22</v>
      </c>
      <c r="M41" s="60">
        <v>0.205</v>
      </c>
      <c r="N41" s="62">
        <v>0.205</v>
      </c>
      <c r="O41" s="60">
        <f t="shared" si="45"/>
        <v>0.205</v>
      </c>
      <c r="P41" s="63">
        <v>90.0</v>
      </c>
      <c r="Q41" s="58">
        <v>90.91</v>
      </c>
      <c r="R41" s="65">
        <v>3296.7</v>
      </c>
      <c r="S41" s="66">
        <f t="shared" si="46"/>
        <v>110</v>
      </c>
      <c r="U41" s="67">
        <v>120.0</v>
      </c>
      <c r="V41" s="67">
        <v>1.1023</v>
      </c>
      <c r="Y41" s="57">
        <v>20.0</v>
      </c>
      <c r="Z41" s="69">
        <f t="shared" si="44"/>
        <v>30</v>
      </c>
      <c r="AA41" s="70">
        <f t="shared" si="34"/>
        <v>50</v>
      </c>
      <c r="AB41" s="71">
        <f t="shared" si="35"/>
        <v>469.6912976</v>
      </c>
      <c r="AC41" s="71">
        <f>+(S41-T41)*V41-'data 1'!$F$4</f>
        <v>41.253</v>
      </c>
      <c r="AD41" s="71">
        <f t="shared" si="36"/>
        <v>7.010356173</v>
      </c>
      <c r="AE41" s="71">
        <f t="shared" si="37"/>
        <v>-14.885</v>
      </c>
      <c r="AF41" s="71">
        <f t="shared" si="38"/>
        <v>47.75061036</v>
      </c>
      <c r="AG41" s="72">
        <f t="shared" si="39"/>
        <v>98.12896654</v>
      </c>
      <c r="AH41" s="52">
        <f t="shared" si="40"/>
        <v>20.03383828</v>
      </c>
      <c r="AI41" s="73">
        <f t="shared" si="41"/>
        <v>38.20610006</v>
      </c>
      <c r="AJ41" s="73">
        <f t="shared" si="42"/>
        <v>18.481031</v>
      </c>
      <c r="AK41" s="11"/>
      <c r="AL41" s="51">
        <f t="shared" si="29"/>
        <v>1372.250095</v>
      </c>
      <c r="AM41" s="51" t="str">
        <f t="array" ref="AM41">XLOOKUP(D41,RUC!$B$3:$B$62,RUC!$M$3:$M$62)</f>
        <v>Evelyn</v>
      </c>
      <c r="AN41" s="131" t="s">
        <v>551</v>
      </c>
    </row>
    <row r="42" ht="15.0" customHeight="1">
      <c r="A42" s="116" t="s">
        <v>1737</v>
      </c>
      <c r="B42" s="56">
        <v>45805.0</v>
      </c>
      <c r="C42" s="56">
        <v>45802.0</v>
      </c>
      <c r="D42" s="57" t="s">
        <v>295</v>
      </c>
      <c r="E42" s="57">
        <f t="array" ref="E42">XLOOKUP(D42,RUC!$B$3:$B$110,RUC!$D$3:$D$110)</f>
        <v>20601769396</v>
      </c>
      <c r="G42" s="3">
        <v>50.0</v>
      </c>
      <c r="H42" s="57" t="s">
        <v>339</v>
      </c>
      <c r="I42" s="58">
        <v>3.81</v>
      </c>
      <c r="J42" s="58">
        <v>20.0</v>
      </c>
      <c r="K42" s="59">
        <f t="shared" si="31"/>
        <v>3.048</v>
      </c>
      <c r="L42" s="60">
        <v>0.247</v>
      </c>
      <c r="M42" s="60">
        <v>0.232</v>
      </c>
      <c r="N42" s="62">
        <v>0.232</v>
      </c>
      <c r="O42" s="60">
        <f t="shared" si="45"/>
        <v>0.232</v>
      </c>
      <c r="P42" s="63">
        <v>90.0</v>
      </c>
      <c r="Q42" s="58">
        <v>90.69</v>
      </c>
      <c r="R42" s="65">
        <v>3296.7</v>
      </c>
      <c r="S42" s="66">
        <f t="shared" si="46"/>
        <v>110</v>
      </c>
      <c r="U42" s="67">
        <v>120.0</v>
      </c>
      <c r="V42" s="67">
        <v>1.1023</v>
      </c>
      <c r="Y42" s="57">
        <v>20.0</v>
      </c>
      <c r="Z42" s="69">
        <f t="shared" si="44"/>
        <v>30</v>
      </c>
      <c r="AA42" s="70">
        <f t="shared" si="34"/>
        <v>50</v>
      </c>
      <c r="AB42" s="71">
        <f t="shared" si="35"/>
        <v>554.7820344</v>
      </c>
      <c r="AC42" s="71">
        <f>+(S42-T42)*V42-'data 1'!$F$4</f>
        <v>41.253</v>
      </c>
      <c r="AD42" s="71">
        <f t="shared" si="36"/>
        <v>5.967907106</v>
      </c>
      <c r="AE42" s="71">
        <f t="shared" si="37"/>
        <v>-14.885</v>
      </c>
      <c r="AF42" s="71">
        <f t="shared" si="38"/>
        <v>47.63505504</v>
      </c>
      <c r="AG42" s="72">
        <f t="shared" si="39"/>
        <v>96.97096215</v>
      </c>
      <c r="AH42" s="52">
        <f t="shared" si="40"/>
        <v>23.40886662</v>
      </c>
      <c r="AI42" s="73">
        <f t="shared" si="41"/>
        <v>42.79122558</v>
      </c>
      <c r="AJ42" s="73">
        <f t="shared" si="42"/>
        <v>21.81998895</v>
      </c>
      <c r="AK42" s="11"/>
      <c r="AL42" s="51">
        <f t="shared" si="29"/>
        <v>1690.975641</v>
      </c>
      <c r="AM42" s="51" t="str">
        <f t="array" ref="AM42">XLOOKUP(D42,RUC!$B$3:$B$62,RUC!$M$3:$M$62)</f>
        <v>Evelyn</v>
      </c>
      <c r="AN42" s="131" t="s">
        <v>551</v>
      </c>
    </row>
    <row r="43" ht="15.0" customHeight="1">
      <c r="A43" s="443" t="s">
        <v>1738</v>
      </c>
      <c r="B43" s="56">
        <v>45805.0</v>
      </c>
      <c r="C43" s="56">
        <v>45802.0</v>
      </c>
      <c r="D43" s="57" t="s">
        <v>295</v>
      </c>
      <c r="E43" s="57">
        <f t="array" ref="E43">XLOOKUP(D43,RUC!$B$3:$B$110,RUC!$D$3:$D$110)</f>
        <v>20601769396</v>
      </c>
      <c r="G43" s="3">
        <v>50.0</v>
      </c>
      <c r="H43" s="57" t="s">
        <v>339</v>
      </c>
      <c r="I43" s="58">
        <v>3.53</v>
      </c>
      <c r="J43" s="58">
        <v>21.0</v>
      </c>
      <c r="K43" s="59">
        <f t="shared" si="31"/>
        <v>2.7887</v>
      </c>
      <c r="L43" s="60">
        <v>0.267</v>
      </c>
      <c r="M43" s="60">
        <v>0.251</v>
      </c>
      <c r="N43" s="62">
        <v>0.251</v>
      </c>
      <c r="O43" s="60">
        <f t="shared" si="45"/>
        <v>0.251</v>
      </c>
      <c r="P43" s="63">
        <v>90.0</v>
      </c>
      <c r="Q43" s="58">
        <v>91.74</v>
      </c>
      <c r="R43" s="65">
        <v>3296.7</v>
      </c>
      <c r="S43" s="66">
        <f t="shared" si="46"/>
        <v>110</v>
      </c>
      <c r="U43" s="67">
        <v>120.0</v>
      </c>
      <c r="V43" s="67">
        <v>1.1023</v>
      </c>
      <c r="Y43" s="57">
        <v>20.0</v>
      </c>
      <c r="Z43" s="69">
        <f t="shared" si="44"/>
        <v>30</v>
      </c>
      <c r="AA43" s="70">
        <f t="shared" si="34"/>
        <v>50</v>
      </c>
      <c r="AB43" s="71">
        <f t="shared" si="35"/>
        <v>614.660701</v>
      </c>
      <c r="AC43" s="71">
        <f>+(S43-T43)*V43-'data 1'!$F$4</f>
        <v>41.253</v>
      </c>
      <c r="AD43" s="71">
        <f t="shared" si="36"/>
        <v>16.26808827</v>
      </c>
      <c r="AE43" s="71">
        <f t="shared" si="37"/>
        <v>-14.885</v>
      </c>
      <c r="AF43" s="71">
        <f t="shared" si="38"/>
        <v>51.39900702</v>
      </c>
      <c r="AG43" s="72">
        <f t="shared" si="39"/>
        <v>111.0350953</v>
      </c>
      <c r="AH43" s="52">
        <f t="shared" si="40"/>
        <v>23.41967495</v>
      </c>
      <c r="AI43" s="73">
        <f t="shared" si="41"/>
        <v>46.7916508</v>
      </c>
      <c r="AJ43" s="73">
        <f t="shared" si="42"/>
        <v>21.59867437</v>
      </c>
      <c r="AK43" s="11"/>
      <c r="AL43" s="51">
        <f t="shared" si="29"/>
        <v>1714.104297</v>
      </c>
      <c r="AM43" s="51" t="str">
        <f t="array" ref="AM43">XLOOKUP(D43,RUC!$B$3:$B$62,RUC!$M$3:$M$62)</f>
        <v>Evelyn</v>
      </c>
      <c r="AN43" s="131" t="s">
        <v>551</v>
      </c>
    </row>
    <row r="44" ht="15.0" customHeight="1">
      <c r="A44" s="116" t="s">
        <v>1739</v>
      </c>
      <c r="B44" s="56">
        <v>45785.0</v>
      </c>
      <c r="C44" s="56">
        <v>45803.0</v>
      </c>
      <c r="D44" s="57" t="s">
        <v>249</v>
      </c>
      <c r="E44" s="57">
        <f t="array" ref="E44">XLOOKUP(D44,RUC!$B$3:$B$110,RUC!$D$3:$D$110)</f>
        <v>10473108823</v>
      </c>
      <c r="G44" s="3" t="s">
        <v>46</v>
      </c>
      <c r="H44" s="57" t="s">
        <v>47</v>
      </c>
      <c r="I44" s="58">
        <v>35.91</v>
      </c>
      <c r="J44" s="58">
        <v>29.0</v>
      </c>
      <c r="K44" s="59">
        <f t="shared" si="31"/>
        <v>25.4961</v>
      </c>
      <c r="L44" s="60">
        <v>0.337</v>
      </c>
      <c r="M44" s="60">
        <v>0.3</v>
      </c>
      <c r="N44" s="62">
        <v>0.3</v>
      </c>
      <c r="O44" s="60">
        <f t="shared" si="45"/>
        <v>0.3</v>
      </c>
      <c r="P44" s="63">
        <v>90.0</v>
      </c>
      <c r="Q44" s="58">
        <v>92.88</v>
      </c>
      <c r="R44" s="65">
        <v>3296.7</v>
      </c>
      <c r="S44" s="76">
        <v>110.0</v>
      </c>
      <c r="U44" s="67">
        <v>90.0</v>
      </c>
      <c r="V44" s="67">
        <v>1.1023</v>
      </c>
      <c r="Z44" s="69">
        <f t="shared" si="44"/>
        <v>30</v>
      </c>
      <c r="AA44" s="70">
        <f t="shared" si="34"/>
        <v>30</v>
      </c>
      <c r="AB44" s="71">
        <f t="shared" si="35"/>
        <v>800.0592607</v>
      </c>
      <c r="AC44" s="71">
        <f>+(S44-T44)*V44-'data 1'!$F$4</f>
        <v>41.253</v>
      </c>
      <c r="AD44" s="71">
        <f t="shared" si="36"/>
        <v>34.30682505</v>
      </c>
      <c r="AE44" s="71">
        <f t="shared" si="37"/>
        <v>-36.931</v>
      </c>
      <c r="AF44" s="71">
        <f t="shared" si="38"/>
        <v>121.4736469</v>
      </c>
      <c r="AG44" s="72">
        <f t="shared" si="39"/>
        <v>177.1024719</v>
      </c>
      <c r="AH44" s="52">
        <f t="shared" si="40"/>
        <v>273.6118678</v>
      </c>
      <c r="AI44" s="73">
        <f t="shared" si="41"/>
        <v>49.44223624</v>
      </c>
      <c r="AJ44" s="73">
        <f t="shared" si="42"/>
        <v>236.0187942</v>
      </c>
      <c r="AK44" s="11"/>
      <c r="AL44" s="51">
        <f t="shared" si="29"/>
        <v>20398.39092</v>
      </c>
      <c r="AM44" s="51" t="str">
        <f t="array" ref="AM44">XLOOKUP(D44,RUC!$B$3:$B$62,RUC!$M$3:$M$62)</f>
        <v>Alfred Torres</v>
      </c>
      <c r="AN44" s="131" t="s">
        <v>551</v>
      </c>
    </row>
    <row r="45" ht="15.0" customHeight="1">
      <c r="A45" s="116" t="s">
        <v>1740</v>
      </c>
      <c r="B45" s="56">
        <v>45785.0</v>
      </c>
      <c r="C45" s="56">
        <v>45803.0</v>
      </c>
      <c r="D45" s="57" t="s">
        <v>249</v>
      </c>
      <c r="E45" s="57">
        <f t="array" ref="E45">XLOOKUP(D45,RUC!$B$3:$B$110,RUC!$D$3:$D$110)</f>
        <v>10473108823</v>
      </c>
      <c r="G45" s="3" t="s">
        <v>46</v>
      </c>
      <c r="H45" s="57" t="s">
        <v>47</v>
      </c>
      <c r="I45" s="58">
        <v>32.36</v>
      </c>
      <c r="J45" s="58">
        <v>26.0</v>
      </c>
      <c r="K45" s="59">
        <f t="shared" si="31"/>
        <v>23.9464</v>
      </c>
      <c r="L45" s="60">
        <v>0.207</v>
      </c>
      <c r="M45" s="60">
        <v>0.185</v>
      </c>
      <c r="N45" s="75">
        <v>0.215</v>
      </c>
      <c r="O45" s="60">
        <f t="shared" si="45"/>
        <v>0.2</v>
      </c>
      <c r="P45" s="63">
        <v>90.0</v>
      </c>
      <c r="Q45" s="58">
        <v>93.72</v>
      </c>
      <c r="R45" s="65">
        <v>3296.7</v>
      </c>
      <c r="S45" s="76">
        <v>100.0</v>
      </c>
      <c r="U45" s="67">
        <v>90.0</v>
      </c>
      <c r="V45" s="67">
        <v>1.1023</v>
      </c>
      <c r="Z45" s="69">
        <f t="shared" si="44"/>
        <v>30</v>
      </c>
      <c r="AA45" s="70">
        <f t="shared" si="34"/>
        <v>30</v>
      </c>
      <c r="AB45" s="71">
        <f t="shared" si="35"/>
        <v>492.9551738</v>
      </c>
      <c r="AC45" s="71">
        <f>+(S45-T45)*V45-'data 1'!$F$4</f>
        <v>30.23</v>
      </c>
      <c r="AD45" s="71">
        <f t="shared" si="36"/>
        <v>27.21895356</v>
      </c>
      <c r="AE45" s="71">
        <f t="shared" si="37"/>
        <v>-36.931</v>
      </c>
      <c r="AF45" s="71">
        <f t="shared" si="38"/>
        <v>23.18934379</v>
      </c>
      <c r="AG45" s="72">
        <f t="shared" si="39"/>
        <v>60.70729734</v>
      </c>
      <c r="AH45" s="52">
        <f t="shared" si="40"/>
        <v>159.276582</v>
      </c>
      <c r="AI45" s="73">
        <f t="shared" si="41"/>
        <v>30.64422364</v>
      </c>
      <c r="AJ45" s="73">
        <f t="shared" si="42"/>
        <v>147.782091</v>
      </c>
      <c r="AK45" s="11"/>
      <c r="AL45" s="51">
        <f t="shared" si="29"/>
        <v>11804.50177</v>
      </c>
      <c r="AM45" s="51" t="str">
        <f t="array" ref="AM45">XLOOKUP(D45,RUC!$B$3:$B$62,RUC!$M$3:$M$62)</f>
        <v>Alfred Torres</v>
      </c>
      <c r="AN45" s="131" t="s">
        <v>547</v>
      </c>
    </row>
    <row r="46" ht="15.0" customHeight="1">
      <c r="A46" s="116" t="s">
        <v>1741</v>
      </c>
      <c r="B46" s="56">
        <v>45688.0</v>
      </c>
      <c r="C46" s="56">
        <v>45804.0</v>
      </c>
      <c r="D46" s="57" t="s">
        <v>61</v>
      </c>
      <c r="E46" s="57">
        <f t="array" ref="E46">XLOOKUP(D46,RUC!$B$3:$B$110,RUC!$D$3:$D$110)</f>
        <v>20606526599</v>
      </c>
      <c r="G46" s="3" t="s">
        <v>46</v>
      </c>
      <c r="H46" s="57" t="s">
        <v>71</v>
      </c>
      <c r="I46" s="58">
        <v>8.35</v>
      </c>
      <c r="J46" s="58">
        <v>1.7</v>
      </c>
      <c r="K46" s="59">
        <f t="shared" si="31"/>
        <v>8.20805</v>
      </c>
      <c r="L46" s="60">
        <v>0.197</v>
      </c>
      <c r="M46" s="60">
        <v>0.182</v>
      </c>
      <c r="N46" s="62">
        <v>0.182</v>
      </c>
      <c r="O46" s="60">
        <f t="shared" si="45"/>
        <v>0.182</v>
      </c>
      <c r="P46" s="63">
        <v>85.0</v>
      </c>
      <c r="Q46" s="58">
        <v>85.79</v>
      </c>
      <c r="R46" s="65">
        <v>3296.7</v>
      </c>
      <c r="S46" s="76">
        <v>95.0</v>
      </c>
      <c r="U46" s="67">
        <v>120.0</v>
      </c>
      <c r="V46" s="67">
        <v>1.1023</v>
      </c>
      <c r="Y46" s="57">
        <v>20.0</v>
      </c>
      <c r="Z46" s="444">
        <v>25.0</v>
      </c>
      <c r="AA46" s="70">
        <f t="shared" si="34"/>
        <v>45</v>
      </c>
      <c r="AB46" s="71">
        <f t="shared" si="35"/>
        <v>387.3873406</v>
      </c>
      <c r="AC46" s="71">
        <f>+(S46-T46)*V46-'data 1'!$F$4</f>
        <v>24.7185</v>
      </c>
      <c r="AD46" s="71">
        <f t="shared" si="36"/>
        <v>5.449658997</v>
      </c>
      <c r="AE46" s="71">
        <f t="shared" si="37"/>
        <v>-20.3965</v>
      </c>
      <c r="AF46" s="71">
        <f t="shared" si="38"/>
        <v>45.06132288</v>
      </c>
      <c r="AG46" s="72">
        <f t="shared" si="39"/>
        <v>71.83298188</v>
      </c>
      <c r="AH46" s="52">
        <f t="shared" si="40"/>
        <v>47.56110724</v>
      </c>
      <c r="AI46" s="73">
        <f t="shared" si="41"/>
        <v>32.28503519</v>
      </c>
      <c r="AJ46" s="73">
        <f t="shared" si="42"/>
        <v>43.53508295</v>
      </c>
      <c r="AK46" s="11"/>
      <c r="AL46" s="51">
        <f t="shared" si="29"/>
        <v>3179.694661</v>
      </c>
      <c r="AM46" s="51" t="str">
        <f t="array" ref="AM46">XLOOKUP(D46,RUC!$B$3:$B$62,RUC!$M$3:$M$62)</f>
        <v>Yuri Rospigliossi</v>
      </c>
      <c r="AN46" s="131" t="s">
        <v>551</v>
      </c>
    </row>
    <row r="47" ht="15.0" customHeight="1">
      <c r="A47" s="116" t="s">
        <v>1742</v>
      </c>
      <c r="B47" s="56">
        <v>45688.0</v>
      </c>
      <c r="C47" s="56">
        <v>45804.0</v>
      </c>
      <c r="D47" s="57" t="s">
        <v>61</v>
      </c>
      <c r="E47" s="57">
        <f t="array" ref="E47">XLOOKUP(D47,RUC!$B$3:$B$110,RUC!$D$3:$D$110)</f>
        <v>20606526599</v>
      </c>
      <c r="G47" s="3" t="s">
        <v>46</v>
      </c>
      <c r="H47" s="57" t="s">
        <v>71</v>
      </c>
      <c r="I47" s="58">
        <v>8.19</v>
      </c>
      <c r="J47" s="58">
        <v>1.1</v>
      </c>
      <c r="K47" s="59">
        <f t="shared" si="31"/>
        <v>8.09991</v>
      </c>
      <c r="L47" s="60">
        <v>0.384</v>
      </c>
      <c r="M47" s="60">
        <v>0.36</v>
      </c>
      <c r="N47" s="62">
        <v>0.36</v>
      </c>
      <c r="O47" s="60">
        <f t="shared" si="45"/>
        <v>0.36</v>
      </c>
      <c r="P47" s="63">
        <v>90.0</v>
      </c>
      <c r="Q47" s="58">
        <v>94.78</v>
      </c>
      <c r="R47" s="65">
        <v>3296.7</v>
      </c>
      <c r="S47" s="76">
        <v>110.0</v>
      </c>
      <c r="U47" s="67">
        <v>120.0</v>
      </c>
      <c r="V47" s="67">
        <v>1.1023</v>
      </c>
      <c r="Y47" s="57">
        <v>20.0</v>
      </c>
      <c r="Z47" s="69">
        <f t="shared" ref="Z47:Z71" si="47">IF(IF(D47="UNTUCA",IF(+((W47-3)*1.5+(X47-3)*3.1)&gt;0,+((W47-3)*1.5+(X47-3)*3.1),0),IF(+((W47-3)*1.5+(X47-3)*3.1)&gt;0,+((W47-3)*1.5+(X47-3)*3.1),0))&lt;30,30,IF(D47="UNTUCA",IF(+((W47-3)*1.5+(X47-3)*3.1)&gt;0,+((W47-3)*1.5+(X47-3)*3.1),0),IF(+((W47-3)*1.5+(X47-3)*3.1)&gt;0,+((W47-3)*1.5+(X47-3)*3.1),0)))</f>
        <v>30</v>
      </c>
      <c r="AA47" s="70">
        <f t="shared" si="34"/>
        <v>50</v>
      </c>
      <c r="AB47" s="71">
        <f t="shared" si="35"/>
        <v>958.1751568</v>
      </c>
      <c r="AC47" s="71">
        <f>+(S47-T47)*V47-'data 1'!$F$4</f>
        <v>41.253</v>
      </c>
      <c r="AD47" s="71">
        <f t="shared" si="36"/>
        <v>64.27397084</v>
      </c>
      <c r="AE47" s="71">
        <f t="shared" si="37"/>
        <v>-14.885</v>
      </c>
      <c r="AF47" s="71">
        <f t="shared" si="38"/>
        <v>79.65333363</v>
      </c>
      <c r="AG47" s="72">
        <f t="shared" si="39"/>
        <v>187.2953045</v>
      </c>
      <c r="AH47" s="52">
        <f t="shared" si="40"/>
        <v>101.0734736</v>
      </c>
      <c r="AI47" s="73">
        <f t="shared" si="41"/>
        <v>69.52584868</v>
      </c>
      <c r="AJ47" s="73">
        <f t="shared" si="42"/>
        <v>89.97757264</v>
      </c>
      <c r="AK47" s="11"/>
      <c r="AL47" s="51">
        <f t="shared" si="29"/>
        <v>7761.132535</v>
      </c>
      <c r="AM47" s="51" t="str">
        <f t="array" ref="AM47">XLOOKUP(D47,RUC!$B$3:$B$62,RUC!$M$3:$M$62)</f>
        <v>Yuri Rospigliossi</v>
      </c>
      <c r="AN47" s="131" t="s">
        <v>551</v>
      </c>
    </row>
    <row r="48" ht="15.0" customHeight="1">
      <c r="A48" s="116" t="s">
        <v>1743</v>
      </c>
      <c r="B48" s="56">
        <v>45809.0</v>
      </c>
      <c r="C48" s="56">
        <v>45804.0</v>
      </c>
      <c r="D48" s="57" t="s">
        <v>61</v>
      </c>
      <c r="E48" s="57">
        <f t="array" ref="E48">XLOOKUP(D48,RUC!$B$3:$B$110,RUC!$D$3:$D$110)</f>
        <v>20606526599</v>
      </c>
      <c r="G48" s="3">
        <v>163.0</v>
      </c>
      <c r="H48" s="57" t="s">
        <v>47</v>
      </c>
      <c r="I48" s="58">
        <v>13.85</v>
      </c>
      <c r="J48" s="58">
        <v>2.4</v>
      </c>
      <c r="K48" s="59">
        <f t="shared" si="31"/>
        <v>13.5176</v>
      </c>
      <c r="L48" s="60">
        <v>0.167</v>
      </c>
      <c r="M48" s="60">
        <v>0.152</v>
      </c>
      <c r="N48" s="62">
        <v>0.152</v>
      </c>
      <c r="O48" s="60">
        <f t="shared" si="45"/>
        <v>0.152</v>
      </c>
      <c r="P48" s="63">
        <v>85.0</v>
      </c>
      <c r="Q48" s="57">
        <v>92.31</v>
      </c>
      <c r="R48" s="65">
        <v>3296.7</v>
      </c>
      <c r="S48" s="66">
        <f t="shared" ref="S48:S61" si="48">IF((90+ROUNDDOWN(O48,1)*100)&lt;95,95,(90+ROUNDDOWN(O48,1)*100))</f>
        <v>100</v>
      </c>
      <c r="U48" s="67">
        <v>120.0</v>
      </c>
      <c r="V48" s="67">
        <v>1.1023</v>
      </c>
      <c r="Y48" s="57">
        <v>20.0</v>
      </c>
      <c r="Z48" s="69">
        <f t="shared" si="47"/>
        <v>30</v>
      </c>
      <c r="AA48" s="70">
        <f t="shared" si="34"/>
        <v>50</v>
      </c>
      <c r="AB48" s="71">
        <f t="shared" si="35"/>
        <v>287.0715922</v>
      </c>
      <c r="AC48" s="71">
        <f>+(S48-T48)*V48-'data 1'!$F$4</f>
        <v>30.23</v>
      </c>
      <c r="AD48" s="71">
        <f t="shared" si="36"/>
        <v>42.74741511</v>
      </c>
      <c r="AE48" s="71">
        <f t="shared" si="37"/>
        <v>-14.885</v>
      </c>
      <c r="AF48" s="71">
        <f t="shared" si="38"/>
        <v>48.48596241</v>
      </c>
      <c r="AG48" s="72">
        <f t="shared" si="39"/>
        <v>123.5783775</v>
      </c>
      <c r="AH48" s="52">
        <f t="shared" si="40"/>
        <v>71.44533591</v>
      </c>
      <c r="AI48" s="73">
        <f t="shared" si="41"/>
        <v>29.44852807</v>
      </c>
      <c r="AJ48" s="73">
        <f t="shared" si="42"/>
        <v>59.87853607</v>
      </c>
      <c r="AK48" s="11"/>
      <c r="AL48" s="51">
        <f t="shared" si="29"/>
        <v>3880.518954</v>
      </c>
      <c r="AM48" s="51" t="str">
        <f t="array" ref="AM48">XLOOKUP(D48,RUC!$B$3:$B$62,RUC!$M$3:$M$62)</f>
        <v>Yuri Rospigliossi</v>
      </c>
      <c r="AN48" s="131" t="s">
        <v>547</v>
      </c>
    </row>
    <row r="49" ht="15.0" customHeight="1">
      <c r="A49" s="116" t="s">
        <v>1744</v>
      </c>
      <c r="B49" s="56">
        <v>45810.0</v>
      </c>
      <c r="C49" s="56">
        <v>45805.0</v>
      </c>
      <c r="D49" s="57" t="s">
        <v>295</v>
      </c>
      <c r="E49" s="57">
        <f t="array" ref="E49">XLOOKUP(D49,RUC!$B$3:$B$110,RUC!$D$3:$D$110)</f>
        <v>20601769396</v>
      </c>
      <c r="G49" s="3">
        <v>50.0</v>
      </c>
      <c r="H49" s="57" t="s">
        <v>71</v>
      </c>
      <c r="I49" s="58">
        <v>3.72</v>
      </c>
      <c r="J49" s="58">
        <v>10.9</v>
      </c>
      <c r="K49" s="59">
        <f t="shared" si="31"/>
        <v>3.31452</v>
      </c>
      <c r="L49" s="60">
        <v>0.234</v>
      </c>
      <c r="M49" s="60">
        <v>0.219</v>
      </c>
      <c r="N49" s="60">
        <v>0.219</v>
      </c>
      <c r="O49" s="60">
        <f t="shared" si="45"/>
        <v>0.219</v>
      </c>
      <c r="P49" s="63">
        <v>90.0</v>
      </c>
      <c r="Q49" s="57">
        <v>94.07</v>
      </c>
      <c r="R49" s="65">
        <v>3300.85</v>
      </c>
      <c r="S49" s="66">
        <f t="shared" si="48"/>
        <v>110</v>
      </c>
      <c r="U49" s="67">
        <v>120.0</v>
      </c>
      <c r="V49" s="67">
        <v>1.1023</v>
      </c>
      <c r="Y49" s="57">
        <v>20.0</v>
      </c>
      <c r="Z49" s="69">
        <f t="shared" si="47"/>
        <v>30</v>
      </c>
      <c r="AA49" s="70">
        <f t="shared" si="34"/>
        <v>50</v>
      </c>
      <c r="AB49" s="71">
        <f t="shared" si="35"/>
        <v>514.7140632</v>
      </c>
      <c r="AC49" s="71">
        <f>+(S49-T49)*V49-'data 1'!$F$4</f>
        <v>41.253</v>
      </c>
      <c r="AD49" s="71">
        <f t="shared" si="36"/>
        <v>33.39283285</v>
      </c>
      <c r="AE49" s="71">
        <f t="shared" si="37"/>
        <v>-14.885</v>
      </c>
      <c r="AF49" s="71">
        <f t="shared" si="38"/>
        <v>49.4749541</v>
      </c>
      <c r="AG49" s="72">
        <f t="shared" si="39"/>
        <v>126.2357869</v>
      </c>
      <c r="AH49" s="52">
        <f t="shared" si="40"/>
        <v>25.01478155</v>
      </c>
      <c r="AI49" s="73">
        <f t="shared" si="41"/>
        <v>41.04297291</v>
      </c>
      <c r="AJ49" s="73">
        <f t="shared" si="42"/>
        <v>22.39836603</v>
      </c>
      <c r="AK49" s="11"/>
      <c r="AL49" s="51">
        <f t="shared" si="29"/>
        <v>1706.030057</v>
      </c>
      <c r="AM49" s="51" t="str">
        <f t="array" ref="AM49">XLOOKUP(D49,RUC!$B$3:$B$62,RUC!$M$3:$M$62)</f>
        <v>Evelyn</v>
      </c>
      <c r="AN49" s="131" t="s">
        <v>561</v>
      </c>
    </row>
    <row r="50" ht="15.0" customHeight="1">
      <c r="A50" s="116" t="s">
        <v>1745</v>
      </c>
      <c r="B50" s="56">
        <v>45810.0</v>
      </c>
      <c r="C50" s="56">
        <v>45805.0</v>
      </c>
      <c r="D50" s="57" t="s">
        <v>295</v>
      </c>
      <c r="E50" s="57">
        <f t="array" ref="E50">XLOOKUP(D50,RUC!$B$3:$B$110,RUC!$D$3:$D$110)</f>
        <v>20601769396</v>
      </c>
      <c r="G50" s="3">
        <v>50.0</v>
      </c>
      <c r="H50" s="57" t="s">
        <v>71</v>
      </c>
      <c r="I50" s="58">
        <v>3.64</v>
      </c>
      <c r="J50" s="58">
        <v>13.8</v>
      </c>
      <c r="K50" s="59">
        <f t="shared" si="31"/>
        <v>3.13768</v>
      </c>
      <c r="L50" s="60">
        <v>0.271</v>
      </c>
      <c r="M50" s="60">
        <v>0.267</v>
      </c>
      <c r="N50" s="60">
        <v>0.267</v>
      </c>
      <c r="O50" s="60">
        <f t="shared" si="45"/>
        <v>0.267</v>
      </c>
      <c r="P50" s="63">
        <v>90.0</v>
      </c>
      <c r="Q50" s="57">
        <v>93.66</v>
      </c>
      <c r="R50" s="65">
        <v>3300.85</v>
      </c>
      <c r="S50" s="66">
        <f t="shared" si="48"/>
        <v>110</v>
      </c>
      <c r="U50" s="67">
        <v>120.0</v>
      </c>
      <c r="V50" s="67">
        <v>1.1023</v>
      </c>
      <c r="Y50" s="57">
        <v>20.0</v>
      </c>
      <c r="Z50" s="69">
        <f t="shared" si="47"/>
        <v>30</v>
      </c>
      <c r="AA50" s="70">
        <f t="shared" si="34"/>
        <v>50</v>
      </c>
      <c r="AB50" s="71">
        <f t="shared" si="35"/>
        <v>666.1841045</v>
      </c>
      <c r="AC50" s="71">
        <f>+(S50-T50)*V50-'data 1'!$F$4</f>
        <v>41.253</v>
      </c>
      <c r="AD50" s="71">
        <f t="shared" si="36"/>
        <v>34.77710072</v>
      </c>
      <c r="AE50" s="71">
        <f t="shared" si="37"/>
        <v>-14.885</v>
      </c>
      <c r="AF50" s="71">
        <f t="shared" si="38"/>
        <v>13.13581858</v>
      </c>
      <c r="AG50" s="72">
        <f t="shared" si="39"/>
        <v>91.2809193</v>
      </c>
      <c r="AH50" s="52">
        <f t="shared" si="40"/>
        <v>27.30493601</v>
      </c>
      <c r="AI50" s="73">
        <f t="shared" si="41"/>
        <v>47.32550467</v>
      </c>
      <c r="AJ50" s="73">
        <f t="shared" si="42"/>
        <v>25.8506513</v>
      </c>
      <c r="AK50" s="11"/>
      <c r="AL50" s="51">
        <f t="shared" si="29"/>
        <v>2090.272541</v>
      </c>
      <c r="AM50" s="51" t="str">
        <f t="array" ref="AM50">XLOOKUP(D50,RUC!$B$3:$B$62,RUC!$M$3:$M$62)</f>
        <v>Evelyn</v>
      </c>
      <c r="AN50" s="131" t="s">
        <v>551</v>
      </c>
    </row>
    <row r="51" ht="15.0" customHeight="1">
      <c r="A51" s="116" t="s">
        <v>1746</v>
      </c>
      <c r="B51" s="56">
        <v>45810.0</v>
      </c>
      <c r="C51" s="56">
        <v>45805.0</v>
      </c>
      <c r="D51" s="57" t="s">
        <v>295</v>
      </c>
      <c r="E51" s="57">
        <f t="array" ref="E51">XLOOKUP(D51,RUC!$B$3:$B$110,RUC!$D$3:$D$110)</f>
        <v>20601769396</v>
      </c>
      <c r="G51" s="3">
        <v>50.0</v>
      </c>
      <c r="H51" s="57" t="s">
        <v>71</v>
      </c>
      <c r="I51" s="58">
        <v>3.74</v>
      </c>
      <c r="J51" s="58">
        <v>9.5</v>
      </c>
      <c r="K51" s="59">
        <f t="shared" si="31"/>
        <v>3.3847</v>
      </c>
      <c r="L51" s="60">
        <v>0.222</v>
      </c>
      <c r="M51" s="60">
        <v>0.222</v>
      </c>
      <c r="N51" s="60">
        <v>0.222</v>
      </c>
      <c r="O51" s="60">
        <f t="shared" si="45"/>
        <v>0.222</v>
      </c>
      <c r="P51" s="63">
        <v>90.0</v>
      </c>
      <c r="Q51" s="57">
        <v>92.36</v>
      </c>
      <c r="R51" s="65">
        <v>3300.85</v>
      </c>
      <c r="S51" s="66">
        <f t="shared" si="48"/>
        <v>110</v>
      </c>
      <c r="U51" s="67">
        <v>120.0</v>
      </c>
      <c r="V51" s="67">
        <v>1.1023</v>
      </c>
      <c r="Y51" s="57">
        <v>20.0</v>
      </c>
      <c r="Z51" s="69">
        <f t="shared" si="47"/>
        <v>30</v>
      </c>
      <c r="AA51" s="70">
        <f t="shared" si="34"/>
        <v>50</v>
      </c>
      <c r="AB51" s="71">
        <f t="shared" si="35"/>
        <v>524.1809408</v>
      </c>
      <c r="AC51" s="71">
        <f>+(S51-T51)*V51-'data 1'!$F$4</f>
        <v>41.253</v>
      </c>
      <c r="AD51" s="71">
        <f t="shared" si="36"/>
        <v>18.36995</v>
      </c>
      <c r="AE51" s="71">
        <f t="shared" si="37"/>
        <v>-14.885</v>
      </c>
      <c r="AF51" s="71">
        <f t="shared" si="38"/>
        <v>0</v>
      </c>
      <c r="AG51" s="72">
        <f t="shared" si="39"/>
        <v>61.73795</v>
      </c>
      <c r="AH51" s="52">
        <f t="shared" si="40"/>
        <v>23.79392834</v>
      </c>
      <c r="AI51" s="73">
        <f t="shared" si="41"/>
        <v>38.23038822</v>
      </c>
      <c r="AJ51" s="73">
        <f t="shared" si="42"/>
        <v>23.18594144</v>
      </c>
      <c r="AK51" s="11"/>
      <c r="AL51" s="51">
        <f t="shared" si="29"/>
        <v>1774.19523</v>
      </c>
      <c r="AM51" s="51" t="str">
        <f t="array" ref="AM51">XLOOKUP(D51,RUC!$B$3:$B$62,RUC!$M$3:$M$62)</f>
        <v>Evelyn</v>
      </c>
      <c r="AN51" s="131" t="s">
        <v>549</v>
      </c>
    </row>
    <row r="52" ht="15.0" customHeight="1">
      <c r="A52" s="116" t="s">
        <v>1747</v>
      </c>
      <c r="B52" s="56">
        <v>45809.0</v>
      </c>
      <c r="C52" s="56">
        <v>45806.0</v>
      </c>
      <c r="D52" s="57" t="s">
        <v>67</v>
      </c>
      <c r="E52" s="57">
        <f t="array" ref="E52">XLOOKUP(D52,RUC!$B$3:$B$110,RUC!$D$3:$D$110)</f>
        <v>20606094010</v>
      </c>
      <c r="G52" s="3" t="s">
        <v>46</v>
      </c>
      <c r="H52" s="57" t="s">
        <v>40</v>
      </c>
      <c r="I52" s="58">
        <v>33.95</v>
      </c>
      <c r="J52" s="58">
        <v>18.6</v>
      </c>
      <c r="K52" s="59">
        <f t="shared" si="31"/>
        <v>27.6353</v>
      </c>
      <c r="L52" s="60">
        <v>0.257</v>
      </c>
      <c r="M52" s="60">
        <v>0.242</v>
      </c>
      <c r="N52" s="62">
        <v>0.242</v>
      </c>
      <c r="O52" s="60">
        <f t="shared" si="45"/>
        <v>0.242</v>
      </c>
      <c r="P52" s="63">
        <v>90.0</v>
      </c>
      <c r="Q52" s="58">
        <v>91.67</v>
      </c>
      <c r="R52" s="65">
        <v>3300.85</v>
      </c>
      <c r="S52" s="66">
        <f t="shared" si="48"/>
        <v>110</v>
      </c>
      <c r="U52" s="67">
        <v>120.0</v>
      </c>
      <c r="V52" s="67">
        <v>1.1023</v>
      </c>
      <c r="Y52" s="57">
        <v>20.0</v>
      </c>
      <c r="Z52" s="69">
        <f t="shared" si="47"/>
        <v>30</v>
      </c>
      <c r="AA52" s="70">
        <f t="shared" si="34"/>
        <v>50</v>
      </c>
      <c r="AB52" s="71">
        <f t="shared" si="35"/>
        <v>587.293458</v>
      </c>
      <c r="AC52" s="71">
        <f>+(S52-T52)*V52-'data 1'!$F$4</f>
        <v>41.253</v>
      </c>
      <c r="AD52" s="71">
        <f t="shared" si="36"/>
        <v>15.04847847</v>
      </c>
      <c r="AE52" s="71">
        <f t="shared" si="37"/>
        <v>-14.885</v>
      </c>
      <c r="AF52" s="71">
        <f t="shared" si="38"/>
        <v>48.21270376</v>
      </c>
      <c r="AG52" s="72">
        <f t="shared" si="39"/>
        <v>106.6291822</v>
      </c>
      <c r="AH52" s="52">
        <f t="shared" si="40"/>
        <v>223.2202589</v>
      </c>
      <c r="AI52" s="73">
        <f t="shared" si="41"/>
        <v>43.92706272</v>
      </c>
      <c r="AJ52" s="73">
        <f t="shared" si="42"/>
        <v>206.3626652</v>
      </c>
      <c r="AK52" s="11"/>
      <c r="AL52" s="51">
        <f t="shared" si="29"/>
        <v>16230.0309</v>
      </c>
      <c r="AM52" s="51" t="str">
        <f t="array" ref="AM52">XLOOKUP(D52,RUC!$B$3:$B$62,RUC!$M$3:$M$62)</f>
        <v>Yuri Rospigliossi</v>
      </c>
      <c r="AN52" s="131" t="s">
        <v>558</v>
      </c>
    </row>
    <row r="53" ht="15.0" customHeight="1">
      <c r="A53" s="116" t="s">
        <v>1748</v>
      </c>
      <c r="B53" s="56">
        <v>45813.0</v>
      </c>
      <c r="C53" s="56">
        <v>45809.0</v>
      </c>
      <c r="D53" s="57" t="s">
        <v>295</v>
      </c>
      <c r="E53" s="57">
        <f t="array" ref="E53">XLOOKUP(D53,RUC!$B$3:$B$110,RUC!$D$3:$D$110)</f>
        <v>20601769396</v>
      </c>
      <c r="G53" s="3">
        <v>41.0</v>
      </c>
      <c r="H53" s="57" t="s">
        <v>71</v>
      </c>
      <c r="I53" s="58">
        <v>2.67</v>
      </c>
      <c r="J53" s="58">
        <v>14.55</v>
      </c>
      <c r="K53" s="59">
        <f t="shared" si="31"/>
        <v>2.281515</v>
      </c>
      <c r="L53" s="60">
        <v>0.344</v>
      </c>
      <c r="M53" s="60">
        <v>0.323</v>
      </c>
      <c r="N53" s="62">
        <v>0.323</v>
      </c>
      <c r="O53" s="60">
        <f t="shared" si="45"/>
        <v>0.323</v>
      </c>
      <c r="P53" s="63">
        <v>90.0</v>
      </c>
      <c r="Q53" s="58">
        <v>91.53</v>
      </c>
      <c r="R53" s="65">
        <v>3277.55</v>
      </c>
      <c r="S53" s="66">
        <f t="shared" si="48"/>
        <v>120</v>
      </c>
      <c r="U53" s="67">
        <v>120.0</v>
      </c>
      <c r="V53" s="67">
        <v>1.1023</v>
      </c>
      <c r="Y53" s="57">
        <v>20.0</v>
      </c>
      <c r="Z53" s="69">
        <f t="shared" si="47"/>
        <v>30</v>
      </c>
      <c r="AA53" s="70">
        <f t="shared" si="34"/>
        <v>50</v>
      </c>
      <c r="AB53" s="71">
        <f t="shared" si="35"/>
        <v>824.409933</v>
      </c>
      <c r="AC53" s="71">
        <f>+(S53-T53)*V53-'data 1'!$F$4</f>
        <v>52.276</v>
      </c>
      <c r="AD53" s="71">
        <f t="shared" si="36"/>
        <v>18.31892216</v>
      </c>
      <c r="AE53" s="71">
        <f t="shared" si="37"/>
        <v>-14.885</v>
      </c>
      <c r="AF53" s="71">
        <f t="shared" si="38"/>
        <v>66.90102949</v>
      </c>
      <c r="AG53" s="72">
        <f t="shared" si="39"/>
        <v>139.6109516</v>
      </c>
      <c r="AH53" s="52">
        <f t="shared" si="40"/>
        <v>24.62942669</v>
      </c>
      <c r="AI53" s="73">
        <f t="shared" si="41"/>
        <v>66.7943346</v>
      </c>
      <c r="AJ53" s="73">
        <f t="shared" si="42"/>
        <v>22.7393177</v>
      </c>
      <c r="AK53" s="11"/>
      <c r="AL53" s="51">
        <f t="shared" si="29"/>
        <v>1880.903628</v>
      </c>
      <c r="AM53" s="51" t="str">
        <f t="array" ref="AM53">XLOOKUP(D53,RUC!$B$3:$B$62,RUC!$M$3:$M$62)</f>
        <v>Evelyn</v>
      </c>
      <c r="AN53" s="131" t="s">
        <v>549</v>
      </c>
    </row>
    <row r="54" ht="15.0" customHeight="1">
      <c r="A54" s="116" t="s">
        <v>1749</v>
      </c>
      <c r="B54" s="56">
        <v>45813.0</v>
      </c>
      <c r="C54" s="56">
        <v>45809.0</v>
      </c>
      <c r="D54" s="57" t="s">
        <v>295</v>
      </c>
      <c r="E54" s="57">
        <f t="array" ref="E54">XLOOKUP(D54,RUC!$B$3:$B$110,RUC!$D$3:$D$110)</f>
        <v>20601769396</v>
      </c>
      <c r="G54" s="3">
        <v>41.0</v>
      </c>
      <c r="H54" s="57" t="s">
        <v>71</v>
      </c>
      <c r="I54" s="58">
        <v>2.73</v>
      </c>
      <c r="J54" s="58">
        <v>13.7</v>
      </c>
      <c r="K54" s="59">
        <f t="shared" si="31"/>
        <v>2.35599</v>
      </c>
      <c r="L54" s="60">
        <v>0.247</v>
      </c>
      <c r="M54" s="60">
        <v>0.232</v>
      </c>
      <c r="N54" s="62">
        <v>0.232</v>
      </c>
      <c r="O54" s="60">
        <f t="shared" si="45"/>
        <v>0.232</v>
      </c>
      <c r="P54" s="63">
        <v>90.0</v>
      </c>
      <c r="Q54" s="58">
        <v>92.11</v>
      </c>
      <c r="R54" s="65">
        <v>3277.55</v>
      </c>
      <c r="S54" s="66">
        <f t="shared" si="48"/>
        <v>110</v>
      </c>
      <c r="U54" s="67">
        <v>120.0</v>
      </c>
      <c r="V54" s="67">
        <v>1.1023</v>
      </c>
      <c r="Y54" s="57">
        <v>20.0</v>
      </c>
      <c r="Z54" s="69">
        <f t="shared" si="47"/>
        <v>30</v>
      </c>
      <c r="AA54" s="70">
        <f t="shared" si="34"/>
        <v>50</v>
      </c>
      <c r="AB54" s="71">
        <f t="shared" si="35"/>
        <v>550.3744658</v>
      </c>
      <c r="AC54" s="71">
        <f>+(S54-T54)*V54-'data 1'!$F$4</f>
        <v>41.253</v>
      </c>
      <c r="AD54" s="71">
        <f t="shared" si="36"/>
        <v>18.13967294</v>
      </c>
      <c r="AE54" s="71">
        <f t="shared" si="37"/>
        <v>-14.885</v>
      </c>
      <c r="AF54" s="71">
        <f t="shared" si="38"/>
        <v>48.089259</v>
      </c>
      <c r="AG54" s="72">
        <f t="shared" si="39"/>
        <v>109.5969319</v>
      </c>
      <c r="AH54" s="52">
        <f t="shared" si="40"/>
        <v>18.37749222</v>
      </c>
      <c r="AI54" s="73">
        <f t="shared" si="41"/>
        <v>48.26379397</v>
      </c>
      <c r="AJ54" s="73">
        <f t="shared" si="42"/>
        <v>16.86603535</v>
      </c>
      <c r="AK54" s="11"/>
      <c r="AL54" s="51">
        <f t="shared" si="29"/>
        <v>1296.676738</v>
      </c>
      <c r="AM54" s="51" t="str">
        <f t="array" ref="AM54">XLOOKUP(D54,RUC!$B$3:$B$62,RUC!$M$3:$M$62)</f>
        <v>Evelyn</v>
      </c>
      <c r="AN54" s="131" t="s">
        <v>549</v>
      </c>
    </row>
    <row r="55" ht="15.0" customHeight="1">
      <c r="A55" s="116" t="s">
        <v>1750</v>
      </c>
      <c r="B55" s="56">
        <v>45813.0</v>
      </c>
      <c r="C55" s="56">
        <v>45809.0</v>
      </c>
      <c r="D55" s="57" t="s">
        <v>295</v>
      </c>
      <c r="E55" s="57">
        <f t="array" ref="E55">XLOOKUP(D55,RUC!$B$3:$B$110,RUC!$D$3:$D$110)</f>
        <v>20601769396</v>
      </c>
      <c r="G55" s="3">
        <v>41.0</v>
      </c>
      <c r="H55" s="57" t="s">
        <v>71</v>
      </c>
      <c r="I55" s="58">
        <v>2.72</v>
      </c>
      <c r="J55" s="58">
        <v>15.15</v>
      </c>
      <c r="K55" s="59">
        <f t="shared" si="31"/>
        <v>2.30792</v>
      </c>
      <c r="L55" s="60">
        <v>0.175</v>
      </c>
      <c r="M55" s="60">
        <v>0.164</v>
      </c>
      <c r="N55" s="62">
        <v>0.164</v>
      </c>
      <c r="O55" s="60">
        <f t="shared" si="45"/>
        <v>0.164</v>
      </c>
      <c r="P55" s="63">
        <v>85.0</v>
      </c>
      <c r="Q55" s="58">
        <v>93.37</v>
      </c>
      <c r="R55" s="65">
        <v>3277.55</v>
      </c>
      <c r="S55" s="66">
        <f t="shared" si="48"/>
        <v>100</v>
      </c>
      <c r="U55" s="67">
        <v>120.0</v>
      </c>
      <c r="V55" s="67">
        <v>1.1023</v>
      </c>
      <c r="Y55" s="57">
        <v>20.0</v>
      </c>
      <c r="Z55" s="69">
        <f t="shared" si="47"/>
        <v>30</v>
      </c>
      <c r="AA55" s="70">
        <f t="shared" si="34"/>
        <v>50</v>
      </c>
      <c r="AB55" s="71">
        <f t="shared" si="35"/>
        <v>319.8460907</v>
      </c>
      <c r="AC55" s="71">
        <f>+(S55-T55)*V55-'data 1'!$F$4</f>
        <v>30.23</v>
      </c>
      <c r="AD55" s="71">
        <f t="shared" si="36"/>
        <v>50.98161048</v>
      </c>
      <c r="AE55" s="71">
        <f t="shared" si="37"/>
        <v>-14.885</v>
      </c>
      <c r="AF55" s="71">
        <f t="shared" si="38"/>
        <v>35.74786324</v>
      </c>
      <c r="AG55" s="72">
        <f t="shared" si="39"/>
        <v>119.0744737</v>
      </c>
      <c r="AH55" s="52">
        <f t="shared" si="40"/>
        <v>12.9293064</v>
      </c>
      <c r="AI55" s="73">
        <f t="shared" si="41"/>
        <v>34.66275921</v>
      </c>
      <c r="AJ55" s="73">
        <f t="shared" si="42"/>
        <v>11.03043383</v>
      </c>
      <c r="AK55" s="11"/>
      <c r="AL55" s="51">
        <f t="shared" si="29"/>
        <v>738.1791896</v>
      </c>
      <c r="AM55" s="51" t="str">
        <f t="array" ref="AM55">XLOOKUP(D55,RUC!$B$3:$B$62,RUC!$M$3:$M$62)</f>
        <v>Evelyn</v>
      </c>
      <c r="AN55" s="131" t="s">
        <v>561</v>
      </c>
    </row>
    <row r="56" ht="15.0" customHeight="1">
      <c r="A56" s="88" t="s">
        <v>1751</v>
      </c>
      <c r="B56" s="56">
        <v>45818.0</v>
      </c>
      <c r="C56" s="56">
        <v>45810.0</v>
      </c>
      <c r="D56" s="57" t="s">
        <v>295</v>
      </c>
      <c r="E56" s="57">
        <f t="array" ref="E56">XLOOKUP(D56,RUC!$B$3:$B$110,RUC!$D$3:$D$110)</f>
        <v>20601769396</v>
      </c>
      <c r="G56" s="3">
        <v>40.0</v>
      </c>
      <c r="H56" s="57" t="s">
        <v>71</v>
      </c>
      <c r="I56" s="58">
        <v>3.32</v>
      </c>
      <c r="J56" s="58">
        <v>17.95</v>
      </c>
      <c r="K56" s="59">
        <f t="shared" si="31"/>
        <v>2.72406</v>
      </c>
      <c r="L56" s="60">
        <v>0.328</v>
      </c>
      <c r="M56" s="60">
        <v>0.308</v>
      </c>
      <c r="N56" s="75">
        <v>0.385</v>
      </c>
      <c r="O56" s="60">
        <f t="shared" si="45"/>
        <v>0.347</v>
      </c>
      <c r="P56" s="63">
        <v>88.0</v>
      </c>
      <c r="Q56" s="58">
        <v>88.81</v>
      </c>
      <c r="R56" s="65">
        <v>3370.85</v>
      </c>
      <c r="S56" s="66">
        <f t="shared" si="48"/>
        <v>120</v>
      </c>
      <c r="U56" s="67">
        <v>120.0</v>
      </c>
      <c r="V56" s="67">
        <v>1.1023</v>
      </c>
      <c r="Y56" s="57">
        <v>20.0</v>
      </c>
      <c r="Z56" s="69">
        <f t="shared" si="47"/>
        <v>30</v>
      </c>
      <c r="AA56" s="70">
        <f t="shared" si="34"/>
        <v>50</v>
      </c>
      <c r="AB56" s="71">
        <f t="shared" si="35"/>
        <v>906.8396746</v>
      </c>
      <c r="AC56" s="71">
        <f>+(S56-T56)*V56-'data 1'!$F$4</f>
        <v>52.276</v>
      </c>
      <c r="AD56" s="71">
        <f t="shared" si="36"/>
        <v>9.520408882</v>
      </c>
      <c r="AE56" s="71">
        <f t="shared" si="37"/>
        <v>-14.885</v>
      </c>
      <c r="AF56" s="71">
        <f t="shared" si="38"/>
        <v>-60.46613499</v>
      </c>
      <c r="AG56" s="72">
        <f t="shared" si="39"/>
        <v>3.445273895</v>
      </c>
      <c r="AH56" s="52">
        <f t="shared" si="40"/>
        <v>27.20579693</v>
      </c>
      <c r="AI56" s="73">
        <f t="shared" si="41"/>
        <v>31.83671427</v>
      </c>
      <c r="AJ56" s="73">
        <f t="shared" si="42"/>
        <v>28.51923589</v>
      </c>
      <c r="AK56" s="11"/>
      <c r="AL56" s="51">
        <f t="shared" si="29"/>
        <v>2470.285684</v>
      </c>
      <c r="AM56" s="51" t="str">
        <f t="array" ref="AM56">XLOOKUP(D56,RUC!$B$3:$B$62,RUC!$M$3:$M$62)</f>
        <v>Evelyn</v>
      </c>
      <c r="AN56" s="131" t="s">
        <v>689</v>
      </c>
    </row>
    <row r="57" ht="15.0" customHeight="1">
      <c r="A57" s="88" t="s">
        <v>1752</v>
      </c>
      <c r="B57" s="56">
        <v>45818.0</v>
      </c>
      <c r="C57" s="56">
        <v>45810.0</v>
      </c>
      <c r="D57" s="57" t="s">
        <v>295</v>
      </c>
      <c r="E57" s="57">
        <f t="array" ref="E57">XLOOKUP(D57,RUC!$B$3:$B$110,RUC!$D$3:$D$110)</f>
        <v>20601769396</v>
      </c>
      <c r="G57" s="3">
        <v>40.0</v>
      </c>
      <c r="H57" s="57" t="s">
        <v>71</v>
      </c>
      <c r="I57" s="58">
        <v>3.33</v>
      </c>
      <c r="J57" s="58">
        <v>17.1</v>
      </c>
      <c r="K57" s="59">
        <f t="shared" si="31"/>
        <v>2.76057</v>
      </c>
      <c r="L57" s="61">
        <v>0.256</v>
      </c>
      <c r="M57" s="61">
        <v>0.275</v>
      </c>
      <c r="N57" s="123">
        <v>0.275</v>
      </c>
      <c r="O57" s="60">
        <f t="shared" si="45"/>
        <v>0.275</v>
      </c>
      <c r="P57" s="63">
        <v>90.0</v>
      </c>
      <c r="Q57" s="58">
        <v>88.92</v>
      </c>
      <c r="R57" s="65">
        <v>3370.85</v>
      </c>
      <c r="S57" s="66">
        <f t="shared" si="48"/>
        <v>110</v>
      </c>
      <c r="U57" s="67">
        <v>120.0</v>
      </c>
      <c r="V57" s="67">
        <v>1.1023</v>
      </c>
      <c r="Y57" s="57">
        <v>20.0</v>
      </c>
      <c r="Z57" s="69">
        <f t="shared" si="47"/>
        <v>30</v>
      </c>
      <c r="AA57" s="70">
        <f t="shared" si="34"/>
        <v>50</v>
      </c>
      <c r="AB57" s="71">
        <f t="shared" si="35"/>
        <v>710.5264589</v>
      </c>
      <c r="AC57" s="71">
        <f>+(S57-T57)*V57-'data 1'!$F$4</f>
        <v>41.253</v>
      </c>
      <c r="AD57" s="71">
        <f t="shared" si="36"/>
        <v>-9.907417373</v>
      </c>
      <c r="AE57" s="71">
        <f t="shared" si="37"/>
        <v>-14.885</v>
      </c>
      <c r="AF57" s="71">
        <f t="shared" si="38"/>
        <v>-60.5410283</v>
      </c>
      <c r="AG57" s="72">
        <f t="shared" si="39"/>
        <v>-27.08044567</v>
      </c>
      <c r="AH57" s="52">
        <f t="shared" si="40"/>
        <v>21.54503742</v>
      </c>
      <c r="AI57" s="73">
        <f t="shared" si="41"/>
        <v>24.87894416</v>
      </c>
      <c r="AJ57" s="73">
        <f t="shared" si="42"/>
        <v>23.42518539</v>
      </c>
      <c r="AK57" s="11"/>
      <c r="AL57" s="51">
        <f t="shared" si="29"/>
        <v>1961.458027</v>
      </c>
      <c r="AM57" s="51" t="str">
        <f t="array" ref="AM57">XLOOKUP(D57,RUC!$B$3:$B$62,RUC!$M$3:$M$62)</f>
        <v>Evelyn</v>
      </c>
      <c r="AN57" s="131" t="s">
        <v>689</v>
      </c>
    </row>
    <row r="58" ht="15.0" customHeight="1">
      <c r="A58" s="116" t="s">
        <v>1753</v>
      </c>
      <c r="B58" s="56">
        <v>45814.0</v>
      </c>
      <c r="C58" s="56">
        <v>45810.0</v>
      </c>
      <c r="D58" s="57" t="s">
        <v>295</v>
      </c>
      <c r="E58" s="57">
        <f t="array" ref="E58">XLOOKUP(D58,RUC!$B$3:$B$110,RUC!$D$3:$D$110)</f>
        <v>20601769396</v>
      </c>
      <c r="G58" s="3">
        <v>42.0</v>
      </c>
      <c r="H58" s="57" t="s">
        <v>71</v>
      </c>
      <c r="I58" s="58">
        <v>4.15</v>
      </c>
      <c r="J58" s="58">
        <v>6.75</v>
      </c>
      <c r="K58" s="59">
        <f t="shared" si="31"/>
        <v>3.869875</v>
      </c>
      <c r="L58" s="60">
        <v>0.393</v>
      </c>
      <c r="M58" s="60">
        <v>0.257</v>
      </c>
      <c r="N58" s="75">
        <v>0.558</v>
      </c>
      <c r="O58" s="60">
        <f t="shared" si="45"/>
        <v>0.408</v>
      </c>
      <c r="P58" s="63">
        <v>88.0</v>
      </c>
      <c r="Q58" s="58">
        <v>89.46</v>
      </c>
      <c r="R58" s="65">
        <v>3370.85</v>
      </c>
      <c r="S58" s="66">
        <f t="shared" si="48"/>
        <v>130</v>
      </c>
      <c r="U58" s="67">
        <v>120.0</v>
      </c>
      <c r="V58" s="67">
        <v>1.1023</v>
      </c>
      <c r="Y58" s="57">
        <v>20.0</v>
      </c>
      <c r="Z58" s="69">
        <f t="shared" si="47"/>
        <v>30</v>
      </c>
      <c r="AA58" s="70">
        <f t="shared" si="34"/>
        <v>50</v>
      </c>
      <c r="AB58" s="71">
        <f t="shared" si="35"/>
        <v>1088.174228</v>
      </c>
      <c r="AC58" s="71">
        <f>+(S58-T58)*V58-'data 1'!$F$4</f>
        <v>63.299</v>
      </c>
      <c r="AD58" s="71">
        <f t="shared" si="36"/>
        <v>20.56090112</v>
      </c>
      <c r="AE58" s="71">
        <f t="shared" si="37"/>
        <v>-14.885</v>
      </c>
      <c r="AF58" s="71">
        <f t="shared" si="38"/>
        <v>-48.08580502</v>
      </c>
      <c r="AG58" s="72">
        <f t="shared" si="39"/>
        <v>37.88909609</v>
      </c>
      <c r="AH58" s="52">
        <f t="shared" si="40"/>
        <v>46.64740089</v>
      </c>
      <c r="AI58" s="73">
        <f t="shared" si="41"/>
        <v>38.42500832</v>
      </c>
      <c r="AJ58" s="73">
        <f t="shared" si="42"/>
        <v>47.63748683</v>
      </c>
      <c r="AK58" s="11"/>
      <c r="AL58" s="51">
        <f t="shared" si="29"/>
        <v>4211.098242</v>
      </c>
      <c r="AM58" s="51" t="str">
        <f t="array" ref="AM58">XLOOKUP(D58,RUC!$B$3:$B$62,RUC!$M$3:$M$62)</f>
        <v>Evelyn</v>
      </c>
      <c r="AN58" s="131" t="s">
        <v>689</v>
      </c>
    </row>
    <row r="59" ht="15.0" customHeight="1">
      <c r="A59" s="116" t="s">
        <v>1754</v>
      </c>
      <c r="B59" s="56">
        <v>45814.0</v>
      </c>
      <c r="C59" s="56">
        <v>45810.0</v>
      </c>
      <c r="D59" s="57" t="s">
        <v>295</v>
      </c>
      <c r="E59" s="57">
        <f t="array" ref="E59">XLOOKUP(D59,RUC!$B$3:$B$110,RUC!$D$3:$D$110)</f>
        <v>20601769396</v>
      </c>
      <c r="G59" s="3">
        <v>38.0</v>
      </c>
      <c r="H59" s="57" t="s">
        <v>47</v>
      </c>
      <c r="I59" s="58">
        <v>3.69</v>
      </c>
      <c r="J59" s="58">
        <v>5.3</v>
      </c>
      <c r="K59" s="59">
        <f t="shared" si="31"/>
        <v>3.49443</v>
      </c>
      <c r="L59" s="60">
        <v>0.402</v>
      </c>
      <c r="M59" s="60">
        <v>0.378</v>
      </c>
      <c r="N59" s="75">
        <v>0.448</v>
      </c>
      <c r="O59" s="60">
        <f t="shared" si="45"/>
        <v>0.413</v>
      </c>
      <c r="P59" s="63">
        <v>88.0</v>
      </c>
      <c r="Q59" s="58">
        <v>88.99</v>
      </c>
      <c r="R59" s="65">
        <v>3370.85</v>
      </c>
      <c r="S59" s="66">
        <f t="shared" si="48"/>
        <v>130</v>
      </c>
      <c r="U59" s="67">
        <v>120.0</v>
      </c>
      <c r="V59" s="67">
        <v>1.1023</v>
      </c>
      <c r="Y59" s="57">
        <v>20.0</v>
      </c>
      <c r="Z59" s="69">
        <f t="shared" si="47"/>
        <v>30</v>
      </c>
      <c r="AA59" s="70">
        <f t="shared" si="34"/>
        <v>50</v>
      </c>
      <c r="AB59" s="71">
        <f t="shared" si="35"/>
        <v>1103.941241</v>
      </c>
      <c r="AC59" s="71">
        <f>+(S59-T59)*V59-'data 1'!$F$4</f>
        <v>63.299</v>
      </c>
      <c r="AD59" s="71">
        <f t="shared" si="36"/>
        <v>14.2612629</v>
      </c>
      <c r="AE59" s="71">
        <f t="shared" si="37"/>
        <v>-14.885</v>
      </c>
      <c r="AF59" s="71">
        <f t="shared" si="38"/>
        <v>-35.07766129</v>
      </c>
      <c r="AG59" s="72">
        <f t="shared" si="39"/>
        <v>44.59760161</v>
      </c>
      <c r="AH59" s="52">
        <f t="shared" si="40"/>
        <v>42.86005009</v>
      </c>
      <c r="AI59" s="73">
        <f t="shared" si="41"/>
        <v>39.09847206</v>
      </c>
      <c r="AJ59" s="73">
        <f t="shared" si="42"/>
        <v>43.54297902</v>
      </c>
      <c r="AK59" s="11"/>
      <c r="AL59" s="51">
        <f t="shared" si="29"/>
        <v>3857.645391</v>
      </c>
      <c r="AM59" s="51" t="str">
        <f t="array" ref="AM59">XLOOKUP(D59,RUC!$B$3:$B$62,RUC!$M$3:$M$62)</f>
        <v>Evelyn</v>
      </c>
      <c r="AN59" s="131" t="s">
        <v>689</v>
      </c>
    </row>
    <row r="60" ht="15.0" customHeight="1">
      <c r="A60" s="116" t="s">
        <v>1755</v>
      </c>
      <c r="B60" s="56">
        <v>45814.0</v>
      </c>
      <c r="C60" s="56">
        <v>45810.0</v>
      </c>
      <c r="D60" s="57" t="s">
        <v>295</v>
      </c>
      <c r="E60" s="57">
        <f t="array" ref="E60">XLOOKUP(D60,RUC!$B$3:$B$110,RUC!$D$3:$D$110)</f>
        <v>20601769396</v>
      </c>
      <c r="G60" s="3">
        <v>38.0</v>
      </c>
      <c r="H60" s="57" t="s">
        <v>71</v>
      </c>
      <c r="I60" s="58">
        <v>3.87</v>
      </c>
      <c r="J60" s="58">
        <v>7.35</v>
      </c>
      <c r="K60" s="59">
        <f t="shared" si="31"/>
        <v>3.585555</v>
      </c>
      <c r="L60" s="60">
        <v>0.798</v>
      </c>
      <c r="M60" s="60">
        <v>0.75</v>
      </c>
      <c r="N60" s="62">
        <v>0.75</v>
      </c>
      <c r="O60" s="60">
        <f t="shared" si="45"/>
        <v>0.75</v>
      </c>
      <c r="P60" s="63">
        <v>88.0</v>
      </c>
      <c r="Q60" s="58">
        <v>89.64</v>
      </c>
      <c r="R60" s="65">
        <v>3370.85</v>
      </c>
      <c r="S60" s="66">
        <f t="shared" si="48"/>
        <v>160</v>
      </c>
      <c r="U60" s="67">
        <v>120.0</v>
      </c>
      <c r="V60" s="67">
        <v>1.1023</v>
      </c>
      <c r="Y60" s="57">
        <v>20.0</v>
      </c>
      <c r="Z60" s="69">
        <f t="shared" si="47"/>
        <v>30</v>
      </c>
      <c r="AA60" s="70">
        <f t="shared" si="34"/>
        <v>50</v>
      </c>
      <c r="AB60" s="71">
        <f t="shared" si="35"/>
        <v>2133.56889</v>
      </c>
      <c r="AC60" s="71">
        <f>+(S60-T60)*V60-'data 1'!$F$4</f>
        <v>96.368</v>
      </c>
      <c r="AD60" s="71">
        <f t="shared" si="36"/>
        <v>46.89682894</v>
      </c>
      <c r="AE60" s="71">
        <f t="shared" si="37"/>
        <v>-14.885</v>
      </c>
      <c r="AF60" s="71">
        <f t="shared" si="38"/>
        <v>154.1841829</v>
      </c>
      <c r="AG60" s="72">
        <f t="shared" si="39"/>
        <v>299.5640118</v>
      </c>
      <c r="AH60" s="52">
        <f t="shared" si="40"/>
        <v>87.93670675</v>
      </c>
      <c r="AI60" s="73">
        <f t="shared" si="41"/>
        <v>78.18028786</v>
      </c>
      <c r="AJ60" s="73">
        <f t="shared" si="42"/>
        <v>81.1352154</v>
      </c>
      <c r="AK60" s="11"/>
      <c r="AL60" s="51">
        <f t="shared" si="29"/>
        <v>7650.028602</v>
      </c>
      <c r="AM60" s="51" t="str">
        <f t="array" ref="AM60">XLOOKUP(D60,RUC!$B$3:$B$62,RUC!$M$3:$M$62)</f>
        <v>Evelyn</v>
      </c>
      <c r="AN60" s="131" t="s">
        <v>689</v>
      </c>
    </row>
    <row r="61" ht="15.0" customHeight="1">
      <c r="A61" s="116" t="s">
        <v>1756</v>
      </c>
      <c r="B61" s="56">
        <v>45814.0</v>
      </c>
      <c r="C61" s="56">
        <v>45810.0</v>
      </c>
      <c r="D61" s="57" t="s">
        <v>295</v>
      </c>
      <c r="E61" s="57">
        <f t="array" ref="E61">XLOOKUP(D61,RUC!$B$3:$B$110,RUC!$D$3:$D$110)</f>
        <v>20601769396</v>
      </c>
      <c r="G61" s="3">
        <v>38.0</v>
      </c>
      <c r="H61" s="57" t="s">
        <v>71</v>
      </c>
      <c r="I61" s="58">
        <v>3.85</v>
      </c>
      <c r="J61" s="58">
        <v>7.5</v>
      </c>
      <c r="K61" s="59">
        <f t="shared" si="31"/>
        <v>3.56125</v>
      </c>
      <c r="L61" s="60">
        <v>0.8</v>
      </c>
      <c r="M61" s="60">
        <v>0.752</v>
      </c>
      <c r="N61" s="75">
        <v>0.919</v>
      </c>
      <c r="O61" s="60">
        <f t="shared" si="45"/>
        <v>0.836</v>
      </c>
      <c r="P61" s="63">
        <v>90.0</v>
      </c>
      <c r="Q61" s="58">
        <v>89.86</v>
      </c>
      <c r="R61" s="65">
        <v>3370.85</v>
      </c>
      <c r="S61" s="66">
        <f t="shared" si="48"/>
        <v>170</v>
      </c>
      <c r="U61" s="67">
        <v>120.0</v>
      </c>
      <c r="V61" s="67">
        <v>1.1023</v>
      </c>
      <c r="Y61" s="57">
        <v>20.0</v>
      </c>
      <c r="Z61" s="69">
        <f t="shared" si="47"/>
        <v>30</v>
      </c>
      <c r="AA61" s="70">
        <f t="shared" si="34"/>
        <v>50</v>
      </c>
      <c r="AB61" s="71">
        <f t="shared" si="35"/>
        <v>2453.653155</v>
      </c>
      <c r="AC61" s="71">
        <f>+(S61-T61)*V61-'data 1'!$F$4</f>
        <v>107.391</v>
      </c>
      <c r="AD61" s="71">
        <f t="shared" si="36"/>
        <v>-4.01342139</v>
      </c>
      <c r="AE61" s="71">
        <f t="shared" si="37"/>
        <v>-14.885</v>
      </c>
      <c r="AF61" s="71">
        <f t="shared" si="38"/>
        <v>-115.9219434</v>
      </c>
      <c r="AG61" s="72">
        <f t="shared" si="39"/>
        <v>-10.42936477</v>
      </c>
      <c r="AH61" s="52">
        <f t="shared" si="40"/>
        <v>87.7744128</v>
      </c>
      <c r="AI61" s="73">
        <f t="shared" si="41"/>
        <v>78.56858419</v>
      </c>
      <c r="AJ61" s="73">
        <f t="shared" si="42"/>
        <v>91.86716586</v>
      </c>
      <c r="AK61" s="11"/>
      <c r="AL61" s="51">
        <f t="shared" si="29"/>
        <v>8738.072298</v>
      </c>
      <c r="AM61" s="51" t="str">
        <f t="array" ref="AM61">XLOOKUP(D61,RUC!$B$3:$B$62,RUC!$M$3:$M$62)</f>
        <v>Evelyn</v>
      </c>
      <c r="AN61" s="131" t="s">
        <v>689</v>
      </c>
    </row>
    <row r="62" ht="15.0" customHeight="1">
      <c r="A62" s="116" t="s">
        <v>1757</v>
      </c>
      <c r="B62" s="56">
        <v>45816.0</v>
      </c>
      <c r="C62" s="56">
        <v>45811.0</v>
      </c>
      <c r="D62" s="57" t="s">
        <v>249</v>
      </c>
      <c r="E62" s="57">
        <f t="array" ref="E62">XLOOKUP(D62,RUC!$B$3:$B$110,RUC!$D$3:$D$110)</f>
        <v>10473108823</v>
      </c>
      <c r="G62" s="3" t="s">
        <v>46</v>
      </c>
      <c r="H62" s="57" t="s">
        <v>47</v>
      </c>
      <c r="I62" s="58">
        <v>34.1</v>
      </c>
      <c r="J62" s="58">
        <v>26.35</v>
      </c>
      <c r="K62" s="59">
        <f t="shared" si="31"/>
        <v>25.11465</v>
      </c>
      <c r="L62" s="60">
        <v>0.22049999999999997</v>
      </c>
      <c r="M62" s="60">
        <v>0.195</v>
      </c>
      <c r="N62" s="75">
        <v>0.23</v>
      </c>
      <c r="O62" s="60">
        <f t="shared" si="45"/>
        <v>0.213</v>
      </c>
      <c r="P62" s="63">
        <v>88.0</v>
      </c>
      <c r="Q62" s="58">
        <v>88.66</v>
      </c>
      <c r="R62" s="65">
        <v>3334.75</v>
      </c>
      <c r="S62" s="76">
        <v>100.0</v>
      </c>
      <c r="U62" s="67">
        <v>90.0</v>
      </c>
      <c r="V62" s="67">
        <v>1.1023</v>
      </c>
      <c r="Z62" s="69">
        <f t="shared" si="47"/>
        <v>30</v>
      </c>
      <c r="AA62" s="70">
        <f t="shared" si="34"/>
        <v>30</v>
      </c>
      <c r="AB62" s="71">
        <f t="shared" si="35"/>
        <v>527.1153847</v>
      </c>
      <c r="AC62" s="71">
        <f>+(S62-T62)*V62-'data 1'!$F$4</f>
        <v>30.23</v>
      </c>
      <c r="AD62" s="71">
        <f t="shared" si="36"/>
        <v>5.205153937</v>
      </c>
      <c r="AE62" s="71">
        <f t="shared" si="37"/>
        <v>-36.931</v>
      </c>
      <c r="AF62" s="71">
        <f t="shared" si="38"/>
        <v>23.78318636</v>
      </c>
      <c r="AG62" s="72">
        <f t="shared" si="39"/>
        <v>39.28734029</v>
      </c>
      <c r="AH62" s="52">
        <f t="shared" si="40"/>
        <v>168.3342623</v>
      </c>
      <c r="AI62" s="73">
        <f t="shared" si="41"/>
        <v>22.68079288</v>
      </c>
      <c r="AJ62" s="73">
        <f t="shared" si="42"/>
        <v>161.3981213</v>
      </c>
      <c r="AK62" s="11"/>
      <c r="AL62" s="51">
        <f t="shared" si="29"/>
        <v>13238.3184</v>
      </c>
      <c r="AM62" s="51" t="str">
        <f t="array" ref="AM62">XLOOKUP(D62,RUC!$B$3:$B$62,RUC!$M$3:$M$62)</f>
        <v>Alfred Torres</v>
      </c>
      <c r="AN62" s="131" t="s">
        <v>689</v>
      </c>
    </row>
    <row r="63" ht="15.0" customHeight="1">
      <c r="A63" s="116" t="s">
        <v>1758</v>
      </c>
      <c r="B63" s="56">
        <v>45816.0</v>
      </c>
      <c r="C63" s="56">
        <v>45812.0</v>
      </c>
      <c r="D63" s="57" t="s">
        <v>306</v>
      </c>
      <c r="E63" s="57">
        <f t="array" ref="E63">XLOOKUP(D63,RUC!$B$3:$B$110,RUC!$D$3:$D$110)</f>
        <v>20612921866</v>
      </c>
      <c r="G63" s="3" t="s">
        <v>46</v>
      </c>
      <c r="H63" s="57" t="s">
        <v>47</v>
      </c>
      <c r="I63" s="58">
        <v>21.29</v>
      </c>
      <c r="J63" s="58">
        <v>1.8</v>
      </c>
      <c r="K63" s="59">
        <f t="shared" si="31"/>
        <v>20.90678</v>
      </c>
      <c r="L63" s="60">
        <v>0.5005</v>
      </c>
      <c r="M63" s="60">
        <v>0.47046999999999994</v>
      </c>
      <c r="N63" s="75">
        <v>0.523</v>
      </c>
      <c r="O63" s="60">
        <f t="shared" si="45"/>
        <v>0.497</v>
      </c>
      <c r="P63" s="63">
        <v>90.0</v>
      </c>
      <c r="Q63" s="58">
        <v>95.0</v>
      </c>
      <c r="R63" s="65">
        <v>3364.6</v>
      </c>
      <c r="S63" s="66">
        <f>IF((90+ROUNDDOWN(O63,1)*100)&lt;95,95,(80+ROUNDDOWN(O63,1)*100))</f>
        <v>120</v>
      </c>
      <c r="U63" s="67">
        <v>100.0</v>
      </c>
      <c r="V63" s="67">
        <v>1.1023</v>
      </c>
      <c r="Z63" s="69">
        <f t="shared" si="47"/>
        <v>30</v>
      </c>
      <c r="AA63" s="70">
        <f t="shared" si="34"/>
        <v>30</v>
      </c>
      <c r="AB63" s="71">
        <f t="shared" si="35"/>
        <v>1444.294726</v>
      </c>
      <c r="AC63" s="71">
        <f>+(S63-T63)*V63-'data 1'!$F$4</f>
        <v>52.276</v>
      </c>
      <c r="AD63" s="71">
        <f t="shared" si="36"/>
        <v>90.05417871</v>
      </c>
      <c r="AE63" s="71">
        <f t="shared" si="37"/>
        <v>-36.931</v>
      </c>
      <c r="AF63" s="71">
        <f t="shared" si="38"/>
        <v>11.96524053</v>
      </c>
      <c r="AG63" s="72">
        <f t="shared" ref="AG63:AG64" si="49">+IF(D63="RONALD WILLIAN GARIBAY ESCUDERO",AC63+AD63+AE63+AF63+70,AC63+AD63+AE63+AF63)</f>
        <v>117.3644192</v>
      </c>
      <c r="AH63" s="52">
        <f t="shared" si="40"/>
        <v>340.8190846</v>
      </c>
      <c r="AI63" s="73">
        <f t="shared" si="41"/>
        <v>44.7595143</v>
      </c>
      <c r="AJ63" s="73">
        <f t="shared" si="42"/>
        <v>320.6233273</v>
      </c>
      <c r="AK63" s="11"/>
      <c r="AL63" s="51">
        <f t="shared" si="29"/>
        <v>30195.55209</v>
      </c>
      <c r="AM63" s="51" t="str">
        <f t="array" ref="AM63">XLOOKUP(D63,RUC!$B$3:$B$62,RUC!$M$3:$M$62)</f>
        <v>Ronald Garibay</v>
      </c>
      <c r="AN63" s="131" t="s">
        <v>547</v>
      </c>
    </row>
    <row r="64" ht="15.0" customHeight="1">
      <c r="A64" s="116" t="s">
        <v>1759</v>
      </c>
      <c r="B64" s="56">
        <v>45818.0</v>
      </c>
      <c r="C64" s="56">
        <v>45813.0</v>
      </c>
      <c r="D64" s="57" t="s">
        <v>306</v>
      </c>
      <c r="E64" s="57">
        <f t="array" ref="E64">XLOOKUP(D64,RUC!$B$3:$B$110,RUC!$D$3:$D$110)</f>
        <v>20612921866</v>
      </c>
      <c r="G64" s="3" t="s">
        <v>46</v>
      </c>
      <c r="H64" s="57" t="s">
        <v>47</v>
      </c>
      <c r="I64" s="58">
        <v>16.52</v>
      </c>
      <c r="J64" s="58">
        <v>2.1</v>
      </c>
      <c r="K64" s="59">
        <f t="shared" si="31"/>
        <v>16.17308</v>
      </c>
      <c r="L64" s="60">
        <v>0.474</v>
      </c>
      <c r="M64" s="60">
        <v>0.446</v>
      </c>
      <c r="N64" s="62">
        <v>0.519</v>
      </c>
      <c r="O64" s="60">
        <f t="shared" si="45"/>
        <v>0.483</v>
      </c>
      <c r="P64" s="63">
        <v>90.0</v>
      </c>
      <c r="Q64" s="58">
        <v>96.41</v>
      </c>
      <c r="R64" s="65">
        <v>3374.6</v>
      </c>
      <c r="S64" s="66">
        <f>IF((80+ROUNDDOWN(O64,1)*100)&lt;95,95,(80+ROUNDDOWN(O64,1)*100))</f>
        <v>120</v>
      </c>
      <c r="U64" s="67">
        <v>100.0</v>
      </c>
      <c r="V64" s="67">
        <v>1.1023</v>
      </c>
      <c r="Z64" s="69">
        <f t="shared" si="47"/>
        <v>30</v>
      </c>
      <c r="AA64" s="70">
        <f t="shared" si="34"/>
        <v>30</v>
      </c>
      <c r="AB64" s="71">
        <f t="shared" si="35"/>
        <v>1403.74446</v>
      </c>
      <c r="AC64" s="71">
        <f>+(S64-T64)*V64-'data 1'!$F$4</f>
        <v>52.276</v>
      </c>
      <c r="AD64" s="71">
        <f t="shared" si="36"/>
        <v>109.6716648</v>
      </c>
      <c r="AE64" s="71">
        <f t="shared" si="37"/>
        <v>-36.931</v>
      </c>
      <c r="AF64" s="71">
        <f t="shared" si="38"/>
        <v>-31.32006518</v>
      </c>
      <c r="AG64" s="72">
        <f t="shared" si="49"/>
        <v>93.69659963</v>
      </c>
      <c r="AH64" s="52">
        <f t="shared" si="40"/>
        <v>253.3974433</v>
      </c>
      <c r="AI64" s="73">
        <f t="shared" si="41"/>
        <v>37.98145326</v>
      </c>
      <c r="AJ64" s="73">
        <f t="shared" si="42"/>
        <v>241.0412907</v>
      </c>
      <c r="AK64" s="11"/>
      <c r="AL64" s="51">
        <f t="shared" si="29"/>
        <v>22702.87145</v>
      </c>
      <c r="AM64" s="51" t="str">
        <f t="array" ref="AM64">XLOOKUP(D64,RUC!$B$3:$B$62,RUC!$M$3:$M$62)</f>
        <v>Ronald Garibay</v>
      </c>
      <c r="AN64" s="131" t="s">
        <v>547</v>
      </c>
    </row>
    <row r="65" ht="15.0" customHeight="1">
      <c r="A65" s="116" t="s">
        <v>1760</v>
      </c>
      <c r="B65" s="56">
        <v>45818.0</v>
      </c>
      <c r="C65" s="56">
        <v>45814.0</v>
      </c>
      <c r="D65" s="57" t="s">
        <v>61</v>
      </c>
      <c r="E65" s="57">
        <f t="array" ref="E65">XLOOKUP(D65,RUC!$B$3:$B$110,RUC!$D$3:$D$110)</f>
        <v>20606526599</v>
      </c>
      <c r="G65" s="3">
        <v>100.0</v>
      </c>
      <c r="H65" s="57" t="s">
        <v>47</v>
      </c>
      <c r="I65" s="58">
        <v>8.12</v>
      </c>
      <c r="J65" s="58">
        <v>1.15</v>
      </c>
      <c r="K65" s="59">
        <f t="shared" si="31"/>
        <v>8.02662</v>
      </c>
      <c r="L65" s="60">
        <v>0.398</v>
      </c>
      <c r="M65" s="60">
        <v>0.374</v>
      </c>
      <c r="N65" s="75">
        <v>0.437</v>
      </c>
      <c r="O65" s="60">
        <f t="shared" si="45"/>
        <v>0.406</v>
      </c>
      <c r="P65" s="63">
        <v>90.0</v>
      </c>
      <c r="Q65" s="58">
        <v>95.48</v>
      </c>
      <c r="R65" s="65">
        <v>3374.6</v>
      </c>
      <c r="S65" s="66">
        <f>IF((90+ROUNDDOWN(O65,1)*100)&lt;95,95,(90+ROUNDDOWN(O65,1)*100))</f>
        <v>130</v>
      </c>
      <c r="U65" s="67">
        <v>120.0</v>
      </c>
      <c r="V65" s="67">
        <v>1.1023</v>
      </c>
      <c r="Y65" s="57">
        <v>20.0</v>
      </c>
      <c r="Z65" s="69">
        <f t="shared" si="47"/>
        <v>30</v>
      </c>
      <c r="AA65" s="70">
        <f t="shared" si="34"/>
        <v>50</v>
      </c>
      <c r="AB65" s="71">
        <f t="shared" si="35"/>
        <v>1112.475155</v>
      </c>
      <c r="AC65" s="71">
        <f>+(S65-T65)*V65-'data 1'!$F$4</f>
        <v>63.299</v>
      </c>
      <c r="AD65" s="71">
        <f t="shared" si="36"/>
        <v>78.24580412</v>
      </c>
      <c r="AE65" s="71">
        <f t="shared" si="37"/>
        <v>-14.885</v>
      </c>
      <c r="AF65" s="71">
        <f t="shared" si="38"/>
        <v>-27.40310816</v>
      </c>
      <c r="AG65" s="72">
        <f t="shared" ref="AG65:AG88" si="50">+IF(D65="RONALD WILLIAN GARIBAY ESCUDERO",AC65+AD65+AE65+AF65+70,AC65+AD65+AE65+AF65)+70-53</f>
        <v>116.256696</v>
      </c>
      <c r="AH65" s="52">
        <f t="shared" si="40"/>
        <v>104.577259</v>
      </c>
      <c r="AI65" s="73">
        <f t="shared" si="41"/>
        <v>39.96167326</v>
      </c>
      <c r="AJ65" s="73">
        <f t="shared" si="42"/>
        <v>100.5565385</v>
      </c>
      <c r="AK65" s="11"/>
      <c r="AL65" s="51">
        <f t="shared" si="29"/>
        <v>8929.415328</v>
      </c>
      <c r="AM65" s="51" t="str">
        <f t="array" ref="AM65">XLOOKUP(D65,RUC!$B$3:$B$62,RUC!$M$3:$M$62)</f>
        <v>Yuri Rospigliossi</v>
      </c>
      <c r="AN65" s="131" t="s">
        <v>549</v>
      </c>
    </row>
    <row r="66" ht="15.0" customHeight="1">
      <c r="A66" s="116" t="s">
        <v>1761</v>
      </c>
      <c r="B66" s="56">
        <v>45818.0</v>
      </c>
      <c r="C66" s="56">
        <v>45814.0</v>
      </c>
      <c r="D66" s="57" t="s">
        <v>45</v>
      </c>
      <c r="E66" s="57">
        <f t="array" ref="E66">XLOOKUP(D66,RUC!$B$3:$B$110,RUC!$D$3:$D$110)</f>
        <v>10416085884</v>
      </c>
      <c r="G66" s="3">
        <v>18.0</v>
      </c>
      <c r="H66" s="57" t="s">
        <v>47</v>
      </c>
      <c r="I66" s="58">
        <v>1.29</v>
      </c>
      <c r="J66" s="58">
        <v>9.1</v>
      </c>
      <c r="K66" s="59">
        <f t="shared" si="31"/>
        <v>1.17261</v>
      </c>
      <c r="L66" s="60">
        <v>0.379</v>
      </c>
      <c r="M66" s="60">
        <v>0.356</v>
      </c>
      <c r="N66" s="75">
        <v>0.437</v>
      </c>
      <c r="O66" s="61">
        <v>0.396</v>
      </c>
      <c r="P66" s="63">
        <v>90.0</v>
      </c>
      <c r="Q66" s="58">
        <v>96.57</v>
      </c>
      <c r="R66" s="65">
        <v>3374.6</v>
      </c>
      <c r="S66" s="76">
        <v>110.0</v>
      </c>
      <c r="U66" s="67">
        <v>90.0</v>
      </c>
      <c r="V66" s="67">
        <v>1.1023</v>
      </c>
      <c r="Z66" s="69">
        <f t="shared" si="47"/>
        <v>30</v>
      </c>
      <c r="AA66" s="70">
        <f t="shared" si="34"/>
        <v>30</v>
      </c>
      <c r="AB66" s="71">
        <f t="shared" si="35"/>
        <v>1136.065036</v>
      </c>
      <c r="AC66" s="71">
        <f>+(S66-T66)*V66-'data 1'!$F$4</f>
        <v>41.253</v>
      </c>
      <c r="AD66" s="71">
        <f t="shared" si="36"/>
        <v>90.15438923</v>
      </c>
      <c r="AE66" s="71">
        <f t="shared" si="37"/>
        <v>-36.931</v>
      </c>
      <c r="AF66" s="71">
        <f t="shared" si="38"/>
        <v>-59.4392675</v>
      </c>
      <c r="AG66" s="72">
        <f t="shared" si="50"/>
        <v>52.03712173</v>
      </c>
      <c r="AH66" s="52">
        <f t="shared" si="40"/>
        <v>14.71445239</v>
      </c>
      <c r="AI66" s="73">
        <f t="shared" si="41"/>
        <v>26.38511535</v>
      </c>
      <c r="AJ66" s="73">
        <f t="shared" si="42"/>
        <v>14.3284878</v>
      </c>
      <c r="AK66" s="11"/>
      <c r="AL66" s="51">
        <f t="shared" si="29"/>
        <v>1332.161222</v>
      </c>
      <c r="AM66" s="51" t="str">
        <f t="array" ref="AM66">XLOOKUP(D66,RUC!$B$3:$B$62,RUC!$M$3:$M$62)</f>
        <v>Alfred Torres</v>
      </c>
      <c r="AN66" s="131" t="s">
        <v>549</v>
      </c>
    </row>
    <row r="67" ht="15.0" customHeight="1">
      <c r="A67" s="116" t="s">
        <v>1762</v>
      </c>
      <c r="B67" s="56">
        <v>45818.0</v>
      </c>
      <c r="C67" s="56">
        <v>45814.0</v>
      </c>
      <c r="D67" s="57" t="s">
        <v>61</v>
      </c>
      <c r="E67" s="57">
        <f t="array" ref="E67">XLOOKUP(D67,RUC!$B$3:$B$110,RUC!$D$3:$D$110)</f>
        <v>20606526599</v>
      </c>
      <c r="G67" s="3">
        <v>100.0</v>
      </c>
      <c r="H67" s="57" t="s">
        <v>47</v>
      </c>
      <c r="I67" s="58">
        <v>8.39</v>
      </c>
      <c r="J67" s="58">
        <v>1.05</v>
      </c>
      <c r="K67" s="59">
        <f t="shared" si="31"/>
        <v>8.301905</v>
      </c>
      <c r="L67" s="60">
        <v>0.256</v>
      </c>
      <c r="M67" s="60">
        <v>0.238</v>
      </c>
      <c r="N67" s="62">
        <v>0.238</v>
      </c>
      <c r="O67" s="60">
        <f t="shared" ref="O67:O108" si="51">+ROUND((M67+N67)/2,3)</f>
        <v>0.238</v>
      </c>
      <c r="P67" s="63">
        <v>90.0</v>
      </c>
      <c r="Q67" s="58">
        <v>98.05</v>
      </c>
      <c r="R67" s="65">
        <v>3374.6</v>
      </c>
      <c r="S67" s="66">
        <f>IF((90+ROUNDDOWN(O67,1)*100)&lt;95,95,(90+ROUNDDOWN(O67,1)*100))</f>
        <v>110</v>
      </c>
      <c r="U67" s="67">
        <v>120.0</v>
      </c>
      <c r="V67" s="67">
        <v>1.1023</v>
      </c>
      <c r="Y67" s="57">
        <v>20.0</v>
      </c>
      <c r="Z67" s="69">
        <f t="shared" si="47"/>
        <v>30</v>
      </c>
      <c r="AA67" s="70">
        <f t="shared" si="34"/>
        <v>50</v>
      </c>
      <c r="AB67" s="71">
        <f t="shared" si="35"/>
        <v>592.0842632</v>
      </c>
      <c r="AC67" s="71">
        <f>+(S67-T67)*V67-'data 1'!$F$4</f>
        <v>41.253</v>
      </c>
      <c r="AD67" s="71">
        <f t="shared" si="36"/>
        <v>73.93213931</v>
      </c>
      <c r="AE67" s="71">
        <f t="shared" si="37"/>
        <v>-14.885</v>
      </c>
      <c r="AF67" s="71">
        <f t="shared" si="38"/>
        <v>63.31659194</v>
      </c>
      <c r="AG67" s="72">
        <f t="shared" si="50"/>
        <v>180.6167313</v>
      </c>
      <c r="AH67" s="52">
        <f t="shared" si="40"/>
        <v>71.44541973</v>
      </c>
      <c r="AI67" s="73">
        <f t="shared" si="41"/>
        <v>26.3958557</v>
      </c>
      <c r="AJ67" s="73">
        <f t="shared" si="42"/>
        <v>60.96861019</v>
      </c>
      <c r="AK67" s="11"/>
      <c r="AL67" s="51">
        <f t="shared" si="29"/>
        <v>4915.427305</v>
      </c>
      <c r="AM67" s="51" t="str">
        <f t="array" ref="AM67">XLOOKUP(D67,RUC!$B$3:$B$62,RUC!$M$3:$M$62)</f>
        <v>Yuri Rospigliossi</v>
      </c>
      <c r="AN67" s="131" t="s">
        <v>561</v>
      </c>
    </row>
    <row r="68" ht="15.0" customHeight="1">
      <c r="A68" s="116" t="s">
        <v>1763</v>
      </c>
      <c r="B68" s="56">
        <v>45818.0</v>
      </c>
      <c r="C68" s="56">
        <v>45814.0</v>
      </c>
      <c r="D68" s="57" t="s">
        <v>45</v>
      </c>
      <c r="E68" s="57">
        <f t="array" ref="E68">XLOOKUP(D68,RUC!$B$3:$B$110,RUC!$D$3:$D$110)</f>
        <v>10416085884</v>
      </c>
      <c r="G68" s="3" t="s">
        <v>46</v>
      </c>
      <c r="H68" s="57" t="s">
        <v>47</v>
      </c>
      <c r="I68" s="58">
        <v>15.95</v>
      </c>
      <c r="J68" s="58">
        <v>14.95</v>
      </c>
      <c r="K68" s="59">
        <f t="shared" si="31"/>
        <v>13.565475</v>
      </c>
      <c r="L68" s="60">
        <v>0.28</v>
      </c>
      <c r="M68" s="60">
        <v>0.263</v>
      </c>
      <c r="N68" s="62">
        <v>0.263</v>
      </c>
      <c r="O68" s="60">
        <f t="shared" si="51"/>
        <v>0.263</v>
      </c>
      <c r="P68" s="63">
        <v>90.0</v>
      </c>
      <c r="Q68" s="58">
        <v>95.36</v>
      </c>
      <c r="R68" s="65">
        <v>3374.6</v>
      </c>
      <c r="S68" s="76">
        <v>100.0</v>
      </c>
      <c r="U68" s="67">
        <v>90.0</v>
      </c>
      <c r="V68" s="67">
        <v>1.1023</v>
      </c>
      <c r="Z68" s="69">
        <f t="shared" si="47"/>
        <v>30</v>
      </c>
      <c r="AA68" s="70">
        <f t="shared" si="34"/>
        <v>30</v>
      </c>
      <c r="AB68" s="71">
        <f t="shared" si="35"/>
        <v>713.7004711</v>
      </c>
      <c r="AC68" s="71">
        <f>+(S68-T68)*V68-'data 1'!$F$4</f>
        <v>30.23</v>
      </c>
      <c r="AD68" s="71">
        <f t="shared" si="36"/>
        <v>54.33818362</v>
      </c>
      <c r="AE68" s="71">
        <f t="shared" si="37"/>
        <v>-36.931</v>
      </c>
      <c r="AF68" s="71">
        <f t="shared" si="38"/>
        <v>58.69450708</v>
      </c>
      <c r="AG68" s="72">
        <f t="shared" si="50"/>
        <v>123.3316907</v>
      </c>
      <c r="AH68" s="52">
        <f t="shared" si="40"/>
        <v>124.1847732</v>
      </c>
      <c r="AI68" s="73">
        <f t="shared" si="41"/>
        <v>19.24871886</v>
      </c>
      <c r="AJ68" s="73">
        <f t="shared" si="42"/>
        <v>110.0885959</v>
      </c>
      <c r="AK68" s="11"/>
      <c r="AL68" s="51">
        <f t="shared" si="29"/>
        <v>9681.685898</v>
      </c>
      <c r="AM68" s="51" t="str">
        <f t="array" ref="AM68">XLOOKUP(D68,RUC!$B$3:$B$62,RUC!$M$3:$M$62)</f>
        <v>Alfred Torres</v>
      </c>
      <c r="AN68" s="131" t="s">
        <v>549</v>
      </c>
    </row>
    <row r="69" ht="15.0" customHeight="1">
      <c r="A69" s="116" t="s">
        <v>1764</v>
      </c>
      <c r="B69" s="56">
        <v>45818.0</v>
      </c>
      <c r="C69" s="56">
        <v>45814.0</v>
      </c>
      <c r="D69" s="57" t="s">
        <v>61</v>
      </c>
      <c r="E69" s="57">
        <f t="array" ref="E69">XLOOKUP(D69,RUC!$B$3:$B$110,RUC!$D$3:$D$110)</f>
        <v>20606526599</v>
      </c>
      <c r="G69" s="3">
        <v>100.0</v>
      </c>
      <c r="H69" s="57" t="s">
        <v>47</v>
      </c>
      <c r="I69" s="58">
        <v>8.24</v>
      </c>
      <c r="J69" s="58">
        <v>1.15</v>
      </c>
      <c r="K69" s="59">
        <f t="shared" si="31"/>
        <v>8.14524</v>
      </c>
      <c r="L69" s="60">
        <v>0.231</v>
      </c>
      <c r="M69" s="60">
        <v>0.214</v>
      </c>
      <c r="N69" s="62">
        <v>0.214</v>
      </c>
      <c r="O69" s="60">
        <f t="shared" si="51"/>
        <v>0.214</v>
      </c>
      <c r="P69" s="63">
        <v>90.0</v>
      </c>
      <c r="Q69" s="58">
        <v>93.49</v>
      </c>
      <c r="R69" s="65">
        <v>3374.6</v>
      </c>
      <c r="S69" s="66">
        <f>IF((90+ROUNDDOWN(O69,1)*100)&lt;95,95,(90+ROUNDDOWN(O69,1)*100))</f>
        <v>110</v>
      </c>
      <c r="U69" s="67">
        <v>120.0</v>
      </c>
      <c r="V69" s="67">
        <v>1.1023</v>
      </c>
      <c r="Y69" s="57">
        <v>20.0</v>
      </c>
      <c r="Z69" s="69">
        <f t="shared" si="47"/>
        <v>30</v>
      </c>
      <c r="AA69" s="70">
        <f t="shared" si="34"/>
        <v>50</v>
      </c>
      <c r="AB69" s="71">
        <f t="shared" si="35"/>
        <v>514.5932787</v>
      </c>
      <c r="AC69" s="71">
        <f>+(S69-T69)*V69-'data 1'!$F$4</f>
        <v>41.253</v>
      </c>
      <c r="AD69" s="71">
        <f t="shared" si="36"/>
        <v>28.92243371</v>
      </c>
      <c r="AE69" s="71">
        <f t="shared" si="37"/>
        <v>-14.885</v>
      </c>
      <c r="AF69" s="71">
        <f t="shared" si="38"/>
        <v>57.01793817</v>
      </c>
      <c r="AG69" s="72">
        <f t="shared" si="50"/>
        <v>129.3083719</v>
      </c>
      <c r="AH69" s="52">
        <f t="shared" si="40"/>
        <v>60.31010635</v>
      </c>
      <c r="AI69" s="73">
        <f t="shared" si="41"/>
        <v>22.71042815</v>
      </c>
      <c r="AJ69" s="73">
        <f t="shared" si="42"/>
        <v>53.78599875</v>
      </c>
      <c r="AK69" s="11"/>
      <c r="AL69" s="51">
        <f t="shared" si="29"/>
        <v>4191.485757</v>
      </c>
      <c r="AM69" s="51" t="str">
        <f t="array" ref="AM69">XLOOKUP(D69,RUC!$B$3:$B$62,RUC!$M$3:$M$62)</f>
        <v>Yuri Rospigliossi</v>
      </c>
      <c r="AN69" s="131" t="s">
        <v>561</v>
      </c>
    </row>
    <row r="70" ht="15.0" customHeight="1">
      <c r="A70" s="116" t="s">
        <v>1765</v>
      </c>
      <c r="B70" s="56">
        <v>45818.0</v>
      </c>
      <c r="C70" s="56">
        <v>45814.0</v>
      </c>
      <c r="D70" s="57" t="s">
        <v>45</v>
      </c>
      <c r="E70" s="57">
        <f t="array" ref="E70">XLOOKUP(D70,RUC!$B$3:$B$110,RUC!$D$3:$D$110)</f>
        <v>10416085884</v>
      </c>
      <c r="G70" s="3" t="s">
        <v>46</v>
      </c>
      <c r="H70" s="57" t="s">
        <v>47</v>
      </c>
      <c r="I70" s="58">
        <v>11.21</v>
      </c>
      <c r="J70" s="58">
        <v>12.5</v>
      </c>
      <c r="K70" s="59">
        <f t="shared" si="31"/>
        <v>9.80875</v>
      </c>
      <c r="L70" s="60">
        <v>0.212</v>
      </c>
      <c r="M70" s="60">
        <v>0.195</v>
      </c>
      <c r="N70" s="62">
        <v>0.195</v>
      </c>
      <c r="O70" s="60">
        <f t="shared" si="51"/>
        <v>0.195</v>
      </c>
      <c r="P70" s="63">
        <v>90.0</v>
      </c>
      <c r="Q70" s="58">
        <v>95.75</v>
      </c>
      <c r="R70" s="65">
        <v>3374.6</v>
      </c>
      <c r="S70" s="76">
        <v>100.0</v>
      </c>
      <c r="U70" s="67">
        <v>90.0</v>
      </c>
      <c r="V70" s="67">
        <v>1.1023</v>
      </c>
      <c r="Z70" s="69">
        <f t="shared" si="47"/>
        <v>30</v>
      </c>
      <c r="AA70" s="70">
        <f t="shared" si="34"/>
        <v>30</v>
      </c>
      <c r="AB70" s="71">
        <f t="shared" si="35"/>
        <v>492.1188588</v>
      </c>
      <c r="AC70" s="71">
        <f>+(S70-T70)*V70-'data 1'!$F$4</f>
        <v>30.23</v>
      </c>
      <c r="AD70" s="71">
        <f t="shared" si="36"/>
        <v>44.13529173</v>
      </c>
      <c r="AE70" s="71">
        <f t="shared" si="37"/>
        <v>-36.931</v>
      </c>
      <c r="AF70" s="71">
        <f t="shared" si="38"/>
        <v>58.93455383</v>
      </c>
      <c r="AG70" s="72">
        <f t="shared" si="50"/>
        <v>113.3688456</v>
      </c>
      <c r="AH70" s="52">
        <f t="shared" si="40"/>
        <v>68.26488744</v>
      </c>
      <c r="AI70" s="73">
        <f t="shared" si="41"/>
        <v>14.63363436</v>
      </c>
      <c r="AJ70" s="73">
        <f t="shared" si="42"/>
        <v>59.02008841</v>
      </c>
      <c r="AK70" s="11"/>
      <c r="AL70" s="51">
        <f t="shared" si="29"/>
        <v>4827.070856</v>
      </c>
      <c r="AM70" s="51" t="str">
        <f t="array" ref="AM70">XLOOKUP(D70,RUC!$B$3:$B$62,RUC!$M$3:$M$62)</f>
        <v>Alfred Torres</v>
      </c>
      <c r="AN70" s="131" t="s">
        <v>689</v>
      </c>
    </row>
    <row r="71" ht="15.0" customHeight="1">
      <c r="A71" s="116" t="s">
        <v>1766</v>
      </c>
      <c r="B71" s="56">
        <v>45818.0</v>
      </c>
      <c r="C71" s="56">
        <v>45814.0</v>
      </c>
      <c r="D71" s="57" t="s">
        <v>61</v>
      </c>
      <c r="E71" s="57">
        <f t="array" ref="E71">XLOOKUP(D71,RUC!$B$3:$B$110,RUC!$D$3:$D$110)</f>
        <v>20606526599</v>
      </c>
      <c r="G71" s="3">
        <v>100.0</v>
      </c>
      <c r="H71" s="57" t="s">
        <v>47</v>
      </c>
      <c r="I71" s="58">
        <v>8.38</v>
      </c>
      <c r="J71" s="58">
        <v>1.2</v>
      </c>
      <c r="K71" s="59">
        <f t="shared" si="31"/>
        <v>8.27944</v>
      </c>
      <c r="L71" s="60">
        <v>0.5</v>
      </c>
      <c r="M71" s="60">
        <v>0.47</v>
      </c>
      <c r="N71" s="75">
        <v>0.554</v>
      </c>
      <c r="O71" s="60">
        <f t="shared" si="51"/>
        <v>0.512</v>
      </c>
      <c r="P71" s="63">
        <v>90.0</v>
      </c>
      <c r="Q71" s="58">
        <v>94.99</v>
      </c>
      <c r="R71" s="65">
        <v>3374.6</v>
      </c>
      <c r="S71" s="66">
        <f>IF((90+ROUNDDOWN(O71,1)*100)&lt;95,95,(90+ROUNDDOWN(O71,1)*100))</f>
        <v>140</v>
      </c>
      <c r="U71" s="67">
        <v>120.0</v>
      </c>
      <c r="V71" s="67">
        <v>1.1023</v>
      </c>
      <c r="Y71" s="57">
        <v>20.0</v>
      </c>
      <c r="Z71" s="69">
        <f t="shared" si="47"/>
        <v>30</v>
      </c>
      <c r="AA71" s="70">
        <f t="shared" si="34"/>
        <v>50</v>
      </c>
      <c r="AB71" s="71">
        <f t="shared" si="35"/>
        <v>1443.704003</v>
      </c>
      <c r="AC71" s="71">
        <f>+(S71-T71)*V71-'data 1'!$F$4</f>
        <v>74.322</v>
      </c>
      <c r="AD71" s="71">
        <f t="shared" si="36"/>
        <v>89.50926222</v>
      </c>
      <c r="AE71" s="71">
        <f t="shared" si="37"/>
        <v>-14.885</v>
      </c>
      <c r="AF71" s="71">
        <f t="shared" si="38"/>
        <v>-40.89371456</v>
      </c>
      <c r="AG71" s="72">
        <f t="shared" si="50"/>
        <v>125.0525477</v>
      </c>
      <c r="AH71" s="52">
        <f t="shared" si="40"/>
        <v>134.8211181</v>
      </c>
      <c r="AI71" s="73">
        <f t="shared" si="41"/>
        <v>49.94546653</v>
      </c>
      <c r="AJ71" s="73">
        <f t="shared" si="42"/>
        <v>130.8044451</v>
      </c>
      <c r="AK71" s="11"/>
      <c r="AL71" s="51">
        <f t="shared" si="29"/>
        <v>11953.06067</v>
      </c>
      <c r="AM71" s="51" t="str">
        <f t="array" ref="AM71">XLOOKUP(D71,RUC!$B$3:$B$62,RUC!$M$3:$M$62)</f>
        <v>Yuri Rospigliossi</v>
      </c>
      <c r="AN71" s="131" t="s">
        <v>549</v>
      </c>
    </row>
    <row r="72" ht="15.0" customHeight="1">
      <c r="A72" s="116" t="s">
        <v>1767</v>
      </c>
      <c r="B72" s="56">
        <v>45821.0</v>
      </c>
      <c r="C72" s="56">
        <v>45815.0</v>
      </c>
      <c r="D72" s="57" t="s">
        <v>146</v>
      </c>
      <c r="E72" s="57">
        <f t="array" ref="E72">XLOOKUP(D72,RUC!$B$3:$B$110,RUC!$D$3:$D$110)</f>
        <v>20517242919</v>
      </c>
      <c r="G72" s="3">
        <v>63.0</v>
      </c>
      <c r="H72" s="57" t="s">
        <v>47</v>
      </c>
      <c r="I72" s="58">
        <v>5.84</v>
      </c>
      <c r="J72" s="58">
        <v>2.1</v>
      </c>
      <c r="K72" s="59">
        <f t="shared" si="31"/>
        <v>5.71736</v>
      </c>
      <c r="L72" s="60">
        <v>0.19</v>
      </c>
      <c r="M72" s="60">
        <v>0.187</v>
      </c>
      <c r="N72" s="62">
        <v>0.187</v>
      </c>
      <c r="O72" s="60">
        <f t="shared" si="51"/>
        <v>0.187</v>
      </c>
      <c r="P72" s="63">
        <v>85.0</v>
      </c>
      <c r="Q72" s="58">
        <v>96.32</v>
      </c>
      <c r="R72" s="65">
        <v>3339.9</v>
      </c>
      <c r="S72" s="76">
        <v>95.0</v>
      </c>
      <c r="U72" s="87">
        <v>80.0</v>
      </c>
      <c r="V72" s="67">
        <v>1.1023</v>
      </c>
      <c r="Z72" s="87">
        <v>10.0</v>
      </c>
      <c r="AA72" s="70">
        <f t="shared" si="34"/>
        <v>10</v>
      </c>
      <c r="AB72" s="71">
        <f t="shared" si="35"/>
        <v>455.427486</v>
      </c>
      <c r="AC72" s="71">
        <f>+(S72-T72)*V72-'data 1'!$F$4</f>
        <v>24.7185</v>
      </c>
      <c r="AD72" s="71">
        <f t="shared" si="36"/>
        <v>77.28658416</v>
      </c>
      <c r="AE72" s="71">
        <f t="shared" si="37"/>
        <v>-58.977</v>
      </c>
      <c r="AF72" s="71">
        <f t="shared" si="38"/>
        <v>10.3834533</v>
      </c>
      <c r="AG72" s="72">
        <f t="shared" si="50"/>
        <v>70.41153746</v>
      </c>
      <c r="AH72" s="52">
        <f t="shared" si="40"/>
        <v>35.87357701</v>
      </c>
      <c r="AI72" s="73">
        <f t="shared" si="41"/>
        <v>18.17584763</v>
      </c>
      <c r="AJ72" s="73">
        <f t="shared" si="42"/>
        <v>31.15768199</v>
      </c>
      <c r="AK72" s="11"/>
      <c r="AL72" s="51">
        <f t="shared" si="29"/>
        <v>2603.842892</v>
      </c>
      <c r="AM72" s="51" t="str">
        <f t="array" ref="AM72">XLOOKUP(D72,RUC!$B$3:$B$62,RUC!$M$3:$M$62)</f>
        <v>Melchor Vera</v>
      </c>
      <c r="AN72" s="131" t="s">
        <v>689</v>
      </c>
    </row>
    <row r="73" ht="15.0" customHeight="1">
      <c r="A73" s="116" t="s">
        <v>1768</v>
      </c>
      <c r="B73" s="56">
        <v>45824.0</v>
      </c>
      <c r="C73" s="56">
        <v>45817.0</v>
      </c>
      <c r="D73" s="57" t="s">
        <v>225</v>
      </c>
      <c r="E73" s="57">
        <f t="array" ref="E73">XLOOKUP(D73,RUC!$B$3:$B$110,RUC!$D$3:$D$110)</f>
        <v>10761932735</v>
      </c>
      <c r="G73" s="3">
        <v>22.0</v>
      </c>
      <c r="H73" s="57" t="s">
        <v>40</v>
      </c>
      <c r="I73" s="58">
        <v>1.92</v>
      </c>
      <c r="J73" s="58">
        <v>15.1</v>
      </c>
      <c r="K73" s="59">
        <f t="shared" si="31"/>
        <v>1.63008</v>
      </c>
      <c r="L73" s="60">
        <v>0.359</v>
      </c>
      <c r="M73" s="60">
        <v>0.337</v>
      </c>
      <c r="N73" s="62">
        <v>0.337</v>
      </c>
      <c r="O73" s="60">
        <f t="shared" si="51"/>
        <v>0.337</v>
      </c>
      <c r="P73" s="63">
        <v>90.0</v>
      </c>
      <c r="Q73" s="58">
        <v>95.82</v>
      </c>
      <c r="R73" s="65">
        <v>3319.3</v>
      </c>
      <c r="S73" s="66">
        <f t="shared" ref="S73:S88" si="52">IF((90+ROUNDDOWN(O73,1)*100)&lt;95,95,(90+ROUNDDOWN(O73,1)*100))</f>
        <v>120</v>
      </c>
      <c r="U73" s="67">
        <f t="array" ref="U73">XLOOKUP(D73,RUC!$B$3:$B$110,RUC!$F$3:$F$110)</f>
        <v>120</v>
      </c>
      <c r="V73" s="67">
        <v>1.1023</v>
      </c>
      <c r="Y73" s="57">
        <f t="array" ref="Y73">XLOOKUP(D73,RUC!$B$3:$B$110,RUC!$G$3:$G$110)</f>
        <v>20</v>
      </c>
      <c r="Z73" s="69">
        <f t="shared" ref="Z73:Z82" si="53">IF(IF(D73="UNTUCA",IF(+((W73-3)*1.5+(X73-3)*3.1)&gt;0,+((W73-3)*1.5+(X73-3)*3.1),0),IF(+((W73-3)*1.5+(X73-3)*3.1)&gt;0,+((W73-3)*1.5+(X73-3)*3.1),0))&lt;30,30,IF(D73="UNTUCA",IF(+((W73-3)*1.5+(X73-3)*3.1)&gt;0,+((W73-3)*1.5+(X73-3)*3.1),0),IF(+((W73-3)*1.5+(X73-3)*3.1)&gt;0,+((W73-3)*1.5+(X73-3)*3.1),0)))</f>
        <v>30</v>
      </c>
      <c r="AA73" s="70">
        <f t="shared" si="34"/>
        <v>50</v>
      </c>
      <c r="AB73" s="71">
        <f t="shared" si="35"/>
        <v>882.2232587</v>
      </c>
      <c r="AC73" s="71">
        <f>+(S73-T73)*V73-'data 1'!$F$4</f>
        <v>52.276</v>
      </c>
      <c r="AD73" s="71">
        <f t="shared" si="36"/>
        <v>73.6838325</v>
      </c>
      <c r="AE73" s="71">
        <f t="shared" si="37"/>
        <v>-14.885</v>
      </c>
      <c r="AF73" s="71">
        <f t="shared" si="38"/>
        <v>74.3418939</v>
      </c>
      <c r="AG73" s="72">
        <f t="shared" si="50"/>
        <v>202.4167264</v>
      </c>
      <c r="AH73" s="52">
        <f t="shared" si="40"/>
        <v>19.22509982</v>
      </c>
      <c r="AI73" s="73">
        <f t="shared" si="41"/>
        <v>57.14308392</v>
      </c>
      <c r="AJ73" s="73">
        <f t="shared" si="42"/>
        <v>16.95080776</v>
      </c>
      <c r="AK73" s="11"/>
      <c r="AL73" s="51">
        <f t="shared" si="29"/>
        <v>1438.09449</v>
      </c>
      <c r="AM73" s="51" t="str">
        <f t="array" ref="AM73">XLOOKUP(D73,RUC!$B$3:$B$62,RUC!$M$3:$M$62)</f>
        <v>Richard Sapacayo</v>
      </c>
      <c r="AN73" s="131" t="s">
        <v>549</v>
      </c>
    </row>
    <row r="74" ht="15.0" customHeight="1">
      <c r="A74" s="116" t="s">
        <v>1769</v>
      </c>
      <c r="B74" s="56">
        <v>45824.0</v>
      </c>
      <c r="C74" s="56">
        <v>45817.0</v>
      </c>
      <c r="D74" s="57" t="s">
        <v>225</v>
      </c>
      <c r="E74" s="57">
        <f t="array" ref="E74">XLOOKUP(D74,RUC!$B$3:$B$110,RUC!$D$3:$D$110)</f>
        <v>10761932735</v>
      </c>
      <c r="G74" s="3">
        <v>23.0</v>
      </c>
      <c r="H74" s="57" t="s">
        <v>40</v>
      </c>
      <c r="I74" s="58">
        <v>1.65</v>
      </c>
      <c r="J74" s="58">
        <v>9.6</v>
      </c>
      <c r="K74" s="59">
        <f t="shared" si="31"/>
        <v>1.4916</v>
      </c>
      <c r="L74" s="60">
        <v>0.154</v>
      </c>
      <c r="M74" s="60">
        <v>0.139</v>
      </c>
      <c r="N74" s="75">
        <v>0.147</v>
      </c>
      <c r="O74" s="60">
        <f t="shared" si="51"/>
        <v>0.143</v>
      </c>
      <c r="P74" s="63">
        <v>85.0</v>
      </c>
      <c r="Q74" s="58">
        <v>91.56</v>
      </c>
      <c r="R74" s="65">
        <v>3319.3</v>
      </c>
      <c r="S74" s="66">
        <f t="shared" si="52"/>
        <v>100</v>
      </c>
      <c r="T74" s="67"/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69">
        <f t="shared" si="53"/>
        <v>30</v>
      </c>
      <c r="AA74" s="70">
        <f t="shared" si="34"/>
        <v>50</v>
      </c>
      <c r="AB74" s="71">
        <f t="shared" si="35"/>
        <v>263.3118188</v>
      </c>
      <c r="AC74" s="71">
        <f>+(S74-T74)*V74-'data 1'!$F$4</f>
        <v>30.23</v>
      </c>
      <c r="AD74" s="71">
        <f t="shared" si="36"/>
        <v>35.62700655</v>
      </c>
      <c r="AE74" s="71">
        <f t="shared" si="37"/>
        <v>-14.885</v>
      </c>
      <c r="AF74" s="71">
        <f t="shared" si="38"/>
        <v>35.51838763</v>
      </c>
      <c r="AG74" s="72">
        <f t="shared" si="50"/>
        <v>103.4903942</v>
      </c>
      <c r="AH74" s="52">
        <f t="shared" si="40"/>
        <v>7.210874695</v>
      </c>
      <c r="AI74" s="73">
        <f t="shared" si="41"/>
        <v>23.42284069</v>
      </c>
      <c r="AJ74" s="73">
        <f t="shared" si="42"/>
        <v>6.216077309</v>
      </c>
      <c r="AK74" s="11"/>
      <c r="AL74" s="51">
        <f t="shared" si="29"/>
        <v>392.7559089</v>
      </c>
      <c r="AM74" s="51" t="str">
        <f t="array" ref="AM74">XLOOKUP(D74,RUC!$B$3:$B$62,RUC!$M$3:$M$62)</f>
        <v>Richard Sapacayo</v>
      </c>
      <c r="AN74" s="131" t="s">
        <v>689</v>
      </c>
    </row>
    <row r="75" ht="15.0" customHeight="1">
      <c r="A75" s="116" t="s">
        <v>1770</v>
      </c>
      <c r="B75" s="56">
        <v>45824.0</v>
      </c>
      <c r="C75" s="56">
        <v>45817.0</v>
      </c>
      <c r="D75" s="57" t="s">
        <v>225</v>
      </c>
      <c r="E75" s="57">
        <f t="array" ref="E75">XLOOKUP(D75,RUC!$B$3:$B$110,RUC!$D$3:$D$110)</f>
        <v>10761932735</v>
      </c>
      <c r="G75" s="3">
        <v>68.0</v>
      </c>
      <c r="H75" s="57" t="s">
        <v>47</v>
      </c>
      <c r="I75" s="58">
        <v>5.07</v>
      </c>
      <c r="J75" s="58">
        <v>3.2</v>
      </c>
      <c r="K75" s="59">
        <f t="shared" si="31"/>
        <v>4.90776</v>
      </c>
      <c r="L75" s="60">
        <v>0.381</v>
      </c>
      <c r="M75" s="60">
        <v>0.358</v>
      </c>
      <c r="N75" s="75">
        <v>0.381</v>
      </c>
      <c r="O75" s="60">
        <f t="shared" si="51"/>
        <v>0.37</v>
      </c>
      <c r="P75" s="63">
        <v>90.0</v>
      </c>
      <c r="Q75" s="58">
        <v>96.33</v>
      </c>
      <c r="R75" s="65">
        <v>3319.3</v>
      </c>
      <c r="S75" s="66">
        <f t="shared" si="52"/>
        <v>120</v>
      </c>
      <c r="T75" s="67"/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69">
        <f t="shared" si="53"/>
        <v>30</v>
      </c>
      <c r="AA75" s="70">
        <f t="shared" si="34"/>
        <v>50</v>
      </c>
      <c r="AB75" s="71">
        <f t="shared" si="35"/>
        <v>986.9629339</v>
      </c>
      <c r="AC75" s="71">
        <f>+(S75-T75)*V75-'data 1'!$F$4</f>
        <v>52.276</v>
      </c>
      <c r="AD75" s="71">
        <f t="shared" si="36"/>
        <v>85.05179018</v>
      </c>
      <c r="AE75" s="71">
        <f t="shared" si="37"/>
        <v>-14.885</v>
      </c>
      <c r="AF75" s="71">
        <f t="shared" si="38"/>
        <v>37.36878856</v>
      </c>
      <c r="AG75" s="72">
        <f t="shared" si="50"/>
        <v>176.8115787</v>
      </c>
      <c r="AH75" s="52">
        <f t="shared" si="40"/>
        <v>61.75596635</v>
      </c>
      <c r="AI75" s="73">
        <f t="shared" si="41"/>
        <v>60.96766969</v>
      </c>
      <c r="AJ75" s="73">
        <f t="shared" si="42"/>
        <v>56.03206387</v>
      </c>
      <c r="AK75" s="11"/>
      <c r="AL75" s="51">
        <f t="shared" si="29"/>
        <v>4843.777208</v>
      </c>
      <c r="AM75" s="51" t="str">
        <f t="array" ref="AM75">XLOOKUP(D75,RUC!$B$3:$B$62,RUC!$M$3:$M$62)</f>
        <v>Richard Sapacayo</v>
      </c>
      <c r="AN75" s="131" t="s">
        <v>561</v>
      </c>
    </row>
    <row r="76" ht="15.0" customHeight="1">
      <c r="A76" s="116" t="s">
        <v>1771</v>
      </c>
      <c r="B76" s="56">
        <v>45824.0</v>
      </c>
      <c r="C76" s="56">
        <v>45817.0</v>
      </c>
      <c r="D76" s="57" t="s">
        <v>225</v>
      </c>
      <c r="E76" s="57">
        <f t="array" ref="E76">XLOOKUP(D76,RUC!$B$3:$B$110,RUC!$D$3:$D$110)</f>
        <v>10761932735</v>
      </c>
      <c r="G76" s="3">
        <v>107.0</v>
      </c>
      <c r="H76" s="57" t="s">
        <v>47</v>
      </c>
      <c r="I76" s="58">
        <v>7.76</v>
      </c>
      <c r="J76" s="58">
        <v>4.9</v>
      </c>
      <c r="K76" s="59">
        <f t="shared" si="31"/>
        <v>7.37976</v>
      </c>
      <c r="L76" s="60">
        <v>0.221</v>
      </c>
      <c r="M76" s="60">
        <v>0.205</v>
      </c>
      <c r="N76" s="75">
        <v>0.246</v>
      </c>
      <c r="O76" s="60">
        <f t="shared" si="51"/>
        <v>0.226</v>
      </c>
      <c r="P76" s="63">
        <v>90.0</v>
      </c>
      <c r="Q76" s="58">
        <v>90.0</v>
      </c>
      <c r="R76" s="65">
        <v>3319.3</v>
      </c>
      <c r="S76" s="66">
        <f t="shared" si="52"/>
        <v>110</v>
      </c>
      <c r="T76" s="67"/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69">
        <f t="shared" si="53"/>
        <v>30</v>
      </c>
      <c r="AA76" s="70">
        <f t="shared" si="34"/>
        <v>50</v>
      </c>
      <c r="AB76" s="71">
        <f t="shared" si="35"/>
        <v>540.9400785</v>
      </c>
      <c r="AC76" s="71">
        <f>+(S76-T76)*V76-'data 1'!$F$4</f>
        <v>41.253</v>
      </c>
      <c r="AD76" s="71">
        <f t="shared" si="36"/>
        <v>0</v>
      </c>
      <c r="AE76" s="71">
        <f t="shared" si="37"/>
        <v>-14.885</v>
      </c>
      <c r="AF76" s="71">
        <f t="shared" si="38"/>
        <v>-15.86964776</v>
      </c>
      <c r="AG76" s="72">
        <f t="shared" si="50"/>
        <v>27.49835225</v>
      </c>
      <c r="AH76" s="52">
        <f t="shared" si="40"/>
        <v>50.32526733</v>
      </c>
      <c r="AI76" s="73">
        <f t="shared" si="41"/>
        <v>33.04059373</v>
      </c>
      <c r="AJ76" s="73">
        <f t="shared" si="42"/>
        <v>51.46384804</v>
      </c>
      <c r="AK76" s="11"/>
      <c r="AL76" s="51">
        <f t="shared" si="29"/>
        <v>3992.007954</v>
      </c>
      <c r="AM76" s="51" t="str">
        <f t="array" ref="AM76">XLOOKUP(D76,RUC!$B$3:$B$62,RUC!$M$3:$M$62)</f>
        <v>Richard Sapacayo</v>
      </c>
      <c r="AN76" s="131" t="s">
        <v>561</v>
      </c>
    </row>
    <row r="77" ht="15.0" customHeight="1">
      <c r="A77" s="116" t="s">
        <v>1772</v>
      </c>
      <c r="B77" s="56">
        <v>45821.0</v>
      </c>
      <c r="C77" s="56">
        <v>45818.0</v>
      </c>
      <c r="D77" s="57" t="s">
        <v>295</v>
      </c>
      <c r="E77" s="57">
        <f t="array" ref="E77">XLOOKUP(D77,RUC!$B$3:$B$110,RUC!$D$3:$D$110)</f>
        <v>20601769396</v>
      </c>
      <c r="G77" s="3">
        <v>49.0</v>
      </c>
      <c r="H77" s="57" t="s">
        <v>40</v>
      </c>
      <c r="I77" s="58">
        <v>3.39</v>
      </c>
      <c r="J77" s="58">
        <v>20.2</v>
      </c>
      <c r="K77" s="59">
        <f t="shared" si="31"/>
        <v>2.70522</v>
      </c>
      <c r="L77" s="60">
        <v>0.362</v>
      </c>
      <c r="M77" s="60">
        <v>0.34</v>
      </c>
      <c r="N77" s="62">
        <v>0.34</v>
      </c>
      <c r="O77" s="60">
        <f t="shared" si="51"/>
        <v>0.34</v>
      </c>
      <c r="P77" s="63">
        <v>90.0</v>
      </c>
      <c r="Q77" s="58">
        <v>96.13</v>
      </c>
      <c r="R77" s="65">
        <v>3337.7</v>
      </c>
      <c r="S77" s="66">
        <f t="shared" si="52"/>
        <v>120</v>
      </c>
      <c r="T77" s="67"/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69">
        <f t="shared" si="53"/>
        <v>30</v>
      </c>
      <c r="AA77" s="70">
        <f t="shared" si="34"/>
        <v>50</v>
      </c>
      <c r="AB77" s="71">
        <f t="shared" si="35"/>
        <v>897.9514373</v>
      </c>
      <c r="AC77" s="71">
        <f>+(S77-T77)*V77-'data 1'!$F$4</f>
        <v>52.276</v>
      </c>
      <c r="AD77" s="71">
        <f t="shared" si="36"/>
        <v>78.70718918</v>
      </c>
      <c r="AE77" s="71">
        <f t="shared" si="37"/>
        <v>-14.885</v>
      </c>
      <c r="AF77" s="71">
        <f t="shared" si="38"/>
        <v>75.0113499</v>
      </c>
      <c r="AG77" s="72">
        <f t="shared" si="50"/>
        <v>208.1095391</v>
      </c>
      <c r="AH77" s="52">
        <f t="shared" si="40"/>
        <v>32.27596023</v>
      </c>
      <c r="AI77" s="73">
        <f t="shared" si="41"/>
        <v>50.74896208</v>
      </c>
      <c r="AJ77" s="73">
        <f t="shared" si="42"/>
        <v>28.38135234</v>
      </c>
      <c r="AK77" s="11"/>
      <c r="AL77" s="51">
        <f t="shared" si="29"/>
        <v>2429.156187</v>
      </c>
      <c r="AM77" s="51" t="str">
        <f t="array" ref="AM77">XLOOKUP(D77,RUC!$B$3:$B$62,RUC!$M$3:$M$62)</f>
        <v>Evelyn</v>
      </c>
      <c r="AN77" s="131" t="s">
        <v>549</v>
      </c>
    </row>
    <row r="78" ht="15.0" customHeight="1">
      <c r="A78" s="116" t="s">
        <v>1773</v>
      </c>
      <c r="B78" s="56">
        <v>45821.0</v>
      </c>
      <c r="C78" s="56">
        <v>45818.0</v>
      </c>
      <c r="D78" s="57" t="s">
        <v>295</v>
      </c>
      <c r="E78" s="57">
        <f t="array" ref="E78">XLOOKUP(D78,RUC!$B$3:$B$110,RUC!$D$3:$D$110)</f>
        <v>20601769396</v>
      </c>
      <c r="G78" s="3">
        <v>50.0</v>
      </c>
      <c r="H78" s="57" t="s">
        <v>40</v>
      </c>
      <c r="I78" s="58">
        <v>3.24</v>
      </c>
      <c r="J78" s="58">
        <v>22.9</v>
      </c>
      <c r="K78" s="59">
        <f t="shared" si="31"/>
        <v>2.49804</v>
      </c>
      <c r="L78" s="60">
        <v>0.353</v>
      </c>
      <c r="M78" s="60">
        <v>0.332</v>
      </c>
      <c r="N78" s="62">
        <v>0.332</v>
      </c>
      <c r="O78" s="60">
        <f t="shared" si="51"/>
        <v>0.332</v>
      </c>
      <c r="P78" s="63">
        <v>90.0</v>
      </c>
      <c r="Q78" s="58">
        <v>93.77</v>
      </c>
      <c r="R78" s="65">
        <v>3337.7</v>
      </c>
      <c r="S78" s="66">
        <f t="shared" si="52"/>
        <v>120</v>
      </c>
      <c r="T78" s="67"/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69">
        <f t="shared" si="53"/>
        <v>30</v>
      </c>
      <c r="AA78" s="70">
        <f t="shared" si="34"/>
        <v>50</v>
      </c>
      <c r="AB78" s="71">
        <f t="shared" si="35"/>
        <v>872.4139681</v>
      </c>
      <c r="AC78" s="71">
        <f>+(S78-T78)*V78-'data 1'!$F$4</f>
        <v>52.276</v>
      </c>
      <c r="AD78" s="71">
        <f t="shared" si="36"/>
        <v>47.2021101</v>
      </c>
      <c r="AE78" s="71">
        <f t="shared" si="37"/>
        <v>-14.885</v>
      </c>
      <c r="AF78" s="71">
        <f t="shared" si="38"/>
        <v>69.84391396</v>
      </c>
      <c r="AG78" s="72">
        <f t="shared" si="50"/>
        <v>171.4370241</v>
      </c>
      <c r="AH78" s="52">
        <f t="shared" si="40"/>
        <v>28.34960936</v>
      </c>
      <c r="AI78" s="73">
        <f t="shared" si="41"/>
        <v>48.27233125</v>
      </c>
      <c r="AJ78" s="73">
        <f t="shared" si="42"/>
        <v>25.5911057</v>
      </c>
      <c r="AK78" s="11"/>
      <c r="AL78" s="51">
        <f t="shared" si="29"/>
        <v>2179.324989</v>
      </c>
      <c r="AM78" s="51" t="str">
        <f t="array" ref="AM78">XLOOKUP(D78,RUC!$B$3:$B$62,RUC!$M$3:$M$62)</f>
        <v>Evelyn</v>
      </c>
      <c r="AN78" s="131" t="s">
        <v>561</v>
      </c>
    </row>
    <row r="79" ht="15.0" customHeight="1">
      <c r="A79" s="116" t="s">
        <v>1774</v>
      </c>
      <c r="B79" s="56">
        <v>45821.0</v>
      </c>
      <c r="C79" s="56">
        <v>45818.0</v>
      </c>
      <c r="D79" s="57" t="s">
        <v>295</v>
      </c>
      <c r="E79" s="57">
        <f t="array" ref="E79">XLOOKUP(D79,RUC!$B$3:$B$110,RUC!$D$3:$D$110)</f>
        <v>20601769396</v>
      </c>
      <c r="G79" s="3">
        <v>50.0</v>
      </c>
      <c r="H79" s="57" t="s">
        <v>40</v>
      </c>
      <c r="I79" s="58">
        <v>3.5</v>
      </c>
      <c r="J79" s="58">
        <v>19.4</v>
      </c>
      <c r="K79" s="59">
        <f t="shared" si="31"/>
        <v>2.821</v>
      </c>
      <c r="L79" s="60">
        <v>0.229</v>
      </c>
      <c r="M79" s="60">
        <v>0.213</v>
      </c>
      <c r="N79" s="62">
        <v>0.213</v>
      </c>
      <c r="O79" s="60">
        <f t="shared" si="51"/>
        <v>0.213</v>
      </c>
      <c r="P79" s="63">
        <v>90.0</v>
      </c>
      <c r="Q79" s="58">
        <v>93.87</v>
      </c>
      <c r="R79" s="65">
        <v>3337.7</v>
      </c>
      <c r="S79" s="66">
        <f t="shared" si="52"/>
        <v>110</v>
      </c>
      <c r="T79" s="67"/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69">
        <f t="shared" si="53"/>
        <v>30</v>
      </c>
      <c r="AA79" s="70">
        <f t="shared" si="34"/>
        <v>50</v>
      </c>
      <c r="AB79" s="71">
        <f t="shared" si="35"/>
        <v>503.5671151</v>
      </c>
      <c r="AC79" s="71">
        <f>+(S79-T79)*V79-'data 1'!$F$4</f>
        <v>41.253</v>
      </c>
      <c r="AD79" s="71">
        <f t="shared" si="36"/>
        <v>31.43343229</v>
      </c>
      <c r="AE79" s="71">
        <f t="shared" si="37"/>
        <v>-14.885</v>
      </c>
      <c r="AF79" s="71">
        <f t="shared" si="38"/>
        <v>53.27116057</v>
      </c>
      <c r="AG79" s="72">
        <f t="shared" si="50"/>
        <v>128.0725929</v>
      </c>
      <c r="AH79" s="52">
        <f t="shared" si="40"/>
        <v>20.79095582</v>
      </c>
      <c r="AI79" s="73">
        <f t="shared" si="41"/>
        <v>31.3488744</v>
      </c>
      <c r="AJ79" s="73">
        <f t="shared" si="42"/>
        <v>18.54104758</v>
      </c>
      <c r="AK79" s="11"/>
      <c r="AL79" s="51">
        <f t="shared" si="29"/>
        <v>1420.562832</v>
      </c>
      <c r="AM79" s="51" t="str">
        <f t="array" ref="AM79">XLOOKUP(D79,RUC!$B$3:$B$62,RUC!$M$3:$M$62)</f>
        <v>Evelyn</v>
      </c>
      <c r="AN79" s="131" t="s">
        <v>561</v>
      </c>
    </row>
    <row r="80" ht="15.0" customHeight="1">
      <c r="A80" s="116" t="s">
        <v>1775</v>
      </c>
      <c r="B80" s="56">
        <v>45821.0</v>
      </c>
      <c r="C80" s="56">
        <v>45818.0</v>
      </c>
      <c r="D80" s="57" t="s">
        <v>295</v>
      </c>
      <c r="E80" s="57">
        <f t="array" ref="E80">XLOOKUP(D80,RUC!$B$3:$B$110,RUC!$D$3:$D$110)</f>
        <v>20601769396</v>
      </c>
      <c r="G80" s="3">
        <v>50.0</v>
      </c>
      <c r="H80" s="57" t="s">
        <v>40</v>
      </c>
      <c r="I80" s="58">
        <v>3.32</v>
      </c>
      <c r="J80" s="58">
        <v>28.8</v>
      </c>
      <c r="K80" s="59">
        <f t="shared" si="31"/>
        <v>2.36384</v>
      </c>
      <c r="L80" s="60">
        <v>0.27</v>
      </c>
      <c r="M80" s="60">
        <v>0.254</v>
      </c>
      <c r="N80" s="62">
        <v>0.254</v>
      </c>
      <c r="O80" s="60">
        <f t="shared" si="51"/>
        <v>0.254</v>
      </c>
      <c r="P80" s="63">
        <v>90.0</v>
      </c>
      <c r="Q80" s="58">
        <v>94.81</v>
      </c>
      <c r="R80" s="65">
        <v>3337.7</v>
      </c>
      <c r="S80" s="66">
        <f t="shared" si="52"/>
        <v>110</v>
      </c>
      <c r="T80" s="67"/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69">
        <f t="shared" si="53"/>
        <v>30</v>
      </c>
      <c r="AA80" s="70">
        <f t="shared" si="34"/>
        <v>50</v>
      </c>
      <c r="AB80" s="71">
        <f t="shared" si="35"/>
        <v>634.4466443</v>
      </c>
      <c r="AC80" s="71">
        <f>+(S80-T80)*V80-'data 1'!$F$4</f>
        <v>41.253</v>
      </c>
      <c r="AD80" s="71">
        <f t="shared" si="36"/>
        <v>46.06320991</v>
      </c>
      <c r="AE80" s="71">
        <f t="shared" si="37"/>
        <v>-14.885</v>
      </c>
      <c r="AF80" s="71">
        <f t="shared" si="38"/>
        <v>53.80460992</v>
      </c>
      <c r="AG80" s="72">
        <f t="shared" si="50"/>
        <v>143.2358198</v>
      </c>
      <c r="AH80" s="52">
        <f t="shared" si="40"/>
        <v>20.74651036</v>
      </c>
      <c r="AI80" s="73">
        <f t="shared" si="41"/>
        <v>37.33168239</v>
      </c>
      <c r="AJ80" s="73">
        <f t="shared" si="42"/>
        <v>18.52692625</v>
      </c>
      <c r="AK80" s="11"/>
      <c r="AL80" s="51">
        <f t="shared" si="29"/>
        <v>1499.730356</v>
      </c>
      <c r="AM80" s="51" t="str">
        <f t="array" ref="AM80">XLOOKUP(D80,RUC!$B$3:$B$62,RUC!$M$3:$M$62)</f>
        <v>Evelyn</v>
      </c>
      <c r="AN80" s="131" t="s">
        <v>561</v>
      </c>
    </row>
    <row r="81" ht="15.0" customHeight="1">
      <c r="A81" s="116" t="s">
        <v>1776</v>
      </c>
      <c r="B81" s="56">
        <v>45821.0</v>
      </c>
      <c r="C81" s="56">
        <v>45818.0</v>
      </c>
      <c r="D81" s="57" t="s">
        <v>295</v>
      </c>
      <c r="E81" s="57">
        <f t="array" ref="E81">XLOOKUP(D81,RUC!$B$3:$B$110,RUC!$D$3:$D$110)</f>
        <v>20601769396</v>
      </c>
      <c r="G81" s="3">
        <v>50.0</v>
      </c>
      <c r="H81" s="57" t="s">
        <v>40</v>
      </c>
      <c r="I81" s="58">
        <v>3.29</v>
      </c>
      <c r="J81" s="58">
        <v>21.8</v>
      </c>
      <c r="K81" s="59">
        <f t="shared" si="31"/>
        <v>2.57278</v>
      </c>
      <c r="L81" s="60">
        <v>0.289</v>
      </c>
      <c r="M81" s="60">
        <v>0.271</v>
      </c>
      <c r="N81" s="62">
        <v>0.271</v>
      </c>
      <c r="O81" s="60">
        <f t="shared" si="51"/>
        <v>0.271</v>
      </c>
      <c r="P81" s="63">
        <v>90.0</v>
      </c>
      <c r="Q81" s="58">
        <v>94.8</v>
      </c>
      <c r="R81" s="65">
        <v>3337.7</v>
      </c>
      <c r="S81" s="66">
        <f t="shared" si="52"/>
        <v>110</v>
      </c>
      <c r="T81" s="67"/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69">
        <f t="shared" si="53"/>
        <v>30</v>
      </c>
      <c r="AA81" s="70">
        <f t="shared" si="34"/>
        <v>50</v>
      </c>
      <c r="AB81" s="71">
        <f t="shared" si="35"/>
        <v>688.7137662</v>
      </c>
      <c r="AC81" s="71">
        <f>+(S81-T81)*V81-'data 1'!$F$4</f>
        <v>41.253</v>
      </c>
      <c r="AD81" s="71">
        <f t="shared" si="36"/>
        <v>49.20219049</v>
      </c>
      <c r="AE81" s="71">
        <f t="shared" si="37"/>
        <v>-14.885</v>
      </c>
      <c r="AF81" s="71">
        <f t="shared" si="38"/>
        <v>60.5238018</v>
      </c>
      <c r="AG81" s="72">
        <f t="shared" si="50"/>
        <v>153.0939923</v>
      </c>
      <c r="AH81" s="52">
        <f t="shared" si="40"/>
        <v>24.16673058</v>
      </c>
      <c r="AI81" s="73">
        <f t="shared" si="41"/>
        <v>39.9545121</v>
      </c>
      <c r="AJ81" s="73">
        <f t="shared" si="42"/>
        <v>21.51411673</v>
      </c>
      <c r="AK81" s="11"/>
      <c r="AL81" s="51">
        <f t="shared" si="29"/>
        <v>1771.909003</v>
      </c>
      <c r="AM81" s="51" t="str">
        <f t="array" ref="AM81">XLOOKUP(D81,RUC!$B$3:$B$62,RUC!$M$3:$M$62)</f>
        <v>Evelyn</v>
      </c>
      <c r="AN81" s="131" t="s">
        <v>561</v>
      </c>
    </row>
    <row r="82" ht="15.0" customHeight="1">
      <c r="A82" s="116" t="s">
        <v>1777</v>
      </c>
      <c r="B82" s="56">
        <v>45821.0</v>
      </c>
      <c r="C82" s="56">
        <v>45818.0</v>
      </c>
      <c r="D82" s="57" t="s">
        <v>295</v>
      </c>
      <c r="E82" s="57">
        <f t="array" ref="E82">XLOOKUP(D82,RUC!$B$3:$B$110,RUC!$D$3:$D$110)</f>
        <v>20601769396</v>
      </c>
      <c r="G82" s="3">
        <v>50.0</v>
      </c>
      <c r="H82" s="57" t="s">
        <v>40</v>
      </c>
      <c r="I82" s="58">
        <v>3.14</v>
      </c>
      <c r="J82" s="58">
        <v>18.95</v>
      </c>
      <c r="K82" s="59">
        <f t="shared" si="31"/>
        <v>2.54497</v>
      </c>
      <c r="L82" s="60">
        <v>0.34</v>
      </c>
      <c r="M82" s="60">
        <v>0.319</v>
      </c>
      <c r="N82" s="62">
        <v>0.319</v>
      </c>
      <c r="O82" s="60">
        <f t="shared" si="51"/>
        <v>0.319</v>
      </c>
      <c r="P82" s="63">
        <v>90.0</v>
      </c>
      <c r="Q82" s="58">
        <v>96.76</v>
      </c>
      <c r="R82" s="65">
        <v>3337.7</v>
      </c>
      <c r="S82" s="66">
        <f t="shared" si="52"/>
        <v>120</v>
      </c>
      <c r="T82" s="67"/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69">
        <f t="shared" si="53"/>
        <v>30</v>
      </c>
      <c r="AA82" s="70">
        <f t="shared" si="34"/>
        <v>50</v>
      </c>
      <c r="AB82" s="71">
        <f t="shared" si="35"/>
        <v>830.9155808</v>
      </c>
      <c r="AC82" s="71">
        <f>+(S82-T82)*V82-'data 1'!$F$4</f>
        <v>52.276</v>
      </c>
      <c r="AD82" s="71">
        <f t="shared" si="36"/>
        <v>81.5212764</v>
      </c>
      <c r="AE82" s="71">
        <f t="shared" si="37"/>
        <v>-14.885</v>
      </c>
      <c r="AF82" s="71">
        <f t="shared" si="38"/>
        <v>72.07099408</v>
      </c>
      <c r="AG82" s="72">
        <f t="shared" si="50"/>
        <v>207.9832705</v>
      </c>
      <c r="AH82" s="52">
        <f t="shared" si="40"/>
        <v>28.70559236</v>
      </c>
      <c r="AI82" s="73">
        <f t="shared" si="41"/>
        <v>47.97714806</v>
      </c>
      <c r="AJ82" s="73">
        <f t="shared" si="42"/>
        <v>25.05099204</v>
      </c>
      <c r="AK82" s="11"/>
      <c r="AL82" s="51">
        <f t="shared" si="29"/>
        <v>2114.655226</v>
      </c>
      <c r="AM82" s="51" t="str">
        <f t="array" ref="AM82">XLOOKUP(D82,RUC!$B$3:$B$62,RUC!$M$3:$M$62)</f>
        <v>Evelyn</v>
      </c>
      <c r="AN82" s="131" t="s">
        <v>561</v>
      </c>
    </row>
    <row r="83" ht="15.0" customHeight="1">
      <c r="A83" s="116" t="s">
        <v>1778</v>
      </c>
      <c r="B83" s="56">
        <v>45825.0</v>
      </c>
      <c r="C83" s="56">
        <v>45820.0</v>
      </c>
      <c r="D83" s="57" t="s">
        <v>225</v>
      </c>
      <c r="E83" s="57">
        <f t="array" ref="E83">XLOOKUP(D83,RUC!$B$3:$B$110,RUC!$D$3:$D$110)</f>
        <v>10761932735</v>
      </c>
      <c r="G83" s="3" t="s">
        <v>46</v>
      </c>
      <c r="H83" s="57" t="s">
        <v>47</v>
      </c>
      <c r="I83" s="58">
        <v>18.95</v>
      </c>
      <c r="J83" s="58">
        <v>16.28</v>
      </c>
      <c r="K83" s="59">
        <f t="shared" si="31"/>
        <v>15.86494</v>
      </c>
      <c r="L83" s="60">
        <v>0.224</v>
      </c>
      <c r="M83" s="60">
        <v>0.206</v>
      </c>
      <c r="N83" s="62">
        <v>0.206</v>
      </c>
      <c r="O83" s="60">
        <f t="shared" si="51"/>
        <v>0.206</v>
      </c>
      <c r="P83" s="63">
        <v>90.0</v>
      </c>
      <c r="Q83" s="58">
        <v>95.72</v>
      </c>
      <c r="R83" s="65">
        <v>3391.4</v>
      </c>
      <c r="S83" s="66">
        <f t="shared" si="52"/>
        <v>110</v>
      </c>
      <c r="T83" s="67"/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34"/>
        <v>50</v>
      </c>
      <c r="AB83" s="71">
        <f t="shared" si="35"/>
        <v>492.1963064</v>
      </c>
      <c r="AC83" s="71">
        <f>+(S83-T83)*V83-'data 1'!$F$4</f>
        <v>41.253</v>
      </c>
      <c r="AD83" s="71">
        <f t="shared" si="36"/>
        <v>46.20377964</v>
      </c>
      <c r="AE83" s="71">
        <f t="shared" si="37"/>
        <v>-14.885</v>
      </c>
      <c r="AF83" s="71">
        <f t="shared" si="38"/>
        <v>62.13104408</v>
      </c>
      <c r="AG83" s="72">
        <f t="shared" si="50"/>
        <v>151.7028237</v>
      </c>
      <c r="AH83" s="52">
        <f t="shared" si="40"/>
        <v>116.6267602</v>
      </c>
      <c r="AI83" s="73">
        <f t="shared" si="41"/>
        <v>18.57689223</v>
      </c>
      <c r="AJ83" s="73">
        <f t="shared" si="42"/>
        <v>100.8456647</v>
      </c>
      <c r="AK83" s="11"/>
      <c r="AL83" s="51">
        <f t="shared" si="29"/>
        <v>7808.664869</v>
      </c>
      <c r="AM83" s="51" t="str">
        <f t="array" ref="AM83">XLOOKUP(D83,RUC!$B$3:$B$62,RUC!$M$3:$M$62)</f>
        <v>Richard Sapacayo</v>
      </c>
      <c r="AN83" s="131" t="s">
        <v>561</v>
      </c>
    </row>
    <row r="84" ht="15.0" customHeight="1">
      <c r="A84" s="116" t="s">
        <v>1779</v>
      </c>
      <c r="B84" s="56">
        <v>45825.0</v>
      </c>
      <c r="C84" s="56">
        <v>45820.0</v>
      </c>
      <c r="D84" s="57" t="s">
        <v>225</v>
      </c>
      <c r="E84" s="57">
        <f t="array" ref="E84">XLOOKUP(D84,RUC!$B$3:$B$110,RUC!$D$3:$D$110)</f>
        <v>10761932735</v>
      </c>
      <c r="G84" s="3" t="s">
        <v>46</v>
      </c>
      <c r="H84" s="57" t="s">
        <v>47</v>
      </c>
      <c r="I84" s="58">
        <v>22.44</v>
      </c>
      <c r="J84" s="58">
        <v>17.8</v>
      </c>
      <c r="K84" s="59">
        <f t="shared" si="31"/>
        <v>18.44568</v>
      </c>
      <c r="L84" s="60">
        <v>0.231</v>
      </c>
      <c r="M84" s="60">
        <v>0.212</v>
      </c>
      <c r="N84" s="75">
        <v>0.252</v>
      </c>
      <c r="O84" s="60">
        <f t="shared" si="51"/>
        <v>0.232</v>
      </c>
      <c r="P84" s="63">
        <v>90.0</v>
      </c>
      <c r="Q84" s="58">
        <v>93.56</v>
      </c>
      <c r="R84" s="65">
        <v>3391.4</v>
      </c>
      <c r="S84" s="66">
        <f t="shared" si="52"/>
        <v>110</v>
      </c>
      <c r="T84" s="67"/>
      <c r="U84" s="67">
        <f t="array" ref="U84">XLOOKUP(D84,RUC!$B$3:$B$110,RUC!$F$3:$F$110)</f>
        <v>120</v>
      </c>
      <c r="V84" s="67">
        <v>1.1023</v>
      </c>
      <c r="Y84" s="57">
        <f t="array" ref="Y84">XLOOKUP(D84,RUC!$B$3:$B$110,RUC!$G$3:$G$110)</f>
        <v>20</v>
      </c>
      <c r="Z84" s="69">
        <f t="array" ref="Z84">XLOOKUP(D84,RUC!$B$3:$B$110,RUC!$H$3:$H$110)</f>
        <v>30</v>
      </c>
      <c r="AA84" s="70">
        <f t="shared" si="34"/>
        <v>50</v>
      </c>
      <c r="AB84" s="71">
        <f t="shared" si="35"/>
        <v>576.5782091</v>
      </c>
      <c r="AC84" s="71">
        <f>+(S84-T84)*V84-'data 1'!$F$4</f>
        <v>41.253</v>
      </c>
      <c r="AD84" s="71">
        <f t="shared" si="36"/>
        <v>29.65482972</v>
      </c>
      <c r="AE84" s="71">
        <f t="shared" si="37"/>
        <v>-14.885</v>
      </c>
      <c r="AF84" s="71">
        <f t="shared" si="38"/>
        <v>-3.373833684</v>
      </c>
      <c r="AG84" s="72">
        <f t="shared" si="50"/>
        <v>69.64899604</v>
      </c>
      <c r="AH84" s="52">
        <f t="shared" si="40"/>
        <v>136.6803029</v>
      </c>
      <c r="AI84" s="73">
        <f t="shared" si="41"/>
        <v>18.72511728</v>
      </c>
      <c r="AJ84" s="73">
        <f t="shared" si="42"/>
        <v>132.0487315</v>
      </c>
      <c r="AK84" s="11"/>
      <c r="AL84" s="51">
        <f t="shared" si="29"/>
        <v>10635.37714</v>
      </c>
      <c r="AM84" s="51" t="str">
        <f t="array" ref="AM84">XLOOKUP(D84,RUC!$B$3:$B$62,RUC!$M$3:$M$62)</f>
        <v>Richard Sapacayo</v>
      </c>
      <c r="AN84" s="131" t="s">
        <v>561</v>
      </c>
    </row>
    <row r="85" ht="15.0" customHeight="1">
      <c r="A85" s="116" t="s">
        <v>1780</v>
      </c>
      <c r="B85" s="56">
        <v>45829.0</v>
      </c>
      <c r="C85" s="56">
        <v>45826.0</v>
      </c>
      <c r="D85" s="57" t="s">
        <v>61</v>
      </c>
      <c r="E85" s="57">
        <f t="array" ref="E85">XLOOKUP(D85,RUC!$B$3:$B$110,RUC!$D$3:$D$110)</f>
        <v>20606526599</v>
      </c>
      <c r="G85" s="3">
        <v>100.0</v>
      </c>
      <c r="H85" s="57" t="s">
        <v>47</v>
      </c>
      <c r="I85" s="6">
        <v>7.97</v>
      </c>
      <c r="J85" s="6">
        <v>1.45</v>
      </c>
      <c r="K85" s="59">
        <f t="shared" si="31"/>
        <v>7.854435</v>
      </c>
      <c r="L85" s="60">
        <v>0.573</v>
      </c>
      <c r="M85" s="60">
        <v>0.539</v>
      </c>
      <c r="N85" s="62">
        <v>0.539</v>
      </c>
      <c r="O85" s="60">
        <f t="shared" si="51"/>
        <v>0.539</v>
      </c>
      <c r="P85" s="63">
        <v>90.0</v>
      </c>
      <c r="Q85" s="58">
        <v>96.51</v>
      </c>
      <c r="R85" s="65">
        <v>3391.5</v>
      </c>
      <c r="S85" s="66">
        <f t="shared" si="52"/>
        <v>140</v>
      </c>
      <c r="T85" s="67"/>
      <c r="U85" s="67">
        <f t="array" ref="U85">XLOOKUP(D85,RUC!$B$3:$B$110,RUC!$F$3:$F$110)</f>
        <v>120</v>
      </c>
      <c r="V85" s="67">
        <v>1.1023</v>
      </c>
      <c r="Y85" s="57">
        <f t="array" ref="Y85">XLOOKUP(D85,RUC!$B$3:$B$110,RUC!$G$3:$G$110)</f>
        <v>20</v>
      </c>
      <c r="Z85" s="69">
        <f t="array" ref="Z85">XLOOKUP(D85,RUC!$B$3:$B$110,RUC!$H$3:$H$110)</f>
        <v>30</v>
      </c>
      <c r="AA85" s="70">
        <f t="shared" si="34"/>
        <v>50</v>
      </c>
      <c r="AB85" s="71">
        <f t="shared" si="35"/>
        <v>1539.918226</v>
      </c>
      <c r="AC85" s="71">
        <f>+(S85-T85)*V85-'data 1'!$F$4</f>
        <v>74.322</v>
      </c>
      <c r="AD85" s="71">
        <f t="shared" si="36"/>
        <v>134.5186012</v>
      </c>
      <c r="AE85" s="71">
        <f t="shared" si="37"/>
        <v>-14.885</v>
      </c>
      <c r="AF85" s="71">
        <f t="shared" si="38"/>
        <v>118.3308447</v>
      </c>
      <c r="AG85" s="72">
        <f t="shared" si="50"/>
        <v>329.2864459</v>
      </c>
      <c r="AH85" s="52">
        <f t="shared" si="40"/>
        <v>148.91929</v>
      </c>
      <c r="AI85" s="73">
        <f t="shared" si="41"/>
        <v>47.85159317</v>
      </c>
      <c r="AJ85" s="73">
        <f t="shared" si="42"/>
        <v>130.6337199</v>
      </c>
      <c r="AK85" s="11"/>
      <c r="AL85" s="51">
        <f t="shared" si="29"/>
        <v>12095.18761</v>
      </c>
      <c r="AM85" s="51" t="str">
        <f t="array" ref="AM85">XLOOKUP(D85,RUC!$B$3:$B$62,RUC!$M$3:$M$62)</f>
        <v>Yuri Rospigliossi</v>
      </c>
      <c r="AN85" s="131" t="s">
        <v>561</v>
      </c>
    </row>
    <row r="86" ht="15.0" customHeight="1">
      <c r="A86" s="116" t="s">
        <v>1781</v>
      </c>
      <c r="B86" s="56">
        <v>45829.0</v>
      </c>
      <c r="C86" s="56">
        <v>45826.0</v>
      </c>
      <c r="D86" s="57" t="s">
        <v>61</v>
      </c>
      <c r="E86" s="57">
        <f t="array" ref="E86">XLOOKUP(D86,RUC!$B$3:$B$110,RUC!$D$3:$D$110)</f>
        <v>20606526599</v>
      </c>
      <c r="G86" s="3">
        <v>100.0</v>
      </c>
      <c r="H86" s="57" t="s">
        <v>47</v>
      </c>
      <c r="I86" s="6">
        <v>8.07</v>
      </c>
      <c r="J86" s="6">
        <v>1.25</v>
      </c>
      <c r="K86" s="59">
        <f t="shared" si="31"/>
        <v>7.969125</v>
      </c>
      <c r="L86" s="60">
        <v>0.205</v>
      </c>
      <c r="M86" s="60">
        <v>0.188</v>
      </c>
      <c r="N86" s="62">
        <v>0.188</v>
      </c>
      <c r="O86" s="60">
        <f t="shared" si="51"/>
        <v>0.188</v>
      </c>
      <c r="P86" s="63">
        <v>90.0</v>
      </c>
      <c r="Q86" s="58">
        <v>92.18</v>
      </c>
      <c r="R86" s="65">
        <v>3391.5</v>
      </c>
      <c r="S86" s="66">
        <f t="shared" si="52"/>
        <v>100</v>
      </c>
      <c r="T86" s="67"/>
      <c r="U86" s="67">
        <f t="array" ref="U86">XLOOKUP(D86,RUC!$B$3:$B$110,RUC!$F$3:$F$110)</f>
        <v>120</v>
      </c>
      <c r="V86" s="67">
        <v>1.1023</v>
      </c>
      <c r="Y86" s="57">
        <f t="array" ref="Y86">XLOOKUP(D86,RUC!$B$3:$B$110,RUC!$G$3:$G$110)</f>
        <v>20</v>
      </c>
      <c r="Z86" s="69">
        <f t="array" ref="Z86">XLOOKUP(D86,RUC!$B$3:$B$110,RUC!$H$3:$H$110)</f>
        <v>30</v>
      </c>
      <c r="AA86" s="70">
        <f t="shared" si="34"/>
        <v>50</v>
      </c>
      <c r="AB86" s="71">
        <f t="shared" si="35"/>
        <v>444.8197169</v>
      </c>
      <c r="AC86" s="71">
        <f>+(S86-T86)*V86-'data 1'!$F$4</f>
        <v>30.23</v>
      </c>
      <c r="AD86" s="71">
        <f t="shared" si="36"/>
        <v>16.11599362</v>
      </c>
      <c r="AE86" s="71">
        <f t="shared" si="37"/>
        <v>-14.885</v>
      </c>
      <c r="AF86" s="71">
        <f t="shared" si="38"/>
        <v>56.51091734</v>
      </c>
      <c r="AG86" s="72">
        <f t="shared" si="50"/>
        <v>104.971911</v>
      </c>
      <c r="AH86" s="52">
        <f t="shared" si="40"/>
        <v>51.63096867</v>
      </c>
      <c r="AI86" s="73">
        <f t="shared" si="41"/>
        <v>16.3515915</v>
      </c>
      <c r="AJ86" s="73">
        <f t="shared" si="42"/>
        <v>46.22959268</v>
      </c>
      <c r="AK86" s="11"/>
      <c r="AL86" s="51">
        <f t="shared" si="29"/>
        <v>3544.823927</v>
      </c>
      <c r="AM86" s="51" t="str">
        <f t="array" ref="AM86">XLOOKUP(D86,RUC!$B$3:$B$62,RUC!$M$3:$M$62)</f>
        <v>Yuri Rospigliossi</v>
      </c>
      <c r="AN86" s="131" t="s">
        <v>689</v>
      </c>
    </row>
    <row r="87" ht="15.0" customHeight="1">
      <c r="A87" s="116" t="s">
        <v>1782</v>
      </c>
      <c r="B87" s="56">
        <v>45829.0</v>
      </c>
      <c r="C87" s="56">
        <v>45826.0</v>
      </c>
      <c r="D87" s="57" t="s">
        <v>61</v>
      </c>
      <c r="E87" s="57">
        <f t="array" ref="E87">XLOOKUP(D87,RUC!$B$3:$B$110,RUC!$D$3:$D$110)</f>
        <v>20606526599</v>
      </c>
      <c r="G87" s="3">
        <v>100.0</v>
      </c>
      <c r="H87" s="57" t="s">
        <v>47</v>
      </c>
      <c r="I87" s="6">
        <v>8.05</v>
      </c>
      <c r="J87" s="6">
        <v>1.15</v>
      </c>
      <c r="K87" s="59">
        <f t="shared" si="31"/>
        <v>7.957425</v>
      </c>
      <c r="L87" s="60">
        <v>0.23</v>
      </c>
      <c r="M87" s="60">
        <v>0.213</v>
      </c>
      <c r="N87" s="75">
        <v>0.256</v>
      </c>
      <c r="O87" s="60">
        <f t="shared" si="51"/>
        <v>0.235</v>
      </c>
      <c r="P87" s="63">
        <v>90.0</v>
      </c>
      <c r="Q87" s="58">
        <v>97.39</v>
      </c>
      <c r="R87" s="65">
        <v>3391.5</v>
      </c>
      <c r="S87" s="66">
        <f t="shared" si="52"/>
        <v>110</v>
      </c>
      <c r="T87" s="67"/>
      <c r="U87" s="67">
        <f t="array" ref="U87">XLOOKUP(D87,RUC!$B$3:$B$110,RUC!$F$3:$F$110)</f>
        <v>120</v>
      </c>
      <c r="V87" s="67">
        <v>1.1023</v>
      </c>
      <c r="Y87" s="57">
        <f t="array" ref="Y87">XLOOKUP(D87,RUC!$B$3:$B$110,RUC!$G$3:$G$110)</f>
        <v>20</v>
      </c>
      <c r="Z87" s="69">
        <f t="array" ref="Z87">XLOOKUP(D87,RUC!$B$3:$B$110,RUC!$H$3:$H$110)</f>
        <v>30</v>
      </c>
      <c r="AA87" s="70">
        <f t="shared" si="34"/>
        <v>50</v>
      </c>
      <c r="AB87" s="71">
        <f t="shared" si="35"/>
        <v>586.3378962</v>
      </c>
      <c r="AC87" s="71">
        <f>+(S87-T87)*V87-'data 1'!$F$4</f>
        <v>41.253</v>
      </c>
      <c r="AD87" s="71">
        <f t="shared" si="36"/>
        <v>61.29414713</v>
      </c>
      <c r="AE87" s="71">
        <f t="shared" si="37"/>
        <v>-14.885</v>
      </c>
      <c r="AF87" s="71">
        <f t="shared" si="38"/>
        <v>-17.56026648</v>
      </c>
      <c r="AG87" s="72">
        <f t="shared" si="50"/>
        <v>87.10188064</v>
      </c>
      <c r="AH87" s="52">
        <f t="shared" si="40"/>
        <v>61.11162403</v>
      </c>
      <c r="AI87" s="73">
        <f t="shared" si="41"/>
        <v>19.38258361</v>
      </c>
      <c r="AJ87" s="73">
        <f t="shared" si="42"/>
        <v>57.70214995</v>
      </c>
      <c r="AK87" s="11"/>
      <c r="AL87" s="51">
        <f t="shared" si="29"/>
        <v>4665.739833</v>
      </c>
      <c r="AM87" s="51" t="str">
        <f t="array" ref="AM87">XLOOKUP(D87,RUC!$B$3:$B$62,RUC!$M$3:$M$62)</f>
        <v>Yuri Rospigliossi</v>
      </c>
      <c r="AN87" s="131" t="s">
        <v>561</v>
      </c>
    </row>
    <row r="88" ht="15.0" customHeight="1">
      <c r="A88" s="116" t="s">
        <v>1783</v>
      </c>
      <c r="B88" s="56">
        <v>45829.0</v>
      </c>
      <c r="C88" s="56">
        <v>45826.0</v>
      </c>
      <c r="D88" s="57" t="s">
        <v>61</v>
      </c>
      <c r="E88" s="57">
        <f t="array" ref="E88">XLOOKUP(D88,RUC!$B$3:$B$110,RUC!$D$3:$D$110)</f>
        <v>20606526599</v>
      </c>
      <c r="G88" s="3">
        <v>100.0</v>
      </c>
      <c r="H88" s="57" t="s">
        <v>47</v>
      </c>
      <c r="I88" s="6">
        <v>8.62</v>
      </c>
      <c r="J88" s="6">
        <v>1.3</v>
      </c>
      <c r="K88" s="59">
        <f t="shared" si="31"/>
        <v>8.50794</v>
      </c>
      <c r="L88" s="60">
        <v>0.357</v>
      </c>
      <c r="M88" s="60">
        <v>0.336</v>
      </c>
      <c r="N88" s="62">
        <v>0.371</v>
      </c>
      <c r="O88" s="60">
        <f t="shared" si="51"/>
        <v>0.354</v>
      </c>
      <c r="P88" s="63">
        <v>90.0</v>
      </c>
      <c r="Q88" s="58">
        <v>96.64</v>
      </c>
      <c r="R88" s="65">
        <v>3391.5</v>
      </c>
      <c r="S88" s="66">
        <f t="shared" si="52"/>
        <v>120</v>
      </c>
      <c r="T88" s="67"/>
      <c r="U88" s="67">
        <f t="array" ref="U88">XLOOKUP(D88,RUC!$B$3:$B$110,RUC!$F$3:$F$110)</f>
        <v>120</v>
      </c>
      <c r="V88" s="67">
        <v>1.1023</v>
      </c>
      <c r="Y88" s="57">
        <f t="array" ref="Y88">XLOOKUP(D88,RUC!$B$3:$B$110,RUC!$G$3:$G$110)</f>
        <v>20</v>
      </c>
      <c r="Z88" s="69">
        <f t="array" ref="Z88">XLOOKUP(D88,RUC!$B$3:$B$110,RUC!$H$3:$H$110)</f>
        <v>30</v>
      </c>
      <c r="AA88" s="70">
        <f t="shared" si="34"/>
        <v>50</v>
      </c>
      <c r="AB88" s="71">
        <f t="shared" si="35"/>
        <v>961.5361798</v>
      </c>
      <c r="AC88" s="71">
        <f>+(S88-T88)*V88-'data 1'!$F$4</f>
        <v>52.276</v>
      </c>
      <c r="AD88" s="71">
        <f t="shared" si="36"/>
        <v>85.4836441</v>
      </c>
      <c r="AE88" s="71">
        <f t="shared" si="37"/>
        <v>-14.885</v>
      </c>
      <c r="AF88" s="71">
        <f t="shared" si="38"/>
        <v>10.45502097</v>
      </c>
      <c r="AG88" s="72">
        <f t="shared" si="50"/>
        <v>150.3296651</v>
      </c>
      <c r="AH88" s="52">
        <f t="shared" si="40"/>
        <v>100.6372186</v>
      </c>
      <c r="AI88" s="73">
        <f t="shared" si="41"/>
        <v>29.8534551</v>
      </c>
      <c r="AJ88" s="73">
        <f t="shared" si="42"/>
        <v>92.93499058</v>
      </c>
      <c r="AK88" s="11"/>
      <c r="AL88" s="51">
        <f t="shared" si="29"/>
        <v>8180.692125</v>
      </c>
      <c r="AM88" s="51" t="str">
        <f t="array" ref="AM88">XLOOKUP(D88,RUC!$B$3:$B$62,RUC!$M$3:$M$62)</f>
        <v>Yuri Rospigliossi</v>
      </c>
      <c r="AN88" s="131" t="s">
        <v>549</v>
      </c>
    </row>
    <row r="89" ht="15.0" customHeight="1">
      <c r="A89" s="116" t="s">
        <v>1784</v>
      </c>
      <c r="B89" s="56">
        <v>45832.0</v>
      </c>
      <c r="C89" s="56">
        <v>45827.0</v>
      </c>
      <c r="D89" s="57" t="s">
        <v>146</v>
      </c>
      <c r="E89" s="57">
        <f t="array" ref="E89">XLOOKUP(D89,RUC!$B$3:$B$110,RUC!$D$3:$D$110)</f>
        <v>20517242919</v>
      </c>
      <c r="G89" s="3">
        <v>53.0</v>
      </c>
      <c r="H89" s="57" t="s">
        <v>47</v>
      </c>
      <c r="I89" s="6">
        <v>4.91</v>
      </c>
      <c r="J89" s="6">
        <v>3.9</v>
      </c>
      <c r="K89" s="59">
        <f t="shared" si="31"/>
        <v>4.71851</v>
      </c>
      <c r="L89" s="60">
        <v>0.31</v>
      </c>
      <c r="M89" s="60">
        <v>0.305</v>
      </c>
      <c r="N89" s="62">
        <v>0.305</v>
      </c>
      <c r="O89" s="60">
        <f t="shared" si="51"/>
        <v>0.305</v>
      </c>
      <c r="P89" s="63">
        <v>90.0</v>
      </c>
      <c r="Q89" s="58">
        <v>95.25</v>
      </c>
      <c r="R89" s="65">
        <v>3368.9</v>
      </c>
      <c r="S89" s="133">
        <v>110.0</v>
      </c>
      <c r="T89" s="67"/>
      <c r="U89" s="67">
        <f t="array" ref="U89">XLOOKUP(D89,RUC!$B$3:$B$110,RUC!$F$3:$F$110)</f>
        <v>80</v>
      </c>
      <c r="V89" s="67">
        <v>1.1023</v>
      </c>
      <c r="Y89" s="57" t="str">
        <f t="array" ref="Y89">XLOOKUP(D89,RUC!$B$3:$B$110,RUC!$G$3:$G$110)</f>
        <v/>
      </c>
      <c r="Z89" s="69">
        <f t="array" ref="Z89">XLOOKUP(D89,RUC!$B$3:$B$110,RUC!$H$3:$H$110)</f>
        <v>10</v>
      </c>
      <c r="AA89" s="70">
        <f t="shared" si="34"/>
        <v>10</v>
      </c>
      <c r="AB89" s="71">
        <f t="shared" si="35"/>
        <v>862.883802</v>
      </c>
      <c r="AC89" s="71">
        <f>+(S89-T89)*V89-'data 1'!$F$4</f>
        <v>41.253</v>
      </c>
      <c r="AD89" s="71">
        <f t="shared" si="36"/>
        <v>59.002644</v>
      </c>
      <c r="AE89" s="71">
        <f t="shared" si="37"/>
        <v>-58.977</v>
      </c>
      <c r="AF89" s="71">
        <f t="shared" si="38"/>
        <v>17.26575066</v>
      </c>
      <c r="AG89" s="72">
        <f t="shared" ref="AG89:AG96" si="54">AC89+AD89+AE89+AF89+70</f>
        <v>128.5443947</v>
      </c>
      <c r="AH89" s="52">
        <f t="shared" si="40"/>
        <v>47.76839256</v>
      </c>
      <c r="AI89" s="73">
        <f t="shared" si="41"/>
        <v>19.88692775</v>
      </c>
      <c r="AJ89" s="73">
        <f t="shared" si="42"/>
        <v>44.40749728</v>
      </c>
      <c r="AK89" s="11"/>
      <c r="AL89" s="51">
        <f t="shared" si="29"/>
        <v>4071.525849</v>
      </c>
      <c r="AM89" s="51" t="str">
        <f t="array" ref="AM89">XLOOKUP(D89,RUC!$B$3:$B$62,RUC!$M$3:$M$62)</f>
        <v>Melchor Vera</v>
      </c>
      <c r="AN89" s="131" t="s">
        <v>561</v>
      </c>
    </row>
    <row r="90" ht="15.0" customHeight="1">
      <c r="A90" s="116" t="s">
        <v>1785</v>
      </c>
      <c r="B90" s="56">
        <v>45832.0</v>
      </c>
      <c r="C90" s="56">
        <v>45827.0</v>
      </c>
      <c r="D90" s="57" t="s">
        <v>146</v>
      </c>
      <c r="E90" s="57">
        <f t="array" ref="E90">XLOOKUP(D90,RUC!$B$3:$B$110,RUC!$D$3:$D$110)</f>
        <v>20517242919</v>
      </c>
      <c r="G90" s="3">
        <v>36.0</v>
      </c>
      <c r="H90" s="57" t="s">
        <v>47</v>
      </c>
      <c r="I90" s="6">
        <v>3.34</v>
      </c>
      <c r="J90" s="6">
        <v>2.3</v>
      </c>
      <c r="K90" s="59">
        <f t="shared" si="31"/>
        <v>3.26318</v>
      </c>
      <c r="L90" s="60">
        <v>0.182</v>
      </c>
      <c r="M90" s="60">
        <v>0.179</v>
      </c>
      <c r="N90" s="62">
        <v>0.179</v>
      </c>
      <c r="O90" s="60">
        <f t="shared" si="51"/>
        <v>0.179</v>
      </c>
      <c r="P90" s="63">
        <v>90.0</v>
      </c>
      <c r="Q90" s="58">
        <v>92.08</v>
      </c>
      <c r="R90" s="65">
        <v>3368.9</v>
      </c>
      <c r="S90" s="133">
        <v>95.0</v>
      </c>
      <c r="T90" s="67"/>
      <c r="U90" s="67">
        <f t="array" ref="U90">XLOOKUP(D90,RUC!$B$3:$B$110,RUC!$F$3:$F$110)</f>
        <v>80</v>
      </c>
      <c r="V90" s="67">
        <v>1.1023</v>
      </c>
      <c r="Y90" s="57" t="str">
        <f t="array" ref="Y90">XLOOKUP(D90,RUC!$B$3:$B$110,RUC!$G$3:$G$110)</f>
        <v/>
      </c>
      <c r="Z90" s="69">
        <f t="array" ref="Z90">XLOOKUP(D90,RUC!$B$3:$B$110,RUC!$H$3:$H$110)</f>
        <v>10</v>
      </c>
      <c r="AA90" s="70">
        <f t="shared" si="34"/>
        <v>10</v>
      </c>
      <c r="AB90" s="71">
        <f t="shared" si="35"/>
        <v>468.3031051</v>
      </c>
      <c r="AC90" s="71">
        <f>+(S90-T90)*V90-'data 1'!$F$4</f>
        <v>24.7185</v>
      </c>
      <c r="AD90" s="71">
        <f t="shared" si="36"/>
        <v>13.72414188</v>
      </c>
      <c r="AE90" s="71">
        <f t="shared" si="37"/>
        <v>-58.977</v>
      </c>
      <c r="AF90" s="71">
        <f t="shared" si="38"/>
        <v>10.01467919</v>
      </c>
      <c r="AG90" s="72">
        <f t="shared" si="54"/>
        <v>59.48032107</v>
      </c>
      <c r="AH90" s="52">
        <f t="shared" si="40"/>
        <v>18.74937513</v>
      </c>
      <c r="AI90" s="73">
        <f t="shared" si="41"/>
        <v>11.28697898</v>
      </c>
      <c r="AJ90" s="73">
        <f t="shared" si="42"/>
        <v>18.02377014</v>
      </c>
      <c r="AK90" s="11"/>
      <c r="AL90" s="51">
        <f t="shared" si="29"/>
        <v>1528.157327</v>
      </c>
      <c r="AM90" s="51" t="str">
        <f t="array" ref="AM90">XLOOKUP(D90,RUC!$B$3:$B$62,RUC!$M$3:$M$62)</f>
        <v>Melchor Vera</v>
      </c>
      <c r="AN90" s="131" t="s">
        <v>689</v>
      </c>
    </row>
    <row r="91" ht="15.0" customHeight="1">
      <c r="A91" s="116" t="s">
        <v>1786</v>
      </c>
      <c r="B91" s="56">
        <v>45832.0</v>
      </c>
      <c r="C91" s="56">
        <v>45827.0</v>
      </c>
      <c r="D91" s="57" t="s">
        <v>146</v>
      </c>
      <c r="E91" s="57">
        <f t="array" ref="E91">XLOOKUP(D91,RUC!$B$3:$B$110,RUC!$D$3:$D$110)</f>
        <v>20517242919</v>
      </c>
      <c r="G91" s="3">
        <v>64.0</v>
      </c>
      <c r="H91" s="57" t="s">
        <v>47</v>
      </c>
      <c r="I91" s="6">
        <v>5.72</v>
      </c>
      <c r="J91" s="6">
        <v>2.2</v>
      </c>
      <c r="K91" s="59">
        <f t="shared" si="31"/>
        <v>5.59416</v>
      </c>
      <c r="L91" s="60">
        <v>0.206</v>
      </c>
      <c r="M91" s="60">
        <v>0.203</v>
      </c>
      <c r="N91" s="62">
        <v>0.203</v>
      </c>
      <c r="O91" s="60">
        <f t="shared" si="51"/>
        <v>0.203</v>
      </c>
      <c r="P91" s="63">
        <v>90.0</v>
      </c>
      <c r="Q91" s="58">
        <v>92.92</v>
      </c>
      <c r="R91" s="65">
        <v>3368.9</v>
      </c>
      <c r="S91" s="133">
        <v>105.0</v>
      </c>
      <c r="T91" s="67"/>
      <c r="U91" s="67">
        <f t="array" ref="U91">XLOOKUP(D91,RUC!$B$3:$B$110,RUC!$F$3:$F$110)</f>
        <v>80</v>
      </c>
      <c r="V91" s="67">
        <v>1.1023</v>
      </c>
      <c r="Y91" s="57" t="str">
        <f t="array" ref="Y91">XLOOKUP(D91,RUC!$B$3:$B$110,RUC!$G$3:$G$110)</f>
        <v/>
      </c>
      <c r="Z91" s="69">
        <f t="array" ref="Z91">XLOOKUP(D91,RUC!$B$3:$B$110,RUC!$H$3:$H$110)</f>
        <v>10</v>
      </c>
      <c r="AA91" s="70">
        <f t="shared" si="34"/>
        <v>10</v>
      </c>
      <c r="AB91" s="71">
        <f t="shared" si="35"/>
        <v>535.5877617</v>
      </c>
      <c r="AC91" s="71">
        <f>+(S91-T91)*V91-'data 1'!$F$4</f>
        <v>35.7415</v>
      </c>
      <c r="AD91" s="71">
        <f t="shared" si="36"/>
        <v>21.80723221</v>
      </c>
      <c r="AE91" s="71">
        <f t="shared" si="37"/>
        <v>-58.977</v>
      </c>
      <c r="AF91" s="71">
        <f t="shared" si="38"/>
        <v>10.10603812</v>
      </c>
      <c r="AG91" s="72">
        <f t="shared" si="54"/>
        <v>78.67777033</v>
      </c>
      <c r="AH91" s="52">
        <f t="shared" si="40"/>
        <v>36.71304227</v>
      </c>
      <c r="AI91" s="73">
        <f t="shared" si="41"/>
        <v>12.89191517</v>
      </c>
      <c r="AJ91" s="73">
        <f t="shared" si="42"/>
        <v>35.04148481</v>
      </c>
      <c r="AK91" s="11"/>
      <c r="AL91" s="51">
        <f t="shared" si="29"/>
        <v>2996.163633</v>
      </c>
      <c r="AM91" s="51" t="str">
        <f t="array" ref="AM91">XLOOKUP(D91,RUC!$B$3:$B$62,RUC!$M$3:$M$62)</f>
        <v>Melchor Vera</v>
      </c>
      <c r="AN91" s="131" t="s">
        <v>689</v>
      </c>
    </row>
    <row r="92" ht="15.0" customHeight="1">
      <c r="A92" s="116" t="s">
        <v>1787</v>
      </c>
      <c r="B92" s="56">
        <v>45832.0</v>
      </c>
      <c r="C92" s="56">
        <v>45827.0</v>
      </c>
      <c r="D92" s="57" t="s">
        <v>146</v>
      </c>
      <c r="E92" s="57">
        <f t="array" ref="E92">XLOOKUP(D92,RUC!$B$3:$B$110,RUC!$D$3:$D$110)</f>
        <v>20517242919</v>
      </c>
      <c r="G92" s="3">
        <v>63.0</v>
      </c>
      <c r="H92" s="57" t="s">
        <v>47</v>
      </c>
      <c r="I92" s="6">
        <v>5.61</v>
      </c>
      <c r="J92" s="6">
        <v>1.85</v>
      </c>
      <c r="K92" s="59">
        <f t="shared" si="31"/>
        <v>5.506215</v>
      </c>
      <c r="L92" s="60">
        <v>0.183</v>
      </c>
      <c r="M92" s="60">
        <v>0.18</v>
      </c>
      <c r="N92" s="62">
        <v>0.18</v>
      </c>
      <c r="O92" s="60">
        <f t="shared" si="51"/>
        <v>0.18</v>
      </c>
      <c r="P92" s="63">
        <v>90.0</v>
      </c>
      <c r="Q92" s="58">
        <v>92.04</v>
      </c>
      <c r="R92" s="65">
        <v>3368.9</v>
      </c>
      <c r="S92" s="133">
        <v>95.0</v>
      </c>
      <c r="T92" s="67"/>
      <c r="U92" s="67">
        <f t="array" ref="U92">XLOOKUP(D92,RUC!$B$3:$B$110,RUC!$F$3:$F$110)</f>
        <v>80</v>
      </c>
      <c r="V92" s="67">
        <v>1.1023</v>
      </c>
      <c r="Y92" s="57" t="str">
        <f t="array" ref="Y92">XLOOKUP(D92,RUC!$B$3:$B$110,RUC!$G$3:$G$110)</f>
        <v/>
      </c>
      <c r="Z92" s="69">
        <f t="array" ref="Z92">XLOOKUP(D92,RUC!$B$3:$B$110,RUC!$H$3:$H$110)</f>
        <v>10</v>
      </c>
      <c r="AA92" s="70">
        <f t="shared" si="34"/>
        <v>10</v>
      </c>
      <c r="AB92" s="71">
        <f t="shared" si="35"/>
        <v>471.5659241</v>
      </c>
      <c r="AC92" s="71">
        <f>+(S92-T92)*V92-'data 1'!$F$4</f>
        <v>24.7185</v>
      </c>
      <c r="AD92" s="71">
        <f t="shared" si="36"/>
        <v>13.53417331</v>
      </c>
      <c r="AE92" s="71">
        <f t="shared" si="37"/>
        <v>-58.977</v>
      </c>
      <c r="AF92" s="71">
        <f t="shared" si="38"/>
        <v>10.01032876</v>
      </c>
      <c r="AG92" s="72">
        <f t="shared" si="54"/>
        <v>59.28600207</v>
      </c>
      <c r="AH92" s="52">
        <f t="shared" si="40"/>
        <v>31.79727729</v>
      </c>
      <c r="AI92" s="73">
        <f t="shared" si="41"/>
        <v>11.34406529</v>
      </c>
      <c r="AJ92" s="73">
        <f t="shared" si="42"/>
        <v>30.58280031</v>
      </c>
      <c r="AK92" s="11"/>
      <c r="AL92" s="51">
        <f t="shared" si="29"/>
        <v>2596.543365</v>
      </c>
      <c r="AM92" s="51" t="str">
        <f t="array" ref="AM92">XLOOKUP(D92,RUC!$B$3:$B$62,RUC!$M$3:$M$62)</f>
        <v>Melchor Vera</v>
      </c>
      <c r="AN92" s="131" t="s">
        <v>689</v>
      </c>
    </row>
    <row r="93" ht="15.0" customHeight="1">
      <c r="A93" s="116" t="s">
        <v>1788</v>
      </c>
      <c r="B93" s="56">
        <v>45832.0</v>
      </c>
      <c r="C93" s="56">
        <v>45827.0</v>
      </c>
      <c r="D93" s="57" t="s">
        <v>146</v>
      </c>
      <c r="E93" s="57">
        <f t="array" ref="E93">XLOOKUP(D93,RUC!$B$3:$B$110,RUC!$D$3:$D$110)</f>
        <v>20517242919</v>
      </c>
      <c r="G93" s="3">
        <v>60.0</v>
      </c>
      <c r="H93" s="57" t="s">
        <v>47</v>
      </c>
      <c r="I93" s="6">
        <v>5.98</v>
      </c>
      <c r="J93" s="6">
        <v>1.65</v>
      </c>
      <c r="K93" s="59">
        <f t="shared" si="31"/>
        <v>5.88133</v>
      </c>
      <c r="L93" s="60">
        <v>0.227</v>
      </c>
      <c r="M93" s="60">
        <v>0.224</v>
      </c>
      <c r="N93" s="62">
        <v>0.224</v>
      </c>
      <c r="O93" s="60">
        <f t="shared" si="51"/>
        <v>0.224</v>
      </c>
      <c r="P93" s="63">
        <v>90.0</v>
      </c>
      <c r="Q93" s="58">
        <v>90.31</v>
      </c>
      <c r="R93" s="65">
        <v>3368.9</v>
      </c>
      <c r="S93" s="133">
        <v>105.0</v>
      </c>
      <c r="T93" s="67"/>
      <c r="U93" s="67">
        <f t="array" ref="U93">XLOOKUP(D93,RUC!$B$3:$B$110,RUC!$F$3:$F$110)</f>
        <v>80</v>
      </c>
      <c r="V93" s="67">
        <v>1.1023</v>
      </c>
      <c r="Y93" s="57" t="str">
        <f t="array" ref="Y93">XLOOKUP(D93,RUC!$B$3:$B$110,RUC!$G$3:$G$110)</f>
        <v/>
      </c>
      <c r="Z93" s="69">
        <f t="array" ref="Z93">XLOOKUP(D93,RUC!$B$3:$B$110,RUC!$H$3:$H$110)</f>
        <v>10</v>
      </c>
      <c r="AA93" s="70">
        <f t="shared" si="34"/>
        <v>10</v>
      </c>
      <c r="AB93" s="71">
        <f t="shared" si="35"/>
        <v>604.1069612</v>
      </c>
      <c r="AC93" s="71">
        <f>+(S93-T93)*V93-'data 1'!$F$4</f>
        <v>35.7415</v>
      </c>
      <c r="AD93" s="71">
        <f t="shared" si="36"/>
        <v>2.551161941</v>
      </c>
      <c r="AE93" s="71">
        <f t="shared" si="37"/>
        <v>-58.977</v>
      </c>
      <c r="AF93" s="71">
        <f t="shared" si="38"/>
        <v>9.822172866</v>
      </c>
      <c r="AG93" s="72">
        <f t="shared" si="54"/>
        <v>59.13783481</v>
      </c>
      <c r="AH93" s="52">
        <f t="shared" si="40"/>
        <v>41.33770075</v>
      </c>
      <c r="AI93" s="73">
        <f t="shared" si="41"/>
        <v>13.80710785</v>
      </c>
      <c r="AJ93" s="73">
        <f t="shared" si="42"/>
        <v>40.65136615</v>
      </c>
      <c r="AK93" s="11"/>
      <c r="AL93" s="51">
        <f t="shared" si="29"/>
        <v>3552.952394</v>
      </c>
      <c r="AM93" s="51" t="str">
        <f t="array" ref="AM93">XLOOKUP(D93,RUC!$B$3:$B$62,RUC!$M$3:$M$62)</f>
        <v>Melchor Vera</v>
      </c>
      <c r="AN93" s="131" t="s">
        <v>689</v>
      </c>
    </row>
    <row r="94" ht="15.0" customHeight="1">
      <c r="A94" s="116" t="s">
        <v>1789</v>
      </c>
      <c r="B94" s="56">
        <v>45832.0</v>
      </c>
      <c r="C94" s="56">
        <v>45827.0</v>
      </c>
      <c r="D94" s="57" t="s">
        <v>146</v>
      </c>
      <c r="E94" s="57">
        <f t="array" ref="E94">XLOOKUP(D94,RUC!$B$3:$B$110,RUC!$D$3:$D$110)</f>
        <v>20517242919</v>
      </c>
      <c r="G94" s="3">
        <v>37.0</v>
      </c>
      <c r="H94" s="57" t="s">
        <v>47</v>
      </c>
      <c r="I94" s="6">
        <v>3.16</v>
      </c>
      <c r="J94" s="6">
        <v>1.8</v>
      </c>
      <c r="K94" s="59">
        <f t="shared" si="31"/>
        <v>3.10312</v>
      </c>
      <c r="L94" s="60">
        <v>0.168</v>
      </c>
      <c r="M94" s="60">
        <v>0.165</v>
      </c>
      <c r="N94" s="62">
        <v>0.165</v>
      </c>
      <c r="O94" s="60">
        <f t="shared" si="51"/>
        <v>0.165</v>
      </c>
      <c r="P94" s="63">
        <v>90.0</v>
      </c>
      <c r="Q94" s="58">
        <v>98.21</v>
      </c>
      <c r="R94" s="65">
        <v>3368.9</v>
      </c>
      <c r="S94" s="133">
        <v>95.0</v>
      </c>
      <c r="T94" s="67"/>
      <c r="U94" s="67">
        <f t="array" ref="U94">XLOOKUP(D94,RUC!$B$3:$B$110,RUC!$F$3:$F$110)</f>
        <v>80</v>
      </c>
      <c r="V94" s="67">
        <v>1.1023</v>
      </c>
      <c r="Y94" s="57" t="str">
        <f t="array" ref="Y94">XLOOKUP(D94,RUC!$B$3:$B$110,RUC!$G$3:$G$110)</f>
        <v/>
      </c>
      <c r="Z94" s="69">
        <f t="array" ref="Z94">XLOOKUP(D94,RUC!$B$3:$B$110,RUC!$H$3:$H$110)</f>
        <v>10</v>
      </c>
      <c r="AA94" s="70">
        <f t="shared" si="34"/>
        <v>10</v>
      </c>
      <c r="AB94" s="71">
        <f t="shared" si="35"/>
        <v>422.6236388</v>
      </c>
      <c r="AC94" s="71">
        <f>+(S94-T94)*V94-'data 1'!$F$4</f>
        <v>24.7185</v>
      </c>
      <c r="AD94" s="71">
        <f t="shared" si="36"/>
        <v>50.00378913</v>
      </c>
      <c r="AE94" s="71">
        <f t="shared" si="37"/>
        <v>-58.977</v>
      </c>
      <c r="AF94" s="71">
        <f t="shared" si="38"/>
        <v>10.68138187</v>
      </c>
      <c r="AG94" s="72">
        <f t="shared" si="54"/>
        <v>96.42667101</v>
      </c>
      <c r="AH94" s="52">
        <f t="shared" si="40"/>
        <v>17.55386009</v>
      </c>
      <c r="AI94" s="73">
        <f t="shared" si="41"/>
        <v>11.11235253</v>
      </c>
      <c r="AJ94" s="73">
        <f t="shared" si="42"/>
        <v>15.79916349</v>
      </c>
      <c r="AK94" s="11"/>
      <c r="AL94" s="51">
        <f t="shared" si="29"/>
        <v>1311.451866</v>
      </c>
      <c r="AM94" s="51" t="str">
        <f t="array" ref="AM94">XLOOKUP(D94,RUC!$B$3:$B$62,RUC!$M$3:$M$62)</f>
        <v>Melchor Vera</v>
      </c>
      <c r="AN94" s="131" t="s">
        <v>689</v>
      </c>
    </row>
    <row r="95" ht="15.0" customHeight="1">
      <c r="A95" s="116" t="s">
        <v>1790</v>
      </c>
      <c r="B95" s="56">
        <v>45832.0</v>
      </c>
      <c r="C95" s="56">
        <v>45827.0</v>
      </c>
      <c r="D95" s="57" t="s">
        <v>146</v>
      </c>
      <c r="E95" s="57">
        <f t="array" ref="E95">XLOOKUP(D95,RUC!$B$3:$B$110,RUC!$D$3:$D$110)</f>
        <v>20517242919</v>
      </c>
      <c r="G95" s="3">
        <v>43.0</v>
      </c>
      <c r="H95" s="57" t="s">
        <v>47</v>
      </c>
      <c r="I95" s="6">
        <v>4.19</v>
      </c>
      <c r="J95" s="6">
        <v>1.35</v>
      </c>
      <c r="K95" s="59">
        <f t="shared" si="31"/>
        <v>4.133435</v>
      </c>
      <c r="L95" s="60">
        <v>0.205</v>
      </c>
      <c r="M95" s="60">
        <v>0.201</v>
      </c>
      <c r="N95" s="62">
        <v>0.201</v>
      </c>
      <c r="O95" s="60">
        <f t="shared" si="51"/>
        <v>0.201</v>
      </c>
      <c r="P95" s="63">
        <v>90.0</v>
      </c>
      <c r="Q95" s="58">
        <v>91.09</v>
      </c>
      <c r="R95" s="65">
        <v>3368.9</v>
      </c>
      <c r="S95" s="133">
        <v>105.0</v>
      </c>
      <c r="T95" s="67"/>
      <c r="U95" s="67">
        <f t="array" ref="U95">XLOOKUP(D95,RUC!$B$3:$B$110,RUC!$F$3:$F$110)</f>
        <v>80</v>
      </c>
      <c r="V95" s="67">
        <v>1.1023</v>
      </c>
      <c r="Y95" s="57" t="str">
        <f t="array" ref="Y95">XLOOKUP(D95,RUC!$B$3:$B$110,RUC!$G$3:$G$110)</f>
        <v/>
      </c>
      <c r="Z95" s="69">
        <f t="array" ref="Z95">XLOOKUP(D95,RUC!$B$3:$B$110,RUC!$H$3:$H$110)</f>
        <v>10</v>
      </c>
      <c r="AA95" s="70">
        <f t="shared" si="34"/>
        <v>10</v>
      </c>
      <c r="AB95" s="71">
        <f t="shared" si="35"/>
        <v>529.0621236</v>
      </c>
      <c r="AC95" s="71">
        <f>+(S95-T95)*V95-'data 1'!$F$4</f>
        <v>35.7415</v>
      </c>
      <c r="AD95" s="71">
        <f t="shared" si="36"/>
        <v>8.100854563</v>
      </c>
      <c r="AE95" s="71">
        <f t="shared" si="37"/>
        <v>-58.977</v>
      </c>
      <c r="AF95" s="71">
        <f t="shared" si="38"/>
        <v>13.20934155</v>
      </c>
      <c r="AG95" s="72">
        <f t="shared" si="54"/>
        <v>68.07469611</v>
      </c>
      <c r="AH95" s="52">
        <f t="shared" si="40"/>
        <v>26.46334538</v>
      </c>
      <c r="AI95" s="73">
        <f t="shared" si="41"/>
        <v>12.57666754</v>
      </c>
      <c r="AJ95" s="73">
        <f t="shared" si="42"/>
        <v>25.63650091</v>
      </c>
      <c r="AK95" s="11"/>
      <c r="AL95" s="51">
        <f t="shared" si="29"/>
        <v>2186.843899</v>
      </c>
      <c r="AM95" s="51" t="str">
        <f t="array" ref="AM95">XLOOKUP(D95,RUC!$B$3:$B$62,RUC!$M$3:$M$62)</f>
        <v>Melchor Vera</v>
      </c>
      <c r="AN95" s="131" t="s">
        <v>689</v>
      </c>
    </row>
    <row r="96" ht="15.0" customHeight="1">
      <c r="A96" s="116" t="s">
        <v>1791</v>
      </c>
      <c r="B96" s="56">
        <v>45832.0</v>
      </c>
      <c r="C96" s="56">
        <v>45827.0</v>
      </c>
      <c r="D96" s="57" t="s">
        <v>146</v>
      </c>
      <c r="E96" s="57">
        <f t="array" ref="E96">XLOOKUP(D96,RUC!$B$3:$B$110,RUC!$D$3:$D$110)</f>
        <v>20517242919</v>
      </c>
      <c r="G96" s="3">
        <v>65.0</v>
      </c>
      <c r="H96" s="57" t="s">
        <v>47</v>
      </c>
      <c r="I96" s="6">
        <v>6.04</v>
      </c>
      <c r="J96" s="6">
        <v>2.15</v>
      </c>
      <c r="K96" s="59">
        <f t="shared" si="31"/>
        <v>5.91014</v>
      </c>
      <c r="L96" s="60">
        <v>0.224</v>
      </c>
      <c r="M96" s="60">
        <v>0.221</v>
      </c>
      <c r="N96" s="62">
        <v>0.201</v>
      </c>
      <c r="O96" s="60">
        <f t="shared" si="51"/>
        <v>0.211</v>
      </c>
      <c r="P96" s="63">
        <v>90.0</v>
      </c>
      <c r="Q96" s="58">
        <v>95.98</v>
      </c>
      <c r="R96" s="65">
        <v>3368.9</v>
      </c>
      <c r="S96" s="133">
        <v>105.0</v>
      </c>
      <c r="T96" s="67"/>
      <c r="U96" s="67">
        <f t="array" ref="U96">XLOOKUP(D96,RUC!$B$3:$B$110,RUC!$F$3:$F$110)</f>
        <v>80</v>
      </c>
      <c r="V96" s="67">
        <v>1.1023</v>
      </c>
      <c r="Y96" s="57" t="str">
        <f t="array" ref="Y96">XLOOKUP(D96,RUC!$B$3:$B$110,RUC!$G$3:$G$110)</f>
        <v/>
      </c>
      <c r="Z96" s="69">
        <f t="array" ref="Z96">XLOOKUP(D96,RUC!$B$3:$B$110,RUC!$H$3:$H$110)</f>
        <v>10</v>
      </c>
      <c r="AA96" s="70">
        <f t="shared" si="34"/>
        <v>10</v>
      </c>
      <c r="AB96" s="71">
        <f t="shared" si="35"/>
        <v>561.6903139</v>
      </c>
      <c r="AC96" s="71">
        <f>+(S96-T96)*V96-'data 1'!$F$4</f>
        <v>35.7415</v>
      </c>
      <c r="AD96" s="71">
        <f t="shared" si="36"/>
        <v>48.5623482</v>
      </c>
      <c r="AE96" s="71">
        <f t="shared" si="37"/>
        <v>-58.977</v>
      </c>
      <c r="AF96" s="71">
        <f t="shared" si="38"/>
        <v>45.23499786</v>
      </c>
      <c r="AG96" s="72">
        <f t="shared" si="54"/>
        <v>140.5618461</v>
      </c>
      <c r="AH96" s="52">
        <f t="shared" si="40"/>
        <v>43.56478768</v>
      </c>
      <c r="AI96" s="73">
        <f t="shared" si="41"/>
        <v>14.48004067</v>
      </c>
      <c r="AJ96" s="73">
        <f t="shared" si="42"/>
        <v>38.47971109</v>
      </c>
      <c r="AK96" s="11"/>
      <c r="AL96" s="51">
        <f t="shared" si="29"/>
        <v>3319.668392</v>
      </c>
      <c r="AM96" s="51" t="str">
        <f t="array" ref="AM96">XLOOKUP(D96,RUC!$B$3:$B$62,RUC!$M$3:$M$62)</f>
        <v>Melchor Vera</v>
      </c>
      <c r="AN96" s="131" t="s">
        <v>689</v>
      </c>
    </row>
    <row r="97" ht="15.0" customHeight="1">
      <c r="A97" s="116" t="s">
        <v>1792</v>
      </c>
      <c r="B97" s="56">
        <v>45832.0</v>
      </c>
      <c r="C97" s="56">
        <v>45828.0</v>
      </c>
      <c r="D97" s="57" t="s">
        <v>306</v>
      </c>
      <c r="E97" s="57">
        <f t="array" ref="E97">XLOOKUP(D97,RUC!$B$3:$B$110,RUC!$D$3:$D$110)</f>
        <v>20612921866</v>
      </c>
      <c r="G97" s="3">
        <v>67.0</v>
      </c>
      <c r="H97" s="57" t="s">
        <v>47</v>
      </c>
      <c r="I97" s="58">
        <v>6.98</v>
      </c>
      <c r="J97" s="58">
        <v>2.25</v>
      </c>
      <c r="K97" s="59">
        <f t="shared" si="31"/>
        <v>6.82295</v>
      </c>
      <c r="L97" s="60">
        <v>0.202</v>
      </c>
      <c r="M97" s="60">
        <v>0.186</v>
      </c>
      <c r="N97" s="62">
        <v>0.186</v>
      </c>
      <c r="O97" s="60">
        <f t="shared" si="51"/>
        <v>0.186</v>
      </c>
      <c r="P97" s="63">
        <v>90.0</v>
      </c>
      <c r="Q97" s="58">
        <v>97.0</v>
      </c>
      <c r="R97" s="65">
        <v>3368.25</v>
      </c>
      <c r="S97" s="66">
        <f t="shared" ref="S97:S108" si="55">IF((90+ROUNDDOWN(O97,1)*100)&lt;95,95,(90+ROUNDDOWN(O97,1)*100))</f>
        <v>100</v>
      </c>
      <c r="T97" s="67"/>
      <c r="U97" s="67">
        <f t="array" ref="U97">XLOOKUP(D97,RUC!$B$3:$B$110,RUC!$F$3:$F$110)</f>
        <v>100</v>
      </c>
      <c r="V97" s="67">
        <v>1.1023</v>
      </c>
      <c r="Y97" s="57" t="str">
        <f t="array" ref="Y97">XLOOKUP(D97,RUC!$B$3:$B$110,RUC!$G$3:$G$110)</f>
        <v/>
      </c>
      <c r="Z97" s="69">
        <f t="array" ref="Z97">XLOOKUP(D97,RUC!$B$3:$B$110,RUC!$H$3:$H$110)</f>
        <v>30</v>
      </c>
      <c r="AA97" s="70">
        <f t="shared" si="34"/>
        <v>30</v>
      </c>
      <c r="AB97" s="71">
        <f t="shared" si="35"/>
        <v>459.7748966</v>
      </c>
      <c r="AC97" s="71">
        <f>+(S97-T97)*V97-'data 1'!$F$4</f>
        <v>30.23</v>
      </c>
      <c r="AD97" s="71">
        <f t="shared" si="36"/>
        <v>50.94065053</v>
      </c>
      <c r="AE97" s="71">
        <f t="shared" si="37"/>
        <v>-36.931</v>
      </c>
      <c r="AF97" s="71">
        <f t="shared" si="38"/>
        <v>55.91222745</v>
      </c>
      <c r="AG97" s="72">
        <f t="shared" ref="AG97:AG98" si="56">AC97+AD97+AE97+AF97+70-10</f>
        <v>160.151878</v>
      </c>
      <c r="AH97" s="52">
        <f t="shared" si="40"/>
        <v>45.83575208</v>
      </c>
      <c r="AI97" s="73">
        <f t="shared" si="41"/>
        <v>17.65674612</v>
      </c>
      <c r="AJ97" s="73">
        <f t="shared" si="42"/>
        <v>39.15946156</v>
      </c>
      <c r="AK97" s="11"/>
      <c r="AL97" s="51">
        <f t="shared" si="29"/>
        <v>3137.021131</v>
      </c>
      <c r="AM97" s="51" t="str">
        <f t="array" ref="AM97">XLOOKUP(D97,RUC!$B$3:$B$62,RUC!$M$3:$M$62)</f>
        <v>Ronald Garibay</v>
      </c>
      <c r="AN97" s="131" t="s">
        <v>689</v>
      </c>
    </row>
    <row r="98" ht="15.0" customHeight="1">
      <c r="A98" s="116" t="s">
        <v>1793</v>
      </c>
      <c r="B98" s="56">
        <v>45832.0</v>
      </c>
      <c r="C98" s="56">
        <v>45828.0</v>
      </c>
      <c r="D98" s="57" t="s">
        <v>306</v>
      </c>
      <c r="E98" s="57">
        <f t="array" ref="E98">XLOOKUP(D98,RUC!$B$3:$B$110,RUC!$D$3:$D$110)</f>
        <v>20612921866</v>
      </c>
      <c r="G98" s="3">
        <v>68.0</v>
      </c>
      <c r="H98" s="57" t="s">
        <v>47</v>
      </c>
      <c r="I98" s="58">
        <v>7.16</v>
      </c>
      <c r="J98" s="58">
        <v>1.6</v>
      </c>
      <c r="K98" s="59">
        <f t="shared" si="31"/>
        <v>7.04544</v>
      </c>
      <c r="L98" s="60">
        <v>0.175</v>
      </c>
      <c r="M98" s="60">
        <v>0.159</v>
      </c>
      <c r="N98" s="62">
        <v>0.159</v>
      </c>
      <c r="O98" s="60">
        <f t="shared" si="51"/>
        <v>0.159</v>
      </c>
      <c r="P98" s="63">
        <v>90.0</v>
      </c>
      <c r="Q98" s="58">
        <v>89.71</v>
      </c>
      <c r="R98" s="65">
        <v>3368.25</v>
      </c>
      <c r="S98" s="66">
        <f t="shared" si="55"/>
        <v>100</v>
      </c>
      <c r="T98" s="67"/>
      <c r="U98" s="67">
        <f t="array" ref="U98">XLOOKUP(D98,RUC!$B$3:$B$110,RUC!$F$3:$F$110)</f>
        <v>100</v>
      </c>
      <c r="V98" s="67">
        <v>1.1023</v>
      </c>
      <c r="Y98" s="57" t="str">
        <f t="array" ref="Y98">XLOOKUP(D98,RUC!$B$3:$B$110,RUC!$G$3:$G$110)</f>
        <v/>
      </c>
      <c r="Z98" s="69">
        <f t="array" ref="Z98">XLOOKUP(D98,RUC!$B$3:$B$110,RUC!$H$3:$H$110)</f>
        <v>30</v>
      </c>
      <c r="AA98" s="70">
        <f t="shared" si="34"/>
        <v>30</v>
      </c>
      <c r="AB98" s="71">
        <f t="shared" si="35"/>
        <v>372.2319116</v>
      </c>
      <c r="AC98" s="71">
        <f>+(S98-T98)*V98-'data 1'!$F$4</f>
        <v>30.23</v>
      </c>
      <c r="AD98" s="71">
        <f t="shared" si="36"/>
        <v>-1.828315427</v>
      </c>
      <c r="AE98" s="71">
        <f t="shared" si="37"/>
        <v>-36.931</v>
      </c>
      <c r="AF98" s="71">
        <f t="shared" si="38"/>
        <v>51.71016417</v>
      </c>
      <c r="AG98" s="72">
        <f t="shared" si="56"/>
        <v>103.1808487</v>
      </c>
      <c r="AH98" s="52">
        <f t="shared" si="40"/>
        <v>37.9224245</v>
      </c>
      <c r="AI98" s="73">
        <f t="shared" si="41"/>
        <v>14.14706908</v>
      </c>
      <c r="AJ98" s="73">
        <f t="shared" si="42"/>
        <v>34.56661271</v>
      </c>
      <c r="AK98" s="11"/>
      <c r="AL98" s="51">
        <f t="shared" si="29"/>
        <v>2622.537599</v>
      </c>
      <c r="AM98" s="51" t="str">
        <f t="array" ref="AM98">XLOOKUP(D98,RUC!$B$3:$B$62,RUC!$M$3:$M$62)</f>
        <v>Ronald Garibay</v>
      </c>
      <c r="AN98" s="131" t="s">
        <v>689</v>
      </c>
    </row>
    <row r="99" ht="15.0" customHeight="1">
      <c r="A99" s="116" t="s">
        <v>1794</v>
      </c>
      <c r="B99" s="56">
        <v>45833.0</v>
      </c>
      <c r="C99" s="56">
        <v>45828.0</v>
      </c>
      <c r="D99" s="57" t="s">
        <v>295</v>
      </c>
      <c r="E99" s="57">
        <f t="array" ref="E99">XLOOKUP(D99,RUC!$B$3:$B$110,RUC!$D$3:$D$110)</f>
        <v>20601769396</v>
      </c>
      <c r="G99" s="3">
        <v>62.0</v>
      </c>
      <c r="H99" s="57" t="s">
        <v>40</v>
      </c>
      <c r="I99" s="58">
        <v>5.69</v>
      </c>
      <c r="J99" s="58">
        <v>5.95</v>
      </c>
      <c r="K99" s="59">
        <f t="shared" si="31"/>
        <v>5.351445</v>
      </c>
      <c r="L99" s="60">
        <v>0.277</v>
      </c>
      <c r="M99" s="60">
        <v>0.26</v>
      </c>
      <c r="N99" s="62">
        <v>0.26</v>
      </c>
      <c r="O99" s="60">
        <f t="shared" si="51"/>
        <v>0.26</v>
      </c>
      <c r="P99" s="63">
        <v>88.0</v>
      </c>
      <c r="Q99" s="58">
        <v>89.47</v>
      </c>
      <c r="R99" s="65">
        <v>3368.25</v>
      </c>
      <c r="S99" s="66">
        <f t="shared" si="55"/>
        <v>110</v>
      </c>
      <c r="T99" s="67"/>
      <c r="U99" s="67">
        <f t="array" ref="U99">XLOOKUP(D99,RUC!$B$3:$B$110,RUC!$F$3:$F$110)</f>
        <v>120</v>
      </c>
      <c r="V99" s="67">
        <v>1.1023</v>
      </c>
      <c r="Y99" s="57">
        <f t="array" ref="Y99">XLOOKUP(D99,RUC!$B$3:$B$110,RUC!$G$3:$G$110)</f>
        <v>20</v>
      </c>
      <c r="Z99" s="69">
        <f t="array" ref="Z99">XLOOKUP(D99,RUC!$B$3:$B$110,RUC!$H$3:$H$110)</f>
        <v>30</v>
      </c>
      <c r="AA99" s="70">
        <f t="shared" si="34"/>
        <v>50</v>
      </c>
      <c r="AB99" s="71">
        <f t="shared" si="35"/>
        <v>642.8609191</v>
      </c>
      <c r="AC99" s="71">
        <f>+(S99-T99)*V99-'data 1'!$F$4</f>
        <v>41.253</v>
      </c>
      <c r="AD99" s="71">
        <f t="shared" si="36"/>
        <v>14.57962516</v>
      </c>
      <c r="AE99" s="71">
        <f t="shared" si="37"/>
        <v>-14.885</v>
      </c>
      <c r="AF99" s="71">
        <f t="shared" si="38"/>
        <v>54.45974623</v>
      </c>
      <c r="AG99" s="72">
        <f t="shared" ref="AG99:AG108" si="57">+IF(D99="RONALD WILLIAN GARIBAY ESCUDERO",AC99+AD99+AE99+AF99+70,AC99+AD99+AE99+AF99)+70-53</f>
        <v>112.4073714</v>
      </c>
      <c r="AH99" s="52">
        <f t="shared" si="40"/>
        <v>45.471297</v>
      </c>
      <c r="AI99" s="73">
        <f t="shared" si="41"/>
        <v>27.79658427</v>
      </c>
      <c r="AJ99" s="73">
        <f t="shared" si="42"/>
        <v>41.9793931</v>
      </c>
      <c r="AK99" s="11"/>
      <c r="AL99" s="51">
        <f t="shared" si="29"/>
        <v>3440.234851</v>
      </c>
      <c r="AM99" s="51" t="str">
        <f t="array" ref="AM99">XLOOKUP(D99,RUC!$B$3:$B$62,RUC!$M$3:$M$62)</f>
        <v>Evelyn</v>
      </c>
      <c r="AN99" s="131" t="s">
        <v>689</v>
      </c>
    </row>
    <row r="100" ht="15.0" customHeight="1">
      <c r="A100" s="116" t="s">
        <v>1795</v>
      </c>
      <c r="B100" s="56">
        <v>45833.0</v>
      </c>
      <c r="C100" s="56">
        <v>45828.0</v>
      </c>
      <c r="D100" s="57" t="s">
        <v>295</v>
      </c>
      <c r="E100" s="57">
        <f t="array" ref="E100">XLOOKUP(D100,RUC!$B$3:$B$110,RUC!$D$3:$D$110)</f>
        <v>20601769396</v>
      </c>
      <c r="G100" s="3">
        <v>16.0</v>
      </c>
      <c r="H100" s="57" t="s">
        <v>47</v>
      </c>
      <c r="I100" s="58">
        <v>1.13</v>
      </c>
      <c r="J100" s="58">
        <v>4.55</v>
      </c>
      <c r="K100" s="59">
        <f t="shared" si="31"/>
        <v>1.078585</v>
      </c>
      <c r="L100" s="60">
        <v>0.3055</v>
      </c>
      <c r="M100" s="60">
        <v>0.287</v>
      </c>
      <c r="N100" s="62">
        <v>0.287</v>
      </c>
      <c r="O100" s="60">
        <f t="shared" si="51"/>
        <v>0.287</v>
      </c>
      <c r="P100" s="63">
        <v>90.0</v>
      </c>
      <c r="Q100" s="58">
        <v>92.83</v>
      </c>
      <c r="R100" s="65">
        <v>3368.25</v>
      </c>
      <c r="S100" s="66">
        <f t="shared" si="55"/>
        <v>110</v>
      </c>
      <c r="T100" s="67"/>
      <c r="U100" s="67">
        <f t="array" ref="U100">XLOOKUP(D100,RUC!$B$3:$B$110,RUC!$F$3:$F$110)</f>
        <v>120</v>
      </c>
      <c r="V100" s="67">
        <v>1.1023</v>
      </c>
      <c r="Y100" s="57">
        <f t="array" ref="Y100">XLOOKUP(D100,RUC!$B$3:$B$110,RUC!$G$3:$G$110)</f>
        <v>20</v>
      </c>
      <c r="Z100" s="69">
        <f t="array" ref="Z100">XLOOKUP(D100,RUC!$B$3:$B$110,RUC!$H$3:$H$110)</f>
        <v>30</v>
      </c>
      <c r="AA100" s="70">
        <f t="shared" si="34"/>
        <v>50</v>
      </c>
      <c r="AB100" s="71">
        <f t="shared" si="35"/>
        <v>748.4870253</v>
      </c>
      <c r="AC100" s="71">
        <f>+(S100-T100)*V100-'data 1'!$F$4</f>
        <v>41.253</v>
      </c>
      <c r="AD100" s="71">
        <f t="shared" si="36"/>
        <v>30.95614731</v>
      </c>
      <c r="AE100" s="71">
        <f t="shared" si="37"/>
        <v>-14.885</v>
      </c>
      <c r="AF100" s="71">
        <f t="shared" si="38"/>
        <v>61.49068533</v>
      </c>
      <c r="AG100" s="72">
        <f t="shared" si="57"/>
        <v>135.8148326</v>
      </c>
      <c r="AH100" s="52">
        <f t="shared" si="40"/>
        <v>10.48728355</v>
      </c>
      <c r="AI100" s="73">
        <f t="shared" si="41"/>
        <v>31.8078116</v>
      </c>
      <c r="AJ100" s="73">
        <f t="shared" si="42"/>
        <v>9.551857871</v>
      </c>
      <c r="AK100" s="11"/>
      <c r="AL100" s="51">
        <f t="shared" si="29"/>
        <v>807.3068782</v>
      </c>
      <c r="AM100" s="51" t="str">
        <f t="array" ref="AM100">XLOOKUP(D100,RUC!$B$3:$B$62,RUC!$M$3:$M$62)</f>
        <v>Evelyn</v>
      </c>
      <c r="AN100" s="131" t="s">
        <v>689</v>
      </c>
    </row>
    <row r="101" ht="15.0" customHeight="1">
      <c r="A101" s="116" t="s">
        <v>1796</v>
      </c>
      <c r="B101" s="56">
        <v>45833.0</v>
      </c>
      <c r="C101" s="56">
        <v>45828.0</v>
      </c>
      <c r="D101" s="57" t="s">
        <v>295</v>
      </c>
      <c r="E101" s="57">
        <f t="array" ref="E101">XLOOKUP(D101,RUC!$B$3:$B$110,RUC!$D$3:$D$110)</f>
        <v>20601769396</v>
      </c>
      <c r="G101" s="3">
        <v>40.0</v>
      </c>
      <c r="H101" s="57" t="s">
        <v>40</v>
      </c>
      <c r="I101" s="58">
        <v>3.09</v>
      </c>
      <c r="J101" s="58">
        <v>3.09</v>
      </c>
      <c r="K101" s="59">
        <f t="shared" si="31"/>
        <v>2.994519</v>
      </c>
      <c r="L101" s="60">
        <v>0.433</v>
      </c>
      <c r="M101" s="60">
        <v>0.407</v>
      </c>
      <c r="N101" s="62">
        <v>0.407</v>
      </c>
      <c r="O101" s="60">
        <f t="shared" si="51"/>
        <v>0.407</v>
      </c>
      <c r="P101" s="63">
        <v>90.0</v>
      </c>
      <c r="Q101" s="58">
        <v>95.56</v>
      </c>
      <c r="R101" s="65">
        <v>3368.25</v>
      </c>
      <c r="S101" s="66">
        <f t="shared" si="55"/>
        <v>130</v>
      </c>
      <c r="T101" s="67"/>
      <c r="U101" s="67">
        <f t="array" ref="U101">XLOOKUP(D101,RUC!$B$3:$B$110,RUC!$F$3:$F$110)</f>
        <v>120</v>
      </c>
      <c r="V101" s="67">
        <v>1.1023</v>
      </c>
      <c r="Y101" s="57">
        <f t="array" ref="Y101">XLOOKUP(D101,RUC!$B$3:$B$110,RUC!$G$3:$G$110)</f>
        <v>20</v>
      </c>
      <c r="Z101" s="69">
        <f t="array" ref="Z101">XLOOKUP(D101,RUC!$B$3:$B$110,RUC!$H$3:$H$110)</f>
        <v>30</v>
      </c>
      <c r="AA101" s="70">
        <f t="shared" si="34"/>
        <v>50</v>
      </c>
      <c r="AB101" s="71">
        <f t="shared" si="35"/>
        <v>1113.139991</v>
      </c>
      <c r="AC101" s="71">
        <f>+(S101-T101)*V101-'data 1'!$F$4</f>
        <v>63.299</v>
      </c>
      <c r="AD101" s="71">
        <f t="shared" si="36"/>
        <v>86.20092824</v>
      </c>
      <c r="AE101" s="71">
        <f t="shared" si="37"/>
        <v>-14.885</v>
      </c>
      <c r="AF101" s="71">
        <f t="shared" si="38"/>
        <v>88.96081308</v>
      </c>
      <c r="AG101" s="72">
        <f t="shared" si="57"/>
        <v>240.5757413</v>
      </c>
      <c r="AH101" s="52">
        <f t="shared" si="40"/>
        <v>42.48153293</v>
      </c>
      <c r="AI101" s="73">
        <f t="shared" si="41"/>
        <v>46.40857814</v>
      </c>
      <c r="AJ101" s="73">
        <f t="shared" si="42"/>
        <v>37.60737849</v>
      </c>
      <c r="AK101" s="11"/>
      <c r="AL101" s="51">
        <f t="shared" si="29"/>
        <v>3333.318852</v>
      </c>
      <c r="AM101" s="51" t="str">
        <f t="array" ref="AM101">XLOOKUP(D101,RUC!$B$3:$B$62,RUC!$M$3:$M$62)</f>
        <v>Evelyn</v>
      </c>
      <c r="AN101" s="131" t="s">
        <v>689</v>
      </c>
    </row>
    <row r="102" ht="15.0" customHeight="1">
      <c r="A102" s="116" t="s">
        <v>1797</v>
      </c>
      <c r="B102" s="56">
        <v>45833.0</v>
      </c>
      <c r="C102" s="56">
        <v>45828.0</v>
      </c>
      <c r="D102" s="57" t="s">
        <v>295</v>
      </c>
      <c r="E102" s="57">
        <f t="array" ref="E102">XLOOKUP(D102,RUC!$B$3:$B$110,RUC!$D$3:$D$110)</f>
        <v>20601769396</v>
      </c>
      <c r="G102" s="3">
        <v>39.0</v>
      </c>
      <c r="H102" s="57" t="s">
        <v>40</v>
      </c>
      <c r="I102" s="58">
        <v>3.07</v>
      </c>
      <c r="J102" s="58">
        <v>12.5</v>
      </c>
      <c r="K102" s="59">
        <f t="shared" si="31"/>
        <v>2.68625</v>
      </c>
      <c r="L102" s="60">
        <v>0.457</v>
      </c>
      <c r="M102" s="60">
        <v>0.43</v>
      </c>
      <c r="N102" s="62">
        <v>0.43</v>
      </c>
      <c r="O102" s="60">
        <f t="shared" si="51"/>
        <v>0.43</v>
      </c>
      <c r="P102" s="63">
        <v>90.0</v>
      </c>
      <c r="Q102" s="58">
        <v>92.34</v>
      </c>
      <c r="R102" s="65">
        <v>3368.25</v>
      </c>
      <c r="S102" s="66">
        <f t="shared" si="55"/>
        <v>130</v>
      </c>
      <c r="T102" s="67"/>
      <c r="U102" s="67">
        <f t="array" ref="U102">XLOOKUP(D102,RUC!$B$3:$B$110,RUC!$F$3:$F$110)</f>
        <v>120</v>
      </c>
      <c r="V102" s="67">
        <v>1.1023</v>
      </c>
      <c r="Y102" s="57">
        <f t="array" ref="Y102">XLOOKUP(D102,RUC!$B$3:$B$110,RUC!$G$3:$G$110)</f>
        <v>20</v>
      </c>
      <c r="Z102" s="69">
        <f t="array" ref="Z102">XLOOKUP(D102,RUC!$B$3:$B$110,RUC!$H$3:$H$110)</f>
        <v>30</v>
      </c>
      <c r="AA102" s="70">
        <f t="shared" si="34"/>
        <v>50</v>
      </c>
      <c r="AB102" s="71">
        <f t="shared" si="35"/>
        <v>1187.257292</v>
      </c>
      <c r="AC102" s="71">
        <f>+(S102-T102)*V102-'data 1'!$F$4</f>
        <v>63.299</v>
      </c>
      <c r="AD102" s="71">
        <f t="shared" si="36"/>
        <v>38.28964255</v>
      </c>
      <c r="AE102" s="71">
        <f t="shared" si="37"/>
        <v>-14.885</v>
      </c>
      <c r="AF102" s="71">
        <f t="shared" si="38"/>
        <v>89.26945614</v>
      </c>
      <c r="AG102" s="72">
        <f t="shared" si="57"/>
        <v>192.9730987</v>
      </c>
      <c r="AH102" s="52">
        <f t="shared" si="40"/>
        <v>38.86525917</v>
      </c>
      <c r="AI102" s="73">
        <f t="shared" si="41"/>
        <v>47.33041316</v>
      </c>
      <c r="AJ102" s="73">
        <f t="shared" si="42"/>
        <v>35.64236085</v>
      </c>
      <c r="AK102" s="11"/>
      <c r="AL102" s="51">
        <f t="shared" si="29"/>
        <v>3189.269902</v>
      </c>
      <c r="AM102" s="51" t="str">
        <f t="array" ref="AM102">XLOOKUP(D102,RUC!$B$3:$B$62,RUC!$M$3:$M$62)</f>
        <v>Evelyn</v>
      </c>
      <c r="AN102" s="131" t="s">
        <v>689</v>
      </c>
    </row>
    <row r="103" ht="15.0" customHeight="1">
      <c r="A103" s="116" t="s">
        <v>1798</v>
      </c>
      <c r="B103" s="56">
        <v>45833.0</v>
      </c>
      <c r="C103" s="56">
        <v>45828.0</v>
      </c>
      <c r="D103" s="57" t="s">
        <v>295</v>
      </c>
      <c r="E103" s="57">
        <f t="array" ref="E103">XLOOKUP(D103,RUC!$B$3:$B$110,RUC!$D$3:$D$110)</f>
        <v>20601769396</v>
      </c>
      <c r="G103" s="3">
        <v>16.0</v>
      </c>
      <c r="H103" s="57" t="s">
        <v>40</v>
      </c>
      <c r="I103" s="58">
        <v>1.25</v>
      </c>
      <c r="J103" s="58">
        <v>7.9</v>
      </c>
      <c r="K103" s="59">
        <f t="shared" si="31"/>
        <v>1.15125</v>
      </c>
      <c r="L103" s="60">
        <v>0.464</v>
      </c>
      <c r="M103" s="60">
        <v>0.436</v>
      </c>
      <c r="N103" s="62">
        <v>0.436</v>
      </c>
      <c r="O103" s="60">
        <f t="shared" si="51"/>
        <v>0.436</v>
      </c>
      <c r="P103" s="63">
        <v>90.0</v>
      </c>
      <c r="Q103" s="58">
        <v>91.59</v>
      </c>
      <c r="R103" s="65">
        <v>3368.25</v>
      </c>
      <c r="S103" s="66">
        <f t="shared" si="55"/>
        <v>130</v>
      </c>
      <c r="T103" s="67"/>
      <c r="U103" s="67">
        <f t="array" ref="U103">XLOOKUP(D103,RUC!$B$3:$B$110,RUC!$F$3:$F$110)</f>
        <v>120</v>
      </c>
      <c r="V103" s="67">
        <v>1.1023</v>
      </c>
      <c r="Y103" s="57">
        <f t="array" ref="Y103">XLOOKUP(D103,RUC!$B$3:$B$110,RUC!$G$3:$G$110)</f>
        <v>20</v>
      </c>
      <c r="Z103" s="69">
        <f t="array" ref="Z103">XLOOKUP(D103,RUC!$B$3:$B$110,RUC!$H$3:$H$110)</f>
        <v>30</v>
      </c>
      <c r="AA103" s="70">
        <f t="shared" si="34"/>
        <v>50</v>
      </c>
      <c r="AB103" s="71">
        <f t="shared" si="35"/>
        <v>1206.592241</v>
      </c>
      <c r="AC103" s="71">
        <f>+(S103-T103)*V103-'data 1'!$F$4</f>
        <v>63.299</v>
      </c>
      <c r="AD103" s="71">
        <f t="shared" si="36"/>
        <v>26.41583599</v>
      </c>
      <c r="AE103" s="71">
        <f t="shared" si="37"/>
        <v>-14.885</v>
      </c>
      <c r="AF103" s="71">
        <f t="shared" si="38"/>
        <v>91.82381764</v>
      </c>
      <c r="AG103" s="72">
        <f t="shared" si="57"/>
        <v>183.6536536</v>
      </c>
      <c r="AH103" s="52">
        <f t="shared" si="40"/>
        <v>16.77431337</v>
      </c>
      <c r="AI103" s="73">
        <f t="shared" si="41"/>
        <v>47.66507326</v>
      </c>
      <c r="AJ103" s="73">
        <f t="shared" si="42"/>
        <v>15.48844119</v>
      </c>
      <c r="AK103" s="11"/>
      <c r="AL103" s="51">
        <f t="shared" si="29"/>
        <v>1389.089317</v>
      </c>
      <c r="AM103" s="51" t="str">
        <f t="array" ref="AM103">XLOOKUP(D103,RUC!$B$3:$B$62,RUC!$M$3:$M$62)</f>
        <v>Evelyn</v>
      </c>
      <c r="AN103" s="131" t="s">
        <v>689</v>
      </c>
    </row>
    <row r="104" ht="15.0" customHeight="1">
      <c r="A104" s="116" t="s">
        <v>1799</v>
      </c>
      <c r="B104" s="56">
        <v>45835.0</v>
      </c>
      <c r="C104" s="56">
        <v>45828.0</v>
      </c>
      <c r="D104" s="57" t="s">
        <v>295</v>
      </c>
      <c r="E104" s="57">
        <f t="array" ref="E104">XLOOKUP(D104,RUC!$B$3:$B$110,RUC!$D$3:$D$110)</f>
        <v>20601769396</v>
      </c>
      <c r="G104" s="3">
        <v>43.0</v>
      </c>
      <c r="H104" s="57" t="s">
        <v>40</v>
      </c>
      <c r="I104" s="58">
        <v>3.91</v>
      </c>
      <c r="J104" s="58">
        <v>7.65</v>
      </c>
      <c r="K104" s="59">
        <f t="shared" si="31"/>
        <v>3.610885</v>
      </c>
      <c r="L104" s="60">
        <v>0.1775</v>
      </c>
      <c r="M104" s="60">
        <v>0.161525</v>
      </c>
      <c r="N104" s="62">
        <v>0.162</v>
      </c>
      <c r="O104" s="60">
        <f t="shared" si="51"/>
        <v>0.162</v>
      </c>
      <c r="P104" s="63">
        <v>90.0</v>
      </c>
      <c r="Q104" s="58">
        <v>91.01</v>
      </c>
      <c r="R104" s="65">
        <v>3368.25</v>
      </c>
      <c r="S104" s="66">
        <f t="shared" si="55"/>
        <v>100</v>
      </c>
      <c r="T104" s="67"/>
      <c r="U104" s="67">
        <f t="array" ref="U104">XLOOKUP(D104,RUC!$B$3:$B$110,RUC!$F$3:$F$110)</f>
        <v>120</v>
      </c>
      <c r="V104" s="67">
        <v>1.1023</v>
      </c>
      <c r="Y104" s="57">
        <f t="array" ref="Y104">XLOOKUP(D104,RUC!$B$3:$B$110,RUC!$G$3:$G$110)</f>
        <v>20</v>
      </c>
      <c r="Z104" s="69">
        <f t="array" ref="Z104">XLOOKUP(D104,RUC!$B$3:$B$110,RUC!$H$3:$H$110)</f>
        <v>30</v>
      </c>
      <c r="AA104" s="70">
        <f t="shared" si="34"/>
        <v>50</v>
      </c>
      <c r="AB104" s="71">
        <f t="shared" si="35"/>
        <v>356.6986032</v>
      </c>
      <c r="AC104" s="71">
        <f>+(S104-T104)*V104-'data 1'!$F$4</f>
        <v>30.23</v>
      </c>
      <c r="AD104" s="71">
        <f t="shared" si="36"/>
        <v>6.419023797</v>
      </c>
      <c r="AE104" s="71">
        <f t="shared" si="37"/>
        <v>-14.885</v>
      </c>
      <c r="AF104" s="71">
        <f t="shared" si="38"/>
        <v>50.50915082</v>
      </c>
      <c r="AG104" s="72">
        <f t="shared" si="57"/>
        <v>89.27317462</v>
      </c>
      <c r="AH104" s="52">
        <f t="shared" si="40"/>
        <v>19.99908831</v>
      </c>
      <c r="AI104" s="73">
        <f t="shared" si="41"/>
        <v>18.11847734</v>
      </c>
      <c r="AJ104" s="73">
        <f t="shared" si="42"/>
        <v>18.05012652</v>
      </c>
      <c r="AK104" s="11"/>
      <c r="AL104" s="51">
        <f t="shared" si="29"/>
        <v>1287.997636</v>
      </c>
      <c r="AM104" s="51" t="str">
        <f t="array" ref="AM104">XLOOKUP(D104,RUC!$B$3:$B$62,RUC!$M$3:$M$62)</f>
        <v>Evelyn</v>
      </c>
      <c r="AN104" s="131" t="s">
        <v>689</v>
      </c>
    </row>
    <row r="105" ht="15.0" customHeight="1">
      <c r="A105" s="116" t="s">
        <v>1800</v>
      </c>
      <c r="B105" s="56">
        <v>45835.0</v>
      </c>
      <c r="C105" s="56">
        <v>45828.0</v>
      </c>
      <c r="D105" s="57" t="s">
        <v>295</v>
      </c>
      <c r="E105" s="57">
        <f t="array" ref="E105">XLOOKUP(D105,RUC!$B$3:$B$110,RUC!$D$3:$D$110)</f>
        <v>20601769396</v>
      </c>
      <c r="G105" s="3">
        <v>30.0</v>
      </c>
      <c r="H105" s="57" t="s">
        <v>40</v>
      </c>
      <c r="I105" s="58">
        <v>2.75</v>
      </c>
      <c r="J105" s="58">
        <v>11.2</v>
      </c>
      <c r="K105" s="59">
        <f t="shared" si="31"/>
        <v>2.442</v>
      </c>
      <c r="L105" s="60">
        <v>0.2745</v>
      </c>
      <c r="M105" s="60">
        <v>0.258</v>
      </c>
      <c r="N105" s="62">
        <v>0.258</v>
      </c>
      <c r="O105" s="60">
        <f t="shared" si="51"/>
        <v>0.258</v>
      </c>
      <c r="P105" s="63">
        <v>90.0</v>
      </c>
      <c r="Q105" s="58">
        <v>93.41</v>
      </c>
      <c r="R105" s="65">
        <v>3368.25</v>
      </c>
      <c r="S105" s="66">
        <f t="shared" si="55"/>
        <v>110</v>
      </c>
      <c r="T105" s="67"/>
      <c r="U105" s="67">
        <f t="array" ref="U105">XLOOKUP(D105,RUC!$B$3:$B$110,RUC!$F$3:$F$110)</f>
        <v>120</v>
      </c>
      <c r="V105" s="67">
        <v>1.1023</v>
      </c>
      <c r="Y105" s="57">
        <f t="array" ref="Y105">XLOOKUP(D105,RUC!$B$3:$B$110,RUC!$G$3:$G$110)</f>
        <v>20</v>
      </c>
      <c r="Z105" s="69">
        <f t="array" ref="Z105">XLOOKUP(D105,RUC!$B$3:$B$110,RUC!$H$3:$H$110)</f>
        <v>30</v>
      </c>
      <c r="AA105" s="70">
        <f t="shared" si="34"/>
        <v>50</v>
      </c>
      <c r="AB105" s="71">
        <f t="shared" si="35"/>
        <v>655.0347754</v>
      </c>
      <c r="AC105" s="71">
        <f>+(S105-T105)*V105-'data 1'!$F$4</f>
        <v>41.253</v>
      </c>
      <c r="AD105" s="71">
        <f t="shared" si="36"/>
        <v>33.51552157</v>
      </c>
      <c r="AE105" s="71">
        <f t="shared" si="37"/>
        <v>-14.885</v>
      </c>
      <c r="AF105" s="71">
        <f t="shared" si="38"/>
        <v>55.18570192</v>
      </c>
      <c r="AG105" s="72">
        <f t="shared" si="57"/>
        <v>132.0692235</v>
      </c>
      <c r="AH105" s="52">
        <f t="shared" si="40"/>
        <v>21.4679438</v>
      </c>
      <c r="AI105" s="73">
        <f t="shared" si="41"/>
        <v>28.75874607</v>
      </c>
      <c r="AJ105" s="73">
        <f t="shared" si="42"/>
        <v>19.44092587</v>
      </c>
      <c r="AK105" s="11"/>
      <c r="AL105" s="51">
        <f t="shared" si="29"/>
        <v>1599.594922</v>
      </c>
      <c r="AM105" s="51" t="str">
        <f t="array" ref="AM105">XLOOKUP(D105,RUC!$B$3:$B$62,RUC!$M$3:$M$62)</f>
        <v>Evelyn</v>
      </c>
      <c r="AN105" s="131" t="s">
        <v>689</v>
      </c>
    </row>
    <row r="106" ht="15.0" customHeight="1">
      <c r="A106" s="116" t="s">
        <v>1801</v>
      </c>
      <c r="B106" s="56">
        <v>45835.0</v>
      </c>
      <c r="C106" s="56">
        <v>45828.0</v>
      </c>
      <c r="D106" s="57" t="s">
        <v>295</v>
      </c>
      <c r="E106" s="57">
        <f t="array" ref="E106">XLOOKUP(D106,RUC!$B$3:$B$110,RUC!$D$3:$D$110)</f>
        <v>20601769396</v>
      </c>
      <c r="G106" s="3">
        <v>30.0</v>
      </c>
      <c r="H106" s="57" t="s">
        <v>40</v>
      </c>
      <c r="I106" s="58">
        <v>2.77</v>
      </c>
      <c r="J106" s="58">
        <v>10.05</v>
      </c>
      <c r="K106" s="59">
        <f t="shared" si="31"/>
        <v>2.491615</v>
      </c>
      <c r="L106" s="60">
        <v>0.3825</v>
      </c>
      <c r="M106" s="60">
        <v>0.36</v>
      </c>
      <c r="N106" s="62">
        <v>0.36</v>
      </c>
      <c r="O106" s="60">
        <f t="shared" si="51"/>
        <v>0.36</v>
      </c>
      <c r="P106" s="63">
        <v>90.0</v>
      </c>
      <c r="Q106" s="58">
        <v>94.67</v>
      </c>
      <c r="R106" s="65">
        <v>3368.25</v>
      </c>
      <c r="S106" s="66">
        <f t="shared" si="55"/>
        <v>120</v>
      </c>
      <c r="T106" s="67"/>
      <c r="U106" s="67">
        <f t="array" ref="U106">XLOOKUP(D106,RUC!$B$3:$B$110,RUC!$F$3:$F$110)</f>
        <v>120</v>
      </c>
      <c r="V106" s="67">
        <v>1.1023</v>
      </c>
      <c r="Y106" s="57">
        <f t="array" ref="Y106">XLOOKUP(D106,RUC!$B$3:$B$110,RUC!$G$3:$G$110)</f>
        <v>20</v>
      </c>
      <c r="Z106" s="69">
        <f t="array" ref="Z106">XLOOKUP(D106,RUC!$B$3:$B$110,RUC!$H$3:$H$110)</f>
        <v>30</v>
      </c>
      <c r="AA106" s="70">
        <f t="shared" si="34"/>
        <v>50</v>
      </c>
      <c r="AB106" s="71">
        <f t="shared" si="35"/>
        <v>972.7058959</v>
      </c>
      <c r="AC106" s="71">
        <f>+(S106-T106)*V106-'data 1'!$F$4</f>
        <v>52.276</v>
      </c>
      <c r="AD106" s="71">
        <f t="shared" si="36"/>
        <v>63.95839761</v>
      </c>
      <c r="AE106" s="71">
        <f t="shared" si="37"/>
        <v>-14.885</v>
      </c>
      <c r="AF106" s="71">
        <f t="shared" si="38"/>
        <v>76.26831468</v>
      </c>
      <c r="AG106" s="72">
        <f t="shared" si="57"/>
        <v>194.6177123</v>
      </c>
      <c r="AH106" s="52">
        <f t="shared" si="40"/>
        <v>30.93383913</v>
      </c>
      <c r="AI106" s="73">
        <f t="shared" si="41"/>
        <v>40.61421298</v>
      </c>
      <c r="AJ106" s="73">
        <f t="shared" si="42"/>
        <v>27.67801984</v>
      </c>
      <c r="AK106" s="11"/>
      <c r="AL106" s="51">
        <f t="shared" si="29"/>
        <v>2423.608601</v>
      </c>
      <c r="AM106" s="51" t="str">
        <f t="array" ref="AM106">XLOOKUP(D106,RUC!$B$3:$B$62,RUC!$M$3:$M$62)</f>
        <v>Evelyn</v>
      </c>
      <c r="AN106" s="131" t="s">
        <v>689</v>
      </c>
    </row>
    <row r="107" ht="15.0" customHeight="1">
      <c r="A107" s="116" t="s">
        <v>1802</v>
      </c>
      <c r="B107" s="56">
        <v>45835.0</v>
      </c>
      <c r="C107" s="56">
        <v>45828.0</v>
      </c>
      <c r="D107" s="57" t="s">
        <v>295</v>
      </c>
      <c r="E107" s="57">
        <f t="array" ref="E107">XLOOKUP(D107,RUC!$B$3:$B$110,RUC!$D$3:$D$110)</f>
        <v>20601769396</v>
      </c>
      <c r="G107" s="3">
        <v>30.0</v>
      </c>
      <c r="H107" s="57" t="s">
        <v>40</v>
      </c>
      <c r="I107" s="58">
        <v>2.74</v>
      </c>
      <c r="J107" s="58">
        <v>8.05</v>
      </c>
      <c r="K107" s="59">
        <f t="shared" si="31"/>
        <v>2.51943</v>
      </c>
      <c r="L107" s="60">
        <v>0.347</v>
      </c>
      <c r="M107" s="60">
        <v>0.326</v>
      </c>
      <c r="N107" s="62">
        <v>0.326</v>
      </c>
      <c r="O107" s="60">
        <f t="shared" si="51"/>
        <v>0.326</v>
      </c>
      <c r="P107" s="63">
        <v>90.0</v>
      </c>
      <c r="Q107" s="58">
        <v>95.68</v>
      </c>
      <c r="R107" s="65">
        <v>3368.25</v>
      </c>
      <c r="S107" s="66">
        <f t="shared" si="55"/>
        <v>120</v>
      </c>
      <c r="T107" s="67"/>
      <c r="U107" s="67">
        <f t="array" ref="U107">XLOOKUP(D107,RUC!$B$3:$B$110,RUC!$F$3:$F$110)</f>
        <v>120</v>
      </c>
      <c r="V107" s="67">
        <v>1.1023</v>
      </c>
      <c r="Y107" s="57">
        <f t="array" ref="Y107">XLOOKUP(D107,RUC!$B$3:$B$110,RUC!$G$3:$G$110)</f>
        <v>20</v>
      </c>
      <c r="Z107" s="69">
        <f t="array" ref="Z107">XLOOKUP(D107,RUC!$B$3:$B$110,RUC!$H$3:$H$110)</f>
        <v>30</v>
      </c>
      <c r="AA107" s="70">
        <f t="shared" si="34"/>
        <v>50</v>
      </c>
      <c r="AB107" s="71">
        <f t="shared" si="35"/>
        <v>863.1411891</v>
      </c>
      <c r="AC107" s="71">
        <f>+(S107-T107)*V107-'data 1'!$F$4</f>
        <v>52.276</v>
      </c>
      <c r="AD107" s="71">
        <f t="shared" si="36"/>
        <v>70.57112895</v>
      </c>
      <c r="AE107" s="71">
        <f t="shared" si="37"/>
        <v>-14.885</v>
      </c>
      <c r="AF107" s="71">
        <f t="shared" si="38"/>
        <v>71.94319417</v>
      </c>
      <c r="AG107" s="72">
        <f t="shared" si="57"/>
        <v>196.9053231</v>
      </c>
      <c r="AH107" s="52">
        <f t="shared" si="40"/>
        <v>28.67886814</v>
      </c>
      <c r="AI107" s="73">
        <f t="shared" si="41"/>
        <v>37.23787303</v>
      </c>
      <c r="AJ107" s="73">
        <f t="shared" si="42"/>
        <v>25.34378497</v>
      </c>
      <c r="AK107" s="11"/>
      <c r="AL107" s="51">
        <f t="shared" si="29"/>
        <v>2174.623806</v>
      </c>
      <c r="AM107" s="51" t="str">
        <f t="array" ref="AM107">XLOOKUP(D107,RUC!$B$3:$B$62,RUC!$M$3:$M$62)</f>
        <v>Evelyn</v>
      </c>
      <c r="AN107" s="131" t="s">
        <v>689</v>
      </c>
    </row>
    <row r="108" ht="15.0" customHeight="1">
      <c r="A108" s="116" t="s">
        <v>1803</v>
      </c>
      <c r="B108" s="56">
        <v>45835.0</v>
      </c>
      <c r="C108" s="56">
        <v>45828.0</v>
      </c>
      <c r="D108" s="57" t="s">
        <v>295</v>
      </c>
      <c r="E108" s="57">
        <f t="array" ref="E108">XLOOKUP(D108,RUC!$B$3:$B$110,RUC!$D$3:$D$110)</f>
        <v>20601769396</v>
      </c>
      <c r="G108" s="3">
        <v>30.0</v>
      </c>
      <c r="H108" s="57" t="s">
        <v>40</v>
      </c>
      <c r="I108" s="58">
        <v>2.74</v>
      </c>
      <c r="J108" s="58">
        <v>11.55</v>
      </c>
      <c r="K108" s="59">
        <f t="shared" si="31"/>
        <v>2.42353</v>
      </c>
      <c r="L108" s="60">
        <v>0.421</v>
      </c>
      <c r="M108" s="60">
        <v>0.396</v>
      </c>
      <c r="N108" s="62">
        <v>0.396</v>
      </c>
      <c r="O108" s="60">
        <f t="shared" si="51"/>
        <v>0.396</v>
      </c>
      <c r="P108" s="63">
        <v>90.0</v>
      </c>
      <c r="Q108" s="58">
        <v>97.62</v>
      </c>
      <c r="R108" s="65">
        <v>3368.25</v>
      </c>
      <c r="S108" s="66">
        <f t="shared" si="55"/>
        <v>120</v>
      </c>
      <c r="T108" s="67"/>
      <c r="U108" s="67">
        <f t="array" ref="U108">XLOOKUP(D108,RUC!$B$3:$B$110,RUC!$F$3:$F$110)</f>
        <v>120</v>
      </c>
      <c r="V108" s="67">
        <v>1.1023</v>
      </c>
      <c r="Y108" s="57">
        <f t="array" ref="Y108">XLOOKUP(D108,RUC!$B$3:$B$110,RUC!$G$3:$G$110)</f>
        <v>20</v>
      </c>
      <c r="Z108" s="69">
        <f t="array" ref="Z108">XLOOKUP(D108,RUC!$B$3:$B$110,RUC!$H$3:$H$110)</f>
        <v>30</v>
      </c>
      <c r="AA108" s="70">
        <f t="shared" si="34"/>
        <v>50</v>
      </c>
      <c r="AB108" s="71">
        <f t="shared" si="35"/>
        <v>1088.715585</v>
      </c>
      <c r="AC108" s="71">
        <f>+(S108-T108)*V108-'data 1'!$F$4</f>
        <v>52.276</v>
      </c>
      <c r="AD108" s="71">
        <f t="shared" si="36"/>
        <v>114.864631</v>
      </c>
      <c r="AE108" s="71">
        <f t="shared" si="37"/>
        <v>-14.885</v>
      </c>
      <c r="AF108" s="71">
        <f t="shared" si="38"/>
        <v>87.38322452</v>
      </c>
      <c r="AG108" s="72">
        <f t="shared" si="57"/>
        <v>256.6388555</v>
      </c>
      <c r="AH108" s="52">
        <f t="shared" si="40"/>
        <v>34.14902972</v>
      </c>
      <c r="AI108" s="73">
        <f t="shared" si="41"/>
        <v>46.09513853</v>
      </c>
      <c r="AJ108" s="73">
        <f t="shared" si="42"/>
        <v>29.61386994</v>
      </c>
      <c r="AK108" s="11"/>
      <c r="AL108" s="51">
        <f t="shared" si="29"/>
        <v>2638.534883</v>
      </c>
      <c r="AM108" s="51" t="str">
        <f t="array" ref="AM108">XLOOKUP(D108,RUC!$B$3:$B$62,RUC!$M$3:$M$62)</f>
        <v>Evelyn</v>
      </c>
      <c r="AN108" s="131" t="s">
        <v>689</v>
      </c>
    </row>
    <row r="109" ht="15.0" customHeight="1">
      <c r="B109" s="56"/>
      <c r="C109" s="56"/>
      <c r="G109" s="3"/>
      <c r="L109" s="60"/>
      <c r="M109" s="60"/>
      <c r="N109" s="62"/>
      <c r="R109" s="65"/>
      <c r="AG109" s="91"/>
    </row>
    <row r="110" ht="15.0" customHeight="1">
      <c r="B110" s="56"/>
      <c r="C110" s="56"/>
      <c r="G110" s="3"/>
      <c r="L110" s="60"/>
      <c r="M110" s="60"/>
      <c r="N110" s="62"/>
      <c r="R110" s="65"/>
      <c r="AG110" s="91"/>
    </row>
    <row r="111" ht="15.0" customHeight="1">
      <c r="B111" s="56"/>
      <c r="C111" s="56"/>
      <c r="G111" s="3"/>
      <c r="L111" s="60"/>
      <c r="M111" s="60"/>
      <c r="N111" s="62"/>
      <c r="R111" s="65"/>
      <c r="AG111" s="91"/>
    </row>
    <row r="112" ht="15.0" customHeight="1">
      <c r="B112" s="56"/>
      <c r="C112" s="56"/>
      <c r="G112" s="3"/>
      <c r="L112" s="60"/>
      <c r="M112" s="60"/>
      <c r="N112" s="62"/>
      <c r="AG112" s="91"/>
    </row>
    <row r="113" ht="15.0" customHeight="1">
      <c r="B113" s="56"/>
      <c r="C113" s="56"/>
      <c r="G113" s="3"/>
      <c r="L113" s="60"/>
      <c r="M113" s="60"/>
      <c r="N113" s="62"/>
      <c r="AG113" s="91"/>
    </row>
    <row r="114" ht="15.0" customHeight="1">
      <c r="B114" s="56"/>
      <c r="C114" s="56"/>
      <c r="G114" s="3"/>
      <c r="L114" s="60"/>
      <c r="M114" s="60"/>
      <c r="N114" s="62"/>
      <c r="AG114" s="91"/>
    </row>
    <row r="115" ht="15.0" customHeight="1">
      <c r="B115" s="56"/>
      <c r="C115" s="56"/>
      <c r="G115" s="3"/>
      <c r="L115" s="60"/>
      <c r="M115" s="60"/>
      <c r="N115" s="62"/>
      <c r="AG115" s="91"/>
    </row>
    <row r="116" ht="15.0" customHeight="1">
      <c r="B116" s="56"/>
      <c r="C116" s="56"/>
      <c r="G116" s="3"/>
      <c r="L116" s="60"/>
      <c r="M116" s="60"/>
      <c r="N116" s="62"/>
      <c r="AG116" s="91"/>
    </row>
    <row r="117" ht="15.0" customHeight="1">
      <c r="B117" s="56"/>
      <c r="C117" s="56"/>
      <c r="G117" s="3"/>
      <c r="L117" s="60"/>
      <c r="M117" s="60"/>
      <c r="N117" s="62"/>
      <c r="AG117" s="91"/>
    </row>
    <row r="118" ht="15.0" customHeight="1">
      <c r="B118" s="56"/>
      <c r="C118" s="56"/>
      <c r="G118" s="3"/>
      <c r="L118" s="60"/>
      <c r="M118" s="60"/>
      <c r="N118" s="62"/>
      <c r="AG118" s="91"/>
    </row>
    <row r="119" ht="15.0" customHeight="1">
      <c r="B119" s="56"/>
      <c r="C119" s="56"/>
      <c r="G119" s="3"/>
      <c r="L119" s="60"/>
      <c r="M119" s="60"/>
      <c r="N119" s="62"/>
      <c r="AG119" s="91"/>
    </row>
    <row r="120" ht="15.0" customHeight="1">
      <c r="B120" s="56"/>
      <c r="C120" s="56"/>
      <c r="G120" s="3"/>
      <c r="L120" s="60"/>
      <c r="M120" s="60"/>
      <c r="N120" s="62"/>
      <c r="AG120" s="91"/>
    </row>
    <row r="121" ht="15.0" customHeight="1">
      <c r="B121" s="56"/>
      <c r="C121" s="56"/>
      <c r="G121" s="3"/>
      <c r="L121" s="60"/>
      <c r="M121" s="60"/>
      <c r="N121" s="62"/>
      <c r="AG121" s="91"/>
    </row>
    <row r="122" ht="15.0" customHeight="1">
      <c r="B122" s="56"/>
      <c r="C122" s="56"/>
      <c r="G122" s="3"/>
      <c r="L122" s="60"/>
      <c r="M122" s="60"/>
      <c r="N122" s="62"/>
      <c r="AG122" s="91"/>
    </row>
    <row r="123" ht="15.0" customHeight="1">
      <c r="B123" s="56"/>
      <c r="C123" s="56"/>
      <c r="G123" s="3"/>
      <c r="L123" s="60"/>
      <c r="M123" s="60"/>
      <c r="N123" s="62"/>
      <c r="AG123" s="91"/>
    </row>
    <row r="124" ht="15.0" customHeight="1">
      <c r="B124" s="56"/>
      <c r="C124" s="56"/>
      <c r="G124" s="3"/>
      <c r="L124" s="60"/>
      <c r="M124" s="60"/>
      <c r="N124" s="62"/>
      <c r="AG124" s="91"/>
    </row>
    <row r="125" ht="15.0" customHeight="1">
      <c r="B125" s="56"/>
      <c r="C125" s="56"/>
      <c r="G125" s="3"/>
      <c r="L125" s="60"/>
      <c r="M125" s="60"/>
      <c r="N125" s="62"/>
      <c r="AG125" s="91"/>
    </row>
    <row r="126" ht="15.0" customHeight="1">
      <c r="B126" s="56"/>
      <c r="C126" s="56"/>
      <c r="G126" s="3"/>
      <c r="L126" s="60"/>
      <c r="M126" s="60"/>
      <c r="N126" s="62"/>
      <c r="AG126" s="91"/>
    </row>
    <row r="127" ht="15.0" customHeight="1">
      <c r="B127" s="56"/>
      <c r="C127" s="56"/>
      <c r="G127" s="3"/>
      <c r="L127" s="60"/>
      <c r="M127" s="60"/>
      <c r="N127" s="62"/>
      <c r="AG127" s="91"/>
    </row>
    <row r="128" ht="15.0" customHeight="1">
      <c r="B128" s="56"/>
      <c r="C128" s="56"/>
      <c r="G128" s="3"/>
      <c r="L128" s="60"/>
      <c r="M128" s="60"/>
      <c r="N128" s="62"/>
      <c r="AG128" s="91"/>
    </row>
    <row r="129" ht="15.0" customHeight="1">
      <c r="B129" s="56"/>
      <c r="C129" s="56"/>
      <c r="G129" s="3"/>
      <c r="L129" s="60"/>
      <c r="M129" s="60"/>
      <c r="N129" s="62"/>
      <c r="AG129" s="91"/>
    </row>
    <row r="130" ht="15.0" customHeight="1">
      <c r="B130" s="56"/>
      <c r="C130" s="56"/>
      <c r="G130" s="3"/>
      <c r="L130" s="60"/>
      <c r="M130" s="60"/>
      <c r="N130" s="62"/>
      <c r="AG130" s="91"/>
    </row>
    <row r="131" ht="15.0" customHeight="1">
      <c r="B131" s="56"/>
      <c r="C131" s="56"/>
      <c r="G131" s="3"/>
      <c r="L131" s="60"/>
      <c r="M131" s="60"/>
      <c r="N131" s="62"/>
      <c r="AG131" s="91"/>
    </row>
    <row r="132" ht="15.0" customHeight="1">
      <c r="B132" s="56"/>
      <c r="C132" s="56"/>
      <c r="G132" s="3"/>
      <c r="L132" s="60"/>
      <c r="M132" s="60"/>
      <c r="N132" s="62"/>
      <c r="AG132" s="91"/>
    </row>
    <row r="133" ht="15.0" customHeight="1">
      <c r="B133" s="56"/>
      <c r="C133" s="56"/>
      <c r="G133" s="3"/>
      <c r="L133" s="60"/>
      <c r="M133" s="60"/>
      <c r="N133" s="62"/>
      <c r="AG133" s="91"/>
    </row>
    <row r="134" ht="15.0" customHeight="1">
      <c r="B134" s="56"/>
      <c r="C134" s="56"/>
      <c r="G134" s="3"/>
      <c r="L134" s="60"/>
      <c r="M134" s="60"/>
      <c r="N134" s="62"/>
      <c r="AG134" s="91"/>
    </row>
    <row r="135" ht="15.0" customHeight="1">
      <c r="B135" s="56"/>
      <c r="C135" s="56"/>
      <c r="G135" s="3"/>
      <c r="L135" s="60"/>
      <c r="M135" s="60"/>
      <c r="N135" s="62"/>
      <c r="AG135" s="91"/>
    </row>
    <row r="136" ht="15.0" customHeight="1">
      <c r="B136" s="56"/>
      <c r="C136" s="56"/>
      <c r="G136" s="3"/>
      <c r="L136" s="60"/>
      <c r="M136" s="60"/>
      <c r="N136" s="62"/>
      <c r="AG136" s="91"/>
    </row>
    <row r="137" ht="15.0" customHeight="1">
      <c r="B137" s="56"/>
      <c r="C137" s="56"/>
      <c r="G137" s="3"/>
      <c r="L137" s="60"/>
      <c r="M137" s="60"/>
      <c r="N137" s="62"/>
      <c r="AG137" s="91"/>
    </row>
    <row r="138" ht="15.0" customHeight="1">
      <c r="B138" s="56"/>
      <c r="C138" s="56"/>
      <c r="G138" s="3"/>
      <c r="L138" s="60"/>
      <c r="M138" s="60"/>
      <c r="N138" s="62"/>
      <c r="AG138" s="91"/>
    </row>
    <row r="139" ht="15.0" customHeight="1">
      <c r="B139" s="56"/>
      <c r="C139" s="56"/>
      <c r="G139" s="3"/>
      <c r="L139" s="60"/>
      <c r="M139" s="60"/>
      <c r="N139" s="62"/>
      <c r="AG139" s="91"/>
    </row>
    <row r="140" ht="15.0" customHeight="1">
      <c r="B140" s="56"/>
      <c r="C140" s="56"/>
      <c r="G140" s="3"/>
      <c r="L140" s="60"/>
      <c r="M140" s="60"/>
      <c r="N140" s="62"/>
      <c r="AG140" s="91"/>
    </row>
    <row r="141" ht="15.0" customHeight="1">
      <c r="B141" s="56"/>
      <c r="C141" s="56"/>
      <c r="G141" s="3"/>
      <c r="L141" s="60"/>
      <c r="M141" s="60"/>
      <c r="N141" s="62"/>
      <c r="AG141" s="91"/>
    </row>
    <row r="142" ht="15.0" customHeight="1">
      <c r="B142" s="56"/>
      <c r="C142" s="56"/>
      <c r="G142" s="3"/>
      <c r="L142" s="60"/>
      <c r="M142" s="60"/>
      <c r="N142" s="62"/>
      <c r="AG142" s="91"/>
    </row>
    <row r="143" ht="15.0" customHeight="1">
      <c r="B143" s="56"/>
      <c r="C143" s="56"/>
      <c r="G143" s="3"/>
      <c r="L143" s="60"/>
      <c r="M143" s="60"/>
      <c r="N143" s="62"/>
      <c r="AG143" s="91"/>
    </row>
    <row r="144" ht="15.0" customHeight="1">
      <c r="B144" s="56"/>
      <c r="C144" s="56"/>
      <c r="M144" s="60"/>
      <c r="N144" s="62"/>
      <c r="AG144" s="91"/>
    </row>
    <row r="145" ht="15.0" customHeight="1">
      <c r="B145" s="56"/>
      <c r="C145" s="56"/>
      <c r="M145" s="60"/>
      <c r="N145" s="62"/>
      <c r="AG145" s="91"/>
    </row>
    <row r="146" ht="15.0" customHeight="1">
      <c r="B146" s="56"/>
      <c r="C146" s="56"/>
      <c r="M146" s="60"/>
      <c r="N146" s="62"/>
      <c r="AG146" s="91"/>
    </row>
    <row r="147" ht="15.0" customHeight="1">
      <c r="B147" s="56"/>
      <c r="C147" s="56"/>
      <c r="M147" s="60"/>
      <c r="N147" s="62"/>
      <c r="AG147" s="91"/>
    </row>
    <row r="148" ht="15.0" customHeight="1">
      <c r="B148" s="56"/>
      <c r="C148" s="56"/>
      <c r="M148" s="60"/>
      <c r="N148" s="62"/>
      <c r="AG148" s="91"/>
    </row>
    <row r="149" ht="15.0" customHeight="1">
      <c r="B149" s="56"/>
      <c r="C149" s="56"/>
      <c r="M149" s="60"/>
      <c r="N149" s="62"/>
      <c r="AG149" s="91"/>
    </row>
    <row r="150" ht="15.0" customHeight="1">
      <c r="B150" s="56"/>
      <c r="C150" s="56"/>
      <c r="M150" s="60"/>
      <c r="N150" s="62"/>
      <c r="AG150" s="91"/>
    </row>
    <row r="151" ht="15.0" customHeight="1">
      <c r="B151" s="56"/>
      <c r="C151" s="56"/>
      <c r="M151" s="60"/>
      <c r="N151" s="62"/>
      <c r="AG151" s="91"/>
    </row>
    <row r="152" ht="15.0" customHeight="1">
      <c r="B152" s="56"/>
      <c r="C152" s="56"/>
      <c r="M152" s="60"/>
      <c r="N152" s="62"/>
      <c r="AG152" s="91"/>
    </row>
    <row r="153" ht="15.0" customHeight="1">
      <c r="B153" s="56"/>
      <c r="C153" s="56"/>
      <c r="M153" s="60"/>
      <c r="N153" s="62"/>
      <c r="AG153" s="91"/>
    </row>
    <row r="154" ht="15.0" customHeight="1">
      <c r="B154" s="56"/>
      <c r="C154" s="56"/>
      <c r="M154" s="60"/>
      <c r="N154" s="62"/>
      <c r="AG154" s="91"/>
    </row>
    <row r="155" ht="15.0" customHeight="1">
      <c r="B155" s="56"/>
      <c r="C155" s="56"/>
      <c r="M155" s="60"/>
      <c r="N155" s="62"/>
      <c r="AG155" s="91"/>
    </row>
    <row r="156" ht="15.0" customHeight="1">
      <c r="B156" s="56"/>
      <c r="C156" s="56"/>
      <c r="M156" s="60"/>
      <c r="N156" s="62"/>
      <c r="AG156" s="91"/>
    </row>
    <row r="157" ht="15.0" customHeight="1">
      <c r="B157" s="56"/>
      <c r="C157" s="56"/>
      <c r="M157" s="60"/>
      <c r="N157" s="62"/>
      <c r="AG157" s="91"/>
    </row>
    <row r="158" ht="15.0" customHeight="1">
      <c r="B158" s="56"/>
      <c r="C158" s="56"/>
      <c r="M158" s="60"/>
      <c r="N158" s="62"/>
      <c r="AG158" s="91"/>
    </row>
    <row r="159" ht="15.0" customHeight="1">
      <c r="B159" s="56"/>
      <c r="C159" s="56"/>
      <c r="M159" s="60"/>
      <c r="N159" s="62"/>
      <c r="AG159" s="91"/>
    </row>
    <row r="160" ht="15.0" customHeight="1">
      <c r="B160" s="56"/>
      <c r="C160" s="56"/>
      <c r="M160" s="60"/>
      <c r="N160" s="62"/>
      <c r="AG160" s="91"/>
    </row>
    <row r="161" ht="15.0" customHeight="1">
      <c r="B161" s="56"/>
      <c r="C161" s="56"/>
      <c r="M161" s="60"/>
      <c r="N161" s="62"/>
      <c r="AG161" s="91"/>
    </row>
    <row r="162" ht="15.0" customHeight="1">
      <c r="B162" s="56"/>
      <c r="C162" s="56"/>
      <c r="M162" s="60"/>
      <c r="N162" s="62"/>
      <c r="AG162" s="91"/>
    </row>
    <row r="163" ht="15.0" customHeight="1">
      <c r="B163" s="56"/>
      <c r="C163" s="56"/>
      <c r="M163" s="60"/>
      <c r="N163" s="62"/>
      <c r="AG163" s="91"/>
    </row>
    <row r="164" ht="15.0" customHeight="1">
      <c r="B164" s="56"/>
      <c r="C164" s="56"/>
      <c r="M164" s="60"/>
      <c r="N164" s="62"/>
      <c r="AG164" s="91"/>
    </row>
    <row r="165" ht="15.0" customHeight="1">
      <c r="B165" s="56"/>
      <c r="C165" s="56"/>
      <c r="M165" s="60"/>
      <c r="N165" s="62"/>
      <c r="AG165" s="91"/>
    </row>
    <row r="166" ht="15.0" customHeight="1">
      <c r="B166" s="56"/>
      <c r="C166" s="56"/>
      <c r="M166" s="60"/>
      <c r="N166" s="62"/>
      <c r="AG166" s="91"/>
    </row>
    <row r="167" ht="15.0" customHeight="1">
      <c r="B167" s="56"/>
      <c r="C167" s="56"/>
      <c r="M167" s="60"/>
      <c r="N167" s="62"/>
      <c r="AG167" s="91"/>
    </row>
    <row r="168" ht="15.0" customHeight="1">
      <c r="B168" s="56"/>
      <c r="C168" s="56"/>
      <c r="M168" s="60"/>
      <c r="N168" s="62"/>
      <c r="AG168" s="91"/>
    </row>
    <row r="169" ht="15.0" customHeight="1">
      <c r="B169" s="56"/>
      <c r="C169" s="56"/>
      <c r="M169" s="60"/>
      <c r="N169" s="62"/>
      <c r="AG169" s="91"/>
    </row>
    <row r="170" ht="15.0" customHeight="1">
      <c r="B170" s="56"/>
      <c r="C170" s="56"/>
      <c r="M170" s="60"/>
      <c r="N170" s="62"/>
      <c r="AG170" s="91"/>
    </row>
    <row r="171" ht="15.0" customHeight="1">
      <c r="B171" s="56"/>
      <c r="C171" s="56"/>
      <c r="M171" s="60"/>
      <c r="N171" s="62"/>
      <c r="AG171" s="91"/>
    </row>
    <row r="172" ht="15.0" customHeight="1">
      <c r="B172" s="56"/>
      <c r="C172" s="56"/>
      <c r="M172" s="60"/>
      <c r="N172" s="62"/>
      <c r="AG172" s="91"/>
    </row>
    <row r="173" ht="15.0" customHeight="1">
      <c r="B173" s="56"/>
      <c r="C173" s="56"/>
      <c r="M173" s="60"/>
      <c r="N173" s="62"/>
      <c r="AG173" s="91"/>
    </row>
    <row r="174" ht="15.0" customHeight="1">
      <c r="B174" s="56"/>
      <c r="C174" s="56"/>
      <c r="M174" s="60"/>
      <c r="N174" s="62"/>
      <c r="AG174" s="91"/>
    </row>
    <row r="175" ht="15.0" customHeight="1">
      <c r="B175" s="56"/>
      <c r="C175" s="56"/>
      <c r="M175" s="60"/>
      <c r="N175" s="62"/>
      <c r="AG175" s="91"/>
    </row>
    <row r="176" ht="15.0" customHeight="1">
      <c r="B176" s="56"/>
      <c r="C176" s="56"/>
      <c r="M176" s="60"/>
      <c r="N176" s="62"/>
      <c r="AG176" s="91"/>
    </row>
    <row r="177" ht="15.0" customHeight="1">
      <c r="B177" s="56"/>
      <c r="C177" s="56"/>
      <c r="M177" s="60"/>
      <c r="N177" s="62"/>
      <c r="AG177" s="91"/>
    </row>
    <row r="178" ht="15.0" customHeight="1">
      <c r="B178" s="56"/>
      <c r="C178" s="56"/>
      <c r="M178" s="60"/>
      <c r="N178" s="62"/>
      <c r="AG178" s="91"/>
    </row>
    <row r="179" ht="15.0" customHeight="1">
      <c r="B179" s="56"/>
      <c r="C179" s="56"/>
      <c r="M179" s="60"/>
      <c r="N179" s="62"/>
      <c r="AG179" s="91"/>
    </row>
    <row r="180" ht="15.0" customHeight="1">
      <c r="B180" s="56"/>
      <c r="C180" s="56"/>
      <c r="M180" s="60"/>
      <c r="N180" s="62"/>
      <c r="AG180" s="91"/>
    </row>
    <row r="181" ht="15.0" customHeight="1">
      <c r="B181" s="56"/>
      <c r="C181" s="56"/>
      <c r="M181" s="60"/>
      <c r="N181" s="62"/>
      <c r="AG181" s="91"/>
    </row>
    <row r="182" ht="15.0" customHeight="1">
      <c r="B182" s="56"/>
      <c r="C182" s="56"/>
      <c r="M182" s="60"/>
      <c r="N182" s="62"/>
      <c r="AG182" s="91"/>
    </row>
    <row r="183" ht="15.0" customHeight="1">
      <c r="B183" s="56"/>
      <c r="C183" s="56"/>
      <c r="M183" s="60"/>
      <c r="N183" s="62"/>
      <c r="AG183" s="91"/>
    </row>
    <row r="184" ht="15.0" customHeight="1">
      <c r="B184" s="56"/>
      <c r="C184" s="56"/>
      <c r="M184" s="60"/>
      <c r="N184" s="62"/>
      <c r="AG184" s="91"/>
    </row>
    <row r="185" ht="15.0" customHeight="1">
      <c r="B185" s="56"/>
      <c r="C185" s="56"/>
      <c r="M185" s="60"/>
      <c r="N185" s="62"/>
      <c r="AG185" s="91"/>
    </row>
    <row r="186" ht="15.0" customHeight="1">
      <c r="B186" s="56"/>
      <c r="C186" s="56"/>
      <c r="M186" s="60"/>
      <c r="N186" s="62"/>
      <c r="AG186" s="91"/>
    </row>
    <row r="187" ht="15.0" customHeight="1">
      <c r="B187" s="56"/>
      <c r="C187" s="56"/>
      <c r="M187" s="60"/>
      <c r="N187" s="62"/>
      <c r="AG187" s="91"/>
    </row>
    <row r="188" ht="15.0" customHeight="1">
      <c r="B188" s="56"/>
      <c r="C188" s="56"/>
      <c r="M188" s="60"/>
      <c r="N188" s="62"/>
      <c r="AG188" s="91"/>
    </row>
    <row r="189" ht="15.0" customHeight="1">
      <c r="B189" s="56"/>
      <c r="C189" s="56"/>
      <c r="M189" s="60"/>
      <c r="N189" s="62"/>
      <c r="AG189" s="91"/>
    </row>
    <row r="190" ht="15.0" customHeight="1">
      <c r="B190" s="56"/>
      <c r="C190" s="56"/>
      <c r="M190" s="60"/>
      <c r="N190" s="62"/>
      <c r="AG190" s="91"/>
    </row>
    <row r="191" ht="15.0" customHeight="1">
      <c r="B191" s="56"/>
      <c r="C191" s="56"/>
      <c r="M191" s="60"/>
      <c r="N191" s="62"/>
      <c r="AG191" s="91"/>
    </row>
    <row r="192" ht="15.0" customHeight="1">
      <c r="B192" s="56"/>
      <c r="C192" s="56"/>
      <c r="M192" s="60"/>
      <c r="N192" s="62"/>
      <c r="AG192" s="91"/>
    </row>
    <row r="193" ht="15.0" customHeight="1">
      <c r="B193" s="56"/>
      <c r="C193" s="56"/>
      <c r="M193" s="60"/>
      <c r="N193" s="62"/>
      <c r="AG193" s="91"/>
    </row>
    <row r="194" ht="15.0" customHeight="1">
      <c r="B194" s="56"/>
      <c r="C194" s="56"/>
      <c r="M194" s="60"/>
      <c r="N194" s="62"/>
      <c r="AG194" s="91"/>
    </row>
    <row r="195" ht="15.0" customHeight="1">
      <c r="B195" s="56"/>
      <c r="C195" s="56"/>
      <c r="M195" s="60"/>
      <c r="N195" s="62"/>
      <c r="AG195" s="91"/>
    </row>
    <row r="196" ht="15.0" customHeight="1">
      <c r="B196" s="56"/>
      <c r="C196" s="56"/>
      <c r="M196" s="60"/>
      <c r="N196" s="62"/>
      <c r="AG196" s="91"/>
    </row>
    <row r="197" ht="15.0" customHeight="1">
      <c r="B197" s="56"/>
      <c r="C197" s="56"/>
      <c r="M197" s="60"/>
      <c r="N197" s="62"/>
      <c r="AG197" s="91"/>
    </row>
    <row r="198" ht="15.0" customHeight="1">
      <c r="B198" s="56"/>
      <c r="C198" s="56"/>
      <c r="M198" s="60"/>
      <c r="N198" s="62"/>
      <c r="AG198" s="91"/>
    </row>
    <row r="199" ht="15.0" customHeight="1">
      <c r="B199" s="56"/>
      <c r="C199" s="56"/>
      <c r="M199" s="60"/>
      <c r="N199" s="62"/>
      <c r="AG199" s="91"/>
    </row>
    <row r="200" ht="15.0" customHeight="1">
      <c r="B200" s="56"/>
      <c r="C200" s="56"/>
      <c r="M200" s="60"/>
      <c r="N200" s="62"/>
      <c r="AG200" s="91"/>
    </row>
    <row r="201" ht="15.0" customHeight="1">
      <c r="B201" s="56"/>
      <c r="C201" s="56"/>
      <c r="M201" s="60"/>
      <c r="N201" s="62"/>
      <c r="AG201" s="91"/>
    </row>
    <row r="202" ht="15.0" customHeight="1">
      <c r="B202" s="56"/>
      <c r="C202" s="56"/>
      <c r="M202" s="60"/>
      <c r="N202" s="62"/>
      <c r="AG202" s="91"/>
    </row>
    <row r="203" ht="15.0" customHeight="1">
      <c r="M203" s="60"/>
      <c r="N203" s="62"/>
      <c r="AG203" s="91"/>
    </row>
    <row r="204" ht="15.0" customHeight="1">
      <c r="M204" s="60"/>
      <c r="N204" s="62"/>
      <c r="AG204" s="91"/>
    </row>
    <row r="205" ht="15.0" customHeight="1">
      <c r="M205" s="60"/>
      <c r="N205" s="62"/>
      <c r="AG205" s="91"/>
    </row>
    <row r="206" ht="15.0" customHeight="1">
      <c r="M206" s="60"/>
      <c r="N206" s="62"/>
      <c r="AG206" s="91"/>
    </row>
    <row r="207" ht="15.0" customHeight="1">
      <c r="M207" s="60"/>
      <c r="N207" s="62"/>
      <c r="AG207" s="91"/>
    </row>
    <row r="208" ht="15.0" customHeight="1">
      <c r="M208" s="60"/>
      <c r="N208" s="62"/>
      <c r="AG208" s="91"/>
    </row>
    <row r="209" ht="15.0" customHeight="1">
      <c r="M209" s="60"/>
      <c r="N209" s="62"/>
      <c r="AG209" s="91"/>
    </row>
    <row r="210" ht="15.0" customHeight="1">
      <c r="M210" s="60"/>
      <c r="N210" s="62"/>
      <c r="AG210" s="91"/>
    </row>
    <row r="211" ht="15.0" customHeight="1">
      <c r="M211" s="60"/>
      <c r="N211" s="62"/>
      <c r="AG211" s="91"/>
    </row>
    <row r="212" ht="15.0" customHeight="1">
      <c r="M212" s="60"/>
      <c r="N212" s="62"/>
      <c r="AG212" s="91"/>
    </row>
    <row r="213" ht="15.0" customHeight="1">
      <c r="M213" s="60"/>
      <c r="N213" s="62"/>
      <c r="AG213" s="91"/>
    </row>
    <row r="214" ht="15.0" customHeight="1">
      <c r="M214" s="60"/>
      <c r="N214" s="62"/>
      <c r="AG214" s="91"/>
    </row>
    <row r="215" ht="15.0" customHeight="1">
      <c r="M215" s="60"/>
      <c r="N215" s="62"/>
      <c r="AG215" s="91"/>
    </row>
    <row r="216" ht="15.0" customHeight="1">
      <c r="M216" s="60"/>
      <c r="N216" s="62"/>
      <c r="AG216" s="91"/>
    </row>
    <row r="217" ht="15.0" customHeight="1">
      <c r="M217" s="60"/>
      <c r="N217" s="62"/>
      <c r="AG217" s="91"/>
    </row>
    <row r="218" ht="15.0" customHeight="1">
      <c r="M218" s="60"/>
      <c r="N218" s="62"/>
      <c r="AG218" s="91"/>
    </row>
    <row r="219" ht="15.0" customHeight="1">
      <c r="M219" s="60"/>
      <c r="N219" s="62"/>
      <c r="AG219" s="91"/>
    </row>
    <row r="220" ht="15.0" customHeight="1">
      <c r="M220" s="60"/>
      <c r="N220" s="62"/>
      <c r="AG220" s="91"/>
    </row>
    <row r="221" ht="15.0" customHeight="1">
      <c r="M221" s="60"/>
      <c r="N221" s="62"/>
      <c r="AG221" s="91"/>
    </row>
    <row r="222" ht="15.0" customHeight="1">
      <c r="M222" s="60"/>
      <c r="N222" s="62"/>
      <c r="AG222" s="91"/>
    </row>
    <row r="223" ht="15.0" customHeight="1">
      <c r="M223" s="60"/>
      <c r="N223" s="62"/>
      <c r="AG223" s="91"/>
    </row>
    <row r="224" ht="15.0" customHeight="1">
      <c r="M224" s="60"/>
      <c r="N224" s="62"/>
      <c r="AG224" s="91"/>
    </row>
    <row r="225" ht="15.0" customHeight="1">
      <c r="M225" s="60"/>
      <c r="N225" s="62"/>
      <c r="AG225" s="91"/>
    </row>
    <row r="226" ht="15.0" customHeight="1">
      <c r="M226" s="60"/>
      <c r="N226" s="62"/>
      <c r="AG226" s="91"/>
    </row>
    <row r="227" ht="15.0" customHeight="1">
      <c r="M227" s="60"/>
      <c r="N227" s="62"/>
      <c r="AG227" s="91"/>
    </row>
    <row r="228" ht="15.0" customHeight="1">
      <c r="M228" s="60"/>
      <c r="N228" s="62"/>
      <c r="AG228" s="91"/>
    </row>
    <row r="229" ht="15.0" customHeight="1">
      <c r="M229" s="60"/>
      <c r="N229" s="62"/>
      <c r="AG229" s="91"/>
    </row>
    <row r="230" ht="15.0" customHeight="1">
      <c r="M230" s="60"/>
      <c r="N230" s="62"/>
      <c r="AG230" s="91"/>
    </row>
    <row r="231" ht="15.0" customHeight="1">
      <c r="M231" s="60"/>
      <c r="N231" s="62"/>
      <c r="AG231" s="91"/>
    </row>
    <row r="232" ht="15.0" customHeight="1">
      <c r="M232" s="60"/>
      <c r="N232" s="62"/>
      <c r="AG232" s="91"/>
    </row>
    <row r="233" ht="15.0" customHeight="1">
      <c r="M233" s="60"/>
      <c r="N233" s="62"/>
      <c r="AG233" s="91"/>
    </row>
    <row r="234" ht="15.0" customHeight="1">
      <c r="M234" s="60"/>
      <c r="N234" s="62"/>
      <c r="AG234" s="91"/>
    </row>
    <row r="235" ht="15.0" customHeight="1">
      <c r="M235" s="60"/>
      <c r="N235" s="62"/>
      <c r="AG235" s="91"/>
    </row>
    <row r="236" ht="15.0" customHeight="1">
      <c r="M236" s="60"/>
      <c r="N236" s="62"/>
      <c r="AG236" s="91"/>
    </row>
    <row r="237" ht="15.0" customHeight="1">
      <c r="M237" s="60"/>
      <c r="N237" s="62"/>
      <c r="AG237" s="91"/>
    </row>
    <row r="238" ht="15.0" customHeight="1">
      <c r="M238" s="60"/>
      <c r="N238" s="62"/>
      <c r="AG238" s="91"/>
    </row>
    <row r="239" ht="15.0" customHeight="1">
      <c r="M239" s="60"/>
      <c r="N239" s="62"/>
      <c r="AG239" s="91"/>
    </row>
    <row r="240" ht="15.0" customHeight="1">
      <c r="M240" s="60"/>
      <c r="N240" s="62"/>
      <c r="AG240" s="91"/>
    </row>
    <row r="241" ht="15.0" customHeight="1">
      <c r="M241" s="60"/>
      <c r="N241" s="62"/>
      <c r="AG241" s="91"/>
    </row>
    <row r="242" ht="15.0" customHeight="1">
      <c r="M242" s="60"/>
      <c r="N242" s="62"/>
      <c r="AG242" s="91"/>
    </row>
    <row r="243" ht="15.0" customHeight="1">
      <c r="M243" s="60"/>
      <c r="N243" s="62"/>
      <c r="AG243" s="91"/>
    </row>
    <row r="244" ht="15.0" customHeight="1">
      <c r="M244" s="60"/>
      <c r="N244" s="62"/>
      <c r="AG244" s="91"/>
    </row>
    <row r="245" ht="15.0" customHeight="1">
      <c r="M245" s="60"/>
      <c r="N245" s="62"/>
      <c r="AG245" s="91"/>
    </row>
    <row r="246" ht="15.0" customHeight="1">
      <c r="M246" s="60"/>
      <c r="N246" s="62"/>
      <c r="AG246" s="91"/>
    </row>
    <row r="247" ht="15.0" customHeight="1">
      <c r="M247" s="60"/>
      <c r="N247" s="62"/>
      <c r="AG247" s="91"/>
    </row>
    <row r="248" ht="15.0" customHeight="1">
      <c r="M248" s="60"/>
      <c r="N248" s="62"/>
      <c r="AG248" s="91"/>
    </row>
    <row r="249" ht="15.0" customHeight="1">
      <c r="M249" s="60"/>
      <c r="N249" s="62"/>
      <c r="AG249" s="91"/>
    </row>
    <row r="250" ht="15.0" customHeight="1">
      <c r="M250" s="60"/>
      <c r="N250" s="62"/>
      <c r="AG250" s="91"/>
    </row>
    <row r="251" ht="15.0" customHeight="1">
      <c r="M251" s="60"/>
      <c r="N251" s="62"/>
      <c r="AG251" s="91"/>
    </row>
    <row r="252" ht="15.0" customHeight="1">
      <c r="M252" s="60"/>
      <c r="N252" s="62"/>
      <c r="AG252" s="91"/>
    </row>
    <row r="253" ht="15.0" customHeight="1">
      <c r="M253" s="60"/>
      <c r="N253" s="62"/>
      <c r="AG253" s="91"/>
    </row>
    <row r="254" ht="15.0" customHeight="1">
      <c r="M254" s="60"/>
      <c r="N254" s="62"/>
      <c r="AG254" s="91"/>
    </row>
    <row r="255" ht="15.0" customHeight="1">
      <c r="M255" s="60"/>
      <c r="N255" s="62"/>
      <c r="AG255" s="91"/>
    </row>
    <row r="256" ht="15.0" customHeight="1">
      <c r="M256" s="60"/>
      <c r="N256" s="62"/>
      <c r="AG256" s="91"/>
    </row>
    <row r="257" ht="15.0" customHeight="1">
      <c r="M257" s="60"/>
      <c r="N257" s="62"/>
      <c r="AG257" s="91"/>
    </row>
    <row r="258" ht="15.0" customHeight="1">
      <c r="M258" s="60"/>
      <c r="N258" s="62"/>
      <c r="AG258" s="91"/>
    </row>
    <row r="259" ht="15.0" customHeight="1">
      <c r="M259" s="60"/>
      <c r="N259" s="62"/>
      <c r="AG259" s="91"/>
    </row>
    <row r="260" ht="15.0" customHeight="1">
      <c r="M260" s="60"/>
      <c r="N260" s="62"/>
      <c r="AG260" s="91"/>
    </row>
    <row r="261" ht="15.0" customHeight="1">
      <c r="M261" s="60"/>
      <c r="N261" s="62"/>
      <c r="AG261" s="91"/>
    </row>
    <row r="262" ht="15.0" customHeight="1">
      <c r="M262" s="60"/>
      <c r="N262" s="62"/>
      <c r="AG262" s="91"/>
    </row>
    <row r="263" ht="15.0" customHeight="1">
      <c r="M263" s="60"/>
      <c r="N263" s="62"/>
      <c r="AG263" s="91"/>
    </row>
    <row r="264" ht="15.0" customHeight="1">
      <c r="M264" s="60"/>
      <c r="N264" s="62"/>
      <c r="AG264" s="91"/>
    </row>
    <row r="265" ht="15.0" customHeight="1">
      <c r="M265" s="60"/>
      <c r="N265" s="62"/>
      <c r="AG265" s="91"/>
    </row>
    <row r="266" ht="15.0" customHeight="1">
      <c r="M266" s="60"/>
      <c r="N266" s="62"/>
      <c r="AG266" s="91"/>
    </row>
    <row r="267" ht="15.0" customHeight="1">
      <c r="M267" s="60"/>
      <c r="N267" s="62"/>
      <c r="AG267" s="91"/>
    </row>
    <row r="268" ht="15.0" customHeight="1">
      <c r="M268" s="60"/>
      <c r="N268" s="62"/>
      <c r="AG268" s="91"/>
    </row>
    <row r="269" ht="15.0" customHeight="1">
      <c r="M269" s="60"/>
      <c r="N269" s="62"/>
      <c r="AG269" s="91"/>
    </row>
    <row r="270" ht="15.0" customHeight="1">
      <c r="M270" s="60"/>
      <c r="N270" s="62"/>
      <c r="AG270" s="91"/>
    </row>
    <row r="271" ht="15.0" customHeight="1">
      <c r="M271" s="60"/>
      <c r="N271" s="62"/>
      <c r="AG271" s="91"/>
    </row>
    <row r="272" ht="15.0" customHeight="1">
      <c r="M272" s="60"/>
      <c r="N272" s="62"/>
      <c r="AG272" s="91"/>
    </row>
    <row r="273" ht="15.0" customHeight="1">
      <c r="M273" s="60"/>
      <c r="N273" s="62"/>
      <c r="AG273" s="91"/>
    </row>
    <row r="274" ht="15.0" customHeight="1">
      <c r="M274" s="60"/>
      <c r="N274" s="62"/>
      <c r="AG274" s="91"/>
    </row>
    <row r="275" ht="15.0" customHeight="1">
      <c r="M275" s="60"/>
      <c r="N275" s="62"/>
      <c r="AG275" s="91"/>
    </row>
    <row r="276" ht="15.0" customHeight="1">
      <c r="M276" s="60"/>
      <c r="N276" s="62"/>
      <c r="AG276" s="91"/>
    </row>
    <row r="277" ht="15.0" customHeight="1">
      <c r="M277" s="60"/>
      <c r="N277" s="62"/>
      <c r="AG277" s="91"/>
    </row>
    <row r="278" ht="15.0" customHeight="1">
      <c r="M278" s="60"/>
      <c r="N278" s="62"/>
      <c r="AG278" s="91"/>
    </row>
    <row r="279" ht="15.0" customHeight="1">
      <c r="M279" s="60"/>
      <c r="N279" s="62"/>
      <c r="AG279" s="91"/>
    </row>
    <row r="280" ht="15.0" customHeight="1">
      <c r="M280" s="60"/>
      <c r="N280" s="62"/>
      <c r="AG280" s="91"/>
    </row>
    <row r="281" ht="15.0" customHeight="1">
      <c r="M281" s="60"/>
      <c r="N281" s="62"/>
      <c r="AG281" s="91"/>
    </row>
    <row r="282" ht="15.0" customHeight="1">
      <c r="M282" s="60"/>
      <c r="N282" s="62"/>
      <c r="AG282" s="91"/>
    </row>
    <row r="283" ht="15.0" customHeight="1">
      <c r="M283" s="60"/>
      <c r="N283" s="62"/>
      <c r="AG283" s="91"/>
    </row>
    <row r="284" ht="15.0" customHeight="1">
      <c r="M284" s="60"/>
      <c r="N284" s="62"/>
      <c r="AG284" s="91"/>
    </row>
    <row r="285" ht="15.0" customHeight="1">
      <c r="M285" s="60"/>
      <c r="N285" s="62"/>
      <c r="AG285" s="91"/>
    </row>
    <row r="286" ht="15.0" customHeight="1">
      <c r="M286" s="60"/>
      <c r="N286" s="62"/>
      <c r="AG286" s="91"/>
    </row>
    <row r="287" ht="15.0" customHeight="1">
      <c r="M287" s="60"/>
      <c r="N287" s="62"/>
      <c r="AG287" s="91"/>
    </row>
    <row r="288" ht="15.0" customHeight="1">
      <c r="M288" s="60"/>
      <c r="N288" s="62"/>
      <c r="AG288" s="91"/>
    </row>
    <row r="289" ht="15.0" customHeight="1">
      <c r="M289" s="60"/>
      <c r="N289" s="62"/>
      <c r="AG289" s="91"/>
    </row>
    <row r="290" ht="15.0" customHeight="1">
      <c r="M290" s="60"/>
      <c r="N290" s="62"/>
      <c r="AG290" s="91"/>
    </row>
    <row r="291" ht="15.0" customHeight="1">
      <c r="M291" s="60"/>
      <c r="N291" s="62"/>
      <c r="AG291" s="91"/>
    </row>
    <row r="292" ht="15.0" customHeight="1">
      <c r="M292" s="60"/>
      <c r="N292" s="62"/>
      <c r="AG292" s="91"/>
    </row>
    <row r="293" ht="15.0" customHeight="1">
      <c r="M293" s="60"/>
      <c r="N293" s="62"/>
      <c r="AG293" s="91"/>
    </row>
    <row r="294" ht="15.0" customHeight="1">
      <c r="M294" s="60"/>
      <c r="N294" s="62"/>
      <c r="AG294" s="91"/>
    </row>
    <row r="295" ht="15.0" customHeight="1">
      <c r="M295" s="60"/>
      <c r="N295" s="62"/>
      <c r="AG295" s="91"/>
    </row>
    <row r="296" ht="15.0" customHeight="1">
      <c r="M296" s="60"/>
      <c r="N296" s="62"/>
      <c r="AG296" s="91"/>
    </row>
    <row r="297" ht="15.0" customHeight="1">
      <c r="M297" s="60"/>
      <c r="N297" s="62"/>
      <c r="AG297" s="91"/>
    </row>
    <row r="298" ht="15.0" customHeight="1">
      <c r="M298" s="60"/>
      <c r="N298" s="62"/>
      <c r="AG298" s="91"/>
    </row>
    <row r="299" ht="15.0" customHeight="1">
      <c r="N299" s="62"/>
      <c r="AG299" s="91"/>
    </row>
    <row r="300" ht="15.0" customHeight="1">
      <c r="N300" s="62"/>
      <c r="AG300" s="91"/>
    </row>
    <row r="301" ht="15.0" customHeight="1">
      <c r="N301" s="62"/>
      <c r="AG301" s="91"/>
    </row>
    <row r="302" ht="15.0" customHeight="1">
      <c r="N302" s="62"/>
      <c r="AG302" s="91"/>
    </row>
    <row r="303" ht="15.0" customHeight="1">
      <c r="N303" s="62"/>
      <c r="AG303" s="91"/>
    </row>
    <row r="304" ht="15.0" customHeight="1">
      <c r="N304" s="62"/>
      <c r="AG304" s="91"/>
    </row>
    <row r="305" ht="15.75" customHeight="1"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N$108"/>
  <printOptions/>
  <pageMargins bottom="0.75" footer="0.0" header="0.0" left="0.7" right="0.7" top="0.75"/>
  <pageSetup fitToHeight="0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43"/>
    <col customWidth="1" min="3" max="3" width="11.71"/>
    <col customWidth="1" min="4" max="4" width="42.57"/>
    <col customWidth="1" min="5" max="5" width="13.14"/>
    <col customWidth="1" min="6" max="6" width="17.29"/>
    <col customWidth="1" min="7" max="7" width="11.71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C1" s="3"/>
      <c r="D1" s="97" t="s">
        <v>540</v>
      </c>
      <c r="E1" s="98">
        <f>+AI3</f>
        <v>5588.609</v>
      </c>
      <c r="F1" s="97" t="s">
        <v>241</v>
      </c>
      <c r="G1" s="98">
        <f>+$AM3</f>
        <v>470867.5536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65"/>
      <c r="C2" s="3"/>
      <c r="D2" s="97" t="s">
        <v>242</v>
      </c>
      <c r="E2" s="98">
        <f>+AH3</f>
        <v>4807.248</v>
      </c>
      <c r="F2" s="99" t="s">
        <v>243</v>
      </c>
      <c r="G2" s="100">
        <f>+Q2</f>
        <v>87.88038707</v>
      </c>
      <c r="H2" s="13"/>
      <c r="I2" s="184">
        <f>SUBTOTAL(9,I4:I1519)</f>
        <v>548.95</v>
      </c>
      <c r="J2" s="4"/>
      <c r="K2" s="14">
        <f>SUBTOTAL(9,K4:K1519)</f>
        <v>521.298</v>
      </c>
      <c r="L2" s="126">
        <f>+SUMPRODUCT(L5:L1519,K5:K1519)/K2</f>
        <v>0.3126861622</v>
      </c>
      <c r="M2" s="2"/>
      <c r="O2" s="6"/>
      <c r="P2" s="16">
        <f>+SUMPRODUCT(P4:P1519,AH4:AH1519)/SUM(AH4:AH1519)</f>
        <v>83.1429065</v>
      </c>
      <c r="Q2" s="16">
        <f>+SUMPRODUCT(Q4:Q1519,AH4:AH1519)/SUM(AH4:AH1519)</f>
        <v>87.88038707</v>
      </c>
      <c r="R2" s="12">
        <f>+SUMPRODUCT(R4:R1519,AH4:AH1519)/SUM(AH4:AH1519)</f>
        <v>4092.549707</v>
      </c>
      <c r="S2" s="2"/>
      <c r="AB2" s="7"/>
      <c r="AC2" s="7"/>
      <c r="AD2" s="7"/>
      <c r="AE2" s="7"/>
      <c r="AF2" s="7"/>
      <c r="AG2" s="17">
        <f>SUMPRODUCT($AG4:$AG1519,$K4:$K1519)/SUM($K4:$K1519)</f>
        <v>148.6872068</v>
      </c>
      <c r="AH2" s="18"/>
      <c r="AI2" s="2"/>
      <c r="AJ2" s="19">
        <v>3950.0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2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SUBTOTAL(9,AH4:AH1519)</f>
        <v>4807.248</v>
      </c>
      <c r="AI3" s="186">
        <f t="shared" si="1"/>
        <v>5588.609</v>
      </c>
      <c r="AJ3" s="187">
        <f>SUMPRODUCT(K4:K1519,AJ4:AJ1519)/K2</f>
        <v>-7.38099347</v>
      </c>
      <c r="AK3" s="39">
        <f>SUBTOTAL(9,AK4:AK1519)</f>
        <v>4439.820125</v>
      </c>
      <c r="AL3" s="11"/>
      <c r="AM3" s="39">
        <f>SUBTOTAL(9,AM4:AM1519)</f>
        <v>470867.5536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2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92" t="s">
        <v>1804</v>
      </c>
      <c r="B5" s="441"/>
      <c r="C5" s="182">
        <v>45925.0</v>
      </c>
      <c r="D5" s="57" t="s">
        <v>602</v>
      </c>
      <c r="E5" s="3">
        <f t="array" ref="E5">XLOOKUP(D5,RUC!$B$3:$B$110,RUC!$D$3:$D$110)</f>
        <v>20169040231</v>
      </c>
      <c r="G5" s="141">
        <v>70.0</v>
      </c>
      <c r="H5" s="3" t="s">
        <v>47</v>
      </c>
      <c r="I5" s="6">
        <v>6.93</v>
      </c>
      <c r="J5" s="58">
        <v>5.4</v>
      </c>
      <c r="K5" s="6">
        <f t="shared" ref="K5:K93" si="2">ROUND(+I5-(I5*(J5/100)),3)</f>
        <v>6.556</v>
      </c>
      <c r="L5" s="60">
        <v>0.073</v>
      </c>
      <c r="M5" s="60">
        <v>0.046</v>
      </c>
      <c r="N5" s="62">
        <v>0.046</v>
      </c>
      <c r="O5" s="60">
        <f t="shared" ref="O5:O21" si="3">+ROUND((M5+N5)/2,3)</f>
        <v>0.046</v>
      </c>
      <c r="P5" s="63">
        <v>80.0</v>
      </c>
      <c r="Q5" s="439">
        <v>90.16</v>
      </c>
      <c r="R5" s="65">
        <v>3730.75</v>
      </c>
      <c r="S5" s="66">
        <f t="array" ref="S5">IF((XLOOKUP(D5,RUC!$B$3:$B$106,RUC!$E$3:$E$106)+ROUNDDOWN(O5,1)*100)&lt;95,95,((XLOOKUP(D5,RUC!$B$3:$B$106,RUC!$E$3:$E$106)+ROUNDDOWN(O5,1)*100)))</f>
        <v>95</v>
      </c>
      <c r="U5" s="67">
        <f t="array" ref="U5">XLOOKUP(D5,RUC!$B$3:$B$110,RUC!$F$3:$F$110)</f>
        <v>120</v>
      </c>
      <c r="V5" s="67">
        <v>1.1023</v>
      </c>
      <c r="Y5" s="57">
        <f t="array" ref="Y5">XLOOKUP(D5,RUC!$B$3:$B$110,RUC!$G$3:$G$110)</f>
        <v>20</v>
      </c>
      <c r="Z5" s="69">
        <f t="array" ref="Z5">XLOOKUP(D5,RUC!$B$3:$B$110,RUC!$H$3:$H$110)</f>
        <v>30</v>
      </c>
      <c r="AA5" s="70">
        <f t="shared" ref="AA5:AA93" si="4">+Y5+Z5</f>
        <v>50</v>
      </c>
      <c r="AB5" s="71">
        <v>0.001</v>
      </c>
      <c r="AC5" s="71">
        <f>+(S5-T5)*V5-'data 1'!$F$4</f>
        <v>24.7185</v>
      </c>
      <c r="AD5" s="71">
        <f t="shared" ref="AD5:AD93" si="5">+(Q5-P5)*(R5-U5)*L5*V5/100</f>
        <v>29.51982614</v>
      </c>
      <c r="AE5" s="71">
        <f t="shared" ref="AE5:AE93" si="6">+(Y5*V5-70)+V5*(Z5-IF(D5="UNTUCA",IF(+((W5-3)*2.5+(X5-3)*3.1)&gt;0,+((W5-3)*1.5+(X5-3)*3.1),0),IF(+((W5-3)*1.5+(X5-3)*3.1)&gt;0,+((W5-3)*1.5+(X5-3)*3.1),0)))</f>
        <v>-14.885</v>
      </c>
      <c r="AF5" s="71">
        <f t="shared" ref="AF5:AF93" si="7">(L5-O5)*(R5-U5)*Q5*V5/100</f>
        <v>96.88909392</v>
      </c>
      <c r="AG5" s="72">
        <f>AC5+AD5+AE5+AF5+70-53-13.36</f>
        <v>139.8824201</v>
      </c>
      <c r="AH5" s="193">
        <f t="shared" ref="AH5:AH93" si="8">ROUND((31.1035*L5*Q5*1.1023*K5/100),3)</f>
        <v>14.794</v>
      </c>
      <c r="AI5" s="193">
        <f t="shared" ref="AI5:AI93" si="9">ROUND((31.1035*L5*1.1023*K5),3)</f>
        <v>16.409</v>
      </c>
      <c r="AJ5" s="73">
        <f t="shared" ref="AJ5:AJ93" si="10">+((+$AJ$2-R5+U5)*L5*Q5*V5)/100</f>
        <v>24.61253954</v>
      </c>
      <c r="AK5" s="73">
        <f t="shared" ref="AK5:AK93" si="11">31.1035*1.1023*K5*P5*O5/100</f>
        <v>8.271720149</v>
      </c>
      <c r="AL5" s="11"/>
      <c r="AM5" s="51">
        <f t="shared" ref="AM5:AM93" si="12">+IF(AB5*K5&gt;0,AB5*K5,0)</f>
        <v>0.006556</v>
      </c>
      <c r="AN5" s="51" t="str">
        <f t="array" ref="AN5">XLOOKUP(D5,RUC!$B$3:$B$565,RUC!$M$3:$M$565)</f>
        <v>Ronald Miranda</v>
      </c>
      <c r="AO5" s="131" t="s">
        <v>558</v>
      </c>
      <c r="AP5" s="57" t="s">
        <v>1461</v>
      </c>
      <c r="AQ5" s="57" t="s">
        <v>1462</v>
      </c>
    </row>
    <row r="6" ht="15.0" customHeight="1">
      <c r="A6" s="192" t="s">
        <v>1805</v>
      </c>
      <c r="B6" s="441"/>
      <c r="C6" s="182">
        <v>45925.0</v>
      </c>
      <c r="D6" s="57" t="s">
        <v>602</v>
      </c>
      <c r="E6" s="3">
        <f t="array" ref="E6">XLOOKUP(D6,RUC!$B$3:$B$110,RUC!$D$3:$D$110)</f>
        <v>20169040231</v>
      </c>
      <c r="G6" s="141">
        <v>80.0</v>
      </c>
      <c r="H6" s="3" t="s">
        <v>47</v>
      </c>
      <c r="I6" s="6">
        <v>8.02</v>
      </c>
      <c r="J6" s="58">
        <v>5.8</v>
      </c>
      <c r="K6" s="6">
        <f t="shared" si="2"/>
        <v>7.555</v>
      </c>
      <c r="L6" s="60">
        <v>0.069</v>
      </c>
      <c r="M6" s="60">
        <v>0.054</v>
      </c>
      <c r="N6" s="62">
        <v>0.054</v>
      </c>
      <c r="O6" s="60">
        <f t="shared" si="3"/>
        <v>0.054</v>
      </c>
      <c r="P6" s="63">
        <v>80.0</v>
      </c>
      <c r="Q6" s="439">
        <v>85.51</v>
      </c>
      <c r="R6" s="65">
        <v>3730.75</v>
      </c>
      <c r="S6" s="66">
        <f t="array" ref="S6">IF((XLOOKUP(D6,RUC!$B$3:$B$106,RUC!$E$3:$E$106)+ROUNDDOWN(O6,1)*100)&lt;95,95,((XLOOKUP(D6,RUC!$B$3:$B$106,RUC!$E$3:$E$106)+ROUNDDOWN(O6,1)*100)))</f>
        <v>95</v>
      </c>
      <c r="U6" s="67">
        <f t="array" ref="U6">XLOOKUP(D6,RUC!$B$3:$B$110,RUC!$F$3:$F$110)</f>
        <v>120</v>
      </c>
      <c r="V6" s="67">
        <v>1.1023</v>
      </c>
      <c r="Y6" s="57">
        <f t="array" ref="Y6">XLOOKUP(D6,RUC!$B$3:$B$110,RUC!$G$3:$G$110)</f>
        <v>20</v>
      </c>
      <c r="Z6" s="69">
        <f t="array" ref="Z6">XLOOKUP(D6,RUC!$B$3:$B$110,RUC!$H$3:$H$110)</f>
        <v>30</v>
      </c>
      <c r="AA6" s="70">
        <f t="shared" si="4"/>
        <v>50</v>
      </c>
      <c r="AB6" s="71">
        <v>0.001</v>
      </c>
      <c r="AC6" s="71">
        <f>+(S6-T6)*V6-'data 1'!$F$4</f>
        <v>24.7185</v>
      </c>
      <c r="AD6" s="71">
        <f t="shared" si="5"/>
        <v>15.1320552</v>
      </c>
      <c r="AE6" s="71">
        <f t="shared" si="6"/>
        <v>-14.885</v>
      </c>
      <c r="AF6" s="71">
        <f t="shared" si="7"/>
        <v>51.05113392</v>
      </c>
      <c r="AG6" s="72">
        <f>AC6+AD6+AE6+AF6+70-53-12.11</f>
        <v>80.90668912</v>
      </c>
      <c r="AH6" s="193">
        <f t="shared" si="8"/>
        <v>15.283</v>
      </c>
      <c r="AI6" s="193">
        <f t="shared" si="9"/>
        <v>17.873</v>
      </c>
      <c r="AJ6" s="73">
        <f t="shared" si="10"/>
        <v>22.06407174</v>
      </c>
      <c r="AK6" s="73">
        <f t="shared" si="11"/>
        <v>11.18992781</v>
      </c>
      <c r="AL6" s="11"/>
      <c r="AM6" s="51">
        <f t="shared" si="12"/>
        <v>0.007555</v>
      </c>
      <c r="AN6" s="51" t="str">
        <f t="array" ref="AN6">XLOOKUP(D6,RUC!$B$3:$B$565,RUC!$M$3:$M$565)</f>
        <v>Ronald Miranda</v>
      </c>
      <c r="AO6" s="131" t="s">
        <v>547</v>
      </c>
      <c r="AP6" s="57" t="s">
        <v>1461</v>
      </c>
      <c r="AQ6" s="57" t="s">
        <v>1462</v>
      </c>
      <c r="AV6" s="149" t="s">
        <v>1806</v>
      </c>
      <c r="AW6" s="150"/>
      <c r="AX6" s="150"/>
      <c r="AY6" s="150"/>
      <c r="AZ6" s="150"/>
      <c r="BA6" s="150"/>
      <c r="BB6" s="150"/>
      <c r="BC6" s="150"/>
      <c r="BD6" s="151"/>
    </row>
    <row r="7" ht="15.0" customHeight="1">
      <c r="A7" s="116" t="s">
        <v>1807</v>
      </c>
      <c r="B7" s="56">
        <v>45937.0</v>
      </c>
      <c r="C7" s="182">
        <v>45930.0</v>
      </c>
      <c r="D7" s="57" t="s">
        <v>602</v>
      </c>
      <c r="E7" s="3">
        <f t="array" ref="E7">XLOOKUP(D7,RUC!$B$3:$B$110,RUC!$D$3:$D$110)</f>
        <v>20169040231</v>
      </c>
      <c r="G7" s="141">
        <v>73.0</v>
      </c>
      <c r="H7" s="3" t="s">
        <v>47</v>
      </c>
      <c r="I7" s="6">
        <v>6.72</v>
      </c>
      <c r="J7" s="58">
        <v>1.2</v>
      </c>
      <c r="K7" s="6">
        <f t="shared" si="2"/>
        <v>6.639</v>
      </c>
      <c r="L7" s="3">
        <v>4.767</v>
      </c>
      <c r="M7" s="3">
        <v>4.529</v>
      </c>
      <c r="N7" s="62">
        <f t="shared" ref="N7:N10" si="14">+M7</f>
        <v>4.529</v>
      </c>
      <c r="O7" s="60">
        <f t="shared" si="3"/>
        <v>4.529</v>
      </c>
      <c r="P7" s="63">
        <v>64.0</v>
      </c>
      <c r="Q7" s="58">
        <v>64.9</v>
      </c>
      <c r="R7" s="65">
        <v>3825.3</v>
      </c>
      <c r="S7" s="66">
        <f t="array" ref="S7">IF((XLOOKUP(D7,RUC!$B$3:$B$106,RUC!$E$3:$E$106)+ROUNDDOWN(O7,1)*100)&lt;95,95,((XLOOKUP(D7,RUC!$B$3:$B$106,RUC!$E$3:$E$106)+ROUNDDOWN(O7,1)*100)))</f>
        <v>535</v>
      </c>
      <c r="U7" s="67">
        <f t="array" ref="U7">XLOOKUP(D7,RUC!$B$3:$B$110,RUC!$F$3:$F$110)</f>
        <v>120</v>
      </c>
      <c r="V7" s="67">
        <v>1.1023</v>
      </c>
      <c r="Y7" s="57">
        <f t="array" ref="Y7">XLOOKUP(D7,RUC!$B$3:$B$110,RUC!$G$3:$G$110)</f>
        <v>20</v>
      </c>
      <c r="Z7" s="140">
        <v>35.0</v>
      </c>
      <c r="AA7" s="70">
        <f t="shared" si="4"/>
        <v>55</v>
      </c>
      <c r="AB7" s="71">
        <f>+((O7*P7*(R7-U7)/100)-S7-AA7+T7)*V7</f>
        <v>11188.38288</v>
      </c>
      <c r="AC7" s="71">
        <f>+(S7-T7)*V7-'data 1'!$F$4</f>
        <v>509.7305</v>
      </c>
      <c r="AD7" s="71">
        <f t="shared" si="5"/>
        <v>175.230962</v>
      </c>
      <c r="AE7" s="71">
        <f t="shared" si="6"/>
        <v>-9.3735</v>
      </c>
      <c r="AF7" s="71">
        <f t="shared" si="7"/>
        <v>630.877208</v>
      </c>
      <c r="AG7" s="72">
        <f>AC7+AD7+AE7+AF7+70-53</f>
        <v>1323.46517</v>
      </c>
      <c r="AH7" s="193">
        <f t="shared" si="8"/>
        <v>704.209</v>
      </c>
      <c r="AI7" s="193">
        <f t="shared" si="9"/>
        <v>1085.068</v>
      </c>
      <c r="AJ7" s="73">
        <f t="shared" si="10"/>
        <v>834.4947821</v>
      </c>
      <c r="AK7" s="73">
        <f t="shared" si="11"/>
        <v>659.7722309</v>
      </c>
      <c r="AL7" s="11"/>
      <c r="AM7" s="51">
        <f t="shared" si="12"/>
        <v>74279.67397</v>
      </c>
      <c r="AN7" s="51" t="str">
        <f t="array" ref="AN7">XLOOKUP(D7,RUC!$B$3:$B$565,RUC!$M$3:$M$565)</f>
        <v>Ronald Miranda</v>
      </c>
      <c r="AO7" s="131" t="s">
        <v>547</v>
      </c>
      <c r="AP7" s="57" t="s">
        <v>1488</v>
      </c>
      <c r="AQ7" s="57" t="s">
        <v>1489</v>
      </c>
      <c r="AW7" s="195">
        <f>SUM(AW9:AW18)</f>
        <v>521.298</v>
      </c>
      <c r="AX7" s="196">
        <f>SUMPRODUCT(AW9:AW18,AX9:AX18)/SUM(AW9:AW18)</f>
        <v>0.3126861622</v>
      </c>
      <c r="AY7" s="197"/>
      <c r="AZ7" s="198">
        <f>SUMPRODUCT(AZ9:AZ18,$BB9:$BB18)/SUM($BB9:$BB18)/100</f>
        <v>0.8788038707</v>
      </c>
      <c r="BA7" s="82">
        <f t="shared" ref="BA7:BB7" si="13">SUM(BA9:BA18)</f>
        <v>5588.609828</v>
      </c>
      <c r="BB7" s="82">
        <f t="shared" si="13"/>
        <v>4807.248</v>
      </c>
    </row>
    <row r="8" ht="15.0" customHeight="1">
      <c r="A8" s="192" t="s">
        <v>1808</v>
      </c>
      <c r="B8" s="441">
        <v>45947.0</v>
      </c>
      <c r="C8" s="182">
        <v>45930.0</v>
      </c>
      <c r="D8" s="57" t="s">
        <v>602</v>
      </c>
      <c r="E8" s="3">
        <f t="array" ref="E8">XLOOKUP(D8,RUC!$B$3:$B$110,RUC!$D$3:$D$110)</f>
        <v>20169040231</v>
      </c>
      <c r="G8" s="141">
        <v>82.0</v>
      </c>
      <c r="H8" s="3" t="s">
        <v>47</v>
      </c>
      <c r="I8" s="6">
        <v>8.36</v>
      </c>
      <c r="J8" s="58">
        <v>1.2</v>
      </c>
      <c r="K8" s="6">
        <f t="shared" si="2"/>
        <v>8.26</v>
      </c>
      <c r="L8" s="3">
        <v>0.103</v>
      </c>
      <c r="M8" s="3">
        <v>0.088</v>
      </c>
      <c r="N8" s="62">
        <f t="shared" si="14"/>
        <v>0.088</v>
      </c>
      <c r="O8" s="60">
        <f t="shared" si="3"/>
        <v>0.088</v>
      </c>
      <c r="P8" s="63">
        <v>80.0</v>
      </c>
      <c r="Q8" s="58">
        <v>92.13</v>
      </c>
      <c r="R8" s="65">
        <v>3825.3</v>
      </c>
      <c r="S8" s="66">
        <f t="array" ref="S8">IF((XLOOKUP(D8,RUC!$B$3:$B$106,RUC!$E$3:$E$106)+ROUNDDOWN(O8,1)*100)&lt;95,95,((XLOOKUP(D8,RUC!$B$3:$B$106,RUC!$E$3:$E$106)+ROUNDDOWN(O8,1)*100)))</f>
        <v>95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69">
        <f t="array" ref="Z8">XLOOKUP(D8,RUC!$B$3:$B$110,RUC!$H$3:$H$110)</f>
        <v>30</v>
      </c>
      <c r="AA8" s="70">
        <f t="shared" si="4"/>
        <v>50</v>
      </c>
      <c r="AB8" s="71">
        <v>0.001</v>
      </c>
      <c r="AC8" s="71">
        <f>+(S8-T8)*V8-'data 1'!$F$4</f>
        <v>24.7185</v>
      </c>
      <c r="AD8" s="71">
        <f t="shared" si="5"/>
        <v>51.02948783</v>
      </c>
      <c r="AE8" s="71">
        <f t="shared" si="6"/>
        <v>-14.885</v>
      </c>
      <c r="AF8" s="71">
        <f t="shared" si="7"/>
        <v>56.44370509</v>
      </c>
      <c r="AG8" s="72">
        <f>AC8+AD8+AE8+AF8+70-53+127.7</f>
        <v>262.0066929</v>
      </c>
      <c r="AH8" s="193">
        <f t="shared" si="8"/>
        <v>26.874</v>
      </c>
      <c r="AI8" s="193">
        <f t="shared" si="9"/>
        <v>29.169</v>
      </c>
      <c r="AJ8" s="73">
        <f t="shared" si="10"/>
        <v>25.5959983</v>
      </c>
      <c r="AK8" s="73">
        <f t="shared" si="11"/>
        <v>19.93709029</v>
      </c>
      <c r="AL8" s="11"/>
      <c r="AM8" s="51">
        <f t="shared" si="12"/>
        <v>0.00826</v>
      </c>
      <c r="AN8" s="51" t="str">
        <f t="array" ref="AN8">XLOOKUP(D8,RUC!$B$3:$B$565,RUC!$M$3:$M$565)</f>
        <v>Ronald Miranda</v>
      </c>
      <c r="AO8" s="131" t="s">
        <v>558</v>
      </c>
      <c r="AP8" s="57" t="s">
        <v>1488</v>
      </c>
      <c r="AQ8" s="57" t="s">
        <v>1489</v>
      </c>
      <c r="AV8" s="3"/>
      <c r="AW8" s="3" t="s">
        <v>14</v>
      </c>
      <c r="AX8" s="3" t="s">
        <v>683</v>
      </c>
      <c r="AY8" s="143" t="s">
        <v>683</v>
      </c>
      <c r="AZ8" s="3" t="s">
        <v>685</v>
      </c>
      <c r="BA8" s="3" t="s">
        <v>686</v>
      </c>
      <c r="BB8" s="3" t="s">
        <v>687</v>
      </c>
      <c r="BC8" s="3" t="s">
        <v>698</v>
      </c>
      <c r="BD8" s="65" t="s">
        <v>699</v>
      </c>
    </row>
    <row r="9" ht="15.0" customHeight="1">
      <c r="A9" s="116" t="s">
        <v>1809</v>
      </c>
      <c r="B9" s="56">
        <v>45949.0</v>
      </c>
      <c r="C9" s="182">
        <v>45939.0</v>
      </c>
      <c r="D9" s="57" t="s">
        <v>852</v>
      </c>
      <c r="E9" s="3">
        <f t="array" ref="E9">XLOOKUP(D9,RUC!$B$3:$B$110,RUC!$D$3:$D$110)</f>
        <v>20610807004</v>
      </c>
      <c r="G9" s="141">
        <v>25.0</v>
      </c>
      <c r="H9" s="3" t="s">
        <v>40</v>
      </c>
      <c r="I9" s="6">
        <v>1.86</v>
      </c>
      <c r="J9" s="58">
        <v>10.52</v>
      </c>
      <c r="K9" s="6">
        <f t="shared" si="2"/>
        <v>1.664</v>
      </c>
      <c r="L9" s="3">
        <v>0.293</v>
      </c>
      <c r="M9" s="3">
        <v>0.278</v>
      </c>
      <c r="N9" s="62">
        <f t="shared" si="14"/>
        <v>0.278</v>
      </c>
      <c r="O9" s="60">
        <f t="shared" si="3"/>
        <v>0.278</v>
      </c>
      <c r="P9" s="63">
        <v>55.0</v>
      </c>
      <c r="Q9" s="58">
        <v>55.48</v>
      </c>
      <c r="R9" s="65">
        <v>4019.25</v>
      </c>
      <c r="S9" s="66">
        <f t="array" ref="S9">IF((XLOOKUP(D9,RUC!$B$3:$B$106,RUC!$E$3:$E$106)+ROUNDDOWN(O9,1)*100)&lt;95,95,((XLOOKUP(D9,RUC!$B$3:$B$106,RUC!$E$3:$E$106)+ROUNDDOWN(O9,1)*100)))</f>
        <v>105</v>
      </c>
      <c r="U9" s="67">
        <f t="array" ref="U9">XLOOKUP(D9,RUC!$B$3:$B$110,RUC!$F$3:$F$110)</f>
        <v>120</v>
      </c>
      <c r="V9" s="67">
        <v>1.1023</v>
      </c>
      <c r="Y9" s="57">
        <f t="array" ref="Y9">XLOOKUP(D9,RUC!$B$3:$B$110,RUC!$G$3:$G$110)</f>
        <v>20</v>
      </c>
      <c r="Z9" s="69">
        <f t="array" ref="Z9">XLOOKUP(D9,RUC!$B$3:$B$110,RUC!$H$3:$H$110)</f>
        <v>30</v>
      </c>
      <c r="AA9" s="70">
        <f t="shared" si="4"/>
        <v>50</v>
      </c>
      <c r="AB9" s="71">
        <f t="shared" ref="AB9:AB61" si="15">+((O9*P9*(R9-U9)/100)-S9-AA9+T9)*V9</f>
        <v>486.3296067</v>
      </c>
      <c r="AC9" s="71">
        <f>+(S9-T9)*V9-'data 1'!$F$4</f>
        <v>35.7415</v>
      </c>
      <c r="AD9" s="71">
        <f t="shared" si="5"/>
        <v>6.044908702</v>
      </c>
      <c r="AE9" s="71">
        <f t="shared" si="6"/>
        <v>-14.885</v>
      </c>
      <c r="AF9" s="71">
        <f t="shared" si="7"/>
        <v>35.76914833</v>
      </c>
      <c r="AG9" s="72">
        <f t="shared" ref="AG9:AG17" si="16">AC9+AD9+AE9+AF9+70-53</f>
        <v>79.67055704</v>
      </c>
      <c r="AH9" s="193">
        <f t="shared" si="8"/>
        <v>9.274</v>
      </c>
      <c r="AI9" s="193">
        <f t="shared" si="9"/>
        <v>16.716</v>
      </c>
      <c r="AJ9" s="73">
        <f t="shared" si="10"/>
        <v>9.093685426</v>
      </c>
      <c r="AK9" s="73">
        <f t="shared" si="11"/>
        <v>8.723080426</v>
      </c>
      <c r="AL9" s="11"/>
      <c r="AM9" s="51">
        <f t="shared" si="12"/>
        <v>809.2524656</v>
      </c>
      <c r="AN9" s="51" t="str">
        <f t="array" ref="AN9">XLOOKUP(D9,RUC!$B$3:$B$565,RUC!$M$3:$M$565)</f>
        <v>Renzo</v>
      </c>
      <c r="AO9" s="131" t="s">
        <v>549</v>
      </c>
      <c r="AP9" s="57" t="s">
        <v>1581</v>
      </c>
      <c r="AQ9" s="57" t="s">
        <v>1582</v>
      </c>
      <c r="AV9" s="152" t="s">
        <v>558</v>
      </c>
      <c r="AW9" s="154">
        <f t="shared" ref="AW9:AW18" si="17">SUMIF($AO$4:$AO$1627,AV9,$K$4:$K$1627)</f>
        <v>102.469</v>
      </c>
      <c r="AX9" s="154">
        <f t="array" ref="AX9">+SUMPRODUCT(IF($AO$4:$AO$1627=AV9,$L$4:$L$1627*$K$4:$K$1627/AW9))</f>
        <v>0.2992775376</v>
      </c>
      <c r="AY9" s="155">
        <f t="shared" ref="AY9:AY18" si="18">31.1035*1.1023*AX9*(100-AZ9)/100</f>
        <v>0.9686392666</v>
      </c>
      <c r="AZ9" s="157">
        <f t="array" ref="AZ9">+SUMPRODUCT(IF($AO$4:$AO$1627=AV9,($Q$4:$Q$1627*$AH$4:$AH$1627)/SUMIF($AO$4:$AO$1627,$AV9,$AH$4:$AH$1627)))</f>
        <v>90.55985034</v>
      </c>
      <c r="BA9" s="200">
        <f t="shared" ref="BA9:BA18" si="19">+AX9*31.1035*1.1023*AW9</f>
        <v>1051.418681</v>
      </c>
      <c r="BB9" s="156">
        <f t="shared" ref="BB9:BB18" si="20">SUMIF($AO$4:$AO$727,$AV9,$AH$4:$AH$727)</f>
        <v>949.246</v>
      </c>
      <c r="BC9" s="157">
        <f>+BA9-BB9</f>
        <v>102.1726812</v>
      </c>
      <c r="BD9" s="158">
        <f>+AW9</f>
        <v>102.469</v>
      </c>
    </row>
    <row r="10" ht="15.0" customHeight="1">
      <c r="A10" s="116" t="s">
        <v>1810</v>
      </c>
      <c r="B10" s="56">
        <v>45953.0</v>
      </c>
      <c r="C10" s="182">
        <v>45944.0</v>
      </c>
      <c r="D10" s="57" t="s">
        <v>295</v>
      </c>
      <c r="E10" s="3">
        <f t="array" ref="E10">XLOOKUP(D10,RUC!$B$3:$B$110,RUC!$D$3:$D$110)</f>
        <v>20601769396</v>
      </c>
      <c r="G10" s="141">
        <v>33.0</v>
      </c>
      <c r="H10" s="3" t="s">
        <v>47</v>
      </c>
      <c r="I10" s="6">
        <v>3.0</v>
      </c>
      <c r="J10" s="58">
        <v>17.9</v>
      </c>
      <c r="K10" s="6">
        <f t="shared" si="2"/>
        <v>2.463</v>
      </c>
      <c r="L10" s="3">
        <v>0.404</v>
      </c>
      <c r="M10" s="60">
        <v>0.384</v>
      </c>
      <c r="N10" s="62">
        <f t="shared" si="14"/>
        <v>0.384</v>
      </c>
      <c r="O10" s="60">
        <f t="shared" si="3"/>
        <v>0.384</v>
      </c>
      <c r="P10" s="63">
        <v>90.0</v>
      </c>
      <c r="Q10" s="58">
        <v>90.59</v>
      </c>
      <c r="R10" s="65">
        <v>4126.3</v>
      </c>
      <c r="S10" s="66">
        <f t="array" ref="S10">IF((XLOOKUP(D10,RUC!$B$3:$B$106,RUC!$E$3:$E$106)+ROUNDDOWN(O10,1)*100)&lt;95,95,((XLOOKUP(D10,RUC!$B$3:$B$106,RUC!$E$3:$E$106)+ROUNDDOWN(O10,1)*100)))</f>
        <v>120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69">
        <f t="array" ref="Z10">XLOOKUP(D10,RUC!$B$3:$B$110,RUC!$H$3:$H$110)</f>
        <v>30</v>
      </c>
      <c r="AA10" s="70">
        <f t="shared" si="4"/>
        <v>50</v>
      </c>
      <c r="AB10" s="71">
        <f t="shared" si="15"/>
        <v>1338.828536</v>
      </c>
      <c r="AC10" s="71">
        <f>+(S10-T10)*V10-'data 1'!$F$4</f>
        <v>52.276</v>
      </c>
      <c r="AD10" s="71">
        <f t="shared" si="5"/>
        <v>10.52632201</v>
      </c>
      <c r="AE10" s="71">
        <f t="shared" si="6"/>
        <v>-14.885</v>
      </c>
      <c r="AF10" s="71">
        <f t="shared" si="7"/>
        <v>80.01170587</v>
      </c>
      <c r="AG10" s="72">
        <f t="shared" si="16"/>
        <v>144.9290279</v>
      </c>
      <c r="AH10" s="193">
        <f t="shared" si="8"/>
        <v>30.905</v>
      </c>
      <c r="AI10" s="193">
        <f t="shared" si="9"/>
        <v>34.116</v>
      </c>
      <c r="AJ10" s="73">
        <f t="shared" si="10"/>
        <v>-22.71275556</v>
      </c>
      <c r="AK10" s="73">
        <f t="shared" si="11"/>
        <v>29.18416116</v>
      </c>
      <c r="AL10" s="11"/>
      <c r="AM10" s="51">
        <f t="shared" si="12"/>
        <v>3297.534684</v>
      </c>
      <c r="AN10" s="51" t="str">
        <f t="array" ref="AN10">XLOOKUP(D10,RUC!$B$3:$B$565,RUC!$M$3:$M$565)</f>
        <v>Evelyn</v>
      </c>
      <c r="AO10" s="131" t="s">
        <v>558</v>
      </c>
      <c r="AP10" s="57" t="s">
        <v>1811</v>
      </c>
      <c r="AQ10" s="57" t="s">
        <v>1812</v>
      </c>
      <c r="AV10" s="160" t="s">
        <v>551</v>
      </c>
      <c r="AW10" s="6">
        <f t="shared" si="17"/>
        <v>111.23</v>
      </c>
      <c r="AX10" s="6">
        <f t="array" ref="AX10">+SUMPRODUCT(IF($AO$4:$AO$1627=AV10,$L$4:$L$1627*$K$4:$K$1627/AW10))</f>
        <v>0.3048842129</v>
      </c>
      <c r="AY10" s="145">
        <f t="shared" si="18"/>
        <v>1.226856382</v>
      </c>
      <c r="AZ10" s="58">
        <f t="array" ref="AZ10">+SUMPRODUCT(IF($AO$4:$AO$1627=AV10,($Q$4:$Q$1627*$AH$4:$AH$1627)/SUMIF($AO$4:$AO$1627,$AV10,$AH$4:$AH$1627)))</f>
        <v>88.26319956</v>
      </c>
      <c r="BA10" s="5">
        <f t="shared" si="19"/>
        <v>1162.695371</v>
      </c>
      <c r="BB10" s="65">
        <f t="shared" si="20"/>
        <v>1009.975</v>
      </c>
      <c r="BC10" s="58">
        <f t="shared" ref="BC10:BC18" si="21">+BC9+BA10-BB10</f>
        <v>254.893052</v>
      </c>
      <c r="BD10" s="161">
        <f t="shared" ref="BD10:BD18" si="22">+BD9+AW10</f>
        <v>213.699</v>
      </c>
    </row>
    <row r="11" ht="15.0" customHeight="1">
      <c r="A11" s="116" t="s">
        <v>1813</v>
      </c>
      <c r="B11" s="56">
        <v>45953.0</v>
      </c>
      <c r="C11" s="182">
        <v>45944.0</v>
      </c>
      <c r="D11" s="57" t="s">
        <v>295</v>
      </c>
      <c r="E11" s="3">
        <f t="array" ref="E11">XLOOKUP(D11,RUC!$B$3:$B$110,RUC!$D$3:$D$110)</f>
        <v>20601769396</v>
      </c>
      <c r="G11" s="141">
        <v>33.0</v>
      </c>
      <c r="H11" s="3" t="s">
        <v>47</v>
      </c>
      <c r="I11" s="6">
        <v>2.88</v>
      </c>
      <c r="J11" s="58">
        <v>17.32</v>
      </c>
      <c r="K11" s="6">
        <f t="shared" si="2"/>
        <v>2.381</v>
      </c>
      <c r="L11" s="3">
        <v>0.181</v>
      </c>
      <c r="M11" s="60">
        <v>0.166</v>
      </c>
      <c r="N11" s="75">
        <v>0.243</v>
      </c>
      <c r="O11" s="60">
        <f t="shared" si="3"/>
        <v>0.205</v>
      </c>
      <c r="P11" s="63">
        <v>80.0</v>
      </c>
      <c r="Q11" s="58">
        <v>88.54</v>
      </c>
      <c r="R11" s="65">
        <v>4126.3</v>
      </c>
      <c r="S11" s="66">
        <f t="array" ref="S11">IF((XLOOKUP(D11,RUC!$B$3:$B$106,RUC!$E$3:$E$106)+ROUNDDOWN(O11,1)*100)&lt;95,95,((XLOOKUP(D11,RUC!$B$3:$B$106,RUC!$E$3:$E$106)+ROUNDDOWN(O11,1)*100)))</f>
        <v>110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4"/>
        <v>50</v>
      </c>
      <c r="AB11" s="71">
        <f t="shared" si="15"/>
        <v>547.8796964</v>
      </c>
      <c r="AC11" s="71">
        <f>+(S11-T11)*V11-'data 1'!$F$4</f>
        <v>41.253</v>
      </c>
      <c r="AD11" s="71">
        <f t="shared" si="5"/>
        <v>68.26211184</v>
      </c>
      <c r="AE11" s="71">
        <f t="shared" si="6"/>
        <v>-14.885</v>
      </c>
      <c r="AF11" s="71">
        <f t="shared" si="7"/>
        <v>-93.84130395</v>
      </c>
      <c r="AG11" s="72">
        <f t="shared" si="16"/>
        <v>17.78880789</v>
      </c>
      <c r="AH11" s="193">
        <f t="shared" si="8"/>
        <v>13.082</v>
      </c>
      <c r="AI11" s="193">
        <f t="shared" si="9"/>
        <v>14.776</v>
      </c>
      <c r="AJ11" s="73">
        <f t="shared" si="10"/>
        <v>-9.945492513</v>
      </c>
      <c r="AK11" s="73">
        <f t="shared" si="11"/>
        <v>13.38789547</v>
      </c>
      <c r="AL11" s="11"/>
      <c r="AM11" s="51">
        <f t="shared" si="12"/>
        <v>1304.501557</v>
      </c>
      <c r="AN11" s="51" t="str">
        <f t="array" ref="AN11">XLOOKUP(D11,RUC!$B$3:$B$565,RUC!$M$3:$M$565)</f>
        <v>Evelyn</v>
      </c>
      <c r="AO11" s="131" t="s">
        <v>558</v>
      </c>
      <c r="AP11" s="57" t="s">
        <v>1811</v>
      </c>
      <c r="AQ11" s="57" t="s">
        <v>1812</v>
      </c>
      <c r="AV11" s="160" t="s">
        <v>547</v>
      </c>
      <c r="AW11" s="6">
        <f t="shared" si="17"/>
        <v>156.675</v>
      </c>
      <c r="AX11" s="6">
        <f t="array" ref="AX11">+SUMPRODUCT(IF($AO$4:$AO$1627=AV11,$L$4:$L$1627*$K$4:$K$1627/AW11))</f>
        <v>0.3206917824</v>
      </c>
      <c r="AY11" s="145">
        <f t="shared" si="18"/>
        <v>2.418899124</v>
      </c>
      <c r="AZ11" s="58">
        <f t="array" ref="AZ11">+SUMPRODUCT(IF($AO$4:$AO$1627=AV11,($Q$4:$Q$1627*$AH$4:$AH$1627)/SUMIF($AO$4:$AO$1627,$AV11,$AH$4:$AH$1627)))</f>
        <v>78.00009241</v>
      </c>
      <c r="BA11" s="65">
        <f t="shared" si="19"/>
        <v>1722.648237</v>
      </c>
      <c r="BB11" s="65">
        <f t="shared" si="20"/>
        <v>1299.595</v>
      </c>
      <c r="BC11" s="58">
        <f t="shared" si="21"/>
        <v>677.9462891</v>
      </c>
      <c r="BD11" s="161">
        <f t="shared" si="22"/>
        <v>370.374</v>
      </c>
    </row>
    <row r="12" ht="15.0" customHeight="1">
      <c r="A12" s="116" t="s">
        <v>1814</v>
      </c>
      <c r="B12" s="56">
        <v>45953.0</v>
      </c>
      <c r="C12" s="182">
        <v>45944.0</v>
      </c>
      <c r="D12" s="57" t="s">
        <v>295</v>
      </c>
      <c r="E12" s="3">
        <f t="array" ref="E12">XLOOKUP(D12,RUC!$B$3:$B$110,RUC!$D$3:$D$110)</f>
        <v>20601769396</v>
      </c>
      <c r="G12" s="141">
        <v>34.0</v>
      </c>
      <c r="H12" s="3" t="s">
        <v>47</v>
      </c>
      <c r="I12" s="6">
        <v>2.9</v>
      </c>
      <c r="J12" s="58">
        <v>19.1</v>
      </c>
      <c r="K12" s="6">
        <f t="shared" si="2"/>
        <v>2.346</v>
      </c>
      <c r="L12" s="3">
        <v>0.327</v>
      </c>
      <c r="M12" s="60">
        <v>0.311</v>
      </c>
      <c r="N12" s="62">
        <f>+M12</f>
        <v>0.311</v>
      </c>
      <c r="O12" s="60">
        <f t="shared" si="3"/>
        <v>0.311</v>
      </c>
      <c r="P12" s="63">
        <v>90.0</v>
      </c>
      <c r="Q12" s="58">
        <v>91.13</v>
      </c>
      <c r="R12" s="65">
        <v>4126.3</v>
      </c>
      <c r="S12" s="66">
        <f t="array" ref="S12">IF((XLOOKUP(D12,RUC!$B$3:$B$106,RUC!$E$3:$E$106)+ROUNDDOWN(O12,1)*100)&lt;95,95,((XLOOKUP(D12,RUC!$B$3:$B$106,RUC!$E$3:$E$106)+ROUNDDOWN(O12,1)*100)))</f>
        <v>120</v>
      </c>
      <c r="U12" s="67">
        <f t="array" ref="U12">XLOOKUP(D12,RUC!$B$3:$B$110,RUC!$F$3:$F$110)</f>
        <v>120</v>
      </c>
      <c r="V12" s="67">
        <v>1.1023</v>
      </c>
      <c r="Y12" s="57">
        <f t="array" ref="Y12">XLOOKUP(D12,RUC!$B$3:$B$110,RUC!$G$3:$G$110)</f>
        <v>20</v>
      </c>
      <c r="Z12" s="69">
        <f t="array" ref="Z12">XLOOKUP(D12,RUC!$B$3:$B$110,RUC!$H$3:$H$110)</f>
        <v>30</v>
      </c>
      <c r="AA12" s="70">
        <f t="shared" si="4"/>
        <v>50</v>
      </c>
      <c r="AB12" s="71">
        <f t="shared" si="15"/>
        <v>1048.687843</v>
      </c>
      <c r="AC12" s="71">
        <f>+(S12-T12)*V12-'data 1'!$F$4</f>
        <v>52.276</v>
      </c>
      <c r="AD12" s="71">
        <f t="shared" si="5"/>
        <v>16.3180955</v>
      </c>
      <c r="AE12" s="71">
        <f t="shared" si="6"/>
        <v>-14.885</v>
      </c>
      <c r="AF12" s="71">
        <f t="shared" si="7"/>
        <v>64.39091958</v>
      </c>
      <c r="AG12" s="72">
        <f t="shared" si="16"/>
        <v>135.1000151</v>
      </c>
      <c r="AH12" s="193">
        <f t="shared" si="8"/>
        <v>23.969</v>
      </c>
      <c r="AI12" s="193">
        <f t="shared" si="9"/>
        <v>26.302</v>
      </c>
      <c r="AJ12" s="73">
        <f t="shared" si="10"/>
        <v>-18.49342393</v>
      </c>
      <c r="AK12" s="73">
        <f t="shared" si="11"/>
        <v>22.51334235</v>
      </c>
      <c r="AL12" s="11"/>
      <c r="AM12" s="51">
        <f t="shared" si="12"/>
        <v>2460.221679</v>
      </c>
      <c r="AN12" s="51" t="str">
        <f t="array" ref="AN12">XLOOKUP(D12,RUC!$B$3:$B$565,RUC!$M$3:$M$565)</f>
        <v>Evelyn</v>
      </c>
      <c r="AO12" s="131" t="s">
        <v>558</v>
      </c>
      <c r="AP12" s="57" t="s">
        <v>1811</v>
      </c>
      <c r="AQ12" s="57" t="s">
        <v>1812</v>
      </c>
      <c r="AV12" s="160" t="s">
        <v>549</v>
      </c>
      <c r="AW12" s="6">
        <f t="shared" si="17"/>
        <v>150.924</v>
      </c>
      <c r="AX12" s="6">
        <f t="array" ref="AX12">+SUMPRODUCT(IF($AO$4:$AO$1627=AV12,$L$4:$L$1627*$K$4:$K$1627/AW12))</f>
        <v>0.3192291816</v>
      </c>
      <c r="AY12" s="145">
        <f t="shared" si="18"/>
        <v>0.6259833796</v>
      </c>
      <c r="AZ12" s="58">
        <f t="array" ref="AZ12">+SUMPRODUCT(IF($AO$4:$AO$1627=AV12,($Q$4:$Q$1627*$AH$4:$AH$1627)/SUMIF($AO$4:$AO$1627,$AV12,$AH$4:$AH$1627)))</f>
        <v>94.28059108</v>
      </c>
      <c r="BA12" s="65">
        <f t="shared" si="19"/>
        <v>1651.847539</v>
      </c>
      <c r="BB12" s="65">
        <f t="shared" si="20"/>
        <v>1548.432</v>
      </c>
      <c r="BC12" s="58">
        <f t="shared" si="21"/>
        <v>781.3618284</v>
      </c>
      <c r="BD12" s="161">
        <f t="shared" si="22"/>
        <v>521.298</v>
      </c>
    </row>
    <row r="13" ht="15.0" customHeight="1">
      <c r="A13" s="116" t="s">
        <v>1815</v>
      </c>
      <c r="B13" s="56">
        <v>45950.0</v>
      </c>
      <c r="C13" s="182">
        <v>45944.0</v>
      </c>
      <c r="D13" s="57" t="s">
        <v>225</v>
      </c>
      <c r="E13" s="3">
        <f t="array" ref="E13">XLOOKUP(D13,RUC!$B$3:$B$110,RUC!$D$3:$D$110)</f>
        <v>10761932735</v>
      </c>
      <c r="G13" s="141" t="s">
        <v>735</v>
      </c>
      <c r="H13" s="3" t="s">
        <v>47</v>
      </c>
      <c r="I13" s="6">
        <v>37.25</v>
      </c>
      <c r="J13" s="58">
        <v>4.6</v>
      </c>
      <c r="K13" s="6">
        <f t="shared" si="2"/>
        <v>35.537</v>
      </c>
      <c r="L13" s="3">
        <v>0.133</v>
      </c>
      <c r="M13" s="60">
        <v>0.118</v>
      </c>
      <c r="N13" s="75">
        <v>0.161</v>
      </c>
      <c r="O13" s="60">
        <f t="shared" si="3"/>
        <v>0.14</v>
      </c>
      <c r="P13" s="63">
        <v>85.0</v>
      </c>
      <c r="Q13" s="58">
        <v>90.23</v>
      </c>
      <c r="R13" s="65">
        <v>4126.3</v>
      </c>
      <c r="S13" s="66">
        <f t="array" ref="S13">IF((XLOOKUP(D13,RUC!$B$3:$B$106,RUC!$E$3:$E$106)+ROUNDDOWN(O13,1)*100)&lt;95,95,((XLOOKUP(D13,RUC!$B$3:$B$106,RUC!$E$3:$E$106)+ROUNDDOWN(O13,1)*100)))</f>
        <v>100</v>
      </c>
      <c r="U13" s="67">
        <f t="array" ref="U13">XLOOKUP(D13,RUC!$B$3:$B$110,RUC!$F$3:$F$110)</f>
        <v>120</v>
      </c>
      <c r="V13" s="67">
        <v>1.1023</v>
      </c>
      <c r="Y13" s="57">
        <f t="array" ref="Y13">XLOOKUP(D13,RUC!$B$3:$B$110,RUC!$G$3:$G$110)</f>
        <v>20</v>
      </c>
      <c r="Z13" s="69">
        <f t="array" ref="Z13">XLOOKUP(D13,RUC!$B$3:$B$110,RUC!$H$3:$H$110)</f>
        <v>30</v>
      </c>
      <c r="AA13" s="70">
        <f t="shared" si="4"/>
        <v>50</v>
      </c>
      <c r="AB13" s="71">
        <f t="shared" si="15"/>
        <v>360.1761943</v>
      </c>
      <c r="AC13" s="71">
        <f>+(S13-T13)*V13-'data 1'!$F$4</f>
        <v>30.23</v>
      </c>
      <c r="AD13" s="71">
        <f t="shared" si="5"/>
        <v>30.71825946</v>
      </c>
      <c r="AE13" s="71">
        <f t="shared" si="6"/>
        <v>-14.885</v>
      </c>
      <c r="AF13" s="71">
        <f t="shared" si="7"/>
        <v>-27.89281021</v>
      </c>
      <c r="AG13" s="72">
        <f t="shared" si="16"/>
        <v>35.17044924</v>
      </c>
      <c r="AH13" s="193">
        <f t="shared" si="8"/>
        <v>146.215</v>
      </c>
      <c r="AI13" s="193">
        <f t="shared" si="9"/>
        <v>162.047</v>
      </c>
      <c r="AJ13" s="73">
        <f t="shared" si="10"/>
        <v>-7.447504951</v>
      </c>
      <c r="AK13" s="73">
        <f t="shared" si="11"/>
        <v>144.9895804</v>
      </c>
      <c r="AL13" s="11"/>
      <c r="AM13" s="51">
        <f t="shared" si="12"/>
        <v>12799.58142</v>
      </c>
      <c r="AN13" s="51" t="str">
        <f t="array" ref="AN13">XLOOKUP(D13,RUC!$B$3:$B$565,RUC!$M$3:$M$565)</f>
        <v>Richard Sapacayo</v>
      </c>
      <c r="AO13" s="131" t="s">
        <v>551</v>
      </c>
      <c r="AP13" s="57" t="s">
        <v>1613</v>
      </c>
      <c r="AQ13" s="57" t="s">
        <v>1614</v>
      </c>
      <c r="AV13" s="160" t="s">
        <v>561</v>
      </c>
      <c r="AW13" s="6">
        <f t="shared" si="17"/>
        <v>0</v>
      </c>
      <c r="AX13" s="6">
        <f t="array" ref="AX13">+SUMPRODUCT(IF($AO$4:$AO$1627=AV13,$L$4:$L$1627*$K$4:$K$1627/AW13))</f>
        <v>0</v>
      </c>
      <c r="AY13" s="145">
        <f t="shared" si="18"/>
        <v>0</v>
      </c>
      <c r="AZ13" s="58">
        <f t="array" ref="AZ13">+SUMPRODUCT(IF($AO$4:$AO$1627=AV13,($Q$4:$Q$1627*$AH$4:$AH$1627)/SUMIF($AO$4:$AO$1627,$AV13,$AH$4:$AH$1627)))</f>
        <v>0</v>
      </c>
      <c r="BA13" s="65">
        <f t="shared" si="19"/>
        <v>0</v>
      </c>
      <c r="BB13" s="65">
        <f t="shared" si="20"/>
        <v>0</v>
      </c>
      <c r="BC13" s="58">
        <f t="shared" si="21"/>
        <v>781.3618284</v>
      </c>
      <c r="BD13" s="161">
        <f t="shared" si="22"/>
        <v>521.298</v>
      </c>
    </row>
    <row r="14" ht="15.0" customHeight="1">
      <c r="A14" s="116" t="s">
        <v>1816</v>
      </c>
      <c r="B14" s="56">
        <v>45960.0</v>
      </c>
      <c r="C14" s="182">
        <v>45946.0</v>
      </c>
      <c r="D14" s="57" t="s">
        <v>225</v>
      </c>
      <c r="E14" s="3">
        <f t="array" ref="E14">XLOOKUP(D14,RUC!$B$3:$B$110,RUC!$D$3:$D$110)</f>
        <v>10761932735</v>
      </c>
      <c r="G14" s="141" t="s">
        <v>735</v>
      </c>
      <c r="H14" s="3" t="s">
        <v>47</v>
      </c>
      <c r="I14" s="6">
        <v>11.31</v>
      </c>
      <c r="J14" s="58">
        <v>10.2</v>
      </c>
      <c r="K14" s="6">
        <f t="shared" si="2"/>
        <v>10.156</v>
      </c>
      <c r="L14" s="3">
        <v>0.094</v>
      </c>
      <c r="M14" s="60">
        <v>0.079</v>
      </c>
      <c r="N14" s="75">
        <v>0.146</v>
      </c>
      <c r="O14" s="60">
        <f t="shared" si="3"/>
        <v>0.113</v>
      </c>
      <c r="P14" s="63">
        <v>80.0</v>
      </c>
      <c r="Q14" s="58">
        <v>96.81</v>
      </c>
      <c r="R14" s="65">
        <v>4261.95</v>
      </c>
      <c r="S14" s="66">
        <f t="array" ref="S14">IF((XLOOKUP(D14,RUC!$B$3:$B$106,RUC!$E$3:$E$106)+ROUNDDOWN(O14,1)*100)&lt;95,95,((XLOOKUP(D14,RUC!$B$3:$B$106,RUC!$E$3:$E$106)+ROUNDDOWN(O14,1)*100)))</f>
        <v>100</v>
      </c>
      <c r="U14" s="67">
        <f t="array" ref="U14">XLOOKUP(D14,RUC!$B$3:$B$110,RUC!$F$3:$F$110)</f>
        <v>120</v>
      </c>
      <c r="V14" s="67">
        <v>1.1023</v>
      </c>
      <c r="Y14" s="199">
        <f t="array" ref="Y14">XLOOKUP(D14,RUC!$B$3:$B$110,RUC!$G$3:$G$110)+40</f>
        <v>60</v>
      </c>
      <c r="Z14" s="69">
        <f t="array" ref="Z14">XLOOKUP(D14,RUC!$B$3:$B$110,RUC!$H$3:$H$110)</f>
        <v>30</v>
      </c>
      <c r="AA14" s="70">
        <f t="shared" si="4"/>
        <v>90</v>
      </c>
      <c r="AB14" s="71">
        <f t="shared" si="15"/>
        <v>203.2997022</v>
      </c>
      <c r="AC14" s="71">
        <f>+(S14-T14)*V14-'data 1'!$F$4</f>
        <v>30.23</v>
      </c>
      <c r="AD14" s="71">
        <f t="shared" si="5"/>
        <v>72.1440014</v>
      </c>
      <c r="AE14" s="71">
        <f t="shared" si="6"/>
        <v>29.207</v>
      </c>
      <c r="AF14" s="71">
        <f t="shared" si="7"/>
        <v>-83.98050473</v>
      </c>
      <c r="AG14" s="72">
        <f t="shared" si="16"/>
        <v>64.60049668</v>
      </c>
      <c r="AH14" s="193">
        <f t="shared" si="8"/>
        <v>31.687</v>
      </c>
      <c r="AI14" s="193">
        <f t="shared" si="9"/>
        <v>32.731</v>
      </c>
      <c r="AJ14" s="73">
        <f t="shared" si="10"/>
        <v>-19.25466636</v>
      </c>
      <c r="AK14" s="73">
        <f t="shared" si="11"/>
        <v>31.47749705</v>
      </c>
      <c r="AL14" s="11"/>
      <c r="AM14" s="51">
        <f t="shared" si="12"/>
        <v>2064.711776</v>
      </c>
      <c r="AN14" s="51" t="str">
        <f t="array" ref="AN14">XLOOKUP(D14,RUC!$B$3:$B$565,RUC!$M$3:$M$565)</f>
        <v>Richard Sapacayo</v>
      </c>
      <c r="AO14" s="131" t="s">
        <v>547</v>
      </c>
      <c r="AP14" s="57" t="s">
        <v>1817</v>
      </c>
      <c r="AQ14" s="57" t="s">
        <v>1818</v>
      </c>
      <c r="AV14" s="160" t="s">
        <v>689</v>
      </c>
      <c r="AW14" s="6">
        <f t="shared" si="17"/>
        <v>0</v>
      </c>
      <c r="AX14" s="6">
        <f t="array" ref="AX14">+SUMPRODUCT(IF($AO$4:$AO$1627=AV14,$L$4:$L$1627*$K$4:$K$1627/AW14))</f>
        <v>0</v>
      </c>
      <c r="AY14" s="145">
        <f t="shared" si="18"/>
        <v>0</v>
      </c>
      <c r="AZ14" s="58">
        <f t="array" ref="AZ14">+SUMPRODUCT(IF('30'!$AO$4:$AO$1519=AV14,('30'!$Q$4:$Q$1519*'30'!$AH$4:$AH$1519)/SUMIF('30'!$AO$4:$AO$1519,#REF!,'30'!$AH$4:$AH$1519)))</f>
        <v>0</v>
      </c>
      <c r="BA14" s="65">
        <f t="shared" si="19"/>
        <v>0</v>
      </c>
      <c r="BB14" s="65">
        <f t="shared" si="20"/>
        <v>0</v>
      </c>
      <c r="BC14" s="58">
        <f t="shared" si="21"/>
        <v>781.3618284</v>
      </c>
      <c r="BD14" s="161">
        <f t="shared" si="22"/>
        <v>521.298</v>
      </c>
    </row>
    <row r="15" ht="15.0" customHeight="1">
      <c r="A15" s="116" t="s">
        <v>1819</v>
      </c>
      <c r="B15" s="56">
        <v>45960.0</v>
      </c>
      <c r="C15" s="182">
        <v>45946.0</v>
      </c>
      <c r="D15" s="57" t="s">
        <v>225</v>
      </c>
      <c r="E15" s="3">
        <f t="array" ref="E15">XLOOKUP(D15,RUC!$B$3:$B$110,RUC!$D$3:$D$110)</f>
        <v>10761932735</v>
      </c>
      <c r="G15" s="141" t="s">
        <v>735</v>
      </c>
      <c r="H15" s="3" t="s">
        <v>47</v>
      </c>
      <c r="I15" s="6">
        <v>22.46</v>
      </c>
      <c r="J15" s="58">
        <v>9.4</v>
      </c>
      <c r="K15" s="6">
        <f t="shared" si="2"/>
        <v>20.349</v>
      </c>
      <c r="L15" s="3">
        <v>0.125</v>
      </c>
      <c r="M15" s="60">
        <v>0.11</v>
      </c>
      <c r="N15" s="75">
        <v>0.193</v>
      </c>
      <c r="O15" s="60">
        <f t="shared" si="3"/>
        <v>0.152</v>
      </c>
      <c r="P15" s="63">
        <v>90.0</v>
      </c>
      <c r="Q15" s="58">
        <v>97.6</v>
      </c>
      <c r="R15" s="65">
        <v>4261.95</v>
      </c>
      <c r="S15" s="66">
        <f t="array" ref="S15">IF((XLOOKUP(D15,RUC!$B$3:$B$106,RUC!$E$3:$E$106)+ROUNDDOWN(O15,1)*100)&lt;95,95,((XLOOKUP(D15,RUC!$B$3:$B$106,RUC!$E$3:$E$106)+ROUNDDOWN(O15,1)*100)))</f>
        <v>100</v>
      </c>
      <c r="U15" s="67">
        <f t="array" ref="U15">XLOOKUP(D15,RUC!$B$3:$B$110,RUC!$F$3:$F$110)</f>
        <v>120</v>
      </c>
      <c r="V15" s="67">
        <v>1.1023</v>
      </c>
      <c r="Y15" s="199">
        <f t="array" ref="Y15">XLOOKUP(D15,RUC!$B$3:$B$110,RUC!$G$3:$G$110)+40</f>
        <v>60</v>
      </c>
      <c r="Z15" s="69">
        <f t="array" ref="Z15">XLOOKUP(D15,RUC!$B$3:$B$110,RUC!$H$3:$H$110)</f>
        <v>30</v>
      </c>
      <c r="AA15" s="70">
        <f t="shared" si="4"/>
        <v>90</v>
      </c>
      <c r="AB15" s="71">
        <f t="shared" si="15"/>
        <v>415.1468591</v>
      </c>
      <c r="AC15" s="71">
        <f>+(S15-T15)*V15-'data 1'!$F$4</f>
        <v>30.23</v>
      </c>
      <c r="AD15" s="71">
        <f t="shared" si="5"/>
        <v>43.37387911</v>
      </c>
      <c r="AE15" s="71">
        <f t="shared" si="6"/>
        <v>29.207</v>
      </c>
      <c r="AF15" s="71">
        <f t="shared" si="7"/>
        <v>-120.314575</v>
      </c>
      <c r="AG15" s="72">
        <f t="shared" si="16"/>
        <v>-0.5036958652</v>
      </c>
      <c r="AH15" s="193">
        <f t="shared" si="8"/>
        <v>85.116</v>
      </c>
      <c r="AI15" s="193">
        <f t="shared" si="9"/>
        <v>87.209</v>
      </c>
      <c r="AJ15" s="73">
        <f t="shared" si="10"/>
        <v>-25.81355117</v>
      </c>
      <c r="AK15" s="73">
        <f t="shared" si="11"/>
        <v>95.44171584</v>
      </c>
      <c r="AL15" s="11"/>
      <c r="AM15" s="51">
        <f t="shared" si="12"/>
        <v>8447.823437</v>
      </c>
      <c r="AN15" s="51" t="str">
        <f t="array" ref="AN15">XLOOKUP(D15,RUC!$B$3:$B$565,RUC!$M$3:$M$565)</f>
        <v>Richard Sapacayo</v>
      </c>
      <c r="AO15" s="131" t="s">
        <v>547</v>
      </c>
      <c r="AP15" s="57" t="s">
        <v>1817</v>
      </c>
      <c r="AQ15" s="57" t="s">
        <v>1818</v>
      </c>
      <c r="AV15" s="160" t="s">
        <v>690</v>
      </c>
      <c r="AW15" s="6">
        <f t="shared" si="17"/>
        <v>0</v>
      </c>
      <c r="AX15" s="6">
        <f t="array" ref="AX15">+SUMPRODUCT(IF($AO$4:$AO$1627=AV15,$L$4:$L$1627*$K$4:$K$1627/AW15))</f>
        <v>0</v>
      </c>
      <c r="AY15" s="145">
        <f t="shared" si="18"/>
        <v>0</v>
      </c>
      <c r="AZ15" s="58">
        <f t="array" ref="AZ15">+SUMPRODUCT(IF('30'!$AO$4:$AO$1519=AV15,('30'!$Q$4:$Q$1519*'30'!$AH$4:$AH$1519)/SUMIF('30'!$AO$4:$AO$1519,#REF!,'30'!$AH$4:$AH$1519)))</f>
        <v>0</v>
      </c>
      <c r="BA15" s="65">
        <f t="shared" si="19"/>
        <v>0</v>
      </c>
      <c r="BB15" s="65">
        <f t="shared" si="20"/>
        <v>0</v>
      </c>
      <c r="BC15" s="58">
        <f t="shared" si="21"/>
        <v>781.3618284</v>
      </c>
      <c r="BD15" s="161">
        <f t="shared" si="22"/>
        <v>521.298</v>
      </c>
    </row>
    <row r="16" ht="15.0" customHeight="1">
      <c r="A16" s="116" t="s">
        <v>1820</v>
      </c>
      <c r="B16" s="56">
        <v>45951.0</v>
      </c>
      <c r="C16" s="182">
        <v>45946.0</v>
      </c>
      <c r="D16" s="57" t="s">
        <v>665</v>
      </c>
      <c r="E16" s="3">
        <f t="array" ref="E16">XLOOKUP(D16,RUC!$B$3:$B$110,RUC!$D$3:$D$110)</f>
        <v>20608774000</v>
      </c>
      <c r="G16" s="141">
        <v>23.0</v>
      </c>
      <c r="H16" s="3" t="s">
        <v>47</v>
      </c>
      <c r="I16" s="6">
        <v>2.31</v>
      </c>
      <c r="J16" s="58">
        <v>2.3</v>
      </c>
      <c r="K16" s="6">
        <f t="shared" si="2"/>
        <v>2.257</v>
      </c>
      <c r="L16" s="3">
        <v>0.595</v>
      </c>
      <c r="M16" s="60">
        <v>0.565</v>
      </c>
      <c r="N16" s="62">
        <f>+M16</f>
        <v>0.565</v>
      </c>
      <c r="O16" s="60">
        <f t="shared" si="3"/>
        <v>0.565</v>
      </c>
      <c r="P16" s="63">
        <v>90.0</v>
      </c>
      <c r="Q16" s="58">
        <v>97.48</v>
      </c>
      <c r="R16" s="65">
        <v>4261.95</v>
      </c>
      <c r="S16" s="66">
        <f t="array" ref="S16">IF((XLOOKUP(D16,RUC!$B$3:$B$106,RUC!$E$3:$E$106)+ROUNDDOWN(O16,1)*100)&lt;95,95,((XLOOKUP(D16,RUC!$B$3:$B$106,RUC!$E$3:$E$106)+ROUNDDOWN(O16,1)*100)))</f>
        <v>135</v>
      </c>
      <c r="U16" s="67">
        <f t="array" ref="U16">XLOOKUP(D16,RUC!$B$3:$B$110,RUC!$F$3:$F$110)</f>
        <v>120</v>
      </c>
      <c r="V16" s="67">
        <v>1.1023</v>
      </c>
      <c r="Y16" s="57">
        <f t="array" ref="Y16">XLOOKUP(D16,RUC!$B$3:$B$110,RUC!$G$3:$G$110)</f>
        <v>20</v>
      </c>
      <c r="Z16" s="140">
        <v>35.0</v>
      </c>
      <c r="AA16" s="70">
        <f t="shared" si="4"/>
        <v>55</v>
      </c>
      <c r="AB16" s="71">
        <f t="shared" si="15"/>
        <v>2112.20695</v>
      </c>
      <c r="AC16" s="71">
        <f>+(S16-T16)*V16-'data 1'!$F$4</f>
        <v>68.8105</v>
      </c>
      <c r="AD16" s="71">
        <f t="shared" si="5"/>
        <v>203.1997751</v>
      </c>
      <c r="AE16" s="71">
        <f t="shared" si="6"/>
        <v>-9.3735</v>
      </c>
      <c r="AF16" s="71">
        <f t="shared" si="7"/>
        <v>133.5184969</v>
      </c>
      <c r="AG16" s="72">
        <f t="shared" si="16"/>
        <v>413.155272</v>
      </c>
      <c r="AH16" s="193">
        <f t="shared" si="8"/>
        <v>44.882</v>
      </c>
      <c r="AI16" s="193">
        <f t="shared" si="9"/>
        <v>46.042</v>
      </c>
      <c r="AJ16" s="73">
        <f t="shared" si="10"/>
        <v>-122.7214308</v>
      </c>
      <c r="AK16" s="73">
        <f t="shared" si="11"/>
        <v>39.34880844</v>
      </c>
      <c r="AL16" s="11"/>
      <c r="AM16" s="51">
        <f t="shared" si="12"/>
        <v>4767.251086</v>
      </c>
      <c r="AN16" s="51" t="str">
        <f t="array" ref="AN16">XLOOKUP(D16,RUC!$B$3:$B$565,RUC!$M$3:$M$565)</f>
        <v>Ronald Miranda</v>
      </c>
      <c r="AO16" s="131" t="s">
        <v>549</v>
      </c>
      <c r="AP16" s="2" t="s">
        <v>1821</v>
      </c>
      <c r="AQ16" s="2" t="s">
        <v>1822</v>
      </c>
      <c r="AV16" s="160" t="s">
        <v>691</v>
      </c>
      <c r="AW16" s="6">
        <f t="shared" si="17"/>
        <v>0</v>
      </c>
      <c r="AX16" s="6">
        <f t="array" ref="AX16">+SUMPRODUCT(IF($AO$4:$AO$1627=AV16,$L$4:$L$1627*$K$4:$K$1627/AW16))</f>
        <v>0</v>
      </c>
      <c r="AY16" s="145">
        <f t="shared" si="18"/>
        <v>0</v>
      </c>
      <c r="AZ16" s="58">
        <f t="array" ref="AZ16">+SUMPRODUCT(IF('30'!$AO$4:$AO$1519=AV16,('30'!$Q$4:$Q$1519*'30'!$AH$4:$AH$1519)/SUMIF('30'!$AO$4:$AO$1519,#REF!,'30'!$AH$4:$AH$1519)))</f>
        <v>0</v>
      </c>
      <c r="BA16" s="65">
        <f t="shared" si="19"/>
        <v>0</v>
      </c>
      <c r="BB16" s="65">
        <f t="shared" si="20"/>
        <v>0</v>
      </c>
      <c r="BC16" s="58">
        <f t="shared" si="21"/>
        <v>781.3618284</v>
      </c>
      <c r="BD16" s="161">
        <f t="shared" si="22"/>
        <v>521.298</v>
      </c>
    </row>
    <row r="17" ht="15.0" customHeight="1">
      <c r="A17" s="116" t="s">
        <v>1823</v>
      </c>
      <c r="B17" s="56">
        <v>45951.0</v>
      </c>
      <c r="C17" s="182">
        <v>45946.0</v>
      </c>
      <c r="D17" s="2" t="s">
        <v>835</v>
      </c>
      <c r="E17" s="3" t="str">
        <f t="array" ref="E17">XLOOKUP(D17,RUC!$B$3:$B$110,RUC!$D$3:$D$110)</f>
        <v>10486077447,</v>
      </c>
      <c r="G17" s="141" t="s">
        <v>735</v>
      </c>
      <c r="H17" s="3" t="s">
        <v>47</v>
      </c>
      <c r="I17" s="6">
        <v>30.44</v>
      </c>
      <c r="J17" s="58">
        <v>1.85</v>
      </c>
      <c r="K17" s="6">
        <f t="shared" si="2"/>
        <v>29.877</v>
      </c>
      <c r="L17" s="3">
        <v>0.098</v>
      </c>
      <c r="M17" s="60">
        <v>0.083</v>
      </c>
      <c r="N17" s="75">
        <v>0.126</v>
      </c>
      <c r="O17" s="60">
        <f t="shared" si="3"/>
        <v>0.105</v>
      </c>
      <c r="P17" s="63">
        <v>80.0</v>
      </c>
      <c r="Q17" s="58">
        <v>92.86</v>
      </c>
      <c r="R17" s="65">
        <v>4261.95</v>
      </c>
      <c r="S17" s="66">
        <f t="array" ref="S17">IF((XLOOKUP(D17,RUC!$B$3:$B$106,RUC!$E$3:$E$106)+ROUNDDOWN(O17,1)*100)&lt;95,95,((XLOOKUP(D17,RUC!$B$3:$B$106,RUC!$E$3:$E$106)+ROUNDDOWN(O17,1)*100)))</f>
        <v>100</v>
      </c>
      <c r="U17" s="67">
        <f t="array" ref="U17">XLOOKUP(D17,RUC!$B$3:$B$110,RUC!$F$3:$F$110)</f>
        <v>120</v>
      </c>
      <c r="V17" s="67">
        <v>1.1023</v>
      </c>
      <c r="Y17" s="57">
        <f t="array" ref="Y17">XLOOKUP(D17,RUC!$B$3:$B$110,RUC!$G$3:$G$110)</f>
        <v>20</v>
      </c>
      <c r="Z17" s="69">
        <f t="array" ref="Z17">XLOOKUP(D17,RUC!$B$3:$B$110,RUC!$H$3:$H$110)</f>
        <v>30</v>
      </c>
      <c r="AA17" s="70">
        <f t="shared" si="4"/>
        <v>50</v>
      </c>
      <c r="AB17" s="71">
        <f t="shared" si="15"/>
        <v>218.1714047</v>
      </c>
      <c r="AC17" s="71">
        <f>+(S17-T17)*V17-'data 1'!$F$4</f>
        <v>30.23</v>
      </c>
      <c r="AD17" s="71">
        <f t="shared" si="5"/>
        <v>57.54024459</v>
      </c>
      <c r="AE17" s="71">
        <f t="shared" si="6"/>
        <v>-14.885</v>
      </c>
      <c r="AF17" s="71">
        <f t="shared" si="7"/>
        <v>-29.67777779</v>
      </c>
      <c r="AG17" s="72">
        <f t="shared" si="16"/>
        <v>60.2074668</v>
      </c>
      <c r="AH17" s="193">
        <f t="shared" si="8"/>
        <v>93.218</v>
      </c>
      <c r="AI17" s="193">
        <f t="shared" si="9"/>
        <v>100.386</v>
      </c>
      <c r="AJ17" s="73">
        <f t="shared" si="10"/>
        <v>-19.25496258</v>
      </c>
      <c r="AK17" s="73">
        <f t="shared" si="11"/>
        <v>86.04494126</v>
      </c>
      <c r="AL17" s="11"/>
      <c r="AM17" s="51">
        <f t="shared" si="12"/>
        <v>6518.307059</v>
      </c>
      <c r="AN17" s="51" t="str">
        <f t="array" ref="AN17">XLOOKUP(D17,RUC!$B$3:$B$565,RUC!$M$3:$M$565)</f>
        <v>SIN ACOPIO</v>
      </c>
      <c r="AO17" s="131" t="s">
        <v>547</v>
      </c>
      <c r="AP17" s="2" t="s">
        <v>1824</v>
      </c>
      <c r="AQ17" s="2" t="s">
        <v>1825</v>
      </c>
      <c r="AV17" s="160" t="s">
        <v>692</v>
      </c>
      <c r="AW17" s="6">
        <f t="shared" si="17"/>
        <v>0</v>
      </c>
      <c r="AX17" s="6">
        <f t="array" ref="AX17">+SUMPRODUCT(IF($AO$4:$AO$1627=AV17,$L$4:$L$1627*$K$4:$K$1627/AW17))</f>
        <v>0</v>
      </c>
      <c r="AY17" s="145">
        <f t="shared" si="18"/>
        <v>0</v>
      </c>
      <c r="AZ17" s="58">
        <f t="array" ref="AZ17">+SUMPRODUCT(IF('30'!$AO$4:$AO$1519=AV17,('30'!$Q$4:$Q$1519*'30'!$AH$4:$AH$1519)/SUMIF('30'!$AO$4:$AO$1519,#REF!,'30'!$AH$4:$AH$1519)))</f>
        <v>0</v>
      </c>
      <c r="BA17" s="65">
        <f t="shared" si="19"/>
        <v>0</v>
      </c>
      <c r="BB17" s="65">
        <f t="shared" si="20"/>
        <v>0</v>
      </c>
      <c r="BC17" s="58">
        <f t="shared" si="21"/>
        <v>781.3618284</v>
      </c>
      <c r="BD17" s="161">
        <f t="shared" si="22"/>
        <v>521.298</v>
      </c>
    </row>
    <row r="18" ht="15.0" customHeight="1">
      <c r="A18" s="116" t="s">
        <v>1826</v>
      </c>
      <c r="B18" s="56">
        <v>45954.0</v>
      </c>
      <c r="C18" s="182">
        <v>45949.0</v>
      </c>
      <c r="D18" s="57" t="s">
        <v>74</v>
      </c>
      <c r="E18" s="3">
        <f t="array" ref="E18">XLOOKUP(D18,RUC!$B$3:$B$110,RUC!$D$3:$D$110)</f>
        <v>10082235774</v>
      </c>
      <c r="G18" s="141">
        <v>51.0</v>
      </c>
      <c r="H18" s="3" t="s">
        <v>47</v>
      </c>
      <c r="I18" s="6">
        <v>4.93</v>
      </c>
      <c r="J18" s="58">
        <v>1.15</v>
      </c>
      <c r="K18" s="6">
        <f t="shared" si="2"/>
        <v>4.873</v>
      </c>
      <c r="L18" s="60">
        <v>0.12</v>
      </c>
      <c r="M18" s="60">
        <v>0.113</v>
      </c>
      <c r="N18" s="62">
        <f t="shared" ref="N18:N19" si="23">+M18</f>
        <v>0.113</v>
      </c>
      <c r="O18" s="60">
        <f t="shared" si="3"/>
        <v>0.113</v>
      </c>
      <c r="P18" s="63">
        <v>85.0</v>
      </c>
      <c r="Q18" s="58">
        <v>87.5</v>
      </c>
      <c r="R18" s="65">
        <v>4294.35</v>
      </c>
      <c r="S18" s="133">
        <f t="array" ref="S18">IF((XLOOKUP(D18,RUC!$B$3:$B$106,RUC!$E$3:$E$106)+ROUNDDOWN(O18,1)*100)&lt;95,95,((XLOOKUP(D18,RUC!$B$3:$B$106,RUC!$E$3:$E$106)+ROUNDDOWN(O18,1)*100)))</f>
        <v>95</v>
      </c>
      <c r="U18" s="67">
        <f t="array" ref="U18">XLOOKUP(D18,RUC!$B$3:$B$110,RUC!$F$3:$F$110)</f>
        <v>80</v>
      </c>
      <c r="V18" s="67">
        <v>1.1023</v>
      </c>
      <c r="Y18" s="57" t="str">
        <f t="array" ref="Y18">XLOOKUP(D18,RUC!$B$3:$B$110,RUC!$G$3:$G$110)</f>
        <v/>
      </c>
      <c r="Z18" s="69">
        <f t="array" ref="Z18">XLOOKUP(D18,RUC!$B$3:$B$110,RUC!$H$3:$H$110)</f>
        <v>10</v>
      </c>
      <c r="AA18" s="70">
        <f t="shared" si="4"/>
        <v>10</v>
      </c>
      <c r="AB18" s="71">
        <f t="shared" si="15"/>
        <v>330.4566624</v>
      </c>
      <c r="AC18" s="71">
        <f>+(S18-T18)*V18-'data 1'!$F$4</f>
        <v>24.7185</v>
      </c>
      <c r="AD18" s="71">
        <f t="shared" si="5"/>
        <v>13.93643402</v>
      </c>
      <c r="AE18" s="71">
        <f t="shared" si="6"/>
        <v>-58.977</v>
      </c>
      <c r="AF18" s="71">
        <f t="shared" si="7"/>
        <v>28.45355278</v>
      </c>
      <c r="AG18" s="72">
        <f t="shared" ref="AG18:AG19" si="24">AC18+AD18+AE18+AF18+70</f>
        <v>78.1314868</v>
      </c>
      <c r="AH18" s="193">
        <f t="shared" si="8"/>
        <v>17.543</v>
      </c>
      <c r="AI18" s="193">
        <f t="shared" si="9"/>
        <v>20.049</v>
      </c>
      <c r="AJ18" s="73">
        <f t="shared" si="10"/>
        <v>-30.59626553</v>
      </c>
      <c r="AK18" s="73">
        <f t="shared" si="11"/>
        <v>16.04733245</v>
      </c>
      <c r="AL18" s="11"/>
      <c r="AM18" s="51">
        <f t="shared" si="12"/>
        <v>1610.315316</v>
      </c>
      <c r="AN18" s="51" t="str">
        <f t="array" ref="AN18">XLOOKUP(D18,RUC!$B$3:$B$565,RUC!$M$3:$M$565)</f>
        <v>Melchor Vera</v>
      </c>
      <c r="AO18" s="131" t="s">
        <v>558</v>
      </c>
      <c r="AP18" s="57" t="s">
        <v>1643</v>
      </c>
      <c r="AQ18" s="57" t="s">
        <v>1644</v>
      </c>
      <c r="AV18" s="163" t="s">
        <v>693</v>
      </c>
      <c r="AW18" s="165">
        <f t="shared" si="17"/>
        <v>0</v>
      </c>
      <c r="AX18" s="165">
        <f t="array" ref="AX18">+SUMPRODUCT(IF('30'!$AO$4:$AO$1519=AV18,'30'!$L$4:$L$1519*'30'!$K$4:$K$1519/AW18))</f>
        <v>0</v>
      </c>
      <c r="AY18" s="166">
        <f t="shared" si="18"/>
        <v>0</v>
      </c>
      <c r="AZ18" s="168">
        <f t="array" ref="AZ18">+SUMPRODUCT(IF('30'!$AO$4:$AO$1519=AV18,('30'!$Q$4:$Q$1519*'30'!$AH$4:$AH$1519)/SUMIF('30'!$AO$4:$AO$1519,#REF!,'30'!$AH$4:$AH$1519)))</f>
        <v>0</v>
      </c>
      <c r="BA18" s="167">
        <f t="shared" si="19"/>
        <v>0</v>
      </c>
      <c r="BB18" s="167">
        <f t="shared" si="20"/>
        <v>0</v>
      </c>
      <c r="BC18" s="168">
        <f t="shared" si="21"/>
        <v>781.3618284</v>
      </c>
      <c r="BD18" s="169">
        <f t="shared" si="22"/>
        <v>521.298</v>
      </c>
    </row>
    <row r="19" ht="15.0" customHeight="1">
      <c r="A19" s="116" t="s">
        <v>1827</v>
      </c>
      <c r="B19" s="56">
        <v>45954.0</v>
      </c>
      <c r="C19" s="182">
        <v>45949.0</v>
      </c>
      <c r="D19" s="57" t="s">
        <v>74</v>
      </c>
      <c r="E19" s="3">
        <f t="array" ref="E19">XLOOKUP(D19,RUC!$B$3:$B$110,RUC!$D$3:$D$110)</f>
        <v>10082235774</v>
      </c>
      <c r="G19" s="141">
        <v>40.0</v>
      </c>
      <c r="H19" s="3" t="s">
        <v>47</v>
      </c>
      <c r="I19" s="6">
        <v>3.93</v>
      </c>
      <c r="J19" s="58">
        <v>1.15</v>
      </c>
      <c r="K19" s="6">
        <f t="shared" si="2"/>
        <v>3.885</v>
      </c>
      <c r="L19" s="3">
        <v>0.113</v>
      </c>
      <c r="M19" s="3">
        <v>0.106</v>
      </c>
      <c r="N19" s="62">
        <f t="shared" si="23"/>
        <v>0.106</v>
      </c>
      <c r="O19" s="60">
        <f t="shared" si="3"/>
        <v>0.106</v>
      </c>
      <c r="P19" s="63">
        <v>85.0</v>
      </c>
      <c r="Q19" s="57">
        <v>86.73</v>
      </c>
      <c r="R19" s="65">
        <v>4294.35</v>
      </c>
      <c r="S19" s="133">
        <f t="array" ref="S19">IF((XLOOKUP(D19,RUC!$B$3:$B$106,RUC!$E$3:$E$106)+ROUNDDOWN(O19,1)*100)&lt;95,95,((XLOOKUP(D19,RUC!$B$3:$B$106,RUC!$E$3:$E$106)+ROUNDDOWN(O19,1)*100)))</f>
        <v>95</v>
      </c>
      <c r="U19" s="67">
        <f t="array" ref="U19">XLOOKUP(D19,RUC!$B$3:$B$110,RUC!$F$3:$F$110)</f>
        <v>80</v>
      </c>
      <c r="V19" s="67">
        <v>1.1023</v>
      </c>
      <c r="Y19" s="57" t="str">
        <f t="array" ref="Y19">XLOOKUP(D19,RUC!$B$3:$B$110,RUC!$G$3:$G$110)</f>
        <v/>
      </c>
      <c r="Z19" s="69">
        <f t="array" ref="Z19">XLOOKUP(D19,RUC!$B$3:$B$110,RUC!$H$3:$H$110)</f>
        <v>10</v>
      </c>
      <c r="AA19" s="70">
        <f t="shared" si="4"/>
        <v>10</v>
      </c>
      <c r="AB19" s="71">
        <f t="shared" si="15"/>
        <v>302.8160683</v>
      </c>
      <c r="AC19" s="71">
        <f>+(S19-T19)*V19-'data 1'!$F$4</f>
        <v>24.7185</v>
      </c>
      <c r="AD19" s="71">
        <f t="shared" si="5"/>
        <v>9.081444952</v>
      </c>
      <c r="AE19" s="71">
        <f t="shared" si="6"/>
        <v>-58.977</v>
      </c>
      <c r="AF19" s="71">
        <f t="shared" si="7"/>
        <v>28.20316152</v>
      </c>
      <c r="AG19" s="72">
        <f t="shared" si="24"/>
        <v>73.02610647</v>
      </c>
      <c r="AH19" s="193">
        <f t="shared" si="8"/>
        <v>13.054</v>
      </c>
      <c r="AI19" s="193">
        <f t="shared" si="9"/>
        <v>15.051</v>
      </c>
      <c r="AJ19" s="73">
        <f t="shared" si="10"/>
        <v>-28.55794232</v>
      </c>
      <c r="AK19" s="73">
        <f t="shared" si="11"/>
        <v>12.0012058</v>
      </c>
      <c r="AL19" s="11"/>
      <c r="AM19" s="51">
        <f t="shared" si="12"/>
        <v>1176.440425</v>
      </c>
      <c r="AN19" s="51" t="str">
        <f t="array" ref="AN19">XLOOKUP(D19,RUC!$B$3:$B$565,RUC!$M$3:$M$565)</f>
        <v>Melchor Vera</v>
      </c>
      <c r="AO19" s="131" t="s">
        <v>558</v>
      </c>
      <c r="AP19" s="57" t="s">
        <v>1643</v>
      </c>
      <c r="AQ19" s="57" t="s">
        <v>1644</v>
      </c>
    </row>
    <row r="20" ht="15.0" customHeight="1">
      <c r="A20" s="116" t="s">
        <v>1828</v>
      </c>
      <c r="B20" s="56">
        <v>45957.0</v>
      </c>
      <c r="C20" s="182">
        <v>45949.0</v>
      </c>
      <c r="D20" s="57" t="s">
        <v>602</v>
      </c>
      <c r="E20" s="3">
        <f t="array" ref="E20">XLOOKUP(D20,RUC!$B$3:$B$110,RUC!$D$3:$D$110)</f>
        <v>20169040231</v>
      </c>
      <c r="G20" s="141">
        <v>106.0</v>
      </c>
      <c r="H20" s="3" t="s">
        <v>47</v>
      </c>
      <c r="I20" s="6">
        <v>9.24</v>
      </c>
      <c r="J20" s="58">
        <v>1.3</v>
      </c>
      <c r="K20" s="6">
        <f t="shared" si="2"/>
        <v>9.12</v>
      </c>
      <c r="L20" s="3">
        <v>0.339</v>
      </c>
      <c r="M20" s="3">
        <v>0.322</v>
      </c>
      <c r="N20" s="75">
        <v>0.366</v>
      </c>
      <c r="O20" s="60">
        <f t="shared" si="3"/>
        <v>0.344</v>
      </c>
      <c r="P20" s="63">
        <v>80.0</v>
      </c>
      <c r="Q20" s="63">
        <v>80.53</v>
      </c>
      <c r="R20" s="65">
        <v>4294.35</v>
      </c>
      <c r="S20" s="66">
        <f t="array" ref="S20">IF((XLOOKUP(D20,RUC!$B$3:$B$106,RUC!$E$3:$E$106)+ROUNDDOWN(O20,1)*100)&lt;95,95,((XLOOKUP(D20,RUC!$B$3:$B$106,RUC!$E$3:$E$106)+ROUNDDOWN(O20,1)*100)))</f>
        <v>115</v>
      </c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140">
        <v>35.0</v>
      </c>
      <c r="AA20" s="70">
        <f t="shared" si="4"/>
        <v>55</v>
      </c>
      <c r="AB20" s="71">
        <f t="shared" si="15"/>
        <v>1078.910429</v>
      </c>
      <c r="AC20" s="71">
        <f>+(S20-T20)*V20-'data 1'!$F$4</f>
        <v>46.7645</v>
      </c>
      <c r="AD20" s="71">
        <f t="shared" si="5"/>
        <v>8.267310235</v>
      </c>
      <c r="AE20" s="71">
        <f t="shared" si="6"/>
        <v>-9.3735</v>
      </c>
      <c r="AF20" s="71">
        <f t="shared" si="7"/>
        <v>-18.52748075</v>
      </c>
      <c r="AG20" s="72">
        <f t="shared" ref="AG20:AG33" si="25">AC20+AD20+AE20+AF20+70-53</f>
        <v>44.13082949</v>
      </c>
      <c r="AH20" s="193">
        <f t="shared" si="8"/>
        <v>85.361</v>
      </c>
      <c r="AI20" s="193">
        <f t="shared" si="9"/>
        <v>105.999</v>
      </c>
      <c r="AJ20" s="73">
        <f t="shared" si="10"/>
        <v>-67.51235827</v>
      </c>
      <c r="AK20" s="73">
        <f t="shared" si="11"/>
        <v>86.05028978</v>
      </c>
      <c r="AL20" s="11"/>
      <c r="AM20" s="51">
        <f t="shared" si="12"/>
        <v>9839.663109</v>
      </c>
      <c r="AN20" s="51" t="str">
        <f t="array" ref="AN20">XLOOKUP(D20,RUC!$B$3:$B$565,RUC!$M$3:$M$565)</f>
        <v>Ronald Miranda</v>
      </c>
      <c r="AO20" s="131" t="s">
        <v>558</v>
      </c>
      <c r="AP20" s="57" t="s">
        <v>1829</v>
      </c>
      <c r="AQ20" s="57" t="s">
        <v>1830</v>
      </c>
    </row>
    <row r="21" ht="15.0" customHeight="1">
      <c r="A21" s="116" t="s">
        <v>1831</v>
      </c>
      <c r="B21" s="56">
        <v>45957.0</v>
      </c>
      <c r="C21" s="182">
        <v>45949.0</v>
      </c>
      <c r="D21" s="57" t="s">
        <v>602</v>
      </c>
      <c r="E21" s="3">
        <f t="array" ref="E21">XLOOKUP(D21,RUC!$B$3:$B$110,RUC!$D$3:$D$110)</f>
        <v>20169040231</v>
      </c>
      <c r="G21" s="141">
        <v>117.0</v>
      </c>
      <c r="H21" s="3" t="s">
        <v>47</v>
      </c>
      <c r="I21" s="6">
        <v>10.29</v>
      </c>
      <c r="J21" s="58">
        <v>1.5</v>
      </c>
      <c r="K21" s="6">
        <f t="shared" si="2"/>
        <v>10.136</v>
      </c>
      <c r="L21" s="3">
        <v>0.375</v>
      </c>
      <c r="M21" s="3">
        <v>0.356</v>
      </c>
      <c r="N21" s="62">
        <f t="shared" ref="N21:N22" si="26">+M21</f>
        <v>0.356</v>
      </c>
      <c r="O21" s="60">
        <f t="shared" si="3"/>
        <v>0.356</v>
      </c>
      <c r="P21" s="63">
        <v>84.0</v>
      </c>
      <c r="Q21" s="64">
        <v>84.0</v>
      </c>
      <c r="R21" s="65">
        <v>4294.35</v>
      </c>
      <c r="S21" s="66">
        <f t="array" ref="S21">IF((XLOOKUP(D21,RUC!$B$3:$B$106,RUC!$E$3:$E$106)+ROUNDDOWN(O21,1)*100)&lt;95,95,((XLOOKUP(D21,RUC!$B$3:$B$106,RUC!$E$3:$E$106)+ROUNDDOWN(O21,1)*100)))</f>
        <v>115</v>
      </c>
      <c r="U21" s="67">
        <f t="array" ref="U21">XLOOKUP(D21,RUC!$B$3:$B$110,RUC!$F$3:$F$110)</f>
        <v>120</v>
      </c>
      <c r="V21" s="67">
        <v>1.1023</v>
      </c>
      <c r="Y21" s="57">
        <f t="array" ref="Y21">XLOOKUP(D21,RUC!$B$3:$B$110,RUC!$G$3:$G$110)</f>
        <v>20</v>
      </c>
      <c r="Z21" s="140">
        <v>35.0</v>
      </c>
      <c r="AA21" s="70">
        <f t="shared" si="4"/>
        <v>55</v>
      </c>
      <c r="AB21" s="71">
        <f t="shared" si="15"/>
        <v>1188.607471</v>
      </c>
      <c r="AC21" s="71">
        <f>+(S21-T21)*V21-'data 1'!$F$4</f>
        <v>46.7645</v>
      </c>
      <c r="AD21" s="71">
        <f t="shared" si="5"/>
        <v>0</v>
      </c>
      <c r="AE21" s="71">
        <f t="shared" si="6"/>
        <v>-9.3735</v>
      </c>
      <c r="AF21" s="71">
        <f t="shared" si="7"/>
        <v>73.43812064</v>
      </c>
      <c r="AG21" s="72">
        <f t="shared" si="25"/>
        <v>127.8291206</v>
      </c>
      <c r="AH21" s="193">
        <f t="shared" si="8"/>
        <v>109.468</v>
      </c>
      <c r="AI21" s="193">
        <f t="shared" si="9"/>
        <v>130.319</v>
      </c>
      <c r="AJ21" s="73">
        <f t="shared" si="10"/>
        <v>-77.89981658</v>
      </c>
      <c r="AK21" s="73">
        <f t="shared" si="11"/>
        <v>103.921392</v>
      </c>
      <c r="AL21" s="11"/>
      <c r="AM21" s="51">
        <f t="shared" si="12"/>
        <v>12047.72533</v>
      </c>
      <c r="AN21" s="51" t="str">
        <f t="array" ref="AN21">XLOOKUP(D21,RUC!$B$3:$B$565,RUC!$M$3:$M$565)</f>
        <v>Ronald Miranda</v>
      </c>
      <c r="AO21" s="131" t="s">
        <v>558</v>
      </c>
      <c r="AP21" s="57" t="s">
        <v>1829</v>
      </c>
      <c r="AQ21" s="57" t="s">
        <v>1830</v>
      </c>
      <c r="AV21" s="149" t="s">
        <v>1832</v>
      </c>
      <c r="AW21" s="150"/>
      <c r="AX21" s="150"/>
      <c r="AY21" s="150"/>
      <c r="AZ21" s="150"/>
      <c r="BA21" s="151"/>
    </row>
    <row r="22" ht="15.0" customHeight="1">
      <c r="A22" s="116" t="s">
        <v>1833</v>
      </c>
      <c r="B22" s="445">
        <v>45957.0</v>
      </c>
      <c r="C22" s="182">
        <v>45949.0</v>
      </c>
      <c r="D22" s="57" t="s">
        <v>602</v>
      </c>
      <c r="E22" s="3">
        <f t="array" ref="E22">XLOOKUP(D22,RUC!$B$3:$B$110,RUC!$D$3:$D$110)</f>
        <v>20169040231</v>
      </c>
      <c r="G22" s="141">
        <v>117.0</v>
      </c>
      <c r="H22" s="3" t="s">
        <v>47</v>
      </c>
      <c r="I22" s="6">
        <v>10.3</v>
      </c>
      <c r="J22" s="58">
        <v>1.4</v>
      </c>
      <c r="K22" s="6">
        <f t="shared" si="2"/>
        <v>10.156</v>
      </c>
      <c r="L22" s="3">
        <v>0.371</v>
      </c>
      <c r="M22" s="3">
        <v>0.352</v>
      </c>
      <c r="N22" s="62">
        <f t="shared" si="26"/>
        <v>0.352</v>
      </c>
      <c r="O22" s="75">
        <v>0.4</v>
      </c>
      <c r="P22" s="63">
        <v>78.0</v>
      </c>
      <c r="Q22" s="64">
        <v>78.44</v>
      </c>
      <c r="R22" s="65">
        <v>4294.35</v>
      </c>
      <c r="S22" s="66">
        <f t="array" ref="S22">IF((XLOOKUP(D22,RUC!$B$3:$B$106,RUC!$E$3:$E$106)+ROUNDDOWN(O22,1)*100)&lt;95,95,((XLOOKUP(D22,RUC!$B$3:$B$106,RUC!$E$3:$E$106)+ROUNDDOWN(O22,1)*100)))</f>
        <v>125</v>
      </c>
      <c r="U22" s="67">
        <f t="array" ref="U22">XLOOKUP(D22,RUC!$B$3:$B$110,RUC!$F$3:$F$110)</f>
        <v>120</v>
      </c>
      <c r="V22" s="67">
        <v>1.1023</v>
      </c>
      <c r="Y22" s="199">
        <f t="array" ref="Y22">XLOOKUP(D22,RUC!$B$3:$B$110,RUC!$G$3:$G$110)+20</f>
        <v>40</v>
      </c>
      <c r="Z22" s="140">
        <v>35.0</v>
      </c>
      <c r="AA22" s="70">
        <f t="shared" si="4"/>
        <v>75</v>
      </c>
      <c r="AB22" s="71">
        <f t="shared" si="15"/>
        <v>1215.172434</v>
      </c>
      <c r="AC22" s="71">
        <f>+(S22-T22)*V22-'data 1'!$F$4</f>
        <v>57.7875</v>
      </c>
      <c r="AD22" s="71">
        <f t="shared" si="5"/>
        <v>7.511302515</v>
      </c>
      <c r="AE22" s="71">
        <f t="shared" si="6"/>
        <v>12.6725</v>
      </c>
      <c r="AF22" s="71">
        <f t="shared" si="7"/>
        <v>-104.6704883</v>
      </c>
      <c r="AG22" s="72">
        <f t="shared" si="25"/>
        <v>-9.699185773</v>
      </c>
      <c r="AH22" s="193">
        <f t="shared" si="8"/>
        <v>101.331</v>
      </c>
      <c r="AI22" s="193">
        <f t="shared" si="9"/>
        <v>129.183</v>
      </c>
      <c r="AJ22" s="73">
        <f t="shared" si="10"/>
        <v>-71.96765899</v>
      </c>
      <c r="AK22" s="73">
        <f t="shared" si="11"/>
        <v>108.6391491</v>
      </c>
      <c r="AL22" s="11"/>
      <c r="AM22" s="51">
        <f t="shared" si="12"/>
        <v>12341.29124</v>
      </c>
      <c r="AN22" s="51" t="str">
        <f t="array" ref="AN22">XLOOKUP(D22,RUC!$B$3:$B$565,RUC!$M$3:$M$565)</f>
        <v>Ronald Miranda</v>
      </c>
      <c r="AO22" s="131" t="s">
        <v>549</v>
      </c>
      <c r="AP22" s="57" t="s">
        <v>1829</v>
      </c>
      <c r="AQ22" s="57" t="s">
        <v>1830</v>
      </c>
      <c r="BA22" s="203">
        <f>SUM(BA24:BA33)</f>
        <v>2884.177187</v>
      </c>
    </row>
    <row r="23" ht="15.0" customHeight="1">
      <c r="A23" s="116" t="s">
        <v>1834</v>
      </c>
      <c r="B23" s="56">
        <v>45958.0</v>
      </c>
      <c r="C23" s="182">
        <v>45950.0</v>
      </c>
      <c r="D23" s="57" t="s">
        <v>295</v>
      </c>
      <c r="E23" s="3">
        <f t="array" ref="E23">XLOOKUP(D23,RUC!$B$3:$B$110,RUC!$D$3:$D$110)</f>
        <v>20601769396</v>
      </c>
      <c r="G23" s="141">
        <v>33.0</v>
      </c>
      <c r="H23" s="3" t="s">
        <v>40</v>
      </c>
      <c r="I23" s="6">
        <v>2.82</v>
      </c>
      <c r="J23" s="58">
        <v>11.66</v>
      </c>
      <c r="K23" s="6">
        <f t="shared" si="2"/>
        <v>2.491</v>
      </c>
      <c r="L23" s="3">
        <v>0.158</v>
      </c>
      <c r="M23" s="3">
        <v>0.143</v>
      </c>
      <c r="N23" s="60">
        <v>0.143</v>
      </c>
      <c r="O23" s="60">
        <f t="shared" ref="O23:O37" si="27">+ROUND((M23+N23)/2,3)</f>
        <v>0.143</v>
      </c>
      <c r="P23" s="63">
        <v>90.0</v>
      </c>
      <c r="Q23" s="58">
        <v>90.51</v>
      </c>
      <c r="R23" s="65">
        <v>4294.35</v>
      </c>
      <c r="S23" s="66">
        <f t="array" ref="S23">IF((XLOOKUP(D23,RUC!$B$3:$B$106,RUC!$E$3:$E$106)+ROUNDDOWN(O23,1)*100)&lt;95,95,((XLOOKUP(D23,RUC!$B$3:$B$106,RUC!$E$3:$E$106)+ROUNDDOWN(O23,1)*100)))</f>
        <v>100</v>
      </c>
      <c r="U23" s="67">
        <f t="array" ref="U23">XLOOKUP(D23,RUC!$B$3:$B$110,RUC!$F$3:$F$110)</f>
        <v>120</v>
      </c>
      <c r="V23" s="67">
        <v>1.1023</v>
      </c>
      <c r="Y23" s="57">
        <f t="array" ref="Y23">XLOOKUP(D23,RUC!$B$3:$B$110,RUC!$G$3:$G$110)</f>
        <v>20</v>
      </c>
      <c r="Z23" s="69">
        <f t="array" ref="Z23">XLOOKUP(D23,RUC!$B$3:$B$110,RUC!$H$3:$H$110)</f>
        <v>30</v>
      </c>
      <c r="AA23" s="70">
        <f t="shared" si="4"/>
        <v>50</v>
      </c>
      <c r="AB23" s="71">
        <f t="shared" si="15"/>
        <v>426.8533788</v>
      </c>
      <c r="AC23" s="71">
        <f>+(S23-T23)*V23-'data 1'!$F$4</f>
        <v>30.23</v>
      </c>
      <c r="AD23" s="71">
        <f t="shared" si="5"/>
        <v>3.707796843</v>
      </c>
      <c r="AE23" s="71">
        <f t="shared" si="6"/>
        <v>-14.885</v>
      </c>
      <c r="AF23" s="71">
        <f t="shared" si="7"/>
        <v>62.4707171</v>
      </c>
      <c r="AG23" s="72">
        <f t="shared" si="25"/>
        <v>98.52351394</v>
      </c>
      <c r="AH23" s="193">
        <f t="shared" si="8"/>
        <v>12.213</v>
      </c>
      <c r="AI23" s="193">
        <f t="shared" si="9"/>
        <v>13.494</v>
      </c>
      <c r="AJ23" s="73">
        <f t="shared" si="10"/>
        <v>-35.36547806</v>
      </c>
      <c r="AK23" s="73">
        <f t="shared" si="11"/>
        <v>10.99161084</v>
      </c>
      <c r="AL23" s="11"/>
      <c r="AM23" s="51">
        <f t="shared" si="12"/>
        <v>1063.291767</v>
      </c>
      <c r="AN23" s="51" t="str">
        <f t="array" ref="AN23">XLOOKUP(D23,RUC!$B$3:$B$565,RUC!$M$3:$M$565)</f>
        <v>Evelyn</v>
      </c>
      <c r="AO23" s="131" t="s">
        <v>558</v>
      </c>
      <c r="AP23" s="57" t="s">
        <v>1835</v>
      </c>
      <c r="AQ23" s="57" t="s">
        <v>850</v>
      </c>
      <c r="AV23" s="3"/>
      <c r="AW23" s="3" t="s">
        <v>14</v>
      </c>
      <c r="AX23" s="3" t="s">
        <v>683</v>
      </c>
      <c r="AY23" s="3" t="s">
        <v>686</v>
      </c>
      <c r="AZ23" s="204" t="s">
        <v>700</v>
      </c>
      <c r="BA23" s="3" t="s">
        <v>687</v>
      </c>
    </row>
    <row r="24" ht="15.0" customHeight="1">
      <c r="A24" s="116" t="s">
        <v>1836</v>
      </c>
      <c r="B24" s="56">
        <v>45958.0</v>
      </c>
      <c r="C24" s="182">
        <v>45950.0</v>
      </c>
      <c r="D24" s="57" t="s">
        <v>295</v>
      </c>
      <c r="E24" s="3">
        <f t="array" ref="E24">XLOOKUP(D24,RUC!$B$3:$B$110,RUC!$D$3:$D$110)</f>
        <v>20601769396</v>
      </c>
      <c r="G24" s="141">
        <v>33.0</v>
      </c>
      <c r="H24" s="3" t="s">
        <v>40</v>
      </c>
      <c r="I24" s="6">
        <v>3.05</v>
      </c>
      <c r="J24" s="58">
        <v>10.73</v>
      </c>
      <c r="K24" s="6">
        <f t="shared" si="2"/>
        <v>2.723</v>
      </c>
      <c r="L24" s="3">
        <v>0.171</v>
      </c>
      <c r="M24" s="3">
        <v>0.156</v>
      </c>
      <c r="N24" s="75">
        <v>0.207</v>
      </c>
      <c r="O24" s="60">
        <f t="shared" si="27"/>
        <v>0.182</v>
      </c>
      <c r="P24" s="63">
        <v>85.0</v>
      </c>
      <c r="Q24" s="58">
        <v>85.38</v>
      </c>
      <c r="R24" s="65">
        <v>4294.35</v>
      </c>
      <c r="S24" s="66">
        <f t="array" ref="S24">IF((XLOOKUP(D24,RUC!$B$3:$B$106,RUC!$E$3:$E$106)+ROUNDDOWN(O24,1)*100)&lt;95,95,((XLOOKUP(D24,RUC!$B$3:$B$106,RUC!$E$3:$E$106)+ROUNDDOWN(O24,1)*100)))</f>
        <v>100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69">
        <f t="array" ref="Z24">XLOOKUP(D24,RUC!$B$3:$B$110,RUC!$H$3:$H$110)</f>
        <v>30</v>
      </c>
      <c r="AA24" s="70">
        <f t="shared" si="4"/>
        <v>50</v>
      </c>
      <c r="AB24" s="71">
        <f t="shared" si="15"/>
        <v>546.489415</v>
      </c>
      <c r="AC24" s="71">
        <f>+(S24-T24)*V24-'data 1'!$F$4</f>
        <v>30.23</v>
      </c>
      <c r="AD24" s="71">
        <f t="shared" si="5"/>
        <v>2.989980626</v>
      </c>
      <c r="AE24" s="71">
        <f t="shared" si="6"/>
        <v>-14.885</v>
      </c>
      <c r="AF24" s="71">
        <f t="shared" si="7"/>
        <v>-43.21529708</v>
      </c>
      <c r="AG24" s="72">
        <f t="shared" si="25"/>
        <v>-7.880316456</v>
      </c>
      <c r="AH24" s="193">
        <f t="shared" si="8"/>
        <v>13.63</v>
      </c>
      <c r="AI24" s="193">
        <f t="shared" si="9"/>
        <v>15.964</v>
      </c>
      <c r="AJ24" s="73">
        <f t="shared" si="10"/>
        <v>-36.10589727</v>
      </c>
      <c r="AK24" s="73">
        <f t="shared" si="11"/>
        <v>14.44265457</v>
      </c>
      <c r="AL24" s="11"/>
      <c r="AM24" s="51">
        <f t="shared" si="12"/>
        <v>1488.090677</v>
      </c>
      <c r="AN24" s="51" t="str">
        <f t="array" ref="AN24">XLOOKUP(D24,RUC!$B$3:$B$565,RUC!$M$3:$M$565)</f>
        <v>Evelyn</v>
      </c>
      <c r="AO24" s="131" t="s">
        <v>558</v>
      </c>
      <c r="AP24" s="57" t="s">
        <v>1835</v>
      </c>
      <c r="AQ24" s="57" t="s">
        <v>850</v>
      </c>
      <c r="AV24" s="152" t="s">
        <v>558</v>
      </c>
      <c r="AW24" s="154">
        <f t="shared" ref="AW24:AW33" si="28">SUMIF($AO$4:$AO$1627,AV24,$K$4:$K$1627)</f>
        <v>102.469</v>
      </c>
      <c r="AX24" s="154">
        <v>0.159</v>
      </c>
      <c r="AY24" s="157">
        <f t="shared" ref="AY24:AY33" si="29">AW24*AX24*31.1035*1.1023</f>
        <v>558.5971191</v>
      </c>
      <c r="AZ24" s="58">
        <v>94.4</v>
      </c>
      <c r="BA24" s="159">
        <f t="shared" ref="BA24:BA33" si="30">AY24*AZ24/100</f>
        <v>527.3156804</v>
      </c>
      <c r="BB24" s="429" t="s">
        <v>1837</v>
      </c>
      <c r="BC24" s="430">
        <f>+BB7</f>
        <v>4807.248</v>
      </c>
    </row>
    <row r="25" ht="15.0" customHeight="1">
      <c r="A25" s="116" t="s">
        <v>1838</v>
      </c>
      <c r="B25" s="56">
        <v>45958.0</v>
      </c>
      <c r="C25" s="182">
        <v>45950.0</v>
      </c>
      <c r="D25" s="57" t="s">
        <v>295</v>
      </c>
      <c r="E25" s="3">
        <f t="array" ref="E25">XLOOKUP(D25,RUC!$B$3:$B$110,RUC!$D$3:$D$110)</f>
        <v>20601769396</v>
      </c>
      <c r="G25" s="141">
        <v>24.0</v>
      </c>
      <c r="H25" s="3" t="s">
        <v>40</v>
      </c>
      <c r="I25" s="6">
        <v>2.11</v>
      </c>
      <c r="J25" s="58">
        <v>9.1</v>
      </c>
      <c r="K25" s="6">
        <f t="shared" si="2"/>
        <v>1.918</v>
      </c>
      <c r="L25" s="3">
        <v>0.136</v>
      </c>
      <c r="M25" s="3">
        <v>0.121</v>
      </c>
      <c r="N25" s="60">
        <v>0.121</v>
      </c>
      <c r="O25" s="60">
        <f t="shared" si="27"/>
        <v>0.121</v>
      </c>
      <c r="P25" s="63">
        <v>85.0</v>
      </c>
      <c r="Q25" s="58">
        <v>86.76</v>
      </c>
      <c r="R25" s="65">
        <v>4294.35</v>
      </c>
      <c r="S25" s="66">
        <f t="array" ref="S25">IF((XLOOKUP(D25,RUC!$B$3:$B$106,RUC!$E$3:$E$106)+ROUNDDOWN(O25,1)*100)&lt;95,95,((XLOOKUP(D25,RUC!$B$3:$B$106,RUC!$E$3:$E$106)+ROUNDDOWN(O25,1)*100)))</f>
        <v>100</v>
      </c>
      <c r="U25" s="67">
        <f t="array" ref="U25">XLOOKUP(D25,RUC!$B$3:$B$110,RUC!$F$3:$F$110)</f>
        <v>120</v>
      </c>
      <c r="V25" s="67">
        <v>1.1023</v>
      </c>
      <c r="Y25" s="57">
        <f t="array" ref="Y25">XLOOKUP(D25,RUC!$B$3:$B$110,RUC!$G$3:$G$110)</f>
        <v>20</v>
      </c>
      <c r="Z25" s="69">
        <f t="array" ref="Z25">XLOOKUP(D25,RUC!$B$3:$B$110,RUC!$H$3:$H$110)</f>
        <v>30</v>
      </c>
      <c r="AA25" s="70">
        <f t="shared" si="4"/>
        <v>50</v>
      </c>
      <c r="AB25" s="71">
        <f t="shared" si="15"/>
        <v>307.9075506</v>
      </c>
      <c r="AC25" s="71">
        <f>+(S25-T25)*V25-'data 1'!$F$4</f>
        <v>30.23</v>
      </c>
      <c r="AD25" s="71">
        <f t="shared" si="5"/>
        <v>11.01387754</v>
      </c>
      <c r="AE25" s="71">
        <f t="shared" si="6"/>
        <v>-14.885</v>
      </c>
      <c r="AF25" s="71">
        <f t="shared" si="7"/>
        <v>59.88243747</v>
      </c>
      <c r="AG25" s="72">
        <f t="shared" si="25"/>
        <v>103.241315</v>
      </c>
      <c r="AH25" s="193">
        <f t="shared" si="8"/>
        <v>7.759</v>
      </c>
      <c r="AI25" s="193">
        <f t="shared" si="9"/>
        <v>8.943</v>
      </c>
      <c r="AJ25" s="73">
        <f t="shared" si="10"/>
        <v>-29.17993586</v>
      </c>
      <c r="AK25" s="73">
        <f t="shared" si="11"/>
        <v>6.763351645</v>
      </c>
      <c r="AL25" s="11"/>
      <c r="AM25" s="51">
        <f t="shared" si="12"/>
        <v>590.5666821</v>
      </c>
      <c r="AN25" s="51" t="str">
        <f t="array" ref="AN25">XLOOKUP(D25,RUC!$B$3:$B$565,RUC!$M$3:$M$565)</f>
        <v>Evelyn</v>
      </c>
      <c r="AO25" s="131" t="s">
        <v>558</v>
      </c>
      <c r="AP25" s="57" t="s">
        <v>1835</v>
      </c>
      <c r="AQ25" s="57" t="s">
        <v>850</v>
      </c>
      <c r="AV25" s="160" t="s">
        <v>551</v>
      </c>
      <c r="AW25" s="6">
        <f t="shared" si="28"/>
        <v>111.23</v>
      </c>
      <c r="AX25" s="6">
        <v>0.094</v>
      </c>
      <c r="AY25" s="58">
        <f t="shared" si="29"/>
        <v>358.474989</v>
      </c>
      <c r="AZ25" s="58">
        <v>57.54</v>
      </c>
      <c r="BA25" s="162">
        <f t="shared" si="30"/>
        <v>206.2665087</v>
      </c>
      <c r="BB25" s="429" t="s">
        <v>1839</v>
      </c>
      <c r="BC25" s="430">
        <f>+'29'!BD26+'29'!BD27</f>
        <v>574.44</v>
      </c>
    </row>
    <row r="26" ht="15.0" customHeight="1">
      <c r="A26" s="116" t="s">
        <v>1840</v>
      </c>
      <c r="B26" s="56">
        <v>45958.0</v>
      </c>
      <c r="C26" s="182">
        <v>45950.0</v>
      </c>
      <c r="D26" s="57" t="s">
        <v>295</v>
      </c>
      <c r="E26" s="3">
        <f t="array" ref="E26">XLOOKUP(D26,RUC!$B$3:$B$110,RUC!$D$3:$D$110)</f>
        <v>20601769396</v>
      </c>
      <c r="G26" s="141">
        <v>25.0</v>
      </c>
      <c r="H26" s="3" t="s">
        <v>40</v>
      </c>
      <c r="I26" s="6">
        <v>2.13</v>
      </c>
      <c r="J26" s="58">
        <v>8.5</v>
      </c>
      <c r="K26" s="6">
        <f t="shared" si="2"/>
        <v>1.949</v>
      </c>
      <c r="L26" s="3">
        <v>0.207</v>
      </c>
      <c r="M26" s="3">
        <v>0.192</v>
      </c>
      <c r="N26" s="75">
        <v>0.235</v>
      </c>
      <c r="O26" s="60">
        <f t="shared" si="27"/>
        <v>0.214</v>
      </c>
      <c r="P26" s="63">
        <v>86.0</v>
      </c>
      <c r="Q26" s="58">
        <v>86.47</v>
      </c>
      <c r="R26" s="65">
        <v>4294.35</v>
      </c>
      <c r="S26" s="66">
        <f t="array" ref="S26">IF((XLOOKUP(D26,RUC!$B$3:$B$106,RUC!$E$3:$E$106)+ROUNDDOWN(O26,1)*100)&lt;95,95,((XLOOKUP(D26,RUC!$B$3:$B$106,RUC!$E$3:$E$106)+ROUNDDOWN(O26,1)*100)))</f>
        <v>110</v>
      </c>
      <c r="U26" s="67">
        <f t="array" ref="U26">XLOOKUP(D26,RUC!$B$3:$B$110,RUC!$F$3:$F$110)</f>
        <v>120</v>
      </c>
      <c r="V26" s="67">
        <v>1.1023</v>
      </c>
      <c r="Y26" s="57">
        <f t="array" ref="Y26">XLOOKUP(D26,RUC!$B$3:$B$110,RUC!$G$3:$G$110)</f>
        <v>20</v>
      </c>
      <c r="Z26" s="69">
        <f t="array" ref="Z26">XLOOKUP(D26,RUC!$B$3:$B$110,RUC!$H$3:$H$110)</f>
        <v>30</v>
      </c>
      <c r="AA26" s="70">
        <f t="shared" si="4"/>
        <v>50</v>
      </c>
      <c r="AB26" s="71">
        <f t="shared" si="15"/>
        <v>670.4710804</v>
      </c>
      <c r="AC26" s="71">
        <f>+(S26-T26)*V26-'data 1'!$F$4</f>
        <v>41.253</v>
      </c>
      <c r="AD26" s="71">
        <f t="shared" si="5"/>
        <v>4.476688444</v>
      </c>
      <c r="AE26" s="71">
        <f t="shared" si="6"/>
        <v>-14.885</v>
      </c>
      <c r="AF26" s="71">
        <f t="shared" si="7"/>
        <v>-27.85172935</v>
      </c>
      <c r="AG26" s="72">
        <f t="shared" si="25"/>
        <v>19.99295909</v>
      </c>
      <c r="AH26" s="193">
        <f t="shared" si="8"/>
        <v>11.961</v>
      </c>
      <c r="AI26" s="193">
        <f t="shared" si="9"/>
        <v>13.832</v>
      </c>
      <c r="AJ26" s="73">
        <f t="shared" si="10"/>
        <v>-44.26512406</v>
      </c>
      <c r="AK26" s="73">
        <f t="shared" si="11"/>
        <v>12.29796161</v>
      </c>
      <c r="AL26" s="11"/>
      <c r="AM26" s="51">
        <f t="shared" si="12"/>
        <v>1306.748136</v>
      </c>
      <c r="AN26" s="51" t="str">
        <f t="array" ref="AN26">XLOOKUP(D26,RUC!$B$3:$B$565,RUC!$M$3:$M$565)</f>
        <v>Evelyn</v>
      </c>
      <c r="AO26" s="131" t="s">
        <v>558</v>
      </c>
      <c r="AP26" s="57" t="s">
        <v>1835</v>
      </c>
      <c r="AQ26" s="57" t="s">
        <v>850</v>
      </c>
      <c r="AV26" s="160" t="s">
        <v>547</v>
      </c>
      <c r="AW26" s="6">
        <f t="shared" si="28"/>
        <v>156.675</v>
      </c>
      <c r="AX26" s="6">
        <v>0.233</v>
      </c>
      <c r="AY26" s="58">
        <f t="shared" si="29"/>
        <v>1251.597519</v>
      </c>
      <c r="AZ26" s="58">
        <v>86.16</v>
      </c>
      <c r="BA26" s="162">
        <f t="shared" si="30"/>
        <v>1078.376423</v>
      </c>
      <c r="BB26" s="431" t="s">
        <v>1841</v>
      </c>
      <c r="BC26" s="432">
        <v>4310.69</v>
      </c>
    </row>
    <row r="27" ht="15.0" customHeight="1">
      <c r="A27" s="116" t="s">
        <v>1842</v>
      </c>
      <c r="B27" s="56">
        <v>45958.0</v>
      </c>
      <c r="C27" s="182">
        <v>45950.0</v>
      </c>
      <c r="D27" s="57" t="s">
        <v>295</v>
      </c>
      <c r="E27" s="3">
        <f t="array" ref="E27">XLOOKUP(D27,RUC!$B$3:$B$110,RUC!$D$3:$D$110)</f>
        <v>20601769396</v>
      </c>
      <c r="G27" s="141">
        <v>34.0</v>
      </c>
      <c r="H27" s="3" t="s">
        <v>40</v>
      </c>
      <c r="I27" s="6">
        <v>3.33</v>
      </c>
      <c r="J27" s="58">
        <v>10.0</v>
      </c>
      <c r="K27" s="6">
        <f t="shared" si="2"/>
        <v>2.997</v>
      </c>
      <c r="L27" s="3">
        <v>0.206</v>
      </c>
      <c r="M27" s="3">
        <v>0.191</v>
      </c>
      <c r="N27" s="75">
        <v>0.233</v>
      </c>
      <c r="O27" s="60">
        <f t="shared" si="27"/>
        <v>0.212</v>
      </c>
      <c r="P27" s="63">
        <v>90.0</v>
      </c>
      <c r="Q27" s="58">
        <v>92.72</v>
      </c>
      <c r="R27" s="65">
        <v>4294.35</v>
      </c>
      <c r="S27" s="66">
        <f t="array" ref="S27">IF((XLOOKUP(D27,RUC!$B$3:$B$106,RUC!$E$3:$E$106)+ROUNDDOWN(O27,1)*100)&lt;95,95,((XLOOKUP(D27,RUC!$B$3:$B$106,RUC!$E$3:$E$106)+ROUNDDOWN(O27,1)*100)))</f>
        <v>110</v>
      </c>
      <c r="U27" s="67">
        <f t="array" ref="U27">XLOOKUP(D27,RUC!$B$3:$B$110,RUC!$F$3:$F$110)</f>
        <v>120</v>
      </c>
      <c r="V27" s="67">
        <v>1.1023</v>
      </c>
      <c r="Y27" s="57">
        <f t="array" ref="Y27">XLOOKUP(D27,RUC!$B$3:$B$110,RUC!$G$3:$G$110)</f>
        <v>20</v>
      </c>
      <c r="Z27" s="69">
        <f t="array" ref="Z27">XLOOKUP(D27,RUC!$B$3:$B$110,RUC!$H$3:$H$110)</f>
        <v>30</v>
      </c>
      <c r="AA27" s="70">
        <f t="shared" si="4"/>
        <v>50</v>
      </c>
      <c r="AB27" s="71">
        <f t="shared" si="15"/>
        <v>701.5764498</v>
      </c>
      <c r="AC27" s="71">
        <f>+(S27-T27)*V27-'data 1'!$F$4</f>
        <v>41.253</v>
      </c>
      <c r="AD27" s="71">
        <f t="shared" si="5"/>
        <v>25.78248606</v>
      </c>
      <c r="AE27" s="71">
        <f t="shared" si="6"/>
        <v>-14.885</v>
      </c>
      <c r="AF27" s="71">
        <f t="shared" si="7"/>
        <v>-25.59843062</v>
      </c>
      <c r="AG27" s="72">
        <f t="shared" si="25"/>
        <v>43.55205544</v>
      </c>
      <c r="AH27" s="193">
        <f t="shared" si="8"/>
        <v>19.626</v>
      </c>
      <c r="AI27" s="193">
        <f t="shared" si="9"/>
        <v>21.167</v>
      </c>
      <c r="AJ27" s="73">
        <f t="shared" si="10"/>
        <v>-47.23528332</v>
      </c>
      <c r="AK27" s="73">
        <f t="shared" si="11"/>
        <v>19.60533116</v>
      </c>
      <c r="AL27" s="11"/>
      <c r="AM27" s="51">
        <f t="shared" si="12"/>
        <v>2102.62462</v>
      </c>
      <c r="AN27" s="51" t="str">
        <f t="array" ref="AN27">XLOOKUP(D27,RUC!$B$3:$B$565,RUC!$M$3:$M$565)</f>
        <v>Evelyn</v>
      </c>
      <c r="AO27" s="131" t="s">
        <v>558</v>
      </c>
      <c r="AP27" s="57" t="s">
        <v>1835</v>
      </c>
      <c r="AQ27" s="57" t="s">
        <v>850</v>
      </c>
      <c r="AV27" s="160" t="s">
        <v>549</v>
      </c>
      <c r="AW27" s="6">
        <f t="shared" si="28"/>
        <v>150.924</v>
      </c>
      <c r="AX27" s="6">
        <v>0.275</v>
      </c>
      <c r="AY27" s="58">
        <f t="shared" si="29"/>
        <v>1422.984174</v>
      </c>
      <c r="AZ27" s="58">
        <v>75.35</v>
      </c>
      <c r="BA27" s="162">
        <f t="shared" si="30"/>
        <v>1072.218575</v>
      </c>
      <c r="BB27" s="431" t="s">
        <v>1843</v>
      </c>
      <c r="BC27" s="432">
        <f>944.742</f>
        <v>944.742</v>
      </c>
    </row>
    <row r="28" ht="15.0" customHeight="1">
      <c r="A28" s="116" t="s">
        <v>1844</v>
      </c>
      <c r="B28" s="56">
        <v>45955.0</v>
      </c>
      <c r="C28" s="182">
        <v>45950.0</v>
      </c>
      <c r="D28" s="57" t="s">
        <v>295</v>
      </c>
      <c r="E28" s="3">
        <f t="array" ref="E28">XLOOKUP(D28,RUC!$B$3:$B$110,RUC!$D$3:$D$110)</f>
        <v>20601769396</v>
      </c>
      <c r="G28" s="141">
        <v>41.0</v>
      </c>
      <c r="H28" s="3" t="s">
        <v>40</v>
      </c>
      <c r="I28" s="6">
        <v>3.19</v>
      </c>
      <c r="J28" s="58">
        <v>13.01</v>
      </c>
      <c r="K28" s="6">
        <f t="shared" si="2"/>
        <v>2.775</v>
      </c>
      <c r="L28" s="3">
        <v>0.352</v>
      </c>
      <c r="M28" s="3">
        <v>0.334</v>
      </c>
      <c r="N28" s="62">
        <f t="shared" ref="N28:N37" si="31">+M28</f>
        <v>0.334</v>
      </c>
      <c r="O28" s="60">
        <f t="shared" si="27"/>
        <v>0.334</v>
      </c>
      <c r="P28" s="63">
        <v>90.0</v>
      </c>
      <c r="Q28" s="58">
        <v>92.9</v>
      </c>
      <c r="R28" s="65">
        <v>4294.35</v>
      </c>
      <c r="S28" s="66">
        <f t="array" ref="S28">IF((XLOOKUP(D28,RUC!$B$3:$B$106,RUC!$E$3:$E$106)+ROUNDDOWN(O28,1)*100)&lt;95,95,((XLOOKUP(D28,RUC!$B$3:$B$106,RUC!$E$3:$E$106)+ROUNDDOWN(O28,1)*100)))</f>
        <v>120</v>
      </c>
      <c r="U28" s="67">
        <f t="array" ref="U28">XLOOKUP(D28,RUC!$B$3:$B$110,RUC!$F$3:$F$110)</f>
        <v>120</v>
      </c>
      <c r="V28" s="67">
        <v>1.1023</v>
      </c>
      <c r="Y28" s="57">
        <f t="array" ref="Y28">XLOOKUP(D28,RUC!$B$3:$B$110,RUC!$G$3:$G$110)</f>
        <v>20</v>
      </c>
      <c r="Z28" s="69">
        <f t="array" ref="Z28">XLOOKUP(D28,RUC!$B$3:$B$110,RUC!$H$3:$H$110)</f>
        <v>30</v>
      </c>
      <c r="AA28" s="70">
        <f t="shared" si="4"/>
        <v>50</v>
      </c>
      <c r="AB28" s="71">
        <f t="shared" si="15"/>
        <v>1195.785633</v>
      </c>
      <c r="AC28" s="71">
        <f>+(S28-T28)*V28-'data 1'!$F$4</f>
        <v>52.276</v>
      </c>
      <c r="AD28" s="71">
        <f t="shared" si="5"/>
        <v>46.97094834</v>
      </c>
      <c r="AE28" s="71">
        <f t="shared" si="6"/>
        <v>-14.885</v>
      </c>
      <c r="AF28" s="71">
        <f t="shared" si="7"/>
        <v>76.94437678</v>
      </c>
      <c r="AG28" s="72">
        <f t="shared" si="25"/>
        <v>178.3063251</v>
      </c>
      <c r="AH28" s="193">
        <f t="shared" si="8"/>
        <v>31.112</v>
      </c>
      <c r="AI28" s="193">
        <f t="shared" si="9"/>
        <v>33.49</v>
      </c>
      <c r="AJ28" s="73">
        <f t="shared" si="10"/>
        <v>-80.86940704</v>
      </c>
      <c r="AK28" s="73">
        <f t="shared" si="11"/>
        <v>28.59967072</v>
      </c>
      <c r="AL28" s="11"/>
      <c r="AM28" s="51">
        <f t="shared" si="12"/>
        <v>3318.305132</v>
      </c>
      <c r="AN28" s="51" t="str">
        <f t="array" ref="AN28">XLOOKUP(D28,RUC!$B$3:$B$565,RUC!$M$3:$M$565)</f>
        <v>Evelyn</v>
      </c>
      <c r="AO28" s="131" t="s">
        <v>558</v>
      </c>
      <c r="AP28" s="57" t="s">
        <v>1835</v>
      </c>
      <c r="AQ28" s="57" t="s">
        <v>850</v>
      </c>
      <c r="AV28" s="160" t="s">
        <v>561</v>
      </c>
      <c r="AW28" s="6">
        <f t="shared" si="28"/>
        <v>0</v>
      </c>
      <c r="AX28" s="6"/>
      <c r="AY28" s="58">
        <f t="shared" si="29"/>
        <v>0</v>
      </c>
      <c r="AZ28" s="58"/>
      <c r="BA28" s="162">
        <f t="shared" si="30"/>
        <v>0</v>
      </c>
      <c r="BB28" s="431" t="s">
        <v>1845</v>
      </c>
      <c r="BC28" s="432">
        <v>126.834</v>
      </c>
    </row>
    <row r="29" ht="15.0" customHeight="1">
      <c r="A29" s="116" t="s">
        <v>1846</v>
      </c>
      <c r="B29" s="56">
        <v>45955.0</v>
      </c>
      <c r="C29" s="182">
        <v>45950.0</v>
      </c>
      <c r="D29" s="57" t="s">
        <v>295</v>
      </c>
      <c r="E29" s="3">
        <f t="array" ref="E29">XLOOKUP(D29,RUC!$B$3:$B$110,RUC!$D$3:$D$110)</f>
        <v>20601769396</v>
      </c>
      <c r="G29" s="141">
        <v>40.0</v>
      </c>
      <c r="H29" s="3" t="s">
        <v>40</v>
      </c>
      <c r="I29" s="6">
        <v>3.25</v>
      </c>
      <c r="J29" s="58">
        <v>10.1</v>
      </c>
      <c r="K29" s="6">
        <f t="shared" si="2"/>
        <v>2.922</v>
      </c>
      <c r="L29" s="3">
        <v>0.239</v>
      </c>
      <c r="M29" s="3">
        <v>0.224</v>
      </c>
      <c r="N29" s="62">
        <f t="shared" si="31"/>
        <v>0.224</v>
      </c>
      <c r="O29" s="60">
        <f t="shared" si="27"/>
        <v>0.224</v>
      </c>
      <c r="P29" s="63">
        <v>88.0</v>
      </c>
      <c r="Q29" s="58">
        <v>89.54</v>
      </c>
      <c r="R29" s="65">
        <v>4294.35</v>
      </c>
      <c r="S29" s="66">
        <f t="array" ref="S29">IF((XLOOKUP(D29,RUC!$B$3:$B$106,RUC!$E$3:$E$106)+ROUNDDOWN(O29,1)*100)&lt;95,95,((XLOOKUP(D29,RUC!$B$3:$B$106,RUC!$E$3:$E$106)+ROUNDDOWN(O29,1)*100)))</f>
        <v>110</v>
      </c>
      <c r="U29" s="67">
        <f t="array" ref="U29">XLOOKUP(D29,RUC!$B$3:$B$110,RUC!$F$3:$F$110)</f>
        <v>120</v>
      </c>
      <c r="V29" s="67">
        <v>1.1023</v>
      </c>
      <c r="Y29" s="57">
        <f t="array" ref="Y29">XLOOKUP(D29,RUC!$B$3:$B$110,RUC!$G$3:$G$110)</f>
        <v>20</v>
      </c>
      <c r="Z29" s="69">
        <f t="array" ref="Z29">XLOOKUP(D29,RUC!$B$3:$B$110,RUC!$H$3:$H$110)</f>
        <v>30</v>
      </c>
      <c r="AA29" s="70">
        <f t="shared" si="4"/>
        <v>50</v>
      </c>
      <c r="AB29" s="71">
        <f t="shared" si="15"/>
        <v>730.6572093</v>
      </c>
      <c r="AC29" s="71">
        <f>+(S29-T29)*V29-'data 1'!$F$4</f>
        <v>41.253</v>
      </c>
      <c r="AD29" s="71">
        <f t="shared" si="5"/>
        <v>16.93586133</v>
      </c>
      <c r="AE29" s="71">
        <f t="shared" si="6"/>
        <v>-14.885</v>
      </c>
      <c r="AF29" s="71">
        <f t="shared" si="7"/>
        <v>61.80121543</v>
      </c>
      <c r="AG29" s="72">
        <f t="shared" si="25"/>
        <v>122.1050768</v>
      </c>
      <c r="AH29" s="193">
        <f t="shared" si="8"/>
        <v>21.439</v>
      </c>
      <c r="AI29" s="193">
        <f t="shared" si="9"/>
        <v>23.943</v>
      </c>
      <c r="AJ29" s="73">
        <f t="shared" si="10"/>
        <v>-52.92256345</v>
      </c>
      <c r="AK29" s="73">
        <f t="shared" si="11"/>
        <v>19.74785689</v>
      </c>
      <c r="AL29" s="11"/>
      <c r="AM29" s="51">
        <f t="shared" si="12"/>
        <v>2134.980366</v>
      </c>
      <c r="AN29" s="51" t="str">
        <f t="array" ref="AN29">XLOOKUP(D29,RUC!$B$3:$B$565,RUC!$M$3:$M$565)</f>
        <v>Evelyn</v>
      </c>
      <c r="AO29" s="131" t="s">
        <v>558</v>
      </c>
      <c r="AP29" s="57" t="s">
        <v>1835</v>
      </c>
      <c r="AQ29" s="57" t="s">
        <v>850</v>
      </c>
      <c r="AV29" s="160" t="s">
        <v>689</v>
      </c>
      <c r="AW29" s="6">
        <f t="shared" si="28"/>
        <v>0</v>
      </c>
      <c r="AX29" s="2"/>
      <c r="AY29" s="58">
        <f t="shared" si="29"/>
        <v>0</v>
      </c>
      <c r="AZ29" s="2"/>
      <c r="BA29" s="162">
        <f t="shared" si="30"/>
        <v>0</v>
      </c>
      <c r="BB29" s="68" t="s">
        <v>1206</v>
      </c>
      <c r="BC29" s="433">
        <f>-BC24-BC25+BC26+BC27+BC28</f>
        <v>0.578</v>
      </c>
    </row>
    <row r="30" ht="15.0" customHeight="1">
      <c r="A30" s="116" t="s">
        <v>1847</v>
      </c>
      <c r="B30" s="56">
        <v>45955.0</v>
      </c>
      <c r="C30" s="182">
        <v>45950.0</v>
      </c>
      <c r="D30" s="57" t="s">
        <v>295</v>
      </c>
      <c r="E30" s="3">
        <f t="array" ref="E30">XLOOKUP(D30,RUC!$B$3:$B$110,RUC!$D$3:$D$110)</f>
        <v>20601769396</v>
      </c>
      <c r="G30" s="141">
        <v>25.0</v>
      </c>
      <c r="H30" s="3" t="s">
        <v>40</v>
      </c>
      <c r="I30" s="6">
        <v>2.0</v>
      </c>
      <c r="J30" s="58">
        <v>10.1</v>
      </c>
      <c r="K30" s="6">
        <f t="shared" si="2"/>
        <v>1.798</v>
      </c>
      <c r="L30" s="3">
        <v>0.371</v>
      </c>
      <c r="M30" s="3">
        <v>0.352</v>
      </c>
      <c r="N30" s="62">
        <f t="shared" si="31"/>
        <v>0.352</v>
      </c>
      <c r="O30" s="60">
        <f t="shared" si="27"/>
        <v>0.352</v>
      </c>
      <c r="P30" s="63">
        <v>90.0</v>
      </c>
      <c r="Q30" s="58">
        <v>92.99</v>
      </c>
      <c r="R30" s="65">
        <v>4294.35</v>
      </c>
      <c r="S30" s="66">
        <f t="array" ref="S30">IF((XLOOKUP(D30,RUC!$B$3:$B$106,RUC!$E$3:$E$106)+ROUNDDOWN(O30,1)*100)&lt;95,95,((XLOOKUP(D30,RUC!$B$3:$B$106,RUC!$E$3:$E$106)+ROUNDDOWN(O30,1)*100)))</f>
        <v>120</v>
      </c>
      <c r="U30" s="67">
        <f t="array" ref="U30">XLOOKUP(D30,RUC!$B$3:$B$110,RUC!$F$3:$F$110)</f>
        <v>120</v>
      </c>
      <c r="V30" s="67">
        <v>1.1023</v>
      </c>
      <c r="Y30" s="57">
        <f t="array" ref="Y30">XLOOKUP(D30,RUC!$B$3:$B$110,RUC!$G$3:$G$110)</f>
        <v>20</v>
      </c>
      <c r="Z30" s="69">
        <f t="array" ref="Z30">XLOOKUP(D30,RUC!$B$3:$B$110,RUC!$H$3:$H$110)</f>
        <v>30</v>
      </c>
      <c r="AA30" s="70">
        <f t="shared" si="4"/>
        <v>50</v>
      </c>
      <c r="AB30" s="71">
        <f t="shared" si="15"/>
        <v>1270.328086</v>
      </c>
      <c r="AC30" s="71">
        <f>+(S30-T30)*V30-'data 1'!$F$4</f>
        <v>52.276</v>
      </c>
      <c r="AD30" s="71">
        <f t="shared" si="5"/>
        <v>51.04271481</v>
      </c>
      <c r="AE30" s="71">
        <f t="shared" si="6"/>
        <v>-14.885</v>
      </c>
      <c r="AF30" s="71">
        <f t="shared" si="7"/>
        <v>81.29774807</v>
      </c>
      <c r="AG30" s="72">
        <f t="shared" si="25"/>
        <v>186.7314629</v>
      </c>
      <c r="AH30" s="193">
        <f t="shared" si="8"/>
        <v>21.267</v>
      </c>
      <c r="AI30" s="193">
        <f t="shared" si="9"/>
        <v>22.87</v>
      </c>
      <c r="AJ30" s="73">
        <f t="shared" si="10"/>
        <v>-85.31709089</v>
      </c>
      <c r="AK30" s="73">
        <f t="shared" si="11"/>
        <v>19.52917646</v>
      </c>
      <c r="AL30" s="11"/>
      <c r="AM30" s="51">
        <f t="shared" si="12"/>
        <v>2284.049899</v>
      </c>
      <c r="AN30" s="51" t="str">
        <f t="array" ref="AN30">XLOOKUP(D30,RUC!$B$3:$B$565,RUC!$M$3:$M$565)</f>
        <v>Evelyn</v>
      </c>
      <c r="AO30" s="131" t="s">
        <v>558</v>
      </c>
      <c r="AP30" s="57" t="s">
        <v>1835</v>
      </c>
      <c r="AQ30" s="57" t="s">
        <v>850</v>
      </c>
      <c r="AV30" s="160" t="s">
        <v>690</v>
      </c>
      <c r="AW30" s="6">
        <f t="shared" si="28"/>
        <v>0</v>
      </c>
      <c r="AX30" s="2"/>
      <c r="AY30" s="58">
        <f t="shared" si="29"/>
        <v>0</v>
      </c>
      <c r="AZ30" s="2"/>
      <c r="BA30" s="162">
        <f t="shared" si="30"/>
        <v>0</v>
      </c>
    </row>
    <row r="31" ht="15.0" customHeight="1">
      <c r="A31" s="116" t="s">
        <v>1848</v>
      </c>
      <c r="B31" s="56">
        <v>45955.0</v>
      </c>
      <c r="C31" s="182">
        <v>45950.0</v>
      </c>
      <c r="D31" s="57" t="s">
        <v>295</v>
      </c>
      <c r="E31" s="3">
        <f t="array" ref="E31">XLOOKUP(D31,RUC!$B$3:$B$110,RUC!$D$3:$D$110)</f>
        <v>20601769396</v>
      </c>
      <c r="G31" s="141">
        <v>49.0</v>
      </c>
      <c r="H31" s="3" t="s">
        <v>40</v>
      </c>
      <c r="I31" s="6">
        <v>4.21</v>
      </c>
      <c r="J31" s="58">
        <v>8.8</v>
      </c>
      <c r="K31" s="6">
        <f t="shared" si="2"/>
        <v>3.84</v>
      </c>
      <c r="L31" s="3">
        <v>0.419</v>
      </c>
      <c r="M31" s="3">
        <v>0.398</v>
      </c>
      <c r="N31" s="62">
        <f t="shared" si="31"/>
        <v>0.398</v>
      </c>
      <c r="O31" s="60">
        <f t="shared" si="27"/>
        <v>0.398</v>
      </c>
      <c r="P31" s="63">
        <v>90.0</v>
      </c>
      <c r="Q31" s="58">
        <v>94.51</v>
      </c>
      <c r="R31" s="65">
        <v>4294.35</v>
      </c>
      <c r="S31" s="66">
        <f t="array" ref="S31">IF((XLOOKUP(D31,RUC!$B$3:$B$106,RUC!$E$3:$E$106)+ROUNDDOWN(O31,1)*100)&lt;95,95,((XLOOKUP(D31,RUC!$B$3:$B$106,RUC!$E$3:$E$106)+ROUNDDOWN(O31,1)*100)))</f>
        <v>120</v>
      </c>
      <c r="U31" s="67">
        <f t="array" ref="U31">XLOOKUP(D31,RUC!$B$3:$B$110,RUC!$F$3:$F$110)</f>
        <v>120</v>
      </c>
      <c r="V31" s="67">
        <v>1.1023</v>
      </c>
      <c r="Y31" s="57">
        <f t="array" ref="Y31">XLOOKUP(D31,RUC!$B$3:$B$110,RUC!$G$3:$G$110)</f>
        <v>20</v>
      </c>
      <c r="Z31" s="69">
        <f t="array" ref="Z31">XLOOKUP(D31,RUC!$B$3:$B$110,RUC!$H$3:$H$110)</f>
        <v>30</v>
      </c>
      <c r="AA31" s="70">
        <f t="shared" si="4"/>
        <v>50</v>
      </c>
      <c r="AB31" s="71">
        <f t="shared" si="15"/>
        <v>1460.825467</v>
      </c>
      <c r="AC31" s="71">
        <f>+(S31-T31)*V31-'data 1'!$F$4</f>
        <v>52.276</v>
      </c>
      <c r="AD31" s="71">
        <f t="shared" si="5"/>
        <v>86.9519312</v>
      </c>
      <c r="AE31" s="71">
        <f t="shared" si="6"/>
        <v>-14.885</v>
      </c>
      <c r="AF31" s="71">
        <f t="shared" si="7"/>
        <v>91.32416818</v>
      </c>
      <c r="AG31" s="72">
        <f t="shared" si="25"/>
        <v>232.6670994</v>
      </c>
      <c r="AH31" s="193">
        <f t="shared" si="8"/>
        <v>52.135</v>
      </c>
      <c r="AI31" s="193">
        <f t="shared" si="9"/>
        <v>55.164</v>
      </c>
      <c r="AJ31" s="73">
        <f t="shared" si="10"/>
        <v>-97.93043135</v>
      </c>
      <c r="AK31" s="73">
        <f t="shared" si="11"/>
        <v>47.15913984</v>
      </c>
      <c r="AL31" s="11"/>
      <c r="AM31" s="51">
        <f t="shared" si="12"/>
        <v>5609.569793</v>
      </c>
      <c r="AN31" s="51" t="str">
        <f t="array" ref="AN31">XLOOKUP(D31,RUC!$B$3:$B$565,RUC!$M$3:$M$565)</f>
        <v>Evelyn</v>
      </c>
      <c r="AO31" s="131" t="s">
        <v>558</v>
      </c>
      <c r="AP31" s="57" t="s">
        <v>1835</v>
      </c>
      <c r="AQ31" s="57" t="s">
        <v>850</v>
      </c>
      <c r="AV31" s="160" t="s">
        <v>691</v>
      </c>
      <c r="AW31" s="6">
        <f t="shared" si="28"/>
        <v>0</v>
      </c>
      <c r="AX31" s="2"/>
      <c r="AY31" s="58">
        <f t="shared" si="29"/>
        <v>0</v>
      </c>
      <c r="AZ31" s="2"/>
      <c r="BA31" s="162">
        <f t="shared" si="30"/>
        <v>0</v>
      </c>
    </row>
    <row r="32" ht="15.0" customHeight="1">
      <c r="A32" s="116" t="s">
        <v>1849</v>
      </c>
      <c r="B32" s="56">
        <v>45955.0</v>
      </c>
      <c r="C32" s="182">
        <v>45950.0</v>
      </c>
      <c r="D32" s="57" t="s">
        <v>295</v>
      </c>
      <c r="E32" s="3">
        <f t="array" ref="E32">XLOOKUP(D32,RUC!$B$3:$B$110,RUC!$D$3:$D$110)</f>
        <v>20601769396</v>
      </c>
      <c r="G32" s="141">
        <v>30.0</v>
      </c>
      <c r="H32" s="3" t="s">
        <v>40</v>
      </c>
      <c r="I32" s="6">
        <v>2.64</v>
      </c>
      <c r="J32" s="58">
        <v>7.8</v>
      </c>
      <c r="K32" s="6">
        <f t="shared" si="2"/>
        <v>2.434</v>
      </c>
      <c r="L32" s="3">
        <v>0.326</v>
      </c>
      <c r="M32" s="60">
        <v>0.31</v>
      </c>
      <c r="N32" s="62">
        <f t="shared" si="31"/>
        <v>0.31</v>
      </c>
      <c r="O32" s="60">
        <f t="shared" si="27"/>
        <v>0.31</v>
      </c>
      <c r="P32" s="63">
        <v>90.0</v>
      </c>
      <c r="Q32" s="58">
        <v>92.02</v>
      </c>
      <c r="R32" s="65">
        <v>4294.35</v>
      </c>
      <c r="S32" s="66">
        <f t="array" ref="S32">IF((XLOOKUP(D32,RUC!$B$3:$B$106,RUC!$E$3:$E$106)+ROUNDDOWN(O32,1)*100)&lt;95,95,((XLOOKUP(D32,RUC!$B$3:$B$106,RUC!$E$3:$E$106)+ROUNDDOWN(O32,1)*100)))</f>
        <v>120</v>
      </c>
      <c r="U32" s="67">
        <f t="array" ref="U32">XLOOKUP(D32,RUC!$B$3:$B$110,RUC!$F$3:$F$110)</f>
        <v>120</v>
      </c>
      <c r="V32" s="67">
        <v>1.1023</v>
      </c>
      <c r="Y32" s="57">
        <f t="array" ref="Y32">XLOOKUP(D32,RUC!$B$3:$B$110,RUC!$G$3:$G$110)</f>
        <v>20</v>
      </c>
      <c r="Z32" s="69">
        <f t="array" ref="Z32">XLOOKUP(D32,RUC!$B$3:$B$110,RUC!$H$3:$H$110)</f>
        <v>30</v>
      </c>
      <c r="AA32" s="70">
        <f t="shared" si="4"/>
        <v>50</v>
      </c>
      <c r="AB32" s="71">
        <f t="shared" si="15"/>
        <v>1096.395695</v>
      </c>
      <c r="AC32" s="71">
        <f>+(S32-T32)*V32-'data 1'!$F$4</f>
        <v>52.276</v>
      </c>
      <c r="AD32" s="71">
        <f t="shared" si="5"/>
        <v>30.30104712</v>
      </c>
      <c r="AE32" s="71">
        <f t="shared" si="6"/>
        <v>-14.885</v>
      </c>
      <c r="AF32" s="71">
        <f t="shared" si="7"/>
        <v>67.74712643</v>
      </c>
      <c r="AG32" s="72">
        <f t="shared" si="25"/>
        <v>152.4391735</v>
      </c>
      <c r="AH32" s="193">
        <f t="shared" si="8"/>
        <v>25.034</v>
      </c>
      <c r="AI32" s="193">
        <f t="shared" si="9"/>
        <v>27.205</v>
      </c>
      <c r="AJ32" s="73">
        <f t="shared" si="10"/>
        <v>-74.18664145</v>
      </c>
      <c r="AK32" s="73">
        <f t="shared" si="11"/>
        <v>23.28272703</v>
      </c>
      <c r="AL32" s="11"/>
      <c r="AM32" s="51">
        <f t="shared" si="12"/>
        <v>2668.627123</v>
      </c>
      <c r="AN32" s="51" t="str">
        <f t="array" ref="AN32">XLOOKUP(D32,RUC!$B$3:$B$565,RUC!$M$3:$M$565)</f>
        <v>Evelyn</v>
      </c>
      <c r="AO32" s="131" t="s">
        <v>558</v>
      </c>
      <c r="AP32" s="57" t="s">
        <v>1835</v>
      </c>
      <c r="AQ32" s="57" t="s">
        <v>850</v>
      </c>
      <c r="AV32" s="160" t="s">
        <v>692</v>
      </c>
      <c r="AW32" s="6">
        <f t="shared" si="28"/>
        <v>0</v>
      </c>
      <c r="AX32" s="2"/>
      <c r="AY32" s="58">
        <f t="shared" si="29"/>
        <v>0</v>
      </c>
      <c r="AZ32" s="2"/>
      <c r="BA32" s="162">
        <f t="shared" si="30"/>
        <v>0</v>
      </c>
    </row>
    <row r="33" ht="15.0" customHeight="1">
      <c r="A33" s="116" t="s">
        <v>1850</v>
      </c>
      <c r="B33" s="56">
        <v>45955.0</v>
      </c>
      <c r="C33" s="182">
        <v>45950.0</v>
      </c>
      <c r="D33" s="57" t="s">
        <v>295</v>
      </c>
      <c r="E33" s="3">
        <f t="array" ref="E33">XLOOKUP(D33,RUC!$B$3:$B$110,RUC!$D$3:$D$110)</f>
        <v>20601769396</v>
      </c>
      <c r="G33" s="141">
        <v>26.0</v>
      </c>
      <c r="H33" s="3" t="s">
        <v>40</v>
      </c>
      <c r="I33" s="6">
        <v>2.25</v>
      </c>
      <c r="J33" s="58">
        <v>9.95</v>
      </c>
      <c r="K33" s="6">
        <f t="shared" si="2"/>
        <v>2.026</v>
      </c>
      <c r="L33" s="60">
        <v>0.46</v>
      </c>
      <c r="M33" s="3">
        <v>0.437</v>
      </c>
      <c r="N33" s="62">
        <f t="shared" si="31"/>
        <v>0.437</v>
      </c>
      <c r="O33" s="60">
        <f t="shared" si="27"/>
        <v>0.437</v>
      </c>
      <c r="P33" s="63">
        <v>90.0</v>
      </c>
      <c r="Q33" s="58">
        <v>94.57</v>
      </c>
      <c r="R33" s="65">
        <v>4294.35</v>
      </c>
      <c r="S33" s="66">
        <f t="array" ref="S33">IF((XLOOKUP(D33,RUC!$B$3:$B$106,RUC!$E$3:$E$106)+ROUNDDOWN(O33,1)*100)&lt;95,95,((XLOOKUP(D33,RUC!$B$3:$B$106,RUC!$E$3:$E$106)+ROUNDDOWN(O33,1)*100)))</f>
        <v>130</v>
      </c>
      <c r="U33" s="67">
        <f t="array" ref="U33">XLOOKUP(D33,RUC!$B$3:$B$110,RUC!$F$3:$F$110)</f>
        <v>120</v>
      </c>
      <c r="V33" s="67">
        <v>1.1023</v>
      </c>
      <c r="Y33" s="57">
        <f t="array" ref="Y33">XLOOKUP(D33,RUC!$B$3:$B$110,RUC!$G$3:$G$110)</f>
        <v>20</v>
      </c>
      <c r="Z33" s="69">
        <f t="array" ref="Z33">XLOOKUP(D33,RUC!$B$3:$B$110,RUC!$H$3:$H$110)</f>
        <v>30</v>
      </c>
      <c r="AA33" s="70">
        <f t="shared" si="4"/>
        <v>50</v>
      </c>
      <c r="AB33" s="71">
        <f t="shared" si="15"/>
        <v>1611.311116</v>
      </c>
      <c r="AC33" s="71">
        <f>+(S33-T33)*V33-'data 1'!$F$4</f>
        <v>63.299</v>
      </c>
      <c r="AD33" s="71">
        <f t="shared" si="5"/>
        <v>96.7303366</v>
      </c>
      <c r="AE33" s="71">
        <f t="shared" si="6"/>
        <v>-14.885</v>
      </c>
      <c r="AF33" s="71">
        <f t="shared" si="7"/>
        <v>100.0852071</v>
      </c>
      <c r="AG33" s="72">
        <f t="shared" si="25"/>
        <v>262.2295437</v>
      </c>
      <c r="AH33" s="193">
        <f t="shared" si="8"/>
        <v>30.218</v>
      </c>
      <c r="AI33" s="193">
        <f t="shared" si="9"/>
        <v>31.953</v>
      </c>
      <c r="AJ33" s="73">
        <f t="shared" si="10"/>
        <v>-107.5813778</v>
      </c>
      <c r="AK33" s="73">
        <f t="shared" si="11"/>
        <v>27.31948176</v>
      </c>
      <c r="AL33" s="11"/>
      <c r="AM33" s="51">
        <f t="shared" si="12"/>
        <v>3264.516321</v>
      </c>
      <c r="AN33" s="51" t="str">
        <f t="array" ref="AN33">XLOOKUP(D33,RUC!$B$3:$B$565,RUC!$M$3:$M$565)</f>
        <v>Evelyn</v>
      </c>
      <c r="AO33" s="131" t="s">
        <v>558</v>
      </c>
      <c r="AP33" s="57" t="s">
        <v>1835</v>
      </c>
      <c r="AQ33" s="57" t="s">
        <v>850</v>
      </c>
      <c r="AV33" s="163" t="s">
        <v>693</v>
      </c>
      <c r="AW33" s="165">
        <f t="shared" si="28"/>
        <v>0</v>
      </c>
      <c r="AX33" s="170"/>
      <c r="AY33" s="168">
        <f t="shared" si="29"/>
        <v>0</v>
      </c>
      <c r="AZ33" s="170"/>
      <c r="BA33" s="171">
        <f t="shared" si="30"/>
        <v>0</v>
      </c>
    </row>
    <row r="34" ht="15.0" customHeight="1">
      <c r="A34" s="116" t="s">
        <v>1851</v>
      </c>
      <c r="B34" s="56">
        <v>45955.0</v>
      </c>
      <c r="C34" s="182">
        <v>45950.0</v>
      </c>
      <c r="D34" s="2" t="s">
        <v>835</v>
      </c>
      <c r="E34" s="3" t="str">
        <f t="array" ref="E34">XLOOKUP(D34,RUC!$B$3:$B$110,RUC!$D$3:$D$110)</f>
        <v>10486077447,</v>
      </c>
      <c r="G34" s="141">
        <v>110.0</v>
      </c>
      <c r="H34" s="3" t="s">
        <v>47</v>
      </c>
      <c r="I34" s="6">
        <v>9.65</v>
      </c>
      <c r="J34" s="58">
        <v>1.3</v>
      </c>
      <c r="K34" s="6">
        <f t="shared" si="2"/>
        <v>9.525</v>
      </c>
      <c r="L34" s="60">
        <v>0.19</v>
      </c>
      <c r="M34" s="3">
        <v>0.175</v>
      </c>
      <c r="N34" s="62">
        <f t="shared" si="31"/>
        <v>0.175</v>
      </c>
      <c r="O34" s="60">
        <f t="shared" si="27"/>
        <v>0.175</v>
      </c>
      <c r="P34" s="63">
        <v>87.0</v>
      </c>
      <c r="Q34" s="58">
        <v>87.89</v>
      </c>
      <c r="R34" s="65">
        <v>4294.35</v>
      </c>
      <c r="S34" s="66">
        <f t="array" ref="S34">IF((XLOOKUP(D34,RUC!$B$3:$B$106,RUC!$E$3:$E$106)+ROUNDDOWN(O34,1)*100)&lt;95,95,((XLOOKUP(D34,RUC!$B$3:$B$106,RUC!$E$3:$E$106)+ROUNDDOWN(O34,1)*100)))</f>
        <v>100</v>
      </c>
      <c r="U34" s="67">
        <f t="array" ref="U34">XLOOKUP(D34,RUC!$B$3:$B$110,RUC!$F$3:$F$110)</f>
        <v>120</v>
      </c>
      <c r="V34" s="67">
        <v>1.1023</v>
      </c>
      <c r="Y34" s="57">
        <f t="array" ref="Y34">XLOOKUP(D34,RUC!$B$3:$B$110,RUC!$G$3:$G$110)</f>
        <v>20</v>
      </c>
      <c r="Z34" s="69">
        <f t="array" ref="Z34">XLOOKUP(D34,RUC!$B$3:$B$110,RUC!$H$3:$H$110)</f>
        <v>30</v>
      </c>
      <c r="AA34" s="70">
        <f t="shared" si="4"/>
        <v>50</v>
      </c>
      <c r="AB34" s="71">
        <f t="shared" si="15"/>
        <v>535.2160193</v>
      </c>
      <c r="AC34" s="71">
        <f>+(S34-T34)*V34-'data 1'!$F$4</f>
        <v>30.23</v>
      </c>
      <c r="AD34" s="71">
        <f t="shared" si="5"/>
        <v>7.780943734</v>
      </c>
      <c r="AE34" s="71">
        <f t="shared" si="6"/>
        <v>-14.885</v>
      </c>
      <c r="AF34" s="71">
        <f t="shared" si="7"/>
        <v>60.6623724</v>
      </c>
      <c r="AG34" s="72">
        <f>AC34+AD34+AE34+AF34+70</f>
        <v>153.7883161</v>
      </c>
      <c r="AH34" s="193">
        <f t="shared" si="8"/>
        <v>54.534</v>
      </c>
      <c r="AI34" s="193">
        <f t="shared" si="9"/>
        <v>62.048</v>
      </c>
      <c r="AJ34" s="73">
        <f t="shared" si="10"/>
        <v>-41.29704213</v>
      </c>
      <c r="AK34" s="73">
        <f t="shared" si="11"/>
        <v>49.7200269</v>
      </c>
      <c r="AL34" s="11"/>
      <c r="AM34" s="51">
        <f t="shared" si="12"/>
        <v>5097.932583</v>
      </c>
      <c r="AN34" s="51" t="str">
        <f t="array" ref="AN34">XLOOKUP(D34,RUC!$B$3:$B$565,RUC!$M$3:$M$565)</f>
        <v>SIN ACOPIO</v>
      </c>
      <c r="AO34" s="131" t="s">
        <v>547</v>
      </c>
      <c r="AP34" s="57" t="s">
        <v>1852</v>
      </c>
      <c r="AQ34" s="57" t="s">
        <v>1853</v>
      </c>
    </row>
    <row r="35" ht="15.0" customHeight="1">
      <c r="A35" s="116" t="s">
        <v>1854</v>
      </c>
      <c r="B35" s="56">
        <v>45959.0</v>
      </c>
      <c r="C35" s="182">
        <v>45950.0</v>
      </c>
      <c r="D35" s="57" t="s">
        <v>602</v>
      </c>
      <c r="E35" s="3">
        <f t="array" ref="E35">XLOOKUP(D35,RUC!$B$3:$B$110,RUC!$D$3:$D$110)</f>
        <v>20169040231</v>
      </c>
      <c r="G35" s="141">
        <v>82.0</v>
      </c>
      <c r="H35" s="3" t="s">
        <v>47</v>
      </c>
      <c r="I35" s="6">
        <v>8.24</v>
      </c>
      <c r="J35" s="58">
        <v>1.3</v>
      </c>
      <c r="K35" s="6">
        <f t="shared" si="2"/>
        <v>8.133</v>
      </c>
      <c r="L35" s="3">
        <v>0.594</v>
      </c>
      <c r="M35" s="3">
        <v>0.564</v>
      </c>
      <c r="N35" s="62">
        <f t="shared" si="31"/>
        <v>0.564</v>
      </c>
      <c r="O35" s="60">
        <f t="shared" si="27"/>
        <v>0.564</v>
      </c>
      <c r="P35" s="63">
        <v>66.0</v>
      </c>
      <c r="Q35" s="58">
        <v>66.67</v>
      </c>
      <c r="R35" s="65">
        <v>4294.35</v>
      </c>
      <c r="S35" s="66">
        <f t="array" ref="S35">IF((XLOOKUP(D35,RUC!$B$3:$B$106,RUC!$E$3:$E$106)+ROUNDDOWN(O35,1)*100)&lt;95,95,((XLOOKUP(D35,RUC!$B$3:$B$106,RUC!$E$3:$E$106)+ROUNDDOWN(O35,1)*100)))</f>
        <v>135</v>
      </c>
      <c r="U35" s="67">
        <f t="array" ref="U35">XLOOKUP(D35,RUC!$B$3:$B$110,RUC!$F$3:$F$110)</f>
        <v>120</v>
      </c>
      <c r="V35" s="67">
        <v>1.1023</v>
      </c>
      <c r="Y35" s="57">
        <f t="array" ref="Y35">XLOOKUP(D35,RUC!$B$3:$B$110,RUC!$G$3:$G$110)</f>
        <v>20</v>
      </c>
      <c r="Z35" s="140">
        <v>35.0</v>
      </c>
      <c r="AA35" s="70">
        <f t="shared" si="4"/>
        <v>55</v>
      </c>
      <c r="AB35" s="71">
        <f t="shared" si="15"/>
        <v>1503.382927</v>
      </c>
      <c r="AC35" s="71">
        <f>+(S35-T35)*V35-'data 1'!$F$4</f>
        <v>68.8105</v>
      </c>
      <c r="AD35" s="71">
        <f t="shared" si="5"/>
        <v>18.31259602</v>
      </c>
      <c r="AE35" s="71">
        <f t="shared" si="6"/>
        <v>-9.3735</v>
      </c>
      <c r="AF35" s="71">
        <f t="shared" si="7"/>
        <v>92.03232149</v>
      </c>
      <c r="AG35" s="72">
        <f t="shared" ref="AG35:AG61" si="32">AC35+AD35+AE35+AF35+70-53</f>
        <v>186.7819175</v>
      </c>
      <c r="AH35" s="193">
        <f t="shared" si="8"/>
        <v>110.427</v>
      </c>
      <c r="AI35" s="193">
        <f t="shared" si="9"/>
        <v>165.633</v>
      </c>
      <c r="AJ35" s="73">
        <f t="shared" si="10"/>
        <v>-97.93609454</v>
      </c>
      <c r="AK35" s="73">
        <f t="shared" si="11"/>
        <v>103.796541</v>
      </c>
      <c r="AL35" s="11"/>
      <c r="AM35" s="51">
        <f t="shared" si="12"/>
        <v>12227.01334</v>
      </c>
      <c r="AN35" s="51" t="str">
        <f t="array" ref="AN35">XLOOKUP(D35,RUC!$B$3:$B$565,RUC!$M$3:$M$565)</f>
        <v>Ronald Miranda</v>
      </c>
      <c r="AO35" s="131" t="s">
        <v>551</v>
      </c>
      <c r="AP35" s="57" t="s">
        <v>1651</v>
      </c>
      <c r="AQ35" s="57" t="s">
        <v>1399</v>
      </c>
    </row>
    <row r="36" ht="15.0" customHeight="1">
      <c r="A36" s="116" t="s">
        <v>1855</v>
      </c>
      <c r="B36" s="56">
        <v>45955.0</v>
      </c>
      <c r="C36" s="182">
        <v>45950.0</v>
      </c>
      <c r="D36" s="57" t="s">
        <v>622</v>
      </c>
      <c r="E36" s="3">
        <f t="array" ref="E36">XLOOKUP(D36,RUC!$B$3:$B$110,RUC!$D$3:$D$110)</f>
        <v>20612719757</v>
      </c>
      <c r="G36" s="141">
        <v>50.0</v>
      </c>
      <c r="H36" s="3" t="s">
        <v>40</v>
      </c>
      <c r="I36" s="6">
        <v>4.39</v>
      </c>
      <c r="J36" s="58">
        <v>8.15</v>
      </c>
      <c r="K36" s="6">
        <f t="shared" si="2"/>
        <v>4.032</v>
      </c>
      <c r="L36" s="3">
        <v>0.131</v>
      </c>
      <c r="M36" s="3">
        <v>0.116</v>
      </c>
      <c r="N36" s="62">
        <f t="shared" si="31"/>
        <v>0.116</v>
      </c>
      <c r="O36" s="60">
        <f t="shared" si="27"/>
        <v>0.116</v>
      </c>
      <c r="P36" s="63">
        <v>85.0</v>
      </c>
      <c r="Q36" s="58">
        <v>94.66</v>
      </c>
      <c r="R36" s="65">
        <v>4294.35</v>
      </c>
      <c r="S36" s="66">
        <f t="array" ref="S36">IF((XLOOKUP(D36,RUC!$B$3:$B$106,RUC!$E$3:$E$106)+ROUNDDOWN(O36,1)*100)&lt;95,95,((XLOOKUP(D36,RUC!$B$3:$B$106,RUC!$E$3:$E$106)+ROUNDDOWN(O36,1)*100)))</f>
        <v>100</v>
      </c>
      <c r="U36" s="67">
        <f t="array" ref="U36">XLOOKUP(D36,RUC!$B$3:$B$110,RUC!$F$3:$F$110)</f>
        <v>120</v>
      </c>
      <c r="V36" s="67">
        <v>1.1023</v>
      </c>
      <c r="Y36" s="57">
        <f t="array" ref="Y36">XLOOKUP(D36,RUC!$B$3:$B$110,RUC!$G$3:$G$110)</f>
        <v>20</v>
      </c>
      <c r="Z36" s="69">
        <f t="array" ref="Z36">XLOOKUP(D36,RUC!$B$3:$B$110,RUC!$H$3:$H$110)</f>
        <v>30</v>
      </c>
      <c r="AA36" s="70">
        <f t="shared" si="4"/>
        <v>50</v>
      </c>
      <c r="AB36" s="71">
        <f t="shared" si="15"/>
        <v>288.3516601</v>
      </c>
      <c r="AC36" s="71">
        <f>+(S36-T36)*V36-'data 1'!$F$4</f>
        <v>30.23</v>
      </c>
      <c r="AD36" s="71">
        <f t="shared" si="5"/>
        <v>58.22869934</v>
      </c>
      <c r="AE36" s="71">
        <f t="shared" si="6"/>
        <v>-14.885</v>
      </c>
      <c r="AF36" s="71">
        <f t="shared" si="7"/>
        <v>65.33507988</v>
      </c>
      <c r="AG36" s="72">
        <f t="shared" si="32"/>
        <v>155.9087792</v>
      </c>
      <c r="AH36" s="193">
        <f t="shared" si="8"/>
        <v>17.142</v>
      </c>
      <c r="AI36" s="193">
        <f t="shared" si="9"/>
        <v>18.109</v>
      </c>
      <c r="AJ36" s="73">
        <f t="shared" si="10"/>
        <v>-30.6664622</v>
      </c>
      <c r="AK36" s="73">
        <f t="shared" si="11"/>
        <v>13.6303343</v>
      </c>
      <c r="AL36" s="11"/>
      <c r="AM36" s="51">
        <f t="shared" si="12"/>
        <v>1162.633893</v>
      </c>
      <c r="AN36" s="51" t="str">
        <f t="array" ref="AN36">XLOOKUP(D36,RUC!$B$3:$B$565,RUC!$M$3:$M$565)</f>
        <v>Walter Achulla </v>
      </c>
      <c r="AO36" s="131" t="s">
        <v>549</v>
      </c>
      <c r="AP36" s="57" t="s">
        <v>1491</v>
      </c>
      <c r="AQ36" s="57" t="s">
        <v>878</v>
      </c>
    </row>
    <row r="37" ht="14.25" customHeight="1">
      <c r="A37" s="116" t="s">
        <v>1856</v>
      </c>
      <c r="B37" s="56">
        <v>45955.0</v>
      </c>
      <c r="C37" s="182">
        <v>45950.0</v>
      </c>
      <c r="D37" s="57" t="s">
        <v>622</v>
      </c>
      <c r="E37" s="3">
        <f t="array" ref="E37">XLOOKUP(D37,RUC!$B$3:$B$110,RUC!$D$3:$D$110)</f>
        <v>20612719757</v>
      </c>
      <c r="G37" s="141">
        <v>50.0</v>
      </c>
      <c r="H37" s="3" t="s">
        <v>40</v>
      </c>
      <c r="I37" s="6">
        <v>4.52</v>
      </c>
      <c r="J37" s="58">
        <v>8.5</v>
      </c>
      <c r="K37" s="6">
        <f t="shared" si="2"/>
        <v>4.136</v>
      </c>
      <c r="L37" s="3">
        <v>0.223</v>
      </c>
      <c r="M37" s="3">
        <v>0.208</v>
      </c>
      <c r="N37" s="62">
        <f t="shared" si="31"/>
        <v>0.208</v>
      </c>
      <c r="O37" s="60">
        <f t="shared" si="27"/>
        <v>0.208</v>
      </c>
      <c r="P37" s="63">
        <v>90.0</v>
      </c>
      <c r="Q37" s="58">
        <v>91.48</v>
      </c>
      <c r="R37" s="65">
        <v>4294.35</v>
      </c>
      <c r="S37" s="66">
        <f t="array" ref="S37">IF((XLOOKUP(D37,RUC!$B$3:$B$106,RUC!$E$3:$E$106)+ROUNDDOWN(O37,1)*100)&lt;95,95,((XLOOKUP(D37,RUC!$B$3:$B$106,RUC!$E$3:$E$106)+ROUNDDOWN(O37,1)*100)))</f>
        <v>110</v>
      </c>
      <c r="U37" s="67">
        <f t="array" ref="U37">XLOOKUP(D37,RUC!$B$3:$B$110,RUC!$F$3:$F$110)</f>
        <v>120</v>
      </c>
      <c r="V37" s="67">
        <v>1.1023</v>
      </c>
      <c r="Y37" s="57">
        <f t="array" ref="Y37">XLOOKUP(D37,RUC!$B$3:$B$110,RUC!$G$3:$G$110)</f>
        <v>20</v>
      </c>
      <c r="Z37" s="69">
        <f t="array" ref="Z37">XLOOKUP(D37,RUC!$B$3:$B$110,RUC!$H$3:$H$110)</f>
        <v>30</v>
      </c>
      <c r="AA37" s="70">
        <f t="shared" si="4"/>
        <v>50</v>
      </c>
      <c r="AB37" s="71">
        <f t="shared" si="15"/>
        <v>685.0114601</v>
      </c>
      <c r="AC37" s="71">
        <f>+(S37-T37)*V37-'data 1'!$F$4</f>
        <v>41.253</v>
      </c>
      <c r="AD37" s="71">
        <f t="shared" si="5"/>
        <v>15.18641437</v>
      </c>
      <c r="AE37" s="71">
        <f t="shared" si="6"/>
        <v>-14.885</v>
      </c>
      <c r="AF37" s="71">
        <f t="shared" si="7"/>
        <v>63.14021876</v>
      </c>
      <c r="AG37" s="72">
        <f t="shared" si="32"/>
        <v>121.6946331</v>
      </c>
      <c r="AH37" s="193">
        <f t="shared" si="8"/>
        <v>28.928</v>
      </c>
      <c r="AI37" s="193">
        <f t="shared" si="9"/>
        <v>31.622</v>
      </c>
      <c r="AJ37" s="73">
        <f t="shared" si="10"/>
        <v>-50.44950394</v>
      </c>
      <c r="AK37" s="73">
        <f t="shared" si="11"/>
        <v>26.54577712</v>
      </c>
      <c r="AL37" s="11"/>
      <c r="AM37" s="51">
        <f t="shared" si="12"/>
        <v>2833.207399</v>
      </c>
      <c r="AN37" s="51" t="str">
        <f t="array" ref="AN37">XLOOKUP(D37,RUC!$B$3:$B$565,RUC!$M$3:$M$565)</f>
        <v>Walter Achulla </v>
      </c>
      <c r="AO37" s="131" t="s">
        <v>549</v>
      </c>
      <c r="AP37" s="57" t="s">
        <v>1491</v>
      </c>
      <c r="AQ37" s="57" t="s">
        <v>878</v>
      </c>
    </row>
    <row r="38" ht="15.0" customHeight="1">
      <c r="A38" s="116" t="s">
        <v>1857</v>
      </c>
      <c r="B38" s="445">
        <v>45959.0</v>
      </c>
      <c r="C38" s="182">
        <v>45950.0</v>
      </c>
      <c r="D38" s="57" t="s">
        <v>602</v>
      </c>
      <c r="E38" s="3">
        <f t="array" ref="E38">XLOOKUP(D38,RUC!$B$3:$B$110,RUC!$D$3:$D$110)</f>
        <v>20169040231</v>
      </c>
      <c r="G38" s="141">
        <v>81.0</v>
      </c>
      <c r="H38" s="3" t="s">
        <v>47</v>
      </c>
      <c r="I38" s="6">
        <v>7.89</v>
      </c>
      <c r="J38" s="58">
        <v>1.2</v>
      </c>
      <c r="K38" s="6">
        <f t="shared" si="2"/>
        <v>7.795</v>
      </c>
      <c r="L38" s="3">
        <v>0.553</v>
      </c>
      <c r="M38" s="3">
        <v>0.525</v>
      </c>
      <c r="N38" s="427">
        <v>0.525</v>
      </c>
      <c r="O38" s="75">
        <v>0.578</v>
      </c>
      <c r="P38" s="63">
        <v>74.0</v>
      </c>
      <c r="Q38" s="58">
        <v>74.5</v>
      </c>
      <c r="R38" s="65">
        <v>4294.35</v>
      </c>
      <c r="S38" s="66">
        <f t="array" ref="S38">IF((XLOOKUP(D38,RUC!$B$3:$B$106,RUC!$E$3:$E$106)+ROUNDDOWN(O38,1)*100)&lt;95,95,((XLOOKUP(D38,RUC!$B$3:$B$106,RUC!$E$3:$E$106)+ROUNDDOWN(O38,1)*100)))</f>
        <v>135</v>
      </c>
      <c r="U38" s="67">
        <f t="array" ref="U38">XLOOKUP(D38,RUC!$B$3:$B$110,RUC!$F$3:$F$110)</f>
        <v>120</v>
      </c>
      <c r="V38" s="67">
        <v>1.1023</v>
      </c>
      <c r="Y38" s="199">
        <f t="array" ref="Y38">XLOOKUP(D38,RUC!$B$3:$B$110,RUC!$G$3:$G$110)+20</f>
        <v>40</v>
      </c>
      <c r="Z38" s="140">
        <v>35.0</v>
      </c>
      <c r="AA38" s="70">
        <f t="shared" si="4"/>
        <v>75</v>
      </c>
      <c r="AB38" s="71">
        <f t="shared" si="15"/>
        <v>1736.621822</v>
      </c>
      <c r="AC38" s="71">
        <f>+(S38-T38)*V38-'data 1'!$F$4</f>
        <v>68.8105</v>
      </c>
      <c r="AD38" s="71">
        <f t="shared" si="5"/>
        <v>12.7228323</v>
      </c>
      <c r="AE38" s="71">
        <f t="shared" si="6"/>
        <v>12.6725</v>
      </c>
      <c r="AF38" s="71">
        <f t="shared" si="7"/>
        <v>-85.70081434</v>
      </c>
      <c r="AG38" s="72">
        <f t="shared" si="32"/>
        <v>25.50501796</v>
      </c>
      <c r="AH38" s="193">
        <f t="shared" si="8"/>
        <v>110.105</v>
      </c>
      <c r="AI38" s="193">
        <f t="shared" si="9"/>
        <v>147.792</v>
      </c>
      <c r="AJ38" s="73">
        <f t="shared" si="10"/>
        <v>-101.8843045</v>
      </c>
      <c r="AK38" s="73">
        <f t="shared" si="11"/>
        <v>114.3101374</v>
      </c>
      <c r="AL38" s="11"/>
      <c r="AM38" s="51">
        <f t="shared" si="12"/>
        <v>13536.9671</v>
      </c>
      <c r="AN38" s="51" t="str">
        <f t="array" ref="AN38">XLOOKUP(D38,RUC!$B$3:$B$565,RUC!$M$3:$M$565)</f>
        <v>Ronald Miranda</v>
      </c>
      <c r="AO38" s="131" t="s">
        <v>551</v>
      </c>
      <c r="AP38" s="57" t="s">
        <v>1651</v>
      </c>
      <c r="AQ38" s="57" t="s">
        <v>1399</v>
      </c>
    </row>
    <row r="39" ht="15.0" customHeight="1">
      <c r="A39" s="116" t="s">
        <v>1858</v>
      </c>
      <c r="B39" s="56">
        <v>45957.0</v>
      </c>
      <c r="C39" s="182">
        <v>45950.0</v>
      </c>
      <c r="D39" s="57" t="s">
        <v>602</v>
      </c>
      <c r="E39" s="3">
        <f t="array" ref="E39">XLOOKUP(D39,RUC!$B$3:$B$110,RUC!$D$3:$D$110)</f>
        <v>20169040231</v>
      </c>
      <c r="G39" s="141">
        <v>153.0</v>
      </c>
      <c r="H39" s="3" t="s">
        <v>47</v>
      </c>
      <c r="I39" s="6">
        <v>15.15</v>
      </c>
      <c r="J39" s="58">
        <v>1.15</v>
      </c>
      <c r="K39" s="6">
        <f t="shared" si="2"/>
        <v>14.976</v>
      </c>
      <c r="L39" s="3">
        <v>0.128</v>
      </c>
      <c r="M39" s="131">
        <v>0.167</v>
      </c>
      <c r="N39" s="62">
        <f t="shared" ref="N39:N49" si="33">+M39</f>
        <v>0.167</v>
      </c>
      <c r="O39" s="60">
        <f t="shared" ref="O39:O51" si="34">+ROUND((M39+N39)/2,3)</f>
        <v>0.167</v>
      </c>
      <c r="P39" s="63">
        <v>82.0</v>
      </c>
      <c r="Q39" s="58">
        <v>82.03</v>
      </c>
      <c r="R39" s="65">
        <v>4294.35</v>
      </c>
      <c r="S39" s="66">
        <f t="array" ref="S39">IF((XLOOKUP(D39,RUC!$B$3:$B$106,RUC!$E$3:$E$106)+ROUNDDOWN(O39,1)*100)&lt;95,95,((XLOOKUP(D39,RUC!$B$3:$B$106,RUC!$E$3:$E$106)+ROUNDDOWN(O39,1)*100)))</f>
        <v>95</v>
      </c>
      <c r="U39" s="67">
        <f t="array" ref="U39">XLOOKUP(D39,RUC!$B$3:$B$110,RUC!$F$3:$F$110)</f>
        <v>120</v>
      </c>
      <c r="V39" s="67">
        <v>1.1023</v>
      </c>
      <c r="Y39" s="199">
        <f t="array" ref="Y39">XLOOKUP(D39,RUC!$B$3:$B$110,RUC!$G$3:$G$110)+20</f>
        <v>40</v>
      </c>
      <c r="Z39" s="140">
        <v>35.0</v>
      </c>
      <c r="AA39" s="70">
        <f t="shared" si="4"/>
        <v>75</v>
      </c>
      <c r="AB39" s="71">
        <f t="shared" si="15"/>
        <v>442.7227995</v>
      </c>
      <c r="AC39" s="71">
        <f>+(S39-T39)*V39-'data 1'!$F$4</f>
        <v>24.7185</v>
      </c>
      <c r="AD39" s="71">
        <f t="shared" si="5"/>
        <v>0.1766932226</v>
      </c>
      <c r="AE39" s="71">
        <f t="shared" si="6"/>
        <v>12.6725</v>
      </c>
      <c r="AF39" s="71">
        <f t="shared" si="7"/>
        <v>-147.2061607</v>
      </c>
      <c r="AG39" s="72">
        <f t="shared" si="32"/>
        <v>-92.63846743</v>
      </c>
      <c r="AH39" s="193">
        <f t="shared" si="8"/>
        <v>53.912</v>
      </c>
      <c r="AI39" s="193">
        <f t="shared" si="9"/>
        <v>65.723</v>
      </c>
      <c r="AJ39" s="73">
        <f t="shared" si="10"/>
        <v>-25.96620984</v>
      </c>
      <c r="AK39" s="73">
        <f t="shared" si="11"/>
        <v>70.31293461</v>
      </c>
      <c r="AL39" s="11"/>
      <c r="AM39" s="51">
        <f t="shared" si="12"/>
        <v>6630.216646</v>
      </c>
      <c r="AN39" s="51" t="str">
        <f t="array" ref="AN39">XLOOKUP(D39,RUC!$B$3:$B$565,RUC!$M$3:$M$565)</f>
        <v>Ronald Miranda</v>
      </c>
      <c r="AO39" s="131" t="s">
        <v>551</v>
      </c>
      <c r="AP39" s="57" t="s">
        <v>1651</v>
      </c>
      <c r="AQ39" s="57" t="s">
        <v>1399</v>
      </c>
      <c r="AR39" s="57" t="s">
        <v>1859</v>
      </c>
    </row>
    <row r="40" ht="15.0" customHeight="1">
      <c r="A40" s="116" t="s">
        <v>1860</v>
      </c>
      <c r="B40" s="56">
        <v>45957.0</v>
      </c>
      <c r="C40" s="182">
        <v>45950.0</v>
      </c>
      <c r="D40" s="57" t="s">
        <v>602</v>
      </c>
      <c r="E40" s="3">
        <f t="array" ref="E40">XLOOKUP(D40,RUC!$B$3:$B$110,RUC!$D$3:$D$110)</f>
        <v>20169040231</v>
      </c>
      <c r="G40" s="141">
        <v>57.0</v>
      </c>
      <c r="H40" s="3" t="s">
        <v>47</v>
      </c>
      <c r="I40" s="6">
        <v>5.38</v>
      </c>
      <c r="J40" s="58">
        <v>1.3</v>
      </c>
      <c r="K40" s="6">
        <f t="shared" si="2"/>
        <v>5.31</v>
      </c>
      <c r="L40" s="3">
        <v>0.164</v>
      </c>
      <c r="M40" s="3">
        <v>0.149</v>
      </c>
      <c r="N40" s="62">
        <f t="shared" si="33"/>
        <v>0.149</v>
      </c>
      <c r="O40" s="60">
        <f t="shared" si="34"/>
        <v>0.149</v>
      </c>
      <c r="P40" s="63">
        <v>85.0</v>
      </c>
      <c r="Q40" s="58">
        <v>88.41</v>
      </c>
      <c r="R40" s="65">
        <v>4294.35</v>
      </c>
      <c r="S40" s="66">
        <f t="array" ref="S40">IF((XLOOKUP(D40,RUC!$B$3:$B$106,RUC!$E$3:$E$106)+ROUNDDOWN(O40,1)*100)&lt;95,95,((XLOOKUP(D40,RUC!$B$3:$B$106,RUC!$E$3:$E$106)+ROUNDDOWN(O40,1)*100)))</f>
        <v>95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140">
        <v>35.0</v>
      </c>
      <c r="AA40" s="70">
        <f t="shared" si="4"/>
        <v>55</v>
      </c>
      <c r="AB40" s="71">
        <f t="shared" si="15"/>
        <v>417.4205375</v>
      </c>
      <c r="AC40" s="71">
        <f>+(S40-T40)*V40-'data 1'!$F$4</f>
        <v>24.7185</v>
      </c>
      <c r="AD40" s="71">
        <f t="shared" si="5"/>
        <v>25.73279109</v>
      </c>
      <c r="AE40" s="71">
        <f t="shared" si="6"/>
        <v>-9.3735</v>
      </c>
      <c r="AF40" s="71">
        <f t="shared" si="7"/>
        <v>61.02128051</v>
      </c>
      <c r="AG40" s="72">
        <f t="shared" si="32"/>
        <v>119.0990716</v>
      </c>
      <c r="AH40" s="193">
        <f t="shared" si="8"/>
        <v>26.397</v>
      </c>
      <c r="AI40" s="193">
        <f t="shared" si="9"/>
        <v>29.857</v>
      </c>
      <c r="AJ40" s="73">
        <f t="shared" si="10"/>
        <v>-35.85676624</v>
      </c>
      <c r="AK40" s="73">
        <f t="shared" si="11"/>
        <v>23.05731775</v>
      </c>
      <c r="AL40" s="11"/>
      <c r="AM40" s="51">
        <f t="shared" si="12"/>
        <v>2216.503054</v>
      </c>
      <c r="AN40" s="51" t="str">
        <f t="array" ref="AN40">XLOOKUP(D40,RUC!$B$3:$B$565,RUC!$M$3:$M$565)</f>
        <v>Ronald Miranda</v>
      </c>
      <c r="AO40" s="131" t="s">
        <v>558</v>
      </c>
      <c r="AP40" s="57" t="s">
        <v>1651</v>
      </c>
      <c r="AQ40" s="57" t="s">
        <v>1399</v>
      </c>
    </row>
    <row r="41" ht="15.0" customHeight="1">
      <c r="A41" s="116" t="s">
        <v>1861</v>
      </c>
      <c r="B41" s="56">
        <v>45958.0</v>
      </c>
      <c r="C41" s="182">
        <v>45951.0</v>
      </c>
      <c r="D41" s="57" t="s">
        <v>602</v>
      </c>
      <c r="E41" s="3">
        <f t="array" ref="E41">XLOOKUP(D41,RUC!$B$3:$B$110,RUC!$D$3:$D$110)</f>
        <v>20169040231</v>
      </c>
      <c r="G41" s="141">
        <v>33.0</v>
      </c>
      <c r="H41" s="3" t="s">
        <v>47</v>
      </c>
      <c r="I41" s="6">
        <v>2.92</v>
      </c>
      <c r="J41" s="58">
        <v>1.1</v>
      </c>
      <c r="K41" s="6">
        <f t="shared" si="2"/>
        <v>2.888</v>
      </c>
      <c r="L41" s="3">
        <v>0.403</v>
      </c>
      <c r="M41" s="3">
        <v>0.383</v>
      </c>
      <c r="N41" s="62">
        <f t="shared" si="33"/>
        <v>0.383</v>
      </c>
      <c r="O41" s="60">
        <f t="shared" si="34"/>
        <v>0.383</v>
      </c>
      <c r="P41" s="63">
        <v>90.0</v>
      </c>
      <c r="Q41" s="58">
        <v>92.8</v>
      </c>
      <c r="R41" s="65">
        <v>4169.6</v>
      </c>
      <c r="S41" s="66">
        <f t="array" ref="S41">IF((XLOOKUP(D41,RUC!$B$3:$B$106,RUC!$E$3:$E$106)+ROUNDDOWN(O41,1)*100)&lt;95,95,((XLOOKUP(D41,RUC!$B$3:$B$106,RUC!$E$3:$E$106)+ROUNDDOWN(O41,1)*100)))</f>
        <v>115</v>
      </c>
      <c r="U41" s="67">
        <f t="array" ref="U41">XLOOKUP(D41,RUC!$B$3:$B$110,RUC!$F$3:$F$110)</f>
        <v>120</v>
      </c>
      <c r="V41" s="67">
        <v>1.1023</v>
      </c>
      <c r="Y41" s="57">
        <f t="array" ref="Y41">XLOOKUP(D41,RUC!$B$3:$B$110,RUC!$G$3:$G$110)</f>
        <v>20</v>
      </c>
      <c r="Z41" s="140">
        <v>35.0</v>
      </c>
      <c r="AA41" s="70">
        <f t="shared" si="4"/>
        <v>55</v>
      </c>
      <c r="AB41" s="71">
        <f t="shared" si="15"/>
        <v>1351.306395</v>
      </c>
      <c r="AC41" s="71">
        <f>+(S41-T41)*V41-'data 1'!$F$4</f>
        <v>46.7645</v>
      </c>
      <c r="AD41" s="71">
        <f t="shared" si="5"/>
        <v>50.37035512</v>
      </c>
      <c r="AE41" s="71">
        <f t="shared" si="6"/>
        <v>-9.3735</v>
      </c>
      <c r="AF41" s="71">
        <f t="shared" si="7"/>
        <v>82.84950292</v>
      </c>
      <c r="AG41" s="72">
        <f t="shared" si="32"/>
        <v>187.610858</v>
      </c>
      <c r="AH41" s="193">
        <f t="shared" si="8"/>
        <v>37.03</v>
      </c>
      <c r="AI41" s="193">
        <f t="shared" si="9"/>
        <v>39.904</v>
      </c>
      <c r="AJ41" s="73">
        <f t="shared" si="10"/>
        <v>-41.05935929</v>
      </c>
      <c r="AK41" s="73">
        <f t="shared" si="11"/>
        <v>34.13088438</v>
      </c>
      <c r="AL41" s="11"/>
      <c r="AM41" s="51">
        <f t="shared" si="12"/>
        <v>3902.57287</v>
      </c>
      <c r="AN41" s="51" t="str">
        <f t="array" ref="AN41">XLOOKUP(D41,RUC!$B$3:$B$565,RUC!$M$3:$M$565)</f>
        <v>Ronald Miranda</v>
      </c>
      <c r="AO41" s="131" t="s">
        <v>558</v>
      </c>
      <c r="AP41" s="57" t="s">
        <v>1862</v>
      </c>
      <c r="AQ41" s="57" t="s">
        <v>1067</v>
      </c>
    </row>
    <row r="42" ht="15.0" customHeight="1">
      <c r="A42" s="116" t="s">
        <v>1863</v>
      </c>
      <c r="B42" s="56">
        <v>45958.0</v>
      </c>
      <c r="C42" s="182">
        <v>45951.0</v>
      </c>
      <c r="D42" s="57" t="s">
        <v>602</v>
      </c>
      <c r="E42" s="3">
        <f t="array" ref="E42">XLOOKUP(D42,RUC!$B$3:$B$110,RUC!$D$3:$D$110)</f>
        <v>20169040231</v>
      </c>
      <c r="G42" s="141">
        <v>69.0</v>
      </c>
      <c r="H42" s="3" t="s">
        <v>47</v>
      </c>
      <c r="I42" s="6">
        <v>5.93</v>
      </c>
      <c r="J42" s="58">
        <v>1.35</v>
      </c>
      <c r="K42" s="6">
        <f t="shared" si="2"/>
        <v>5.85</v>
      </c>
      <c r="L42" s="3">
        <v>0.736</v>
      </c>
      <c r="M42" s="3">
        <v>0.697</v>
      </c>
      <c r="N42" s="62">
        <f t="shared" si="33"/>
        <v>0.697</v>
      </c>
      <c r="O42" s="60">
        <f t="shared" si="34"/>
        <v>0.697</v>
      </c>
      <c r="P42" s="63">
        <v>90.0</v>
      </c>
      <c r="Q42" s="58">
        <v>93.89</v>
      </c>
      <c r="R42" s="65">
        <v>4169.6</v>
      </c>
      <c r="S42" s="66">
        <f t="array" ref="S42">IF((XLOOKUP(D42,RUC!$B$3:$B$106,RUC!$E$3:$E$106)+ROUNDDOWN(O42,1)*100)&lt;95,95,((XLOOKUP(D42,RUC!$B$3:$B$106,RUC!$E$3:$E$106)+ROUNDDOWN(O42,1)*100)))</f>
        <v>145</v>
      </c>
      <c r="U42" s="67">
        <f t="array" ref="U42">XLOOKUP(D42,RUC!$B$3:$B$110,RUC!$F$3:$F$110)</f>
        <v>120</v>
      </c>
      <c r="V42" s="67">
        <v>1.1023</v>
      </c>
      <c r="Y42" s="57">
        <f t="array" ref="Y42">XLOOKUP(D42,RUC!$B$3:$B$110,RUC!$G$3:$G$110)</f>
        <v>20</v>
      </c>
      <c r="Z42" s="140">
        <v>35.0</v>
      </c>
      <c r="AA42" s="70">
        <f t="shared" si="4"/>
        <v>55</v>
      </c>
      <c r="AB42" s="71">
        <f t="shared" si="15"/>
        <v>2579.72821</v>
      </c>
      <c r="AC42" s="71">
        <f>+(S42-T42)*V42-'data 1'!$F$4</f>
        <v>79.8335</v>
      </c>
      <c r="AD42" s="71">
        <f t="shared" si="5"/>
        <v>127.8025005</v>
      </c>
      <c r="AE42" s="71">
        <f t="shared" si="6"/>
        <v>-9.3735</v>
      </c>
      <c r="AF42" s="71">
        <f t="shared" si="7"/>
        <v>163.4541236</v>
      </c>
      <c r="AG42" s="72">
        <f t="shared" si="32"/>
        <v>378.716624</v>
      </c>
      <c r="AH42" s="193">
        <f t="shared" si="8"/>
        <v>138.6</v>
      </c>
      <c r="AI42" s="193">
        <f t="shared" si="9"/>
        <v>147.619</v>
      </c>
      <c r="AJ42" s="73">
        <f t="shared" si="10"/>
        <v>-75.86759187</v>
      </c>
      <c r="AK42" s="73">
        <f t="shared" si="11"/>
        <v>125.81726</v>
      </c>
      <c r="AL42" s="11"/>
      <c r="AM42" s="51">
        <f t="shared" si="12"/>
        <v>15091.41003</v>
      </c>
      <c r="AN42" s="51" t="str">
        <f t="array" ref="AN42">XLOOKUP(D42,RUC!$B$3:$B$565,RUC!$M$3:$M$565)</f>
        <v>Ronald Miranda</v>
      </c>
      <c r="AO42" s="131" t="s">
        <v>558</v>
      </c>
      <c r="AP42" s="57" t="s">
        <v>1862</v>
      </c>
      <c r="AQ42" s="57" t="s">
        <v>1067</v>
      </c>
    </row>
    <row r="43" ht="15.0" customHeight="1">
      <c r="A43" s="116" t="s">
        <v>1864</v>
      </c>
      <c r="B43" s="56">
        <v>45958.0</v>
      </c>
      <c r="C43" s="182">
        <v>45951.0</v>
      </c>
      <c r="D43" s="57" t="s">
        <v>602</v>
      </c>
      <c r="E43" s="3">
        <f t="array" ref="E43">XLOOKUP(D43,RUC!$B$3:$B$110,RUC!$D$3:$D$110)</f>
        <v>20169040231</v>
      </c>
      <c r="G43" s="141">
        <v>23.0</v>
      </c>
      <c r="H43" s="3" t="s">
        <v>47</v>
      </c>
      <c r="I43" s="6">
        <v>2.23</v>
      </c>
      <c r="J43" s="58">
        <v>1.95</v>
      </c>
      <c r="K43" s="6">
        <f t="shared" si="2"/>
        <v>2.187</v>
      </c>
      <c r="L43" s="60">
        <v>0.16</v>
      </c>
      <c r="M43" s="3">
        <v>0.145</v>
      </c>
      <c r="N43" s="62">
        <f t="shared" si="33"/>
        <v>0.145</v>
      </c>
      <c r="O43" s="60">
        <f t="shared" si="34"/>
        <v>0.145</v>
      </c>
      <c r="P43" s="63">
        <v>87.0</v>
      </c>
      <c r="Q43" s="58">
        <v>87.5</v>
      </c>
      <c r="R43" s="65">
        <v>4169.6</v>
      </c>
      <c r="S43" s="66">
        <f t="array" ref="S43">IF((XLOOKUP(D43,RUC!$B$3:$B$106,RUC!$E$3:$E$106)+ROUNDDOWN(O43,1)*100)&lt;95,95,((XLOOKUP(D43,RUC!$B$3:$B$106,RUC!$E$3:$E$106)+ROUNDDOWN(O43,1)*100)))</f>
        <v>95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140">
        <v>35.0</v>
      </c>
      <c r="AA43" s="70">
        <f t="shared" si="4"/>
        <v>55</v>
      </c>
      <c r="AB43" s="71">
        <f t="shared" si="15"/>
        <v>397.7727152</v>
      </c>
      <c r="AC43" s="71">
        <f>+(S43-T43)*V43-'data 1'!$F$4</f>
        <v>24.7185</v>
      </c>
      <c r="AD43" s="71">
        <f t="shared" si="5"/>
        <v>3.571099264</v>
      </c>
      <c r="AE43" s="71">
        <f t="shared" si="6"/>
        <v>-9.3735</v>
      </c>
      <c r="AF43" s="71">
        <f t="shared" si="7"/>
        <v>58.5883473</v>
      </c>
      <c r="AG43" s="72">
        <f t="shared" si="32"/>
        <v>94.50444656</v>
      </c>
      <c r="AH43" s="193">
        <f t="shared" si="8"/>
        <v>10.498</v>
      </c>
      <c r="AI43" s="193">
        <f t="shared" si="9"/>
        <v>11.997</v>
      </c>
      <c r="AJ43" s="73">
        <f t="shared" si="10"/>
        <v>-15.3704712</v>
      </c>
      <c r="AK43" s="73">
        <f t="shared" si="11"/>
        <v>9.458997423</v>
      </c>
      <c r="AL43" s="11"/>
      <c r="AM43" s="51">
        <f t="shared" si="12"/>
        <v>869.9289281</v>
      </c>
      <c r="AN43" s="51" t="str">
        <f t="array" ref="AN43">XLOOKUP(D43,RUC!$B$3:$B$565,RUC!$M$3:$M$565)</f>
        <v>Ronald Miranda</v>
      </c>
      <c r="AO43" s="131" t="s">
        <v>558</v>
      </c>
      <c r="AP43" s="57" t="s">
        <v>1862</v>
      </c>
      <c r="AQ43" s="57" t="s">
        <v>1067</v>
      </c>
    </row>
    <row r="44" ht="15.0" customHeight="1">
      <c r="A44" s="116" t="s">
        <v>1865</v>
      </c>
      <c r="B44" s="56">
        <v>45958.0</v>
      </c>
      <c r="C44" s="182">
        <v>45951.0</v>
      </c>
      <c r="D44" s="57" t="s">
        <v>665</v>
      </c>
      <c r="E44" s="3">
        <f t="array" ref="E44">XLOOKUP(D44,RUC!$B$3:$B$110,RUC!$D$3:$D$110)</f>
        <v>20608774000</v>
      </c>
      <c r="G44" s="141">
        <v>49.0</v>
      </c>
      <c r="H44" s="3" t="s">
        <v>40</v>
      </c>
      <c r="I44" s="6">
        <v>3.21</v>
      </c>
      <c r="J44" s="58">
        <v>22.0</v>
      </c>
      <c r="K44" s="6">
        <f t="shared" si="2"/>
        <v>2.504</v>
      </c>
      <c r="L44" s="60">
        <v>0.259</v>
      </c>
      <c r="M44" s="3">
        <v>0.244</v>
      </c>
      <c r="N44" s="62">
        <f t="shared" si="33"/>
        <v>0.244</v>
      </c>
      <c r="O44" s="60">
        <f t="shared" si="34"/>
        <v>0.244</v>
      </c>
      <c r="P44" s="63">
        <v>90.0</v>
      </c>
      <c r="Q44" s="58">
        <v>94.21</v>
      </c>
      <c r="R44" s="65">
        <v>4169.6</v>
      </c>
      <c r="S44" s="66">
        <f t="array" ref="S44">IF((XLOOKUP(D44,RUC!$B$3:$B$106,RUC!$E$3:$E$106)+ROUNDDOWN(O44,1)*100)&lt;95,95,((XLOOKUP(D44,RUC!$B$3:$B$106,RUC!$E$3:$E$106)+ROUNDDOWN(O44,1)*100)))</f>
        <v>105</v>
      </c>
      <c r="U44" s="67">
        <f t="array" ref="U44">XLOOKUP(D44,RUC!$B$3:$B$110,RUC!$F$3:$F$110)</f>
        <v>120</v>
      </c>
      <c r="V44" s="67">
        <v>1.1023</v>
      </c>
      <c r="Y44" s="57">
        <f t="array" ref="Y44">XLOOKUP(D44,RUC!$B$3:$B$110,RUC!$G$3:$G$110)</f>
        <v>20</v>
      </c>
      <c r="Z44" s="140">
        <v>35.0</v>
      </c>
      <c r="AA44" s="70">
        <f t="shared" si="4"/>
        <v>55</v>
      </c>
      <c r="AB44" s="71">
        <f t="shared" si="15"/>
        <v>803.898748</v>
      </c>
      <c r="AC44" s="71">
        <f>+(S44-T44)*V44-'data 1'!$F$4</f>
        <v>35.7415</v>
      </c>
      <c r="AD44" s="71">
        <f t="shared" si="5"/>
        <v>48.67363658</v>
      </c>
      <c r="AE44" s="71">
        <f t="shared" si="6"/>
        <v>-9.3735</v>
      </c>
      <c r="AF44" s="71">
        <f t="shared" si="7"/>
        <v>63.08123656</v>
      </c>
      <c r="AG44" s="72">
        <f t="shared" si="32"/>
        <v>155.1228731</v>
      </c>
      <c r="AH44" s="193">
        <f t="shared" si="8"/>
        <v>20.948</v>
      </c>
      <c r="AI44" s="193">
        <f t="shared" si="9"/>
        <v>22.235</v>
      </c>
      <c r="AJ44" s="73">
        <f t="shared" si="10"/>
        <v>-26.7889637</v>
      </c>
      <c r="AK44" s="73">
        <f t="shared" si="11"/>
        <v>18.85279432</v>
      </c>
      <c r="AL44" s="11"/>
      <c r="AM44" s="51">
        <f t="shared" si="12"/>
        <v>2012.962465</v>
      </c>
      <c r="AN44" s="51" t="str">
        <f t="array" ref="AN44">XLOOKUP(D44,RUC!$B$3:$B$565,RUC!$M$3:$M$565)</f>
        <v>Ronald Miranda</v>
      </c>
      <c r="AO44" s="131" t="s">
        <v>551</v>
      </c>
      <c r="AP44" s="57" t="s">
        <v>1866</v>
      </c>
      <c r="AQ44" s="57" t="s">
        <v>667</v>
      </c>
    </row>
    <row r="45" ht="15.0" customHeight="1">
      <c r="A45" s="116" t="s">
        <v>1867</v>
      </c>
      <c r="B45" s="56">
        <v>45958.0</v>
      </c>
      <c r="C45" s="182">
        <v>45951.0</v>
      </c>
      <c r="D45" s="57" t="s">
        <v>665</v>
      </c>
      <c r="E45" s="3">
        <f t="array" ref="E45">XLOOKUP(D45,RUC!$B$3:$B$110,RUC!$D$3:$D$110)</f>
        <v>20608774000</v>
      </c>
      <c r="G45" s="141">
        <v>50.0</v>
      </c>
      <c r="H45" s="3" t="s">
        <v>40</v>
      </c>
      <c r="I45" s="6">
        <v>3.34</v>
      </c>
      <c r="J45" s="58">
        <v>20.11</v>
      </c>
      <c r="K45" s="6">
        <f t="shared" si="2"/>
        <v>2.668</v>
      </c>
      <c r="L45" s="60">
        <v>0.229</v>
      </c>
      <c r="M45" s="3">
        <v>0.214</v>
      </c>
      <c r="N45" s="62">
        <f t="shared" si="33"/>
        <v>0.214</v>
      </c>
      <c r="O45" s="60">
        <f t="shared" si="34"/>
        <v>0.214</v>
      </c>
      <c r="P45" s="63">
        <v>87.0</v>
      </c>
      <c r="Q45" s="58">
        <v>87.34</v>
      </c>
      <c r="R45" s="65">
        <v>4169.6</v>
      </c>
      <c r="S45" s="66">
        <f t="array" ref="S45">IF((XLOOKUP(D45,RUC!$B$3:$B$106,RUC!$E$3:$E$106)+ROUNDDOWN(O45,1)*100)&lt;95,95,((XLOOKUP(D45,RUC!$B$3:$B$106,RUC!$E$3:$E$106)+ROUNDDOWN(O45,1)*100)))</f>
        <v>105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140">
        <v>35.0</v>
      </c>
      <c r="AA45" s="70">
        <f t="shared" si="4"/>
        <v>55</v>
      </c>
      <c r="AB45" s="71">
        <f t="shared" si="15"/>
        <v>654.7160762</v>
      </c>
      <c r="AC45" s="71">
        <f>+(S45-T45)*V45-'data 1'!$F$4</f>
        <v>35.7415</v>
      </c>
      <c r="AD45" s="71">
        <f t="shared" si="5"/>
        <v>3.475572359</v>
      </c>
      <c r="AE45" s="71">
        <f t="shared" si="6"/>
        <v>-9.3735</v>
      </c>
      <c r="AF45" s="71">
        <f t="shared" si="7"/>
        <v>58.48121432</v>
      </c>
      <c r="AG45" s="72">
        <f t="shared" si="32"/>
        <v>105.3247867</v>
      </c>
      <c r="AH45" s="193">
        <f t="shared" si="8"/>
        <v>18.295</v>
      </c>
      <c r="AI45" s="193">
        <f t="shared" si="9"/>
        <v>20.947</v>
      </c>
      <c r="AJ45" s="73">
        <f t="shared" si="10"/>
        <v>-21.95876019</v>
      </c>
      <c r="AK45" s="73">
        <f t="shared" si="11"/>
        <v>17.03052046</v>
      </c>
      <c r="AL45" s="11"/>
      <c r="AM45" s="51">
        <f t="shared" si="12"/>
        <v>1746.782491</v>
      </c>
      <c r="AN45" s="51" t="str">
        <f t="array" ref="AN45">XLOOKUP(D45,RUC!$B$3:$B$565,RUC!$M$3:$M$565)</f>
        <v>Ronald Miranda</v>
      </c>
      <c r="AO45" s="131" t="s">
        <v>551</v>
      </c>
      <c r="AP45" s="57" t="s">
        <v>1866</v>
      </c>
      <c r="AQ45" s="57" t="s">
        <v>667</v>
      </c>
    </row>
    <row r="46" ht="15.0" customHeight="1">
      <c r="A46" s="116" t="s">
        <v>1868</v>
      </c>
      <c r="B46" s="56">
        <v>45958.0</v>
      </c>
      <c r="C46" s="182">
        <v>45951.0</v>
      </c>
      <c r="D46" s="57" t="s">
        <v>665</v>
      </c>
      <c r="E46" s="3">
        <f t="array" ref="E46">XLOOKUP(D46,RUC!$B$3:$B$110,RUC!$D$3:$D$110)</f>
        <v>20608774000</v>
      </c>
      <c r="G46" s="141">
        <v>50.0</v>
      </c>
      <c r="H46" s="3" t="s">
        <v>40</v>
      </c>
      <c r="I46" s="6">
        <v>3.22</v>
      </c>
      <c r="J46" s="58">
        <v>19.85</v>
      </c>
      <c r="K46" s="6">
        <f t="shared" si="2"/>
        <v>2.581</v>
      </c>
      <c r="L46" s="60">
        <v>0.282</v>
      </c>
      <c r="M46" s="3">
        <v>0.267</v>
      </c>
      <c r="N46" s="62">
        <f t="shared" si="33"/>
        <v>0.267</v>
      </c>
      <c r="O46" s="60">
        <f t="shared" si="34"/>
        <v>0.267</v>
      </c>
      <c r="P46" s="63">
        <v>90.0</v>
      </c>
      <c r="Q46" s="58">
        <v>93.62</v>
      </c>
      <c r="R46" s="65">
        <v>4169.6</v>
      </c>
      <c r="S46" s="66">
        <f t="array" ref="S46">IF((XLOOKUP(D46,RUC!$B$3:$B$106,RUC!$E$3:$E$106)+ROUNDDOWN(O46,1)*100)&lt;95,95,((XLOOKUP(D46,RUC!$B$3:$B$106,RUC!$E$3:$E$106)+ROUNDDOWN(O46,1)*100)))</f>
        <v>105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140">
        <v>35.0</v>
      </c>
      <c r="AA46" s="70">
        <f t="shared" si="4"/>
        <v>55</v>
      </c>
      <c r="AB46" s="71">
        <f t="shared" si="15"/>
        <v>896.3009414</v>
      </c>
      <c r="AC46" s="71">
        <f>+(S46-T46)*V46-'data 1'!$F$4</f>
        <v>35.7415</v>
      </c>
      <c r="AD46" s="71">
        <f t="shared" si="5"/>
        <v>45.56901216</v>
      </c>
      <c r="AE46" s="71">
        <f t="shared" si="6"/>
        <v>-9.3735</v>
      </c>
      <c r="AF46" s="71">
        <f t="shared" si="7"/>
        <v>62.68618371</v>
      </c>
      <c r="AG46" s="72">
        <f t="shared" si="32"/>
        <v>151.6231959</v>
      </c>
      <c r="AH46" s="193">
        <f t="shared" si="8"/>
        <v>23.362</v>
      </c>
      <c r="AI46" s="193">
        <f t="shared" si="9"/>
        <v>24.954</v>
      </c>
      <c r="AJ46" s="73">
        <f t="shared" si="10"/>
        <v>-28.98523935</v>
      </c>
      <c r="AK46" s="73">
        <f t="shared" si="11"/>
        <v>21.26428795</v>
      </c>
      <c r="AL46" s="11"/>
      <c r="AM46" s="51">
        <f t="shared" si="12"/>
        <v>2313.35273</v>
      </c>
      <c r="AN46" s="51" t="str">
        <f t="array" ref="AN46">XLOOKUP(D46,RUC!$B$3:$B$565,RUC!$M$3:$M$565)</f>
        <v>Ronald Miranda</v>
      </c>
      <c r="AO46" s="131" t="s">
        <v>551</v>
      </c>
      <c r="AP46" s="57" t="s">
        <v>1866</v>
      </c>
      <c r="AQ46" s="57" t="s">
        <v>667</v>
      </c>
    </row>
    <row r="47" ht="15.0" customHeight="1">
      <c r="A47" s="116" t="s">
        <v>1869</v>
      </c>
      <c r="B47" s="56">
        <v>45958.0</v>
      </c>
      <c r="C47" s="182">
        <v>45951.0</v>
      </c>
      <c r="D47" s="57" t="s">
        <v>665</v>
      </c>
      <c r="E47" s="3">
        <f t="array" ref="E47">XLOOKUP(D47,RUC!$B$3:$B$110,RUC!$D$3:$D$110)</f>
        <v>20608774000</v>
      </c>
      <c r="G47" s="141">
        <v>50.0</v>
      </c>
      <c r="H47" s="3" t="s">
        <v>40</v>
      </c>
      <c r="I47" s="6">
        <v>3.23</v>
      </c>
      <c r="J47" s="58">
        <v>22.28</v>
      </c>
      <c r="K47" s="6">
        <f t="shared" si="2"/>
        <v>2.51</v>
      </c>
      <c r="L47" s="60">
        <v>0.279</v>
      </c>
      <c r="M47" s="3">
        <v>0.264</v>
      </c>
      <c r="N47" s="62">
        <f t="shared" si="33"/>
        <v>0.264</v>
      </c>
      <c r="O47" s="60">
        <f t="shared" si="34"/>
        <v>0.264</v>
      </c>
      <c r="P47" s="63">
        <v>90.0</v>
      </c>
      <c r="Q47" s="58">
        <v>97.49</v>
      </c>
      <c r="R47" s="65">
        <v>4169.6</v>
      </c>
      <c r="S47" s="66">
        <f t="array" ref="S47">IF((XLOOKUP(D47,RUC!$B$3:$B$106,RUC!$E$3:$E$106)+ROUNDDOWN(O47,1)*100)&lt;95,95,((XLOOKUP(D47,RUC!$B$3:$B$106,RUC!$E$3:$E$106)+ROUNDDOWN(O47,1)*100)))</f>
        <v>105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140">
        <v>35.0</v>
      </c>
      <c r="AA47" s="70">
        <f t="shared" si="4"/>
        <v>55</v>
      </c>
      <c r="AB47" s="71">
        <f t="shared" si="15"/>
        <v>884.2484814</v>
      </c>
      <c r="AC47" s="71">
        <f>+(S47-T47)*V47-'data 1'!$F$4</f>
        <v>35.7415</v>
      </c>
      <c r="AD47" s="71">
        <f t="shared" si="5"/>
        <v>93.28202304</v>
      </c>
      <c r="AE47" s="71">
        <f t="shared" si="6"/>
        <v>-9.3735</v>
      </c>
      <c r="AF47" s="71">
        <f t="shared" si="7"/>
        <v>65.27746261</v>
      </c>
      <c r="AG47" s="72">
        <f t="shared" si="32"/>
        <v>201.9274856</v>
      </c>
      <c r="AH47" s="193">
        <f t="shared" si="8"/>
        <v>23.407</v>
      </c>
      <c r="AI47" s="193">
        <f t="shared" si="9"/>
        <v>24.01</v>
      </c>
      <c r="AJ47" s="73">
        <f t="shared" si="10"/>
        <v>-29.86231137</v>
      </c>
      <c r="AK47" s="73">
        <f t="shared" si="11"/>
        <v>20.44698258</v>
      </c>
      <c r="AL47" s="11"/>
      <c r="AM47" s="51">
        <f t="shared" si="12"/>
        <v>2219.463688</v>
      </c>
      <c r="AN47" s="51" t="str">
        <f t="array" ref="AN47">XLOOKUP(D47,RUC!$B$3:$B$565,RUC!$M$3:$M$565)</f>
        <v>Ronald Miranda</v>
      </c>
      <c r="AO47" s="131" t="s">
        <v>551</v>
      </c>
      <c r="AP47" s="57" t="s">
        <v>1866</v>
      </c>
      <c r="AQ47" s="57" t="s">
        <v>667</v>
      </c>
    </row>
    <row r="48" ht="15.0" customHeight="1">
      <c r="A48" s="116" t="s">
        <v>1870</v>
      </c>
      <c r="B48" s="56">
        <v>45958.0</v>
      </c>
      <c r="C48" s="182">
        <v>45951.0</v>
      </c>
      <c r="D48" s="57" t="s">
        <v>665</v>
      </c>
      <c r="E48" s="3">
        <f t="array" ref="E48">XLOOKUP(D48,RUC!$B$3:$B$110,RUC!$D$3:$D$110)</f>
        <v>20608774000</v>
      </c>
      <c r="G48" s="141">
        <v>50.0</v>
      </c>
      <c r="H48" s="3" t="s">
        <v>40</v>
      </c>
      <c r="I48" s="6">
        <v>3.31</v>
      </c>
      <c r="J48" s="58">
        <v>22.76</v>
      </c>
      <c r="K48" s="6">
        <f t="shared" si="2"/>
        <v>2.557</v>
      </c>
      <c r="L48" s="60">
        <v>0.3</v>
      </c>
      <c r="M48" s="3">
        <v>0.285</v>
      </c>
      <c r="N48" s="62">
        <f t="shared" si="33"/>
        <v>0.285</v>
      </c>
      <c r="O48" s="60">
        <f t="shared" si="34"/>
        <v>0.285</v>
      </c>
      <c r="P48" s="63">
        <v>90.0</v>
      </c>
      <c r="Q48" s="58">
        <v>98.0</v>
      </c>
      <c r="R48" s="65">
        <v>4169.6</v>
      </c>
      <c r="S48" s="66">
        <f t="array" ref="S48">IF((XLOOKUP(D48,RUC!$B$3:$B$106,RUC!$E$3:$E$106)+ROUNDDOWN(O48,1)*100)&lt;95,95,((XLOOKUP(D48,RUC!$B$3:$B$106,RUC!$E$3:$E$106)+ROUNDDOWN(O48,1)*100)))</f>
        <v>105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140">
        <v>35.0</v>
      </c>
      <c r="AA48" s="70">
        <f t="shared" si="4"/>
        <v>55</v>
      </c>
      <c r="AB48" s="71">
        <f t="shared" si="15"/>
        <v>968.6157015</v>
      </c>
      <c r="AC48" s="71">
        <f>+(S48-T48)*V48-'data 1'!$F$4</f>
        <v>35.7415</v>
      </c>
      <c r="AD48" s="71">
        <f t="shared" si="5"/>
        <v>107.1329779</v>
      </c>
      <c r="AE48" s="71">
        <f t="shared" si="6"/>
        <v>-9.3735</v>
      </c>
      <c r="AF48" s="71">
        <f t="shared" si="7"/>
        <v>65.61894898</v>
      </c>
      <c r="AG48" s="72">
        <f t="shared" si="32"/>
        <v>216.1199269</v>
      </c>
      <c r="AH48" s="193">
        <f t="shared" si="8"/>
        <v>25.774</v>
      </c>
      <c r="AI48" s="193">
        <f t="shared" si="9"/>
        <v>26.3</v>
      </c>
      <c r="AJ48" s="73">
        <f t="shared" si="10"/>
        <v>-32.27798952</v>
      </c>
      <c r="AK48" s="73">
        <f t="shared" si="11"/>
        <v>22.4867746</v>
      </c>
      <c r="AL48" s="11"/>
      <c r="AM48" s="51">
        <f t="shared" si="12"/>
        <v>2476.750349</v>
      </c>
      <c r="AN48" s="51" t="str">
        <f t="array" ref="AN48">XLOOKUP(D48,RUC!$B$3:$B$565,RUC!$M$3:$M$565)</f>
        <v>Ronald Miranda</v>
      </c>
      <c r="AO48" s="131" t="s">
        <v>547</v>
      </c>
      <c r="AP48" s="57" t="s">
        <v>1866</v>
      </c>
      <c r="AQ48" s="57" t="s">
        <v>667</v>
      </c>
    </row>
    <row r="49" ht="15.0" customHeight="1">
      <c r="A49" s="116" t="s">
        <v>1871</v>
      </c>
      <c r="B49" s="56">
        <v>45958.0</v>
      </c>
      <c r="C49" s="182">
        <v>45951.0</v>
      </c>
      <c r="D49" s="57" t="s">
        <v>665</v>
      </c>
      <c r="E49" s="3">
        <f t="array" ref="E49">XLOOKUP(D49,RUC!$B$3:$B$110,RUC!$D$3:$D$110)</f>
        <v>20608774000</v>
      </c>
      <c r="G49" s="141">
        <v>50.0</v>
      </c>
      <c r="H49" s="3" t="s">
        <v>40</v>
      </c>
      <c r="I49" s="6">
        <v>3.5</v>
      </c>
      <c r="J49" s="58">
        <v>19.38</v>
      </c>
      <c r="K49" s="6">
        <f t="shared" si="2"/>
        <v>2.822</v>
      </c>
      <c r="L49" s="60">
        <v>0.229</v>
      </c>
      <c r="M49" s="3">
        <v>0.214</v>
      </c>
      <c r="N49" s="62">
        <f t="shared" si="33"/>
        <v>0.214</v>
      </c>
      <c r="O49" s="60">
        <f t="shared" si="34"/>
        <v>0.214</v>
      </c>
      <c r="P49" s="63">
        <v>90.0</v>
      </c>
      <c r="Q49" s="58">
        <v>96.07</v>
      </c>
      <c r="R49" s="65">
        <v>4169.6</v>
      </c>
      <c r="S49" s="66">
        <f t="array" ref="S49">IF((XLOOKUP(D49,RUC!$B$3:$B$106,RUC!$E$3:$E$106)+ROUNDDOWN(O49,1)*100)&lt;95,95,((XLOOKUP(D49,RUC!$B$3:$B$106,RUC!$E$3:$E$106)+ROUNDDOWN(O49,1)*100)))</f>
        <v>105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140">
        <v>35.0</v>
      </c>
      <c r="AA49" s="70">
        <f t="shared" si="4"/>
        <v>55</v>
      </c>
      <c r="AB49" s="71">
        <f t="shared" si="15"/>
        <v>683.3741478</v>
      </c>
      <c r="AC49" s="71">
        <f>+(S49-T49)*V49-'data 1'!$F$4</f>
        <v>35.7415</v>
      </c>
      <c r="AD49" s="71">
        <f t="shared" si="5"/>
        <v>62.04918887</v>
      </c>
      <c r="AE49" s="71">
        <f t="shared" si="6"/>
        <v>-9.3735</v>
      </c>
      <c r="AF49" s="71">
        <f t="shared" si="7"/>
        <v>64.32665743</v>
      </c>
      <c r="AG49" s="72">
        <f t="shared" si="32"/>
        <v>169.7438463</v>
      </c>
      <c r="AH49" s="193">
        <f t="shared" si="8"/>
        <v>21.286</v>
      </c>
      <c r="AI49" s="193">
        <f t="shared" si="9"/>
        <v>22.157</v>
      </c>
      <c r="AJ49" s="73">
        <f t="shared" si="10"/>
        <v>-24.15363054</v>
      </c>
      <c r="AK49" s="73">
        <f t="shared" si="11"/>
        <v>18.63469811</v>
      </c>
      <c r="AL49" s="11"/>
      <c r="AM49" s="51">
        <f t="shared" si="12"/>
        <v>1928.481845</v>
      </c>
      <c r="AN49" s="51" t="str">
        <f t="array" ref="AN49">XLOOKUP(D49,RUC!$B$3:$B$565,RUC!$M$3:$M$565)</f>
        <v>Ronald Miranda</v>
      </c>
      <c r="AO49" s="131" t="s">
        <v>551</v>
      </c>
      <c r="AP49" s="57" t="s">
        <v>1866</v>
      </c>
      <c r="AQ49" s="57" t="s">
        <v>667</v>
      </c>
    </row>
    <row r="50" ht="15.0" customHeight="1">
      <c r="A50" s="116" t="s">
        <v>1872</v>
      </c>
      <c r="B50" s="56">
        <v>45958.0</v>
      </c>
      <c r="C50" s="182">
        <v>45951.0</v>
      </c>
      <c r="D50" s="57" t="s">
        <v>602</v>
      </c>
      <c r="E50" s="3">
        <f t="array" ref="E50">XLOOKUP(D50,RUC!$B$3:$B$110,RUC!$D$3:$D$110)</f>
        <v>20169040231</v>
      </c>
      <c r="G50" s="141">
        <v>47.0</v>
      </c>
      <c r="H50" s="3" t="s">
        <v>47</v>
      </c>
      <c r="I50" s="6">
        <v>4.13</v>
      </c>
      <c r="J50" s="58">
        <v>2.8</v>
      </c>
      <c r="K50" s="6">
        <f t="shared" si="2"/>
        <v>4.014</v>
      </c>
      <c r="L50" s="60">
        <v>0.514</v>
      </c>
      <c r="M50" s="3">
        <v>0.488</v>
      </c>
      <c r="N50" s="75">
        <v>0.5829</v>
      </c>
      <c r="O50" s="60">
        <f t="shared" si="34"/>
        <v>0.535</v>
      </c>
      <c r="P50" s="63">
        <v>90.0</v>
      </c>
      <c r="Q50" s="58">
        <v>94.94</v>
      </c>
      <c r="R50" s="65">
        <v>4169.6</v>
      </c>
      <c r="S50" s="66">
        <f t="array" ref="S50">IF((XLOOKUP(D50,RUC!$B$3:$B$106,RUC!$E$3:$E$106)+ROUNDDOWN(O50,1)*100)&lt;95,95,((XLOOKUP(D50,RUC!$B$3:$B$106,RUC!$E$3:$E$106)+ROUNDDOWN(O50,1)*100)))</f>
        <v>135</v>
      </c>
      <c r="U50" s="67">
        <f t="array" ref="U50">XLOOKUP(D50,RUC!$B$3:$B$110,RUC!$F$3:$F$110)</f>
        <v>120</v>
      </c>
      <c r="V50" s="67">
        <v>1.1023</v>
      </c>
      <c r="Y50" s="57">
        <f t="array" ref="Y50">XLOOKUP(D50,RUC!$B$3:$B$110,RUC!$G$3:$G$110)</f>
        <v>20</v>
      </c>
      <c r="Z50" s="140">
        <v>35.0</v>
      </c>
      <c r="AA50" s="70">
        <f t="shared" si="4"/>
        <v>55</v>
      </c>
      <c r="AB50" s="71">
        <f t="shared" si="15"/>
        <v>1939.91837</v>
      </c>
      <c r="AC50" s="71">
        <f>+(S50-T50)*V50-'data 1'!$F$4</f>
        <v>68.8105</v>
      </c>
      <c r="AD50" s="71">
        <f t="shared" si="5"/>
        <v>113.3449051</v>
      </c>
      <c r="AE50" s="71">
        <f t="shared" si="6"/>
        <v>-9.3735</v>
      </c>
      <c r="AF50" s="71">
        <f t="shared" si="7"/>
        <v>-88.99804308</v>
      </c>
      <c r="AG50" s="72">
        <f t="shared" si="32"/>
        <v>100.783862</v>
      </c>
      <c r="AH50" s="193">
        <f t="shared" si="8"/>
        <v>67.158</v>
      </c>
      <c r="AI50" s="193">
        <f t="shared" si="9"/>
        <v>70.737</v>
      </c>
      <c r="AJ50" s="73">
        <f t="shared" si="10"/>
        <v>-53.57614881</v>
      </c>
      <c r="AK50" s="73">
        <f t="shared" si="11"/>
        <v>66.26477519</v>
      </c>
      <c r="AL50" s="11"/>
      <c r="AM50" s="51">
        <f t="shared" si="12"/>
        <v>7786.832335</v>
      </c>
      <c r="AN50" s="51" t="str">
        <f t="array" ref="AN50">XLOOKUP(D50,RUC!$B$3:$B$565,RUC!$M$3:$M$565)</f>
        <v>Ronald Miranda</v>
      </c>
      <c r="AO50" s="131" t="s">
        <v>558</v>
      </c>
      <c r="AP50" s="57" t="s">
        <v>1873</v>
      </c>
      <c r="AQ50" s="57" t="s">
        <v>1874</v>
      </c>
    </row>
    <row r="51" ht="15.0" customHeight="1">
      <c r="A51" s="116" t="s">
        <v>1875</v>
      </c>
      <c r="B51" s="56">
        <v>45958.0</v>
      </c>
      <c r="C51" s="182">
        <v>45951.0</v>
      </c>
      <c r="D51" s="57" t="s">
        <v>602</v>
      </c>
      <c r="E51" s="3">
        <f t="array" ref="E51">XLOOKUP(D51,RUC!$B$3:$B$110,RUC!$D$3:$D$110)</f>
        <v>20169040231</v>
      </c>
      <c r="G51" s="141">
        <v>50.0</v>
      </c>
      <c r="H51" s="3" t="s">
        <v>47</v>
      </c>
      <c r="I51" s="6">
        <v>4.42</v>
      </c>
      <c r="J51" s="58">
        <v>2.1</v>
      </c>
      <c r="K51" s="6">
        <f t="shared" si="2"/>
        <v>4.327</v>
      </c>
      <c r="L51" s="3">
        <v>0.614</v>
      </c>
      <c r="M51" s="3">
        <v>0.583</v>
      </c>
      <c r="N51" s="62">
        <f t="shared" ref="N51:N55" si="35">+M51</f>
        <v>0.583</v>
      </c>
      <c r="O51" s="60">
        <f t="shared" si="34"/>
        <v>0.583</v>
      </c>
      <c r="P51" s="63">
        <v>90.0</v>
      </c>
      <c r="Q51" s="58">
        <v>96.74</v>
      </c>
      <c r="R51" s="65">
        <v>4169.6</v>
      </c>
      <c r="S51" s="66">
        <f t="array" ref="S51">IF((XLOOKUP(D51,RUC!$B$3:$B$106,RUC!$E$3:$E$106)+ROUNDDOWN(O51,1)*100)&lt;95,95,((XLOOKUP(D51,RUC!$B$3:$B$106,RUC!$E$3:$E$106)+ROUNDDOWN(O51,1)*100)))</f>
        <v>135</v>
      </c>
      <c r="U51" s="67">
        <f t="array" ref="U51">XLOOKUP(D51,RUC!$B$3:$B$110,RUC!$F$3:$F$110)</f>
        <v>120</v>
      </c>
      <c r="V51" s="67">
        <v>1.1023</v>
      </c>
      <c r="Y51" s="57">
        <f t="array" ref="Y51">XLOOKUP(D51,RUC!$B$3:$B$110,RUC!$G$3:$G$110)</f>
        <v>20</v>
      </c>
      <c r="Z51" s="140">
        <v>35.0</v>
      </c>
      <c r="AA51" s="70">
        <f t="shared" si="4"/>
        <v>55</v>
      </c>
      <c r="AB51" s="71">
        <f t="shared" si="15"/>
        <v>2132.75773</v>
      </c>
      <c r="AC51" s="71">
        <f>+(S51-T51)*V51-'data 1'!$F$4</f>
        <v>68.8105</v>
      </c>
      <c r="AD51" s="71">
        <f t="shared" si="5"/>
        <v>184.7311794</v>
      </c>
      <c r="AE51" s="71">
        <f t="shared" si="6"/>
        <v>-9.3735</v>
      </c>
      <c r="AF51" s="71">
        <f t="shared" si="7"/>
        <v>133.8689053</v>
      </c>
      <c r="AG51" s="72">
        <f t="shared" si="32"/>
        <v>395.0370847</v>
      </c>
      <c r="AH51" s="193">
        <f t="shared" si="8"/>
        <v>88.119</v>
      </c>
      <c r="AI51" s="193">
        <f t="shared" si="9"/>
        <v>91.089</v>
      </c>
      <c r="AJ51" s="73">
        <f t="shared" si="10"/>
        <v>-65.21291298</v>
      </c>
      <c r="AK51" s="73">
        <f t="shared" si="11"/>
        <v>77.84075304</v>
      </c>
      <c r="AL51" s="11"/>
      <c r="AM51" s="51">
        <f t="shared" si="12"/>
        <v>9228.442697</v>
      </c>
      <c r="AN51" s="51" t="str">
        <f t="array" ref="AN51">XLOOKUP(D51,RUC!$B$3:$B$565,RUC!$M$3:$M$565)</f>
        <v>Ronald Miranda</v>
      </c>
      <c r="AO51" s="131" t="s">
        <v>558</v>
      </c>
      <c r="AP51" s="57" t="s">
        <v>1873</v>
      </c>
      <c r="AQ51" s="57" t="s">
        <v>1874</v>
      </c>
    </row>
    <row r="52" ht="15.0" customHeight="1">
      <c r="A52" s="116" t="s">
        <v>1876</v>
      </c>
      <c r="B52" s="109">
        <v>45958.0</v>
      </c>
      <c r="C52" s="182">
        <v>45951.0</v>
      </c>
      <c r="D52" s="57" t="s">
        <v>602</v>
      </c>
      <c r="E52" s="3">
        <f t="array" ref="E52">XLOOKUP(D52,RUC!$B$3:$B$110,RUC!$D$3:$D$110)</f>
        <v>20169040231</v>
      </c>
      <c r="G52" s="141">
        <v>58.0</v>
      </c>
      <c r="H52" s="3" t="s">
        <v>47</v>
      </c>
      <c r="I52" s="6">
        <v>4.98</v>
      </c>
      <c r="J52" s="58">
        <v>2.25</v>
      </c>
      <c r="K52" s="6">
        <f t="shared" si="2"/>
        <v>4.868</v>
      </c>
      <c r="L52" s="60">
        <v>1.851</v>
      </c>
      <c r="M52" s="3">
        <v>1.758</v>
      </c>
      <c r="N52" s="62">
        <f t="shared" si="35"/>
        <v>1.758</v>
      </c>
      <c r="O52" s="75">
        <v>1.932</v>
      </c>
      <c r="P52" s="63">
        <v>90.0</v>
      </c>
      <c r="Q52" s="58">
        <v>96.87</v>
      </c>
      <c r="R52" s="65">
        <v>4169.6</v>
      </c>
      <c r="S52" s="66">
        <f t="array" ref="S52">IF((XLOOKUP(D52,RUC!$B$3:$B$106,RUC!$E$3:$E$106)+ROUNDDOWN(O52,1)*100)&lt;95,95,((XLOOKUP(D52,RUC!$B$3:$B$106,RUC!$E$3:$E$106)+ROUNDDOWN(O52,1)*100)))</f>
        <v>275</v>
      </c>
      <c r="U52" s="67">
        <f t="array" ref="U52">XLOOKUP(D52,RUC!$B$3:$B$110,RUC!$F$3:$F$110)</f>
        <v>120</v>
      </c>
      <c r="V52" s="67">
        <v>1.1023</v>
      </c>
      <c r="Y52" s="57">
        <f t="array" ref="Y52">XLOOKUP(D52,RUC!$B$3:$B$110,RUC!$G$3:$G$110)</f>
        <v>20</v>
      </c>
      <c r="Z52" s="140">
        <v>35.0</v>
      </c>
      <c r="AA52" s="70">
        <f t="shared" si="4"/>
        <v>55</v>
      </c>
      <c r="AB52" s="71">
        <f t="shared" si="15"/>
        <v>7398.02525</v>
      </c>
      <c r="AC52" s="71">
        <f>+(S52-T52)*V52-'data 1'!$F$4</f>
        <v>223.1325</v>
      </c>
      <c r="AD52" s="71">
        <f t="shared" si="5"/>
        <v>567.6427443</v>
      </c>
      <c r="AE52" s="71">
        <f t="shared" si="6"/>
        <v>-9.3735</v>
      </c>
      <c r="AF52" s="71">
        <f t="shared" si="7"/>
        <v>-350.2565405</v>
      </c>
      <c r="AG52" s="72">
        <f t="shared" si="32"/>
        <v>448.1452038</v>
      </c>
      <c r="AH52" s="193">
        <f t="shared" si="8"/>
        <v>299.265</v>
      </c>
      <c r="AI52" s="193">
        <f t="shared" si="9"/>
        <v>308.934</v>
      </c>
      <c r="AJ52" s="73">
        <f t="shared" si="10"/>
        <v>-196.858814</v>
      </c>
      <c r="AK52" s="73">
        <f t="shared" si="11"/>
        <v>290.2079266</v>
      </c>
      <c r="AL52" s="11"/>
      <c r="AM52" s="51">
        <f t="shared" si="12"/>
        <v>36013.58692</v>
      </c>
      <c r="AN52" s="51" t="str">
        <f t="array" ref="AN52">XLOOKUP(D52,RUC!$B$3:$B$565,RUC!$M$3:$M$565)</f>
        <v>Ronald Miranda</v>
      </c>
      <c r="AO52" s="131" t="s">
        <v>551</v>
      </c>
      <c r="AP52" s="57" t="s">
        <v>1873</v>
      </c>
      <c r="AQ52" s="57" t="s">
        <v>1874</v>
      </c>
    </row>
    <row r="53" ht="15.0" customHeight="1">
      <c r="A53" s="116" t="s">
        <v>1877</v>
      </c>
      <c r="B53" s="56">
        <v>45960.0</v>
      </c>
      <c r="C53" s="182">
        <v>45951.0</v>
      </c>
      <c r="D53" s="57" t="s">
        <v>602</v>
      </c>
      <c r="E53" s="3">
        <f t="array" ref="E53">XLOOKUP(D53,RUC!$B$3:$B$110,RUC!$D$3:$D$110)</f>
        <v>20169040231</v>
      </c>
      <c r="G53" s="141">
        <v>56.0</v>
      </c>
      <c r="H53" s="3" t="s">
        <v>47</v>
      </c>
      <c r="I53" s="6">
        <v>5.73</v>
      </c>
      <c r="J53" s="58">
        <v>4.0</v>
      </c>
      <c r="K53" s="6">
        <f t="shared" si="2"/>
        <v>5.501</v>
      </c>
      <c r="L53" s="60">
        <v>0.158</v>
      </c>
      <c r="M53" s="3">
        <v>0.143</v>
      </c>
      <c r="N53" s="62">
        <f t="shared" si="35"/>
        <v>0.143</v>
      </c>
      <c r="O53" s="60">
        <f t="shared" ref="O53:O93" si="36">+ROUND((M53+N53)/2,3)</f>
        <v>0.143</v>
      </c>
      <c r="P53" s="63">
        <v>85.0</v>
      </c>
      <c r="Q53" s="58">
        <v>95.57</v>
      </c>
      <c r="R53" s="65">
        <v>4169.6</v>
      </c>
      <c r="S53" s="66">
        <f t="array" ref="S53">IF((XLOOKUP(D53,RUC!$B$3:$B$106,RUC!$E$3:$E$106)+ROUNDDOWN(O53,1)*100)&lt;95,95,((XLOOKUP(D53,RUC!$B$3:$B$106,RUC!$E$3:$E$106)+ROUNDDOWN(O53,1)*100)))</f>
        <v>95</v>
      </c>
      <c r="U53" s="67">
        <f t="array" ref="U53">XLOOKUP(D53,RUC!$B$3:$B$110,RUC!$F$3:$F$110)</f>
        <v>120</v>
      </c>
      <c r="V53" s="67">
        <v>1.1023</v>
      </c>
      <c r="Y53" s="57">
        <f t="array" ref="Y53">XLOOKUP(D53,RUC!$B$3:$B$110,RUC!$G$3:$G$110)</f>
        <v>20</v>
      </c>
      <c r="Z53" s="140">
        <v>35.0</v>
      </c>
      <c r="AA53" s="70">
        <f t="shared" si="4"/>
        <v>55</v>
      </c>
      <c r="AB53" s="71">
        <f t="shared" si="15"/>
        <v>377.2388944</v>
      </c>
      <c r="AC53" s="71">
        <f>+(S53-T53)*V53-'data 1'!$F$4</f>
        <v>24.7185</v>
      </c>
      <c r="AD53" s="71">
        <f t="shared" si="5"/>
        <v>74.54937546</v>
      </c>
      <c r="AE53" s="71">
        <f t="shared" si="6"/>
        <v>-9.3735</v>
      </c>
      <c r="AF53" s="71">
        <f t="shared" si="7"/>
        <v>63.99186687</v>
      </c>
      <c r="AG53" s="72">
        <f t="shared" si="32"/>
        <v>170.8862423</v>
      </c>
      <c r="AH53" s="193">
        <f t="shared" si="8"/>
        <v>28.479</v>
      </c>
      <c r="AI53" s="193">
        <f t="shared" si="9"/>
        <v>29.799</v>
      </c>
      <c r="AJ53" s="73">
        <f t="shared" si="10"/>
        <v>-16.57821695</v>
      </c>
      <c r="AK53" s="73">
        <f t="shared" si="11"/>
        <v>22.92480644</v>
      </c>
      <c r="AL53" s="11"/>
      <c r="AM53" s="51">
        <f t="shared" si="12"/>
        <v>2075.191158</v>
      </c>
      <c r="AN53" s="51" t="str">
        <f t="array" ref="AN53">XLOOKUP(D53,RUC!$B$3:$B$565,RUC!$M$3:$M$565)</f>
        <v>Ronald Miranda</v>
      </c>
      <c r="AO53" s="131" t="s">
        <v>551</v>
      </c>
      <c r="AP53" s="57" t="s">
        <v>1873</v>
      </c>
      <c r="AQ53" s="57" t="s">
        <v>1874</v>
      </c>
    </row>
    <row r="54" ht="15.0" customHeight="1">
      <c r="A54" s="116" t="s">
        <v>1878</v>
      </c>
      <c r="B54" s="56">
        <v>45960.0</v>
      </c>
      <c r="C54" s="182">
        <v>45951.0</v>
      </c>
      <c r="D54" s="57" t="s">
        <v>602</v>
      </c>
      <c r="E54" s="3">
        <f t="array" ref="E54">XLOOKUP(D54,RUC!$B$3:$B$110,RUC!$D$3:$D$110)</f>
        <v>20169040231</v>
      </c>
      <c r="G54" s="141">
        <v>55.0</v>
      </c>
      <c r="H54" s="3" t="s">
        <v>47</v>
      </c>
      <c r="I54" s="6">
        <v>5.76</v>
      </c>
      <c r="J54" s="58">
        <v>4.25</v>
      </c>
      <c r="K54" s="6">
        <f t="shared" si="2"/>
        <v>5.515</v>
      </c>
      <c r="L54" s="60">
        <v>0.19</v>
      </c>
      <c r="M54" s="3">
        <v>0.175</v>
      </c>
      <c r="N54" s="62">
        <f t="shared" si="35"/>
        <v>0.175</v>
      </c>
      <c r="O54" s="60">
        <f t="shared" si="36"/>
        <v>0.175</v>
      </c>
      <c r="P54" s="63">
        <v>90.0</v>
      </c>
      <c r="Q54" s="58">
        <v>95.26</v>
      </c>
      <c r="R54" s="65">
        <v>4169.6</v>
      </c>
      <c r="S54" s="66">
        <f t="array" ref="S54">IF((XLOOKUP(D54,RUC!$B$3:$B$106,RUC!$E$3:$E$106)+ROUNDDOWN(O54,1)*100)&lt;95,95,((XLOOKUP(D54,RUC!$B$3:$B$106,RUC!$E$3:$E$106)+ROUNDDOWN(O54,1)*100)))</f>
        <v>95</v>
      </c>
      <c r="U54" s="67">
        <f t="array" ref="U54">XLOOKUP(D54,RUC!$B$3:$B$110,RUC!$F$3:$F$110)</f>
        <v>120</v>
      </c>
      <c r="V54" s="67">
        <v>1.1023</v>
      </c>
      <c r="Y54" s="57">
        <f t="array" ref="Y54">XLOOKUP(D54,RUC!$B$3:$B$110,RUC!$G$3:$G$110)</f>
        <v>20</v>
      </c>
      <c r="Z54" s="140">
        <v>35.0</v>
      </c>
      <c r="AA54" s="70">
        <f t="shared" si="4"/>
        <v>55</v>
      </c>
      <c r="AB54" s="71">
        <f t="shared" si="15"/>
        <v>537.7151676</v>
      </c>
      <c r="AC54" s="71">
        <f>+(S54-T54)*V54-'data 1'!$F$4</f>
        <v>24.7185</v>
      </c>
      <c r="AD54" s="71">
        <f t="shared" si="5"/>
        <v>44.61195756</v>
      </c>
      <c r="AE54" s="71">
        <f t="shared" si="6"/>
        <v>-9.3735</v>
      </c>
      <c r="AF54" s="71">
        <f t="shared" si="7"/>
        <v>63.78429673</v>
      </c>
      <c r="AG54" s="72">
        <f t="shared" si="32"/>
        <v>140.7412543</v>
      </c>
      <c r="AH54" s="193">
        <f t="shared" si="8"/>
        <v>34.223</v>
      </c>
      <c r="AI54" s="193">
        <f t="shared" si="9"/>
        <v>35.926</v>
      </c>
      <c r="AJ54" s="73">
        <f t="shared" si="10"/>
        <v>-19.87116475</v>
      </c>
      <c r="AK54" s="73">
        <f t="shared" si="11"/>
        <v>29.78071663</v>
      </c>
      <c r="AL54" s="11"/>
      <c r="AM54" s="51">
        <f t="shared" si="12"/>
        <v>2965.499149</v>
      </c>
      <c r="AN54" s="51" t="str">
        <f t="array" ref="AN54">XLOOKUP(D54,RUC!$B$3:$B$565,RUC!$M$3:$M$565)</f>
        <v>Ronald Miranda</v>
      </c>
      <c r="AO54" s="131" t="s">
        <v>551</v>
      </c>
      <c r="AP54" s="57" t="s">
        <v>1873</v>
      </c>
      <c r="AQ54" s="57" t="s">
        <v>1874</v>
      </c>
    </row>
    <row r="55" ht="15.0" customHeight="1">
      <c r="A55" s="116" t="s">
        <v>1879</v>
      </c>
      <c r="B55" s="56">
        <v>45960.0</v>
      </c>
      <c r="C55" s="182">
        <v>45951.0</v>
      </c>
      <c r="D55" s="57" t="s">
        <v>602</v>
      </c>
      <c r="E55" s="3">
        <f t="array" ref="E55">XLOOKUP(D55,RUC!$B$3:$B$110,RUC!$D$3:$D$110)</f>
        <v>20169040231</v>
      </c>
      <c r="G55" s="141">
        <v>55.0</v>
      </c>
      <c r="H55" s="3" t="s">
        <v>47</v>
      </c>
      <c r="I55" s="6">
        <v>5.81</v>
      </c>
      <c r="J55" s="58">
        <v>4.75</v>
      </c>
      <c r="K55" s="6">
        <f t="shared" si="2"/>
        <v>5.534</v>
      </c>
      <c r="L55" s="60">
        <v>0.18</v>
      </c>
      <c r="M55" s="3">
        <v>0.165</v>
      </c>
      <c r="N55" s="62">
        <f t="shared" si="35"/>
        <v>0.165</v>
      </c>
      <c r="O55" s="60">
        <f t="shared" si="36"/>
        <v>0.165</v>
      </c>
      <c r="P55" s="63">
        <v>86.0</v>
      </c>
      <c r="Q55" s="58">
        <v>86.11</v>
      </c>
      <c r="R55" s="65">
        <v>4169.6</v>
      </c>
      <c r="S55" s="66">
        <f t="array" ref="S55">IF((XLOOKUP(D55,RUC!$B$3:$B$106,RUC!$E$3:$E$106)+ROUNDDOWN(O55,1)*100)&lt;95,95,((XLOOKUP(D55,RUC!$B$3:$B$106,RUC!$E$3:$E$106)+ROUNDDOWN(O55,1)*100)))</f>
        <v>95</v>
      </c>
      <c r="U55" s="67">
        <f t="array" ref="U55">XLOOKUP(D55,RUC!$B$3:$B$110,RUC!$F$3:$F$110)</f>
        <v>120</v>
      </c>
      <c r="V55" s="67">
        <v>1.1023</v>
      </c>
      <c r="Y55" s="57">
        <f t="array" ref="Y55">XLOOKUP(D55,RUC!$B$3:$B$110,RUC!$G$3:$G$110)</f>
        <v>20</v>
      </c>
      <c r="Z55" s="140">
        <v>35.0</v>
      </c>
      <c r="AA55" s="70">
        <f t="shared" si="4"/>
        <v>55</v>
      </c>
      <c r="AB55" s="71">
        <f t="shared" si="15"/>
        <v>468.078732</v>
      </c>
      <c r="AC55" s="71">
        <f>+(S55-T55)*V55-'data 1'!$F$4</f>
        <v>24.7185</v>
      </c>
      <c r="AD55" s="71">
        <f t="shared" si="5"/>
        <v>0.8838470678</v>
      </c>
      <c r="AE55" s="71">
        <f t="shared" si="6"/>
        <v>-9.3735</v>
      </c>
      <c r="AF55" s="71">
        <f t="shared" si="7"/>
        <v>57.65762955</v>
      </c>
      <c r="AG55" s="72">
        <f t="shared" si="32"/>
        <v>90.88647662</v>
      </c>
      <c r="AH55" s="193">
        <f t="shared" si="8"/>
        <v>29.409</v>
      </c>
      <c r="AI55" s="193">
        <f t="shared" si="9"/>
        <v>34.152</v>
      </c>
      <c r="AJ55" s="73">
        <f t="shared" si="10"/>
        <v>-17.01708782</v>
      </c>
      <c r="AK55" s="73">
        <f t="shared" si="11"/>
        <v>26.92344439</v>
      </c>
      <c r="AL55" s="11"/>
      <c r="AM55" s="51">
        <f t="shared" si="12"/>
        <v>2590.347703</v>
      </c>
      <c r="AN55" s="51" t="str">
        <f t="array" ref="AN55">XLOOKUP(D55,RUC!$B$3:$B$565,RUC!$M$3:$M$565)</f>
        <v>Ronald Miranda</v>
      </c>
      <c r="AO55" s="131" t="s">
        <v>551</v>
      </c>
      <c r="AP55" s="57" t="s">
        <v>1873</v>
      </c>
      <c r="AQ55" s="57" t="s">
        <v>1874</v>
      </c>
    </row>
    <row r="56" ht="15.0" customHeight="1">
      <c r="A56" s="116" t="s">
        <v>1880</v>
      </c>
      <c r="B56" s="56">
        <v>45959.0</v>
      </c>
      <c r="C56" s="182">
        <v>45953.0</v>
      </c>
      <c r="D56" s="57" t="s">
        <v>622</v>
      </c>
      <c r="E56" s="3">
        <f t="array" ref="E56">XLOOKUP(D56,RUC!$B$3:$B$110,RUC!$D$3:$D$110)</f>
        <v>20612719757</v>
      </c>
      <c r="G56" s="141">
        <v>21.0</v>
      </c>
      <c r="H56" s="3" t="s">
        <v>40</v>
      </c>
      <c r="I56" s="6">
        <v>1.43</v>
      </c>
      <c r="J56" s="58">
        <v>3.35</v>
      </c>
      <c r="K56" s="6">
        <f t="shared" si="2"/>
        <v>1.382</v>
      </c>
      <c r="L56" s="3">
        <v>0.107</v>
      </c>
      <c r="M56" s="3">
        <v>0.092</v>
      </c>
      <c r="N56" s="75">
        <v>0.14</v>
      </c>
      <c r="O56" s="60">
        <f t="shared" si="36"/>
        <v>0.116</v>
      </c>
      <c r="P56" s="63">
        <v>80.0</v>
      </c>
      <c r="Q56" s="58">
        <v>96.26</v>
      </c>
      <c r="R56" s="65">
        <v>4143.75</v>
      </c>
      <c r="S56" s="66">
        <f t="array" ref="S56">IF((XLOOKUP(D56,RUC!$B$3:$B$106,RUC!$E$3:$E$106)+ROUNDDOWN(O56,1)*100)&lt;95,95,((XLOOKUP(D56,RUC!$B$3:$B$106,RUC!$E$3:$E$106)+ROUNDDOWN(O56,1)*100)))</f>
        <v>100</v>
      </c>
      <c r="U56" s="67">
        <f t="array" ref="U56">XLOOKUP(D56,RUC!$B$3:$B$110,RUC!$F$3:$F$110)</f>
        <v>120</v>
      </c>
      <c r="V56" s="67">
        <v>1.1023</v>
      </c>
      <c r="Y56" s="57">
        <f t="array" ref="Y56">XLOOKUP(D56,RUC!$B$3:$B$110,RUC!$G$3:$G$110)</f>
        <v>20</v>
      </c>
      <c r="Z56" s="69">
        <f t="array" ref="Z56">XLOOKUP(D56,RUC!$B$3:$B$110,RUC!$H$3:$H$110)</f>
        <v>30</v>
      </c>
      <c r="AA56" s="70">
        <f t="shared" si="4"/>
        <v>50</v>
      </c>
      <c r="AB56" s="71">
        <f t="shared" si="15"/>
        <v>246.2582292</v>
      </c>
      <c r="AC56" s="71">
        <f>+(S56-T56)*V56-'data 1'!$F$4</f>
        <v>30.23</v>
      </c>
      <c r="AD56" s="71">
        <f t="shared" si="5"/>
        <v>77.16762179</v>
      </c>
      <c r="AE56" s="71">
        <f t="shared" si="6"/>
        <v>-14.885</v>
      </c>
      <c r="AF56" s="71">
        <f t="shared" si="7"/>
        <v>-38.42546784</v>
      </c>
      <c r="AG56" s="72">
        <f t="shared" si="32"/>
        <v>71.08715395</v>
      </c>
      <c r="AH56" s="193">
        <f t="shared" si="8"/>
        <v>4.88</v>
      </c>
      <c r="AI56" s="193">
        <f t="shared" si="9"/>
        <v>5.07</v>
      </c>
      <c r="AJ56" s="73">
        <f t="shared" si="10"/>
        <v>-8.373200045</v>
      </c>
      <c r="AK56" s="73">
        <f t="shared" si="11"/>
        <v>4.397087303</v>
      </c>
      <c r="AL56" s="11"/>
      <c r="AM56" s="51">
        <f t="shared" si="12"/>
        <v>340.3288728</v>
      </c>
      <c r="AN56" s="51" t="str">
        <f t="array" ref="AN56">XLOOKUP(D56,RUC!$B$3:$B$565,RUC!$M$3:$M$565)</f>
        <v>Walter Achulla </v>
      </c>
      <c r="AO56" s="131" t="s">
        <v>551</v>
      </c>
      <c r="AP56" s="57" t="s">
        <v>1835</v>
      </c>
      <c r="AQ56" s="57" t="s">
        <v>1881</v>
      </c>
    </row>
    <row r="57" ht="14.25" customHeight="1">
      <c r="A57" s="116" t="s">
        <v>1882</v>
      </c>
      <c r="B57" s="56">
        <v>45964.0</v>
      </c>
      <c r="C57" s="182">
        <v>45953.0</v>
      </c>
      <c r="D57" s="57" t="s">
        <v>225</v>
      </c>
      <c r="E57" s="3">
        <f t="array" ref="E57">XLOOKUP(D57,RUC!$B$3:$B$110,RUC!$D$3:$D$110)</f>
        <v>10761932735</v>
      </c>
      <c r="G57" s="141">
        <v>65.0</v>
      </c>
      <c r="H57" s="3" t="s">
        <v>47</v>
      </c>
      <c r="I57" s="6">
        <v>5.39</v>
      </c>
      <c r="J57" s="58">
        <v>11.35</v>
      </c>
      <c r="K57" s="6">
        <f t="shared" si="2"/>
        <v>4.778</v>
      </c>
      <c r="L57" s="3">
        <v>0.446</v>
      </c>
      <c r="M57" s="3">
        <v>0.424</v>
      </c>
      <c r="N57" s="62">
        <f>+M57</f>
        <v>0.424</v>
      </c>
      <c r="O57" s="60">
        <f t="shared" si="36"/>
        <v>0.424</v>
      </c>
      <c r="P57" s="63">
        <v>90.0</v>
      </c>
      <c r="Q57" s="58">
        <v>99.33</v>
      </c>
      <c r="R57" s="65">
        <v>4143.75</v>
      </c>
      <c r="S57" s="66">
        <f t="array" ref="S57">IF((XLOOKUP(D57,RUC!$B$3:$B$106,RUC!$E$3:$E$106)+ROUNDDOWN(O57,1)*100)&lt;95,95,((XLOOKUP(D57,RUC!$B$3:$B$106,RUC!$E$3:$E$106)+ROUNDDOWN(O57,1)*100)))</f>
        <v>130</v>
      </c>
      <c r="U57" s="67">
        <f t="array" ref="U57">XLOOKUP(D57,RUC!$B$3:$B$110,RUC!$F$3:$F$110)</f>
        <v>120</v>
      </c>
      <c r="V57" s="67">
        <v>1.1023</v>
      </c>
      <c r="Y57" s="57">
        <f t="array" ref="Y57">XLOOKUP(D57,RUC!$B$3:$B$110,RUC!$G$3:$G$110)</f>
        <v>20</v>
      </c>
      <c r="Z57" s="69">
        <f t="array" ref="Z57">XLOOKUP(D57,RUC!$B$3:$B$110,RUC!$H$3:$H$110)</f>
        <v>30</v>
      </c>
      <c r="AA57" s="70">
        <f t="shared" si="4"/>
        <v>50</v>
      </c>
      <c r="AB57" s="71">
        <f t="shared" si="15"/>
        <v>1494.126865</v>
      </c>
      <c r="AC57" s="71">
        <f>+(S57-T57)*V57-'data 1'!$F$4</f>
        <v>63.299</v>
      </c>
      <c r="AD57" s="71">
        <f t="shared" si="5"/>
        <v>184.5641299</v>
      </c>
      <c r="AE57" s="71">
        <f t="shared" si="6"/>
        <v>-14.885</v>
      </c>
      <c r="AF57" s="71">
        <f t="shared" si="7"/>
        <v>96.92457679</v>
      </c>
      <c r="AG57" s="72">
        <f t="shared" si="32"/>
        <v>346.9027067</v>
      </c>
      <c r="AH57" s="193">
        <f t="shared" si="8"/>
        <v>72.572</v>
      </c>
      <c r="AI57" s="193">
        <f t="shared" si="9"/>
        <v>73.062</v>
      </c>
      <c r="AJ57" s="73">
        <f t="shared" si="10"/>
        <v>-36.01447815</v>
      </c>
      <c r="AK57" s="73">
        <f t="shared" si="11"/>
        <v>62.51202689</v>
      </c>
      <c r="AL57" s="11"/>
      <c r="AM57" s="51">
        <f t="shared" si="12"/>
        <v>7138.93816</v>
      </c>
      <c r="AN57" s="51" t="str">
        <f t="array" ref="AN57">XLOOKUP(D57,RUC!$B$3:$B$565,RUC!$M$3:$M$565)</f>
        <v>Richard Sapacayo</v>
      </c>
      <c r="AO57" s="131" t="s">
        <v>549</v>
      </c>
      <c r="AP57" s="57" t="s">
        <v>1395</v>
      </c>
      <c r="AQ57" s="57" t="s">
        <v>1883</v>
      </c>
    </row>
    <row r="58" ht="15.0" customHeight="1">
      <c r="A58" s="116" t="s">
        <v>1884</v>
      </c>
      <c r="B58" s="56">
        <v>45959.0</v>
      </c>
      <c r="C58" s="182">
        <v>45953.0</v>
      </c>
      <c r="D58" s="57" t="s">
        <v>622</v>
      </c>
      <c r="E58" s="3">
        <f t="array" ref="E58">XLOOKUP(D58,RUC!$B$3:$B$110,RUC!$D$3:$D$110)</f>
        <v>20612719757</v>
      </c>
      <c r="G58" s="141">
        <v>14.0</v>
      </c>
      <c r="H58" s="3" t="s">
        <v>40</v>
      </c>
      <c r="I58" s="6">
        <v>1.09</v>
      </c>
      <c r="J58" s="58">
        <v>6.4</v>
      </c>
      <c r="K58" s="6">
        <f t="shared" si="2"/>
        <v>1.02</v>
      </c>
      <c r="L58" s="3">
        <v>0.306</v>
      </c>
      <c r="M58" s="3">
        <v>0.291</v>
      </c>
      <c r="N58" s="75">
        <v>0.336</v>
      </c>
      <c r="O58" s="60">
        <f t="shared" si="36"/>
        <v>0.314</v>
      </c>
      <c r="P58" s="63">
        <v>90.0</v>
      </c>
      <c r="Q58" s="58">
        <v>94.44</v>
      </c>
      <c r="R58" s="65">
        <v>4143.75</v>
      </c>
      <c r="S58" s="66">
        <f t="array" ref="S58">IF((XLOOKUP(D58,RUC!$B$3:$B$106,RUC!$E$3:$E$106)+ROUNDDOWN(O58,1)*100)&lt;95,95,((XLOOKUP(D58,RUC!$B$3:$B$106,RUC!$E$3:$E$106)+ROUNDDOWN(O58,1)*100)))</f>
        <v>120</v>
      </c>
      <c r="U58" s="67">
        <f t="array" ref="U58">XLOOKUP(D58,RUC!$B$3:$B$110,RUC!$F$3:$F$110)</f>
        <v>120</v>
      </c>
      <c r="V58" s="67">
        <v>1.1023</v>
      </c>
      <c r="Y58" s="57">
        <f t="array" ref="Y58">XLOOKUP(D58,RUC!$B$3:$B$110,RUC!$G$3:$G$110)</f>
        <v>20</v>
      </c>
      <c r="Z58" s="69">
        <f t="array" ref="Z58">XLOOKUP(D58,RUC!$B$3:$B$110,RUC!$H$3:$H$110)</f>
        <v>30</v>
      </c>
      <c r="AA58" s="70">
        <f t="shared" si="4"/>
        <v>50</v>
      </c>
      <c r="AB58" s="71">
        <f t="shared" si="15"/>
        <v>1066.047282</v>
      </c>
      <c r="AC58" s="71">
        <f>+(S58-T58)*V58-'data 1'!$F$4</f>
        <v>52.276</v>
      </c>
      <c r="AD58" s="71">
        <f t="shared" si="5"/>
        <v>60.26084174</v>
      </c>
      <c r="AE58" s="71">
        <f t="shared" si="6"/>
        <v>-14.885</v>
      </c>
      <c r="AF58" s="71">
        <f t="shared" si="7"/>
        <v>-33.51018014</v>
      </c>
      <c r="AG58" s="72">
        <f t="shared" si="32"/>
        <v>81.14166159</v>
      </c>
      <c r="AH58" s="193">
        <f t="shared" si="8"/>
        <v>10.106</v>
      </c>
      <c r="AI58" s="193">
        <f t="shared" si="9"/>
        <v>10.701</v>
      </c>
      <c r="AJ58" s="73">
        <f t="shared" si="10"/>
        <v>-23.49304102</v>
      </c>
      <c r="AK58" s="73">
        <f t="shared" si="11"/>
        <v>9.882831676</v>
      </c>
      <c r="AL58" s="11"/>
      <c r="AM58" s="51">
        <f t="shared" si="12"/>
        <v>1087.368228</v>
      </c>
      <c r="AN58" s="51" t="str">
        <f t="array" ref="AN58">XLOOKUP(D58,RUC!$B$3:$B$565,RUC!$M$3:$M$565)</f>
        <v>Walter Achulla </v>
      </c>
      <c r="AO58" s="131" t="s">
        <v>549</v>
      </c>
      <c r="AP58" s="57" t="s">
        <v>1835</v>
      </c>
      <c r="AQ58" s="57" t="s">
        <v>1881</v>
      </c>
    </row>
    <row r="59" ht="15.0" customHeight="1">
      <c r="A59" s="116" t="s">
        <v>1885</v>
      </c>
      <c r="B59" s="56">
        <v>45964.0</v>
      </c>
      <c r="C59" s="182">
        <v>45953.0</v>
      </c>
      <c r="D59" s="57" t="s">
        <v>225</v>
      </c>
      <c r="E59" s="3">
        <f t="array" ref="E59">XLOOKUP(D59,RUC!$B$3:$B$110,RUC!$D$3:$D$110)</f>
        <v>10761932735</v>
      </c>
      <c r="G59" s="141">
        <v>115.0</v>
      </c>
      <c r="H59" s="3" t="s">
        <v>47</v>
      </c>
      <c r="I59" s="6">
        <v>9.66</v>
      </c>
      <c r="J59" s="58">
        <v>10.13</v>
      </c>
      <c r="K59" s="6">
        <f t="shared" si="2"/>
        <v>8.681</v>
      </c>
      <c r="L59" s="3">
        <v>0.501</v>
      </c>
      <c r="M59" s="3">
        <v>0.447</v>
      </c>
      <c r="N59" s="75">
        <v>0.522</v>
      </c>
      <c r="O59" s="60">
        <f t="shared" si="36"/>
        <v>0.485</v>
      </c>
      <c r="P59" s="63">
        <v>90.0</v>
      </c>
      <c r="Q59" s="58">
        <v>99.15</v>
      </c>
      <c r="R59" s="65">
        <v>4143.75</v>
      </c>
      <c r="S59" s="66">
        <f t="array" ref="S59">IF((XLOOKUP(D59,RUC!$B$3:$B$106,RUC!$E$3:$E$106)+ROUNDDOWN(O59,1)*100)&lt;95,95,((XLOOKUP(D59,RUC!$B$3:$B$106,RUC!$E$3:$E$106)+ROUNDDOWN(O59,1)*100)))</f>
        <v>130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69">
        <f t="array" ref="Z59">XLOOKUP(D59,RUC!$B$3:$B$110,RUC!$H$3:$H$110)</f>
        <v>30</v>
      </c>
      <c r="AA59" s="70">
        <f t="shared" si="4"/>
        <v>50</v>
      </c>
      <c r="AB59" s="71">
        <f t="shared" si="15"/>
        <v>1737.629206</v>
      </c>
      <c r="AC59" s="71">
        <f>+(S59-T59)*V59-'data 1'!$F$4</f>
        <v>63.299</v>
      </c>
      <c r="AD59" s="71">
        <f t="shared" si="5"/>
        <v>203.3244551</v>
      </c>
      <c r="AE59" s="71">
        <f t="shared" si="6"/>
        <v>-14.885</v>
      </c>
      <c r="AF59" s="71">
        <f t="shared" si="7"/>
        <v>70.36286237</v>
      </c>
      <c r="AG59" s="72">
        <f t="shared" si="32"/>
        <v>339.1013175</v>
      </c>
      <c r="AH59" s="193">
        <f t="shared" si="8"/>
        <v>147.846</v>
      </c>
      <c r="AI59" s="193">
        <f t="shared" si="9"/>
        <v>149.113</v>
      </c>
      <c r="AJ59" s="73">
        <f t="shared" si="10"/>
        <v>-40.38241396</v>
      </c>
      <c r="AK59" s="73">
        <f t="shared" si="11"/>
        <v>129.9161295</v>
      </c>
      <c r="AL59" s="11"/>
      <c r="AM59" s="51">
        <f t="shared" si="12"/>
        <v>15084.35914</v>
      </c>
      <c r="AN59" s="51" t="str">
        <f t="array" ref="AN59">XLOOKUP(D59,RUC!$B$3:$B$565,RUC!$M$3:$M$565)</f>
        <v>Richard Sapacayo</v>
      </c>
      <c r="AO59" s="131" t="s">
        <v>549</v>
      </c>
      <c r="AP59" s="57" t="s">
        <v>1395</v>
      </c>
      <c r="AQ59" s="57" t="s">
        <v>1883</v>
      </c>
    </row>
    <row r="60" ht="15.0" customHeight="1">
      <c r="A60" s="116" t="s">
        <v>1886</v>
      </c>
      <c r="B60" s="56">
        <v>45964.0</v>
      </c>
      <c r="C60" s="182">
        <v>45953.0</v>
      </c>
      <c r="D60" s="57" t="s">
        <v>225</v>
      </c>
      <c r="E60" s="3">
        <f t="array" ref="E60">XLOOKUP(D60,RUC!$B$3:$B$110,RUC!$D$3:$D$110)</f>
        <v>10761932735</v>
      </c>
      <c r="G60" s="141">
        <v>59.0</v>
      </c>
      <c r="H60" s="3" t="s">
        <v>47</v>
      </c>
      <c r="I60" s="6">
        <v>5.2</v>
      </c>
      <c r="J60" s="58">
        <v>12.66</v>
      </c>
      <c r="K60" s="6">
        <f t="shared" si="2"/>
        <v>4.542</v>
      </c>
      <c r="L60" s="3">
        <v>0.656</v>
      </c>
      <c r="M60" s="3">
        <v>0.599</v>
      </c>
      <c r="N60" s="75">
        <v>0.662</v>
      </c>
      <c r="O60" s="60">
        <f t="shared" si="36"/>
        <v>0.631</v>
      </c>
      <c r="P60" s="63">
        <v>90.0</v>
      </c>
      <c r="Q60" s="58">
        <v>99.52</v>
      </c>
      <c r="R60" s="65">
        <v>4143.75</v>
      </c>
      <c r="S60" s="66">
        <f t="array" ref="S60">IF((XLOOKUP(D60,RUC!$B$3:$B$106,RUC!$E$3:$E$106)+ROUNDDOWN(O60,1)*100)&lt;95,95,((XLOOKUP(D60,RUC!$B$3:$B$106,RUC!$E$3:$E$106)+ROUNDDOWN(O60,1)*100)))</f>
        <v>150</v>
      </c>
      <c r="U60" s="67">
        <f t="array" ref="U60">XLOOKUP(D60,RUC!$B$3:$B$110,RUC!$F$3:$F$110)</f>
        <v>120</v>
      </c>
      <c r="V60" s="67">
        <v>1.1023</v>
      </c>
      <c r="Y60" s="57">
        <v>20.0</v>
      </c>
      <c r="Z60" s="69">
        <f t="array" ref="Z60">XLOOKUP(D60,RUC!$B$3:$B$110,RUC!$H$3:$H$110)</f>
        <v>30</v>
      </c>
      <c r="AA60" s="70">
        <f t="shared" si="4"/>
        <v>50</v>
      </c>
      <c r="AB60" s="71">
        <f t="shared" si="15"/>
        <v>2298.392089</v>
      </c>
      <c r="AC60" s="71">
        <f>+(S60-T60)*V60-'data 1'!$F$4</f>
        <v>85.345</v>
      </c>
      <c r="AD60" s="71">
        <f t="shared" si="5"/>
        <v>276.99478</v>
      </c>
      <c r="AE60" s="71">
        <f t="shared" si="6"/>
        <v>-14.885</v>
      </c>
      <c r="AF60" s="71">
        <f t="shared" si="7"/>
        <v>110.3522451</v>
      </c>
      <c r="AG60" s="72">
        <f t="shared" si="32"/>
        <v>474.8070251</v>
      </c>
      <c r="AH60" s="193">
        <f t="shared" si="8"/>
        <v>101.665</v>
      </c>
      <c r="AI60" s="193">
        <f t="shared" si="9"/>
        <v>102.155</v>
      </c>
      <c r="AJ60" s="73">
        <f t="shared" si="10"/>
        <v>-53.07329348</v>
      </c>
      <c r="AK60" s="73">
        <f t="shared" si="11"/>
        <v>88.43579165</v>
      </c>
      <c r="AL60" s="11"/>
      <c r="AM60" s="51">
        <f t="shared" si="12"/>
        <v>10439.29687</v>
      </c>
      <c r="AN60" s="51" t="str">
        <f t="array" ref="AN60">XLOOKUP(D60,RUC!$B$3:$B$565,RUC!$M$3:$M$565)</f>
        <v>Richard Sapacayo</v>
      </c>
      <c r="AO60" s="131" t="s">
        <v>549</v>
      </c>
      <c r="AP60" s="57" t="s">
        <v>1395</v>
      </c>
      <c r="AQ60" s="57" t="s">
        <v>1883</v>
      </c>
    </row>
    <row r="61" ht="15.0" customHeight="1">
      <c r="A61" s="116" t="s">
        <v>1887</v>
      </c>
      <c r="B61" s="56">
        <v>45965.0</v>
      </c>
      <c r="C61" s="182">
        <v>45954.0</v>
      </c>
      <c r="D61" s="57" t="s">
        <v>225</v>
      </c>
      <c r="E61" s="3">
        <f t="array" ref="E61">XLOOKUP(D61,RUC!$B$3:$B$110,RUC!$D$3:$D$110)</f>
        <v>10761932735</v>
      </c>
      <c r="G61" s="141">
        <v>13.0</v>
      </c>
      <c r="H61" s="3" t="s">
        <v>47</v>
      </c>
      <c r="I61" s="6">
        <v>1.25</v>
      </c>
      <c r="J61" s="57">
        <v>13.35</v>
      </c>
      <c r="K61" s="6">
        <f t="shared" si="2"/>
        <v>1.083</v>
      </c>
      <c r="L61" s="3">
        <v>0.394</v>
      </c>
      <c r="M61" s="3">
        <v>0.374</v>
      </c>
      <c r="N61" s="75">
        <v>0.432</v>
      </c>
      <c r="O61" s="60">
        <f t="shared" si="36"/>
        <v>0.403</v>
      </c>
      <c r="P61" s="63">
        <v>90.0</v>
      </c>
      <c r="Q61" s="58">
        <v>96.95</v>
      </c>
      <c r="R61" s="65">
        <v>4104.4</v>
      </c>
      <c r="S61" s="66">
        <f t="array" ref="S61">IF((XLOOKUP(D61,RUC!$B$3:$B$106,RUC!$E$3:$E$106)+ROUNDDOWN(O61,1)*100)&lt;95,95,((XLOOKUP(D61,RUC!$B$3:$B$106,RUC!$E$3:$E$106)+ROUNDDOWN(O61,1)*100)))</f>
        <v>130</v>
      </c>
      <c r="U61" s="67">
        <f t="array" ref="U61">XLOOKUP(D61,RUC!$B$3:$B$110,RUC!$F$3:$F$110)</f>
        <v>120</v>
      </c>
      <c r="V61" s="67">
        <v>1.1023</v>
      </c>
      <c r="Y61" s="446">
        <v>20.0</v>
      </c>
      <c r="Z61" s="69">
        <f t="array" ref="Z61">XLOOKUP(D61,RUC!$B$3:$B$110,RUC!$H$3:$H$110)</f>
        <v>30</v>
      </c>
      <c r="AA61" s="70">
        <f t="shared" si="4"/>
        <v>50</v>
      </c>
      <c r="AB61" s="71">
        <f t="shared" si="15"/>
        <v>1394.565894</v>
      </c>
      <c r="AC61" s="71">
        <f>+(S61-T61)*V61-'data 1'!$F$4</f>
        <v>63.299</v>
      </c>
      <c r="AD61" s="71">
        <f t="shared" si="5"/>
        <v>120.2662488</v>
      </c>
      <c r="AE61" s="71">
        <f t="shared" si="6"/>
        <v>-14.885</v>
      </c>
      <c r="AF61" s="71">
        <f t="shared" si="7"/>
        <v>-38.32243195</v>
      </c>
      <c r="AG61" s="72">
        <f t="shared" si="32"/>
        <v>147.3578169</v>
      </c>
      <c r="AH61" s="193">
        <f t="shared" si="8"/>
        <v>14.183</v>
      </c>
      <c r="AI61" s="193">
        <f t="shared" si="9"/>
        <v>14.63</v>
      </c>
      <c r="AJ61" s="73">
        <f t="shared" si="10"/>
        <v>-14.48445921</v>
      </c>
      <c r="AK61" s="73">
        <f t="shared" si="11"/>
        <v>13.467441</v>
      </c>
      <c r="AL61" s="11"/>
      <c r="AM61" s="51">
        <f t="shared" si="12"/>
        <v>1510.314864</v>
      </c>
      <c r="AN61" s="51" t="str">
        <f t="array" ref="AN61">XLOOKUP(D61,RUC!$B$3:$B$565,RUC!$M$3:$M$565)</f>
        <v>Richard Sapacayo</v>
      </c>
      <c r="AO61" s="131" t="s">
        <v>549</v>
      </c>
      <c r="AP61" s="57" t="s">
        <v>1409</v>
      </c>
      <c r="AQ61" s="57" t="s">
        <v>1888</v>
      </c>
    </row>
    <row r="62" ht="15.0" customHeight="1">
      <c r="A62" s="192" t="s">
        <v>1889</v>
      </c>
      <c r="B62" s="109">
        <v>45965.0</v>
      </c>
      <c r="C62" s="182">
        <v>45954.0</v>
      </c>
      <c r="D62" s="57" t="s">
        <v>225</v>
      </c>
      <c r="E62" s="3">
        <f t="array" ref="E62">XLOOKUP(D62,RUC!$B$3:$B$110,RUC!$D$3:$D$110)</f>
        <v>10761932735</v>
      </c>
      <c r="G62" s="141" t="s">
        <v>735</v>
      </c>
      <c r="H62" s="3" t="s">
        <v>47</v>
      </c>
      <c r="I62" s="6">
        <v>21.79</v>
      </c>
      <c r="J62" s="58">
        <v>7.6</v>
      </c>
      <c r="K62" s="6">
        <f t="shared" si="2"/>
        <v>20.134</v>
      </c>
      <c r="L62" s="3">
        <v>0.067</v>
      </c>
      <c r="M62" s="3">
        <v>0.052</v>
      </c>
      <c r="N62" s="62">
        <f t="shared" ref="N62:N69" si="37">+M62</f>
        <v>0.052</v>
      </c>
      <c r="O62" s="60">
        <f t="shared" si="36"/>
        <v>0.052</v>
      </c>
      <c r="P62" s="63">
        <v>80.0</v>
      </c>
      <c r="Q62" s="58">
        <v>92.31</v>
      </c>
      <c r="R62" s="65">
        <v>4104.4</v>
      </c>
      <c r="S62" s="66">
        <f t="array" ref="S62">IF((XLOOKUP(D62,RUC!$B$3:$B$106,RUC!$E$3:$E$106)+ROUNDDOWN(O62,1)*100)&lt;95,95,((XLOOKUP(D62,RUC!$B$3:$B$106,RUC!$E$3:$E$106)+ROUNDDOWN(O62,1)*100)))</f>
        <v>95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69">
        <f t="array" ref="Z62">XLOOKUP(D62,RUC!$B$3:$B$110,RUC!$H$3:$H$110)</f>
        <v>30</v>
      </c>
      <c r="AA62" s="70">
        <f t="shared" si="4"/>
        <v>50</v>
      </c>
      <c r="AB62" s="71">
        <v>0.001</v>
      </c>
      <c r="AC62" s="71">
        <f>+(S62-T62)*V62-'data 1'!$F$4</f>
        <v>24.7185</v>
      </c>
      <c r="AD62" s="71">
        <f t="shared" si="5"/>
        <v>36.22393238</v>
      </c>
      <c r="AE62" s="71">
        <f t="shared" si="6"/>
        <v>-14.885</v>
      </c>
      <c r="AF62" s="71">
        <f t="shared" si="7"/>
        <v>60.81388505</v>
      </c>
      <c r="AG62" s="72">
        <f>AC62+AD62+AE62+AF62+70-53-29.83</f>
        <v>94.04131743</v>
      </c>
      <c r="AH62" s="193">
        <f t="shared" si="8"/>
        <v>42.694</v>
      </c>
      <c r="AI62" s="193">
        <f t="shared" si="9"/>
        <v>46.25</v>
      </c>
      <c r="AJ62" s="73">
        <f t="shared" si="10"/>
        <v>-2.345210358</v>
      </c>
      <c r="AK62" s="73">
        <f t="shared" si="11"/>
        <v>28.71656332</v>
      </c>
      <c r="AL62" s="11"/>
      <c r="AM62" s="51">
        <f t="shared" si="12"/>
        <v>0.020134</v>
      </c>
      <c r="AN62" s="51" t="str">
        <f t="array" ref="AN62">XLOOKUP(D62,RUC!$B$3:$B$565,RUC!$M$3:$M$565)</f>
        <v>Richard Sapacayo</v>
      </c>
      <c r="AO62" s="131" t="s">
        <v>547</v>
      </c>
      <c r="AP62" s="57" t="s">
        <v>1409</v>
      </c>
      <c r="AQ62" s="57" t="s">
        <v>1888</v>
      </c>
    </row>
    <row r="63" ht="15.0" customHeight="1">
      <c r="A63" s="116" t="s">
        <v>1890</v>
      </c>
      <c r="B63" s="56">
        <v>45960.0</v>
      </c>
      <c r="C63" s="182">
        <v>45955.0</v>
      </c>
      <c r="D63" s="57" t="s">
        <v>602</v>
      </c>
      <c r="E63" s="3">
        <f t="array" ref="E63">XLOOKUP(D63,RUC!$B$3:$B$110,RUC!$D$3:$D$110)</f>
        <v>20169040231</v>
      </c>
      <c r="G63" s="141">
        <v>83.0</v>
      </c>
      <c r="H63" s="3" t="s">
        <v>47</v>
      </c>
      <c r="I63" s="6">
        <v>7.69</v>
      </c>
      <c r="J63" s="58">
        <v>2.7</v>
      </c>
      <c r="K63" s="6">
        <f t="shared" si="2"/>
        <v>7.482</v>
      </c>
      <c r="L63" s="3">
        <v>0.155</v>
      </c>
      <c r="M63" s="60">
        <v>0.14</v>
      </c>
      <c r="N63" s="62">
        <f t="shared" si="37"/>
        <v>0.14</v>
      </c>
      <c r="O63" s="60">
        <f t="shared" si="36"/>
        <v>0.14</v>
      </c>
      <c r="P63" s="63">
        <v>85.0</v>
      </c>
      <c r="Q63" s="58">
        <v>95.48</v>
      </c>
      <c r="R63" s="65">
        <v>4104.4</v>
      </c>
      <c r="S63" s="66">
        <f t="array" ref="S63">IF((XLOOKUP(D63,RUC!$B$3:$B$106,RUC!$E$3:$E$106)+ROUNDDOWN(O63,1)*100)&lt;95,95,((XLOOKUP(D63,RUC!$B$3:$B$106,RUC!$E$3:$E$106)+ROUNDDOWN(O63,1)*100)))</f>
        <v>95</v>
      </c>
      <c r="U63" s="67">
        <f t="array" ref="U63">XLOOKUP(D63,RUC!$B$3:$B$110,RUC!$F$3:$F$110)</f>
        <v>120</v>
      </c>
      <c r="V63" s="67">
        <v>1.1023</v>
      </c>
      <c r="Y63" s="57">
        <f t="array" ref="Y63">XLOOKUP(D63,RUC!$B$3:$B$110,RUC!$G$3:$G$110)</f>
        <v>20</v>
      </c>
      <c r="Z63" s="140">
        <v>35.0</v>
      </c>
      <c r="AA63" s="70">
        <f t="shared" si="4"/>
        <v>55</v>
      </c>
      <c r="AB63" s="71">
        <f t="shared" ref="AB63:AB87" si="38">+((O63*P63*(R63-U63)/100)-S63-AA63+T63)*V63</f>
        <v>357.3034903</v>
      </c>
      <c r="AC63" s="71">
        <f>+(S63-T63)*V63-'data 1'!$F$4</f>
        <v>24.7185</v>
      </c>
      <c r="AD63" s="71">
        <f t="shared" si="5"/>
        <v>71.34371493</v>
      </c>
      <c r="AE63" s="71">
        <f t="shared" si="6"/>
        <v>-9.3735</v>
      </c>
      <c r="AF63" s="71">
        <f t="shared" si="7"/>
        <v>62.90228301</v>
      </c>
      <c r="AG63" s="72">
        <f t="shared" ref="AG63:AG69" si="39">AC63+AD63+AE63+AF63+70-53</f>
        <v>166.5909979</v>
      </c>
      <c r="AH63" s="193">
        <f t="shared" si="8"/>
        <v>37.964</v>
      </c>
      <c r="AI63" s="193">
        <f t="shared" si="9"/>
        <v>39.761</v>
      </c>
      <c r="AJ63" s="73">
        <f t="shared" si="10"/>
        <v>-5.611802245</v>
      </c>
      <c r="AK63" s="73">
        <f t="shared" si="11"/>
        <v>30.52626953</v>
      </c>
      <c r="AL63" s="11"/>
      <c r="AM63" s="51">
        <f t="shared" si="12"/>
        <v>2673.344714</v>
      </c>
      <c r="AN63" s="51" t="str">
        <f t="array" ref="AN63">XLOOKUP(D63,RUC!$B$3:$B$565,RUC!$M$3:$M$565)</f>
        <v>Ronald Miranda</v>
      </c>
      <c r="AO63" s="131" t="s">
        <v>547</v>
      </c>
      <c r="AP63" s="57" t="s">
        <v>1891</v>
      </c>
      <c r="AQ63" s="57" t="s">
        <v>1892</v>
      </c>
      <c r="AR63" s="2"/>
    </row>
    <row r="64" ht="15.0" customHeight="1">
      <c r="A64" s="116" t="s">
        <v>1893</v>
      </c>
      <c r="B64" s="56">
        <v>45960.0</v>
      </c>
      <c r="C64" s="182">
        <v>45955.0</v>
      </c>
      <c r="D64" s="57" t="s">
        <v>602</v>
      </c>
      <c r="E64" s="3">
        <f t="array" ref="E64">XLOOKUP(D64,RUC!$B$3:$B$110,RUC!$D$3:$D$110)</f>
        <v>20169040231</v>
      </c>
      <c r="G64" s="141">
        <v>29.0</v>
      </c>
      <c r="H64" s="3" t="s">
        <v>71</v>
      </c>
      <c r="I64" s="6">
        <v>2.76</v>
      </c>
      <c r="J64" s="58">
        <v>2.7</v>
      </c>
      <c r="K64" s="6">
        <f t="shared" si="2"/>
        <v>2.685</v>
      </c>
      <c r="L64" s="3">
        <v>0.246</v>
      </c>
      <c r="M64" s="60">
        <v>0.231</v>
      </c>
      <c r="N64" s="62">
        <f t="shared" si="37"/>
        <v>0.231</v>
      </c>
      <c r="O64" s="60">
        <f t="shared" si="36"/>
        <v>0.231</v>
      </c>
      <c r="P64" s="63">
        <v>90.0</v>
      </c>
      <c r="Q64" s="58">
        <v>95.53</v>
      </c>
      <c r="R64" s="65">
        <v>4104.4</v>
      </c>
      <c r="S64" s="66">
        <f t="array" ref="S64">IF((XLOOKUP(D64,RUC!$B$3:$B$106,RUC!$E$3:$E$106)+ROUNDDOWN(O64,1)*100)&lt;95,95,((XLOOKUP(D64,RUC!$B$3:$B$106,RUC!$E$3:$E$106)+ROUNDDOWN(O64,1)*100)))</f>
        <v>105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140">
        <v>35.0</v>
      </c>
      <c r="AA64" s="70">
        <f t="shared" si="4"/>
        <v>55</v>
      </c>
      <c r="AB64" s="71">
        <f t="shared" si="38"/>
        <v>736.7296565</v>
      </c>
      <c r="AC64" s="71">
        <f>+(S64-T64)*V64-'data 1'!$F$4</f>
        <v>35.7415</v>
      </c>
      <c r="AD64" s="71">
        <f t="shared" si="5"/>
        <v>59.74794565</v>
      </c>
      <c r="AE64" s="71">
        <f t="shared" si="6"/>
        <v>-9.3735</v>
      </c>
      <c r="AF64" s="71">
        <f t="shared" si="7"/>
        <v>62.93522304</v>
      </c>
      <c r="AG64" s="72">
        <f t="shared" si="39"/>
        <v>166.0511687</v>
      </c>
      <c r="AH64" s="193">
        <f t="shared" si="8"/>
        <v>21.634</v>
      </c>
      <c r="AI64" s="193">
        <f t="shared" si="9"/>
        <v>22.646</v>
      </c>
      <c r="AJ64" s="73">
        <f t="shared" si="10"/>
        <v>-8.911137293</v>
      </c>
      <c r="AK64" s="73">
        <f t="shared" si="11"/>
        <v>19.13849789</v>
      </c>
      <c r="AL64" s="11"/>
      <c r="AM64" s="51">
        <f t="shared" si="12"/>
        <v>1978.119128</v>
      </c>
      <c r="AN64" s="51" t="str">
        <f t="array" ref="AN64">XLOOKUP(D64,RUC!$B$3:$B$565,RUC!$M$3:$M$565)</f>
        <v>Ronald Miranda</v>
      </c>
      <c r="AO64" s="131" t="s">
        <v>547</v>
      </c>
      <c r="AP64" s="57" t="s">
        <v>1891</v>
      </c>
      <c r="AQ64" s="57" t="s">
        <v>1892</v>
      </c>
    </row>
    <row r="65" ht="15.0" customHeight="1">
      <c r="A65" s="116" t="s">
        <v>1894</v>
      </c>
      <c r="B65" s="56">
        <v>45961.0</v>
      </c>
      <c r="C65" s="182">
        <v>45956.0</v>
      </c>
      <c r="D65" s="57" t="s">
        <v>295</v>
      </c>
      <c r="E65" s="3">
        <f t="array" ref="E65">XLOOKUP(D65,RUC!$B$3:$B$110,RUC!$D$3:$D$110)</f>
        <v>20601769396</v>
      </c>
      <c r="G65" s="141">
        <v>39.0</v>
      </c>
      <c r="H65" s="3" t="s">
        <v>40</v>
      </c>
      <c r="I65" s="6">
        <v>2.84</v>
      </c>
      <c r="J65" s="58">
        <v>13.8</v>
      </c>
      <c r="K65" s="6">
        <f t="shared" si="2"/>
        <v>2.448</v>
      </c>
      <c r="L65" s="3">
        <v>0.334</v>
      </c>
      <c r="M65" s="3">
        <v>0.317</v>
      </c>
      <c r="N65" s="62">
        <f t="shared" si="37"/>
        <v>0.317</v>
      </c>
      <c r="O65" s="60">
        <f t="shared" si="36"/>
        <v>0.317</v>
      </c>
      <c r="P65" s="63">
        <v>90.0</v>
      </c>
      <c r="Q65" s="58">
        <v>92.51</v>
      </c>
      <c r="R65" s="65">
        <v>3970.8</v>
      </c>
      <c r="S65" s="66">
        <f t="array" ref="S65">IF((XLOOKUP(D65,RUC!$B$3:$B$106,RUC!$E$3:$E$106)+ROUNDDOWN(O65,1)*100)&lt;95,95,((XLOOKUP(D65,RUC!$B$3:$B$106,RUC!$E$3:$E$106)+ROUNDDOWN(O65,1)*100)))</f>
        <v>120</v>
      </c>
      <c r="U65" s="67">
        <f t="array" ref="U65">XLOOKUP(D65,RUC!$B$3:$B$110,RUC!$F$3:$F$110)</f>
        <v>120</v>
      </c>
      <c r="V65" s="67">
        <v>1.1023</v>
      </c>
      <c r="Y65" s="57">
        <f t="array" ref="Y65">XLOOKUP(D65,RUC!$B$3:$B$110,RUC!$G$3:$G$110)</f>
        <v>20</v>
      </c>
      <c r="Z65" s="69">
        <f t="array" ref="Z65">XLOOKUP(D65,RUC!$B$3:$B$110,RUC!$H$3:$H$110)</f>
        <v>30</v>
      </c>
      <c r="AA65" s="70">
        <f t="shared" si="4"/>
        <v>50</v>
      </c>
      <c r="AB65" s="71">
        <f t="shared" si="38"/>
        <v>1023.63242</v>
      </c>
      <c r="AC65" s="71">
        <f>+(S65-T65)*V65-'data 1'!$F$4</f>
        <v>52.276</v>
      </c>
      <c r="AD65" s="71">
        <f t="shared" si="5"/>
        <v>35.58532682</v>
      </c>
      <c r="AE65" s="71">
        <f t="shared" si="6"/>
        <v>-14.885</v>
      </c>
      <c r="AF65" s="71">
        <f t="shared" si="7"/>
        <v>66.75570286</v>
      </c>
      <c r="AG65" s="72">
        <f t="shared" si="39"/>
        <v>156.7320297</v>
      </c>
      <c r="AH65" s="193">
        <f t="shared" si="8"/>
        <v>25.933</v>
      </c>
      <c r="AI65" s="193">
        <f t="shared" si="9"/>
        <v>28.033</v>
      </c>
      <c r="AJ65" s="73">
        <f t="shared" si="10"/>
        <v>33.78676626</v>
      </c>
      <c r="AK65" s="73">
        <f t="shared" si="11"/>
        <v>23.94540872</v>
      </c>
      <c r="AL65" s="11"/>
      <c r="AM65" s="51">
        <f t="shared" si="12"/>
        <v>2505.852165</v>
      </c>
      <c r="AN65" s="51" t="str">
        <f t="array" ref="AN65">XLOOKUP(D65,RUC!$B$3:$B$565,RUC!$M$3:$M$565)</f>
        <v>Evelyn</v>
      </c>
      <c r="AO65" s="131" t="s">
        <v>549</v>
      </c>
      <c r="AP65" s="57" t="s">
        <v>1895</v>
      </c>
      <c r="AQ65" s="57" t="s">
        <v>1896</v>
      </c>
    </row>
    <row r="66" ht="15.0" customHeight="1">
      <c r="A66" s="116" t="s">
        <v>1897</v>
      </c>
      <c r="B66" s="56">
        <v>45961.0</v>
      </c>
      <c r="C66" s="182">
        <v>45956.0</v>
      </c>
      <c r="D66" s="57" t="s">
        <v>295</v>
      </c>
      <c r="E66" s="3">
        <f t="array" ref="E66">XLOOKUP(D66,RUC!$B$3:$B$110,RUC!$D$3:$D$110)</f>
        <v>20601769396</v>
      </c>
      <c r="G66" s="141">
        <v>53.0</v>
      </c>
      <c r="H66" s="3" t="s">
        <v>40</v>
      </c>
      <c r="I66" s="6">
        <v>3.5</v>
      </c>
      <c r="J66" s="58">
        <v>17.05</v>
      </c>
      <c r="K66" s="6">
        <f t="shared" si="2"/>
        <v>2.903</v>
      </c>
      <c r="L66" s="3">
        <v>0.295</v>
      </c>
      <c r="M66" s="60">
        <v>0.28</v>
      </c>
      <c r="N66" s="62">
        <f t="shared" si="37"/>
        <v>0.28</v>
      </c>
      <c r="O66" s="60">
        <f t="shared" si="36"/>
        <v>0.28</v>
      </c>
      <c r="P66" s="63">
        <v>90.0</v>
      </c>
      <c r="Q66" s="58">
        <v>97.63</v>
      </c>
      <c r="R66" s="65">
        <v>3970.8</v>
      </c>
      <c r="S66" s="66">
        <f t="array" ref="S66">IF((XLOOKUP(D66,RUC!$B$3:$B$106,RUC!$E$3:$E$106)+ROUNDDOWN(O66,1)*100)&lt;95,95,((XLOOKUP(D66,RUC!$B$3:$B$106,RUC!$E$3:$E$106)+ROUNDDOWN(O66,1)*100)))</f>
        <v>110</v>
      </c>
      <c r="U66" s="67">
        <f t="array" ref="U66">XLOOKUP(D66,RUC!$B$3:$B$110,RUC!$F$3:$F$110)</f>
        <v>120</v>
      </c>
      <c r="V66" s="67">
        <v>1.1023</v>
      </c>
      <c r="Y66" s="57">
        <f t="array" ref="Y66">XLOOKUP(D66,RUC!$B$3:$B$110,RUC!$G$3:$G$110)</f>
        <v>20</v>
      </c>
      <c r="Z66" s="69">
        <f t="array" ref="Z66">XLOOKUP(D66,RUC!$B$3:$B$110,RUC!$H$3:$H$110)</f>
        <v>30</v>
      </c>
      <c r="AA66" s="70">
        <f t="shared" si="4"/>
        <v>50</v>
      </c>
      <c r="AB66" s="71">
        <f t="shared" si="38"/>
        <v>893.3056837</v>
      </c>
      <c r="AC66" s="71">
        <f>+(S66-T66)*V66-'data 1'!$F$4</f>
        <v>41.253</v>
      </c>
      <c r="AD66" s="71">
        <f t="shared" si="5"/>
        <v>95.54265916</v>
      </c>
      <c r="AE66" s="71">
        <f t="shared" si="6"/>
        <v>-14.885</v>
      </c>
      <c r="AF66" s="71">
        <f t="shared" si="7"/>
        <v>62.16204865</v>
      </c>
      <c r="AG66" s="72">
        <f t="shared" si="39"/>
        <v>201.0727078</v>
      </c>
      <c r="AH66" s="193">
        <f t="shared" si="8"/>
        <v>28.666</v>
      </c>
      <c r="AI66" s="193">
        <f t="shared" si="9"/>
        <v>29.361</v>
      </c>
      <c r="AJ66" s="73">
        <f t="shared" si="10"/>
        <v>31.49319954</v>
      </c>
      <c r="AK66" s="73">
        <f t="shared" si="11"/>
        <v>25.08168134</v>
      </c>
      <c r="AL66" s="11"/>
      <c r="AM66" s="51">
        <f t="shared" si="12"/>
        <v>2593.2664</v>
      </c>
      <c r="AN66" s="51" t="str">
        <f t="array" ref="AN66">XLOOKUP(D66,RUC!$B$3:$B$565,RUC!$M$3:$M$565)</f>
        <v>Evelyn</v>
      </c>
      <c r="AO66" s="131" t="s">
        <v>551</v>
      </c>
      <c r="AP66" s="57" t="s">
        <v>1895</v>
      </c>
      <c r="AQ66" s="57" t="s">
        <v>1896</v>
      </c>
    </row>
    <row r="67" ht="15.0" customHeight="1">
      <c r="A67" s="116" t="s">
        <v>1898</v>
      </c>
      <c r="B67" s="56">
        <v>45961.0</v>
      </c>
      <c r="C67" s="182">
        <v>45956.0</v>
      </c>
      <c r="D67" s="57" t="s">
        <v>295</v>
      </c>
      <c r="E67" s="3">
        <f t="array" ref="E67">XLOOKUP(D67,RUC!$B$3:$B$110,RUC!$D$3:$D$110)</f>
        <v>20601769396</v>
      </c>
      <c r="G67" s="141">
        <v>10.0</v>
      </c>
      <c r="H67" s="3" t="s">
        <v>40</v>
      </c>
      <c r="I67" s="6">
        <v>0.72</v>
      </c>
      <c r="J67" s="58">
        <v>17.0</v>
      </c>
      <c r="K67" s="6">
        <f t="shared" si="2"/>
        <v>0.598</v>
      </c>
      <c r="L67" s="3">
        <v>0.695</v>
      </c>
      <c r="M67" s="60">
        <v>0.66</v>
      </c>
      <c r="N67" s="62">
        <f t="shared" si="37"/>
        <v>0.66</v>
      </c>
      <c r="O67" s="60">
        <f t="shared" si="36"/>
        <v>0.66</v>
      </c>
      <c r="P67" s="63">
        <v>84.0</v>
      </c>
      <c r="Q67" s="58">
        <v>93.53</v>
      </c>
      <c r="R67" s="65">
        <v>3970.8</v>
      </c>
      <c r="S67" s="66">
        <f t="array" ref="S67">IF((XLOOKUP(D67,RUC!$B$3:$B$106,RUC!$E$3:$E$106)+ROUNDDOWN(O67,1)*100)&lt;95,95,((XLOOKUP(D67,RUC!$B$3:$B$106,RUC!$E$3:$E$106)+ROUNDDOWN(O67,1)*100)))</f>
        <v>150</v>
      </c>
      <c r="U67" s="67">
        <f t="array" ref="U67">XLOOKUP(D67,RUC!$B$3:$B$110,RUC!$F$3:$F$110)</f>
        <v>120</v>
      </c>
      <c r="V67" s="67">
        <v>1.1023</v>
      </c>
      <c r="Y67" s="57">
        <f t="array" ref="Y67">XLOOKUP(D67,RUC!$B$3:$B$110,RUC!$G$3:$G$110)</f>
        <v>20</v>
      </c>
      <c r="Z67" s="69">
        <f t="array" ref="Z67">XLOOKUP(D67,RUC!$B$3:$B$110,RUC!$H$3:$H$110)</f>
        <v>30</v>
      </c>
      <c r="AA67" s="70">
        <f t="shared" si="4"/>
        <v>50</v>
      </c>
      <c r="AB67" s="71">
        <f t="shared" si="38"/>
        <v>2132.822104</v>
      </c>
      <c r="AC67" s="71">
        <f>+(S67-T67)*V67-'data 1'!$F$4</f>
        <v>85.345</v>
      </c>
      <c r="AD67" s="71">
        <f t="shared" si="5"/>
        <v>281.1437775</v>
      </c>
      <c r="AE67" s="71">
        <f t="shared" si="6"/>
        <v>-14.885</v>
      </c>
      <c r="AF67" s="71">
        <f t="shared" si="7"/>
        <v>138.9535828</v>
      </c>
      <c r="AG67" s="72">
        <f t="shared" si="39"/>
        <v>507.5573603</v>
      </c>
      <c r="AH67" s="193">
        <f t="shared" si="8"/>
        <v>13.327</v>
      </c>
      <c r="AI67" s="193">
        <f t="shared" si="9"/>
        <v>14.249</v>
      </c>
      <c r="AJ67" s="73">
        <f t="shared" si="10"/>
        <v>71.07996716</v>
      </c>
      <c r="AK67" s="73">
        <f t="shared" si="11"/>
        <v>11.36667584</v>
      </c>
      <c r="AL67" s="11"/>
      <c r="AM67" s="51">
        <f t="shared" si="12"/>
        <v>1275.427618</v>
      </c>
      <c r="AN67" s="51" t="str">
        <f t="array" ref="AN67">XLOOKUP(D67,RUC!$B$3:$B$565,RUC!$M$3:$M$565)</f>
        <v>Evelyn</v>
      </c>
      <c r="AO67" s="131" t="s">
        <v>549</v>
      </c>
      <c r="AP67" s="57" t="s">
        <v>1895</v>
      </c>
      <c r="AQ67" s="57" t="s">
        <v>1896</v>
      </c>
    </row>
    <row r="68" ht="15.0" customHeight="1">
      <c r="A68" s="116" t="s">
        <v>1899</v>
      </c>
      <c r="B68" s="56">
        <v>45961.0</v>
      </c>
      <c r="C68" s="182">
        <v>45956.0</v>
      </c>
      <c r="D68" s="57" t="s">
        <v>295</v>
      </c>
      <c r="E68" s="3">
        <f t="array" ref="E68">XLOOKUP(D68,RUC!$B$3:$B$110,RUC!$D$3:$D$110)</f>
        <v>20601769396</v>
      </c>
      <c r="G68" s="141">
        <v>42.0</v>
      </c>
      <c r="H68" s="3" t="s">
        <v>71</v>
      </c>
      <c r="I68" s="6">
        <v>3.41</v>
      </c>
      <c r="J68" s="58">
        <v>13.6</v>
      </c>
      <c r="K68" s="6">
        <f t="shared" si="2"/>
        <v>2.946</v>
      </c>
      <c r="L68" s="3">
        <v>0.399</v>
      </c>
      <c r="M68" s="3">
        <v>0.379</v>
      </c>
      <c r="N68" s="62">
        <f t="shared" si="37"/>
        <v>0.379</v>
      </c>
      <c r="O68" s="60">
        <f t="shared" si="36"/>
        <v>0.379</v>
      </c>
      <c r="P68" s="63">
        <v>86.0</v>
      </c>
      <c r="Q68" s="58">
        <v>86.72</v>
      </c>
      <c r="R68" s="65">
        <v>3970.8</v>
      </c>
      <c r="S68" s="66">
        <f t="array" ref="S68">IF((XLOOKUP(D68,RUC!$B$3:$B$106,RUC!$E$3:$E$106)+ROUNDDOWN(O68,1)*100)&lt;95,95,((XLOOKUP(D68,RUC!$B$3:$B$106,RUC!$E$3:$E$106)+ROUNDDOWN(O68,1)*100)))</f>
        <v>120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4"/>
        <v>50</v>
      </c>
      <c r="AB68" s="71">
        <f t="shared" si="38"/>
        <v>1196.138526</v>
      </c>
      <c r="AC68" s="71">
        <f>+(S68-T68)*V68-'data 1'!$F$4</f>
        <v>52.276</v>
      </c>
      <c r="AD68" s="71">
        <f t="shared" si="5"/>
        <v>12.19427999</v>
      </c>
      <c r="AE68" s="71">
        <f t="shared" si="6"/>
        <v>-14.885</v>
      </c>
      <c r="AF68" s="71">
        <f t="shared" si="7"/>
        <v>73.62071575</v>
      </c>
      <c r="AG68" s="72">
        <f t="shared" si="39"/>
        <v>140.2059957</v>
      </c>
      <c r="AH68" s="193">
        <f t="shared" si="8"/>
        <v>34.949</v>
      </c>
      <c r="AI68" s="193">
        <f t="shared" si="9"/>
        <v>40.301</v>
      </c>
      <c r="AJ68" s="73">
        <f t="shared" si="10"/>
        <v>37.83586302</v>
      </c>
      <c r="AK68" s="73">
        <f t="shared" si="11"/>
        <v>32.92148926</v>
      </c>
      <c r="AL68" s="11"/>
      <c r="AM68" s="51">
        <f t="shared" si="12"/>
        <v>3523.824097</v>
      </c>
      <c r="AN68" s="51" t="str">
        <f t="array" ref="AN68">XLOOKUP(D68,RUC!$B$3:$B$565,RUC!$M$3:$M$565)</f>
        <v>Evelyn</v>
      </c>
      <c r="AO68" s="131" t="s">
        <v>551</v>
      </c>
      <c r="AP68" s="57" t="s">
        <v>1895</v>
      </c>
      <c r="AQ68" s="57" t="s">
        <v>1896</v>
      </c>
    </row>
    <row r="69" ht="15.0" customHeight="1">
      <c r="A69" s="116" t="s">
        <v>1900</v>
      </c>
      <c r="B69" s="56">
        <v>45961.0</v>
      </c>
      <c r="C69" s="182">
        <v>45956.0</v>
      </c>
      <c r="D69" s="57" t="s">
        <v>295</v>
      </c>
      <c r="E69" s="3">
        <f t="array" ref="E69">XLOOKUP(D69,RUC!$B$3:$B$110,RUC!$D$3:$D$110)</f>
        <v>20601769396</v>
      </c>
      <c r="G69" s="141">
        <v>14.0</v>
      </c>
      <c r="H69" s="3" t="s">
        <v>47</v>
      </c>
      <c r="I69" s="6">
        <v>0.92</v>
      </c>
      <c r="J69" s="58">
        <v>6.95</v>
      </c>
      <c r="K69" s="6">
        <f t="shared" si="2"/>
        <v>0.856</v>
      </c>
      <c r="L69" s="3">
        <v>0.174</v>
      </c>
      <c r="M69" s="3">
        <v>0.159</v>
      </c>
      <c r="N69" s="62">
        <f t="shared" si="37"/>
        <v>0.159</v>
      </c>
      <c r="O69" s="60">
        <f t="shared" si="36"/>
        <v>0.159</v>
      </c>
      <c r="P69" s="63">
        <v>88.0</v>
      </c>
      <c r="Q69" s="58">
        <v>89.66</v>
      </c>
      <c r="R69" s="65">
        <v>3970.8</v>
      </c>
      <c r="S69" s="66">
        <f t="array" ref="S69">IF((XLOOKUP(D69,RUC!$B$3:$B$106,RUC!$E$3:$E$106)+ROUNDDOWN(O69,1)*100)&lt;95,95,((XLOOKUP(D69,RUC!$B$3:$B$106,RUC!$E$3:$E$106)+ROUNDDOWN(O69,1)*100)))</f>
        <v>100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4"/>
        <v>50</v>
      </c>
      <c r="AB69" s="71">
        <f t="shared" si="38"/>
        <v>428.5785787</v>
      </c>
      <c r="AC69" s="71">
        <f>+(S69-T69)*V69-'data 1'!$F$4</f>
        <v>30.23</v>
      </c>
      <c r="AD69" s="71">
        <f t="shared" si="5"/>
        <v>12.26049789</v>
      </c>
      <c r="AE69" s="71">
        <f t="shared" si="6"/>
        <v>-14.885</v>
      </c>
      <c r="AF69" s="71">
        <f t="shared" si="7"/>
        <v>57.08746576</v>
      </c>
      <c r="AG69" s="72">
        <f t="shared" si="39"/>
        <v>101.6929636</v>
      </c>
      <c r="AH69" s="193">
        <f t="shared" si="8"/>
        <v>4.579</v>
      </c>
      <c r="AI69" s="193">
        <f t="shared" si="9"/>
        <v>5.107</v>
      </c>
      <c r="AJ69" s="73">
        <f t="shared" si="10"/>
        <v>17.05923148</v>
      </c>
      <c r="AK69" s="73">
        <f t="shared" si="11"/>
        <v>4.106413041</v>
      </c>
      <c r="AL69" s="11"/>
      <c r="AM69" s="51">
        <f t="shared" si="12"/>
        <v>366.8632633</v>
      </c>
      <c r="AN69" s="51" t="str">
        <f t="array" ref="AN69">XLOOKUP(D69,RUC!$B$3:$B$565,RUC!$M$3:$M$565)</f>
        <v>Evelyn</v>
      </c>
      <c r="AO69" s="131" t="s">
        <v>551</v>
      </c>
      <c r="AP69" s="57" t="s">
        <v>1895</v>
      </c>
      <c r="AQ69" s="57" t="s">
        <v>1896</v>
      </c>
    </row>
    <row r="70" ht="15.0" customHeight="1">
      <c r="A70" s="116" t="s">
        <v>1901</v>
      </c>
      <c r="B70" s="56">
        <v>45965.0</v>
      </c>
      <c r="C70" s="182">
        <v>45956.0</v>
      </c>
      <c r="D70" s="57" t="s">
        <v>146</v>
      </c>
      <c r="E70" s="3">
        <f t="array" ref="E70">XLOOKUP(D70,RUC!$B$3:$B$110,RUC!$D$3:$D$110)</f>
        <v>20517242919</v>
      </c>
      <c r="G70" s="141">
        <v>51.0</v>
      </c>
      <c r="H70" s="3" t="s">
        <v>47</v>
      </c>
      <c r="I70" s="6">
        <v>4.61</v>
      </c>
      <c r="J70" s="58">
        <v>1.15</v>
      </c>
      <c r="K70" s="6">
        <f t="shared" si="2"/>
        <v>4.557</v>
      </c>
      <c r="L70" s="3">
        <v>0.146</v>
      </c>
      <c r="M70" s="3">
        <v>0.131</v>
      </c>
      <c r="N70" s="75">
        <v>0.153</v>
      </c>
      <c r="O70" s="60">
        <f t="shared" si="36"/>
        <v>0.142</v>
      </c>
      <c r="P70" s="63">
        <v>85.0</v>
      </c>
      <c r="Q70" s="58">
        <v>93.84</v>
      </c>
      <c r="R70" s="65">
        <v>3970.8</v>
      </c>
      <c r="S70" s="133">
        <v>95.0</v>
      </c>
      <c r="U70" s="67">
        <f t="array" ref="U70">XLOOKUP(D70,RUC!$B$3:$B$110,RUC!$F$3:$F$110)</f>
        <v>80</v>
      </c>
      <c r="V70" s="67">
        <v>1.1023</v>
      </c>
      <c r="Y70" s="57" t="str">
        <f t="array" ref="Y70">XLOOKUP(D70,RUC!$B$3:$B$110,RUC!$G$3:$G$110)</f>
        <v/>
      </c>
      <c r="Z70" s="69">
        <f t="array" ref="Z70">XLOOKUP(D70,RUC!$B$3:$B$110,RUC!$H$3:$H$110)</f>
        <v>10</v>
      </c>
      <c r="AA70" s="70">
        <f t="shared" si="4"/>
        <v>10</v>
      </c>
      <c r="AB70" s="71">
        <f t="shared" si="38"/>
        <v>401.920141</v>
      </c>
      <c r="AC70" s="71">
        <f>+(S70-T70)*V70-'data 1'!$F$4</f>
        <v>24.7185</v>
      </c>
      <c r="AD70" s="71">
        <f t="shared" si="5"/>
        <v>55.35334054</v>
      </c>
      <c r="AE70" s="71">
        <f t="shared" si="6"/>
        <v>-58.977</v>
      </c>
      <c r="AF70" s="71">
        <f t="shared" si="7"/>
        <v>16.09854793</v>
      </c>
      <c r="AG70" s="72">
        <f t="shared" ref="AG70:AG76" si="40">AC70+AD70+AE70+AF70+70</f>
        <v>107.1933885</v>
      </c>
      <c r="AH70" s="193">
        <f t="shared" si="8"/>
        <v>21.406</v>
      </c>
      <c r="AI70" s="193">
        <f t="shared" si="9"/>
        <v>22.811</v>
      </c>
      <c r="AJ70" s="73">
        <f t="shared" si="10"/>
        <v>8.940511559</v>
      </c>
      <c r="AK70" s="73">
        <f t="shared" si="11"/>
        <v>18.85798856</v>
      </c>
      <c r="AL70" s="11"/>
      <c r="AM70" s="51">
        <f t="shared" si="12"/>
        <v>1831.550082</v>
      </c>
      <c r="AN70" s="51" t="str">
        <f t="array" ref="AN70">XLOOKUP(D70,RUC!$B$3:$B$565,RUC!$M$3:$M$565)</f>
        <v>Melchor Vera</v>
      </c>
      <c r="AO70" s="131" t="s">
        <v>547</v>
      </c>
      <c r="AP70" s="57" t="s">
        <v>1902</v>
      </c>
      <c r="AQ70" s="57" t="s">
        <v>1903</v>
      </c>
    </row>
    <row r="71" ht="15.0" customHeight="1">
      <c r="A71" s="116" t="s">
        <v>1904</v>
      </c>
      <c r="B71" s="56">
        <v>45965.0</v>
      </c>
      <c r="C71" s="182">
        <v>45956.0</v>
      </c>
      <c r="D71" s="57" t="s">
        <v>146</v>
      </c>
      <c r="E71" s="3">
        <f t="array" ref="E71">XLOOKUP(D71,RUC!$B$3:$B$110,RUC!$D$3:$D$110)</f>
        <v>20517242919</v>
      </c>
      <c r="G71" s="141">
        <v>50.0</v>
      </c>
      <c r="H71" s="3" t="s">
        <v>47</v>
      </c>
      <c r="I71" s="6">
        <v>4.31</v>
      </c>
      <c r="J71" s="58">
        <v>1.2</v>
      </c>
      <c r="K71" s="6">
        <f t="shared" si="2"/>
        <v>4.258</v>
      </c>
      <c r="L71" s="3">
        <v>0.122</v>
      </c>
      <c r="M71" s="3">
        <v>0.107</v>
      </c>
      <c r="N71" s="62">
        <f t="shared" ref="N71:N75" si="41">+M71</f>
        <v>0.107</v>
      </c>
      <c r="O71" s="60">
        <f t="shared" si="36"/>
        <v>0.107</v>
      </c>
      <c r="P71" s="63">
        <v>85.0</v>
      </c>
      <c r="Q71" s="58">
        <v>94.26</v>
      </c>
      <c r="R71" s="65">
        <v>3970.8</v>
      </c>
      <c r="S71" s="133">
        <v>95.0</v>
      </c>
      <c r="U71" s="67">
        <f t="array" ref="U71">XLOOKUP(D71,RUC!$B$3:$B$110,RUC!$F$3:$F$110)</f>
        <v>80</v>
      </c>
      <c r="V71" s="67">
        <v>1.1023</v>
      </c>
      <c r="Y71" s="57" t="str">
        <f t="array" ref="Y71">XLOOKUP(D71,RUC!$B$3:$B$110,RUC!$G$3:$G$110)</f>
        <v/>
      </c>
      <c r="Z71" s="69">
        <f t="array" ref="Z71">XLOOKUP(D71,RUC!$B$3:$B$110,RUC!$H$3:$H$110)</f>
        <v>10</v>
      </c>
      <c r="AA71" s="70">
        <f t="shared" si="4"/>
        <v>10</v>
      </c>
      <c r="AB71" s="71">
        <f t="shared" si="38"/>
        <v>274.327483</v>
      </c>
      <c r="AC71" s="71">
        <f>+(S71-T71)*V71-'data 1'!$F$4</f>
        <v>24.7185</v>
      </c>
      <c r="AD71" s="71">
        <f t="shared" si="5"/>
        <v>48.45175717</v>
      </c>
      <c r="AE71" s="71">
        <f t="shared" si="6"/>
        <v>-58.977</v>
      </c>
      <c r="AF71" s="71">
        <f t="shared" si="7"/>
        <v>60.63975097</v>
      </c>
      <c r="AG71" s="72">
        <f t="shared" si="40"/>
        <v>144.8330081</v>
      </c>
      <c r="AH71" s="193">
        <f t="shared" si="8"/>
        <v>16.788</v>
      </c>
      <c r="AI71" s="193">
        <f t="shared" si="9"/>
        <v>17.81</v>
      </c>
      <c r="AJ71" s="73">
        <f t="shared" si="10"/>
        <v>7.504275683</v>
      </c>
      <c r="AK71" s="73">
        <f t="shared" si="11"/>
        <v>13.27753423</v>
      </c>
      <c r="AL71" s="11"/>
      <c r="AM71" s="51">
        <f t="shared" si="12"/>
        <v>1168.086423</v>
      </c>
      <c r="AN71" s="51" t="str">
        <f t="array" ref="AN71">XLOOKUP(D71,RUC!$B$3:$B$565,RUC!$M$3:$M$565)</f>
        <v>Melchor Vera</v>
      </c>
      <c r="AO71" s="131" t="s">
        <v>547</v>
      </c>
      <c r="AP71" s="57" t="s">
        <v>1902</v>
      </c>
      <c r="AQ71" s="57" t="s">
        <v>1903</v>
      </c>
    </row>
    <row r="72" ht="15.0" customHeight="1">
      <c r="A72" s="116" t="s">
        <v>1905</v>
      </c>
      <c r="B72" s="56">
        <v>45965.0</v>
      </c>
      <c r="C72" s="182">
        <v>45956.0</v>
      </c>
      <c r="D72" s="57" t="s">
        <v>146</v>
      </c>
      <c r="E72" s="3">
        <f t="array" ref="E72">XLOOKUP(D72,RUC!$B$3:$B$110,RUC!$D$3:$D$110)</f>
        <v>20517242919</v>
      </c>
      <c r="G72" s="141">
        <v>52.0</v>
      </c>
      <c r="H72" s="3" t="s">
        <v>47</v>
      </c>
      <c r="I72" s="6">
        <v>5.09</v>
      </c>
      <c r="J72" s="58">
        <v>1.15</v>
      </c>
      <c r="K72" s="6">
        <f t="shared" si="2"/>
        <v>5.031</v>
      </c>
      <c r="L72" s="3">
        <v>0.124</v>
      </c>
      <c r="M72" s="3">
        <v>0.109</v>
      </c>
      <c r="N72" s="62">
        <f t="shared" si="41"/>
        <v>0.109</v>
      </c>
      <c r="O72" s="60">
        <f t="shared" si="36"/>
        <v>0.109</v>
      </c>
      <c r="P72" s="63">
        <v>85.0</v>
      </c>
      <c r="Q72" s="58">
        <v>90.32</v>
      </c>
      <c r="R72" s="65">
        <v>3970.8</v>
      </c>
      <c r="S72" s="133">
        <v>95.0</v>
      </c>
      <c r="U72" s="67">
        <f t="array" ref="U72">XLOOKUP(D72,RUC!$B$3:$B$110,RUC!$F$3:$F$110)</f>
        <v>80</v>
      </c>
      <c r="V72" s="67">
        <v>1.1023</v>
      </c>
      <c r="Y72" s="57" t="str">
        <f t="array" ref="Y72">XLOOKUP(D72,RUC!$B$3:$B$110,RUC!$G$3:$G$110)</f>
        <v/>
      </c>
      <c r="Z72" s="69">
        <f t="array" ref="Z72">XLOOKUP(D72,RUC!$B$3:$B$110,RUC!$H$3:$H$110)</f>
        <v>10</v>
      </c>
      <c r="AA72" s="70">
        <f t="shared" si="4"/>
        <v>10</v>
      </c>
      <c r="AB72" s="71">
        <f t="shared" si="38"/>
        <v>281.618492</v>
      </c>
      <c r="AC72" s="71">
        <f>+(S72-T72)*V72-'data 1'!$F$4</f>
        <v>24.7185</v>
      </c>
      <c r="AD72" s="71">
        <f t="shared" si="5"/>
        <v>28.29254609</v>
      </c>
      <c r="AE72" s="71">
        <f t="shared" si="6"/>
        <v>-58.977</v>
      </c>
      <c r="AF72" s="71">
        <f t="shared" si="7"/>
        <v>58.10505312</v>
      </c>
      <c r="AG72" s="72">
        <f t="shared" si="40"/>
        <v>122.1390992</v>
      </c>
      <c r="AH72" s="193">
        <f t="shared" si="8"/>
        <v>19.318</v>
      </c>
      <c r="AI72" s="193">
        <f t="shared" si="9"/>
        <v>21.389</v>
      </c>
      <c r="AJ72" s="73">
        <f t="shared" si="10"/>
        <v>7.3084811</v>
      </c>
      <c r="AK72" s="73">
        <f t="shared" si="11"/>
        <v>15.98117879</v>
      </c>
      <c r="AL72" s="11"/>
      <c r="AM72" s="51">
        <f t="shared" si="12"/>
        <v>1416.822633</v>
      </c>
      <c r="AN72" s="51" t="str">
        <f t="array" ref="AN72">XLOOKUP(D72,RUC!$B$3:$B$565,RUC!$M$3:$M$565)</f>
        <v>Melchor Vera</v>
      </c>
      <c r="AO72" s="131" t="s">
        <v>547</v>
      </c>
      <c r="AP72" s="57" t="s">
        <v>1902</v>
      </c>
      <c r="AQ72" s="57" t="s">
        <v>1903</v>
      </c>
    </row>
    <row r="73" ht="15.0" customHeight="1">
      <c r="A73" s="116" t="s">
        <v>1906</v>
      </c>
      <c r="B73" s="56">
        <v>45965.0</v>
      </c>
      <c r="C73" s="182">
        <v>45957.0</v>
      </c>
      <c r="D73" s="57" t="s">
        <v>146</v>
      </c>
      <c r="E73" s="3">
        <f t="array" ref="E73">XLOOKUP(D73,RUC!$B$3:$B$110,RUC!$D$3:$D$110)</f>
        <v>20517242919</v>
      </c>
      <c r="G73" s="141">
        <v>44.0</v>
      </c>
      <c r="H73" s="3" t="s">
        <v>47</v>
      </c>
      <c r="I73" s="6">
        <v>4.36</v>
      </c>
      <c r="J73" s="58">
        <v>1.25</v>
      </c>
      <c r="K73" s="6">
        <f t="shared" si="2"/>
        <v>4.306</v>
      </c>
      <c r="L73" s="3">
        <v>0.128</v>
      </c>
      <c r="M73" s="3">
        <v>0.113</v>
      </c>
      <c r="N73" s="62">
        <f t="shared" si="41"/>
        <v>0.113</v>
      </c>
      <c r="O73" s="60">
        <f t="shared" si="36"/>
        <v>0.113</v>
      </c>
      <c r="P73" s="63">
        <v>85.0</v>
      </c>
      <c r="Q73" s="58">
        <v>90.63</v>
      </c>
      <c r="R73" s="65">
        <v>3970.8</v>
      </c>
      <c r="S73" s="133">
        <v>95.0</v>
      </c>
      <c r="U73" s="67">
        <f t="array" ref="U73">XLOOKUP(D73,RUC!$B$3:$B$110,RUC!$F$3:$F$110)</f>
        <v>80</v>
      </c>
      <c r="V73" s="67">
        <v>1.1023</v>
      </c>
      <c r="Y73" s="57" t="str">
        <f t="array" ref="Y73">XLOOKUP(D73,RUC!$B$3:$B$110,RUC!$G$3:$G$110)</f>
        <v/>
      </c>
      <c r="Z73" s="69">
        <f t="array" ref="Z73">XLOOKUP(D73,RUC!$B$3:$B$110,RUC!$H$3:$H$110)</f>
        <v>10</v>
      </c>
      <c r="AA73" s="70">
        <f t="shared" si="4"/>
        <v>10</v>
      </c>
      <c r="AB73" s="71">
        <f t="shared" si="38"/>
        <v>296.2005101</v>
      </c>
      <c r="AC73" s="71">
        <f>+(S73-T73)*V73-'data 1'!$F$4</f>
        <v>24.7185</v>
      </c>
      <c r="AD73" s="71">
        <f t="shared" si="5"/>
        <v>30.90701615</v>
      </c>
      <c r="AE73" s="71">
        <f t="shared" si="6"/>
        <v>-58.977</v>
      </c>
      <c r="AF73" s="71">
        <f t="shared" si="7"/>
        <v>58.30448367</v>
      </c>
      <c r="AG73" s="72">
        <f t="shared" si="40"/>
        <v>124.9529998</v>
      </c>
      <c r="AH73" s="193">
        <f t="shared" si="8"/>
        <v>17.126</v>
      </c>
      <c r="AI73" s="193">
        <f t="shared" si="9"/>
        <v>18.897</v>
      </c>
      <c r="AJ73" s="73">
        <f t="shared" si="10"/>
        <v>7.570132199</v>
      </c>
      <c r="AK73" s="73">
        <f t="shared" si="11"/>
        <v>14.18013821</v>
      </c>
      <c r="AL73" s="11"/>
      <c r="AM73" s="51">
        <f t="shared" si="12"/>
        <v>1275.439396</v>
      </c>
      <c r="AN73" s="51" t="str">
        <f t="array" ref="AN73">XLOOKUP(D73,RUC!$B$3:$B$565,RUC!$M$3:$M$565)</f>
        <v>Melchor Vera</v>
      </c>
      <c r="AO73" s="131" t="s">
        <v>547</v>
      </c>
      <c r="AP73" s="57" t="s">
        <v>1902</v>
      </c>
      <c r="AQ73" s="57" t="s">
        <v>1903</v>
      </c>
    </row>
    <row r="74" ht="15.0" customHeight="1">
      <c r="A74" s="116" t="s">
        <v>1907</v>
      </c>
      <c r="B74" s="56">
        <v>45965.0</v>
      </c>
      <c r="C74" s="182">
        <v>45957.0</v>
      </c>
      <c r="D74" s="57" t="s">
        <v>146</v>
      </c>
      <c r="E74" s="3">
        <f t="array" ref="E74">XLOOKUP(D74,RUC!$B$3:$B$110,RUC!$D$3:$D$110)</f>
        <v>20517242919</v>
      </c>
      <c r="G74" s="141">
        <v>45.0</v>
      </c>
      <c r="H74" s="3" t="s">
        <v>47</v>
      </c>
      <c r="I74" s="6">
        <v>4.42</v>
      </c>
      <c r="J74" s="58">
        <v>1.35</v>
      </c>
      <c r="K74" s="6">
        <f t="shared" si="2"/>
        <v>4.36</v>
      </c>
      <c r="L74" s="3">
        <v>0.129</v>
      </c>
      <c r="M74" s="3">
        <v>0.114</v>
      </c>
      <c r="N74" s="62">
        <f t="shared" si="41"/>
        <v>0.114</v>
      </c>
      <c r="O74" s="60">
        <f t="shared" si="36"/>
        <v>0.114</v>
      </c>
      <c r="P74" s="63">
        <v>85.0</v>
      </c>
      <c r="Q74" s="58">
        <v>90.7</v>
      </c>
      <c r="R74" s="65">
        <v>3970.8</v>
      </c>
      <c r="S74" s="133">
        <v>95.0</v>
      </c>
      <c r="U74" s="67">
        <f t="array" ref="U74">XLOOKUP(D74,RUC!$B$3:$B$110,RUC!$F$3:$F$110)</f>
        <v>80</v>
      </c>
      <c r="V74" s="67">
        <v>1.1023</v>
      </c>
      <c r="Y74" s="57" t="str">
        <f t="array" ref="Y74">XLOOKUP(D74,RUC!$B$3:$B$110,RUC!$G$3:$G$110)</f>
        <v/>
      </c>
      <c r="Z74" s="69">
        <f t="array" ref="Z74">XLOOKUP(D74,RUC!$B$3:$B$110,RUC!$H$3:$H$110)</f>
        <v>10</v>
      </c>
      <c r="AA74" s="70">
        <f t="shared" si="4"/>
        <v>10</v>
      </c>
      <c r="AB74" s="71">
        <f t="shared" si="38"/>
        <v>299.8460146</v>
      </c>
      <c r="AC74" s="71">
        <f>+(S74-T74)*V74-'data 1'!$F$4</f>
        <v>24.7185</v>
      </c>
      <c r="AD74" s="71">
        <f t="shared" si="5"/>
        <v>31.53575846</v>
      </c>
      <c r="AE74" s="71">
        <f t="shared" si="6"/>
        <v>-58.977</v>
      </c>
      <c r="AF74" s="71">
        <f t="shared" si="7"/>
        <v>58.34951637</v>
      </c>
      <c r="AG74" s="72">
        <f t="shared" si="40"/>
        <v>125.6267748</v>
      </c>
      <c r="AH74" s="193">
        <f t="shared" si="8"/>
        <v>17.49</v>
      </c>
      <c r="AI74" s="193">
        <f t="shared" si="9"/>
        <v>19.283</v>
      </c>
      <c r="AJ74" s="73">
        <f t="shared" si="10"/>
        <v>7.635166488</v>
      </c>
      <c r="AK74" s="73">
        <f t="shared" si="11"/>
        <v>14.48502788</v>
      </c>
      <c r="AL74" s="11"/>
      <c r="AM74" s="51">
        <f t="shared" si="12"/>
        <v>1307.328624</v>
      </c>
      <c r="AN74" s="51" t="str">
        <f t="array" ref="AN74">XLOOKUP(D74,RUC!$B$3:$B$565,RUC!$M$3:$M$565)</f>
        <v>Melchor Vera</v>
      </c>
      <c r="AO74" s="131" t="s">
        <v>547</v>
      </c>
      <c r="AP74" s="57" t="s">
        <v>1902</v>
      </c>
      <c r="AQ74" s="57" t="s">
        <v>1903</v>
      </c>
    </row>
    <row r="75" ht="15.0" customHeight="1">
      <c r="A75" s="116" t="s">
        <v>1908</v>
      </c>
      <c r="B75" s="56">
        <v>45965.0</v>
      </c>
      <c r="C75" s="182">
        <v>45957.0</v>
      </c>
      <c r="D75" s="57" t="s">
        <v>146</v>
      </c>
      <c r="E75" s="3">
        <f t="array" ref="E75">XLOOKUP(D75,RUC!$B$3:$B$110,RUC!$D$3:$D$110)</f>
        <v>20517242919</v>
      </c>
      <c r="G75" s="141">
        <v>24.0</v>
      </c>
      <c r="H75" s="3" t="s">
        <v>47</v>
      </c>
      <c r="I75" s="6">
        <v>2.14</v>
      </c>
      <c r="J75" s="58">
        <v>1.2</v>
      </c>
      <c r="K75" s="6">
        <f t="shared" si="2"/>
        <v>2.114</v>
      </c>
      <c r="L75" s="3">
        <v>0.134</v>
      </c>
      <c r="M75" s="3">
        <v>0.119</v>
      </c>
      <c r="N75" s="62">
        <f t="shared" si="41"/>
        <v>0.119</v>
      </c>
      <c r="O75" s="60">
        <f t="shared" si="36"/>
        <v>0.119</v>
      </c>
      <c r="P75" s="63">
        <v>85.0</v>
      </c>
      <c r="Q75" s="58">
        <v>97.76</v>
      </c>
      <c r="R75" s="65">
        <v>3970.8</v>
      </c>
      <c r="S75" s="133">
        <v>95.0</v>
      </c>
      <c r="U75" s="67">
        <f t="array" ref="U75">XLOOKUP(D75,RUC!$B$3:$B$110,RUC!$F$3:$F$110)</f>
        <v>80</v>
      </c>
      <c r="V75" s="67">
        <v>1.1023</v>
      </c>
      <c r="Y75" s="57" t="str">
        <f t="array" ref="Y75">XLOOKUP(D75,RUC!$B$3:$B$110,RUC!$G$3:$G$110)</f>
        <v/>
      </c>
      <c r="Z75" s="69">
        <f t="array" ref="Z75">XLOOKUP(D75,RUC!$B$3:$B$110,RUC!$H$3:$H$110)</f>
        <v>10</v>
      </c>
      <c r="AA75" s="70">
        <f t="shared" si="4"/>
        <v>10</v>
      </c>
      <c r="AB75" s="71">
        <f t="shared" si="38"/>
        <v>318.0735372</v>
      </c>
      <c r="AC75" s="71">
        <f>+(S75-T75)*V75-'data 1'!$F$4</f>
        <v>24.7185</v>
      </c>
      <c r="AD75" s="71">
        <f t="shared" si="5"/>
        <v>73.33211104</v>
      </c>
      <c r="AE75" s="71">
        <f t="shared" si="6"/>
        <v>-58.977</v>
      </c>
      <c r="AF75" s="71">
        <f t="shared" si="7"/>
        <v>62.89138611</v>
      </c>
      <c r="AG75" s="72">
        <f t="shared" si="40"/>
        <v>171.9649971</v>
      </c>
      <c r="AH75" s="193">
        <f t="shared" si="8"/>
        <v>9.495</v>
      </c>
      <c r="AI75" s="193">
        <f t="shared" si="9"/>
        <v>9.712</v>
      </c>
      <c r="AJ75" s="73">
        <f t="shared" si="10"/>
        <v>8.54845255</v>
      </c>
      <c r="AK75" s="73">
        <f t="shared" si="11"/>
        <v>7.331282241</v>
      </c>
      <c r="AL75" s="11"/>
      <c r="AM75" s="51">
        <f t="shared" si="12"/>
        <v>672.4074576</v>
      </c>
      <c r="AN75" s="51" t="str">
        <f t="array" ref="AN75">XLOOKUP(D75,RUC!$B$3:$B$565,RUC!$M$3:$M$565)</f>
        <v>Melchor Vera</v>
      </c>
      <c r="AO75" s="131" t="s">
        <v>547</v>
      </c>
      <c r="AP75" s="57" t="s">
        <v>1902</v>
      </c>
      <c r="AQ75" s="57" t="s">
        <v>1903</v>
      </c>
    </row>
    <row r="76" ht="15.0" customHeight="1">
      <c r="A76" s="116" t="s">
        <v>1909</v>
      </c>
      <c r="B76" s="56">
        <v>45965.0</v>
      </c>
      <c r="C76" s="182">
        <v>45957.0</v>
      </c>
      <c r="D76" s="57" t="s">
        <v>146</v>
      </c>
      <c r="E76" s="3">
        <f t="array" ref="E76">XLOOKUP(D76,RUC!$B$3:$B$110,RUC!$D$3:$D$110)</f>
        <v>20517242919</v>
      </c>
      <c r="G76" s="141">
        <v>91.0</v>
      </c>
      <c r="H76" s="3" t="s">
        <v>47</v>
      </c>
      <c r="I76" s="6">
        <v>8.19</v>
      </c>
      <c r="J76" s="58">
        <v>1.2</v>
      </c>
      <c r="K76" s="6">
        <f t="shared" si="2"/>
        <v>8.092</v>
      </c>
      <c r="L76" s="3">
        <v>0.169</v>
      </c>
      <c r="M76" s="3">
        <v>0.154</v>
      </c>
      <c r="N76" s="75">
        <v>0.179</v>
      </c>
      <c r="O76" s="60">
        <f t="shared" si="36"/>
        <v>0.167</v>
      </c>
      <c r="P76" s="63">
        <v>85.0</v>
      </c>
      <c r="Q76" s="58">
        <v>94.08</v>
      </c>
      <c r="R76" s="65">
        <v>3970.8</v>
      </c>
      <c r="S76" s="133">
        <v>95.0</v>
      </c>
      <c r="U76" s="67">
        <f t="array" ref="U76">XLOOKUP(D76,RUC!$B$3:$B$110,RUC!$F$3:$F$110)</f>
        <v>80</v>
      </c>
      <c r="V76" s="67">
        <v>1.1023</v>
      </c>
      <c r="Y76" s="57" t="str">
        <f t="array" ref="Y76">XLOOKUP(D76,RUC!$B$3:$B$110,RUC!$G$3:$G$110)</f>
        <v/>
      </c>
      <c r="Z76" s="69">
        <f t="array" ref="Z76">XLOOKUP(D76,RUC!$B$3:$B$110,RUC!$H$3:$H$110)</f>
        <v>10</v>
      </c>
      <c r="AA76" s="70">
        <f t="shared" si="4"/>
        <v>10</v>
      </c>
      <c r="AB76" s="71">
        <f t="shared" si="38"/>
        <v>493.0577538</v>
      </c>
      <c r="AC76" s="71">
        <f>+(S76-T76)*V76-'data 1'!$F$4</f>
        <v>24.7185</v>
      </c>
      <c r="AD76" s="71">
        <f t="shared" si="5"/>
        <v>65.81293632</v>
      </c>
      <c r="AE76" s="71">
        <f t="shared" si="6"/>
        <v>-58.977</v>
      </c>
      <c r="AF76" s="71">
        <f t="shared" si="7"/>
        <v>8.069860345</v>
      </c>
      <c r="AG76" s="72">
        <f t="shared" si="40"/>
        <v>109.6242967</v>
      </c>
      <c r="AH76" s="193">
        <f t="shared" si="8"/>
        <v>44.111</v>
      </c>
      <c r="AI76" s="193">
        <f t="shared" si="9"/>
        <v>46.887</v>
      </c>
      <c r="AJ76" s="73">
        <f t="shared" si="10"/>
        <v>10.37541621</v>
      </c>
      <c r="AK76" s="73">
        <f t="shared" si="11"/>
        <v>39.38223327</v>
      </c>
      <c r="AL76" s="11"/>
      <c r="AM76" s="51">
        <f t="shared" si="12"/>
        <v>3989.823344</v>
      </c>
      <c r="AN76" s="51" t="str">
        <f t="array" ref="AN76">XLOOKUP(D76,RUC!$B$3:$B$565,RUC!$M$3:$M$565)</f>
        <v>Melchor Vera</v>
      </c>
      <c r="AO76" s="131" t="s">
        <v>547</v>
      </c>
      <c r="AP76" s="57" t="s">
        <v>1902</v>
      </c>
      <c r="AQ76" s="57" t="s">
        <v>1903</v>
      </c>
    </row>
    <row r="77" ht="15.0" customHeight="1">
      <c r="A77" s="116" t="s">
        <v>1910</v>
      </c>
      <c r="B77" s="56">
        <v>45963.0</v>
      </c>
      <c r="C77" s="182">
        <v>45958.0</v>
      </c>
      <c r="D77" s="2" t="s">
        <v>665</v>
      </c>
      <c r="E77" s="3">
        <f t="array" ref="E77">XLOOKUP(D77,RUC!$B$3:$B$110,RUC!$D$3:$D$110)</f>
        <v>20608774000</v>
      </c>
      <c r="G77" s="141">
        <v>22.0</v>
      </c>
      <c r="H77" s="3" t="s">
        <v>47</v>
      </c>
      <c r="I77" s="6">
        <v>2.26</v>
      </c>
      <c r="J77" s="58">
        <v>2.7</v>
      </c>
      <c r="K77" s="6">
        <f t="shared" si="2"/>
        <v>2.199</v>
      </c>
      <c r="L77" s="3">
        <v>0.246</v>
      </c>
      <c r="M77" s="3">
        <v>0.231</v>
      </c>
      <c r="N77" s="62">
        <f t="shared" ref="N77:N82" si="42">+M77</f>
        <v>0.231</v>
      </c>
      <c r="O77" s="60">
        <f t="shared" si="36"/>
        <v>0.231</v>
      </c>
      <c r="P77" s="63">
        <v>90.0</v>
      </c>
      <c r="Q77" s="58">
        <v>94.72</v>
      </c>
      <c r="R77" s="65">
        <v>3948.5</v>
      </c>
      <c r="S77" s="66">
        <f t="array" ref="S77">IF((XLOOKUP(D77,RUC!$B$3:$B$106,RUC!$E$3:$E$106)+ROUNDDOWN(O77,1)*100)&lt;95,95,((XLOOKUP(D77,RUC!$B$3:$B$106,RUC!$E$3:$E$106)+ROUNDDOWN(O77,1)*100)))</f>
        <v>105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140">
        <v>35.0</v>
      </c>
      <c r="AA77" s="70">
        <f t="shared" si="4"/>
        <v>55</v>
      </c>
      <c r="AB77" s="71">
        <f t="shared" si="38"/>
        <v>701.0023388</v>
      </c>
      <c r="AC77" s="71">
        <f>+(S77-T77)*V77-'data 1'!$F$4</f>
        <v>35.7415</v>
      </c>
      <c r="AD77" s="71">
        <f t="shared" si="5"/>
        <v>49.00107012</v>
      </c>
      <c r="AE77" s="71">
        <f t="shared" si="6"/>
        <v>-9.3735</v>
      </c>
      <c r="AF77" s="71">
        <f t="shared" si="7"/>
        <v>59.95997005</v>
      </c>
      <c r="AG77" s="72">
        <f t="shared" ref="AG77:AG87" si="43">AC77+AD77+AE77+AF77+70-53</f>
        <v>152.3290402</v>
      </c>
      <c r="AH77" s="193">
        <f t="shared" si="8"/>
        <v>17.568</v>
      </c>
      <c r="AI77" s="193">
        <f t="shared" si="9"/>
        <v>18.547</v>
      </c>
      <c r="AJ77" s="73">
        <f t="shared" si="10"/>
        <v>31.20706186</v>
      </c>
      <c r="AK77" s="73">
        <f t="shared" si="11"/>
        <v>15.67432285</v>
      </c>
      <c r="AL77" s="11"/>
      <c r="AM77" s="51">
        <f t="shared" si="12"/>
        <v>1541.504143</v>
      </c>
      <c r="AN77" s="51" t="str">
        <f t="array" ref="AN77">XLOOKUP(D77,RUC!$B$3:$B$565,RUC!$M$3:$M$565)</f>
        <v>Ronald Miranda</v>
      </c>
      <c r="AO77" s="131" t="s">
        <v>551</v>
      </c>
      <c r="AP77" s="57" t="s">
        <v>1911</v>
      </c>
      <c r="AQ77" s="57" t="s">
        <v>1372</v>
      </c>
    </row>
    <row r="78" ht="15.0" customHeight="1">
      <c r="A78" s="116" t="s">
        <v>1912</v>
      </c>
      <c r="B78" s="56">
        <v>45963.0</v>
      </c>
      <c r="C78" s="182">
        <v>45958.0</v>
      </c>
      <c r="D78" s="2" t="s">
        <v>665</v>
      </c>
      <c r="E78" s="3">
        <f t="array" ref="E78">XLOOKUP(D78,RUC!$B$3:$B$110,RUC!$D$3:$D$110)</f>
        <v>20608774000</v>
      </c>
      <c r="G78" s="141">
        <v>18.0</v>
      </c>
      <c r="H78" s="3" t="s">
        <v>47</v>
      </c>
      <c r="I78" s="6">
        <v>1.37</v>
      </c>
      <c r="J78" s="58">
        <v>1.3</v>
      </c>
      <c r="K78" s="6">
        <f t="shared" si="2"/>
        <v>1.352</v>
      </c>
      <c r="L78" s="3">
        <v>1.068</v>
      </c>
      <c r="M78" s="3">
        <v>1.015</v>
      </c>
      <c r="N78" s="62">
        <f t="shared" si="42"/>
        <v>1.015</v>
      </c>
      <c r="O78" s="60">
        <f t="shared" si="36"/>
        <v>1.015</v>
      </c>
      <c r="P78" s="63">
        <v>90.0</v>
      </c>
      <c r="Q78" s="58">
        <v>94.85</v>
      </c>
      <c r="R78" s="65">
        <v>3948.5</v>
      </c>
      <c r="S78" s="66">
        <f t="array" ref="S78">IF((XLOOKUP(D78,RUC!$B$3:$B$106,RUC!$E$3:$E$106)+ROUNDDOWN(O78,1)*100)&lt;95,95,((XLOOKUP(D78,RUC!$B$3:$B$106,RUC!$E$3:$E$106)+ROUNDDOWN(O78,1)*100)))</f>
        <v>185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140">
        <v>35.0</v>
      </c>
      <c r="AA78" s="70">
        <f t="shared" si="4"/>
        <v>55</v>
      </c>
      <c r="AB78" s="71">
        <f t="shared" si="38"/>
        <v>3590.560095</v>
      </c>
      <c r="AC78" s="71">
        <f>+(S78-T78)*V78-'data 1'!$F$4</f>
        <v>123.9255</v>
      </c>
      <c r="AD78" s="71">
        <f t="shared" si="5"/>
        <v>218.5956172</v>
      </c>
      <c r="AE78" s="71">
        <f t="shared" si="6"/>
        <v>-9.3735</v>
      </c>
      <c r="AF78" s="71">
        <f t="shared" si="7"/>
        <v>212.1493296</v>
      </c>
      <c r="AG78" s="72">
        <f t="shared" si="43"/>
        <v>562.2969468</v>
      </c>
      <c r="AH78" s="193">
        <f t="shared" si="8"/>
        <v>46.956</v>
      </c>
      <c r="AI78" s="193">
        <f t="shared" si="9"/>
        <v>49.506</v>
      </c>
      <c r="AJ78" s="73">
        <f t="shared" si="10"/>
        <v>135.670265</v>
      </c>
      <c r="AK78" s="73">
        <f t="shared" si="11"/>
        <v>42.34423708</v>
      </c>
      <c r="AL78" s="11"/>
      <c r="AM78" s="51">
        <f t="shared" si="12"/>
        <v>4854.437248</v>
      </c>
      <c r="AN78" s="51" t="str">
        <f t="array" ref="AN78">XLOOKUP(D78,RUC!$B$3:$B$565,RUC!$M$3:$M$565)</f>
        <v>Ronald Miranda</v>
      </c>
      <c r="AO78" s="131" t="s">
        <v>549</v>
      </c>
      <c r="AP78" s="57" t="s">
        <v>1911</v>
      </c>
      <c r="AQ78" s="57" t="s">
        <v>1372</v>
      </c>
    </row>
    <row r="79" ht="15.0" customHeight="1">
      <c r="A79" s="116" t="s">
        <v>1913</v>
      </c>
      <c r="B79" s="56">
        <v>45963.0</v>
      </c>
      <c r="C79" s="182">
        <v>45958.0</v>
      </c>
      <c r="D79" s="2" t="s">
        <v>602</v>
      </c>
      <c r="E79" s="3">
        <f t="array" ref="E79">XLOOKUP(D79,RUC!$B$3:$B$110,RUC!$D$3:$D$110)</f>
        <v>20169040231</v>
      </c>
      <c r="G79" s="141">
        <v>44.0</v>
      </c>
      <c r="H79" s="3" t="s">
        <v>47</v>
      </c>
      <c r="I79" s="6">
        <v>4.49</v>
      </c>
      <c r="J79" s="58">
        <v>1.25</v>
      </c>
      <c r="K79" s="6">
        <f t="shared" si="2"/>
        <v>4.434</v>
      </c>
      <c r="L79" s="60">
        <v>0.156</v>
      </c>
      <c r="M79" s="3">
        <v>0.141</v>
      </c>
      <c r="N79" s="62">
        <f t="shared" si="42"/>
        <v>0.141</v>
      </c>
      <c r="O79" s="60">
        <f t="shared" si="36"/>
        <v>0.141</v>
      </c>
      <c r="P79" s="63">
        <v>85.0</v>
      </c>
      <c r="Q79" s="58">
        <v>87.82</v>
      </c>
      <c r="R79" s="65">
        <v>3948.5</v>
      </c>
      <c r="S79" s="66">
        <f t="array" ref="S79">IF((XLOOKUP(D79,RUC!$B$3:$B$106,RUC!$E$3:$E$106)+ROUNDDOWN(O79,1)*100)&lt;95,95,((XLOOKUP(D79,RUC!$B$3:$B$106,RUC!$E$3:$E$106)+ROUNDDOWN(O79,1)*100)))</f>
        <v>95</v>
      </c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140">
        <v>35.0</v>
      </c>
      <c r="AA79" s="70">
        <f t="shared" si="4"/>
        <v>55</v>
      </c>
      <c r="AB79" s="71">
        <f t="shared" si="38"/>
        <v>340.4406427</v>
      </c>
      <c r="AC79" s="71">
        <f>+(S79-T79)*V79-'data 1'!$F$4</f>
        <v>24.7185</v>
      </c>
      <c r="AD79" s="71">
        <f t="shared" si="5"/>
        <v>18.5653083</v>
      </c>
      <c r="AE79" s="71">
        <f t="shared" si="6"/>
        <v>-9.3735</v>
      </c>
      <c r="AF79" s="71">
        <f t="shared" si="7"/>
        <v>55.59210906</v>
      </c>
      <c r="AG79" s="72">
        <f t="shared" si="43"/>
        <v>106.5024174</v>
      </c>
      <c r="AH79" s="193">
        <f t="shared" si="8"/>
        <v>20.827</v>
      </c>
      <c r="AI79" s="193">
        <f t="shared" si="9"/>
        <v>23.715</v>
      </c>
      <c r="AJ79" s="73">
        <f t="shared" si="10"/>
        <v>18.34822751</v>
      </c>
      <c r="AK79" s="73">
        <f t="shared" si="11"/>
        <v>18.21976606</v>
      </c>
      <c r="AL79" s="11"/>
      <c r="AM79" s="51">
        <f t="shared" si="12"/>
        <v>1509.51381</v>
      </c>
      <c r="AN79" s="51" t="str">
        <f t="array" ref="AN79">XLOOKUP(D79,RUC!$B$3:$B$565,RUC!$M$3:$M$565)</f>
        <v>Ronald Miranda</v>
      </c>
      <c r="AO79" s="131" t="s">
        <v>549</v>
      </c>
      <c r="AP79" s="57" t="s">
        <v>1914</v>
      </c>
      <c r="AQ79" s="57" t="s">
        <v>1571</v>
      </c>
    </row>
    <row r="80" ht="15.0" customHeight="1">
      <c r="A80" s="116" t="s">
        <v>1915</v>
      </c>
      <c r="B80" s="56">
        <v>45963.0</v>
      </c>
      <c r="C80" s="182">
        <v>45958.0</v>
      </c>
      <c r="D80" s="2" t="s">
        <v>602</v>
      </c>
      <c r="E80" s="3">
        <f t="array" ref="E80">XLOOKUP(D80,RUC!$B$3:$B$110,RUC!$D$3:$D$110)</f>
        <v>20169040231</v>
      </c>
      <c r="G80" s="141">
        <v>45.0</v>
      </c>
      <c r="H80" s="3" t="s">
        <v>47</v>
      </c>
      <c r="I80" s="6">
        <v>4.7</v>
      </c>
      <c r="J80" s="58">
        <v>1.2</v>
      </c>
      <c r="K80" s="6">
        <f t="shared" si="2"/>
        <v>4.644</v>
      </c>
      <c r="L80" s="60">
        <v>0.164</v>
      </c>
      <c r="M80" s="3">
        <v>0.149</v>
      </c>
      <c r="N80" s="62">
        <f t="shared" si="42"/>
        <v>0.149</v>
      </c>
      <c r="O80" s="60">
        <f t="shared" si="36"/>
        <v>0.149</v>
      </c>
      <c r="P80" s="63">
        <v>85.0</v>
      </c>
      <c r="Q80" s="58">
        <v>87.8</v>
      </c>
      <c r="R80" s="65">
        <v>3948.5</v>
      </c>
      <c r="S80" s="66">
        <f t="array" ref="S80">IF((XLOOKUP(D80,RUC!$B$3:$B$106,RUC!$E$3:$E$106)+ROUNDDOWN(O80,1)*100)&lt;95,95,((XLOOKUP(D80,RUC!$B$3:$B$106,RUC!$E$3:$E$106)+ROUNDDOWN(O80,1)*100)))</f>
        <v>95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140">
        <v>35.0</v>
      </c>
      <c r="AA80" s="70">
        <f t="shared" si="4"/>
        <v>55</v>
      </c>
      <c r="AB80" s="71">
        <f t="shared" si="38"/>
        <v>369.1377004</v>
      </c>
      <c r="AC80" s="71">
        <f>+(S80-T80)*V80-'data 1'!$F$4</f>
        <v>24.7185</v>
      </c>
      <c r="AD80" s="71">
        <f t="shared" si="5"/>
        <v>19.37895429</v>
      </c>
      <c r="AE80" s="71">
        <f t="shared" si="6"/>
        <v>-9.3735</v>
      </c>
      <c r="AF80" s="71">
        <f t="shared" si="7"/>
        <v>55.57944859</v>
      </c>
      <c r="AG80" s="72">
        <f t="shared" si="43"/>
        <v>107.3034029</v>
      </c>
      <c r="AH80" s="193">
        <f t="shared" si="8"/>
        <v>22.927</v>
      </c>
      <c r="AI80" s="193">
        <f t="shared" si="9"/>
        <v>26.112</v>
      </c>
      <c r="AJ80" s="73">
        <f t="shared" si="10"/>
        <v>19.28476936</v>
      </c>
      <c r="AK80" s="73">
        <f t="shared" si="11"/>
        <v>20.16538298</v>
      </c>
      <c r="AL80" s="11"/>
      <c r="AM80" s="51">
        <f t="shared" si="12"/>
        <v>1714.275481</v>
      </c>
      <c r="AN80" s="51" t="str">
        <f t="array" ref="AN80">XLOOKUP(D80,RUC!$B$3:$B$565,RUC!$M$3:$M$565)</f>
        <v>Ronald Miranda</v>
      </c>
      <c r="AO80" s="131" t="s">
        <v>549</v>
      </c>
      <c r="AP80" s="57" t="s">
        <v>1914</v>
      </c>
      <c r="AQ80" s="57" t="s">
        <v>1571</v>
      </c>
    </row>
    <row r="81" ht="15.0" customHeight="1">
      <c r="A81" s="116" t="s">
        <v>1916</v>
      </c>
      <c r="B81" s="56">
        <v>45963.0</v>
      </c>
      <c r="C81" s="182">
        <v>45958.0</v>
      </c>
      <c r="D81" s="2" t="s">
        <v>602</v>
      </c>
      <c r="E81" s="3">
        <f t="array" ref="E81">XLOOKUP(D81,RUC!$B$3:$B$110,RUC!$D$3:$D$110)</f>
        <v>20169040231</v>
      </c>
      <c r="G81" s="141">
        <v>66.0</v>
      </c>
      <c r="H81" s="3" t="s">
        <v>47</v>
      </c>
      <c r="I81" s="6">
        <v>6.38</v>
      </c>
      <c r="J81" s="58">
        <v>1.15</v>
      </c>
      <c r="K81" s="6">
        <f t="shared" si="2"/>
        <v>6.307</v>
      </c>
      <c r="L81" s="60">
        <v>0.15</v>
      </c>
      <c r="M81" s="3">
        <v>0.135</v>
      </c>
      <c r="N81" s="62">
        <f t="shared" si="42"/>
        <v>0.135</v>
      </c>
      <c r="O81" s="60">
        <f t="shared" si="36"/>
        <v>0.135</v>
      </c>
      <c r="P81" s="63">
        <v>85.0</v>
      </c>
      <c r="Q81" s="58">
        <v>91.33</v>
      </c>
      <c r="R81" s="65">
        <v>3948.5</v>
      </c>
      <c r="S81" s="66">
        <f t="array" ref="S81">IF((XLOOKUP(D81,RUC!$B$3:$B$106,RUC!$E$3:$E$106)+ROUNDDOWN(O81,1)*100)&lt;95,95,((XLOOKUP(D81,RUC!$B$3:$B$106,RUC!$E$3:$E$106)+ROUNDDOWN(O81,1)*100)))</f>
        <v>95</v>
      </c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140">
        <v>35.0</v>
      </c>
      <c r="AA81" s="70">
        <f t="shared" si="4"/>
        <v>55</v>
      </c>
      <c r="AB81" s="71">
        <f t="shared" si="38"/>
        <v>318.9178494</v>
      </c>
      <c r="AC81" s="71">
        <f>+(S81-T81)*V81-'data 1'!$F$4</f>
        <v>24.7185</v>
      </c>
      <c r="AD81" s="71">
        <f t="shared" si="5"/>
        <v>40.07037695</v>
      </c>
      <c r="AE81" s="71">
        <f t="shared" si="6"/>
        <v>-9.3735</v>
      </c>
      <c r="AF81" s="71">
        <f t="shared" si="7"/>
        <v>57.81402096</v>
      </c>
      <c r="AG81" s="72">
        <f t="shared" si="43"/>
        <v>130.2293979</v>
      </c>
      <c r="AH81" s="193">
        <f t="shared" si="8"/>
        <v>29.624</v>
      </c>
      <c r="AI81" s="193">
        <f t="shared" si="9"/>
        <v>32.436</v>
      </c>
      <c r="AJ81" s="73">
        <f t="shared" si="10"/>
        <v>18.347665</v>
      </c>
      <c r="AK81" s="73">
        <f t="shared" si="11"/>
        <v>24.81330389</v>
      </c>
      <c r="AL81" s="11"/>
      <c r="AM81" s="51">
        <f t="shared" si="12"/>
        <v>2011.414876</v>
      </c>
      <c r="AN81" s="51" t="str">
        <f t="array" ref="AN81">XLOOKUP(D81,RUC!$B$3:$B$565,RUC!$M$3:$M$565)</f>
        <v>Ronald Miranda</v>
      </c>
      <c r="AO81" s="131" t="s">
        <v>549</v>
      </c>
      <c r="AP81" s="57" t="s">
        <v>1914</v>
      </c>
      <c r="AQ81" s="57" t="s">
        <v>1571</v>
      </c>
    </row>
    <row r="82" ht="15.0" customHeight="1">
      <c r="A82" s="116" t="s">
        <v>1917</v>
      </c>
      <c r="B82" s="56">
        <v>45963.0</v>
      </c>
      <c r="C82" s="182">
        <v>45958.0</v>
      </c>
      <c r="D82" s="2" t="s">
        <v>602</v>
      </c>
      <c r="E82" s="3">
        <f t="array" ref="E82">XLOOKUP(D82,RUC!$B$3:$B$110,RUC!$D$3:$D$110)</f>
        <v>20169040231</v>
      </c>
      <c r="G82" s="141">
        <v>65.0</v>
      </c>
      <c r="H82" s="3" t="s">
        <v>47</v>
      </c>
      <c r="I82" s="6">
        <v>6.35</v>
      </c>
      <c r="J82" s="58">
        <v>1.25</v>
      </c>
      <c r="K82" s="6">
        <f t="shared" si="2"/>
        <v>6.271</v>
      </c>
      <c r="L82" s="60">
        <v>0.159</v>
      </c>
      <c r="M82" s="3">
        <v>0.144</v>
      </c>
      <c r="N82" s="62">
        <f t="shared" si="42"/>
        <v>0.144</v>
      </c>
      <c r="O82" s="60">
        <f t="shared" si="36"/>
        <v>0.144</v>
      </c>
      <c r="P82" s="63">
        <v>85.0</v>
      </c>
      <c r="Q82" s="58">
        <v>87.42</v>
      </c>
      <c r="R82" s="65">
        <v>3948.5</v>
      </c>
      <c r="S82" s="66">
        <f t="array" ref="S82">IF((XLOOKUP(D82,RUC!$B$3:$B$106,RUC!$E$3:$E$106)+ROUNDDOWN(O82,1)*100)&lt;95,95,((XLOOKUP(D82,RUC!$B$3:$B$106,RUC!$E$3:$E$106)+ROUNDDOWN(O82,1)*100)))</f>
        <v>95</v>
      </c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140">
        <v>35.0</v>
      </c>
      <c r="AA82" s="70">
        <f t="shared" si="4"/>
        <v>55</v>
      </c>
      <c r="AB82" s="71">
        <f t="shared" si="38"/>
        <v>351.2020393</v>
      </c>
      <c r="AC82" s="71">
        <f>+(S82-T82)*V82-'data 1'!$F$4</f>
        <v>24.7185</v>
      </c>
      <c r="AD82" s="71">
        <f t="shared" si="5"/>
        <v>16.23831453</v>
      </c>
      <c r="AE82" s="71">
        <f t="shared" si="6"/>
        <v>-9.3735</v>
      </c>
      <c r="AF82" s="71">
        <f t="shared" si="7"/>
        <v>55.33889973</v>
      </c>
      <c r="AG82" s="72">
        <f t="shared" si="43"/>
        <v>103.9222143</v>
      </c>
      <c r="AH82" s="193">
        <f t="shared" si="8"/>
        <v>29.885</v>
      </c>
      <c r="AI82" s="193">
        <f t="shared" si="9"/>
        <v>34.186</v>
      </c>
      <c r="AJ82" s="73">
        <f t="shared" si="10"/>
        <v>18.61589891</v>
      </c>
      <c r="AK82" s="73">
        <f t="shared" si="11"/>
        <v>26.31644902</v>
      </c>
      <c r="AL82" s="11"/>
      <c r="AM82" s="51">
        <f t="shared" si="12"/>
        <v>2202.387989</v>
      </c>
      <c r="AN82" s="51" t="str">
        <f t="array" ref="AN82">XLOOKUP(D82,RUC!$B$3:$B$565,RUC!$M$3:$M$565)</f>
        <v>Ronald Miranda</v>
      </c>
      <c r="AO82" s="131" t="s">
        <v>549</v>
      </c>
      <c r="AP82" s="57" t="s">
        <v>1914</v>
      </c>
      <c r="AQ82" s="57" t="s">
        <v>1571</v>
      </c>
    </row>
    <row r="83" ht="15.0" customHeight="1">
      <c r="A83" s="116" t="s">
        <v>1918</v>
      </c>
      <c r="B83" s="56">
        <v>45965.0</v>
      </c>
      <c r="C83" s="182">
        <v>45959.0</v>
      </c>
      <c r="D83" s="57" t="s">
        <v>602</v>
      </c>
      <c r="E83" s="3">
        <f t="array" ref="E83">XLOOKUP(D83,RUC!$B$3:$B$110,RUC!$D$3:$D$110)</f>
        <v>20169040231</v>
      </c>
      <c r="G83" s="141">
        <v>27.0</v>
      </c>
      <c r="H83" s="3" t="s">
        <v>71</v>
      </c>
      <c r="I83" s="6">
        <v>2.48</v>
      </c>
      <c r="J83" s="58">
        <v>1.4</v>
      </c>
      <c r="K83" s="6">
        <f t="shared" si="2"/>
        <v>2.445</v>
      </c>
      <c r="L83" s="3">
        <v>0.595</v>
      </c>
      <c r="M83" s="3">
        <v>0.565</v>
      </c>
      <c r="N83" s="75">
        <v>0.626</v>
      </c>
      <c r="O83" s="60">
        <f t="shared" si="36"/>
        <v>0.596</v>
      </c>
      <c r="P83" s="63">
        <v>90.0</v>
      </c>
      <c r="Q83" s="58">
        <v>94.12</v>
      </c>
      <c r="R83" s="65">
        <v>4006.7</v>
      </c>
      <c r="S83" s="66">
        <f t="array" ref="S83">IF((XLOOKUP(D83,RUC!$B$3:$B$106,RUC!$E$3:$E$106)+ROUNDDOWN(O83,1)*100)&lt;95,95,((XLOOKUP(D83,RUC!$B$3:$B$106,RUC!$E$3:$E$106)+ROUNDDOWN(O83,1)*100)))</f>
        <v>135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140">
        <v>35.0</v>
      </c>
      <c r="AA83" s="70">
        <f t="shared" si="4"/>
        <v>55</v>
      </c>
      <c r="AB83" s="71">
        <f t="shared" si="38"/>
        <v>2088.666568</v>
      </c>
      <c r="AC83" s="71">
        <f>+(S83-T83)*V83-'data 1'!$F$4</f>
        <v>68.8105</v>
      </c>
      <c r="AD83" s="71">
        <f t="shared" si="5"/>
        <v>105.0255609</v>
      </c>
      <c r="AE83" s="71">
        <f t="shared" si="6"/>
        <v>-9.3735</v>
      </c>
      <c r="AF83" s="71">
        <f t="shared" si="7"/>
        <v>-4.032392017</v>
      </c>
      <c r="AG83" s="72">
        <f t="shared" si="43"/>
        <v>177.4301689</v>
      </c>
      <c r="AH83" s="193">
        <f t="shared" si="8"/>
        <v>46.945</v>
      </c>
      <c r="AI83" s="193">
        <f t="shared" si="9"/>
        <v>49.878</v>
      </c>
      <c r="AJ83" s="73">
        <f t="shared" si="10"/>
        <v>39.07530726</v>
      </c>
      <c r="AK83" s="73">
        <f t="shared" si="11"/>
        <v>44.96521786</v>
      </c>
      <c r="AL83" s="11"/>
      <c r="AM83" s="51">
        <f t="shared" si="12"/>
        <v>5106.789758</v>
      </c>
      <c r="AN83" s="51" t="str">
        <f t="array" ref="AN83">XLOOKUP(D83,RUC!$B$3:$B$565,RUC!$M$3:$M$565)</f>
        <v>Ronald Miranda</v>
      </c>
      <c r="AO83" s="131" t="s">
        <v>549</v>
      </c>
      <c r="AP83" s="57" t="s">
        <v>1919</v>
      </c>
      <c r="AQ83" s="57" t="s">
        <v>1107</v>
      </c>
    </row>
    <row r="84" ht="15.0" customHeight="1">
      <c r="A84" s="116" t="s">
        <v>1920</v>
      </c>
      <c r="B84" s="56">
        <v>45966.0</v>
      </c>
      <c r="C84" s="182">
        <v>45959.0</v>
      </c>
      <c r="D84" s="57" t="s">
        <v>602</v>
      </c>
      <c r="E84" s="3">
        <f t="array" ref="E84">XLOOKUP(D84,RUC!$B$3:$B$110,RUC!$D$3:$D$110)</f>
        <v>20169040231</v>
      </c>
      <c r="G84" s="141">
        <v>24.0</v>
      </c>
      <c r="H84" s="3" t="s">
        <v>47</v>
      </c>
      <c r="I84" s="6">
        <v>2.05</v>
      </c>
      <c r="J84" s="58">
        <v>1.2</v>
      </c>
      <c r="K84" s="6">
        <f t="shared" si="2"/>
        <v>2.025</v>
      </c>
      <c r="L84" s="3">
        <v>0.267</v>
      </c>
      <c r="M84" s="3">
        <v>0.252</v>
      </c>
      <c r="N84" s="75">
        <v>0.329</v>
      </c>
      <c r="O84" s="60">
        <f t="shared" si="36"/>
        <v>0.291</v>
      </c>
      <c r="P84" s="63">
        <v>84.0</v>
      </c>
      <c r="Q84" s="58">
        <v>84.27</v>
      </c>
      <c r="R84" s="65">
        <v>4006.7</v>
      </c>
      <c r="S84" s="66">
        <f t="array" ref="S84">IF((XLOOKUP(D84,RUC!$B$3:$B$106,RUC!$E$3:$E$106)+ROUNDDOWN(O84,1)*100)&lt;95,95,((XLOOKUP(D84,RUC!$B$3:$B$106,RUC!$E$3:$E$106)+ROUNDDOWN(O84,1)*100)))</f>
        <v>105</v>
      </c>
      <c r="U84" s="67">
        <f t="array" ref="U84">XLOOKUP(D84,RUC!$B$3:$B$110,RUC!$F$3:$F$110)</f>
        <v>120</v>
      </c>
      <c r="V84" s="67">
        <v>1.1023</v>
      </c>
      <c r="Y84" s="57">
        <v>40.0</v>
      </c>
      <c r="Z84" s="140">
        <v>35.0</v>
      </c>
      <c r="AA84" s="70">
        <f t="shared" si="4"/>
        <v>75</v>
      </c>
      <c r="AB84" s="71">
        <f t="shared" si="38"/>
        <v>848.8425922</v>
      </c>
      <c r="AC84" s="71">
        <f>+(S84-T84)*V84-'data 1'!$F$4</f>
        <v>35.7415</v>
      </c>
      <c r="AD84" s="71">
        <f t="shared" si="5"/>
        <v>3.088558654</v>
      </c>
      <c r="AE84" s="71">
        <f t="shared" si="6"/>
        <v>12.6725</v>
      </c>
      <c r="AF84" s="71">
        <f t="shared" si="7"/>
        <v>-86.64930096</v>
      </c>
      <c r="AG84" s="72">
        <f t="shared" si="43"/>
        <v>-18.1467423</v>
      </c>
      <c r="AH84" s="193">
        <f t="shared" si="8"/>
        <v>15.621</v>
      </c>
      <c r="AI84" s="193">
        <f t="shared" si="9"/>
        <v>18.537</v>
      </c>
      <c r="AJ84" s="73">
        <f t="shared" si="10"/>
        <v>15.69957055</v>
      </c>
      <c r="AK84" s="73">
        <f t="shared" si="11"/>
        <v>16.97095852</v>
      </c>
      <c r="AL84" s="11"/>
      <c r="AM84" s="51">
        <f t="shared" si="12"/>
        <v>1718.906249</v>
      </c>
      <c r="AN84" s="51" t="str">
        <f t="array" ref="AN84">XLOOKUP(D84,RUC!$B$3:$B$565,RUC!$M$3:$M$565)</f>
        <v>Ronald Miranda</v>
      </c>
      <c r="AO84" s="131" t="s">
        <v>549</v>
      </c>
      <c r="AP84" s="57" t="s">
        <v>1919</v>
      </c>
      <c r="AQ84" s="57" t="s">
        <v>1107</v>
      </c>
      <c r="AR84" s="2" t="s">
        <v>1921</v>
      </c>
    </row>
    <row r="85" ht="15.0" customHeight="1">
      <c r="A85" s="116" t="s">
        <v>1922</v>
      </c>
      <c r="B85" s="56">
        <v>45966.0</v>
      </c>
      <c r="C85" s="182">
        <v>45959.0</v>
      </c>
      <c r="D85" s="57" t="s">
        <v>602</v>
      </c>
      <c r="E85" s="3">
        <f t="array" ref="E85">XLOOKUP(D85,RUC!$B$3:$B$110,RUC!$D$3:$D$110)</f>
        <v>20169040231</v>
      </c>
      <c r="G85" s="141">
        <v>73.0</v>
      </c>
      <c r="H85" s="3" t="s">
        <v>71</v>
      </c>
      <c r="I85" s="6">
        <v>7.4</v>
      </c>
      <c r="J85" s="58">
        <v>1.3</v>
      </c>
      <c r="K85" s="6">
        <f t="shared" si="2"/>
        <v>7.304</v>
      </c>
      <c r="L85" s="3">
        <v>0.166</v>
      </c>
      <c r="M85" s="3">
        <v>0.151</v>
      </c>
      <c r="N85" s="62">
        <f t="shared" ref="N85:N93" si="44">+M85</f>
        <v>0.151</v>
      </c>
      <c r="O85" s="60">
        <f t="shared" si="36"/>
        <v>0.151</v>
      </c>
      <c r="P85" s="63">
        <v>85.0</v>
      </c>
      <c r="Q85" s="58">
        <v>86.14</v>
      </c>
      <c r="R85" s="65">
        <v>4006.7</v>
      </c>
      <c r="S85" s="66">
        <f t="array" ref="S85">IF((XLOOKUP(D85,RUC!$B$3:$B$106,RUC!$E$3:$E$106)+ROUNDDOWN(O85,1)*100)&lt;95,95,((XLOOKUP(D85,RUC!$B$3:$B$106,RUC!$E$3:$E$106)+ROUNDDOWN(O85,1)*100)))</f>
        <v>95</v>
      </c>
      <c r="U85" s="67">
        <f t="array" ref="U85">XLOOKUP(D85,RUC!$B$3:$B$110,RUC!$F$3:$F$110)</f>
        <v>120</v>
      </c>
      <c r="V85" s="67">
        <v>1.1023</v>
      </c>
      <c r="Y85" s="57">
        <f t="array" ref="Y85">XLOOKUP(D85,RUC!$B$3:$B$110,RUC!$G$3:$G$110)</f>
        <v>20</v>
      </c>
      <c r="Z85" s="140">
        <v>35.0</v>
      </c>
      <c r="AA85" s="70">
        <f t="shared" si="4"/>
        <v>55</v>
      </c>
      <c r="AB85" s="71">
        <f t="shared" si="38"/>
        <v>384.5461128</v>
      </c>
      <c r="AC85" s="71">
        <f>+(S85-T85)*V85-'data 1'!$F$4</f>
        <v>24.7185</v>
      </c>
      <c r="AD85" s="71">
        <f t="shared" si="5"/>
        <v>8.107627127</v>
      </c>
      <c r="AE85" s="71">
        <f t="shared" si="6"/>
        <v>-9.3735</v>
      </c>
      <c r="AF85" s="71">
        <f t="shared" si="7"/>
        <v>55.35756189</v>
      </c>
      <c r="AG85" s="72">
        <f t="shared" si="43"/>
        <v>95.81018901</v>
      </c>
      <c r="AH85" s="193">
        <f t="shared" si="8"/>
        <v>35.808</v>
      </c>
      <c r="AI85" s="193">
        <f t="shared" si="9"/>
        <v>41.57</v>
      </c>
      <c r="AJ85" s="73">
        <f t="shared" si="10"/>
        <v>9.977379076</v>
      </c>
      <c r="AK85" s="73">
        <f t="shared" si="11"/>
        <v>32.14146788</v>
      </c>
      <c r="AL85" s="11"/>
      <c r="AM85" s="51">
        <f t="shared" si="12"/>
        <v>2808.724808</v>
      </c>
      <c r="AN85" s="51" t="str">
        <f t="array" ref="AN85">XLOOKUP(D85,RUC!$B$3:$B$565,RUC!$M$3:$M$565)</f>
        <v>Ronald Miranda</v>
      </c>
      <c r="AO85" s="131" t="s">
        <v>549</v>
      </c>
      <c r="AP85" s="57" t="s">
        <v>1919</v>
      </c>
      <c r="AQ85" s="57" t="s">
        <v>1107</v>
      </c>
    </row>
    <row r="86" ht="15.0" customHeight="1">
      <c r="A86" s="116" t="s">
        <v>1923</v>
      </c>
      <c r="B86" s="56">
        <v>45966.0</v>
      </c>
      <c r="C86" s="182">
        <v>45959.0</v>
      </c>
      <c r="D86" s="57" t="s">
        <v>602</v>
      </c>
      <c r="E86" s="3">
        <f t="array" ref="E86">XLOOKUP(D86,RUC!$B$3:$B$110,RUC!$D$3:$D$110)</f>
        <v>20169040231</v>
      </c>
      <c r="G86" s="141">
        <v>72.0</v>
      </c>
      <c r="H86" s="3" t="s">
        <v>71</v>
      </c>
      <c r="I86" s="6">
        <v>7.24</v>
      </c>
      <c r="J86" s="58">
        <v>1.35</v>
      </c>
      <c r="K86" s="6">
        <f t="shared" si="2"/>
        <v>7.142</v>
      </c>
      <c r="L86" s="3">
        <v>0.171</v>
      </c>
      <c r="M86" s="3">
        <v>0.156</v>
      </c>
      <c r="N86" s="62">
        <f t="shared" si="44"/>
        <v>0.156</v>
      </c>
      <c r="O86" s="60">
        <f t="shared" si="36"/>
        <v>0.156</v>
      </c>
      <c r="P86" s="63">
        <v>85.0</v>
      </c>
      <c r="Q86" s="58">
        <v>87.13</v>
      </c>
      <c r="R86" s="65">
        <v>4006.7</v>
      </c>
      <c r="S86" s="66">
        <f t="array" ref="S86">IF((XLOOKUP(D86,RUC!$B$3:$B$106,RUC!$E$3:$E$106)+ROUNDDOWN(O86,1)*100)&lt;95,95,((XLOOKUP(D86,RUC!$B$3:$B$106,RUC!$E$3:$E$106)+ROUNDDOWN(O86,1)*100)))</f>
        <v>95</v>
      </c>
      <c r="U86" s="67">
        <f t="array" ref="U86">XLOOKUP(D86,RUC!$B$3:$B$110,RUC!$F$3:$F$110)</f>
        <v>120</v>
      </c>
      <c r="V86" s="67">
        <v>1.1023</v>
      </c>
      <c r="Y86" s="57">
        <f t="array" ref="Y86">XLOOKUP(D86,RUC!$B$3:$B$110,RUC!$G$3:$G$110)</f>
        <v>20</v>
      </c>
      <c r="Z86" s="140">
        <v>35.0</v>
      </c>
      <c r="AA86" s="70">
        <f t="shared" si="4"/>
        <v>55</v>
      </c>
      <c r="AB86" s="71">
        <f t="shared" si="38"/>
        <v>402.7544278</v>
      </c>
      <c r="AC86" s="71">
        <f>+(S86-T86)*V86-'data 1'!$F$4</f>
        <v>24.7185</v>
      </c>
      <c r="AD86" s="71">
        <f t="shared" si="5"/>
        <v>15.60474016</v>
      </c>
      <c r="AE86" s="71">
        <f t="shared" si="6"/>
        <v>-9.3735</v>
      </c>
      <c r="AF86" s="71">
        <f t="shared" si="7"/>
        <v>55.99378183</v>
      </c>
      <c r="AG86" s="72">
        <f t="shared" si="43"/>
        <v>103.943522</v>
      </c>
      <c r="AH86" s="193">
        <f t="shared" si="8"/>
        <v>36.483</v>
      </c>
      <c r="AI86" s="193">
        <f t="shared" si="9"/>
        <v>41.872</v>
      </c>
      <c r="AJ86" s="73">
        <f t="shared" si="10"/>
        <v>10.39602564</v>
      </c>
      <c r="AK86" s="73">
        <f t="shared" si="11"/>
        <v>32.46926362</v>
      </c>
      <c r="AL86" s="11"/>
      <c r="AM86" s="51">
        <f t="shared" si="12"/>
        <v>2876.472123</v>
      </c>
      <c r="AN86" s="51" t="str">
        <f t="array" ref="AN86">XLOOKUP(D86,RUC!$B$3:$B$565,RUC!$M$3:$M$565)</f>
        <v>Ronald Miranda</v>
      </c>
      <c r="AO86" s="131" t="s">
        <v>549</v>
      </c>
      <c r="AP86" s="57" t="s">
        <v>1919</v>
      </c>
      <c r="AQ86" s="57" t="s">
        <v>1107</v>
      </c>
    </row>
    <row r="87" ht="15.0" customHeight="1">
      <c r="A87" s="116" t="s">
        <v>1924</v>
      </c>
      <c r="B87" s="56">
        <v>45966.0</v>
      </c>
      <c r="C87" s="182">
        <v>45960.0</v>
      </c>
      <c r="D87" s="57" t="s">
        <v>602</v>
      </c>
      <c r="E87" s="3">
        <f t="array" ref="E87">XLOOKUP(D87,RUC!$B$3:$B$110,RUC!$D$3:$D$110)</f>
        <v>20169040231</v>
      </c>
      <c r="G87" s="141">
        <v>80.0</v>
      </c>
      <c r="H87" s="3" t="s">
        <v>47</v>
      </c>
      <c r="I87" s="6">
        <v>7.44</v>
      </c>
      <c r="J87" s="58">
        <v>3.25</v>
      </c>
      <c r="K87" s="6">
        <f t="shared" si="2"/>
        <v>7.198</v>
      </c>
      <c r="L87" s="3">
        <v>0.165</v>
      </c>
      <c r="M87" s="60">
        <v>0.15</v>
      </c>
      <c r="N87" s="62">
        <f t="shared" si="44"/>
        <v>0.15</v>
      </c>
      <c r="O87" s="60">
        <f t="shared" si="36"/>
        <v>0.15</v>
      </c>
      <c r="P87" s="63">
        <v>85.0</v>
      </c>
      <c r="Q87" s="58">
        <v>89.09</v>
      </c>
      <c r="R87" s="65">
        <v>3994.15</v>
      </c>
      <c r="S87" s="66">
        <f t="array" ref="S87">IF((XLOOKUP(D87,RUC!$B$3:$B$106,RUC!$E$3:$E$106)+ROUNDDOWN(O87,1)*100)&lt;95,95,((XLOOKUP(D87,RUC!$B$3:$B$106,RUC!$E$3:$E$106)+ROUNDDOWN(O87,1)*100)))</f>
        <v>95</v>
      </c>
      <c r="U87" s="67">
        <f t="array" ref="U87">XLOOKUP(D87,RUC!$B$3:$B$110,RUC!$F$3:$F$110)</f>
        <v>120</v>
      </c>
      <c r="V87" s="67">
        <v>1.1023</v>
      </c>
      <c r="Y87" s="57">
        <f t="array" ref="Y87">XLOOKUP(D87,RUC!$B$3:$B$110,RUC!$G$3:$G$110)</f>
        <v>20</v>
      </c>
      <c r="Z87" s="69">
        <f t="array" ref="Z87">XLOOKUP(D87,RUC!$B$3:$B$110,RUC!$H$3:$H$110)</f>
        <v>30</v>
      </c>
      <c r="AA87" s="70">
        <f t="shared" si="4"/>
        <v>50</v>
      </c>
      <c r="AB87" s="71">
        <f t="shared" si="38"/>
        <v>384.652132</v>
      </c>
      <c r="AC87" s="71">
        <f>+(S87-T87)*V87-'data 1'!$F$4</f>
        <v>24.7185</v>
      </c>
      <c r="AD87" s="71">
        <f t="shared" si="5"/>
        <v>28.81930422</v>
      </c>
      <c r="AE87" s="71">
        <f t="shared" si="6"/>
        <v>-14.885</v>
      </c>
      <c r="AF87" s="71">
        <f t="shared" si="7"/>
        <v>57.06849995</v>
      </c>
      <c r="AG87" s="72">
        <f t="shared" si="43"/>
        <v>112.7213042</v>
      </c>
      <c r="AH87" s="193">
        <f t="shared" si="8"/>
        <v>36.277</v>
      </c>
      <c r="AI87" s="193">
        <f t="shared" si="9"/>
        <v>40.72</v>
      </c>
      <c r="AJ87" s="73">
        <f t="shared" si="10"/>
        <v>12.29046447</v>
      </c>
      <c r="AK87" s="73">
        <f t="shared" si="11"/>
        <v>31.46524346</v>
      </c>
      <c r="AL87" s="11"/>
      <c r="AM87" s="51">
        <f t="shared" si="12"/>
        <v>2768.726046</v>
      </c>
      <c r="AN87" s="51" t="str">
        <f t="array" ref="AN87">XLOOKUP(D87,RUC!$B$3:$B$565,RUC!$M$3:$M$565)</f>
        <v>Ronald Miranda</v>
      </c>
      <c r="AO87" s="131" t="s">
        <v>549</v>
      </c>
      <c r="AP87" s="57" t="s">
        <v>1925</v>
      </c>
      <c r="AQ87" s="57" t="s">
        <v>1926</v>
      </c>
    </row>
    <row r="88" ht="15.0" customHeight="1">
      <c r="A88" s="192" t="s">
        <v>1927</v>
      </c>
      <c r="B88" s="109">
        <v>45966.0</v>
      </c>
      <c r="C88" s="182">
        <v>45960.0</v>
      </c>
      <c r="D88" s="57" t="s">
        <v>602</v>
      </c>
      <c r="E88" s="3">
        <f t="array" ref="E88">XLOOKUP(D88,RUC!$B$3:$B$110,RUC!$D$3:$D$110)</f>
        <v>20169040231</v>
      </c>
      <c r="G88" s="141">
        <v>80.0</v>
      </c>
      <c r="H88" s="3" t="s">
        <v>47</v>
      </c>
      <c r="I88" s="6">
        <v>8.06</v>
      </c>
      <c r="J88" s="58">
        <v>6.3</v>
      </c>
      <c r="K88" s="6">
        <f t="shared" si="2"/>
        <v>7.552</v>
      </c>
      <c r="L88" s="60">
        <v>0.09</v>
      </c>
      <c r="M88" s="3">
        <v>0.075</v>
      </c>
      <c r="N88" s="62">
        <f t="shared" si="44"/>
        <v>0.075</v>
      </c>
      <c r="O88" s="60">
        <f t="shared" si="36"/>
        <v>0.075</v>
      </c>
      <c r="P88" s="63">
        <v>80.0</v>
      </c>
      <c r="Q88" s="58">
        <v>96.67</v>
      </c>
      <c r="R88" s="65">
        <v>3994.15</v>
      </c>
      <c r="S88" s="66">
        <f t="array" ref="S88">IF((XLOOKUP(D88,RUC!$B$3:$B$106,RUC!$E$3:$E$106)+ROUNDDOWN(O88,1)*100)&lt;95,95,((XLOOKUP(D88,RUC!$B$3:$B$106,RUC!$E$3:$E$106)+ROUNDDOWN(O88,1)*100)))</f>
        <v>95</v>
      </c>
      <c r="U88" s="67">
        <f t="array" ref="U88">XLOOKUP(D88,RUC!$B$3:$B$110,RUC!$F$3:$F$110)</f>
        <v>120</v>
      </c>
      <c r="V88" s="67">
        <v>1.1023</v>
      </c>
      <c r="Y88" s="57">
        <f t="array" ref="Y88">XLOOKUP(D88,RUC!$B$3:$B$110,RUC!$G$3:$G$110)</f>
        <v>20</v>
      </c>
      <c r="Z88" s="69">
        <f t="array" ref="Z88">XLOOKUP(D88,RUC!$B$3:$B$110,RUC!$H$3:$H$110)</f>
        <v>30</v>
      </c>
      <c r="AA88" s="70">
        <f t="shared" si="4"/>
        <v>50</v>
      </c>
      <c r="AB88" s="447">
        <v>0.001</v>
      </c>
      <c r="AC88" s="71">
        <f>+(S88-T88)*V88-'data 1'!$F$4</f>
        <v>24.7185</v>
      </c>
      <c r="AD88" s="71">
        <f t="shared" si="5"/>
        <v>64.0699446</v>
      </c>
      <c r="AE88" s="71">
        <f t="shared" si="6"/>
        <v>-14.885</v>
      </c>
      <c r="AF88" s="71">
        <f t="shared" si="7"/>
        <v>61.92403064</v>
      </c>
      <c r="AG88" s="72">
        <f>AC88+AD88+AE88+AF88+70-53+96</f>
        <v>248.8274752</v>
      </c>
      <c r="AH88" s="193">
        <f t="shared" si="8"/>
        <v>22.527</v>
      </c>
      <c r="AI88" s="193">
        <f t="shared" si="9"/>
        <v>23.303</v>
      </c>
      <c r="AJ88" s="73">
        <f t="shared" si="10"/>
        <v>7.274273413</v>
      </c>
      <c r="AK88" s="73">
        <f t="shared" si="11"/>
        <v>15.53539503</v>
      </c>
      <c r="AL88" s="11"/>
      <c r="AM88" s="51">
        <f t="shared" si="12"/>
        <v>0.007552</v>
      </c>
      <c r="AN88" s="51" t="str">
        <f t="array" ref="AN88">XLOOKUP(D88,RUC!$B$3:$B$565,RUC!$M$3:$M$565)</f>
        <v>Ronald Miranda</v>
      </c>
      <c r="AO88" s="131" t="s">
        <v>549</v>
      </c>
      <c r="AP88" s="57" t="s">
        <v>1925</v>
      </c>
      <c r="AQ88" s="57" t="s">
        <v>1926</v>
      </c>
    </row>
    <row r="89" ht="15.0" customHeight="1">
      <c r="A89" s="116" t="s">
        <v>1928</v>
      </c>
      <c r="B89" s="56">
        <v>45965.0</v>
      </c>
      <c r="C89" s="182">
        <v>45961.0</v>
      </c>
      <c r="D89" s="57" t="s">
        <v>306</v>
      </c>
      <c r="E89" s="3">
        <f t="array" ref="E89">XLOOKUP(D89,RUC!$B$3:$B$110,RUC!$D$3:$D$110)</f>
        <v>20612921866</v>
      </c>
      <c r="G89" s="141" t="s">
        <v>735</v>
      </c>
      <c r="H89" s="3" t="s">
        <v>47</v>
      </c>
      <c r="I89" s="6">
        <v>7.09</v>
      </c>
      <c r="J89" s="58">
        <v>1.3</v>
      </c>
      <c r="K89" s="6">
        <f t="shared" si="2"/>
        <v>6.998</v>
      </c>
      <c r="L89" s="3">
        <v>0.19</v>
      </c>
      <c r="M89" s="3">
        <v>0.175</v>
      </c>
      <c r="N89" s="62">
        <f t="shared" si="44"/>
        <v>0.175</v>
      </c>
      <c r="O89" s="60">
        <f t="shared" si="36"/>
        <v>0.175</v>
      </c>
      <c r="P89" s="63">
        <v>90.0</v>
      </c>
      <c r="Q89" s="58">
        <v>91.58</v>
      </c>
      <c r="R89" s="65">
        <v>4011.5</v>
      </c>
      <c r="S89" s="66">
        <f t="array" ref="S89">IF((XLOOKUP(D89,RUC!$B$3:$B$106,RUC!$E$3:$E$106)+ROUNDDOWN(O89,1)*100)&lt;95,95,((XLOOKUP(D89,RUC!$B$3:$B$106,RUC!$E$3:$E$106)+ROUNDDOWN(O89,1)*100)))</f>
        <v>95</v>
      </c>
      <c r="U89" s="67">
        <f t="array" ref="U89">XLOOKUP(D89,RUC!$B$3:$B$110,RUC!$F$3:$F$110)</f>
        <v>100</v>
      </c>
      <c r="V89" s="67">
        <v>1.1023</v>
      </c>
      <c r="Y89" s="57" t="str">
        <f t="array" ref="Y89">XLOOKUP(D89,RUC!$B$3:$B$110,RUC!$G$3:$G$110)</f>
        <v/>
      </c>
      <c r="Z89" s="69">
        <f t="array" ref="Z89">XLOOKUP(D89,RUC!$B$3:$B$110,RUC!$H$3:$H$110)</f>
        <v>30</v>
      </c>
      <c r="AA89" s="70">
        <f t="shared" si="4"/>
        <v>30</v>
      </c>
      <c r="AB89" s="71">
        <f t="shared" ref="AB89:AB93" si="45">+((O89*P89*(R89-U89)/100)-S89-AA89+T89)*V89</f>
        <v>541.2968159</v>
      </c>
      <c r="AC89" s="71">
        <f>+(S89-T89)*V89-'data 1'!$F$4</f>
        <v>24.7185</v>
      </c>
      <c r="AD89" s="71">
        <f t="shared" si="5"/>
        <v>12.94356264</v>
      </c>
      <c r="AE89" s="71">
        <f t="shared" si="6"/>
        <v>-36.931</v>
      </c>
      <c r="AF89" s="71">
        <f t="shared" si="7"/>
        <v>59.22908728</v>
      </c>
      <c r="AG89" s="72">
        <f>AC89+AD89+AE89+AF89+70-10</f>
        <v>119.9601499</v>
      </c>
      <c r="AH89" s="193">
        <f t="shared" si="8"/>
        <v>41.748</v>
      </c>
      <c r="AI89" s="193">
        <f t="shared" si="9"/>
        <v>45.587</v>
      </c>
      <c r="AJ89" s="73">
        <f t="shared" si="10"/>
        <v>7.384392577</v>
      </c>
      <c r="AK89" s="73">
        <f t="shared" si="11"/>
        <v>37.78884043</v>
      </c>
      <c r="AL89" s="11"/>
      <c r="AM89" s="51">
        <f t="shared" si="12"/>
        <v>3787.995117</v>
      </c>
      <c r="AN89" s="51" t="str">
        <f t="array" ref="AN89">XLOOKUP(D89,RUC!$B$3:$B$565,RUC!$M$3:$M$565)</f>
        <v>Ronald Garibay</v>
      </c>
      <c r="AO89" s="131" t="s">
        <v>547</v>
      </c>
      <c r="AP89" s="57" t="s">
        <v>727</v>
      </c>
      <c r="AQ89" s="57" t="s">
        <v>1929</v>
      </c>
    </row>
    <row r="90" ht="15.0" customHeight="1">
      <c r="A90" s="116" t="s">
        <v>1930</v>
      </c>
      <c r="B90" s="56">
        <v>45966.0</v>
      </c>
      <c r="C90" s="182">
        <v>45961.0</v>
      </c>
      <c r="D90" s="2" t="s">
        <v>835</v>
      </c>
      <c r="E90" s="3" t="str">
        <f t="array" ref="E90">XLOOKUP(D90,RUC!$B$3:$B$110,RUC!$D$3:$D$110)</f>
        <v>10486077447,</v>
      </c>
      <c r="G90" s="141" t="s">
        <v>735</v>
      </c>
      <c r="H90" s="3" t="s">
        <v>47</v>
      </c>
      <c r="I90" s="6">
        <v>31.45</v>
      </c>
      <c r="J90" s="58">
        <v>2.0</v>
      </c>
      <c r="K90" s="6">
        <f t="shared" si="2"/>
        <v>30.821</v>
      </c>
      <c r="L90" s="3">
        <v>0.434</v>
      </c>
      <c r="M90" s="3">
        <v>0.412</v>
      </c>
      <c r="N90" s="62">
        <f t="shared" si="44"/>
        <v>0.412</v>
      </c>
      <c r="O90" s="60">
        <f t="shared" si="36"/>
        <v>0.412</v>
      </c>
      <c r="P90" s="63">
        <v>90.0</v>
      </c>
      <c r="Q90" s="58">
        <v>97.7</v>
      </c>
      <c r="R90" s="65">
        <v>4011.5</v>
      </c>
      <c r="S90" s="66">
        <f t="array" ref="S90">IF((XLOOKUP(D90,RUC!$B$3:$B$106,RUC!$E$3:$E$106)+ROUNDDOWN(O90,1)*100)&lt;95,95,((XLOOKUP(D90,RUC!$B$3:$B$106,RUC!$E$3:$E$106)+ROUNDDOWN(O90,1)*100)))</f>
        <v>130</v>
      </c>
      <c r="U90" s="67">
        <f t="array" ref="U90">XLOOKUP(D90,RUC!$B$3:$B$110,RUC!$F$3:$F$110)</f>
        <v>120</v>
      </c>
      <c r="V90" s="67">
        <v>1.1023</v>
      </c>
      <c r="Y90" s="57">
        <f t="array" ref="Y90">XLOOKUP(D90,RUC!$B$3:$B$110,RUC!$G$3:$G$110)</f>
        <v>20</v>
      </c>
      <c r="Z90" s="69">
        <f t="array" ref="Z90">XLOOKUP(D90,RUC!$B$3:$B$110,RUC!$H$3:$H$110)</f>
        <v>30</v>
      </c>
      <c r="AA90" s="70">
        <f t="shared" si="4"/>
        <v>50</v>
      </c>
      <c r="AB90" s="71">
        <f t="shared" si="45"/>
        <v>1392.169847</v>
      </c>
      <c r="AC90" s="71">
        <f>+(S90-T90)*V90-'data 1'!$F$4</f>
        <v>63.299</v>
      </c>
      <c r="AD90" s="71">
        <f t="shared" si="5"/>
        <v>143.3498678</v>
      </c>
      <c r="AE90" s="71">
        <f t="shared" si="6"/>
        <v>-14.885</v>
      </c>
      <c r="AF90" s="71">
        <f t="shared" si="7"/>
        <v>92.20067207</v>
      </c>
      <c r="AG90" s="72">
        <f>AC90+AD90+AE90+AF90+70-53</f>
        <v>300.9645399</v>
      </c>
      <c r="AH90" s="193">
        <f t="shared" si="8"/>
        <v>448.064</v>
      </c>
      <c r="AI90" s="193">
        <f t="shared" si="9"/>
        <v>458.612</v>
      </c>
      <c r="AJ90" s="73">
        <f t="shared" si="10"/>
        <v>27.34260992</v>
      </c>
      <c r="AK90" s="73">
        <f t="shared" si="11"/>
        <v>391.8280476</v>
      </c>
      <c r="AL90" s="11"/>
      <c r="AM90" s="51">
        <f t="shared" si="12"/>
        <v>42908.06685</v>
      </c>
      <c r="AN90" s="51" t="str">
        <f t="array" ref="AN90">XLOOKUP(D90,RUC!$B$3:$B$565,RUC!$M$3:$M$565)</f>
        <v>SIN ACOPIO</v>
      </c>
      <c r="AO90" s="131" t="s">
        <v>549</v>
      </c>
      <c r="AP90" s="57" t="s">
        <v>1931</v>
      </c>
      <c r="AQ90" s="57" t="s">
        <v>1932</v>
      </c>
    </row>
    <row r="91" ht="15.0" customHeight="1">
      <c r="A91" s="116" t="s">
        <v>1933</v>
      </c>
      <c r="B91" s="56">
        <v>45966.0</v>
      </c>
      <c r="C91" s="182">
        <v>45962.0</v>
      </c>
      <c r="D91" s="57" t="s">
        <v>306</v>
      </c>
      <c r="E91" s="3">
        <f t="array" ref="E91">XLOOKUP(D91,RUC!$B$3:$B$110,RUC!$D$3:$D$110)</f>
        <v>20612921866</v>
      </c>
      <c r="G91" s="141">
        <v>59.0</v>
      </c>
      <c r="H91" s="3" t="s">
        <v>47</v>
      </c>
      <c r="I91" s="6">
        <v>6.24</v>
      </c>
      <c r="J91" s="58">
        <v>2.05</v>
      </c>
      <c r="K91" s="6">
        <f t="shared" si="2"/>
        <v>6.112</v>
      </c>
      <c r="L91" s="139">
        <v>0.356</v>
      </c>
      <c r="M91" s="3">
        <f t="shared" ref="M91:M93" si="46">ROUND(+IF(AN91="Melchor Vera",IF(L91&gt;0.467,L91*0.985,(L91-0.007)),IF(L91&gt;0.3,L91*0.95,(L91-0.015))),3)</f>
        <v>0.338</v>
      </c>
      <c r="N91" s="62">
        <f t="shared" si="44"/>
        <v>0.338</v>
      </c>
      <c r="O91" s="60">
        <f t="shared" si="36"/>
        <v>0.338</v>
      </c>
      <c r="P91" s="63">
        <v>90.0</v>
      </c>
      <c r="Q91" s="58">
        <v>95.51</v>
      </c>
      <c r="R91" s="65">
        <v>4013.2</v>
      </c>
      <c r="S91" s="66">
        <f t="array" ref="S91">IF((XLOOKUP(D91,RUC!$B$3:$B$106,RUC!$E$3:$E$106)+ROUNDDOWN(O91,1)*100)&lt;95,95,((XLOOKUP(D91,RUC!$B$3:$B$106,RUC!$E$3:$E$106)+ROUNDDOWN(O91,1)*100)))</f>
        <v>110</v>
      </c>
      <c r="U91" s="67">
        <f t="array" ref="U91">XLOOKUP(D91,RUC!$B$3:$B$110,RUC!$F$3:$F$110)</f>
        <v>100</v>
      </c>
      <c r="V91" s="67">
        <v>1.1023</v>
      </c>
      <c r="Y91" s="57" t="str">
        <f t="array" ref="Y91">XLOOKUP(D91,RUC!$B$3:$B$110,RUC!$G$3:$G$110)</f>
        <v/>
      </c>
      <c r="Z91" s="69">
        <f t="array" ref="Z91">XLOOKUP(D91,RUC!$B$3:$B$110,RUC!$H$3:$H$110)</f>
        <v>30</v>
      </c>
      <c r="AA91" s="70">
        <f t="shared" si="4"/>
        <v>30</v>
      </c>
      <c r="AB91" s="71">
        <f t="shared" si="45"/>
        <v>1157.850894</v>
      </c>
      <c r="AC91" s="71">
        <f>+(S91-T91)*V91-'data 1'!$F$4</f>
        <v>41.253</v>
      </c>
      <c r="AD91" s="71">
        <f t="shared" si="5"/>
        <v>84.61228997</v>
      </c>
      <c r="AE91" s="71">
        <f t="shared" si="6"/>
        <v>-36.931</v>
      </c>
      <c r="AF91" s="71">
        <f t="shared" si="7"/>
        <v>74.15717933</v>
      </c>
      <c r="AG91" s="72">
        <f t="shared" ref="AG91:AG93" si="47">AC91+AD91+AE91+AF91+70-10</f>
        <v>223.0914693</v>
      </c>
      <c r="AH91" s="193">
        <f t="shared" si="8"/>
        <v>71.251</v>
      </c>
      <c r="AI91" s="193">
        <f t="shared" si="9"/>
        <v>74.601</v>
      </c>
      <c r="AJ91" s="73">
        <f t="shared" si="10"/>
        <v>13.79261041</v>
      </c>
      <c r="AK91" s="73">
        <f t="shared" si="11"/>
        <v>63.74580715</v>
      </c>
      <c r="AL91" s="11"/>
      <c r="AM91" s="51">
        <f t="shared" si="12"/>
        <v>7076.784661</v>
      </c>
      <c r="AN91" s="51" t="str">
        <f t="array" ref="AN91">XLOOKUP(D91,RUC!$B$3:$B$565,RUC!$M$3:$M$565)</f>
        <v>Ronald Garibay</v>
      </c>
      <c r="AO91" s="131" t="s">
        <v>549</v>
      </c>
      <c r="AP91" s="57" t="s">
        <v>1934</v>
      </c>
      <c r="AQ91" s="57" t="s">
        <v>1935</v>
      </c>
    </row>
    <row r="92" ht="15.0" customHeight="1">
      <c r="A92" s="116" t="s">
        <v>1936</v>
      </c>
      <c r="B92" s="56">
        <v>45966.0</v>
      </c>
      <c r="C92" s="182">
        <v>45962.0</v>
      </c>
      <c r="D92" s="57" t="s">
        <v>306</v>
      </c>
      <c r="E92" s="3">
        <f t="array" ref="E92">XLOOKUP(D92,RUC!$B$3:$B$110,RUC!$D$3:$D$110)</f>
        <v>20612921866</v>
      </c>
      <c r="G92" s="141">
        <v>58.0</v>
      </c>
      <c r="H92" s="3" t="s">
        <v>47</v>
      </c>
      <c r="I92" s="6">
        <v>6.3</v>
      </c>
      <c r="J92" s="58">
        <v>1.5</v>
      </c>
      <c r="K92" s="6">
        <f t="shared" si="2"/>
        <v>6.206</v>
      </c>
      <c r="L92" s="139">
        <v>0.251</v>
      </c>
      <c r="M92" s="60">
        <f t="shared" si="46"/>
        <v>0.236</v>
      </c>
      <c r="N92" s="62">
        <f t="shared" si="44"/>
        <v>0.236</v>
      </c>
      <c r="O92" s="60">
        <f t="shared" si="36"/>
        <v>0.236</v>
      </c>
      <c r="P92" s="63">
        <v>90.0</v>
      </c>
      <c r="Q92" s="58">
        <v>94.42</v>
      </c>
      <c r="R92" s="65">
        <v>4013.2</v>
      </c>
      <c r="S92" s="66">
        <f t="array" ref="S92">IF((XLOOKUP(D92,RUC!$B$3:$B$106,RUC!$E$3:$E$106)+ROUNDDOWN(O92,1)*100)&lt;95,95,((XLOOKUP(D92,RUC!$B$3:$B$106,RUC!$E$3:$E$106)+ROUNDDOWN(O92,1)*100)))</f>
        <v>100</v>
      </c>
      <c r="U92" s="67">
        <f t="array" ref="U92">XLOOKUP(D92,RUC!$B$3:$B$110,RUC!$F$3:$F$110)</f>
        <v>100</v>
      </c>
      <c r="V92" s="67">
        <v>1.1023</v>
      </c>
      <c r="Y92" s="57" t="str">
        <f t="array" ref="Y92">XLOOKUP(D92,RUC!$B$3:$B$110,RUC!$G$3:$G$110)</f>
        <v/>
      </c>
      <c r="Z92" s="69">
        <f t="array" ref="Z92">XLOOKUP(D92,RUC!$B$3:$B$110,RUC!$H$3:$H$110)</f>
        <v>30</v>
      </c>
      <c r="AA92" s="70">
        <f t="shared" si="4"/>
        <v>30</v>
      </c>
      <c r="AB92" s="71">
        <f t="shared" si="45"/>
        <v>772.8927245</v>
      </c>
      <c r="AC92" s="71">
        <f>+(S92-T92)*V92-'data 1'!$F$4</f>
        <v>30.23</v>
      </c>
      <c r="AD92" s="71">
        <f t="shared" si="5"/>
        <v>47.85505758</v>
      </c>
      <c r="AE92" s="71">
        <f t="shared" si="6"/>
        <v>-36.931</v>
      </c>
      <c r="AF92" s="71">
        <f t="shared" si="7"/>
        <v>61.09238886</v>
      </c>
      <c r="AG92" s="72">
        <f t="shared" si="47"/>
        <v>162.2464464</v>
      </c>
      <c r="AH92" s="193">
        <f t="shared" si="8"/>
        <v>50.426</v>
      </c>
      <c r="AI92" s="193">
        <f t="shared" si="9"/>
        <v>53.407</v>
      </c>
      <c r="AJ92" s="73">
        <f t="shared" si="10"/>
        <v>9.613584405</v>
      </c>
      <c r="AK92" s="73">
        <f t="shared" si="11"/>
        <v>45.19343511</v>
      </c>
      <c r="AL92" s="11"/>
      <c r="AM92" s="51">
        <f t="shared" si="12"/>
        <v>4796.572248</v>
      </c>
      <c r="AN92" s="51" t="str">
        <f t="array" ref="AN92">XLOOKUP(D92,RUC!$B$3:$B$565,RUC!$M$3:$M$565)</f>
        <v>Ronald Garibay</v>
      </c>
      <c r="AO92" s="131" t="s">
        <v>549</v>
      </c>
      <c r="AP92" s="57" t="s">
        <v>1934</v>
      </c>
      <c r="AQ92" s="57" t="s">
        <v>1935</v>
      </c>
    </row>
    <row r="93" ht="15.0" customHeight="1">
      <c r="A93" s="116" t="s">
        <v>1937</v>
      </c>
      <c r="B93" s="56">
        <v>45966.0</v>
      </c>
      <c r="C93" s="182">
        <v>45962.0</v>
      </c>
      <c r="D93" s="57" t="s">
        <v>306</v>
      </c>
      <c r="E93" s="3">
        <f t="array" ref="E93">XLOOKUP(D93,RUC!$B$3:$B$110,RUC!$D$3:$D$110)</f>
        <v>20612921866</v>
      </c>
      <c r="G93" s="141">
        <v>58.0</v>
      </c>
      <c r="H93" s="3" t="s">
        <v>47</v>
      </c>
      <c r="I93" s="6">
        <v>5.83</v>
      </c>
      <c r="J93" s="58">
        <v>1.95</v>
      </c>
      <c r="K93" s="6">
        <f t="shared" si="2"/>
        <v>5.716</v>
      </c>
      <c r="L93" s="139">
        <v>0.254</v>
      </c>
      <c r="M93" s="60">
        <f t="shared" si="46"/>
        <v>0.239</v>
      </c>
      <c r="N93" s="62">
        <f t="shared" si="44"/>
        <v>0.239</v>
      </c>
      <c r="O93" s="60">
        <f t="shared" si="36"/>
        <v>0.239</v>
      </c>
      <c r="P93" s="63">
        <v>90.0</v>
      </c>
      <c r="Q93" s="58">
        <v>95.67</v>
      </c>
      <c r="R93" s="65">
        <v>4013.2</v>
      </c>
      <c r="S93" s="66">
        <f t="array" ref="S93">IF((XLOOKUP(D93,RUC!$B$3:$B$106,RUC!$E$3:$E$106)+ROUNDDOWN(O93,1)*100)&lt;95,95,((XLOOKUP(D93,RUC!$B$3:$B$106,RUC!$E$3:$E$106)+ROUNDDOWN(O93,1)*100)))</f>
        <v>100</v>
      </c>
      <c r="U93" s="67">
        <f t="array" ref="U93">XLOOKUP(D93,RUC!$B$3:$B$110,RUC!$F$3:$F$110)</f>
        <v>100</v>
      </c>
      <c r="V93" s="67">
        <v>1.1023</v>
      </c>
      <c r="Y93" s="57" t="str">
        <f t="array" ref="Y93">XLOOKUP(D93,RUC!$B$3:$B$110,RUC!$G$3:$G$110)</f>
        <v/>
      </c>
      <c r="Z93" s="69">
        <f t="array" ref="Z93">XLOOKUP(D93,RUC!$B$3:$B$110,RUC!$H$3:$H$110)</f>
        <v>30</v>
      </c>
      <c r="AA93" s="70">
        <f t="shared" si="4"/>
        <v>30</v>
      </c>
      <c r="AB93" s="71">
        <f t="shared" si="45"/>
        <v>784.5392294</v>
      </c>
      <c r="AC93" s="71">
        <f>+(S93-T93)*V93-'data 1'!$F$4</f>
        <v>30.23</v>
      </c>
      <c r="AD93" s="71">
        <f t="shared" si="5"/>
        <v>62.12245752</v>
      </c>
      <c r="AE93" s="71">
        <f t="shared" si="6"/>
        <v>-36.931</v>
      </c>
      <c r="AF93" s="71">
        <f t="shared" si="7"/>
        <v>61.90117393</v>
      </c>
      <c r="AG93" s="72">
        <f t="shared" si="47"/>
        <v>177.3226314</v>
      </c>
      <c r="AH93" s="193">
        <f t="shared" si="8"/>
        <v>47.622</v>
      </c>
      <c r="AI93" s="193">
        <f t="shared" si="9"/>
        <v>49.778</v>
      </c>
      <c r="AJ93" s="73">
        <f t="shared" si="10"/>
        <v>9.857280536</v>
      </c>
      <c r="AK93" s="73">
        <f t="shared" si="11"/>
        <v>42.15428232</v>
      </c>
      <c r="AL93" s="11"/>
      <c r="AM93" s="51">
        <f t="shared" si="12"/>
        <v>4484.426235</v>
      </c>
      <c r="AN93" s="51" t="str">
        <f t="array" ref="AN93">XLOOKUP(D93,RUC!$B$3:$B$565,RUC!$M$3:$M$565)</f>
        <v>Ronald Garibay</v>
      </c>
      <c r="AO93" s="131" t="s">
        <v>549</v>
      </c>
      <c r="AP93" s="57" t="s">
        <v>1934</v>
      </c>
      <c r="AQ93" s="57" t="s">
        <v>1935</v>
      </c>
    </row>
    <row r="94" ht="15.0" customHeight="1">
      <c r="B94" s="56"/>
      <c r="C94" s="3"/>
      <c r="G94" s="141"/>
      <c r="H94" s="3"/>
      <c r="R94" s="65"/>
      <c r="AG94" s="91"/>
    </row>
    <row r="95" ht="15.0" customHeight="1">
      <c r="B95" s="56"/>
      <c r="C95" s="3"/>
      <c r="G95" s="141"/>
      <c r="H95" s="3"/>
      <c r="R95" s="65"/>
      <c r="AG95" s="91"/>
    </row>
    <row r="96" ht="15.0" customHeight="1">
      <c r="B96" s="56"/>
      <c r="C96" s="3"/>
      <c r="G96" s="141"/>
      <c r="H96" s="3"/>
      <c r="R96" s="65"/>
      <c r="AG96" s="91"/>
    </row>
    <row r="97" ht="15.0" customHeight="1">
      <c r="B97" s="56"/>
      <c r="C97" s="3"/>
      <c r="G97" s="141"/>
      <c r="H97" s="3"/>
      <c r="R97" s="65"/>
      <c r="AG97" s="91"/>
    </row>
    <row r="98" ht="15.0" customHeight="1">
      <c r="B98" s="56"/>
      <c r="C98" s="3"/>
      <c r="G98" s="141"/>
      <c r="H98" s="3"/>
      <c r="R98" s="65"/>
      <c r="AG98" s="91"/>
    </row>
    <row r="99" ht="15.0" customHeight="1">
      <c r="B99" s="56"/>
      <c r="C99" s="3"/>
      <c r="G99" s="141"/>
      <c r="H99" s="3"/>
      <c r="R99" s="65"/>
      <c r="AG99" s="91"/>
    </row>
    <row r="100" ht="15.0" customHeight="1">
      <c r="B100" s="56"/>
      <c r="C100" s="3"/>
      <c r="G100" s="141"/>
      <c r="H100" s="3"/>
      <c r="R100" s="65"/>
      <c r="AG100" s="91"/>
    </row>
    <row r="101" ht="15.0" customHeight="1">
      <c r="B101" s="56"/>
      <c r="C101" s="3"/>
      <c r="G101" s="141"/>
      <c r="H101" s="3"/>
      <c r="R101" s="65"/>
      <c r="AG101" s="91"/>
    </row>
    <row r="102" ht="15.0" customHeight="1">
      <c r="B102" s="56"/>
      <c r="C102" s="3"/>
      <c r="G102" s="141"/>
      <c r="H102" s="3"/>
      <c r="R102" s="65"/>
      <c r="AG102" s="91"/>
    </row>
    <row r="103" ht="15.0" customHeight="1">
      <c r="B103" s="56"/>
      <c r="C103" s="3"/>
      <c r="G103" s="141"/>
      <c r="H103" s="3"/>
      <c r="R103" s="65"/>
      <c r="AG103" s="91"/>
    </row>
    <row r="104" ht="15.0" customHeight="1">
      <c r="B104" s="56"/>
      <c r="C104" s="3"/>
      <c r="G104" s="141"/>
      <c r="H104" s="3"/>
      <c r="R104" s="65"/>
      <c r="AG104" s="91"/>
    </row>
    <row r="105" ht="15.0" customHeight="1">
      <c r="B105" s="56"/>
      <c r="C105" s="3"/>
      <c r="G105" s="141"/>
      <c r="H105" s="3"/>
      <c r="R105" s="65"/>
      <c r="AG105" s="91"/>
    </row>
    <row r="106" ht="15.0" customHeight="1">
      <c r="B106" s="56"/>
      <c r="C106" s="3"/>
      <c r="G106" s="141"/>
      <c r="H106" s="3"/>
      <c r="R106" s="65"/>
      <c r="AG106" s="91"/>
    </row>
    <row r="107" ht="15.0" customHeight="1">
      <c r="B107" s="56"/>
      <c r="C107" s="3"/>
      <c r="G107" s="141"/>
      <c r="H107" s="3"/>
      <c r="R107" s="65"/>
      <c r="AG107" s="91"/>
    </row>
    <row r="108" ht="15.0" customHeight="1">
      <c r="B108" s="56"/>
      <c r="C108" s="3"/>
      <c r="G108" s="141"/>
      <c r="H108" s="3"/>
      <c r="R108" s="65"/>
      <c r="AG108" s="91"/>
    </row>
    <row r="109" ht="15.0" customHeight="1">
      <c r="B109" s="56"/>
      <c r="C109" s="3"/>
      <c r="G109" s="141"/>
      <c r="H109" s="3"/>
      <c r="R109" s="65"/>
      <c r="AG109" s="91"/>
    </row>
    <row r="110" ht="15.0" customHeight="1">
      <c r="B110" s="56"/>
      <c r="C110" s="3"/>
      <c r="G110" s="141"/>
      <c r="H110" s="3"/>
      <c r="R110" s="65"/>
      <c r="AG110" s="91"/>
    </row>
    <row r="111" ht="15.0" customHeight="1">
      <c r="B111" s="56"/>
      <c r="C111" s="3"/>
      <c r="G111" s="141"/>
      <c r="H111" s="3"/>
      <c r="R111" s="65"/>
      <c r="AG111" s="91"/>
    </row>
    <row r="112" ht="15.0" customHeight="1">
      <c r="B112" s="56"/>
      <c r="C112" s="3"/>
      <c r="G112" s="141"/>
      <c r="H112" s="3"/>
      <c r="R112" s="65"/>
      <c r="AG112" s="91"/>
    </row>
    <row r="113" ht="15.0" customHeight="1">
      <c r="B113" s="56"/>
      <c r="C113" s="3"/>
      <c r="G113" s="141"/>
      <c r="H113" s="3"/>
      <c r="R113" s="65"/>
      <c r="AG113" s="91"/>
    </row>
    <row r="114" ht="15.0" customHeight="1">
      <c r="B114" s="56"/>
      <c r="C114" s="3"/>
      <c r="G114" s="141"/>
      <c r="H114" s="3"/>
      <c r="R114" s="65"/>
      <c r="AG114" s="91"/>
    </row>
    <row r="115" ht="15.0" customHeight="1">
      <c r="B115" s="56"/>
      <c r="C115" s="3"/>
      <c r="G115" s="141"/>
      <c r="H115" s="3"/>
      <c r="R115" s="65"/>
      <c r="AG115" s="91"/>
    </row>
    <row r="116" ht="15.0" customHeight="1">
      <c r="B116" s="56"/>
      <c r="C116" s="3"/>
      <c r="G116" s="141"/>
      <c r="H116" s="3"/>
      <c r="R116" s="65"/>
      <c r="AG116" s="91"/>
    </row>
    <row r="117" ht="15.0" customHeight="1">
      <c r="B117" s="56"/>
      <c r="C117" s="3"/>
      <c r="G117" s="141"/>
      <c r="H117" s="3"/>
      <c r="R117" s="65"/>
      <c r="AG117" s="91"/>
    </row>
    <row r="118" ht="15.0" customHeight="1">
      <c r="B118" s="56"/>
      <c r="C118" s="3"/>
      <c r="G118" s="141"/>
      <c r="H118" s="3"/>
      <c r="R118" s="65"/>
      <c r="AG118" s="91"/>
    </row>
    <row r="119" ht="15.0" customHeight="1">
      <c r="B119" s="56"/>
      <c r="C119" s="3"/>
      <c r="G119" s="141"/>
      <c r="H119" s="3"/>
      <c r="R119" s="65"/>
      <c r="AG119" s="91"/>
    </row>
    <row r="120" ht="15.0" customHeight="1">
      <c r="B120" s="56"/>
      <c r="C120" s="3"/>
      <c r="G120" s="141"/>
      <c r="H120" s="3"/>
      <c r="R120" s="65"/>
      <c r="AG120" s="91"/>
    </row>
    <row r="121" ht="15.0" customHeight="1">
      <c r="B121" s="56"/>
      <c r="C121" s="3"/>
      <c r="G121" s="141"/>
      <c r="H121" s="3"/>
      <c r="R121" s="65"/>
      <c r="AG121" s="91"/>
    </row>
    <row r="122" ht="15.0" customHeight="1">
      <c r="B122" s="56"/>
      <c r="C122" s="3"/>
      <c r="G122" s="141"/>
      <c r="H122" s="3"/>
      <c r="R122" s="65"/>
      <c r="AG122" s="91"/>
    </row>
    <row r="123" ht="15.0" customHeight="1">
      <c r="B123" s="56"/>
      <c r="C123" s="3"/>
      <c r="G123" s="141"/>
      <c r="H123" s="3"/>
      <c r="R123" s="65"/>
      <c r="AG123" s="91"/>
    </row>
    <row r="124" ht="15.0" customHeight="1">
      <c r="B124" s="56"/>
      <c r="C124" s="3"/>
      <c r="G124" s="141"/>
      <c r="H124" s="3"/>
      <c r="R124" s="65"/>
      <c r="AG124" s="91"/>
    </row>
    <row r="125" ht="15.0" customHeight="1">
      <c r="B125" s="56"/>
      <c r="C125" s="3"/>
      <c r="G125" s="141"/>
      <c r="H125" s="3"/>
      <c r="R125" s="65"/>
      <c r="AG125" s="91"/>
    </row>
    <row r="126" ht="15.0" customHeight="1">
      <c r="B126" s="56"/>
      <c r="C126" s="3"/>
      <c r="G126" s="141"/>
      <c r="H126" s="3"/>
      <c r="R126" s="65"/>
      <c r="AG126" s="91"/>
    </row>
    <row r="127" ht="15.0" customHeight="1">
      <c r="B127" s="56"/>
      <c r="C127" s="3"/>
      <c r="G127" s="141"/>
      <c r="H127" s="3"/>
      <c r="R127" s="65"/>
      <c r="AG127" s="91"/>
    </row>
    <row r="128" ht="15.0" customHeight="1">
      <c r="B128" s="56"/>
      <c r="C128" s="3"/>
      <c r="G128" s="141"/>
      <c r="H128" s="3"/>
      <c r="R128" s="65"/>
      <c r="AG128" s="91"/>
    </row>
    <row r="129" ht="15.0" customHeight="1">
      <c r="B129" s="56"/>
      <c r="C129" s="3"/>
      <c r="G129" s="141"/>
      <c r="H129" s="3"/>
      <c r="R129" s="65"/>
      <c r="AG129" s="91"/>
    </row>
    <row r="130" ht="15.0" customHeight="1">
      <c r="B130" s="56"/>
      <c r="C130" s="3"/>
      <c r="G130" s="141"/>
      <c r="H130" s="3"/>
      <c r="R130" s="65"/>
      <c r="AG130" s="91"/>
    </row>
    <row r="131" ht="15.0" customHeight="1">
      <c r="B131" s="56"/>
      <c r="C131" s="3"/>
      <c r="G131" s="141"/>
      <c r="H131" s="3"/>
      <c r="R131" s="65"/>
      <c r="AG131" s="91"/>
    </row>
    <row r="132" ht="15.0" customHeight="1">
      <c r="B132" s="56"/>
      <c r="C132" s="3"/>
      <c r="G132" s="141"/>
      <c r="H132" s="3"/>
      <c r="R132" s="65"/>
      <c r="AG132" s="91"/>
    </row>
    <row r="133" ht="15.0" customHeight="1">
      <c r="B133" s="56"/>
      <c r="C133" s="3"/>
      <c r="G133" s="141"/>
      <c r="H133" s="3"/>
      <c r="R133" s="65"/>
      <c r="AG133" s="91"/>
    </row>
    <row r="134" ht="15.0" customHeight="1">
      <c r="B134" s="56"/>
      <c r="C134" s="3"/>
      <c r="G134" s="141"/>
      <c r="H134" s="3"/>
      <c r="R134" s="65"/>
      <c r="AG134" s="91"/>
    </row>
    <row r="135" ht="15.0" customHeight="1">
      <c r="B135" s="56"/>
      <c r="C135" s="3"/>
      <c r="G135" s="141"/>
      <c r="H135" s="3"/>
      <c r="R135" s="65"/>
      <c r="AG135" s="91"/>
    </row>
    <row r="136" ht="15.0" customHeight="1">
      <c r="B136" s="56"/>
      <c r="C136" s="3"/>
      <c r="G136" s="141"/>
      <c r="H136" s="3"/>
      <c r="R136" s="65"/>
      <c r="AG136" s="91"/>
    </row>
    <row r="137" ht="15.0" customHeight="1">
      <c r="B137" s="56"/>
      <c r="C137" s="3"/>
      <c r="G137" s="141"/>
      <c r="H137" s="3"/>
      <c r="R137" s="65"/>
      <c r="AG137" s="91"/>
    </row>
    <row r="138" ht="15.0" customHeight="1">
      <c r="B138" s="56"/>
      <c r="C138" s="3"/>
      <c r="G138" s="141"/>
      <c r="H138" s="3"/>
      <c r="R138" s="65"/>
      <c r="AG138" s="91"/>
    </row>
    <row r="139" ht="15.0" customHeight="1">
      <c r="B139" s="56"/>
      <c r="C139" s="3"/>
      <c r="G139" s="141"/>
      <c r="H139" s="3"/>
      <c r="R139" s="65"/>
      <c r="AG139" s="91"/>
    </row>
    <row r="140" ht="15.0" customHeight="1">
      <c r="B140" s="56"/>
      <c r="C140" s="3"/>
      <c r="G140" s="141"/>
      <c r="H140" s="3"/>
      <c r="R140" s="65"/>
      <c r="AG140" s="91"/>
    </row>
    <row r="141" ht="15.0" customHeight="1">
      <c r="B141" s="56"/>
      <c r="C141" s="3"/>
      <c r="G141" s="141"/>
      <c r="H141" s="3"/>
      <c r="R141" s="65"/>
      <c r="AG141" s="91"/>
    </row>
    <row r="142" ht="15.0" customHeight="1">
      <c r="B142" s="56"/>
      <c r="C142" s="3"/>
      <c r="G142" s="141"/>
      <c r="H142" s="3"/>
      <c r="R142" s="65"/>
      <c r="AG142" s="91"/>
    </row>
    <row r="143" ht="15.0" customHeight="1">
      <c r="B143" s="56"/>
      <c r="C143" s="3"/>
      <c r="G143" s="141"/>
      <c r="H143" s="3"/>
      <c r="R143" s="65"/>
      <c r="AG143" s="91"/>
    </row>
    <row r="144" ht="15.0" customHeight="1">
      <c r="B144" s="56"/>
      <c r="C144" s="3"/>
      <c r="G144" s="141"/>
      <c r="H144" s="3"/>
      <c r="R144" s="65"/>
      <c r="AG144" s="91"/>
    </row>
    <row r="145" ht="15.0" customHeight="1">
      <c r="B145" s="56"/>
      <c r="C145" s="3"/>
      <c r="G145" s="141"/>
      <c r="H145" s="3"/>
      <c r="R145" s="65"/>
      <c r="AG145" s="91"/>
    </row>
    <row r="146" ht="15.0" customHeight="1">
      <c r="B146" s="56"/>
      <c r="C146" s="3"/>
      <c r="G146" s="141"/>
      <c r="H146" s="3"/>
      <c r="R146" s="65"/>
      <c r="AG146" s="91"/>
    </row>
    <row r="147" ht="15.0" customHeight="1">
      <c r="B147" s="56"/>
      <c r="C147" s="3"/>
      <c r="G147" s="141"/>
      <c r="H147" s="3"/>
      <c r="R147" s="65"/>
      <c r="AG147" s="91"/>
    </row>
    <row r="148" ht="15.0" customHeight="1">
      <c r="B148" s="56"/>
      <c r="C148" s="3"/>
      <c r="G148" s="141"/>
      <c r="H148" s="3"/>
      <c r="R148" s="65"/>
      <c r="AG148" s="91"/>
    </row>
    <row r="149" ht="15.0" customHeight="1">
      <c r="B149" s="56"/>
      <c r="C149" s="3"/>
      <c r="G149" s="141"/>
      <c r="H149" s="3"/>
      <c r="R149" s="65"/>
      <c r="AG149" s="91"/>
    </row>
    <row r="150" ht="15.0" customHeight="1">
      <c r="B150" s="56"/>
      <c r="C150" s="3"/>
      <c r="G150" s="141"/>
      <c r="H150" s="3"/>
      <c r="R150" s="65"/>
      <c r="AG150" s="91"/>
    </row>
    <row r="151" ht="15.0" customHeight="1">
      <c r="B151" s="56"/>
      <c r="C151" s="3"/>
      <c r="G151" s="141"/>
      <c r="H151" s="3"/>
      <c r="R151" s="65"/>
      <c r="AG151" s="91"/>
    </row>
    <row r="152" ht="15.0" customHeight="1">
      <c r="B152" s="56"/>
      <c r="C152" s="3"/>
      <c r="G152" s="141"/>
      <c r="H152" s="3"/>
      <c r="R152" s="65"/>
      <c r="AG152" s="91"/>
    </row>
    <row r="153" ht="15.0" customHeight="1">
      <c r="B153" s="56"/>
      <c r="C153" s="3"/>
      <c r="G153" s="141"/>
      <c r="H153" s="3"/>
      <c r="R153" s="65"/>
      <c r="AG153" s="91"/>
    </row>
    <row r="154" ht="15.0" customHeight="1">
      <c r="B154" s="56"/>
      <c r="C154" s="3"/>
      <c r="G154" s="141"/>
      <c r="H154" s="3"/>
      <c r="R154" s="65"/>
      <c r="AG154" s="91"/>
    </row>
    <row r="155" ht="15.0" customHeight="1">
      <c r="B155" s="56"/>
      <c r="C155" s="3"/>
      <c r="G155" s="141"/>
      <c r="H155" s="3"/>
      <c r="R155" s="65"/>
      <c r="AG155" s="91"/>
    </row>
    <row r="156" ht="15.0" customHeight="1">
      <c r="B156" s="56"/>
      <c r="C156" s="3"/>
      <c r="G156" s="141"/>
      <c r="H156" s="3"/>
      <c r="R156" s="65"/>
      <c r="AG156" s="91"/>
    </row>
    <row r="157" ht="15.0" customHeight="1">
      <c r="B157" s="56"/>
      <c r="C157" s="3"/>
      <c r="G157" s="141"/>
      <c r="H157" s="3"/>
      <c r="R157" s="65"/>
      <c r="AG157" s="91"/>
    </row>
    <row r="158" ht="15.0" customHeight="1">
      <c r="B158" s="56"/>
      <c r="C158" s="3"/>
      <c r="G158" s="141"/>
      <c r="H158" s="3"/>
      <c r="R158" s="65"/>
      <c r="AG158" s="91"/>
    </row>
    <row r="159" ht="15.0" customHeight="1">
      <c r="B159" s="56"/>
      <c r="C159" s="3"/>
      <c r="G159" s="141"/>
      <c r="H159" s="3"/>
      <c r="R159" s="65"/>
      <c r="AG159" s="91"/>
    </row>
    <row r="160" ht="15.0" customHeight="1">
      <c r="B160" s="56"/>
      <c r="C160" s="3"/>
      <c r="G160" s="141"/>
      <c r="H160" s="3"/>
      <c r="R160" s="65"/>
      <c r="AG160" s="91"/>
    </row>
    <row r="161" ht="15.0" customHeight="1">
      <c r="B161" s="56"/>
      <c r="C161" s="3"/>
      <c r="G161" s="141"/>
      <c r="H161" s="3"/>
      <c r="R161" s="65"/>
      <c r="AG161" s="91"/>
    </row>
    <row r="162" ht="15.0" customHeight="1">
      <c r="B162" s="56"/>
      <c r="C162" s="3"/>
      <c r="G162" s="141"/>
      <c r="H162" s="3"/>
      <c r="R162" s="65"/>
      <c r="AG162" s="91"/>
    </row>
    <row r="163" ht="15.0" customHeight="1">
      <c r="B163" s="56"/>
      <c r="C163" s="3"/>
      <c r="G163" s="141"/>
      <c r="H163" s="3"/>
      <c r="R163" s="65"/>
      <c r="AG163" s="91"/>
    </row>
    <row r="164" ht="15.0" customHeight="1">
      <c r="B164" s="56"/>
      <c r="C164" s="3"/>
      <c r="G164" s="141"/>
      <c r="H164" s="3"/>
      <c r="R164" s="65"/>
      <c r="AG164" s="91"/>
    </row>
    <row r="165" ht="15.0" customHeight="1">
      <c r="B165" s="56"/>
      <c r="C165" s="3"/>
      <c r="G165" s="141"/>
      <c r="H165" s="3"/>
      <c r="R165" s="65"/>
      <c r="AG165" s="91"/>
    </row>
    <row r="166" ht="15.0" customHeight="1">
      <c r="B166" s="56"/>
      <c r="C166" s="3"/>
      <c r="G166" s="141"/>
      <c r="H166" s="3"/>
      <c r="R166" s="65"/>
      <c r="AG166" s="91"/>
    </row>
    <row r="167" ht="15.0" customHeight="1">
      <c r="B167" s="56"/>
      <c r="C167" s="3"/>
      <c r="G167" s="141"/>
      <c r="H167" s="3"/>
      <c r="R167" s="65"/>
      <c r="AG167" s="91"/>
    </row>
    <row r="168" ht="15.0" customHeight="1">
      <c r="B168" s="56"/>
      <c r="C168" s="3"/>
      <c r="G168" s="141"/>
      <c r="H168" s="3"/>
      <c r="R168" s="65"/>
      <c r="AG168" s="91"/>
    </row>
    <row r="169" ht="15.0" customHeight="1">
      <c r="B169" s="56"/>
      <c r="C169" s="3"/>
      <c r="G169" s="141"/>
      <c r="H169" s="3"/>
      <c r="R169" s="65"/>
      <c r="AG169" s="91"/>
    </row>
    <row r="170" ht="15.0" customHeight="1">
      <c r="B170" s="56"/>
      <c r="C170" s="3"/>
      <c r="G170" s="141"/>
      <c r="H170" s="3"/>
      <c r="R170" s="65"/>
      <c r="AG170" s="91"/>
    </row>
    <row r="171" ht="15.0" customHeight="1">
      <c r="B171" s="56"/>
      <c r="C171" s="3"/>
      <c r="G171" s="141"/>
      <c r="H171" s="3"/>
      <c r="R171" s="65"/>
      <c r="AG171" s="91"/>
    </row>
    <row r="172" ht="15.0" customHeight="1">
      <c r="B172" s="56"/>
      <c r="C172" s="3"/>
      <c r="G172" s="141"/>
      <c r="H172" s="3"/>
      <c r="R172" s="65"/>
      <c r="AG172" s="91"/>
    </row>
    <row r="173" ht="15.0" customHeight="1">
      <c r="B173" s="56"/>
      <c r="C173" s="3"/>
      <c r="G173" s="141"/>
      <c r="H173" s="3"/>
      <c r="R173" s="65"/>
      <c r="AG173" s="91"/>
    </row>
    <row r="174" ht="15.0" customHeight="1">
      <c r="B174" s="56"/>
      <c r="C174" s="3"/>
      <c r="G174" s="141"/>
      <c r="H174" s="3"/>
      <c r="R174" s="65"/>
      <c r="AG174" s="91"/>
    </row>
    <row r="175" ht="15.0" customHeight="1">
      <c r="B175" s="56"/>
      <c r="C175" s="3"/>
      <c r="G175" s="141"/>
      <c r="H175" s="3"/>
      <c r="R175" s="65"/>
      <c r="AG175" s="91"/>
    </row>
    <row r="176" ht="15.0" customHeight="1">
      <c r="B176" s="56"/>
      <c r="C176" s="3"/>
      <c r="G176" s="141"/>
      <c r="H176" s="3"/>
      <c r="R176" s="65"/>
      <c r="AG176" s="91"/>
    </row>
    <row r="177" ht="15.0" customHeight="1">
      <c r="B177" s="56"/>
      <c r="C177" s="3"/>
      <c r="G177" s="141"/>
      <c r="H177" s="3"/>
      <c r="R177" s="65"/>
      <c r="AG177" s="91"/>
    </row>
    <row r="178" ht="15.0" customHeight="1">
      <c r="B178" s="56"/>
      <c r="C178" s="3"/>
      <c r="G178" s="141"/>
      <c r="H178" s="3"/>
      <c r="R178" s="65"/>
      <c r="AG178" s="91"/>
    </row>
    <row r="179" ht="15.0" customHeight="1">
      <c r="B179" s="56"/>
      <c r="C179" s="3"/>
      <c r="G179" s="141"/>
      <c r="H179" s="3"/>
      <c r="R179" s="65"/>
      <c r="AG179" s="91"/>
    </row>
    <row r="180" ht="15.0" customHeight="1">
      <c r="B180" s="56"/>
      <c r="C180" s="3"/>
      <c r="G180" s="141"/>
      <c r="H180" s="3"/>
      <c r="R180" s="65"/>
      <c r="AG180" s="91"/>
    </row>
    <row r="181" ht="15.0" customHeight="1">
      <c r="C181" s="3"/>
      <c r="G181" s="141"/>
      <c r="H181" s="3"/>
      <c r="R181" s="65"/>
      <c r="AG181" s="91"/>
    </row>
    <row r="182" ht="15.0" customHeight="1">
      <c r="C182" s="3"/>
      <c r="G182" s="141"/>
      <c r="H182" s="3"/>
      <c r="R182" s="65"/>
      <c r="AG182" s="91"/>
    </row>
    <row r="183" ht="15.0" customHeight="1">
      <c r="C183" s="3"/>
      <c r="G183" s="141"/>
      <c r="H183" s="3"/>
      <c r="R183" s="65"/>
      <c r="AG183" s="91"/>
    </row>
    <row r="184" ht="15.0" customHeight="1">
      <c r="C184" s="3"/>
      <c r="G184" s="141"/>
      <c r="H184" s="3"/>
      <c r="R184" s="65"/>
      <c r="AG184" s="91"/>
    </row>
    <row r="185" ht="15.0" customHeight="1">
      <c r="C185" s="3"/>
      <c r="G185" s="141"/>
      <c r="H185" s="3"/>
      <c r="R185" s="65"/>
      <c r="AG185" s="91"/>
    </row>
    <row r="186" ht="15.0" customHeight="1">
      <c r="C186" s="3"/>
      <c r="G186" s="141"/>
      <c r="H186" s="3"/>
      <c r="R186" s="65"/>
      <c r="AG186" s="91"/>
    </row>
    <row r="187" ht="15.0" customHeight="1">
      <c r="C187" s="3"/>
      <c r="G187" s="141"/>
      <c r="H187" s="3"/>
      <c r="R187" s="65"/>
      <c r="AG187" s="91"/>
    </row>
    <row r="188" ht="15.0" customHeight="1">
      <c r="C188" s="3"/>
      <c r="G188" s="141"/>
      <c r="H188" s="3"/>
      <c r="R188" s="65"/>
      <c r="AG188" s="91"/>
    </row>
    <row r="189" ht="15.0" customHeight="1">
      <c r="C189" s="3"/>
      <c r="G189" s="141"/>
      <c r="H189" s="3"/>
      <c r="R189" s="65"/>
      <c r="AG189" s="91"/>
    </row>
    <row r="190" ht="15.0" customHeight="1">
      <c r="C190" s="3"/>
      <c r="G190" s="141"/>
      <c r="H190" s="3"/>
      <c r="R190" s="65"/>
      <c r="AG190" s="91"/>
    </row>
    <row r="191" ht="15.0" customHeight="1">
      <c r="C191" s="3"/>
      <c r="G191" s="141"/>
      <c r="H191" s="3"/>
      <c r="R191" s="65"/>
      <c r="AG191" s="91"/>
    </row>
    <row r="192" ht="15.0" customHeight="1">
      <c r="C192" s="3"/>
      <c r="G192" s="141"/>
      <c r="H192" s="3"/>
      <c r="R192" s="65"/>
      <c r="AG192" s="91"/>
    </row>
    <row r="193" ht="15.0" customHeight="1">
      <c r="C193" s="3"/>
      <c r="G193" s="141"/>
      <c r="H193" s="3"/>
      <c r="R193" s="65"/>
      <c r="AG193" s="91"/>
    </row>
    <row r="194" ht="15.0" customHeight="1">
      <c r="C194" s="3"/>
      <c r="G194" s="141"/>
      <c r="H194" s="3"/>
      <c r="R194" s="65"/>
      <c r="AG194" s="91"/>
    </row>
    <row r="195" ht="15.0" customHeight="1">
      <c r="C195" s="3"/>
      <c r="G195" s="141"/>
      <c r="H195" s="3"/>
      <c r="R195" s="65"/>
      <c r="AG195" s="91"/>
    </row>
    <row r="196" ht="15.0" customHeight="1">
      <c r="C196" s="3"/>
      <c r="G196" s="141"/>
      <c r="H196" s="3"/>
      <c r="R196" s="65"/>
      <c r="AG196" s="91"/>
    </row>
    <row r="197" ht="15.0" customHeight="1">
      <c r="C197" s="3"/>
      <c r="G197" s="141"/>
      <c r="H197" s="3"/>
      <c r="R197" s="65"/>
      <c r="AG197" s="91"/>
    </row>
    <row r="198" ht="15.0" customHeight="1">
      <c r="C198" s="3"/>
      <c r="G198" s="141"/>
      <c r="H198" s="3"/>
      <c r="R198" s="65"/>
      <c r="AG198" s="91"/>
    </row>
    <row r="199" ht="15.0" customHeight="1">
      <c r="C199" s="3"/>
      <c r="G199" s="141"/>
      <c r="H199" s="3"/>
      <c r="R199" s="65"/>
      <c r="AG199" s="91"/>
    </row>
    <row r="200" ht="15.0" customHeight="1">
      <c r="C200" s="3"/>
      <c r="G200" s="141"/>
      <c r="H200" s="3"/>
      <c r="R200" s="65"/>
      <c r="AG200" s="91"/>
    </row>
    <row r="201" ht="15.0" customHeight="1">
      <c r="C201" s="3"/>
      <c r="G201" s="141"/>
      <c r="H201" s="3"/>
      <c r="R201" s="65"/>
      <c r="AG201" s="91"/>
    </row>
    <row r="202" ht="15.0" customHeight="1">
      <c r="C202" s="3"/>
      <c r="G202" s="141"/>
      <c r="H202" s="3"/>
      <c r="R202" s="65"/>
      <c r="AG202" s="91"/>
    </row>
    <row r="203" ht="15.0" customHeight="1">
      <c r="C203" s="3"/>
      <c r="G203" s="141"/>
      <c r="H203" s="3"/>
      <c r="R203" s="65"/>
      <c r="AG203" s="91"/>
    </row>
    <row r="204" ht="15.0" customHeight="1">
      <c r="C204" s="3"/>
      <c r="G204" s="141"/>
      <c r="H204" s="3"/>
      <c r="R204" s="65"/>
      <c r="AG204" s="91"/>
    </row>
    <row r="205" ht="15.0" customHeight="1">
      <c r="C205" s="3"/>
      <c r="G205" s="141"/>
      <c r="H205" s="3"/>
      <c r="R205" s="65"/>
      <c r="AG205" s="91"/>
    </row>
    <row r="206" ht="15.0" customHeight="1">
      <c r="C206" s="3"/>
      <c r="G206" s="141"/>
      <c r="H206" s="3"/>
      <c r="R206" s="65"/>
      <c r="AG206" s="91"/>
    </row>
    <row r="207" ht="15.0" customHeight="1">
      <c r="C207" s="3"/>
      <c r="G207" s="141"/>
      <c r="H207" s="3"/>
      <c r="R207" s="65"/>
      <c r="AG207" s="91"/>
    </row>
    <row r="208" ht="15.0" customHeight="1">
      <c r="C208" s="3"/>
      <c r="G208" s="141"/>
      <c r="H208" s="3"/>
      <c r="R208" s="65"/>
      <c r="AG208" s="91"/>
    </row>
    <row r="209" ht="15.0" customHeight="1">
      <c r="C209" s="3"/>
      <c r="G209" s="141"/>
      <c r="H209" s="3"/>
      <c r="R209" s="65"/>
      <c r="AG209" s="91"/>
    </row>
    <row r="210" ht="15.0" customHeight="1">
      <c r="C210" s="3"/>
      <c r="G210" s="141"/>
      <c r="H210" s="3"/>
      <c r="R210" s="65"/>
      <c r="AG210" s="91"/>
    </row>
    <row r="211" ht="15.0" customHeight="1">
      <c r="C211" s="3"/>
      <c r="G211" s="141"/>
      <c r="H211" s="3"/>
      <c r="R211" s="65"/>
      <c r="AG211" s="91"/>
    </row>
    <row r="212" ht="15.0" customHeight="1">
      <c r="C212" s="3"/>
      <c r="G212" s="141"/>
      <c r="H212" s="3"/>
      <c r="R212" s="65"/>
      <c r="AG212" s="91"/>
    </row>
    <row r="213" ht="15.0" customHeight="1">
      <c r="C213" s="3"/>
      <c r="G213" s="141"/>
      <c r="H213" s="3"/>
      <c r="R213" s="65"/>
      <c r="AG213" s="91"/>
    </row>
    <row r="214" ht="15.0" customHeight="1">
      <c r="C214" s="3"/>
      <c r="G214" s="141"/>
      <c r="H214" s="3"/>
      <c r="R214" s="65"/>
      <c r="AG214" s="91"/>
    </row>
    <row r="215" ht="15.0" customHeight="1">
      <c r="C215" s="3"/>
      <c r="G215" s="141"/>
      <c r="H215" s="3"/>
      <c r="R215" s="65"/>
      <c r="AG215" s="91"/>
    </row>
    <row r="216" ht="15.0" customHeight="1">
      <c r="C216" s="3"/>
      <c r="G216" s="141"/>
      <c r="H216" s="3"/>
      <c r="R216" s="65"/>
      <c r="AG216" s="91"/>
    </row>
    <row r="217" ht="15.0" customHeight="1">
      <c r="C217" s="3"/>
      <c r="G217" s="141"/>
      <c r="H217" s="3"/>
      <c r="R217" s="65"/>
      <c r="AG217" s="91"/>
    </row>
    <row r="218" ht="15.0" customHeight="1">
      <c r="C218" s="3"/>
      <c r="G218" s="141"/>
      <c r="H218" s="3"/>
      <c r="R218" s="65"/>
      <c r="AG218" s="91"/>
    </row>
    <row r="219" ht="15.0" customHeight="1">
      <c r="C219" s="3"/>
      <c r="G219" s="141"/>
      <c r="H219" s="3"/>
      <c r="R219" s="65"/>
      <c r="AG219" s="91"/>
    </row>
    <row r="220" ht="15.0" customHeight="1">
      <c r="C220" s="3"/>
      <c r="G220" s="141"/>
      <c r="H220" s="3"/>
      <c r="R220" s="65"/>
      <c r="AG220" s="91"/>
    </row>
    <row r="221" ht="15.0" customHeight="1">
      <c r="C221" s="3"/>
      <c r="G221" s="141"/>
      <c r="H221" s="3"/>
      <c r="R221" s="65"/>
      <c r="AG221" s="91"/>
    </row>
    <row r="222" ht="15.0" customHeight="1">
      <c r="C222" s="3"/>
      <c r="G222" s="141"/>
      <c r="H222" s="3"/>
      <c r="R222" s="65"/>
      <c r="AG222" s="91"/>
    </row>
    <row r="223" ht="15.0" customHeight="1">
      <c r="C223" s="3"/>
      <c r="G223" s="141"/>
      <c r="H223" s="3"/>
      <c r="R223" s="65"/>
      <c r="AG223" s="91"/>
    </row>
    <row r="224" ht="15.0" customHeight="1">
      <c r="C224" s="3"/>
      <c r="G224" s="141"/>
      <c r="H224" s="3"/>
      <c r="R224" s="65"/>
      <c r="AG224" s="91"/>
    </row>
    <row r="225" ht="15.0" customHeight="1">
      <c r="C225" s="3"/>
      <c r="G225" s="141"/>
      <c r="H225" s="3"/>
      <c r="R225" s="65"/>
      <c r="AG225" s="91"/>
    </row>
    <row r="226" ht="15.0" customHeight="1">
      <c r="C226" s="3"/>
      <c r="G226" s="141"/>
      <c r="H226" s="3"/>
      <c r="R226" s="65"/>
      <c r="AG226" s="91"/>
    </row>
    <row r="227" ht="15.0" customHeight="1">
      <c r="C227" s="3"/>
      <c r="G227" s="141"/>
      <c r="H227" s="3"/>
      <c r="R227" s="65"/>
      <c r="AG227" s="91"/>
    </row>
    <row r="228" ht="15.0" customHeight="1">
      <c r="C228" s="3"/>
      <c r="G228" s="141"/>
      <c r="H228" s="3"/>
      <c r="R228" s="65"/>
      <c r="AG228" s="91"/>
    </row>
    <row r="229" ht="15.0" customHeight="1">
      <c r="C229" s="3"/>
      <c r="G229" s="141"/>
      <c r="H229" s="3"/>
      <c r="R229" s="65"/>
      <c r="AG229" s="91"/>
    </row>
    <row r="230" ht="15.0" customHeight="1">
      <c r="C230" s="3"/>
      <c r="G230" s="141"/>
      <c r="H230" s="3"/>
      <c r="R230" s="65"/>
      <c r="AG230" s="91"/>
    </row>
    <row r="231" ht="15.0" customHeight="1">
      <c r="C231" s="3"/>
      <c r="G231" s="141"/>
      <c r="H231" s="3"/>
      <c r="R231" s="65"/>
      <c r="AG231" s="91"/>
    </row>
    <row r="232" ht="15.0" customHeight="1">
      <c r="C232" s="3"/>
      <c r="G232" s="141"/>
      <c r="H232" s="3"/>
      <c r="R232" s="65"/>
      <c r="AG232" s="91"/>
    </row>
    <row r="233" ht="15.0" customHeight="1">
      <c r="C233" s="3"/>
      <c r="G233" s="141"/>
      <c r="H233" s="3"/>
      <c r="R233" s="65"/>
      <c r="AG233" s="91"/>
    </row>
    <row r="234" ht="15.0" customHeight="1">
      <c r="C234" s="3"/>
      <c r="G234" s="141"/>
      <c r="H234" s="3"/>
      <c r="R234" s="65"/>
      <c r="AG234" s="91"/>
    </row>
    <row r="235" ht="15.0" customHeight="1">
      <c r="C235" s="3"/>
      <c r="G235" s="141"/>
      <c r="H235" s="3"/>
      <c r="R235" s="65"/>
      <c r="AG235" s="91"/>
    </row>
    <row r="236" ht="15.0" customHeight="1">
      <c r="C236" s="3"/>
      <c r="G236" s="141"/>
      <c r="H236" s="3"/>
      <c r="R236" s="65"/>
      <c r="AG236" s="91"/>
    </row>
    <row r="237" ht="15.0" customHeight="1">
      <c r="C237" s="3"/>
      <c r="G237" s="141"/>
      <c r="H237" s="3"/>
      <c r="R237" s="65"/>
      <c r="AG237" s="91"/>
    </row>
    <row r="238" ht="15.0" customHeight="1">
      <c r="C238" s="3"/>
      <c r="G238" s="141"/>
      <c r="H238" s="3"/>
      <c r="R238" s="65"/>
      <c r="AG238" s="91"/>
    </row>
    <row r="239" ht="15.0" customHeight="1">
      <c r="C239" s="3"/>
      <c r="G239" s="141"/>
      <c r="H239" s="3"/>
      <c r="R239" s="65"/>
      <c r="AG239" s="91"/>
    </row>
    <row r="240" ht="15.0" customHeight="1">
      <c r="C240" s="3"/>
      <c r="G240" s="141"/>
      <c r="H240" s="3"/>
      <c r="R240" s="65"/>
      <c r="AG240" s="91"/>
    </row>
    <row r="241" ht="15.0" customHeight="1">
      <c r="C241" s="3"/>
      <c r="G241" s="141"/>
      <c r="H241" s="3"/>
      <c r="R241" s="65"/>
      <c r="AG241" s="91"/>
    </row>
    <row r="242" ht="15.0" customHeight="1">
      <c r="C242" s="3"/>
      <c r="G242" s="141"/>
      <c r="H242" s="3"/>
      <c r="R242" s="65"/>
      <c r="AG242" s="91"/>
    </row>
    <row r="243" ht="15.0" customHeight="1">
      <c r="C243" s="3"/>
      <c r="G243" s="141"/>
      <c r="H243" s="3"/>
      <c r="R243" s="65"/>
      <c r="AG243" s="91"/>
    </row>
    <row r="244" ht="15.0" customHeight="1">
      <c r="C244" s="3"/>
      <c r="G244" s="141"/>
      <c r="H244" s="3"/>
      <c r="R244" s="65"/>
      <c r="AG244" s="91"/>
    </row>
    <row r="245" ht="15.0" customHeight="1">
      <c r="C245" s="3"/>
      <c r="G245" s="141"/>
      <c r="H245" s="3"/>
      <c r="R245" s="65"/>
      <c r="AG245" s="91"/>
    </row>
    <row r="246" ht="15.0" customHeight="1">
      <c r="C246" s="3"/>
      <c r="G246" s="141"/>
      <c r="H246" s="3"/>
      <c r="R246" s="65"/>
      <c r="AG246" s="91"/>
    </row>
    <row r="247" ht="15.0" customHeight="1">
      <c r="C247" s="3"/>
      <c r="G247" s="141"/>
      <c r="H247" s="3"/>
      <c r="R247" s="65"/>
      <c r="AG247" s="91"/>
    </row>
    <row r="248" ht="15.0" customHeight="1">
      <c r="C248" s="3"/>
      <c r="G248" s="141"/>
      <c r="H248" s="3"/>
      <c r="R248" s="65"/>
      <c r="AG248" s="91"/>
    </row>
    <row r="249" ht="15.0" customHeight="1">
      <c r="C249" s="3"/>
      <c r="G249" s="141"/>
      <c r="H249" s="3"/>
      <c r="R249" s="65"/>
      <c r="AG249" s="91"/>
    </row>
    <row r="250" ht="15.0" customHeight="1">
      <c r="C250" s="3"/>
      <c r="G250" s="141"/>
      <c r="H250" s="3"/>
      <c r="R250" s="65"/>
      <c r="AG250" s="91"/>
    </row>
    <row r="251" ht="15.0" customHeight="1">
      <c r="C251" s="3"/>
      <c r="G251" s="141"/>
      <c r="H251" s="3"/>
      <c r="R251" s="65"/>
      <c r="AG251" s="91"/>
    </row>
    <row r="252" ht="15.0" customHeight="1">
      <c r="C252" s="3"/>
      <c r="G252" s="141"/>
      <c r="H252" s="3"/>
      <c r="R252" s="65"/>
      <c r="AG252" s="91"/>
    </row>
    <row r="253" ht="15.0" customHeight="1">
      <c r="C253" s="3"/>
      <c r="G253" s="141"/>
      <c r="H253" s="3"/>
      <c r="R253" s="65"/>
      <c r="AG253" s="91"/>
    </row>
    <row r="254" ht="15.0" customHeight="1">
      <c r="C254" s="3"/>
      <c r="G254" s="141"/>
      <c r="H254" s="3"/>
      <c r="R254" s="65"/>
      <c r="AG254" s="91"/>
    </row>
    <row r="255" ht="15.0" customHeight="1">
      <c r="C255" s="3"/>
      <c r="G255" s="141"/>
      <c r="H255" s="3"/>
      <c r="R255" s="65"/>
      <c r="AG255" s="91"/>
    </row>
    <row r="256" ht="15.0" customHeight="1">
      <c r="C256" s="3"/>
      <c r="G256" s="141"/>
      <c r="H256" s="3"/>
      <c r="R256" s="65"/>
      <c r="AG256" s="91"/>
    </row>
    <row r="257" ht="15.0" customHeight="1">
      <c r="C257" s="3"/>
      <c r="G257" s="141"/>
      <c r="H257" s="3"/>
      <c r="R257" s="65"/>
      <c r="AG257" s="91"/>
    </row>
    <row r="258" ht="15.0" customHeight="1">
      <c r="C258" s="3"/>
      <c r="G258" s="141"/>
      <c r="H258" s="3"/>
      <c r="R258" s="65"/>
      <c r="AG258" s="91"/>
    </row>
    <row r="259" ht="15.0" customHeight="1">
      <c r="C259" s="3"/>
      <c r="G259" s="141"/>
      <c r="H259" s="3"/>
      <c r="R259" s="65"/>
      <c r="AG259" s="91"/>
    </row>
    <row r="260" ht="15.0" customHeight="1">
      <c r="C260" s="3"/>
      <c r="G260" s="141"/>
      <c r="H260" s="3"/>
      <c r="R260" s="65"/>
      <c r="AG260" s="91"/>
    </row>
    <row r="261" ht="15.0" customHeight="1">
      <c r="C261" s="3"/>
      <c r="G261" s="141"/>
      <c r="H261" s="3"/>
      <c r="R261" s="65"/>
      <c r="AG261" s="91"/>
    </row>
    <row r="262" ht="15.0" customHeight="1">
      <c r="C262" s="3"/>
      <c r="G262" s="141"/>
      <c r="H262" s="3"/>
      <c r="R262" s="65"/>
      <c r="AG262" s="91"/>
    </row>
    <row r="263" ht="15.0" customHeight="1">
      <c r="C263" s="3"/>
      <c r="G263" s="141"/>
      <c r="H263" s="3"/>
      <c r="R263" s="65"/>
      <c r="AG263" s="91"/>
    </row>
    <row r="264" ht="15.0" customHeight="1">
      <c r="C264" s="3"/>
      <c r="G264" s="141"/>
      <c r="H264" s="3"/>
      <c r="R264" s="65"/>
      <c r="AG264" s="91"/>
    </row>
    <row r="265" ht="15.0" customHeight="1">
      <c r="C265" s="3"/>
      <c r="G265" s="141"/>
      <c r="H265" s="3"/>
      <c r="R265" s="65"/>
      <c r="AG265" s="91"/>
    </row>
    <row r="266" ht="15.0" customHeight="1">
      <c r="C266" s="3"/>
      <c r="G266" s="141"/>
      <c r="H266" s="3"/>
      <c r="R266" s="65"/>
      <c r="AG266" s="91"/>
    </row>
    <row r="267" ht="15.0" customHeight="1">
      <c r="C267" s="3"/>
      <c r="G267" s="141"/>
      <c r="H267" s="3"/>
      <c r="R267" s="65"/>
      <c r="AG267" s="91"/>
    </row>
    <row r="268" ht="15.0" customHeight="1">
      <c r="C268" s="3"/>
      <c r="G268" s="141"/>
      <c r="H268" s="3"/>
      <c r="R268" s="65"/>
      <c r="AG268" s="91"/>
    </row>
    <row r="269" ht="15.0" customHeight="1">
      <c r="C269" s="3"/>
      <c r="G269" s="141"/>
      <c r="H269" s="3"/>
      <c r="R269" s="65"/>
      <c r="AG269" s="91"/>
    </row>
    <row r="270" ht="15.0" customHeight="1">
      <c r="C270" s="3"/>
      <c r="G270" s="141"/>
      <c r="H270" s="3"/>
      <c r="R270" s="65"/>
      <c r="AG270" s="91"/>
    </row>
    <row r="271" ht="15.0" customHeight="1">
      <c r="C271" s="3"/>
      <c r="G271" s="141"/>
      <c r="H271" s="3"/>
      <c r="R271" s="65"/>
      <c r="AG271" s="91"/>
    </row>
    <row r="272" ht="15.0" customHeight="1">
      <c r="C272" s="3"/>
      <c r="G272" s="141"/>
      <c r="H272" s="3"/>
      <c r="R272" s="65"/>
      <c r="AG272" s="91"/>
    </row>
    <row r="273" ht="15.0" customHeight="1">
      <c r="C273" s="3"/>
      <c r="G273" s="141"/>
      <c r="H273" s="3"/>
      <c r="R273" s="65"/>
      <c r="AG273" s="91"/>
    </row>
    <row r="274" ht="15.0" customHeight="1">
      <c r="C274" s="3"/>
      <c r="G274" s="141"/>
      <c r="H274" s="3"/>
      <c r="R274" s="65"/>
      <c r="AG274" s="91"/>
    </row>
    <row r="275" ht="15.0" customHeight="1">
      <c r="C275" s="3"/>
      <c r="G275" s="141"/>
      <c r="H275" s="3"/>
      <c r="R275" s="65"/>
      <c r="AG275" s="91"/>
    </row>
    <row r="276" ht="15.0" customHeight="1">
      <c r="C276" s="3"/>
      <c r="G276" s="141"/>
      <c r="H276" s="3"/>
      <c r="R276" s="65"/>
      <c r="AG276" s="91"/>
    </row>
    <row r="277" ht="15.0" customHeight="1">
      <c r="C277" s="3"/>
      <c r="G277" s="141"/>
      <c r="H277" s="3"/>
      <c r="R277" s="65"/>
      <c r="AG277" s="91"/>
    </row>
    <row r="278" ht="15.0" customHeight="1">
      <c r="C278" s="3"/>
      <c r="G278" s="141"/>
      <c r="H278" s="3"/>
      <c r="R278" s="65"/>
      <c r="AG278" s="91"/>
    </row>
    <row r="279" ht="15.0" customHeight="1">
      <c r="C279" s="3"/>
      <c r="G279" s="141"/>
      <c r="H279" s="3"/>
      <c r="R279" s="65"/>
      <c r="AG279" s="91"/>
    </row>
    <row r="280" ht="15.0" customHeight="1">
      <c r="C280" s="3"/>
      <c r="G280" s="141"/>
      <c r="H280" s="3"/>
      <c r="R280" s="65"/>
      <c r="AG280" s="91"/>
    </row>
    <row r="281" ht="15.0" customHeight="1">
      <c r="C281" s="3"/>
      <c r="G281" s="141"/>
      <c r="H281" s="3"/>
      <c r="R281" s="65"/>
      <c r="AG281" s="91"/>
    </row>
    <row r="282" ht="15.0" customHeight="1">
      <c r="C282" s="3"/>
      <c r="G282" s="141"/>
      <c r="H282" s="3"/>
      <c r="R282" s="65"/>
      <c r="AG282" s="91"/>
    </row>
    <row r="283" ht="15.0" customHeight="1">
      <c r="C283" s="3"/>
      <c r="G283" s="141"/>
      <c r="H283" s="3"/>
      <c r="R283" s="65"/>
      <c r="AG283" s="91"/>
    </row>
    <row r="284" ht="15.0" customHeight="1">
      <c r="C284" s="3"/>
      <c r="G284" s="141"/>
      <c r="H284" s="3"/>
      <c r="R284" s="65"/>
      <c r="AG284" s="91"/>
    </row>
    <row r="285" ht="15.0" customHeight="1">
      <c r="C285" s="3"/>
      <c r="G285" s="141"/>
      <c r="H285" s="3"/>
      <c r="R285" s="65"/>
      <c r="AG285" s="91"/>
    </row>
    <row r="286" ht="15.0" customHeight="1">
      <c r="C286" s="3"/>
      <c r="G286" s="141"/>
      <c r="H286" s="3"/>
      <c r="R286" s="65"/>
      <c r="AG286" s="91"/>
    </row>
    <row r="287" ht="15.0" customHeight="1">
      <c r="C287" s="3"/>
      <c r="G287" s="141"/>
      <c r="H287" s="3"/>
      <c r="R287" s="65"/>
      <c r="AG287" s="91"/>
    </row>
    <row r="288" ht="15.0" customHeight="1">
      <c r="C288" s="3"/>
      <c r="G288" s="141"/>
      <c r="H288" s="3"/>
      <c r="R288" s="65"/>
      <c r="AG288" s="91"/>
    </row>
    <row r="289" ht="15.0" customHeight="1">
      <c r="C289" s="3"/>
      <c r="G289" s="141"/>
      <c r="H289" s="3"/>
      <c r="R289" s="65"/>
      <c r="AG289" s="91"/>
    </row>
    <row r="290" ht="15.0" customHeight="1">
      <c r="C290" s="3"/>
      <c r="G290" s="141"/>
      <c r="H290" s="3"/>
      <c r="R290" s="65"/>
      <c r="AG290" s="91"/>
    </row>
    <row r="291" ht="15.0" customHeight="1">
      <c r="C291" s="3"/>
      <c r="G291" s="141"/>
      <c r="H291" s="3"/>
      <c r="R291" s="65"/>
      <c r="AG291" s="91"/>
    </row>
    <row r="292" ht="15.0" customHeight="1">
      <c r="C292" s="3"/>
      <c r="G292" s="141"/>
      <c r="H292" s="3"/>
      <c r="R292" s="65"/>
      <c r="AG292" s="91"/>
    </row>
    <row r="293" ht="15.0" customHeight="1">
      <c r="C293" s="3"/>
      <c r="G293" s="141"/>
      <c r="H293" s="3"/>
      <c r="R293" s="65"/>
      <c r="AG293" s="91"/>
    </row>
    <row r="294" ht="15.75" customHeight="1">
      <c r="C294" s="3"/>
      <c r="H294" s="3"/>
      <c r="AG294" s="91"/>
    </row>
    <row r="295" ht="15.75" customHeight="1">
      <c r="C295" s="3"/>
      <c r="H295" s="3"/>
      <c r="AG295" s="91"/>
    </row>
    <row r="296" ht="15.75" customHeight="1">
      <c r="C296" s="3"/>
      <c r="H296" s="3"/>
      <c r="AG296" s="91"/>
    </row>
    <row r="297" ht="15.75" customHeight="1">
      <c r="C297" s="3"/>
      <c r="H297" s="3"/>
      <c r="AG297" s="91"/>
    </row>
    <row r="298" ht="15.75" customHeight="1">
      <c r="C298" s="3"/>
      <c r="H298" s="3"/>
      <c r="AG298" s="91"/>
    </row>
    <row r="299" ht="15.75" customHeight="1">
      <c r="C299" s="3"/>
      <c r="H299" s="3"/>
      <c r="AG299" s="91"/>
    </row>
    <row r="300" ht="15.75" customHeight="1">
      <c r="C300" s="3"/>
      <c r="H300" s="3"/>
      <c r="AG300" s="91"/>
    </row>
    <row r="301" ht="15.75" customHeight="1">
      <c r="C301" s="3"/>
      <c r="H301" s="3"/>
      <c r="AG301" s="91"/>
    </row>
    <row r="302" ht="15.75" customHeight="1">
      <c r="C302" s="3"/>
      <c r="H302" s="3"/>
      <c r="AG302" s="91"/>
    </row>
    <row r="303" ht="15.75" customHeight="1">
      <c r="C303" s="3"/>
      <c r="H303" s="3"/>
      <c r="AG303" s="91"/>
    </row>
    <row r="304" ht="15.75" customHeight="1">
      <c r="C304" s="3"/>
      <c r="H304" s="3"/>
      <c r="AG304" s="91"/>
    </row>
    <row r="305" ht="15.75" customHeight="1">
      <c r="C305" s="3"/>
      <c r="H305" s="3"/>
      <c r="AG305" s="91"/>
    </row>
    <row r="306" ht="15.75" customHeight="1">
      <c r="C306" s="3"/>
      <c r="H306" s="3"/>
      <c r="AG306" s="91"/>
    </row>
    <row r="307" ht="15.75" customHeight="1">
      <c r="C307" s="3"/>
      <c r="H307" s="3"/>
      <c r="AG307" s="91"/>
    </row>
    <row r="308" ht="15.75" customHeight="1">
      <c r="C308" s="3"/>
      <c r="H308" s="3"/>
      <c r="AG308" s="91"/>
    </row>
    <row r="309" ht="15.75" customHeight="1">
      <c r="C309" s="3"/>
      <c r="H309" s="3"/>
      <c r="AG309" s="91"/>
    </row>
    <row r="310" ht="15.75" customHeight="1">
      <c r="C310" s="3"/>
      <c r="H310" s="3"/>
      <c r="AG310" s="91"/>
    </row>
    <row r="311" ht="15.75" customHeight="1">
      <c r="C311" s="3"/>
      <c r="H311" s="3"/>
      <c r="AG311" s="91"/>
    </row>
    <row r="312" ht="15.75" customHeight="1">
      <c r="C312" s="3"/>
      <c r="H312" s="3"/>
      <c r="AG312" s="91"/>
    </row>
    <row r="313" ht="15.75" customHeight="1">
      <c r="C313" s="3"/>
      <c r="H313" s="3"/>
      <c r="AG313" s="91"/>
    </row>
    <row r="314" ht="15.75" customHeight="1">
      <c r="C314" s="3"/>
      <c r="H314" s="3"/>
      <c r="AG314" s="91"/>
    </row>
    <row r="315" ht="15.75" customHeight="1">
      <c r="C315" s="3"/>
      <c r="H315" s="3"/>
      <c r="AG315" s="91"/>
    </row>
    <row r="316" ht="15.75" customHeight="1">
      <c r="C316" s="3"/>
      <c r="H316" s="3"/>
      <c r="AG316" s="91"/>
    </row>
    <row r="317" ht="15.75" customHeight="1">
      <c r="C317" s="3"/>
      <c r="H317" s="3"/>
      <c r="AG317" s="91"/>
    </row>
    <row r="318" ht="15.75" customHeight="1">
      <c r="C318" s="3"/>
      <c r="H318" s="3"/>
      <c r="AG318" s="91"/>
    </row>
    <row r="319" ht="15.75" customHeight="1">
      <c r="C319" s="3"/>
      <c r="H319" s="3"/>
      <c r="AG319" s="91"/>
    </row>
    <row r="320" ht="15.75" customHeight="1">
      <c r="C320" s="3"/>
      <c r="H320" s="3"/>
      <c r="AG320" s="91"/>
    </row>
    <row r="321" ht="15.75" customHeight="1">
      <c r="C321" s="3"/>
      <c r="H321" s="3"/>
      <c r="AG321" s="91"/>
    </row>
    <row r="322" ht="15.75" customHeight="1">
      <c r="C322" s="3"/>
      <c r="H322" s="3"/>
      <c r="AG322" s="91"/>
    </row>
    <row r="323" ht="15.75" customHeight="1">
      <c r="C323" s="3"/>
      <c r="H323" s="3"/>
      <c r="AG323" s="91"/>
    </row>
    <row r="324" ht="15.75" customHeight="1">
      <c r="C324" s="3"/>
      <c r="H324" s="3"/>
      <c r="AG324" s="91"/>
    </row>
    <row r="325" ht="15.75" customHeight="1">
      <c r="C325" s="3"/>
      <c r="H325" s="3"/>
      <c r="AG325" s="91"/>
    </row>
    <row r="326" ht="15.75" customHeight="1">
      <c r="C326" s="3"/>
      <c r="H326" s="3"/>
      <c r="AG326" s="91"/>
    </row>
    <row r="327" ht="15.75" customHeight="1">
      <c r="C327" s="3"/>
      <c r="H327" s="3"/>
      <c r="AG327" s="91"/>
    </row>
    <row r="328" ht="15.75" customHeight="1">
      <c r="C328" s="3"/>
      <c r="H328" s="3"/>
      <c r="AG328" s="91"/>
    </row>
    <row r="329" ht="15.75" customHeight="1">
      <c r="C329" s="3"/>
      <c r="H329" s="3"/>
      <c r="AG329" s="91"/>
    </row>
    <row r="330" ht="15.75" customHeight="1">
      <c r="C330" s="3"/>
      <c r="H330" s="3"/>
      <c r="AG330" s="91"/>
    </row>
    <row r="331" ht="15.75" customHeight="1">
      <c r="C331" s="3"/>
      <c r="H331" s="3"/>
      <c r="AG331" s="91"/>
    </row>
    <row r="332" ht="15.75" customHeight="1">
      <c r="C332" s="3"/>
      <c r="H332" s="3"/>
      <c r="AG332" s="91"/>
    </row>
    <row r="333" ht="15.75" customHeight="1">
      <c r="C333" s="3"/>
      <c r="H333" s="3"/>
      <c r="AG333" s="91"/>
    </row>
    <row r="334" ht="15.75" customHeight="1">
      <c r="C334" s="3"/>
      <c r="H334" s="3"/>
      <c r="AG334" s="91"/>
    </row>
    <row r="335" ht="15.75" customHeight="1">
      <c r="C335" s="3"/>
      <c r="H335" s="3"/>
      <c r="AG335" s="91"/>
    </row>
    <row r="336" ht="15.75" customHeight="1">
      <c r="C336" s="3"/>
      <c r="H336" s="3"/>
      <c r="AG336" s="91"/>
    </row>
    <row r="337" ht="15.75" customHeight="1">
      <c r="C337" s="3"/>
      <c r="H337" s="3"/>
      <c r="AG337" s="91"/>
    </row>
    <row r="338" ht="15.75" customHeight="1">
      <c r="C338" s="3"/>
      <c r="H338" s="3"/>
      <c r="AG338" s="91"/>
    </row>
    <row r="339" ht="15.75" customHeight="1">
      <c r="C339" s="3"/>
      <c r="H339" s="3"/>
      <c r="AG339" s="91"/>
    </row>
    <row r="340" ht="15.75" customHeight="1">
      <c r="C340" s="3"/>
      <c r="H340" s="3"/>
      <c r="AG340" s="91"/>
    </row>
    <row r="341" ht="15.75" customHeight="1">
      <c r="C341" s="3"/>
      <c r="H341" s="3"/>
      <c r="AG341" s="91"/>
    </row>
    <row r="342" ht="15.75" customHeight="1">
      <c r="C342" s="3"/>
      <c r="H342" s="3"/>
      <c r="AG342" s="91"/>
    </row>
    <row r="343" ht="15.75" customHeight="1">
      <c r="C343" s="3"/>
      <c r="H343" s="3"/>
      <c r="AG343" s="91"/>
    </row>
    <row r="344" ht="15.75" customHeight="1">
      <c r="C344" s="3"/>
      <c r="H344" s="3"/>
      <c r="AG344" s="91"/>
    </row>
    <row r="345" ht="15.75" customHeight="1">
      <c r="C345" s="3"/>
      <c r="H345" s="3"/>
      <c r="AG345" s="91"/>
    </row>
    <row r="346" ht="15.75" customHeight="1">
      <c r="C346" s="3"/>
      <c r="H346" s="3"/>
      <c r="AG346" s="91"/>
    </row>
    <row r="347" ht="15.75" customHeight="1">
      <c r="C347" s="3"/>
      <c r="H347" s="3"/>
      <c r="AG347" s="91"/>
    </row>
    <row r="348" ht="15.75" customHeight="1">
      <c r="C348" s="3"/>
      <c r="H348" s="3"/>
      <c r="AG348" s="91"/>
    </row>
    <row r="349" ht="15.75" customHeight="1">
      <c r="C349" s="3"/>
      <c r="H349" s="3"/>
      <c r="AG349" s="91"/>
    </row>
    <row r="350" ht="15.75" customHeight="1">
      <c r="C350" s="3"/>
      <c r="H350" s="3"/>
      <c r="AG350" s="91"/>
    </row>
    <row r="351" ht="15.75" customHeight="1">
      <c r="C351" s="3"/>
      <c r="H351" s="3"/>
      <c r="AG351" s="91"/>
    </row>
    <row r="352" ht="15.75" customHeight="1">
      <c r="C352" s="3"/>
      <c r="H352" s="3"/>
      <c r="AG352" s="91"/>
    </row>
    <row r="353" ht="15.75" customHeight="1">
      <c r="C353" s="3"/>
      <c r="H353" s="3"/>
      <c r="AG353" s="91"/>
    </row>
    <row r="354" ht="15.75" customHeight="1">
      <c r="C354" s="3"/>
      <c r="H354" s="3"/>
      <c r="AG354" s="91"/>
    </row>
    <row r="355" ht="15.75" customHeight="1">
      <c r="C355" s="3"/>
      <c r="H355" s="3"/>
      <c r="AG355" s="91"/>
    </row>
    <row r="356" ht="15.75" customHeight="1">
      <c r="C356" s="3"/>
      <c r="H356" s="3"/>
      <c r="AG356" s="91"/>
    </row>
    <row r="357" ht="15.75" customHeight="1">
      <c r="C357" s="3"/>
      <c r="H357" s="3"/>
      <c r="AG357" s="91"/>
    </row>
    <row r="358" ht="15.75" customHeight="1">
      <c r="C358" s="3"/>
      <c r="H358" s="3"/>
      <c r="AG358" s="91"/>
    </row>
    <row r="359" ht="15.75" customHeight="1">
      <c r="C359" s="3"/>
      <c r="H359" s="3"/>
      <c r="AG359" s="91"/>
    </row>
    <row r="360" ht="15.75" customHeight="1">
      <c r="C360" s="3"/>
      <c r="H360" s="3"/>
      <c r="AG360" s="91"/>
    </row>
    <row r="361" ht="15.75" customHeight="1">
      <c r="C361" s="3"/>
      <c r="H361" s="3"/>
      <c r="AG361" s="91"/>
    </row>
    <row r="362" ht="15.75" customHeight="1">
      <c r="C362" s="3"/>
      <c r="H362" s="3"/>
      <c r="AG362" s="91"/>
    </row>
    <row r="363" ht="15.75" customHeight="1">
      <c r="C363" s="3"/>
      <c r="H363" s="3"/>
      <c r="AG363" s="91"/>
    </row>
    <row r="364" ht="15.75" customHeight="1">
      <c r="C364" s="3"/>
      <c r="H364" s="3"/>
      <c r="AG364" s="91"/>
    </row>
    <row r="365" ht="15.75" customHeight="1">
      <c r="C365" s="3"/>
      <c r="H365" s="3"/>
      <c r="AG365" s="91"/>
    </row>
    <row r="366" ht="15.75" customHeight="1">
      <c r="C366" s="3"/>
      <c r="H366" s="3"/>
      <c r="AG366" s="91"/>
    </row>
    <row r="367" ht="15.75" customHeight="1">
      <c r="C367" s="3"/>
      <c r="H367" s="3"/>
      <c r="AG367" s="91"/>
    </row>
    <row r="368" ht="15.75" customHeight="1">
      <c r="C368" s="3"/>
      <c r="H368" s="3"/>
      <c r="AG368" s="91"/>
    </row>
    <row r="369" ht="15.75" customHeight="1">
      <c r="C369" s="3"/>
      <c r="H369" s="3"/>
      <c r="AG369" s="91"/>
    </row>
    <row r="370" ht="15.75" customHeight="1">
      <c r="C370" s="3"/>
      <c r="H370" s="3"/>
      <c r="AG370" s="91"/>
    </row>
    <row r="371" ht="15.75" customHeight="1">
      <c r="C371" s="3"/>
      <c r="H371" s="3"/>
      <c r="AG371" s="91"/>
    </row>
    <row r="372" ht="15.75" customHeight="1">
      <c r="C372" s="3"/>
      <c r="H372" s="3"/>
      <c r="AG372" s="91"/>
    </row>
    <row r="373" ht="15.75" customHeight="1">
      <c r="C373" s="3"/>
      <c r="H373" s="3"/>
      <c r="AG373" s="91"/>
    </row>
    <row r="374" ht="15.75" customHeight="1">
      <c r="C374" s="3"/>
      <c r="H374" s="3"/>
      <c r="AG374" s="91"/>
    </row>
    <row r="375" ht="15.75" customHeight="1">
      <c r="C375" s="3"/>
      <c r="H375" s="3"/>
      <c r="AG375" s="91"/>
    </row>
    <row r="376" ht="15.75" customHeight="1">
      <c r="C376" s="3"/>
      <c r="H376" s="3"/>
      <c r="AG376" s="91"/>
    </row>
    <row r="377" ht="15.75" customHeight="1">
      <c r="C377" s="3"/>
      <c r="H377" s="3"/>
      <c r="AG377" s="91"/>
    </row>
    <row r="378" ht="15.75" customHeight="1">
      <c r="C378" s="3"/>
      <c r="H378" s="3"/>
      <c r="AG378" s="91"/>
    </row>
    <row r="379" ht="15.75" customHeight="1">
      <c r="C379" s="3"/>
      <c r="H379" s="3"/>
      <c r="AG379" s="91"/>
    </row>
    <row r="380" ht="15.75" customHeight="1">
      <c r="C380" s="3"/>
      <c r="H380" s="3"/>
      <c r="AG380" s="91"/>
    </row>
    <row r="381" ht="15.75" customHeight="1">
      <c r="C381" s="3"/>
      <c r="H381" s="3"/>
      <c r="AG381" s="91"/>
    </row>
    <row r="382" ht="15.75" customHeight="1">
      <c r="C382" s="3"/>
      <c r="H382" s="3"/>
      <c r="AG382" s="91"/>
    </row>
    <row r="383" ht="15.75" customHeight="1">
      <c r="C383" s="3"/>
      <c r="H383" s="3"/>
      <c r="AG383" s="91"/>
    </row>
    <row r="384" ht="15.75" customHeight="1">
      <c r="C384" s="3"/>
      <c r="H384" s="3"/>
      <c r="AG384" s="91"/>
    </row>
    <row r="385" ht="15.75" customHeight="1">
      <c r="C385" s="3"/>
      <c r="H385" s="3"/>
      <c r="AG385" s="91"/>
    </row>
    <row r="386" ht="15.75" customHeight="1">
      <c r="C386" s="3"/>
      <c r="H386" s="3"/>
      <c r="AG386" s="91"/>
    </row>
    <row r="387" ht="15.75" customHeight="1">
      <c r="C387" s="3"/>
      <c r="H387" s="3"/>
      <c r="AG387" s="91"/>
    </row>
    <row r="388" ht="15.75" customHeight="1">
      <c r="C388" s="3"/>
      <c r="H388" s="3"/>
      <c r="AG388" s="91"/>
    </row>
    <row r="389" ht="15.75" customHeight="1">
      <c r="C389" s="3"/>
      <c r="H389" s="3"/>
      <c r="AG389" s="91"/>
    </row>
    <row r="390" ht="15.75" customHeight="1">
      <c r="C390" s="3"/>
      <c r="H390" s="3"/>
      <c r="AG390" s="91"/>
    </row>
    <row r="391" ht="15.75" customHeight="1">
      <c r="C391" s="3"/>
      <c r="H391" s="3"/>
      <c r="AG391" s="91"/>
    </row>
    <row r="392" ht="15.75" customHeight="1">
      <c r="C392" s="3"/>
      <c r="H392" s="3"/>
      <c r="AG392" s="91"/>
    </row>
    <row r="393" ht="15.75" customHeight="1">
      <c r="C393" s="3"/>
      <c r="H393" s="3"/>
      <c r="AG393" s="91"/>
    </row>
    <row r="394" ht="15.75" customHeight="1">
      <c r="C394" s="3"/>
      <c r="H394" s="3"/>
      <c r="AG394" s="91"/>
    </row>
    <row r="395" ht="15.75" customHeight="1">
      <c r="C395" s="3"/>
      <c r="H395" s="3"/>
      <c r="AG395" s="91"/>
    </row>
    <row r="396" ht="15.75" customHeight="1">
      <c r="C396" s="3"/>
      <c r="H396" s="3"/>
      <c r="AG396" s="91"/>
    </row>
    <row r="397" ht="15.75" customHeight="1">
      <c r="C397" s="3"/>
      <c r="H397" s="3"/>
      <c r="AG397" s="91"/>
    </row>
    <row r="398" ht="15.75" customHeight="1">
      <c r="C398" s="3"/>
      <c r="H398" s="3"/>
      <c r="AG398" s="91"/>
    </row>
    <row r="399" ht="15.75" customHeight="1">
      <c r="C399" s="3"/>
      <c r="H399" s="3"/>
      <c r="AG399" s="91"/>
    </row>
    <row r="400" ht="15.75" customHeight="1">
      <c r="C400" s="3"/>
      <c r="H400" s="3"/>
      <c r="AG400" s="91"/>
    </row>
    <row r="401" ht="15.75" customHeight="1">
      <c r="C401" s="3"/>
      <c r="H401" s="3"/>
      <c r="AG401" s="91"/>
    </row>
    <row r="402" ht="15.75" customHeight="1">
      <c r="C402" s="3"/>
      <c r="H402" s="3"/>
      <c r="AG402" s="91"/>
    </row>
    <row r="403" ht="15.75" customHeight="1">
      <c r="C403" s="3"/>
      <c r="H403" s="3"/>
      <c r="AG403" s="91"/>
    </row>
    <row r="404" ht="15.75" customHeight="1">
      <c r="C404" s="3"/>
      <c r="H404" s="3"/>
      <c r="AG404" s="91"/>
    </row>
    <row r="405" ht="15.75" customHeight="1">
      <c r="C405" s="3"/>
      <c r="H405" s="3"/>
      <c r="AG405" s="91"/>
    </row>
    <row r="406" ht="15.75" customHeight="1">
      <c r="C406" s="3"/>
      <c r="H406" s="3"/>
      <c r="AG406" s="91"/>
    </row>
    <row r="407" ht="15.75" customHeight="1">
      <c r="C407" s="3"/>
      <c r="H407" s="3"/>
      <c r="AG407" s="91"/>
    </row>
    <row r="408" ht="15.75" customHeight="1">
      <c r="C408" s="3"/>
      <c r="H408" s="3"/>
      <c r="AG408" s="91"/>
    </row>
    <row r="409" ht="15.75" customHeight="1">
      <c r="C409" s="3"/>
      <c r="H409" s="3"/>
      <c r="AG409" s="91"/>
    </row>
    <row r="410" ht="15.75" customHeight="1">
      <c r="C410" s="3"/>
      <c r="H410" s="3"/>
      <c r="AG410" s="91"/>
    </row>
    <row r="411" ht="15.75" customHeight="1">
      <c r="C411" s="3"/>
      <c r="H411" s="3"/>
      <c r="AG411" s="91"/>
    </row>
    <row r="412" ht="15.75" customHeight="1">
      <c r="C412" s="3"/>
      <c r="H412" s="3"/>
      <c r="AG412" s="91"/>
    </row>
    <row r="413" ht="15.75" customHeight="1">
      <c r="C413" s="3"/>
      <c r="H413" s="3"/>
      <c r="AG413" s="91"/>
    </row>
    <row r="414" ht="15.75" customHeight="1">
      <c r="C414" s="3"/>
      <c r="H414" s="3"/>
      <c r="AG414" s="91"/>
    </row>
    <row r="415" ht="15.75" customHeight="1">
      <c r="C415" s="3"/>
      <c r="H415" s="3"/>
      <c r="AG415" s="91"/>
    </row>
    <row r="416" ht="15.75" customHeight="1">
      <c r="C416" s="3"/>
      <c r="H416" s="3"/>
      <c r="AG416" s="91"/>
    </row>
    <row r="417" ht="15.75" customHeight="1">
      <c r="C417" s="3"/>
      <c r="H417" s="3"/>
      <c r="AG417" s="91"/>
    </row>
    <row r="418" ht="15.75" customHeight="1">
      <c r="C418" s="3"/>
      <c r="H418" s="3"/>
      <c r="AG418" s="91"/>
    </row>
    <row r="419" ht="15.75" customHeight="1">
      <c r="C419" s="3"/>
      <c r="H419" s="3"/>
      <c r="AG419" s="91"/>
    </row>
    <row r="420" ht="15.75" customHeight="1">
      <c r="C420" s="3"/>
      <c r="H420" s="3"/>
      <c r="AG420" s="91"/>
    </row>
    <row r="421" ht="15.75" customHeight="1">
      <c r="C421" s="3"/>
      <c r="H421" s="3"/>
      <c r="AG421" s="91"/>
    </row>
    <row r="422" ht="15.75" customHeight="1">
      <c r="C422" s="3"/>
      <c r="H422" s="3"/>
      <c r="AG422" s="91"/>
    </row>
    <row r="423" ht="15.75" customHeight="1">
      <c r="C423" s="3"/>
      <c r="H423" s="3"/>
      <c r="AG423" s="91"/>
    </row>
    <row r="424" ht="15.75" customHeight="1">
      <c r="C424" s="3"/>
      <c r="H424" s="3"/>
      <c r="AG424" s="91"/>
    </row>
    <row r="425" ht="15.75" customHeight="1">
      <c r="C425" s="3"/>
      <c r="H425" s="3"/>
      <c r="AG425" s="91"/>
    </row>
    <row r="426" ht="15.75" customHeight="1">
      <c r="C426" s="3"/>
      <c r="H426" s="3"/>
      <c r="AG426" s="91"/>
    </row>
    <row r="427" ht="15.75" customHeight="1">
      <c r="C427" s="3"/>
      <c r="H427" s="3"/>
      <c r="AG427" s="91"/>
    </row>
    <row r="428" ht="15.75" customHeight="1">
      <c r="C428" s="3"/>
      <c r="H428" s="3"/>
      <c r="AG428" s="91"/>
    </row>
    <row r="429" ht="15.75" customHeight="1">
      <c r="C429" s="3"/>
      <c r="H429" s="3"/>
      <c r="AG429" s="91"/>
    </row>
    <row r="430" ht="15.75" customHeight="1">
      <c r="C430" s="3"/>
      <c r="H430" s="3"/>
      <c r="AG430" s="91"/>
    </row>
    <row r="431" ht="15.75" customHeight="1">
      <c r="C431" s="3"/>
      <c r="H431" s="3"/>
      <c r="AG431" s="91"/>
    </row>
    <row r="432" ht="15.75" customHeight="1">
      <c r="C432" s="3"/>
      <c r="H432" s="3"/>
      <c r="AG432" s="91"/>
    </row>
    <row r="433" ht="15.75" customHeight="1">
      <c r="C433" s="3"/>
      <c r="H433" s="3"/>
      <c r="AG433" s="91"/>
    </row>
    <row r="434" ht="15.75" customHeight="1">
      <c r="C434" s="3"/>
      <c r="H434" s="3"/>
      <c r="AG434" s="91"/>
    </row>
    <row r="435" ht="15.75" customHeight="1">
      <c r="C435" s="3"/>
      <c r="H435" s="3"/>
      <c r="AG435" s="91"/>
    </row>
    <row r="436" ht="15.75" customHeight="1">
      <c r="C436" s="3"/>
      <c r="H436" s="3"/>
      <c r="AG436" s="91"/>
    </row>
    <row r="437" ht="15.75" customHeight="1">
      <c r="C437" s="3"/>
      <c r="H437" s="3"/>
      <c r="AG437" s="91"/>
    </row>
    <row r="438" ht="15.75" customHeight="1">
      <c r="C438" s="3"/>
      <c r="H438" s="3"/>
      <c r="AG438" s="91"/>
    </row>
    <row r="439" ht="15.75" customHeight="1">
      <c r="C439" s="3"/>
      <c r="H439" s="3"/>
      <c r="AG439" s="91"/>
    </row>
    <row r="440" ht="15.75" customHeight="1">
      <c r="C440" s="3"/>
      <c r="H440" s="3"/>
      <c r="AG440" s="91"/>
    </row>
    <row r="441" ht="15.75" customHeight="1">
      <c r="C441" s="3"/>
      <c r="H441" s="3"/>
      <c r="AG441" s="91"/>
    </row>
    <row r="442" ht="15.75" customHeight="1">
      <c r="C442" s="3"/>
      <c r="H442" s="3"/>
      <c r="AG442" s="91"/>
    </row>
    <row r="443" ht="15.75" customHeight="1">
      <c r="C443" s="3"/>
      <c r="H443" s="3"/>
      <c r="AG443" s="91"/>
    </row>
    <row r="444" ht="15.75" customHeight="1">
      <c r="C444" s="3"/>
      <c r="H444" s="3"/>
      <c r="AG444" s="91"/>
    </row>
    <row r="445" ht="15.75" customHeight="1">
      <c r="C445" s="3"/>
      <c r="H445" s="3"/>
      <c r="AG445" s="91"/>
    </row>
    <row r="446" ht="15.75" customHeight="1">
      <c r="C446" s="3"/>
      <c r="H446" s="3"/>
      <c r="AG446" s="91"/>
    </row>
    <row r="447" ht="15.75" customHeight="1">
      <c r="C447" s="3"/>
      <c r="H447" s="3"/>
      <c r="AG447" s="91"/>
    </row>
    <row r="448" ht="15.75" customHeight="1">
      <c r="C448" s="3"/>
      <c r="H448" s="3"/>
      <c r="AG448" s="91"/>
    </row>
    <row r="449" ht="15.75" customHeight="1">
      <c r="C449" s="3"/>
      <c r="H449" s="3"/>
      <c r="AG449" s="91"/>
    </row>
    <row r="450" ht="15.75" customHeight="1">
      <c r="C450" s="3"/>
      <c r="H450" s="3"/>
      <c r="AG450" s="91"/>
    </row>
    <row r="451" ht="15.75" customHeight="1">
      <c r="C451" s="3"/>
      <c r="H451" s="3"/>
      <c r="AG451" s="91"/>
    </row>
    <row r="452" ht="15.75" customHeight="1">
      <c r="C452" s="3"/>
      <c r="H452" s="3"/>
      <c r="AG452" s="91"/>
    </row>
    <row r="453" ht="15.75" customHeight="1">
      <c r="C453" s="3"/>
      <c r="H453" s="3"/>
      <c r="AG453" s="91"/>
    </row>
    <row r="454" ht="15.75" customHeight="1">
      <c r="C454" s="3"/>
      <c r="H454" s="3"/>
      <c r="AG454" s="91"/>
    </row>
    <row r="455" ht="15.75" customHeight="1">
      <c r="C455" s="3"/>
      <c r="H455" s="3"/>
      <c r="AG455" s="91"/>
    </row>
    <row r="456" ht="15.75" customHeight="1">
      <c r="C456" s="3"/>
      <c r="H456" s="3"/>
      <c r="AG456" s="91"/>
    </row>
    <row r="457" ht="15.75" customHeight="1">
      <c r="C457" s="3"/>
      <c r="H457" s="3"/>
      <c r="AG457" s="91"/>
    </row>
    <row r="458" ht="15.75" customHeight="1">
      <c r="C458" s="3"/>
      <c r="H458" s="3"/>
      <c r="AG458" s="91"/>
    </row>
    <row r="459" ht="15.75" customHeight="1">
      <c r="C459" s="3"/>
      <c r="H459" s="3"/>
      <c r="AG459" s="91"/>
    </row>
    <row r="460" ht="15.75" customHeight="1">
      <c r="C460" s="3"/>
      <c r="H460" s="3"/>
      <c r="AG460" s="91"/>
    </row>
    <row r="461" ht="15.75" customHeight="1">
      <c r="C461" s="3"/>
      <c r="H461" s="3"/>
      <c r="AG461" s="91"/>
    </row>
    <row r="462" ht="15.75" customHeight="1">
      <c r="C462" s="3"/>
      <c r="H462" s="3"/>
      <c r="AG462" s="91"/>
    </row>
    <row r="463" ht="15.75" customHeight="1">
      <c r="C463" s="3"/>
      <c r="H463" s="3"/>
      <c r="AG463" s="91"/>
    </row>
    <row r="464" ht="15.75" customHeight="1">
      <c r="C464" s="3"/>
      <c r="H464" s="3"/>
      <c r="AG464" s="91"/>
    </row>
    <row r="465" ht="15.75" customHeight="1">
      <c r="C465" s="3"/>
      <c r="H465" s="3"/>
      <c r="AG465" s="91"/>
    </row>
    <row r="466" ht="15.75" customHeight="1">
      <c r="C466" s="3"/>
      <c r="H466" s="3"/>
      <c r="AG466" s="91"/>
    </row>
    <row r="467" ht="15.75" customHeight="1">
      <c r="C467" s="3"/>
      <c r="H467" s="3"/>
      <c r="AG467" s="91"/>
    </row>
    <row r="468" ht="15.75" customHeight="1">
      <c r="C468" s="3"/>
      <c r="H468" s="3"/>
      <c r="AG468" s="91"/>
    </row>
    <row r="469" ht="15.75" customHeight="1">
      <c r="C469" s="3"/>
      <c r="H469" s="3"/>
      <c r="AG469" s="91"/>
    </row>
    <row r="470" ht="15.75" customHeight="1">
      <c r="C470" s="3"/>
      <c r="H470" s="3"/>
      <c r="AG470" s="91"/>
    </row>
    <row r="471" ht="15.75" customHeight="1">
      <c r="C471" s="3"/>
      <c r="H471" s="3"/>
      <c r="AG471" s="91"/>
    </row>
    <row r="472" ht="15.75" customHeight="1">
      <c r="C472" s="3"/>
      <c r="H472" s="3"/>
      <c r="AG472" s="91"/>
    </row>
    <row r="473" ht="15.75" customHeight="1">
      <c r="C473" s="3"/>
      <c r="H473" s="3"/>
      <c r="AG473" s="91"/>
    </row>
    <row r="474" ht="15.75" customHeight="1">
      <c r="C474" s="3"/>
      <c r="H474" s="3"/>
      <c r="AG474" s="91"/>
    </row>
    <row r="475" ht="15.75" customHeight="1">
      <c r="C475" s="3"/>
      <c r="H475" s="3"/>
      <c r="AG475" s="91"/>
    </row>
    <row r="476" ht="15.75" customHeight="1">
      <c r="C476" s="3"/>
      <c r="H476" s="3"/>
      <c r="AG476" s="91"/>
    </row>
    <row r="477" ht="15.75" customHeight="1">
      <c r="C477" s="3"/>
      <c r="H477" s="3"/>
      <c r="AG477" s="91"/>
    </row>
    <row r="478" ht="15.75" customHeight="1">
      <c r="C478" s="3"/>
      <c r="H478" s="3"/>
      <c r="AG478" s="91"/>
    </row>
    <row r="479" ht="15.75" customHeight="1">
      <c r="C479" s="3"/>
      <c r="H479" s="3"/>
      <c r="AG479" s="91"/>
    </row>
    <row r="480" ht="15.75" customHeight="1">
      <c r="C480" s="3"/>
      <c r="H480" s="3"/>
      <c r="AG480" s="91"/>
    </row>
    <row r="481" ht="15.75" customHeight="1">
      <c r="C481" s="3"/>
      <c r="H481" s="3"/>
      <c r="AG481" s="91"/>
    </row>
    <row r="482" ht="15.75" customHeight="1">
      <c r="C482" s="3"/>
      <c r="H482" s="3"/>
      <c r="AG482" s="91"/>
    </row>
    <row r="483" ht="15.75" customHeight="1">
      <c r="C483" s="3"/>
      <c r="H483" s="3"/>
      <c r="AG483" s="91"/>
    </row>
    <row r="484" ht="15.75" customHeight="1">
      <c r="C484" s="3"/>
      <c r="H484" s="3"/>
      <c r="AG484" s="91"/>
    </row>
    <row r="485" ht="15.75" customHeight="1">
      <c r="C485" s="3"/>
      <c r="H485" s="3"/>
      <c r="AG485" s="91"/>
    </row>
    <row r="486" ht="15.75" customHeight="1">
      <c r="C486" s="3"/>
      <c r="H486" s="3"/>
      <c r="AG486" s="91"/>
    </row>
    <row r="487" ht="15.75" customHeight="1">
      <c r="C487" s="3"/>
      <c r="H487" s="3"/>
      <c r="AG487" s="91"/>
    </row>
    <row r="488" ht="15.75" customHeight="1">
      <c r="C488" s="3"/>
      <c r="H488" s="3"/>
      <c r="AG488" s="91"/>
    </row>
    <row r="489" ht="15.75" customHeight="1">
      <c r="C489" s="3"/>
      <c r="H489" s="3"/>
      <c r="AG489" s="91"/>
    </row>
    <row r="490" ht="15.75" customHeight="1">
      <c r="C490" s="3"/>
      <c r="H490" s="3"/>
      <c r="AG490" s="91"/>
    </row>
    <row r="491" ht="15.75" customHeight="1">
      <c r="C491" s="3"/>
      <c r="H491" s="3"/>
      <c r="AG491" s="91"/>
    </row>
    <row r="492" ht="15.75" customHeight="1">
      <c r="C492" s="3"/>
      <c r="H492" s="3"/>
      <c r="AG492" s="91"/>
    </row>
    <row r="493" ht="15.75" customHeight="1">
      <c r="C493" s="3"/>
      <c r="H493" s="3"/>
      <c r="AG493" s="91"/>
    </row>
    <row r="494" ht="15.75" customHeight="1">
      <c r="C494" s="3"/>
      <c r="H494" s="3"/>
      <c r="AG494" s="91"/>
    </row>
    <row r="495" ht="15.75" customHeight="1">
      <c r="C495" s="3"/>
      <c r="H495" s="3"/>
      <c r="AG495" s="91"/>
    </row>
    <row r="496" ht="15.75" customHeight="1">
      <c r="C496" s="3"/>
      <c r="H496" s="3"/>
      <c r="AG496" s="91"/>
    </row>
    <row r="497" ht="15.75" customHeight="1">
      <c r="C497" s="3"/>
      <c r="H497" s="3"/>
      <c r="AG497" s="91"/>
    </row>
    <row r="498" ht="15.75" customHeight="1">
      <c r="C498" s="3"/>
      <c r="H498" s="3"/>
      <c r="AG498" s="91"/>
    </row>
    <row r="499" ht="15.75" customHeight="1">
      <c r="C499" s="3"/>
      <c r="H499" s="3"/>
      <c r="AG499" s="91"/>
    </row>
    <row r="500" ht="15.75" customHeight="1">
      <c r="C500" s="3"/>
      <c r="H500" s="3"/>
      <c r="AG500" s="91"/>
    </row>
    <row r="501" ht="15.75" customHeight="1">
      <c r="C501" s="3"/>
      <c r="H501" s="3"/>
      <c r="AG501" s="91"/>
    </row>
    <row r="502" ht="15.75" customHeight="1">
      <c r="C502" s="3"/>
      <c r="H502" s="3"/>
      <c r="AG502" s="91"/>
    </row>
    <row r="503" ht="15.75" customHeight="1">
      <c r="C503" s="3"/>
      <c r="H503" s="3"/>
      <c r="AG503" s="91"/>
    </row>
    <row r="504" ht="15.75" customHeight="1">
      <c r="C504" s="3"/>
      <c r="H504" s="3"/>
      <c r="AG504" s="91"/>
    </row>
    <row r="505" ht="15.75" customHeight="1">
      <c r="C505" s="3"/>
      <c r="H505" s="3"/>
      <c r="AG505" s="91"/>
    </row>
    <row r="506" ht="15.75" customHeight="1">
      <c r="C506" s="3"/>
      <c r="H506" s="3"/>
      <c r="AG506" s="91"/>
    </row>
    <row r="507" ht="15.75" customHeight="1">
      <c r="C507" s="3"/>
      <c r="H507" s="3"/>
      <c r="AG507" s="91"/>
    </row>
    <row r="508" ht="15.75" customHeight="1">
      <c r="C508" s="3"/>
      <c r="H508" s="3"/>
      <c r="AG508" s="91"/>
    </row>
    <row r="509" ht="15.75" customHeight="1">
      <c r="C509" s="3"/>
      <c r="H509" s="3"/>
      <c r="AG509" s="91"/>
    </row>
    <row r="510" ht="15.75" customHeight="1">
      <c r="C510" s="3"/>
      <c r="H510" s="3"/>
      <c r="AG510" s="91"/>
    </row>
    <row r="511" ht="15.75" customHeight="1">
      <c r="C511" s="3"/>
      <c r="H511" s="3"/>
      <c r="AG511" s="91"/>
    </row>
    <row r="512" ht="15.75" customHeight="1">
      <c r="C512" s="3"/>
      <c r="H512" s="3"/>
      <c r="AG512" s="91"/>
    </row>
    <row r="513" ht="15.75" customHeight="1">
      <c r="C513" s="3"/>
      <c r="H513" s="3"/>
      <c r="AG513" s="91"/>
    </row>
    <row r="514" ht="15.75" customHeight="1">
      <c r="C514" s="3"/>
      <c r="H514" s="3"/>
      <c r="AG514" s="91"/>
    </row>
    <row r="515" ht="15.75" customHeight="1">
      <c r="C515" s="3"/>
      <c r="H515" s="3"/>
      <c r="AG515" s="91"/>
    </row>
    <row r="516" ht="15.75" customHeight="1">
      <c r="C516" s="3"/>
      <c r="H516" s="3"/>
      <c r="AG516" s="91"/>
    </row>
    <row r="517" ht="15.75" customHeight="1">
      <c r="C517" s="3"/>
      <c r="H517" s="3"/>
      <c r="AG517" s="91"/>
    </row>
    <row r="518" ht="15.75" customHeight="1">
      <c r="C518" s="3"/>
      <c r="H518" s="3"/>
      <c r="AG518" s="91"/>
    </row>
    <row r="519" ht="15.75" customHeight="1">
      <c r="C519" s="3"/>
      <c r="H519" s="3"/>
      <c r="AG519" s="91"/>
    </row>
    <row r="520" ht="15.75" customHeight="1">
      <c r="C520" s="3"/>
      <c r="H520" s="3"/>
      <c r="AG520" s="91"/>
    </row>
    <row r="521" ht="15.75" customHeight="1">
      <c r="C521" s="3"/>
      <c r="H521" s="3"/>
      <c r="AG521" s="91"/>
    </row>
    <row r="522" ht="15.75" customHeight="1">
      <c r="C522" s="3"/>
      <c r="H522" s="3"/>
      <c r="AG522" s="91"/>
    </row>
    <row r="523" ht="15.75" customHeight="1">
      <c r="C523" s="3"/>
      <c r="H523" s="3"/>
      <c r="AG523" s="91"/>
    </row>
    <row r="524" ht="15.75" customHeight="1">
      <c r="C524" s="3"/>
      <c r="H524" s="3"/>
      <c r="AG524" s="91"/>
    </row>
    <row r="525" ht="15.75" customHeight="1">
      <c r="C525" s="3"/>
      <c r="H525" s="3"/>
      <c r="AG525" s="91"/>
    </row>
    <row r="526" ht="15.75" customHeight="1">
      <c r="C526" s="3"/>
      <c r="H526" s="3"/>
      <c r="AG526" s="91"/>
    </row>
    <row r="527" ht="15.75" customHeight="1">
      <c r="C527" s="3"/>
      <c r="H527" s="3"/>
      <c r="AG527" s="91"/>
    </row>
    <row r="528" ht="15.75" customHeight="1">
      <c r="C528" s="3"/>
      <c r="H528" s="3"/>
      <c r="AG528" s="91"/>
    </row>
    <row r="529" ht="15.75" customHeight="1">
      <c r="C529" s="3"/>
      <c r="H529" s="3"/>
      <c r="AG529" s="91"/>
    </row>
    <row r="530" ht="15.75" customHeight="1">
      <c r="C530" s="3"/>
      <c r="H530" s="3"/>
      <c r="AG530" s="91"/>
    </row>
    <row r="531" ht="15.75" customHeight="1">
      <c r="C531" s="3"/>
      <c r="H531" s="3"/>
      <c r="AG531" s="91"/>
    </row>
    <row r="532" ht="15.75" customHeight="1">
      <c r="C532" s="3"/>
      <c r="H532" s="3"/>
      <c r="AG532" s="91"/>
    </row>
    <row r="533" ht="15.75" customHeight="1">
      <c r="C533" s="3"/>
      <c r="H533" s="3"/>
      <c r="AG533" s="91"/>
    </row>
    <row r="534" ht="15.75" customHeight="1">
      <c r="C534" s="3"/>
      <c r="H534" s="3"/>
      <c r="AG534" s="91"/>
    </row>
    <row r="535" ht="15.75" customHeight="1">
      <c r="C535" s="3"/>
      <c r="H535" s="3"/>
      <c r="AG535" s="91"/>
    </row>
    <row r="536" ht="15.75" customHeight="1">
      <c r="C536" s="3"/>
      <c r="H536" s="3"/>
      <c r="AG536" s="91"/>
    </row>
    <row r="537" ht="15.75" customHeight="1">
      <c r="C537" s="3"/>
      <c r="H537" s="3"/>
      <c r="AG537" s="91"/>
    </row>
    <row r="538" ht="15.75" customHeight="1">
      <c r="C538" s="3"/>
      <c r="H538" s="3"/>
      <c r="AG538" s="91"/>
    </row>
    <row r="539" ht="15.75" customHeight="1">
      <c r="C539" s="3"/>
      <c r="H539" s="3"/>
      <c r="AG539" s="91"/>
    </row>
    <row r="540" ht="15.75" customHeight="1">
      <c r="C540" s="3"/>
      <c r="H540" s="3"/>
      <c r="AG540" s="91"/>
    </row>
    <row r="541" ht="15.75" customHeight="1">
      <c r="C541" s="3"/>
      <c r="H541" s="3"/>
      <c r="AG541" s="91"/>
    </row>
    <row r="542" ht="15.75" customHeight="1">
      <c r="C542" s="3"/>
      <c r="H542" s="3"/>
      <c r="AG542" s="91"/>
    </row>
    <row r="543" ht="15.75" customHeight="1">
      <c r="C543" s="3"/>
      <c r="H543" s="3"/>
      <c r="AG543" s="91"/>
    </row>
    <row r="544" ht="15.75" customHeight="1">
      <c r="C544" s="3"/>
      <c r="H544" s="3"/>
      <c r="AG544" s="91"/>
    </row>
    <row r="545" ht="15.75" customHeight="1">
      <c r="C545" s="3"/>
      <c r="H545" s="3"/>
      <c r="AG545" s="91"/>
    </row>
    <row r="546" ht="15.75" customHeight="1">
      <c r="C546" s="3"/>
      <c r="H546" s="3"/>
      <c r="AG546" s="91"/>
    </row>
    <row r="547" ht="15.75" customHeight="1">
      <c r="C547" s="3"/>
      <c r="H547" s="3"/>
      <c r="AG547" s="91"/>
    </row>
    <row r="548" ht="15.75" customHeight="1">
      <c r="C548" s="3"/>
      <c r="H548" s="3"/>
      <c r="AG548" s="91"/>
    </row>
    <row r="549" ht="15.75" customHeight="1">
      <c r="C549" s="3"/>
      <c r="H549" s="3"/>
      <c r="AG549" s="91"/>
    </row>
    <row r="550" ht="15.75" customHeight="1">
      <c r="C550" s="3"/>
      <c r="H550" s="3"/>
      <c r="AG550" s="91"/>
    </row>
    <row r="551" ht="15.75" customHeight="1">
      <c r="C551" s="3"/>
      <c r="H551" s="3"/>
      <c r="AG551" s="91"/>
    </row>
    <row r="552" ht="15.75" customHeight="1">
      <c r="C552" s="3"/>
      <c r="H552" s="3"/>
      <c r="AG552" s="91"/>
    </row>
    <row r="553" ht="15.75" customHeight="1">
      <c r="C553" s="3"/>
      <c r="H553" s="3"/>
      <c r="AG553" s="91"/>
    </row>
    <row r="554" ht="15.75" customHeight="1">
      <c r="C554" s="3"/>
      <c r="H554" s="3"/>
      <c r="AG554" s="91"/>
    </row>
    <row r="555" ht="15.75" customHeight="1">
      <c r="C555" s="3"/>
      <c r="H555" s="3"/>
      <c r="AG555" s="91"/>
    </row>
    <row r="556" ht="15.75" customHeight="1">
      <c r="C556" s="3"/>
      <c r="H556" s="3"/>
      <c r="AG556" s="91"/>
    </row>
    <row r="557" ht="15.75" customHeight="1">
      <c r="C557" s="3"/>
      <c r="H557" s="3"/>
      <c r="AG557" s="91"/>
    </row>
    <row r="558" ht="15.75" customHeight="1">
      <c r="C558" s="3"/>
      <c r="H558" s="3"/>
      <c r="AG558" s="91"/>
    </row>
    <row r="559" ht="15.75" customHeight="1">
      <c r="C559" s="3"/>
      <c r="H559" s="3"/>
      <c r="AG559" s="91"/>
    </row>
    <row r="560" ht="15.75" customHeight="1">
      <c r="C560" s="3"/>
      <c r="H560" s="3"/>
      <c r="AG560" s="91"/>
    </row>
    <row r="561" ht="15.75" customHeight="1">
      <c r="C561" s="3"/>
      <c r="H561" s="3"/>
      <c r="AG561" s="91"/>
    </row>
    <row r="562" ht="15.75" customHeight="1">
      <c r="C562" s="3"/>
      <c r="H562" s="3"/>
      <c r="AG562" s="91"/>
    </row>
    <row r="563" ht="15.75" customHeight="1">
      <c r="C563" s="3"/>
      <c r="H563" s="3"/>
      <c r="AG563" s="91"/>
    </row>
    <row r="564" ht="15.75" customHeight="1">
      <c r="C564" s="3"/>
      <c r="H564" s="3"/>
      <c r="AG564" s="91"/>
    </row>
    <row r="565" ht="15.75" customHeight="1">
      <c r="C565" s="3"/>
      <c r="H565" s="3"/>
      <c r="AG565" s="91"/>
    </row>
    <row r="566" ht="15.75" customHeight="1">
      <c r="C566" s="3"/>
      <c r="H566" s="3"/>
      <c r="AG566" s="91"/>
    </row>
    <row r="567" ht="15.75" customHeight="1">
      <c r="C567" s="3"/>
      <c r="H567" s="3"/>
      <c r="AG567" s="91"/>
    </row>
    <row r="568" ht="15.75" customHeight="1">
      <c r="C568" s="3"/>
      <c r="H568" s="3"/>
      <c r="AG568" s="91"/>
    </row>
    <row r="569" ht="15.75" customHeight="1">
      <c r="C569" s="3"/>
      <c r="H569" s="3"/>
      <c r="AG569" s="91"/>
    </row>
    <row r="570" ht="15.75" customHeight="1">
      <c r="C570" s="3"/>
      <c r="H570" s="3"/>
      <c r="AG570" s="91"/>
    </row>
    <row r="571" ht="15.75" customHeight="1">
      <c r="C571" s="3"/>
      <c r="H571" s="3"/>
      <c r="AG571" s="91"/>
    </row>
    <row r="572" ht="15.75" customHeight="1">
      <c r="C572" s="3"/>
      <c r="H572" s="3"/>
      <c r="AG572" s="91"/>
    </row>
    <row r="573" ht="15.75" customHeight="1">
      <c r="C573" s="3"/>
      <c r="H573" s="3"/>
      <c r="AG573" s="91"/>
    </row>
    <row r="574" ht="15.75" customHeight="1">
      <c r="C574" s="3"/>
      <c r="H574" s="3"/>
      <c r="AG574" s="91"/>
    </row>
    <row r="575" ht="15.75" customHeight="1">
      <c r="C575" s="3"/>
      <c r="H575" s="3"/>
      <c r="AG575" s="91"/>
    </row>
    <row r="576" ht="15.75" customHeight="1">
      <c r="C576" s="3"/>
      <c r="H576" s="3"/>
      <c r="AG576" s="91"/>
    </row>
    <row r="577" ht="15.75" customHeight="1">
      <c r="C577" s="3"/>
      <c r="H577" s="3"/>
      <c r="AG577" s="91"/>
    </row>
    <row r="578" ht="15.75" customHeight="1">
      <c r="C578" s="3"/>
      <c r="H578" s="3"/>
      <c r="AG578" s="91"/>
    </row>
    <row r="579" ht="15.75" customHeight="1">
      <c r="C579" s="3"/>
      <c r="H579" s="3"/>
      <c r="AG579" s="91"/>
    </row>
    <row r="580" ht="15.75" customHeight="1">
      <c r="C580" s="3"/>
      <c r="H580" s="3"/>
      <c r="AG580" s="91"/>
    </row>
    <row r="581" ht="15.75" customHeight="1">
      <c r="C581" s="3"/>
      <c r="H581" s="3"/>
      <c r="AG581" s="91"/>
    </row>
    <row r="582" ht="15.75" customHeight="1">
      <c r="C582" s="3"/>
      <c r="H582" s="3"/>
      <c r="AG582" s="91"/>
    </row>
    <row r="583" ht="15.75" customHeight="1">
      <c r="C583" s="3"/>
      <c r="H583" s="3"/>
      <c r="AG583" s="91"/>
    </row>
    <row r="584" ht="15.75" customHeight="1">
      <c r="C584" s="3"/>
      <c r="H584" s="3"/>
      <c r="AG584" s="91"/>
    </row>
    <row r="585" ht="15.75" customHeight="1">
      <c r="C585" s="3"/>
      <c r="H585" s="3"/>
      <c r="AG585" s="91"/>
    </row>
    <row r="586" ht="15.75" customHeight="1">
      <c r="C586" s="3"/>
      <c r="H586" s="3"/>
      <c r="AG586" s="91"/>
    </row>
    <row r="587" ht="15.75" customHeight="1">
      <c r="C587" s="3"/>
      <c r="H587" s="3"/>
      <c r="AG587" s="91"/>
    </row>
    <row r="588" ht="15.75" customHeight="1">
      <c r="C588" s="3"/>
      <c r="H588" s="3"/>
      <c r="AG588" s="91"/>
    </row>
    <row r="589" ht="15.75" customHeight="1">
      <c r="C589" s="3"/>
      <c r="H589" s="3"/>
      <c r="AG589" s="91"/>
    </row>
    <row r="590" ht="15.75" customHeight="1">
      <c r="C590" s="3"/>
      <c r="H590" s="3"/>
      <c r="AG590" s="91"/>
    </row>
    <row r="591" ht="15.75" customHeight="1">
      <c r="C591" s="3"/>
      <c r="H591" s="3"/>
      <c r="AG591" s="91"/>
    </row>
    <row r="592" ht="15.75" customHeight="1">
      <c r="C592" s="3"/>
      <c r="H592" s="3"/>
      <c r="AG592" s="91"/>
    </row>
    <row r="593" ht="15.75" customHeight="1">
      <c r="C593" s="3"/>
      <c r="H593" s="3"/>
      <c r="AG593" s="91"/>
    </row>
    <row r="594" ht="15.75" customHeight="1">
      <c r="C594" s="3"/>
      <c r="H594" s="3"/>
      <c r="AG594" s="91"/>
    </row>
    <row r="595" ht="15.75" customHeight="1">
      <c r="C595" s="3"/>
      <c r="H595" s="3"/>
      <c r="AG595" s="91"/>
    </row>
    <row r="596" ht="15.75" customHeight="1">
      <c r="C596" s="3"/>
      <c r="H596" s="3"/>
      <c r="AG596" s="91"/>
    </row>
    <row r="597" ht="15.75" customHeight="1">
      <c r="C597" s="3"/>
      <c r="H597" s="3"/>
      <c r="AG597" s="91"/>
    </row>
    <row r="598" ht="15.75" customHeight="1">
      <c r="C598" s="3"/>
      <c r="H598" s="3"/>
      <c r="AG598" s="91"/>
    </row>
    <row r="599" ht="15.75" customHeight="1">
      <c r="C599" s="3"/>
      <c r="H599" s="3"/>
      <c r="AG599" s="91"/>
    </row>
    <row r="600" ht="15.75" customHeight="1">
      <c r="C600" s="3"/>
      <c r="H600" s="3"/>
      <c r="AG600" s="91"/>
    </row>
    <row r="601" ht="15.75" customHeight="1">
      <c r="C601" s="3"/>
      <c r="H601" s="3"/>
      <c r="AG601" s="91"/>
    </row>
    <row r="602" ht="15.75" customHeight="1">
      <c r="C602" s="3"/>
      <c r="H602" s="3"/>
      <c r="AG602" s="91"/>
    </row>
    <row r="603" ht="15.75" customHeight="1">
      <c r="C603" s="3"/>
      <c r="H603" s="3"/>
      <c r="AG603" s="91"/>
    </row>
    <row r="604" ht="15.75" customHeight="1">
      <c r="C604" s="3"/>
      <c r="H604" s="3"/>
      <c r="AG604" s="91"/>
    </row>
    <row r="605" ht="15.75" customHeight="1">
      <c r="C605" s="3"/>
      <c r="H605" s="3"/>
      <c r="AG605" s="91"/>
    </row>
    <row r="606" ht="15.75" customHeight="1">
      <c r="C606" s="3"/>
      <c r="H606" s="3"/>
      <c r="AG606" s="91"/>
    </row>
    <row r="607" ht="15.75" customHeight="1">
      <c r="C607" s="3"/>
      <c r="H607" s="3"/>
      <c r="AG607" s="91"/>
    </row>
    <row r="608" ht="15.75" customHeight="1">
      <c r="C608" s="3"/>
      <c r="H608" s="3"/>
      <c r="AG608" s="91"/>
    </row>
    <row r="609" ht="15.75" customHeight="1">
      <c r="C609" s="3"/>
      <c r="H609" s="3"/>
      <c r="AG609" s="91"/>
    </row>
    <row r="610" ht="15.75" customHeight="1">
      <c r="C610" s="3"/>
      <c r="H610" s="3"/>
      <c r="AG610" s="91"/>
    </row>
    <row r="611" ht="15.75" customHeight="1">
      <c r="C611" s="3"/>
      <c r="H611" s="3"/>
      <c r="AG611" s="91"/>
    </row>
    <row r="612" ht="15.75" customHeight="1">
      <c r="C612" s="3"/>
      <c r="H612" s="3"/>
      <c r="AG612" s="91"/>
    </row>
    <row r="613" ht="15.75" customHeight="1">
      <c r="C613" s="3"/>
      <c r="H613" s="3"/>
      <c r="AG613" s="91"/>
    </row>
    <row r="614" ht="15.75" customHeight="1">
      <c r="C614" s="3"/>
      <c r="H614" s="3"/>
      <c r="AG614" s="91"/>
    </row>
    <row r="615" ht="15.75" customHeight="1">
      <c r="C615" s="3"/>
      <c r="H615" s="3"/>
      <c r="AG615" s="91"/>
    </row>
    <row r="616" ht="15.75" customHeight="1">
      <c r="C616" s="3"/>
      <c r="H616" s="3"/>
      <c r="AG616" s="91"/>
    </row>
    <row r="617" ht="15.75" customHeight="1">
      <c r="C617" s="3"/>
      <c r="H617" s="3"/>
      <c r="AG617" s="91"/>
    </row>
    <row r="618" ht="15.75" customHeight="1">
      <c r="C618" s="3"/>
      <c r="H618" s="3"/>
      <c r="AG618" s="91"/>
    </row>
    <row r="619" ht="15.75" customHeight="1">
      <c r="C619" s="3"/>
      <c r="H619" s="3"/>
      <c r="AG619" s="91"/>
    </row>
    <row r="620" ht="15.75" customHeight="1">
      <c r="C620" s="3"/>
      <c r="H620" s="3"/>
      <c r="AG620" s="91"/>
    </row>
    <row r="621" ht="15.75" customHeight="1">
      <c r="C621" s="3"/>
      <c r="H621" s="3"/>
      <c r="AG621" s="91"/>
    </row>
    <row r="622" ht="15.75" customHeight="1">
      <c r="C622" s="3"/>
      <c r="H622" s="3"/>
      <c r="AG622" s="91"/>
    </row>
    <row r="623" ht="15.75" customHeight="1">
      <c r="C623" s="3"/>
      <c r="H623" s="3"/>
      <c r="AG623" s="91"/>
    </row>
    <row r="624" ht="15.75" customHeight="1">
      <c r="C624" s="3"/>
      <c r="H624" s="3"/>
      <c r="AG624" s="91"/>
    </row>
    <row r="625" ht="15.75" customHeight="1">
      <c r="C625" s="3"/>
      <c r="H625" s="3"/>
      <c r="AG625" s="91"/>
    </row>
    <row r="626" ht="15.75" customHeight="1">
      <c r="C626" s="3"/>
      <c r="H626" s="3"/>
      <c r="AG626" s="91"/>
    </row>
    <row r="627" ht="15.75" customHeight="1">
      <c r="C627" s="3"/>
      <c r="H627" s="3"/>
      <c r="AG627" s="91"/>
    </row>
    <row r="628" ht="15.75" customHeight="1">
      <c r="C628" s="3"/>
      <c r="H628" s="3"/>
      <c r="AG628" s="91"/>
    </row>
    <row r="629" ht="15.75" customHeight="1">
      <c r="C629" s="3"/>
      <c r="H629" s="3"/>
      <c r="AG629" s="91"/>
    </row>
    <row r="630" ht="15.75" customHeight="1">
      <c r="C630" s="3"/>
      <c r="H630" s="3"/>
      <c r="AG630" s="91"/>
    </row>
    <row r="631" ht="15.75" customHeight="1">
      <c r="C631" s="3"/>
      <c r="H631" s="3"/>
      <c r="AG631" s="91"/>
    </row>
    <row r="632" ht="15.75" customHeight="1">
      <c r="C632" s="3"/>
      <c r="H632" s="3"/>
      <c r="AG632" s="91"/>
    </row>
    <row r="633" ht="15.75" customHeight="1">
      <c r="C633" s="3"/>
      <c r="H633" s="3"/>
      <c r="AG633" s="91"/>
    </row>
    <row r="634" ht="15.75" customHeight="1">
      <c r="C634" s="3"/>
      <c r="H634" s="3"/>
      <c r="AG634" s="91"/>
    </row>
    <row r="635" ht="15.75" customHeight="1">
      <c r="C635" s="3"/>
      <c r="H635" s="3"/>
      <c r="AG635" s="91"/>
    </row>
    <row r="636" ht="15.75" customHeight="1">
      <c r="C636" s="3"/>
      <c r="H636" s="3"/>
      <c r="AG636" s="91"/>
    </row>
    <row r="637" ht="15.75" customHeight="1">
      <c r="C637" s="3"/>
      <c r="H637" s="3"/>
      <c r="AG637" s="91"/>
    </row>
    <row r="638" ht="15.75" customHeight="1">
      <c r="C638" s="3"/>
      <c r="H638" s="3"/>
      <c r="AG638" s="91"/>
    </row>
    <row r="639" ht="15.75" customHeight="1">
      <c r="C639" s="3"/>
      <c r="H639" s="3"/>
      <c r="AG639" s="91"/>
    </row>
    <row r="640" ht="15.75" customHeight="1">
      <c r="C640" s="3"/>
      <c r="H640" s="3"/>
      <c r="AG640" s="91"/>
    </row>
    <row r="641" ht="15.75" customHeight="1">
      <c r="C641" s="3"/>
      <c r="H641" s="3"/>
      <c r="AG641" s="91"/>
    </row>
    <row r="642" ht="15.75" customHeight="1">
      <c r="C642" s="3"/>
      <c r="H642" s="3"/>
      <c r="AG642" s="91"/>
    </row>
    <row r="643" ht="15.75" customHeight="1">
      <c r="C643" s="3"/>
      <c r="H643" s="3"/>
      <c r="AG643" s="91"/>
    </row>
    <row r="644" ht="15.75" customHeight="1">
      <c r="C644" s="3"/>
      <c r="H644" s="3"/>
      <c r="AG644" s="91"/>
    </row>
    <row r="645" ht="15.75" customHeight="1">
      <c r="C645" s="3"/>
      <c r="H645" s="3"/>
      <c r="AG645" s="91"/>
    </row>
    <row r="646" ht="15.75" customHeight="1">
      <c r="C646" s="3"/>
      <c r="H646" s="3"/>
      <c r="AG646" s="91"/>
    </row>
    <row r="647" ht="15.75" customHeight="1">
      <c r="C647" s="3"/>
      <c r="H647" s="3"/>
      <c r="AG647" s="91"/>
    </row>
    <row r="648" ht="15.75" customHeight="1">
      <c r="C648" s="3"/>
      <c r="H648" s="3"/>
      <c r="AG648" s="91"/>
    </row>
    <row r="649" ht="15.75" customHeight="1">
      <c r="C649" s="3"/>
      <c r="H649" s="3"/>
      <c r="AG649" s="91"/>
    </row>
    <row r="650" ht="15.75" customHeight="1">
      <c r="C650" s="3"/>
      <c r="H650" s="3"/>
      <c r="AG650" s="91"/>
    </row>
    <row r="651" ht="15.75" customHeight="1">
      <c r="C651" s="3"/>
      <c r="H651" s="3"/>
      <c r="AG651" s="91"/>
    </row>
    <row r="652" ht="15.75" customHeight="1">
      <c r="C652" s="3"/>
      <c r="H652" s="3"/>
      <c r="AG652" s="91"/>
    </row>
    <row r="653" ht="15.75" customHeight="1">
      <c r="C653" s="3"/>
      <c r="H653" s="3"/>
      <c r="AG653" s="91"/>
    </row>
    <row r="654" ht="15.75" customHeight="1">
      <c r="C654" s="3"/>
      <c r="H654" s="3"/>
      <c r="AG654" s="91"/>
    </row>
    <row r="655" ht="15.75" customHeight="1">
      <c r="C655" s="3"/>
      <c r="H655" s="3"/>
      <c r="AG655" s="91"/>
    </row>
    <row r="656" ht="15.75" customHeight="1">
      <c r="C656" s="3"/>
      <c r="H656" s="3"/>
      <c r="AG656" s="91"/>
    </row>
    <row r="657" ht="15.75" customHeight="1">
      <c r="C657" s="3"/>
      <c r="H657" s="3"/>
      <c r="AG657" s="91"/>
    </row>
    <row r="658" ht="15.75" customHeight="1">
      <c r="C658" s="3"/>
      <c r="H658" s="3"/>
      <c r="AG658" s="91"/>
    </row>
    <row r="659" ht="15.75" customHeight="1">
      <c r="C659" s="3"/>
      <c r="H659" s="3"/>
      <c r="AG659" s="91"/>
    </row>
    <row r="660" ht="15.75" customHeight="1">
      <c r="C660" s="3"/>
      <c r="H660" s="3"/>
      <c r="AG660" s="91"/>
    </row>
    <row r="661" ht="15.75" customHeight="1">
      <c r="C661" s="3"/>
      <c r="H661" s="3"/>
      <c r="AG661" s="91"/>
    </row>
    <row r="662" ht="15.75" customHeight="1">
      <c r="C662" s="3"/>
      <c r="H662" s="3"/>
      <c r="AG662" s="91"/>
    </row>
    <row r="663" ht="15.75" customHeight="1">
      <c r="C663" s="3"/>
      <c r="H663" s="3"/>
      <c r="AG663" s="91"/>
    </row>
    <row r="664" ht="15.75" customHeight="1">
      <c r="C664" s="3"/>
      <c r="H664" s="3"/>
      <c r="AG664" s="91"/>
    </row>
    <row r="665" ht="15.75" customHeight="1">
      <c r="C665" s="3"/>
      <c r="H665" s="3"/>
      <c r="AG665" s="91"/>
    </row>
    <row r="666" ht="15.75" customHeight="1">
      <c r="C666" s="3"/>
      <c r="H666" s="3"/>
      <c r="AG666" s="91"/>
    </row>
    <row r="667" ht="15.75" customHeight="1">
      <c r="C667" s="3"/>
      <c r="H667" s="3"/>
      <c r="AG667" s="91"/>
    </row>
    <row r="668" ht="15.75" customHeight="1">
      <c r="C668" s="3"/>
      <c r="H668" s="3"/>
      <c r="AG668" s="91"/>
    </row>
    <row r="669" ht="15.75" customHeight="1">
      <c r="C669" s="3"/>
      <c r="H669" s="3"/>
      <c r="AG669" s="91"/>
    </row>
    <row r="670" ht="15.75" customHeight="1">
      <c r="C670" s="3"/>
      <c r="H670" s="3"/>
      <c r="AG670" s="91"/>
    </row>
    <row r="671" ht="15.75" customHeight="1">
      <c r="C671" s="3"/>
      <c r="H671" s="3"/>
      <c r="AG671" s="91"/>
    </row>
    <row r="672" ht="15.75" customHeight="1">
      <c r="C672" s="3"/>
      <c r="H672" s="3"/>
      <c r="AG672" s="91"/>
    </row>
    <row r="673" ht="15.75" customHeight="1">
      <c r="C673" s="3"/>
      <c r="H673" s="3"/>
      <c r="AG673" s="91"/>
    </row>
    <row r="674" ht="15.75" customHeight="1">
      <c r="C674" s="3"/>
      <c r="H674" s="3"/>
      <c r="AG674" s="91"/>
    </row>
    <row r="675" ht="15.75" customHeight="1">
      <c r="C675" s="3"/>
      <c r="H675" s="3"/>
      <c r="AG675" s="91"/>
    </row>
    <row r="676" ht="15.75" customHeight="1">
      <c r="C676" s="3"/>
      <c r="H676" s="3"/>
      <c r="AG676" s="91"/>
    </row>
    <row r="677" ht="15.75" customHeight="1">
      <c r="C677" s="3"/>
      <c r="H677" s="3"/>
      <c r="AG677" s="91"/>
    </row>
    <row r="678" ht="15.75" customHeight="1">
      <c r="C678" s="3"/>
      <c r="H678" s="3"/>
      <c r="AG678" s="91"/>
    </row>
    <row r="679" ht="15.75" customHeight="1">
      <c r="C679" s="3"/>
      <c r="H679" s="3"/>
      <c r="AG679" s="91"/>
    </row>
    <row r="680" ht="15.75" customHeight="1">
      <c r="C680" s="3"/>
      <c r="H680" s="3"/>
      <c r="AG680" s="91"/>
    </row>
    <row r="681" ht="15.75" customHeight="1">
      <c r="C681" s="3"/>
      <c r="H681" s="3"/>
      <c r="AG681" s="91"/>
    </row>
    <row r="682" ht="15.75" customHeight="1">
      <c r="C682" s="3"/>
      <c r="H682" s="3"/>
      <c r="AG682" s="91"/>
    </row>
    <row r="683" ht="15.75" customHeight="1">
      <c r="C683" s="3"/>
      <c r="H683" s="3"/>
      <c r="AG683" s="91"/>
    </row>
    <row r="684" ht="15.75" customHeight="1">
      <c r="C684" s="3"/>
      <c r="H684" s="3"/>
      <c r="AG684" s="91"/>
    </row>
    <row r="685" ht="15.75" customHeight="1">
      <c r="C685" s="3"/>
      <c r="H685" s="3"/>
      <c r="AG685" s="91"/>
    </row>
    <row r="686" ht="15.75" customHeight="1">
      <c r="C686" s="3"/>
      <c r="H686" s="3"/>
      <c r="AG686" s="91"/>
    </row>
    <row r="687" ht="15.75" customHeight="1">
      <c r="C687" s="3"/>
      <c r="H687" s="3"/>
      <c r="AG687" s="91"/>
    </row>
    <row r="688" ht="15.75" customHeight="1">
      <c r="C688" s="3"/>
      <c r="H688" s="3"/>
      <c r="AG688" s="91"/>
    </row>
    <row r="689" ht="15.75" customHeight="1">
      <c r="C689" s="3"/>
      <c r="H689" s="3"/>
      <c r="AG689" s="91"/>
    </row>
    <row r="690" ht="15.75" customHeight="1">
      <c r="C690" s="3"/>
      <c r="H690" s="3"/>
      <c r="AG690" s="91"/>
    </row>
    <row r="691" ht="15.75" customHeight="1">
      <c r="C691" s="3"/>
      <c r="H691" s="3"/>
      <c r="AG691" s="91"/>
    </row>
    <row r="692" ht="15.75" customHeight="1">
      <c r="C692" s="3"/>
      <c r="H692" s="3"/>
      <c r="AG692" s="91"/>
    </row>
    <row r="693" ht="15.75" customHeight="1">
      <c r="C693" s="3"/>
      <c r="H693" s="3"/>
      <c r="AG693" s="91"/>
    </row>
    <row r="694" ht="15.75" customHeight="1">
      <c r="C694" s="3"/>
      <c r="H694" s="3"/>
      <c r="AG694" s="91"/>
    </row>
    <row r="695" ht="15.75" customHeight="1">
      <c r="C695" s="3"/>
      <c r="H695" s="3"/>
      <c r="AG695" s="91"/>
    </row>
    <row r="696" ht="15.75" customHeight="1">
      <c r="C696" s="3"/>
      <c r="H696" s="3"/>
      <c r="AG696" s="91"/>
    </row>
    <row r="697" ht="15.75" customHeight="1">
      <c r="C697" s="3"/>
      <c r="H697" s="3"/>
      <c r="AG697" s="91"/>
    </row>
    <row r="698" ht="15.75" customHeight="1">
      <c r="C698" s="3"/>
      <c r="H698" s="3"/>
      <c r="AG698" s="91"/>
    </row>
    <row r="699" ht="15.75" customHeight="1">
      <c r="C699" s="3"/>
      <c r="H699" s="3"/>
      <c r="AG699" s="91"/>
    </row>
    <row r="700" ht="15.75" customHeight="1">
      <c r="C700" s="3"/>
      <c r="H700" s="3"/>
      <c r="AG700" s="91"/>
    </row>
    <row r="701" ht="15.75" customHeight="1">
      <c r="C701" s="3"/>
      <c r="H701" s="3"/>
      <c r="AG701" s="91"/>
    </row>
    <row r="702" ht="15.75" customHeight="1">
      <c r="C702" s="3"/>
      <c r="H702" s="3"/>
      <c r="AG702" s="91"/>
    </row>
    <row r="703" ht="15.75" customHeight="1">
      <c r="C703" s="3"/>
      <c r="H703" s="3"/>
      <c r="AG703" s="91"/>
    </row>
    <row r="704" ht="15.75" customHeight="1">
      <c r="C704" s="3"/>
      <c r="H704" s="3"/>
      <c r="AG704" s="91"/>
    </row>
    <row r="705" ht="15.75" customHeight="1">
      <c r="C705" s="3"/>
      <c r="H705" s="3"/>
      <c r="AG705" s="91"/>
    </row>
    <row r="706" ht="15.75" customHeight="1">
      <c r="C706" s="3"/>
      <c r="H706" s="3"/>
      <c r="AG706" s="91"/>
    </row>
    <row r="707" ht="15.75" customHeight="1">
      <c r="C707" s="3"/>
      <c r="H707" s="3"/>
      <c r="AG707" s="91"/>
    </row>
    <row r="708" ht="15.75" customHeight="1">
      <c r="C708" s="3"/>
      <c r="H708" s="3"/>
      <c r="AG708" s="91"/>
    </row>
    <row r="709" ht="15.75" customHeight="1">
      <c r="C709" s="3"/>
      <c r="H709" s="3"/>
      <c r="AG709" s="91"/>
    </row>
    <row r="710" ht="15.75" customHeight="1">
      <c r="C710" s="3"/>
      <c r="H710" s="3"/>
      <c r="AG710" s="91"/>
    </row>
    <row r="711" ht="15.75" customHeight="1">
      <c r="C711" s="3"/>
      <c r="H711" s="3"/>
      <c r="AG711" s="91"/>
    </row>
    <row r="712" ht="15.75" customHeight="1">
      <c r="C712" s="3"/>
      <c r="H712" s="3"/>
      <c r="AG712" s="91"/>
    </row>
    <row r="713" ht="15.75" customHeight="1">
      <c r="C713" s="3"/>
      <c r="H713" s="3"/>
      <c r="AG713" s="91"/>
    </row>
    <row r="714" ht="15.75" customHeight="1">
      <c r="C714" s="3"/>
      <c r="H714" s="3"/>
      <c r="AG714" s="91"/>
    </row>
    <row r="715" ht="15.75" customHeight="1">
      <c r="C715" s="3"/>
      <c r="H715" s="3"/>
      <c r="AG715" s="91"/>
    </row>
    <row r="716" ht="15.75" customHeight="1">
      <c r="C716" s="3"/>
      <c r="H716" s="3"/>
      <c r="AG716" s="91"/>
    </row>
    <row r="717" ht="15.75" customHeight="1">
      <c r="C717" s="3"/>
      <c r="H717" s="3"/>
      <c r="AG717" s="91"/>
    </row>
    <row r="718" ht="15.75" customHeight="1">
      <c r="C718" s="3"/>
      <c r="H718" s="3"/>
      <c r="AG718" s="91"/>
    </row>
    <row r="719" ht="15.75" customHeight="1">
      <c r="C719" s="3"/>
      <c r="H719" s="3"/>
      <c r="AG719" s="91"/>
    </row>
    <row r="720" ht="15.75" customHeight="1">
      <c r="C720" s="3"/>
      <c r="H720" s="3"/>
      <c r="AG720" s="91"/>
    </row>
    <row r="721" ht="15.75" customHeight="1">
      <c r="C721" s="3"/>
      <c r="H721" s="3"/>
      <c r="AG721" s="91"/>
    </row>
    <row r="722" ht="15.75" customHeight="1">
      <c r="C722" s="3"/>
      <c r="H722" s="3"/>
      <c r="AG722" s="91"/>
    </row>
    <row r="723" ht="15.75" customHeight="1">
      <c r="C723" s="3"/>
      <c r="H723" s="3"/>
      <c r="AG723" s="91"/>
    </row>
    <row r="724" ht="15.75" customHeight="1">
      <c r="C724" s="3"/>
      <c r="H724" s="3"/>
      <c r="AG724" s="91"/>
    </row>
    <row r="725" ht="15.75" customHeight="1">
      <c r="C725" s="3"/>
      <c r="H725" s="3"/>
      <c r="AG725" s="91"/>
    </row>
    <row r="726" ht="15.75" customHeight="1">
      <c r="C726" s="3"/>
      <c r="H726" s="3"/>
      <c r="AG726" s="91"/>
    </row>
    <row r="727" ht="15.75" customHeight="1">
      <c r="C727" s="3"/>
      <c r="H727" s="3"/>
      <c r="AG727" s="91"/>
    </row>
    <row r="728" ht="15.75" customHeight="1">
      <c r="C728" s="3"/>
      <c r="H728" s="3"/>
      <c r="AG728" s="91"/>
    </row>
    <row r="729" ht="15.75" customHeight="1">
      <c r="C729" s="3"/>
      <c r="H729" s="3"/>
      <c r="AG729" s="91"/>
    </row>
    <row r="730" ht="15.75" customHeight="1">
      <c r="C730" s="3"/>
      <c r="H730" s="3"/>
      <c r="AG730" s="91"/>
    </row>
    <row r="731" ht="15.75" customHeight="1">
      <c r="C731" s="3"/>
      <c r="H731" s="3"/>
      <c r="AG731" s="91"/>
    </row>
    <row r="732" ht="15.75" customHeight="1">
      <c r="C732" s="3"/>
      <c r="H732" s="3"/>
      <c r="AG732" s="91"/>
    </row>
    <row r="733" ht="15.75" customHeight="1">
      <c r="C733" s="3"/>
      <c r="H733" s="3"/>
      <c r="AG733" s="91"/>
    </row>
    <row r="734" ht="15.75" customHeight="1">
      <c r="C734" s="3"/>
      <c r="H734" s="3"/>
      <c r="AG734" s="91"/>
    </row>
    <row r="735" ht="15.75" customHeight="1">
      <c r="C735" s="3"/>
      <c r="H735" s="3"/>
      <c r="AG735" s="91"/>
    </row>
    <row r="736" ht="15.75" customHeight="1">
      <c r="C736" s="3"/>
      <c r="H736" s="3"/>
      <c r="AG736" s="91"/>
    </row>
    <row r="737" ht="15.75" customHeight="1">
      <c r="C737" s="3"/>
      <c r="H737" s="3"/>
      <c r="AG737" s="91"/>
    </row>
    <row r="738" ht="15.75" customHeight="1">
      <c r="C738" s="3"/>
      <c r="H738" s="3"/>
      <c r="AG738" s="91"/>
    </row>
    <row r="739" ht="15.75" customHeight="1">
      <c r="C739" s="3"/>
      <c r="H739" s="3"/>
      <c r="AG739" s="91"/>
    </row>
    <row r="740" ht="15.75" customHeight="1">
      <c r="C740" s="3"/>
      <c r="H740" s="3"/>
      <c r="AG740" s="91"/>
    </row>
    <row r="741" ht="15.75" customHeight="1">
      <c r="C741" s="3"/>
      <c r="H741" s="3"/>
      <c r="AG741" s="91"/>
    </row>
    <row r="742" ht="15.75" customHeight="1">
      <c r="C742" s="3"/>
      <c r="H742" s="3"/>
      <c r="AG742" s="91"/>
    </row>
    <row r="743" ht="15.75" customHeight="1">
      <c r="C743" s="3"/>
      <c r="H743" s="3"/>
      <c r="AG743" s="91"/>
    </row>
    <row r="744" ht="15.75" customHeight="1">
      <c r="C744" s="3"/>
      <c r="H744" s="3"/>
      <c r="AG744" s="91"/>
    </row>
    <row r="745" ht="15.75" customHeight="1">
      <c r="C745" s="3"/>
      <c r="H745" s="3"/>
      <c r="AG745" s="91"/>
    </row>
    <row r="746" ht="15.75" customHeight="1">
      <c r="C746" s="3"/>
      <c r="H746" s="3"/>
      <c r="AG746" s="91"/>
    </row>
    <row r="747" ht="15.75" customHeight="1">
      <c r="C747" s="3"/>
      <c r="H747" s="3"/>
      <c r="AG747" s="91"/>
    </row>
    <row r="748" ht="15.75" customHeight="1">
      <c r="C748" s="3"/>
      <c r="H748" s="3"/>
      <c r="AG748" s="91"/>
    </row>
    <row r="749" ht="15.75" customHeight="1">
      <c r="C749" s="3"/>
      <c r="H749" s="3"/>
      <c r="AG749" s="91"/>
    </row>
    <row r="750" ht="15.75" customHeight="1">
      <c r="C750" s="3"/>
      <c r="H750" s="3"/>
      <c r="AG750" s="91"/>
    </row>
    <row r="751" ht="15.75" customHeight="1">
      <c r="C751" s="3"/>
      <c r="H751" s="3"/>
      <c r="AG751" s="91"/>
    </row>
    <row r="752" ht="15.75" customHeight="1">
      <c r="C752" s="3"/>
      <c r="H752" s="3"/>
      <c r="AG752" s="91"/>
    </row>
    <row r="753" ht="15.75" customHeight="1">
      <c r="C753" s="3"/>
      <c r="H753" s="3"/>
      <c r="AG753" s="91"/>
    </row>
    <row r="754" ht="15.75" customHeight="1">
      <c r="C754" s="3"/>
      <c r="H754" s="3"/>
      <c r="AG754" s="91"/>
    </row>
    <row r="755" ht="15.75" customHeight="1">
      <c r="C755" s="3"/>
      <c r="H755" s="3"/>
      <c r="AG755" s="91"/>
    </row>
    <row r="756" ht="15.75" customHeight="1">
      <c r="C756" s="3"/>
      <c r="H756" s="3"/>
      <c r="AG756" s="91"/>
    </row>
    <row r="757" ht="15.75" customHeight="1">
      <c r="C757" s="3"/>
      <c r="H757" s="3"/>
      <c r="AG757" s="91"/>
    </row>
    <row r="758" ht="15.75" customHeight="1">
      <c r="C758" s="3"/>
      <c r="H758" s="3"/>
      <c r="AG758" s="91"/>
    </row>
    <row r="759" ht="15.75" customHeight="1">
      <c r="C759" s="3"/>
      <c r="H759" s="3"/>
      <c r="AG759" s="91"/>
    </row>
    <row r="760" ht="15.75" customHeight="1">
      <c r="C760" s="3"/>
      <c r="H760" s="3"/>
      <c r="AG760" s="91"/>
    </row>
    <row r="761" ht="15.75" customHeight="1">
      <c r="C761" s="3"/>
      <c r="H761" s="3"/>
      <c r="AG761" s="91"/>
    </row>
    <row r="762" ht="15.75" customHeight="1">
      <c r="C762" s="3"/>
      <c r="H762" s="3"/>
      <c r="AG762" s="91"/>
    </row>
    <row r="763" ht="15.75" customHeight="1">
      <c r="C763" s="3"/>
      <c r="H763" s="3"/>
      <c r="AG763" s="91"/>
    </row>
    <row r="764" ht="15.75" customHeight="1">
      <c r="C764" s="3"/>
      <c r="H764" s="3"/>
      <c r="AG764" s="91"/>
    </row>
    <row r="765" ht="15.75" customHeight="1">
      <c r="C765" s="3"/>
      <c r="H765" s="3"/>
      <c r="AG765" s="91"/>
    </row>
    <row r="766" ht="15.75" customHeight="1">
      <c r="C766" s="3"/>
      <c r="H766" s="3"/>
      <c r="AG766" s="91"/>
    </row>
    <row r="767" ht="15.75" customHeight="1">
      <c r="C767" s="3"/>
      <c r="H767" s="3"/>
      <c r="AG767" s="91"/>
    </row>
    <row r="768" ht="15.75" customHeight="1">
      <c r="C768" s="3"/>
      <c r="H768" s="3"/>
      <c r="AG768" s="91"/>
    </row>
    <row r="769" ht="15.75" customHeight="1">
      <c r="C769" s="3"/>
      <c r="H769" s="3"/>
      <c r="AG769" s="91"/>
    </row>
    <row r="770" ht="15.75" customHeight="1">
      <c r="C770" s="3"/>
      <c r="H770" s="3"/>
      <c r="AG770" s="91"/>
    </row>
    <row r="771" ht="15.75" customHeight="1">
      <c r="C771" s="3"/>
      <c r="H771" s="3"/>
      <c r="AG771" s="91"/>
    </row>
    <row r="772" ht="15.75" customHeight="1">
      <c r="C772" s="3"/>
      <c r="H772" s="3"/>
      <c r="AG772" s="91"/>
    </row>
    <row r="773" ht="15.75" customHeight="1">
      <c r="C773" s="3"/>
      <c r="H773" s="3"/>
      <c r="AG773" s="91"/>
    </row>
    <row r="774" ht="15.75" customHeight="1">
      <c r="C774" s="3"/>
      <c r="H774" s="3"/>
      <c r="AG774" s="91"/>
    </row>
    <row r="775" ht="15.75" customHeight="1">
      <c r="C775" s="3"/>
      <c r="H775" s="3"/>
      <c r="AG775" s="91"/>
    </row>
    <row r="776" ht="15.75" customHeight="1">
      <c r="C776" s="3"/>
      <c r="H776" s="3"/>
      <c r="AG776" s="91"/>
    </row>
    <row r="777" ht="15.75" customHeight="1">
      <c r="C777" s="3"/>
      <c r="H777" s="3"/>
      <c r="AG777" s="91"/>
    </row>
    <row r="778" ht="15.75" customHeight="1">
      <c r="C778" s="3"/>
      <c r="H778" s="3"/>
      <c r="AG778" s="91"/>
    </row>
    <row r="779" ht="15.75" customHeight="1">
      <c r="C779" s="3"/>
      <c r="H779" s="3"/>
      <c r="AG779" s="91"/>
    </row>
    <row r="780" ht="15.75" customHeight="1">
      <c r="C780" s="3"/>
      <c r="H780" s="3"/>
      <c r="AG780" s="91"/>
    </row>
    <row r="781" ht="15.75" customHeight="1">
      <c r="C781" s="3"/>
      <c r="H781" s="3"/>
      <c r="AG781" s="91"/>
    </row>
    <row r="782" ht="15.75" customHeight="1">
      <c r="C782" s="3"/>
      <c r="H782" s="3"/>
      <c r="AG782" s="91"/>
    </row>
    <row r="783" ht="15.75" customHeight="1">
      <c r="C783" s="3"/>
      <c r="H783" s="3"/>
      <c r="AG783" s="91"/>
    </row>
    <row r="784" ht="15.75" customHeight="1">
      <c r="C784" s="3"/>
      <c r="H784" s="3"/>
      <c r="AG784" s="91"/>
    </row>
    <row r="785" ht="15.75" customHeight="1">
      <c r="C785" s="3"/>
      <c r="H785" s="3"/>
      <c r="AG785" s="91"/>
    </row>
    <row r="786" ht="15.75" customHeight="1">
      <c r="C786" s="3"/>
      <c r="H786" s="3"/>
      <c r="AG786" s="91"/>
    </row>
    <row r="787" ht="15.75" customHeight="1">
      <c r="C787" s="3"/>
      <c r="H787" s="3"/>
      <c r="AG787" s="91"/>
    </row>
    <row r="788" ht="15.75" customHeight="1">
      <c r="C788" s="3"/>
      <c r="H788" s="3"/>
      <c r="AG788" s="91"/>
    </row>
    <row r="789" ht="15.75" customHeight="1">
      <c r="C789" s="3"/>
      <c r="H789" s="3"/>
      <c r="AG789" s="91"/>
    </row>
    <row r="790" ht="15.75" customHeight="1">
      <c r="C790" s="3"/>
      <c r="H790" s="3"/>
      <c r="AG790" s="91"/>
    </row>
    <row r="791" ht="15.75" customHeight="1">
      <c r="C791" s="3"/>
      <c r="H791" s="3"/>
      <c r="AG791" s="91"/>
    </row>
    <row r="792" ht="15.75" customHeight="1">
      <c r="C792" s="3"/>
      <c r="H792" s="3"/>
      <c r="AG792" s="91"/>
    </row>
    <row r="793" ht="15.75" customHeight="1">
      <c r="C793" s="3"/>
      <c r="H793" s="3"/>
      <c r="AG793" s="91"/>
    </row>
    <row r="794" ht="15.75" customHeight="1">
      <c r="C794" s="3"/>
      <c r="H794" s="3"/>
      <c r="AG794" s="91"/>
    </row>
    <row r="795" ht="15.75" customHeight="1">
      <c r="C795" s="3"/>
      <c r="H795" s="3"/>
      <c r="AG795" s="91"/>
    </row>
    <row r="796" ht="15.75" customHeight="1">
      <c r="C796" s="3"/>
      <c r="H796" s="3"/>
      <c r="AG796" s="91"/>
    </row>
    <row r="797" ht="15.75" customHeight="1">
      <c r="C797" s="3"/>
      <c r="H797" s="3"/>
      <c r="AG797" s="91"/>
    </row>
    <row r="798" ht="15.75" customHeight="1">
      <c r="C798" s="3"/>
      <c r="H798" s="3"/>
      <c r="AG798" s="91"/>
    </row>
    <row r="799" ht="15.75" customHeight="1">
      <c r="C799" s="3"/>
      <c r="H799" s="3"/>
      <c r="AG799" s="91"/>
    </row>
    <row r="800" ht="15.75" customHeight="1">
      <c r="C800" s="3"/>
      <c r="H800" s="3"/>
      <c r="AG800" s="91"/>
    </row>
    <row r="801" ht="15.75" customHeight="1">
      <c r="C801" s="3"/>
      <c r="H801" s="3"/>
      <c r="AG801" s="91"/>
    </row>
    <row r="802" ht="15.75" customHeight="1">
      <c r="C802" s="3"/>
      <c r="H802" s="3"/>
      <c r="AG802" s="91"/>
    </row>
    <row r="803" ht="15.75" customHeight="1">
      <c r="C803" s="3"/>
      <c r="H803" s="3"/>
      <c r="AG803" s="91"/>
    </row>
    <row r="804" ht="15.75" customHeight="1">
      <c r="C804" s="3"/>
      <c r="H804" s="3"/>
      <c r="AG804" s="91"/>
    </row>
    <row r="805" ht="15.75" customHeight="1">
      <c r="C805" s="3"/>
      <c r="H805" s="3"/>
      <c r="AG805" s="91"/>
    </row>
    <row r="806" ht="15.75" customHeight="1">
      <c r="C806" s="3"/>
      <c r="H806" s="3"/>
      <c r="AG806" s="91"/>
    </row>
    <row r="807" ht="15.75" customHeight="1">
      <c r="C807" s="3"/>
      <c r="H807" s="3"/>
      <c r="AG807" s="91"/>
    </row>
    <row r="808" ht="15.75" customHeight="1">
      <c r="C808" s="3"/>
      <c r="H808" s="3"/>
      <c r="AG808" s="91"/>
    </row>
    <row r="809" ht="15.75" customHeight="1">
      <c r="C809" s="3"/>
      <c r="H809" s="3"/>
      <c r="AG809" s="91"/>
    </row>
    <row r="810" ht="15.75" customHeight="1">
      <c r="C810" s="3"/>
      <c r="H810" s="3"/>
      <c r="AG810" s="91"/>
    </row>
    <row r="811" ht="15.75" customHeight="1">
      <c r="C811" s="3"/>
      <c r="H811" s="3"/>
      <c r="AG811" s="91"/>
    </row>
    <row r="812" ht="15.75" customHeight="1">
      <c r="C812" s="3"/>
      <c r="H812" s="3"/>
      <c r="AG812" s="91"/>
    </row>
    <row r="813" ht="15.75" customHeight="1">
      <c r="C813" s="3"/>
      <c r="H813" s="3"/>
      <c r="AG813" s="91"/>
    </row>
    <row r="814" ht="15.75" customHeight="1">
      <c r="C814" s="3"/>
      <c r="H814" s="3"/>
      <c r="AG814" s="91"/>
    </row>
    <row r="815" ht="15.75" customHeight="1">
      <c r="C815" s="3"/>
      <c r="H815" s="3"/>
      <c r="AG815" s="91"/>
    </row>
    <row r="816" ht="15.75" customHeight="1">
      <c r="C816" s="3"/>
      <c r="H816" s="3"/>
      <c r="AG816" s="91"/>
    </row>
    <row r="817" ht="15.75" customHeight="1">
      <c r="C817" s="3"/>
      <c r="H817" s="3"/>
      <c r="AG817" s="91"/>
    </row>
    <row r="818" ht="15.75" customHeight="1">
      <c r="C818" s="3"/>
      <c r="H818" s="3"/>
      <c r="AG818" s="91"/>
    </row>
    <row r="819" ht="15.75" customHeight="1">
      <c r="C819" s="3"/>
      <c r="H819" s="3"/>
      <c r="AG819" s="91"/>
    </row>
    <row r="820" ht="15.75" customHeight="1">
      <c r="C820" s="3"/>
      <c r="H820" s="3"/>
      <c r="AG820" s="91"/>
    </row>
    <row r="821" ht="15.75" customHeight="1">
      <c r="C821" s="3"/>
      <c r="H821" s="3"/>
      <c r="AG821" s="91"/>
    </row>
    <row r="822" ht="15.75" customHeight="1">
      <c r="C822" s="3"/>
      <c r="H822" s="3"/>
      <c r="AG822" s="91"/>
    </row>
    <row r="823" ht="15.75" customHeight="1">
      <c r="C823" s="3"/>
      <c r="H823" s="3"/>
      <c r="AG823" s="91"/>
    </row>
    <row r="824" ht="15.75" customHeight="1">
      <c r="C824" s="3"/>
      <c r="H824" s="3"/>
      <c r="AG824" s="91"/>
    </row>
    <row r="825" ht="15.75" customHeight="1">
      <c r="C825" s="3"/>
      <c r="H825" s="3"/>
      <c r="AG825" s="91"/>
    </row>
    <row r="826" ht="15.75" customHeight="1">
      <c r="C826" s="3"/>
      <c r="H826" s="3"/>
      <c r="AG826" s="91"/>
    </row>
    <row r="827" ht="15.75" customHeight="1">
      <c r="C827" s="3"/>
      <c r="H827" s="3"/>
      <c r="AG827" s="91"/>
    </row>
    <row r="828" ht="15.75" customHeight="1">
      <c r="C828" s="3"/>
      <c r="H828" s="3"/>
      <c r="AG828" s="91"/>
    </row>
    <row r="829" ht="15.75" customHeight="1">
      <c r="C829" s="3"/>
      <c r="H829" s="3"/>
      <c r="AG829" s="91"/>
    </row>
    <row r="830" ht="15.75" customHeight="1">
      <c r="C830" s="3"/>
      <c r="H830" s="3"/>
      <c r="AG830" s="91"/>
    </row>
    <row r="831" ht="15.75" customHeight="1">
      <c r="C831" s="3"/>
      <c r="H831" s="3"/>
      <c r="AG831" s="91"/>
    </row>
    <row r="832" ht="15.75" customHeight="1">
      <c r="C832" s="3"/>
      <c r="H832" s="3"/>
      <c r="AG832" s="91"/>
    </row>
    <row r="833" ht="15.75" customHeight="1">
      <c r="C833" s="3"/>
      <c r="H833" s="3"/>
      <c r="AG833" s="91"/>
    </row>
    <row r="834" ht="15.75" customHeight="1">
      <c r="C834" s="3"/>
      <c r="H834" s="3"/>
      <c r="AG834" s="91"/>
    </row>
    <row r="835" ht="15.75" customHeight="1">
      <c r="C835" s="3"/>
      <c r="H835" s="3"/>
      <c r="AG835" s="91"/>
    </row>
    <row r="836" ht="15.75" customHeight="1">
      <c r="C836" s="3"/>
      <c r="H836" s="3"/>
      <c r="AG836" s="91"/>
    </row>
    <row r="837" ht="15.75" customHeight="1">
      <c r="C837" s="3"/>
      <c r="H837" s="3"/>
      <c r="AG837" s="91"/>
    </row>
    <row r="838" ht="15.75" customHeight="1">
      <c r="C838" s="3"/>
      <c r="H838" s="3"/>
      <c r="AG838" s="91"/>
    </row>
    <row r="839" ht="15.75" customHeight="1">
      <c r="C839" s="3"/>
      <c r="H839" s="3"/>
      <c r="AG839" s="91"/>
    </row>
    <row r="840" ht="15.75" customHeight="1">
      <c r="C840" s="3"/>
      <c r="H840" s="3"/>
      <c r="AG840" s="91"/>
    </row>
    <row r="841" ht="15.75" customHeight="1">
      <c r="C841" s="3"/>
      <c r="H841" s="3"/>
      <c r="AG841" s="91"/>
    </row>
    <row r="842" ht="15.75" customHeight="1">
      <c r="C842" s="3"/>
      <c r="H842" s="3"/>
      <c r="AG842" s="91"/>
    </row>
    <row r="843" ht="15.75" customHeight="1">
      <c r="C843" s="3"/>
      <c r="H843" s="3"/>
      <c r="AG843" s="91"/>
    </row>
    <row r="844" ht="15.75" customHeight="1">
      <c r="C844" s="3"/>
      <c r="H844" s="3"/>
      <c r="AG844" s="91"/>
    </row>
    <row r="845" ht="15.75" customHeight="1">
      <c r="C845" s="3"/>
      <c r="H845" s="3"/>
      <c r="AG845" s="91"/>
    </row>
    <row r="846" ht="15.75" customHeight="1">
      <c r="C846" s="3"/>
      <c r="H846" s="3"/>
      <c r="AG846" s="91"/>
    </row>
    <row r="847" ht="15.75" customHeight="1">
      <c r="C847" s="3"/>
      <c r="H847" s="3"/>
      <c r="AG847" s="91"/>
    </row>
    <row r="848" ht="15.75" customHeight="1">
      <c r="C848" s="3"/>
      <c r="H848" s="3"/>
      <c r="AG848" s="91"/>
    </row>
    <row r="849" ht="15.75" customHeight="1">
      <c r="C849" s="3"/>
      <c r="H849" s="3"/>
      <c r="AG849" s="91"/>
    </row>
    <row r="850" ht="15.75" customHeight="1">
      <c r="C850" s="3"/>
      <c r="H850" s="3"/>
      <c r="AG850" s="91"/>
    </row>
    <row r="851" ht="15.75" customHeight="1">
      <c r="C851" s="3"/>
      <c r="H851" s="3"/>
      <c r="AG851" s="91"/>
    </row>
    <row r="852" ht="15.75" customHeight="1">
      <c r="C852" s="3"/>
      <c r="H852" s="3"/>
      <c r="AG852" s="91"/>
    </row>
    <row r="853" ht="15.75" customHeight="1">
      <c r="C853" s="3"/>
      <c r="H853" s="3"/>
      <c r="AG853" s="91"/>
    </row>
    <row r="854" ht="15.75" customHeight="1">
      <c r="C854" s="3"/>
      <c r="H854" s="3"/>
      <c r="AG854" s="91"/>
    </row>
    <row r="855" ht="15.75" customHeight="1">
      <c r="C855" s="3"/>
      <c r="H855" s="3"/>
      <c r="AG855" s="91"/>
    </row>
    <row r="856" ht="15.75" customHeight="1">
      <c r="C856" s="3"/>
      <c r="H856" s="3"/>
      <c r="AG856" s="91"/>
    </row>
    <row r="857" ht="15.75" customHeight="1">
      <c r="C857" s="3"/>
      <c r="H857" s="3"/>
      <c r="AG857" s="91"/>
    </row>
    <row r="858" ht="15.75" customHeight="1">
      <c r="C858" s="3"/>
      <c r="H858" s="3"/>
      <c r="AG858" s="91"/>
    </row>
    <row r="859" ht="15.75" customHeight="1">
      <c r="C859" s="3"/>
      <c r="H859" s="3"/>
      <c r="AG859" s="91"/>
    </row>
    <row r="860" ht="15.75" customHeight="1">
      <c r="C860" s="3"/>
      <c r="H860" s="3"/>
      <c r="AG860" s="91"/>
    </row>
    <row r="861" ht="15.75" customHeight="1">
      <c r="C861" s="3"/>
      <c r="H861" s="3"/>
      <c r="AG861" s="91"/>
    </row>
    <row r="862" ht="15.75" customHeight="1">
      <c r="C862" s="3"/>
      <c r="H862" s="3"/>
      <c r="AG862" s="91"/>
    </row>
    <row r="863" ht="15.75" customHeight="1">
      <c r="C863" s="3"/>
      <c r="H863" s="3"/>
      <c r="AG863" s="91"/>
    </row>
    <row r="864" ht="15.75" customHeight="1">
      <c r="C864" s="3"/>
      <c r="H864" s="3"/>
      <c r="AG864" s="91"/>
    </row>
    <row r="865" ht="15.75" customHeight="1">
      <c r="C865" s="3"/>
      <c r="H865" s="3"/>
      <c r="AG865" s="91"/>
    </row>
    <row r="866" ht="15.75" customHeight="1">
      <c r="C866" s="3"/>
      <c r="H866" s="3"/>
      <c r="AG866" s="91"/>
    </row>
    <row r="867" ht="15.75" customHeight="1">
      <c r="C867" s="3"/>
      <c r="H867" s="3"/>
      <c r="AG867" s="91"/>
    </row>
    <row r="868" ht="15.75" customHeight="1">
      <c r="C868" s="3"/>
      <c r="H868" s="3"/>
      <c r="AG868" s="91"/>
    </row>
    <row r="869" ht="15.75" customHeight="1">
      <c r="C869" s="3"/>
      <c r="H869" s="3"/>
      <c r="AG869" s="91"/>
    </row>
    <row r="870" ht="15.75" customHeight="1">
      <c r="C870" s="3"/>
      <c r="H870" s="3"/>
      <c r="AG870" s="91"/>
    </row>
    <row r="871" ht="15.75" customHeight="1">
      <c r="C871" s="3"/>
      <c r="H871" s="3"/>
      <c r="AG871" s="91"/>
    </row>
    <row r="872" ht="15.75" customHeight="1">
      <c r="C872" s="3"/>
      <c r="H872" s="3"/>
      <c r="AG872" s="91"/>
    </row>
    <row r="873" ht="15.75" customHeight="1">
      <c r="C873" s="3"/>
      <c r="H873" s="3"/>
      <c r="AG873" s="91"/>
    </row>
    <row r="874" ht="15.75" customHeight="1">
      <c r="C874" s="3"/>
      <c r="H874" s="3"/>
      <c r="AG874" s="91"/>
    </row>
    <row r="875" ht="15.75" customHeight="1">
      <c r="C875" s="3"/>
      <c r="H875" s="3"/>
      <c r="AG875" s="91"/>
    </row>
    <row r="876" ht="15.75" customHeight="1">
      <c r="C876" s="3"/>
      <c r="H876" s="3"/>
      <c r="AG876" s="91"/>
    </row>
    <row r="877" ht="15.75" customHeight="1">
      <c r="C877" s="3"/>
      <c r="H877" s="3"/>
      <c r="AG877" s="91"/>
    </row>
    <row r="878" ht="15.75" customHeight="1">
      <c r="C878" s="3"/>
      <c r="H878" s="3"/>
      <c r="AG878" s="91"/>
    </row>
    <row r="879" ht="15.75" customHeight="1">
      <c r="C879" s="3"/>
      <c r="H879" s="3"/>
      <c r="AG879" s="91"/>
    </row>
    <row r="880" ht="15.75" customHeight="1">
      <c r="C880" s="3"/>
      <c r="H880" s="3"/>
      <c r="AG880" s="91"/>
    </row>
    <row r="881" ht="15.75" customHeight="1">
      <c r="C881" s="3"/>
      <c r="H881" s="3"/>
      <c r="AG881" s="91"/>
    </row>
    <row r="882" ht="15.75" customHeight="1">
      <c r="C882" s="3"/>
      <c r="H882" s="3"/>
      <c r="AG882" s="91"/>
    </row>
    <row r="883" ht="15.75" customHeight="1">
      <c r="C883" s="3"/>
      <c r="H883" s="3"/>
      <c r="AG883" s="91"/>
    </row>
    <row r="884" ht="15.75" customHeight="1">
      <c r="C884" s="3"/>
      <c r="H884" s="3"/>
      <c r="AG884" s="91"/>
    </row>
    <row r="885" ht="15.75" customHeight="1">
      <c r="C885" s="3"/>
      <c r="H885" s="3"/>
      <c r="AG885" s="91"/>
    </row>
    <row r="886" ht="15.75" customHeight="1">
      <c r="C886" s="3"/>
      <c r="H886" s="3"/>
      <c r="AG886" s="91"/>
    </row>
    <row r="887" ht="15.75" customHeight="1">
      <c r="C887" s="3"/>
      <c r="H887" s="3"/>
      <c r="AG887" s="91"/>
    </row>
    <row r="888" ht="15.75" customHeight="1">
      <c r="C888" s="3"/>
      <c r="H888" s="3"/>
      <c r="AG888" s="91"/>
    </row>
    <row r="889" ht="15.75" customHeight="1">
      <c r="C889" s="3"/>
      <c r="H889" s="3"/>
      <c r="AG889" s="91"/>
    </row>
    <row r="890" ht="15.75" customHeight="1">
      <c r="C890" s="3"/>
      <c r="H890" s="3"/>
      <c r="AG890" s="91"/>
    </row>
    <row r="891" ht="15.75" customHeight="1">
      <c r="C891" s="3"/>
      <c r="H891" s="3"/>
      <c r="AG891" s="91"/>
    </row>
    <row r="892" ht="15.75" customHeight="1">
      <c r="C892" s="3"/>
      <c r="H892" s="3"/>
      <c r="AG892" s="91"/>
    </row>
    <row r="893" ht="15.75" customHeight="1">
      <c r="C893" s="3"/>
      <c r="H893" s="3"/>
      <c r="AG893" s="91"/>
    </row>
    <row r="894" ht="15.75" customHeight="1">
      <c r="C894" s="3"/>
      <c r="H894" s="3"/>
      <c r="AG894" s="91"/>
    </row>
    <row r="895" ht="15.75" customHeight="1">
      <c r="C895" s="3"/>
      <c r="H895" s="3"/>
      <c r="AG895" s="91"/>
    </row>
    <row r="896" ht="15.75" customHeight="1">
      <c r="C896" s="3"/>
      <c r="H896" s="3"/>
      <c r="AG896" s="91"/>
    </row>
    <row r="897" ht="15.75" customHeight="1">
      <c r="C897" s="3"/>
      <c r="H897" s="3"/>
      <c r="AG897" s="91"/>
    </row>
    <row r="898" ht="15.75" customHeight="1">
      <c r="C898" s="3"/>
      <c r="H898" s="3"/>
      <c r="AG898" s="91"/>
    </row>
    <row r="899" ht="15.75" customHeight="1">
      <c r="C899" s="3"/>
      <c r="H899" s="3"/>
      <c r="AG899" s="91"/>
    </row>
    <row r="900" ht="15.75" customHeight="1">
      <c r="C900" s="3"/>
      <c r="H900" s="3"/>
      <c r="AG900" s="91"/>
    </row>
    <row r="901" ht="15.75" customHeight="1">
      <c r="C901" s="3"/>
      <c r="H901" s="3"/>
      <c r="AG901" s="91"/>
    </row>
    <row r="902" ht="15.75" customHeight="1">
      <c r="C902" s="3"/>
      <c r="H902" s="3"/>
      <c r="AG902" s="91"/>
    </row>
    <row r="903" ht="15.75" customHeight="1">
      <c r="C903" s="3"/>
      <c r="H903" s="3"/>
      <c r="AG903" s="91"/>
    </row>
    <row r="904" ht="15.75" customHeight="1">
      <c r="C904" s="3"/>
      <c r="H904" s="3"/>
      <c r="AG904" s="91"/>
    </row>
    <row r="905" ht="15.75" customHeight="1">
      <c r="C905" s="3"/>
      <c r="H905" s="3"/>
      <c r="AG905" s="91"/>
    </row>
    <row r="906" ht="15.75" customHeight="1">
      <c r="C906" s="3"/>
      <c r="H906" s="3"/>
      <c r="AG906" s="91"/>
    </row>
    <row r="907" ht="15.75" customHeight="1">
      <c r="C907" s="3"/>
      <c r="H907" s="3"/>
      <c r="AG907" s="91"/>
    </row>
    <row r="908" ht="15.75" customHeight="1">
      <c r="C908" s="3"/>
      <c r="H908" s="3"/>
      <c r="AG908" s="91"/>
    </row>
    <row r="909" ht="15.75" customHeight="1">
      <c r="C909" s="3"/>
      <c r="H909" s="3"/>
      <c r="AG909" s="91"/>
    </row>
    <row r="910" ht="15.75" customHeight="1">
      <c r="C910" s="3"/>
      <c r="H910" s="3"/>
      <c r="AG910" s="91"/>
    </row>
    <row r="911" ht="15.75" customHeight="1">
      <c r="C911" s="3"/>
      <c r="H911" s="3"/>
      <c r="AG911" s="91"/>
    </row>
    <row r="912" ht="15.75" customHeight="1">
      <c r="C912" s="3"/>
      <c r="H912" s="3"/>
      <c r="AG912" s="91"/>
    </row>
    <row r="913" ht="15.75" customHeight="1">
      <c r="C913" s="3"/>
      <c r="H913" s="3"/>
      <c r="AG913" s="91"/>
    </row>
    <row r="914" ht="15.75" customHeight="1">
      <c r="C914" s="3"/>
      <c r="H914" s="3"/>
      <c r="AG914" s="91"/>
    </row>
    <row r="915" ht="15.75" customHeight="1">
      <c r="C915" s="3"/>
      <c r="H915" s="3"/>
      <c r="AG915" s="91"/>
    </row>
    <row r="916" ht="15.75" customHeight="1">
      <c r="C916" s="3"/>
      <c r="H916" s="3"/>
      <c r="AG916" s="91"/>
    </row>
    <row r="917" ht="15.75" customHeight="1">
      <c r="C917" s="3"/>
      <c r="H917" s="3"/>
      <c r="AG917" s="91"/>
    </row>
    <row r="918" ht="15.75" customHeight="1">
      <c r="C918" s="3"/>
      <c r="H918" s="3"/>
      <c r="AG918" s="91"/>
    </row>
    <row r="919" ht="15.75" customHeight="1">
      <c r="C919" s="3"/>
      <c r="H919" s="3"/>
      <c r="AG919" s="91"/>
    </row>
    <row r="920" ht="15.75" customHeight="1">
      <c r="C920" s="3"/>
      <c r="H920" s="3"/>
      <c r="AG920" s="91"/>
    </row>
    <row r="921" ht="15.75" customHeight="1">
      <c r="C921" s="3"/>
      <c r="H921" s="3"/>
      <c r="AG921" s="91"/>
    </row>
    <row r="922" ht="15.75" customHeight="1">
      <c r="C922" s="3"/>
      <c r="H922" s="3"/>
      <c r="AG922" s="91"/>
    </row>
    <row r="923" ht="15.75" customHeight="1">
      <c r="C923" s="3"/>
      <c r="H923" s="3"/>
      <c r="AG923" s="91"/>
    </row>
    <row r="924" ht="15.75" customHeight="1">
      <c r="C924" s="3"/>
      <c r="H924" s="3"/>
      <c r="AG924" s="91"/>
    </row>
    <row r="925" ht="15.75" customHeight="1">
      <c r="C925" s="3"/>
      <c r="H925" s="3"/>
      <c r="AG925" s="91"/>
    </row>
    <row r="926" ht="15.75" customHeight="1">
      <c r="C926" s="3"/>
      <c r="H926" s="3"/>
      <c r="AG926" s="91"/>
    </row>
    <row r="927" ht="15.75" customHeight="1">
      <c r="C927" s="3"/>
      <c r="H927" s="3"/>
      <c r="AG927" s="91"/>
    </row>
    <row r="928" ht="15.75" customHeight="1">
      <c r="C928" s="3"/>
      <c r="H928" s="3"/>
      <c r="AG928" s="91"/>
    </row>
    <row r="929" ht="15.75" customHeight="1">
      <c r="C929" s="3"/>
      <c r="H929" s="3"/>
      <c r="AG929" s="91"/>
    </row>
    <row r="930" ht="15.75" customHeight="1">
      <c r="C930" s="3"/>
      <c r="H930" s="3"/>
      <c r="AG930" s="91"/>
    </row>
    <row r="931" ht="15.75" customHeight="1">
      <c r="C931" s="3"/>
      <c r="H931" s="3"/>
      <c r="AG931" s="91"/>
    </row>
    <row r="932" ht="15.75" customHeight="1">
      <c r="C932" s="3"/>
      <c r="H932" s="3"/>
      <c r="AG932" s="91"/>
    </row>
    <row r="933" ht="15.75" customHeight="1">
      <c r="C933" s="3"/>
      <c r="H933" s="3"/>
      <c r="AG933" s="91"/>
    </row>
    <row r="934" ht="15.75" customHeight="1">
      <c r="C934" s="3"/>
      <c r="H934" s="3"/>
      <c r="AG934" s="91"/>
    </row>
    <row r="935" ht="15.75" customHeight="1">
      <c r="C935" s="3"/>
      <c r="H935" s="3"/>
      <c r="AG935" s="91"/>
    </row>
    <row r="936" ht="15.75" customHeight="1">
      <c r="C936" s="3"/>
      <c r="H936" s="3"/>
      <c r="AG936" s="91"/>
    </row>
    <row r="937" ht="15.75" customHeight="1">
      <c r="C937" s="3"/>
      <c r="H937" s="3"/>
      <c r="AG937" s="91"/>
    </row>
    <row r="938" ht="15.75" customHeight="1">
      <c r="C938" s="3"/>
      <c r="H938" s="3"/>
      <c r="AG938" s="91"/>
    </row>
    <row r="939" ht="15.75" customHeight="1">
      <c r="C939" s="3"/>
      <c r="H939" s="3"/>
      <c r="AG939" s="91"/>
    </row>
    <row r="940" ht="15.75" customHeight="1">
      <c r="C940" s="3"/>
      <c r="H940" s="3"/>
      <c r="AG940" s="91"/>
    </row>
    <row r="941" ht="15.75" customHeight="1">
      <c r="C941" s="3"/>
      <c r="H941" s="3"/>
      <c r="AG941" s="91"/>
    </row>
    <row r="942" ht="15.75" customHeight="1">
      <c r="C942" s="3"/>
      <c r="H942" s="3"/>
      <c r="AG942" s="91"/>
    </row>
    <row r="943" ht="15.75" customHeight="1">
      <c r="C943" s="3"/>
      <c r="H943" s="3"/>
      <c r="AG943" s="91"/>
    </row>
    <row r="944" ht="15.75" customHeight="1">
      <c r="C944" s="3"/>
      <c r="H944" s="3"/>
      <c r="AG944" s="91"/>
    </row>
    <row r="945" ht="15.75" customHeight="1">
      <c r="C945" s="3"/>
      <c r="H945" s="3"/>
      <c r="AG945" s="91"/>
    </row>
    <row r="946" ht="15.75" customHeight="1">
      <c r="C946" s="3"/>
      <c r="H946" s="3"/>
      <c r="AG946" s="91"/>
    </row>
    <row r="947" ht="15.75" customHeight="1">
      <c r="C947" s="3"/>
      <c r="H947" s="3"/>
      <c r="AG947" s="91"/>
    </row>
    <row r="948" ht="15.75" customHeight="1">
      <c r="C948" s="3"/>
      <c r="H948" s="3"/>
      <c r="AG948" s="91"/>
    </row>
    <row r="949" ht="15.75" customHeight="1">
      <c r="C949" s="3"/>
      <c r="H949" s="3"/>
      <c r="AG949" s="91"/>
    </row>
    <row r="950" ht="15.75" customHeight="1">
      <c r="C950" s="3"/>
      <c r="H950" s="3"/>
      <c r="AG950" s="91"/>
    </row>
    <row r="951" ht="15.75" customHeight="1">
      <c r="C951" s="3"/>
      <c r="H951" s="3"/>
      <c r="AG951" s="91"/>
    </row>
    <row r="952" ht="15.75" customHeight="1">
      <c r="C952" s="3"/>
      <c r="H952" s="3"/>
      <c r="AG952" s="91"/>
    </row>
    <row r="953" ht="15.75" customHeight="1">
      <c r="C953" s="3"/>
      <c r="H953" s="3"/>
      <c r="AG953" s="91"/>
    </row>
    <row r="954" ht="15.75" customHeight="1">
      <c r="C954" s="3"/>
      <c r="H954" s="3"/>
      <c r="AG954" s="91"/>
    </row>
    <row r="955" ht="15.75" customHeight="1">
      <c r="C955" s="3"/>
      <c r="H955" s="3"/>
      <c r="AG955" s="91"/>
    </row>
    <row r="956" ht="15.75" customHeight="1">
      <c r="C956" s="3"/>
      <c r="H956" s="3"/>
      <c r="AG956" s="91"/>
    </row>
    <row r="957" ht="15.75" customHeight="1">
      <c r="C957" s="3"/>
      <c r="H957" s="3"/>
      <c r="AG957" s="91"/>
    </row>
    <row r="958" ht="15.75" customHeight="1">
      <c r="C958" s="3"/>
      <c r="H958" s="3"/>
      <c r="AG958" s="91"/>
    </row>
    <row r="959" ht="15.75" customHeight="1">
      <c r="C959" s="3"/>
      <c r="H959" s="3"/>
      <c r="AG959" s="91"/>
    </row>
    <row r="960" ht="15.75" customHeight="1">
      <c r="C960" s="3"/>
      <c r="H960" s="3"/>
      <c r="AG960" s="91"/>
    </row>
    <row r="961" ht="15.75" customHeight="1">
      <c r="C961" s="3"/>
      <c r="H961" s="3"/>
      <c r="AG961" s="91"/>
    </row>
    <row r="962" ht="15.75" customHeight="1">
      <c r="C962" s="3"/>
      <c r="H962" s="3"/>
      <c r="AG962" s="91"/>
    </row>
    <row r="963" ht="15.75" customHeight="1">
      <c r="C963" s="3"/>
      <c r="H963" s="3"/>
      <c r="AG963" s="91"/>
    </row>
    <row r="964" ht="15.75" customHeight="1">
      <c r="C964" s="3"/>
      <c r="H964" s="3"/>
      <c r="AG964" s="91"/>
    </row>
    <row r="965" ht="15.75" customHeight="1">
      <c r="C965" s="3"/>
      <c r="H965" s="3"/>
      <c r="AG965" s="91"/>
    </row>
    <row r="966" ht="15.75" customHeight="1">
      <c r="C966" s="3"/>
      <c r="H966" s="3"/>
      <c r="AG966" s="91"/>
    </row>
    <row r="967" ht="15.75" customHeight="1">
      <c r="C967" s="3"/>
      <c r="H967" s="3"/>
      <c r="AG967" s="91"/>
    </row>
    <row r="968" ht="15.75" customHeight="1">
      <c r="C968" s="3"/>
      <c r="H968" s="3"/>
      <c r="AG968" s="91"/>
    </row>
    <row r="969" ht="15.75" customHeight="1">
      <c r="C969" s="3"/>
      <c r="H969" s="3"/>
      <c r="AG969" s="91"/>
    </row>
    <row r="970" ht="15.75" customHeight="1">
      <c r="C970" s="3"/>
      <c r="H970" s="3"/>
      <c r="AG970" s="91"/>
    </row>
    <row r="971" ht="15.75" customHeight="1">
      <c r="C971" s="3"/>
      <c r="H971" s="3"/>
      <c r="AG971" s="91"/>
    </row>
    <row r="972" ht="15.75" customHeight="1">
      <c r="C972" s="3"/>
      <c r="H972" s="3"/>
      <c r="AG972" s="91"/>
    </row>
    <row r="973" ht="15.75" customHeight="1">
      <c r="C973" s="3"/>
      <c r="H973" s="3"/>
      <c r="AG973" s="91"/>
    </row>
    <row r="974" ht="15.75" customHeight="1">
      <c r="C974" s="3"/>
      <c r="H974" s="3"/>
      <c r="AG974" s="91"/>
    </row>
    <row r="975" ht="15.75" customHeight="1">
      <c r="C975" s="3"/>
      <c r="H975" s="3"/>
      <c r="AG975" s="91"/>
    </row>
    <row r="976" ht="15.75" customHeight="1">
      <c r="C976" s="3"/>
      <c r="H976" s="3"/>
      <c r="AG976" s="91"/>
    </row>
    <row r="977" ht="15.75" customHeight="1">
      <c r="C977" s="3"/>
      <c r="H977" s="3"/>
      <c r="AG977" s="91"/>
    </row>
    <row r="978" ht="15.75" customHeight="1">
      <c r="C978" s="3"/>
      <c r="H978" s="3"/>
      <c r="AG978" s="91"/>
    </row>
    <row r="979" ht="15.75" customHeight="1">
      <c r="C979" s="3"/>
      <c r="H979" s="3"/>
      <c r="AG979" s="91"/>
    </row>
    <row r="980" ht="15.75" customHeight="1">
      <c r="C980" s="3"/>
      <c r="H980" s="3"/>
      <c r="AG980" s="91"/>
    </row>
    <row r="981" ht="15.75" customHeight="1">
      <c r="C981" s="3"/>
      <c r="H981" s="3"/>
      <c r="AG981" s="91"/>
    </row>
    <row r="982" ht="15.75" customHeight="1">
      <c r="C982" s="3"/>
      <c r="H982" s="3"/>
      <c r="AG982" s="91"/>
    </row>
    <row r="983" ht="15.75" customHeight="1">
      <c r="C983" s="3"/>
      <c r="H983" s="3"/>
      <c r="AG983" s="91"/>
    </row>
    <row r="984" ht="15.75" customHeight="1">
      <c r="C984" s="3"/>
      <c r="H984" s="3"/>
      <c r="AG984" s="91"/>
    </row>
    <row r="985" ht="15.75" customHeight="1">
      <c r="C985" s="3"/>
      <c r="H985" s="3"/>
      <c r="AG985" s="91"/>
    </row>
    <row r="986" ht="15.75" customHeight="1">
      <c r="C986" s="3"/>
      <c r="H986" s="3"/>
      <c r="AG986" s="91"/>
    </row>
    <row r="987" ht="15.75" customHeight="1">
      <c r="C987" s="3"/>
      <c r="H987" s="3"/>
      <c r="AG987" s="91"/>
    </row>
    <row r="988" ht="15.75" customHeight="1">
      <c r="C988" s="3"/>
      <c r="H988" s="3"/>
      <c r="AG988" s="91"/>
    </row>
    <row r="989" ht="15.75" customHeight="1">
      <c r="C989" s="3"/>
      <c r="H989" s="3"/>
      <c r="AG989" s="91"/>
    </row>
    <row r="990" ht="15.75" customHeight="1">
      <c r="C990" s="3"/>
      <c r="H990" s="3"/>
      <c r="AG990" s="91"/>
    </row>
    <row r="991" ht="15.75" customHeight="1">
      <c r="C991" s="3"/>
      <c r="H991" s="3"/>
      <c r="AG991" s="91"/>
    </row>
    <row r="992" ht="15.75" customHeight="1">
      <c r="C992" s="3"/>
      <c r="H992" s="3"/>
      <c r="AG992" s="91"/>
    </row>
    <row r="993" ht="15.75" customHeight="1">
      <c r="C993" s="3"/>
      <c r="H993" s="3"/>
      <c r="AG993" s="91"/>
    </row>
    <row r="994" ht="15.75" customHeight="1">
      <c r="C994" s="3"/>
      <c r="H994" s="3"/>
      <c r="AG994" s="91"/>
    </row>
    <row r="995" ht="15.75" customHeight="1">
      <c r="C995" s="3"/>
      <c r="H995" s="3"/>
      <c r="AG995" s="91"/>
    </row>
    <row r="996" ht="15.75" customHeight="1">
      <c r="C996" s="3"/>
      <c r="H996" s="3"/>
      <c r="AG996" s="91"/>
    </row>
    <row r="997" ht="15.75" customHeight="1">
      <c r="C997" s="3"/>
      <c r="H997" s="3"/>
      <c r="AG997" s="91"/>
    </row>
    <row r="998" ht="15.75" customHeight="1">
      <c r="C998" s="3"/>
      <c r="H998" s="3"/>
      <c r="AG998" s="91"/>
    </row>
    <row r="999" ht="15.75" customHeight="1">
      <c r="C999" s="3"/>
      <c r="H999" s="3"/>
      <c r="AG999" s="91"/>
    </row>
    <row r="1000" ht="15.75" customHeight="1">
      <c r="C1000" s="3"/>
      <c r="H1000" s="3"/>
      <c r="AG1000" s="91"/>
    </row>
  </sheetData>
  <autoFilter ref="$A$3:$AO$93"/>
  <mergeCells count="2">
    <mergeCell ref="AV6:BD6"/>
    <mergeCell ref="AV21:BA21"/>
  </mergeCells>
  <printOptions/>
  <pageMargins bottom="0.75" footer="0.0" header="0.0" left="0.7" right="0.7" top="0.75"/>
  <pageSetup fitToHeight="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43"/>
    <col customWidth="1" min="3" max="3" width="11.71"/>
    <col customWidth="1" min="4" max="4" width="42.57"/>
    <col customWidth="1" min="5" max="5" width="13.14"/>
    <col customWidth="1" min="6" max="6" width="17.29"/>
    <col customWidth="1" min="7" max="7" width="11.71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3"/>
      <c r="C1" s="3"/>
      <c r="D1" s="97" t="s">
        <v>540</v>
      </c>
      <c r="E1" s="98">
        <f>+AI3</f>
        <v>5543.302</v>
      </c>
      <c r="F1" s="97" t="s">
        <v>241</v>
      </c>
      <c r="G1" s="98">
        <f>+$AM3</f>
        <v>501076.9178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22"/>
      <c r="C2" s="3"/>
      <c r="D2" s="97" t="s">
        <v>242</v>
      </c>
      <c r="E2" s="98">
        <f>+AH3</f>
        <v>5021.509</v>
      </c>
      <c r="F2" s="99" t="s">
        <v>243</v>
      </c>
      <c r="G2" s="100">
        <f>+Q2</f>
        <v>91.24449299</v>
      </c>
      <c r="H2" s="13"/>
      <c r="I2" s="184">
        <f>SUBTOTAL(9,I4:I1395)</f>
        <v>555.13</v>
      </c>
      <c r="J2" s="4"/>
      <c r="K2" s="14">
        <f>SUBTOTAL(9,K4:K1395)</f>
        <v>507.58</v>
      </c>
      <c r="L2" s="126">
        <f>+SUMPRODUCT(L5:L1395,K5:K1395)/K2</f>
        <v>0.3185331849</v>
      </c>
      <c r="M2" s="2"/>
      <c r="O2" s="6"/>
      <c r="P2" s="16">
        <f>+SUMPRODUCT(P4:P1395,AH4:AH1395)/SUM(AH4:AH1395)</f>
        <v>87.5100429</v>
      </c>
      <c r="Q2" s="16">
        <f>+SUMPRODUCT(Q4:Q1395,AH4:AH1395)/SUM(AH4:AH1395)</f>
        <v>91.24449299</v>
      </c>
      <c r="R2" s="12">
        <f>+SUMPRODUCT(R4:R1395,AH4:AH1395)/SUM(AH4:AH1395)</f>
        <v>4015.102593</v>
      </c>
      <c r="S2" s="2"/>
      <c r="AB2" s="7"/>
      <c r="AC2" s="7"/>
      <c r="AD2" s="7"/>
      <c r="AE2" s="7"/>
      <c r="AF2" s="7"/>
      <c r="AG2" s="17">
        <f>SUMPRODUCT($AG4:$AG1395,$K4:$K1395)/SUM($K4:$K1395)</f>
        <v>121.8325415</v>
      </c>
      <c r="AH2" s="18"/>
      <c r="AI2" s="2"/>
      <c r="AJ2" s="19">
        <v>4120.0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3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SUBTOTAL(9,AH4:AH1395)</f>
        <v>5021.509</v>
      </c>
      <c r="AI3" s="186">
        <f t="shared" si="1"/>
        <v>5543.302</v>
      </c>
      <c r="AJ3" s="187">
        <f>SUMPRODUCT(K4:K1395,AJ4:AJ1395)/K2</f>
        <v>69.70235857</v>
      </c>
      <c r="AK3" s="39">
        <f>SUBTOTAL(9,AK4:AK1395)</f>
        <v>4686.818829</v>
      </c>
      <c r="AL3" s="11"/>
      <c r="AM3" s="39">
        <f>SUBTOTAL(9,AM4:AM1395)</f>
        <v>501076.9178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3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16" t="s">
        <v>1938</v>
      </c>
      <c r="B5" s="182">
        <v>45950.0</v>
      </c>
      <c r="C5" s="182">
        <v>45940.0</v>
      </c>
      <c r="D5" s="57" t="s">
        <v>665</v>
      </c>
      <c r="E5" s="3">
        <f t="array" ref="E5">XLOOKUP(D5,RUC!$B$3:$B$110,RUC!$D$3:$D$110)</f>
        <v>20608774000</v>
      </c>
      <c r="G5" s="141">
        <v>24.0</v>
      </c>
      <c r="H5" s="3" t="s">
        <v>40</v>
      </c>
      <c r="I5" s="6">
        <v>2.28</v>
      </c>
      <c r="J5" s="58">
        <v>27.7</v>
      </c>
      <c r="K5" s="6">
        <f t="shared" ref="K5:K83" si="2">ROUND(+I5-(I5*(J5/100)),3)</f>
        <v>1.648</v>
      </c>
      <c r="L5" s="60">
        <v>1.24</v>
      </c>
      <c r="M5" s="3">
        <v>1.178</v>
      </c>
      <c r="N5" s="62">
        <f t="shared" ref="N5:N6" si="3">+M5</f>
        <v>1.178</v>
      </c>
      <c r="O5" s="60">
        <v>1.178</v>
      </c>
      <c r="P5" s="63">
        <v>71.0</v>
      </c>
      <c r="Q5" s="58">
        <v>71.43</v>
      </c>
      <c r="R5" s="65">
        <v>3974.5</v>
      </c>
      <c r="S5" s="66">
        <f t="array" ref="S5">IF((XLOOKUP(D5,RUC!$B$3:$B$106,RUC!$E$3:$E$106)+ROUNDDOWN(O5,1)*100)&lt;95,95,((XLOOKUP(D5,RUC!$B$3:$B$106,RUC!$E$3:$E$106)+ROUNDDOWN(O5,1)*100)))</f>
        <v>195</v>
      </c>
      <c r="U5" s="67">
        <f t="array" ref="U5">XLOOKUP(D5,RUC!$B$3:$B$110,RUC!$F$3:$F$110)</f>
        <v>120</v>
      </c>
      <c r="V5" s="67">
        <v>1.1023</v>
      </c>
      <c r="Y5" s="57">
        <f t="array" ref="Y5">XLOOKUP(D5,RUC!$B$3:$B$110,RUC!$G$3:$G$110)</f>
        <v>20</v>
      </c>
      <c r="Z5" s="69">
        <f t="array" ref="Z5">XLOOKUP(D5,RUC!$B$3:$B$110,RUC!$H$3:$H$110)</f>
        <v>30</v>
      </c>
      <c r="AA5" s="70">
        <f t="shared" ref="AA5:AA83" si="4">+Y5+Z5</f>
        <v>50</v>
      </c>
      <c r="AB5" s="71">
        <f t="shared" ref="AB5:AB31" si="5">+((O5*P5*(R5-U5)/100)-S5-AA5+T5)*V5</f>
        <v>3283.560682</v>
      </c>
      <c r="AC5" s="71">
        <f>+(S5-T5)*V5-'data 1'!$F$4</f>
        <v>134.9485</v>
      </c>
      <c r="AD5" s="71">
        <f t="shared" ref="AD5:AD83" si="6">+(Q5-P5)*(R5-U5)*L5*V5/100</f>
        <v>22.65468345</v>
      </c>
      <c r="AE5" s="71">
        <f t="shared" ref="AE5:AE83" si="7">+(Y5*V5-70)+V5*(Z5-IF(D5="UNTUCA",IF(+((W5-3)*2.5+(X5-3)*3.1)&gt;0,+((W5-3)*1.5+(X5-3)*3.1),0),IF(+((W5-3)*1.5+(X5-3)*3.1)&gt;0,+((W5-3)*1.5+(X5-3)*3.1),0)))</f>
        <v>-14.885</v>
      </c>
      <c r="AF5" s="71">
        <f t="shared" ref="AF5:AF83" si="8">(L5-O5)*(R5-U5)*Q5*V5/100</f>
        <v>188.1655859</v>
      </c>
      <c r="AG5" s="72">
        <f t="shared" ref="AG5:AG31" si="9">AC5+AD5+AE5+AF5+70-53</f>
        <v>347.8837693</v>
      </c>
      <c r="AH5" s="193">
        <f t="shared" ref="AH5:AH83" si="10">ROUND((31.1035*L5*Q5*1.1023*K5/100),3)</f>
        <v>50.046</v>
      </c>
      <c r="AI5" s="193">
        <f t="shared" ref="AI5:AI83" si="11">ROUND((31.1035*L5*1.1023*K5),3)</f>
        <v>70.063</v>
      </c>
      <c r="AJ5" s="73">
        <f t="shared" ref="AJ5:AJ83" si="12">+((+$AJ$2-R5+U5)*L5*Q5*V5)/100</f>
        <v>259.2189028</v>
      </c>
      <c r="AK5" s="73">
        <f t="shared" ref="AK5:AK83" si="13">31.1035*1.1023*K5*P5*O5/100</f>
        <v>47.25740999</v>
      </c>
      <c r="AL5" s="11"/>
      <c r="AM5" s="51">
        <f t="shared" ref="AM5:AM83" si="14">+IF(AB5*K5&gt;0,AB5*K5,0)</f>
        <v>5411.308005</v>
      </c>
      <c r="AN5" s="51" t="str">
        <f t="array" ref="AN5">XLOOKUP(D5,RUC!$B$3:$B$565,RUC!$M$3:$M$565)</f>
        <v>Ronald Miranda</v>
      </c>
      <c r="AO5" s="131" t="s">
        <v>547</v>
      </c>
      <c r="AP5" s="57" t="s">
        <v>1596</v>
      </c>
      <c r="AQ5" s="57" t="s">
        <v>1597</v>
      </c>
      <c r="AV5" s="149" t="s">
        <v>1939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16" t="s">
        <v>1940</v>
      </c>
      <c r="B6" s="182">
        <v>45955.0</v>
      </c>
      <c r="C6" s="182">
        <v>45950.0</v>
      </c>
      <c r="D6" s="57" t="s">
        <v>622</v>
      </c>
      <c r="E6" s="3">
        <f t="array" ref="E6">XLOOKUP(D6,RUC!$B$3:$B$110,RUC!$D$3:$D$110)</f>
        <v>20612719757</v>
      </c>
      <c r="G6" s="141">
        <v>50.0</v>
      </c>
      <c r="H6" s="3" t="s">
        <v>40</v>
      </c>
      <c r="I6" s="6">
        <v>4.41</v>
      </c>
      <c r="J6" s="58">
        <v>7.95</v>
      </c>
      <c r="K6" s="6">
        <f t="shared" si="2"/>
        <v>4.059</v>
      </c>
      <c r="L6" s="3">
        <v>0.175</v>
      </c>
      <c r="M6" s="60">
        <v>0.16</v>
      </c>
      <c r="N6" s="62">
        <f t="shared" si="3"/>
        <v>0.16</v>
      </c>
      <c r="O6" s="60">
        <f t="shared" ref="O6:O83" si="16">+ROUND((M6+N6)/2,3)</f>
        <v>0.16</v>
      </c>
      <c r="P6" s="63">
        <v>90.0</v>
      </c>
      <c r="Q6" s="58">
        <v>91.43</v>
      </c>
      <c r="R6" s="65">
        <v>4294.35</v>
      </c>
      <c r="S6" s="66">
        <f t="array" ref="S6">IF((XLOOKUP(D6,RUC!$B$3:$B$106,RUC!$E$3:$E$106)+ROUNDDOWN(O6,1)*100)&lt;95,95,((XLOOKUP(D6,RUC!$B$3:$B$106,RUC!$E$3:$E$106)+ROUNDDOWN(O6,1)*100)))</f>
        <v>100</v>
      </c>
      <c r="U6" s="67">
        <f t="array" ref="U6">XLOOKUP(D6,RUC!$B$3:$B$110,RUC!$F$3:$F$110)</f>
        <v>120</v>
      </c>
      <c r="V6" s="67">
        <v>1.1023</v>
      </c>
      <c r="Y6" s="57">
        <f t="array" ref="Y6">XLOOKUP(D6,RUC!$B$3:$B$110,RUC!$G$3:$G$110)</f>
        <v>20</v>
      </c>
      <c r="Z6" s="69">
        <f t="array" ref="Z6">XLOOKUP(D6,RUC!$B$3:$B$110,RUC!$H$3:$H$110)</f>
        <v>30</v>
      </c>
      <c r="AA6" s="70">
        <f t="shared" si="4"/>
        <v>50</v>
      </c>
      <c r="AB6" s="71">
        <f t="shared" si="5"/>
        <v>497.2545847</v>
      </c>
      <c r="AC6" s="71">
        <f>+(S6-T6)*V6-'data 1'!$F$4</f>
        <v>30.23</v>
      </c>
      <c r="AD6" s="71">
        <f t="shared" si="6"/>
        <v>11.51496848</v>
      </c>
      <c r="AE6" s="71">
        <f t="shared" si="7"/>
        <v>-14.885</v>
      </c>
      <c r="AF6" s="71">
        <f t="shared" si="8"/>
        <v>63.10570837</v>
      </c>
      <c r="AG6" s="72">
        <f t="shared" si="9"/>
        <v>106.9656768</v>
      </c>
      <c r="AH6" s="193">
        <f t="shared" si="10"/>
        <v>22.267</v>
      </c>
      <c r="AI6" s="193">
        <f t="shared" si="11"/>
        <v>24.354</v>
      </c>
      <c r="AJ6" s="73">
        <f t="shared" si="12"/>
        <v>-9.585750575</v>
      </c>
      <c r="AK6" s="73">
        <f t="shared" si="13"/>
        <v>20.03967217</v>
      </c>
      <c r="AL6" s="11"/>
      <c r="AM6" s="51">
        <f t="shared" si="14"/>
        <v>2018.356359</v>
      </c>
      <c r="AN6" s="51" t="str">
        <f t="array" ref="AN6">XLOOKUP(D6,RUC!$B$3:$B$565,RUC!$M$3:$M$565)</f>
        <v>Walter Achulla </v>
      </c>
      <c r="AO6" s="131" t="s">
        <v>549</v>
      </c>
      <c r="AP6" s="57" t="s">
        <v>1491</v>
      </c>
      <c r="AQ6" s="57" t="s">
        <v>878</v>
      </c>
      <c r="AW6" s="195">
        <f>SUM(AW8:AW17)</f>
        <v>507.58</v>
      </c>
      <c r="AX6" s="196">
        <f>SUMPRODUCT(AW8:AW17,AX8:AX17)/SUM(AW8:AW17)</f>
        <v>0.3185331849</v>
      </c>
      <c r="AY6" s="197"/>
      <c r="AZ6" s="198">
        <f>SUMPRODUCT(AZ8:AZ17,$BB8:$BB17)/SUM($BB8:$BB17)/100</f>
        <v>0.9124449299</v>
      </c>
      <c r="BA6" s="82">
        <f t="shared" ref="BA6:BB6" si="15">SUM(BA8:BA17)</f>
        <v>5543.298362</v>
      </c>
      <c r="BB6" s="82">
        <f t="shared" si="15"/>
        <v>5021.509</v>
      </c>
    </row>
    <row r="7" ht="15.0" customHeight="1">
      <c r="A7" s="116" t="s">
        <v>1941</v>
      </c>
      <c r="B7" s="182">
        <v>45965.0</v>
      </c>
      <c r="C7" s="182">
        <v>45953.0</v>
      </c>
      <c r="D7" s="57" t="s">
        <v>225</v>
      </c>
      <c r="E7" s="3">
        <f t="array" ref="E7">XLOOKUP(D7,RUC!$B$3:$B$110,RUC!$D$3:$D$110)</f>
        <v>10761932735</v>
      </c>
      <c r="G7" s="141" t="s">
        <v>735</v>
      </c>
      <c r="H7" s="3" t="s">
        <v>47</v>
      </c>
      <c r="I7" s="6">
        <v>4.89</v>
      </c>
      <c r="J7" s="58">
        <v>13.55</v>
      </c>
      <c r="K7" s="6">
        <f t="shared" si="2"/>
        <v>4.227</v>
      </c>
      <c r="L7" s="3">
        <v>0.148</v>
      </c>
      <c r="M7" s="3">
        <v>0.133</v>
      </c>
      <c r="N7" s="75">
        <v>0.195</v>
      </c>
      <c r="O7" s="60">
        <f t="shared" si="16"/>
        <v>0.164</v>
      </c>
      <c r="P7" s="63">
        <v>85.0</v>
      </c>
      <c r="Q7" s="58">
        <v>89.86</v>
      </c>
      <c r="R7" s="65">
        <v>4143.75</v>
      </c>
      <c r="S7" s="66">
        <f t="array" ref="S7">IF((XLOOKUP(D7,RUC!$B$3:$B$106,RUC!$E$3:$E$106)+ROUNDDOWN(O7,1)*100)&lt;95,95,((XLOOKUP(D7,RUC!$B$3:$B$106,RUC!$E$3:$E$106)+ROUNDDOWN(O7,1)*100)))</f>
        <v>100</v>
      </c>
      <c r="U7" s="67">
        <f t="array" ref="U7">XLOOKUP(D7,RUC!$B$3:$B$110,RUC!$F$3:$F$110)</f>
        <v>120</v>
      </c>
      <c r="V7" s="67">
        <v>1.1023</v>
      </c>
      <c r="Y7" s="199">
        <v>40.0</v>
      </c>
      <c r="Z7" s="69">
        <f t="array" ref="Z7">XLOOKUP(D7,RUC!$B$3:$B$110,RUC!$H$3:$H$110)</f>
        <v>30</v>
      </c>
      <c r="AA7" s="70">
        <f t="shared" si="4"/>
        <v>70</v>
      </c>
      <c r="AB7" s="71">
        <f t="shared" si="5"/>
        <v>430.9009197</v>
      </c>
      <c r="AC7" s="71">
        <f>+(S7-T7)*V7-'data 1'!$F$4</f>
        <v>30.23</v>
      </c>
      <c r="AD7" s="71">
        <f t="shared" si="6"/>
        <v>31.90279857</v>
      </c>
      <c r="AE7" s="71">
        <f t="shared" si="7"/>
        <v>7.161</v>
      </c>
      <c r="AF7" s="71">
        <f t="shared" si="8"/>
        <v>-63.7701141</v>
      </c>
      <c r="AG7" s="72">
        <f t="shared" si="9"/>
        <v>22.52368447</v>
      </c>
      <c r="AH7" s="193">
        <f t="shared" si="10"/>
        <v>19.274</v>
      </c>
      <c r="AI7" s="193">
        <f t="shared" si="11"/>
        <v>21.449</v>
      </c>
      <c r="AJ7" s="73">
        <f t="shared" si="12"/>
        <v>14.11005398</v>
      </c>
      <c r="AK7" s="73">
        <f t="shared" si="13"/>
        <v>20.20245234</v>
      </c>
      <c r="AL7" s="11"/>
      <c r="AM7" s="51">
        <f t="shared" si="14"/>
        <v>1821.418188</v>
      </c>
      <c r="AN7" s="51" t="str">
        <f t="array" ref="AN7">XLOOKUP(D7,RUC!$B$3:$B$565,RUC!$M$3:$M$565)</f>
        <v>Richard Sapacayo</v>
      </c>
      <c r="AO7" s="131" t="s">
        <v>551</v>
      </c>
      <c r="AP7" s="57" t="s">
        <v>1395</v>
      </c>
      <c r="AQ7" s="57" t="s">
        <v>1883</v>
      </c>
      <c r="AV7" s="3"/>
      <c r="AW7" s="3" t="s">
        <v>14</v>
      </c>
      <c r="AX7" s="3" t="s">
        <v>683</v>
      </c>
      <c r="AY7" s="143" t="s">
        <v>683</v>
      </c>
      <c r="AZ7" s="3" t="s">
        <v>685</v>
      </c>
      <c r="BA7" s="3" t="s">
        <v>686</v>
      </c>
      <c r="BB7" s="3" t="s">
        <v>687</v>
      </c>
      <c r="BC7" s="3" t="s">
        <v>698</v>
      </c>
      <c r="BD7" s="65" t="s">
        <v>699</v>
      </c>
    </row>
    <row r="8" ht="15.0" customHeight="1">
      <c r="A8" s="116" t="s">
        <v>1942</v>
      </c>
      <c r="B8" s="182">
        <v>45967.0</v>
      </c>
      <c r="C8" s="182">
        <v>45955.0</v>
      </c>
      <c r="D8" s="57" t="s">
        <v>602</v>
      </c>
      <c r="E8" s="3">
        <f t="array" ref="E8">XLOOKUP(D8,RUC!$B$3:$B$110,RUC!$D$3:$D$110)</f>
        <v>20169040231</v>
      </c>
      <c r="G8" s="141">
        <v>62.0</v>
      </c>
      <c r="H8" s="3" t="s">
        <v>47</v>
      </c>
      <c r="I8" s="6">
        <v>5.1</v>
      </c>
      <c r="J8" s="58">
        <v>1.3</v>
      </c>
      <c r="K8" s="6">
        <f t="shared" si="2"/>
        <v>5.034</v>
      </c>
      <c r="L8" s="3">
        <v>0.843</v>
      </c>
      <c r="M8" s="3">
        <v>0.801</v>
      </c>
      <c r="N8" s="75">
        <v>0.879</v>
      </c>
      <c r="O8" s="60">
        <f t="shared" si="16"/>
        <v>0.84</v>
      </c>
      <c r="P8" s="63">
        <v>87.0</v>
      </c>
      <c r="Q8" s="58">
        <v>87.54</v>
      </c>
      <c r="R8" s="65">
        <v>4104.4</v>
      </c>
      <c r="S8" s="66">
        <f t="array" ref="S8">IF((XLOOKUP(D8,RUC!$B$3:$B$106,RUC!$E$3:$E$106)+ROUNDDOWN(O8,1)*100)&lt;95,95,((XLOOKUP(D8,RUC!$B$3:$B$106,RUC!$E$3:$E$106)+ROUNDDOWN(O8,1)*100)))</f>
        <v>165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140">
        <v>35.0</v>
      </c>
      <c r="AA8" s="70">
        <f t="shared" si="4"/>
        <v>55</v>
      </c>
      <c r="AB8" s="71">
        <f t="shared" si="5"/>
        <v>2967.170611</v>
      </c>
      <c r="AC8" s="71">
        <f>+(S8-T8)*V8-'data 1'!$F$4</f>
        <v>101.8795</v>
      </c>
      <c r="AD8" s="71">
        <f t="shared" si="6"/>
        <v>19.99328116</v>
      </c>
      <c r="AE8" s="71">
        <f t="shared" si="7"/>
        <v>-9.3735</v>
      </c>
      <c r="AF8" s="71">
        <f t="shared" si="8"/>
        <v>11.53428122</v>
      </c>
      <c r="AG8" s="72">
        <f t="shared" si="9"/>
        <v>141.0335624</v>
      </c>
      <c r="AH8" s="193">
        <f t="shared" si="10"/>
        <v>127.367</v>
      </c>
      <c r="AI8" s="193">
        <f t="shared" si="11"/>
        <v>145.496</v>
      </c>
      <c r="AJ8" s="73">
        <f t="shared" si="12"/>
        <v>110.3045974</v>
      </c>
      <c r="AK8" s="73">
        <f t="shared" si="13"/>
        <v>126.1307038</v>
      </c>
      <c r="AL8" s="11"/>
      <c r="AM8" s="51">
        <f t="shared" si="14"/>
        <v>14936.73686</v>
      </c>
      <c r="AN8" s="51" t="str">
        <f t="array" ref="AN8">XLOOKUP(D8,RUC!$B$3:$B$565,RUC!$M$3:$M$565)</f>
        <v>Ronald Miranda</v>
      </c>
      <c r="AO8" s="131" t="s">
        <v>558</v>
      </c>
      <c r="AP8" s="57" t="s">
        <v>1891</v>
      </c>
      <c r="AQ8" s="57" t="s">
        <v>1892</v>
      </c>
      <c r="AV8" s="152" t="s">
        <v>558</v>
      </c>
      <c r="AW8" s="154">
        <f t="shared" ref="AW8:AW17" si="17">SUMIF($AO$4:$AO$1503,AV8,$K$4:$K$1503)</f>
        <v>149.255</v>
      </c>
      <c r="AX8" s="154">
        <f t="array" ref="AX8">+SUMPRODUCT(IF($AO$4:$AO$1503=AV8,$L$4:$L$1503*$K$4:$K$1503/AW8))</f>
        <v>0.3245136511</v>
      </c>
      <c r="AY8" s="155">
        <f t="shared" ref="AY8:AY17" si="18">31.1035*1.1023*AX8*(100-AZ8)/100</f>
        <v>1.02423155</v>
      </c>
      <c r="AZ8" s="157">
        <f t="array" ref="AZ8">+SUMPRODUCT(IF($AO$4:$AO$1503=AV8,($Q$4:$Q$1503*$AH$4:$AH$1503)/SUMIF($AO$4:$AO$1503,$AV8,$AH$4:$AH$1503)))</f>
        <v>90.79431501</v>
      </c>
      <c r="BA8" s="200">
        <f t="shared" ref="BA8:BA17" si="19">+AX8*31.1035*1.1023*AW8</f>
        <v>1660.622542</v>
      </c>
      <c r="BB8" s="156">
        <f t="shared" ref="BB8:BB17" si="20">SUMIF($AO$4:$AO$603,$AV8,$AH$4:$AH$603)</f>
        <v>1491.392</v>
      </c>
      <c r="BC8" s="157">
        <f>+BA8-BB8</f>
        <v>169.2305415</v>
      </c>
      <c r="BD8" s="158">
        <f>+AW8</f>
        <v>149.255</v>
      </c>
    </row>
    <row r="9" ht="15.0" customHeight="1">
      <c r="A9" s="116" t="s">
        <v>1943</v>
      </c>
      <c r="B9" s="182">
        <v>45967.0</v>
      </c>
      <c r="C9" s="182">
        <v>45955.0</v>
      </c>
      <c r="D9" s="57" t="s">
        <v>602</v>
      </c>
      <c r="E9" s="3">
        <f t="array" ref="E9">XLOOKUP(D9,RUC!$B$3:$B$110,RUC!$D$3:$D$110)</f>
        <v>20169040231</v>
      </c>
      <c r="G9" s="141">
        <v>62.0</v>
      </c>
      <c r="H9" s="3" t="s">
        <v>47</v>
      </c>
      <c r="I9" s="6">
        <v>5.16</v>
      </c>
      <c r="J9" s="58">
        <v>1.15</v>
      </c>
      <c r="K9" s="6">
        <f t="shared" si="2"/>
        <v>5.101</v>
      </c>
      <c r="L9" s="3">
        <v>0.695</v>
      </c>
      <c r="M9" s="60">
        <v>0.66</v>
      </c>
      <c r="N9" s="75">
        <v>0.718</v>
      </c>
      <c r="O9" s="60">
        <f t="shared" si="16"/>
        <v>0.689</v>
      </c>
      <c r="P9" s="63">
        <v>86.0</v>
      </c>
      <c r="Q9" s="58">
        <v>86.19</v>
      </c>
      <c r="R9" s="65">
        <v>4104.4</v>
      </c>
      <c r="S9" s="66">
        <f t="array" ref="S9">IF((XLOOKUP(D9,RUC!$B$3:$B$106,RUC!$E$3:$E$106)+ROUNDDOWN(O9,1)*100)&lt;95,95,((XLOOKUP(D9,RUC!$B$3:$B$106,RUC!$E$3:$E$106)+ROUNDDOWN(O9,1)*100)))</f>
        <v>145</v>
      </c>
      <c r="U9" s="67">
        <f t="array" ref="U9">XLOOKUP(D9,RUC!$B$3:$B$110,RUC!$F$3:$F$110)</f>
        <v>120</v>
      </c>
      <c r="V9" s="67">
        <v>1.1023</v>
      </c>
      <c r="Y9" s="57">
        <f t="array" ref="Y9">XLOOKUP(D9,RUC!$B$3:$B$110,RUC!$G$3:$G$110)</f>
        <v>20</v>
      </c>
      <c r="Z9" s="140">
        <v>35.0</v>
      </c>
      <c r="AA9" s="70">
        <f t="shared" si="4"/>
        <v>55</v>
      </c>
      <c r="AB9" s="71">
        <f t="shared" si="5"/>
        <v>2381.978121</v>
      </c>
      <c r="AC9" s="71">
        <f>+(S9-T9)*V9-'data 1'!$F$4</f>
        <v>79.8335</v>
      </c>
      <c r="AD9" s="71">
        <f t="shared" si="6"/>
        <v>5.79964144</v>
      </c>
      <c r="AE9" s="71">
        <f t="shared" si="7"/>
        <v>-9.3735</v>
      </c>
      <c r="AF9" s="71">
        <f t="shared" si="8"/>
        <v>22.71281011</v>
      </c>
      <c r="AG9" s="72">
        <f t="shared" si="9"/>
        <v>115.9724515</v>
      </c>
      <c r="AH9" s="193">
        <f t="shared" si="10"/>
        <v>104.763</v>
      </c>
      <c r="AI9" s="193">
        <f t="shared" si="11"/>
        <v>121.548</v>
      </c>
      <c r="AJ9" s="73">
        <f t="shared" si="12"/>
        <v>89.53672029</v>
      </c>
      <c r="AK9" s="73">
        <f t="shared" si="13"/>
        <v>103.629181</v>
      </c>
      <c r="AL9" s="11"/>
      <c r="AM9" s="51">
        <f t="shared" si="14"/>
        <v>12150.4704</v>
      </c>
      <c r="AN9" s="51" t="str">
        <f t="array" ref="AN9">XLOOKUP(D9,RUC!$B$3:$B$565,RUC!$M$3:$M$565)</f>
        <v>Ronald Miranda</v>
      </c>
      <c r="AO9" s="131" t="s">
        <v>551</v>
      </c>
      <c r="AP9" s="57" t="s">
        <v>1891</v>
      </c>
      <c r="AQ9" s="57" t="s">
        <v>1892</v>
      </c>
      <c r="AV9" s="160" t="s">
        <v>551</v>
      </c>
      <c r="AW9" s="6">
        <f t="shared" si="17"/>
        <v>149.794</v>
      </c>
      <c r="AX9" s="6">
        <f t="array" ref="AX9">+SUMPRODUCT(IF($AO$4:$AO$1503=AV9,$L$4:$L$1503*$K$4:$K$1503/AW9))</f>
        <v>0.3278123223</v>
      </c>
      <c r="AY9" s="145">
        <f t="shared" si="18"/>
        <v>1.177170158</v>
      </c>
      <c r="AZ9" s="58">
        <f t="array" ref="AZ9">+SUMPRODUCT(IF($AO$4:$AO$1503=AV9,($Q$4:$Q$1503*$AH$4:$AH$1503)/SUMIF($AO$4:$AO$1503,$AV9,$AH$4:$AH$1503)))</f>
        <v>89.52618496</v>
      </c>
      <c r="BA9" s="5">
        <f t="shared" si="19"/>
        <v>1683.560632</v>
      </c>
      <c r="BB9" s="65">
        <f t="shared" si="20"/>
        <v>1493.813</v>
      </c>
      <c r="BC9" s="58">
        <f t="shared" ref="BC9:BC17" si="21">+BC8+BA9-BB9</f>
        <v>358.9781734</v>
      </c>
      <c r="BD9" s="161">
        <f t="shared" ref="BD9:BD17" si="22">+BD8+AW9</f>
        <v>299.049</v>
      </c>
    </row>
    <row r="10" ht="15.0" customHeight="1">
      <c r="A10" s="116" t="s">
        <v>1944</v>
      </c>
      <c r="B10" s="182">
        <v>45967.0</v>
      </c>
      <c r="C10" s="182">
        <v>45955.0</v>
      </c>
      <c r="D10" s="57" t="s">
        <v>602</v>
      </c>
      <c r="E10" s="3">
        <f t="array" ref="E10">XLOOKUP(D10,RUC!$B$3:$B$110,RUC!$D$3:$D$110)</f>
        <v>20169040231</v>
      </c>
      <c r="G10" s="141">
        <v>61.0</v>
      </c>
      <c r="H10" s="3" t="s">
        <v>47</v>
      </c>
      <c r="I10" s="6">
        <v>5.48</v>
      </c>
      <c r="J10" s="58">
        <v>1.4</v>
      </c>
      <c r="K10" s="6">
        <f t="shared" si="2"/>
        <v>5.403</v>
      </c>
      <c r="L10" s="3">
        <v>0.898</v>
      </c>
      <c r="M10" s="60">
        <v>0.853</v>
      </c>
      <c r="N10" s="62">
        <f t="shared" ref="N10:N15" si="23">+M10</f>
        <v>0.853</v>
      </c>
      <c r="O10" s="60">
        <f t="shared" si="16"/>
        <v>0.853</v>
      </c>
      <c r="P10" s="63">
        <v>81.0</v>
      </c>
      <c r="Q10" s="58">
        <v>81.18</v>
      </c>
      <c r="R10" s="65">
        <v>4104.4</v>
      </c>
      <c r="S10" s="66">
        <f t="array" ref="S10">IF((XLOOKUP(D10,RUC!$B$3:$B$106,RUC!$E$3:$E$106)+ROUNDDOWN(O10,1)*100)&lt;95,95,((XLOOKUP(D10,RUC!$B$3:$B$106,RUC!$E$3:$E$106)+ROUNDDOWN(O10,1)*100)))</f>
        <v>165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140">
        <v>35.0</v>
      </c>
      <c r="AA10" s="70">
        <f t="shared" si="4"/>
        <v>55</v>
      </c>
      <c r="AB10" s="71">
        <f t="shared" si="5"/>
        <v>2792.061407</v>
      </c>
      <c r="AC10" s="71">
        <f>+(S10-T10)*V10-'data 1'!$F$4</f>
        <v>101.8795</v>
      </c>
      <c r="AD10" s="71">
        <f t="shared" si="6"/>
        <v>7.09923546</v>
      </c>
      <c r="AE10" s="71">
        <f t="shared" si="7"/>
        <v>-9.3735</v>
      </c>
      <c r="AF10" s="71">
        <f t="shared" si="8"/>
        <v>160.4443025</v>
      </c>
      <c r="AG10" s="72">
        <f t="shared" si="9"/>
        <v>277.049538</v>
      </c>
      <c r="AH10" s="193">
        <f t="shared" si="10"/>
        <v>135.042</v>
      </c>
      <c r="AI10" s="193">
        <f t="shared" si="11"/>
        <v>166.349</v>
      </c>
      <c r="AJ10" s="73">
        <f t="shared" si="12"/>
        <v>108.9644624</v>
      </c>
      <c r="AK10" s="73">
        <f t="shared" si="13"/>
        <v>127.9906035</v>
      </c>
      <c r="AL10" s="11"/>
      <c r="AM10" s="51">
        <f t="shared" si="14"/>
        <v>15085.50778</v>
      </c>
      <c r="AN10" s="51" t="str">
        <f t="array" ref="AN10">XLOOKUP(D10,RUC!$B$3:$B$565,RUC!$M$3:$M$565)</f>
        <v>Ronald Miranda</v>
      </c>
      <c r="AO10" s="131" t="s">
        <v>551</v>
      </c>
      <c r="AP10" s="57" t="s">
        <v>1891</v>
      </c>
      <c r="AQ10" s="57" t="s">
        <v>1892</v>
      </c>
      <c r="AV10" s="160" t="s">
        <v>547</v>
      </c>
      <c r="AW10" s="6">
        <f t="shared" si="17"/>
        <v>106.108</v>
      </c>
      <c r="AX10" s="6">
        <f t="array" ref="AX10">+SUMPRODUCT(IF($AO$4:$AO$1503=AV10,$L$4:$L$1503*$K$4:$K$1503/AW10))</f>
        <v>0.3131423644</v>
      </c>
      <c r="AY10" s="145">
        <f t="shared" si="18"/>
        <v>0.8067218132</v>
      </c>
      <c r="AZ10" s="58">
        <f t="array" ref="AZ10">+SUMPRODUCT(IF($AO$4:$AO$1503=AV10,($Q$4:$Q$1503*$AH$4:$AH$1503)/SUMIF($AO$4:$AO$1503,$AV10,$AH$4:$AH$1503)))</f>
        <v>92.48597035</v>
      </c>
      <c r="BA10" s="65">
        <f t="shared" si="19"/>
        <v>1139.197503</v>
      </c>
      <c r="BB10" s="65">
        <f t="shared" si="20"/>
        <v>1049.024</v>
      </c>
      <c r="BC10" s="58">
        <f t="shared" si="21"/>
        <v>449.1516764</v>
      </c>
      <c r="BD10" s="161">
        <f t="shared" si="22"/>
        <v>405.157</v>
      </c>
    </row>
    <row r="11" ht="15.0" customHeight="1">
      <c r="A11" s="116" t="s">
        <v>1945</v>
      </c>
      <c r="B11" s="448">
        <v>45960.0</v>
      </c>
      <c r="C11" s="182">
        <v>45955.0</v>
      </c>
      <c r="D11" s="57" t="s">
        <v>602</v>
      </c>
      <c r="E11" s="3">
        <f t="array" ref="E11">XLOOKUP(D11,RUC!$B$3:$B$110,RUC!$D$3:$D$110)</f>
        <v>20169040231</v>
      </c>
      <c r="G11" s="141">
        <v>157.0</v>
      </c>
      <c r="H11" s="3" t="s">
        <v>47</v>
      </c>
      <c r="I11" s="6">
        <v>14.72</v>
      </c>
      <c r="J11" s="58">
        <v>1.3</v>
      </c>
      <c r="K11" s="6">
        <f t="shared" si="2"/>
        <v>14.529</v>
      </c>
      <c r="L11" s="60">
        <v>0.462</v>
      </c>
      <c r="M11" s="60">
        <v>0.42</v>
      </c>
      <c r="N11" s="62">
        <f t="shared" si="23"/>
        <v>0.42</v>
      </c>
      <c r="O11" s="60">
        <f t="shared" si="16"/>
        <v>0.42</v>
      </c>
      <c r="P11" s="63">
        <v>88.0</v>
      </c>
      <c r="Q11" s="58">
        <v>89.0</v>
      </c>
      <c r="R11" s="65">
        <v>4104.4</v>
      </c>
      <c r="S11" s="66">
        <f t="array" ref="S11">IF((XLOOKUP(D11,RUC!$B$3:$B$106,RUC!$E$3:$E$106)+ROUNDDOWN(O11,1)*100)&lt;95,95,((XLOOKUP(D11,RUC!$B$3:$B$106,RUC!$E$3:$E$106)+ROUNDDOWN(O11,1)*100)))</f>
        <v>125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140">
        <v>35.0</v>
      </c>
      <c r="AA11" s="70">
        <f t="shared" si="4"/>
        <v>55</v>
      </c>
      <c r="AB11" s="71">
        <f t="shared" si="5"/>
        <v>1424.870723</v>
      </c>
      <c r="AC11" s="71">
        <f>+(S11-T11)*V11-'data 1'!$F$4</f>
        <v>57.7875</v>
      </c>
      <c r="AD11" s="71">
        <f t="shared" si="6"/>
        <v>20.29105903</v>
      </c>
      <c r="AE11" s="71">
        <f t="shared" si="7"/>
        <v>-9.3735</v>
      </c>
      <c r="AF11" s="71">
        <f t="shared" si="8"/>
        <v>164.173114</v>
      </c>
      <c r="AG11" s="72">
        <f t="shared" si="9"/>
        <v>249.878173</v>
      </c>
      <c r="AH11" s="193">
        <f t="shared" si="10"/>
        <v>204.822</v>
      </c>
      <c r="AI11" s="193">
        <f t="shared" si="11"/>
        <v>230.137</v>
      </c>
      <c r="AJ11" s="73">
        <f t="shared" si="12"/>
        <v>61.45984762</v>
      </c>
      <c r="AK11" s="73">
        <f t="shared" si="13"/>
        <v>184.1097361</v>
      </c>
      <c r="AL11" s="11"/>
      <c r="AM11" s="51">
        <f t="shared" si="14"/>
        <v>20701.94673</v>
      </c>
      <c r="AN11" s="51" t="str">
        <f t="array" ref="AN11">XLOOKUP(D11,RUC!$B$3:$B$565,RUC!$M$3:$M$565)</f>
        <v>Ronald Miranda</v>
      </c>
      <c r="AO11" s="131" t="s">
        <v>558</v>
      </c>
      <c r="AP11" s="57" t="s">
        <v>1946</v>
      </c>
      <c r="AQ11" s="57" t="s">
        <v>1947</v>
      </c>
      <c r="AV11" s="160" t="s">
        <v>549</v>
      </c>
      <c r="AW11" s="6">
        <f t="shared" si="17"/>
        <v>102.423</v>
      </c>
      <c r="AX11" s="6">
        <f t="array" ref="AX11">+SUMPRODUCT(IF($AO$4:$AO$1503=AV11,$L$4:$L$1503*$K$4:$K$1503/AW11))</f>
        <v>0.3018322057</v>
      </c>
      <c r="AY11" s="145">
        <f t="shared" si="18"/>
        <v>0.7031432187</v>
      </c>
      <c r="AZ11" s="58">
        <f t="array" ref="AZ11">+SUMPRODUCT(IF($AO$4:$AO$1503=AV11,($Q$4:$Q$1503*$AH$4:$AH$1503)/SUMIF($AO$4:$AO$1503,$AV11,$AH$4:$AH$1503)))</f>
        <v>93.20531784</v>
      </c>
      <c r="BA11" s="65">
        <f t="shared" si="19"/>
        <v>1059.917686</v>
      </c>
      <c r="BB11" s="65">
        <f t="shared" si="20"/>
        <v>987.28</v>
      </c>
      <c r="BC11" s="58">
        <f t="shared" si="21"/>
        <v>521.7893624</v>
      </c>
      <c r="BD11" s="161">
        <f t="shared" si="22"/>
        <v>507.58</v>
      </c>
    </row>
    <row r="12" ht="15.0" customHeight="1">
      <c r="A12" s="116" t="s">
        <v>1948</v>
      </c>
      <c r="B12" s="182">
        <v>45966.0</v>
      </c>
      <c r="C12" s="182">
        <v>45955.0</v>
      </c>
      <c r="D12" s="57" t="s">
        <v>602</v>
      </c>
      <c r="E12" s="3">
        <f t="array" ref="E12">XLOOKUP(D12,RUC!$B$3:$B$110,RUC!$D$3:$D$110)</f>
        <v>20169040231</v>
      </c>
      <c r="G12" s="141">
        <v>73.0</v>
      </c>
      <c r="H12" s="3" t="s">
        <v>47</v>
      </c>
      <c r="I12" s="6">
        <v>7.01</v>
      </c>
      <c r="J12" s="58">
        <v>1.4</v>
      </c>
      <c r="K12" s="6">
        <f t="shared" si="2"/>
        <v>6.912</v>
      </c>
      <c r="L12" s="3">
        <v>0.311</v>
      </c>
      <c r="M12" s="3">
        <v>0.295</v>
      </c>
      <c r="N12" s="62">
        <f t="shared" si="23"/>
        <v>0.295</v>
      </c>
      <c r="O12" s="60">
        <f t="shared" si="16"/>
        <v>0.295</v>
      </c>
      <c r="P12" s="201">
        <v>80.0</v>
      </c>
      <c r="Q12" s="58">
        <v>76.53</v>
      </c>
      <c r="R12" s="65">
        <v>4104.4</v>
      </c>
      <c r="S12" s="66">
        <f t="array" ref="S12">IF((XLOOKUP(D12,RUC!$B$3:$B$106,RUC!$E$3:$E$106)+ROUNDDOWN(O12,1)*100)&lt;95,95,((XLOOKUP(D12,RUC!$B$3:$B$106,RUC!$E$3:$E$106)+ROUNDDOWN(O12,1)*100)))</f>
        <v>105</v>
      </c>
      <c r="U12" s="67">
        <f t="array" ref="U12">XLOOKUP(D12,RUC!$B$3:$B$110,RUC!$F$3:$F$110)</f>
        <v>120</v>
      </c>
      <c r="V12" s="67">
        <v>1.1023</v>
      </c>
      <c r="Y12" s="68">
        <v>80.0</v>
      </c>
      <c r="Z12" s="140">
        <v>35.0</v>
      </c>
      <c r="AA12" s="70">
        <f t="shared" si="4"/>
        <v>115</v>
      </c>
      <c r="AB12" s="71">
        <f t="shared" si="5"/>
        <v>794.0069723</v>
      </c>
      <c r="AC12" s="71">
        <f>+(S12-T12)*V12-'data 1'!$F$4</f>
        <v>35.7415</v>
      </c>
      <c r="AD12" s="71">
        <f t="shared" si="6"/>
        <v>-47.39719086</v>
      </c>
      <c r="AE12" s="71">
        <f t="shared" si="7"/>
        <v>56.7645</v>
      </c>
      <c r="AF12" s="71">
        <f t="shared" si="8"/>
        <v>53.77921205</v>
      </c>
      <c r="AG12" s="72">
        <f t="shared" si="9"/>
        <v>115.8880212</v>
      </c>
      <c r="AH12" s="193">
        <f t="shared" si="10"/>
        <v>56.403</v>
      </c>
      <c r="AI12" s="193">
        <f t="shared" si="11"/>
        <v>73.701</v>
      </c>
      <c r="AJ12" s="73">
        <f t="shared" si="12"/>
        <v>35.57554806</v>
      </c>
      <c r="AK12" s="73">
        <f t="shared" si="13"/>
        <v>55.92742212</v>
      </c>
      <c r="AL12" s="11"/>
      <c r="AM12" s="51">
        <f t="shared" si="14"/>
        <v>5488.176193</v>
      </c>
      <c r="AN12" s="51" t="str">
        <f t="array" ref="AN12">XLOOKUP(D12,RUC!$B$3:$B$565,RUC!$M$3:$M$565)</f>
        <v>Ronald Miranda</v>
      </c>
      <c r="AO12" s="131" t="s">
        <v>558</v>
      </c>
      <c r="AP12" s="57" t="s">
        <v>1946</v>
      </c>
      <c r="AQ12" s="57" t="s">
        <v>1947</v>
      </c>
      <c r="AR12" s="2" t="s">
        <v>1949</v>
      </c>
      <c r="AV12" s="160" t="s">
        <v>561</v>
      </c>
      <c r="AW12" s="6">
        <f t="shared" si="17"/>
        <v>0</v>
      </c>
      <c r="AX12" s="6">
        <f t="array" ref="AX12">+SUMPRODUCT(IF($AO$4:$AO$1503=AV12,$L$4:$L$1503*$K$4:$K$1503/AW12))</f>
        <v>0</v>
      </c>
      <c r="AY12" s="145">
        <f t="shared" si="18"/>
        <v>0</v>
      </c>
      <c r="AZ12" s="58">
        <f t="array" ref="AZ12">+SUMPRODUCT(IF($AO$4:$AO$1503=AV12,($Q$4:$Q$1503*$AH$4:$AH$1503)/SUMIF($AO$4:$AO$1503,$AV12,$AH$4:$AH$1503)))</f>
        <v>0</v>
      </c>
      <c r="BA12" s="65">
        <f t="shared" si="19"/>
        <v>0</v>
      </c>
      <c r="BB12" s="65">
        <f t="shared" si="20"/>
        <v>0</v>
      </c>
      <c r="BC12" s="58">
        <f t="shared" si="21"/>
        <v>521.7893624</v>
      </c>
      <c r="BD12" s="161">
        <f t="shared" si="22"/>
        <v>507.58</v>
      </c>
    </row>
    <row r="13" ht="15.0" customHeight="1">
      <c r="A13" s="116" t="s">
        <v>1950</v>
      </c>
      <c r="B13" s="182">
        <v>45966.0</v>
      </c>
      <c r="C13" s="182">
        <v>45955.0</v>
      </c>
      <c r="D13" s="57" t="s">
        <v>602</v>
      </c>
      <c r="E13" s="3">
        <f t="array" ref="E13">XLOOKUP(D13,RUC!$B$3:$B$110,RUC!$D$3:$D$110)</f>
        <v>20169040231</v>
      </c>
      <c r="G13" s="141">
        <v>80.0</v>
      </c>
      <c r="H13" s="3" t="s">
        <v>47</v>
      </c>
      <c r="I13" s="6">
        <v>8.29</v>
      </c>
      <c r="J13" s="58">
        <v>1.3</v>
      </c>
      <c r="K13" s="6">
        <f t="shared" si="2"/>
        <v>8.182</v>
      </c>
      <c r="L13" s="3">
        <v>0.329</v>
      </c>
      <c r="M13" s="3">
        <v>0.313</v>
      </c>
      <c r="N13" s="62">
        <f t="shared" si="23"/>
        <v>0.313</v>
      </c>
      <c r="O13" s="60">
        <f t="shared" si="16"/>
        <v>0.313</v>
      </c>
      <c r="P13" s="201">
        <v>80.0</v>
      </c>
      <c r="Q13" s="58">
        <v>74.16</v>
      </c>
      <c r="R13" s="65">
        <v>4104.4</v>
      </c>
      <c r="S13" s="66">
        <f t="array" ref="S13">IF((XLOOKUP(D13,RUC!$B$3:$B$106,RUC!$E$3:$E$106)+ROUNDDOWN(O13,1)*100)&lt;95,95,((XLOOKUP(D13,RUC!$B$3:$B$106,RUC!$E$3:$E$106)+ROUNDDOWN(O13,1)*100)))</f>
        <v>115</v>
      </c>
      <c r="U13" s="67">
        <f t="array" ref="U13">XLOOKUP(D13,RUC!$B$3:$B$110,RUC!$F$3:$F$110)</f>
        <v>120</v>
      </c>
      <c r="V13" s="67">
        <v>1.1023</v>
      </c>
      <c r="Y13" s="68">
        <v>80.0</v>
      </c>
      <c r="Z13" s="140">
        <v>35.0</v>
      </c>
      <c r="AA13" s="70">
        <f t="shared" si="4"/>
        <v>115</v>
      </c>
      <c r="AB13" s="71">
        <f t="shared" si="5"/>
        <v>846.2288316</v>
      </c>
      <c r="AC13" s="71">
        <f>+(S13-T13)*V13-'data 1'!$F$4</f>
        <v>46.7645</v>
      </c>
      <c r="AD13" s="71">
        <f t="shared" si="6"/>
        <v>-84.38621036</v>
      </c>
      <c r="AE13" s="71">
        <f t="shared" si="7"/>
        <v>56.7645</v>
      </c>
      <c r="AF13" s="71">
        <f t="shared" si="8"/>
        <v>52.11376409</v>
      </c>
      <c r="AG13" s="72">
        <f t="shared" si="9"/>
        <v>88.25655373</v>
      </c>
      <c r="AH13" s="193">
        <f t="shared" si="10"/>
        <v>68.444</v>
      </c>
      <c r="AI13" s="193">
        <f t="shared" si="11"/>
        <v>92.292</v>
      </c>
      <c r="AJ13" s="73">
        <f t="shared" si="12"/>
        <v>36.4691059</v>
      </c>
      <c r="AK13" s="73">
        <f t="shared" si="13"/>
        <v>70.24297047</v>
      </c>
      <c r="AL13" s="11"/>
      <c r="AM13" s="51">
        <f t="shared" si="14"/>
        <v>6923.844301</v>
      </c>
      <c r="AN13" s="51" t="str">
        <f t="array" ref="AN13">XLOOKUP(D13,RUC!$B$3:$B$565,RUC!$M$3:$M$565)</f>
        <v>Ronald Miranda</v>
      </c>
      <c r="AO13" s="131" t="s">
        <v>551</v>
      </c>
      <c r="AP13" s="57" t="s">
        <v>1946</v>
      </c>
      <c r="AQ13" s="57" t="s">
        <v>1947</v>
      </c>
      <c r="AR13" s="2" t="s">
        <v>1949</v>
      </c>
      <c r="AV13" s="160" t="s">
        <v>689</v>
      </c>
      <c r="AW13" s="6">
        <f t="shared" si="17"/>
        <v>0</v>
      </c>
      <c r="AX13" s="6">
        <f t="array" ref="AX13">+SUMPRODUCT(IF($AO$4:$AO$1503=AV13,$L$4:$L$1503*$K$4:$K$1503/AW13))</f>
        <v>0</v>
      </c>
      <c r="AY13" s="145">
        <f t="shared" si="18"/>
        <v>0</v>
      </c>
      <c r="AZ13" s="58">
        <f t="array" ref="AZ13">+SUMPRODUCT(IF('31'!$AO$4:$AO$1395=AV13,('31'!$Q$4:$Q$1395*'31'!$AH$4:$AH$1395)/SUMIF('31'!$AO$4:$AO$1395,#REF!,'31'!$AH$4:$AH$1395)))</f>
        <v>0</v>
      </c>
      <c r="BA13" s="65">
        <f t="shared" si="19"/>
        <v>0</v>
      </c>
      <c r="BB13" s="65">
        <f t="shared" si="20"/>
        <v>0</v>
      </c>
      <c r="BC13" s="58">
        <f t="shared" si="21"/>
        <v>521.7893624</v>
      </c>
      <c r="BD13" s="161">
        <f t="shared" si="22"/>
        <v>507.58</v>
      </c>
    </row>
    <row r="14" ht="15.0" customHeight="1">
      <c r="A14" s="116" t="s">
        <v>1951</v>
      </c>
      <c r="B14" s="182">
        <v>45966.0</v>
      </c>
      <c r="C14" s="182">
        <v>45955.0</v>
      </c>
      <c r="D14" s="57" t="s">
        <v>602</v>
      </c>
      <c r="E14" s="3">
        <f t="array" ref="E14">XLOOKUP(D14,RUC!$B$3:$B$110,RUC!$D$3:$D$110)</f>
        <v>20169040231</v>
      </c>
      <c r="G14" s="141">
        <v>80.0</v>
      </c>
      <c r="H14" s="3" t="s">
        <v>47</v>
      </c>
      <c r="I14" s="6">
        <v>6.87</v>
      </c>
      <c r="J14" s="58">
        <v>1.25</v>
      </c>
      <c r="K14" s="6">
        <f t="shared" si="2"/>
        <v>6.784</v>
      </c>
      <c r="L14" s="3">
        <v>0.496</v>
      </c>
      <c r="M14" s="3">
        <v>0.471</v>
      </c>
      <c r="N14" s="62">
        <f t="shared" si="23"/>
        <v>0.471</v>
      </c>
      <c r="O14" s="60">
        <f t="shared" si="16"/>
        <v>0.471</v>
      </c>
      <c r="P14" s="201">
        <v>73.0</v>
      </c>
      <c r="Q14" s="58">
        <v>59.48</v>
      </c>
      <c r="R14" s="65">
        <v>4104.4</v>
      </c>
      <c r="S14" s="66">
        <f t="array" ref="S14">IF((XLOOKUP(D14,RUC!$B$3:$B$106,RUC!$E$3:$E$106)+ROUNDDOWN(O14,1)*100)&lt;95,95,((XLOOKUP(D14,RUC!$B$3:$B$106,RUC!$E$3:$E$106)+ROUNDDOWN(O14,1)*100)))</f>
        <v>125</v>
      </c>
      <c r="U14" s="67">
        <f t="array" ref="U14">XLOOKUP(D14,RUC!$B$3:$B$110,RUC!$F$3:$F$110)</f>
        <v>120</v>
      </c>
      <c r="V14" s="67">
        <v>1.1023</v>
      </c>
      <c r="Y14" s="68">
        <v>80.0</v>
      </c>
      <c r="Z14" s="140">
        <v>35.0</v>
      </c>
      <c r="AA14" s="70">
        <f t="shared" si="4"/>
        <v>115</v>
      </c>
      <c r="AB14" s="71">
        <f t="shared" si="5"/>
        <v>1245.550777</v>
      </c>
      <c r="AC14" s="71">
        <f>+(S14-T14)*V14-'data 1'!$F$4</f>
        <v>57.7875</v>
      </c>
      <c r="AD14" s="71">
        <f t="shared" si="6"/>
        <v>-294.5242827</v>
      </c>
      <c r="AE14" s="71">
        <f t="shared" si="7"/>
        <v>56.7645</v>
      </c>
      <c r="AF14" s="71">
        <f t="shared" si="8"/>
        <v>65.30910126</v>
      </c>
      <c r="AG14" s="72">
        <f t="shared" si="9"/>
        <v>-97.66318142</v>
      </c>
      <c r="AH14" s="193">
        <f t="shared" si="10"/>
        <v>68.619</v>
      </c>
      <c r="AI14" s="193">
        <f t="shared" si="11"/>
        <v>115.366</v>
      </c>
      <c r="AJ14" s="73">
        <f t="shared" si="12"/>
        <v>44.09731362</v>
      </c>
      <c r="AK14" s="73">
        <f t="shared" si="13"/>
        <v>79.9721323</v>
      </c>
      <c r="AL14" s="11"/>
      <c r="AM14" s="51">
        <f t="shared" si="14"/>
        <v>8449.816468</v>
      </c>
      <c r="AN14" s="51" t="str">
        <f t="array" ref="AN14">XLOOKUP(D14,RUC!$B$3:$B$565,RUC!$M$3:$M$565)</f>
        <v>Ronald Miranda</v>
      </c>
      <c r="AO14" s="131" t="s">
        <v>558</v>
      </c>
      <c r="AP14" s="57" t="s">
        <v>1946</v>
      </c>
      <c r="AQ14" s="57" t="s">
        <v>1947</v>
      </c>
      <c r="AR14" s="2" t="s">
        <v>1949</v>
      </c>
      <c r="AV14" s="160" t="s">
        <v>690</v>
      </c>
      <c r="AW14" s="6">
        <f t="shared" si="17"/>
        <v>0</v>
      </c>
      <c r="AX14" s="6">
        <f t="array" ref="AX14">+SUMPRODUCT(IF($AO$4:$AO$1503=AV14,$L$4:$L$1503*$K$4:$K$1503/AW14))</f>
        <v>0</v>
      </c>
      <c r="AY14" s="145">
        <f t="shared" si="18"/>
        <v>0</v>
      </c>
      <c r="AZ14" s="58">
        <f t="array" ref="AZ14">+SUMPRODUCT(IF('31'!$AO$4:$AO$1395=AV14,('31'!$Q$4:$Q$1395*'31'!$AH$4:$AH$1395)/SUMIF('31'!$AO$4:$AO$1395,#REF!,'31'!$AH$4:$AH$1395)))</f>
        <v>0</v>
      </c>
      <c r="BA14" s="65">
        <f t="shared" si="19"/>
        <v>0</v>
      </c>
      <c r="BB14" s="65">
        <f t="shared" si="20"/>
        <v>0</v>
      </c>
      <c r="BC14" s="58">
        <f t="shared" si="21"/>
        <v>521.7893624</v>
      </c>
      <c r="BD14" s="161">
        <f t="shared" si="22"/>
        <v>507.58</v>
      </c>
    </row>
    <row r="15" ht="15.0" customHeight="1">
      <c r="A15" s="116" t="s">
        <v>1952</v>
      </c>
      <c r="B15" s="182">
        <v>45961.0</v>
      </c>
      <c r="C15" s="182">
        <v>45956.0</v>
      </c>
      <c r="D15" s="57" t="s">
        <v>295</v>
      </c>
      <c r="E15" s="3">
        <f t="array" ref="E15">XLOOKUP(D15,RUC!$B$3:$B$110,RUC!$D$3:$D$110)</f>
        <v>20601769396</v>
      </c>
      <c r="G15" s="141">
        <v>50.0</v>
      </c>
      <c r="H15" s="3" t="s">
        <v>40</v>
      </c>
      <c r="I15" s="6">
        <v>4.53</v>
      </c>
      <c r="J15" s="58">
        <v>13.45</v>
      </c>
      <c r="K15" s="6">
        <f t="shared" si="2"/>
        <v>3.921</v>
      </c>
      <c r="L15" s="3">
        <v>0.569</v>
      </c>
      <c r="M15" s="3">
        <v>0.541</v>
      </c>
      <c r="N15" s="62">
        <f t="shared" si="23"/>
        <v>0.541</v>
      </c>
      <c r="O15" s="60">
        <f t="shared" si="16"/>
        <v>0.541</v>
      </c>
      <c r="P15" s="63">
        <v>90.0</v>
      </c>
      <c r="Q15" s="58">
        <v>93.32</v>
      </c>
      <c r="R15" s="65">
        <v>3970.8</v>
      </c>
      <c r="S15" s="66">
        <f t="array" ref="S15">IF((XLOOKUP(D15,RUC!$B$3:$B$106,RUC!$E$3:$E$106)+ROUNDDOWN(O15,1)*100)&lt;95,95,((XLOOKUP(D15,RUC!$B$3:$B$106,RUC!$E$3:$E$106)+ROUNDDOWN(O15,1)*100)))</f>
        <v>140</v>
      </c>
      <c r="U15" s="67">
        <f t="array" ref="U15">XLOOKUP(D15,RUC!$B$3:$B$110,RUC!$F$3:$F$110)</f>
        <v>120</v>
      </c>
      <c r="V15" s="67">
        <v>1.1023</v>
      </c>
      <c r="Y15" s="57">
        <f t="array" ref="Y15">XLOOKUP(D15,RUC!$B$3:$B$110,RUC!$G$3:$G$110)</f>
        <v>20</v>
      </c>
      <c r="Z15" s="69">
        <f t="array" ref="Z15">XLOOKUP(D15,RUC!$B$3:$B$110,RUC!$H$3:$H$110)</f>
        <v>30</v>
      </c>
      <c r="AA15" s="70">
        <f t="shared" si="4"/>
        <v>50</v>
      </c>
      <c r="AB15" s="71">
        <f t="shared" si="5"/>
        <v>1857.325367</v>
      </c>
      <c r="AC15" s="71">
        <f>+(S15-T15)*V15-'data 1'!$F$4</f>
        <v>74.322</v>
      </c>
      <c r="AD15" s="71">
        <f t="shared" si="6"/>
        <v>80.1864747</v>
      </c>
      <c r="AE15" s="71">
        <f t="shared" si="7"/>
        <v>-14.885</v>
      </c>
      <c r="AF15" s="71">
        <f t="shared" si="8"/>
        <v>110.9132757</v>
      </c>
      <c r="AG15" s="72">
        <f t="shared" si="9"/>
        <v>267.5367504</v>
      </c>
      <c r="AH15" s="193">
        <f t="shared" si="10"/>
        <v>71.383</v>
      </c>
      <c r="AI15" s="193">
        <f t="shared" si="11"/>
        <v>76.492</v>
      </c>
      <c r="AJ15" s="73">
        <f t="shared" si="12"/>
        <v>157.565764</v>
      </c>
      <c r="AK15" s="73">
        <f t="shared" si="13"/>
        <v>65.45543089</v>
      </c>
      <c r="AL15" s="11"/>
      <c r="AM15" s="51">
        <f t="shared" si="14"/>
        <v>7282.572766</v>
      </c>
      <c r="AN15" s="51" t="str">
        <f t="array" ref="AN15">XLOOKUP(D15,RUC!$B$3:$B$565,RUC!$M$3:$M$565)</f>
        <v>Evelyn</v>
      </c>
      <c r="AO15" s="131" t="s">
        <v>547</v>
      </c>
      <c r="AP15" s="57" t="s">
        <v>1895</v>
      </c>
      <c r="AQ15" s="57" t="s">
        <v>1896</v>
      </c>
      <c r="AV15" s="160" t="s">
        <v>691</v>
      </c>
      <c r="AW15" s="6">
        <f t="shared" si="17"/>
        <v>0</v>
      </c>
      <c r="AX15" s="6">
        <f t="array" ref="AX15">+SUMPRODUCT(IF($AO$4:$AO$1503=AV15,$L$4:$L$1503*$K$4:$K$1503/AW15))</f>
        <v>0</v>
      </c>
      <c r="AY15" s="145">
        <f t="shared" si="18"/>
        <v>0</v>
      </c>
      <c r="AZ15" s="58">
        <f t="array" ref="AZ15">+SUMPRODUCT(IF('31'!$AO$4:$AO$1395=AV15,('31'!$Q$4:$Q$1395*'31'!$AH$4:$AH$1395)/SUMIF('31'!$AO$4:$AO$1395,#REF!,'31'!$AH$4:$AH$1395)))</f>
        <v>0</v>
      </c>
      <c r="BA15" s="65">
        <f t="shared" si="19"/>
        <v>0</v>
      </c>
      <c r="BB15" s="65">
        <f t="shared" si="20"/>
        <v>0</v>
      </c>
      <c r="BC15" s="58">
        <f t="shared" si="21"/>
        <v>521.7893624</v>
      </c>
      <c r="BD15" s="161">
        <f t="shared" si="22"/>
        <v>507.58</v>
      </c>
    </row>
    <row r="16" ht="15.0" customHeight="1">
      <c r="A16" s="116" t="s">
        <v>1953</v>
      </c>
      <c r="B16" s="182">
        <v>45961.0</v>
      </c>
      <c r="C16" s="182">
        <v>45956.0</v>
      </c>
      <c r="D16" s="57" t="s">
        <v>295</v>
      </c>
      <c r="E16" s="3">
        <f t="array" ref="E16">XLOOKUP(D16,RUC!$B$3:$B$110,RUC!$D$3:$D$110)</f>
        <v>20601769396</v>
      </c>
      <c r="G16" s="141">
        <v>50.0</v>
      </c>
      <c r="H16" s="3" t="s">
        <v>40</v>
      </c>
      <c r="I16" s="6">
        <v>4.4</v>
      </c>
      <c r="J16" s="58">
        <v>11.45</v>
      </c>
      <c r="K16" s="6">
        <f t="shared" si="2"/>
        <v>3.896</v>
      </c>
      <c r="L16" s="3">
        <v>0.329</v>
      </c>
      <c r="M16" s="3">
        <v>0.313</v>
      </c>
      <c r="N16" s="75">
        <v>0.39</v>
      </c>
      <c r="O16" s="60">
        <f t="shared" si="16"/>
        <v>0.352</v>
      </c>
      <c r="P16" s="63">
        <v>90.0</v>
      </c>
      <c r="Q16" s="58">
        <v>91.19</v>
      </c>
      <c r="R16" s="65">
        <v>3970.8</v>
      </c>
      <c r="S16" s="66">
        <f t="array" ref="S16">IF((XLOOKUP(D16,RUC!$B$3:$B$106,RUC!$E$3:$E$106)+ROUNDDOWN(O16,1)*100)&lt;95,95,((XLOOKUP(D16,RUC!$B$3:$B$106,RUC!$E$3:$E$106)+ROUNDDOWN(O16,1)*100)))</f>
        <v>120</v>
      </c>
      <c r="U16" s="67">
        <f t="array" ref="U16">XLOOKUP(D16,RUC!$B$3:$B$110,RUC!$F$3:$F$110)</f>
        <v>120</v>
      </c>
      <c r="V16" s="67">
        <v>1.1023</v>
      </c>
      <c r="Y16" s="140">
        <f t="array" ref="Y16">XLOOKUP(D16,RUC!$B$3:$B$110,RUC!$G$3:$G$110)+20</f>
        <v>40</v>
      </c>
      <c r="Z16" s="69">
        <f t="array" ref="Z16">XLOOKUP(D16,RUC!$B$3:$B$110,RUC!$H$3:$H$110)</f>
        <v>30</v>
      </c>
      <c r="AA16" s="70">
        <f t="shared" si="4"/>
        <v>70</v>
      </c>
      <c r="AB16" s="71">
        <f t="shared" si="5"/>
        <v>1135.295631</v>
      </c>
      <c r="AC16" s="71">
        <f>+(S16-T16)*V16-'data 1'!$F$4</f>
        <v>52.276</v>
      </c>
      <c r="AD16" s="71">
        <f t="shared" si="6"/>
        <v>16.6185692</v>
      </c>
      <c r="AE16" s="71">
        <f t="shared" si="7"/>
        <v>7.161</v>
      </c>
      <c r="AF16" s="71">
        <f t="shared" si="8"/>
        <v>-89.02783706</v>
      </c>
      <c r="AG16" s="72">
        <f t="shared" si="9"/>
        <v>4.027732141</v>
      </c>
      <c r="AH16" s="193">
        <f t="shared" si="10"/>
        <v>40.075</v>
      </c>
      <c r="AI16" s="193">
        <f t="shared" si="11"/>
        <v>43.946</v>
      </c>
      <c r="AJ16" s="73">
        <f t="shared" si="12"/>
        <v>89.02622876</v>
      </c>
      <c r="AK16" s="73">
        <f t="shared" si="13"/>
        <v>42.3168362</v>
      </c>
      <c r="AL16" s="11"/>
      <c r="AM16" s="51">
        <f t="shared" si="14"/>
        <v>4423.111778</v>
      </c>
      <c r="AN16" s="51" t="str">
        <f t="array" ref="AN16">XLOOKUP(D16,RUC!$B$3:$B$565,RUC!$M$3:$M$565)</f>
        <v>Evelyn</v>
      </c>
      <c r="AO16" s="131" t="s">
        <v>547</v>
      </c>
      <c r="AP16" s="57" t="s">
        <v>1895</v>
      </c>
      <c r="AQ16" s="57" t="s">
        <v>1896</v>
      </c>
      <c r="AV16" s="160" t="s">
        <v>692</v>
      </c>
      <c r="AW16" s="6">
        <f t="shared" si="17"/>
        <v>0</v>
      </c>
      <c r="AX16" s="6">
        <f t="array" ref="AX16">+SUMPRODUCT(IF($AO$4:$AO$1503=AV16,$L$4:$L$1503*$K$4:$K$1503/AW16))</f>
        <v>0</v>
      </c>
      <c r="AY16" s="145">
        <f t="shared" si="18"/>
        <v>0</v>
      </c>
      <c r="AZ16" s="58">
        <f t="array" ref="AZ16">+SUMPRODUCT(IF('31'!$AO$4:$AO$1395=AV16,('31'!$Q$4:$Q$1395*'31'!$AH$4:$AH$1395)/SUMIF('31'!$AO$4:$AO$1395,#REF!,'31'!$AH$4:$AH$1395)))</f>
        <v>0</v>
      </c>
      <c r="BA16" s="65">
        <f t="shared" si="19"/>
        <v>0</v>
      </c>
      <c r="BB16" s="65">
        <f t="shared" si="20"/>
        <v>0</v>
      </c>
      <c r="BC16" s="58">
        <f t="shared" si="21"/>
        <v>521.7893624</v>
      </c>
      <c r="BD16" s="161">
        <f t="shared" si="22"/>
        <v>507.58</v>
      </c>
    </row>
    <row r="17" ht="15.0" customHeight="1">
      <c r="A17" s="116" t="s">
        <v>1954</v>
      </c>
      <c r="B17" s="182">
        <v>45967.0</v>
      </c>
      <c r="C17" s="182">
        <v>45958.0</v>
      </c>
      <c r="D17" s="2" t="s">
        <v>602</v>
      </c>
      <c r="E17" s="3">
        <f t="array" ref="E17">XLOOKUP(D17,RUC!$B$3:$B$110,RUC!$D$3:$D$110)</f>
        <v>20169040231</v>
      </c>
      <c r="G17" s="141">
        <v>53.0</v>
      </c>
      <c r="H17" s="3" t="s">
        <v>71</v>
      </c>
      <c r="I17" s="6">
        <v>5.29</v>
      </c>
      <c r="J17" s="58">
        <v>2.65</v>
      </c>
      <c r="K17" s="6">
        <f t="shared" si="2"/>
        <v>5.15</v>
      </c>
      <c r="L17" s="3">
        <v>0.141</v>
      </c>
      <c r="M17" s="3">
        <v>0.126</v>
      </c>
      <c r="N17" s="123">
        <f>+M17+0.1</f>
        <v>0.226</v>
      </c>
      <c r="O17" s="60">
        <f t="shared" si="16"/>
        <v>0.176</v>
      </c>
      <c r="P17" s="63">
        <v>85.0</v>
      </c>
      <c r="Q17" s="58">
        <v>97.16</v>
      </c>
      <c r="R17" s="65">
        <v>3948.5</v>
      </c>
      <c r="S17" s="66">
        <f t="array" ref="S17">IF((XLOOKUP(D17,RUC!$B$3:$B$106,RUC!$E$3:$E$106)+ROUNDDOWN(O17,1)*100)&lt;95,95,((XLOOKUP(D17,RUC!$B$3:$B$106,RUC!$E$3:$E$106)+ROUNDDOWN(O17,1)*100)))</f>
        <v>95</v>
      </c>
      <c r="U17" s="67">
        <f t="array" ref="U17">XLOOKUP(D17,RUC!$B$3:$B$110,RUC!$F$3:$F$110)</f>
        <v>120</v>
      </c>
      <c r="V17" s="67">
        <v>1.1023</v>
      </c>
      <c r="Y17" s="68">
        <v>30.0</v>
      </c>
      <c r="Z17" s="140">
        <v>35.0</v>
      </c>
      <c r="AA17" s="70">
        <f t="shared" si="4"/>
        <v>65</v>
      </c>
      <c r="AB17" s="71">
        <f t="shared" si="5"/>
        <v>454.9672703</v>
      </c>
      <c r="AC17" s="71">
        <f>+(S17-T17)*V17-'data 1'!$F$4</f>
        <v>24.7185</v>
      </c>
      <c r="AD17" s="71">
        <f t="shared" si="6"/>
        <v>72.357099</v>
      </c>
      <c r="AE17" s="71">
        <f t="shared" si="7"/>
        <v>1.6495</v>
      </c>
      <c r="AF17" s="71">
        <f t="shared" si="8"/>
        <v>-143.5106096</v>
      </c>
      <c r="AG17" s="72">
        <f t="shared" si="9"/>
        <v>-27.78551064</v>
      </c>
      <c r="AH17" s="193">
        <f t="shared" si="10"/>
        <v>24.189</v>
      </c>
      <c r="AI17" s="193">
        <f t="shared" si="11"/>
        <v>24.896</v>
      </c>
      <c r="AJ17" s="73">
        <f t="shared" si="12"/>
        <v>44.01948784</v>
      </c>
      <c r="AK17" s="73">
        <f t="shared" si="13"/>
        <v>26.41483437</v>
      </c>
      <c r="AL17" s="11"/>
      <c r="AM17" s="51">
        <f t="shared" si="14"/>
        <v>2343.081442</v>
      </c>
      <c r="AN17" s="51" t="str">
        <f t="array" ref="AN17">XLOOKUP(D17,RUC!$B$3:$B$565,RUC!$M$3:$M$565)</f>
        <v>Ronald Miranda</v>
      </c>
      <c r="AO17" s="131" t="s">
        <v>551</v>
      </c>
      <c r="AP17" s="57" t="s">
        <v>1914</v>
      </c>
      <c r="AQ17" s="57" t="s">
        <v>1571</v>
      </c>
      <c r="AV17" s="163" t="s">
        <v>693</v>
      </c>
      <c r="AW17" s="165">
        <f t="shared" si="17"/>
        <v>0</v>
      </c>
      <c r="AX17" s="165">
        <f t="array" ref="AX17">+SUMPRODUCT(IF('31'!$AO$4:$AO$1395=AV17,'31'!$L$4:$L$1395*'31'!$K$4:$K$1395/AW17))</f>
        <v>0</v>
      </c>
      <c r="AY17" s="166">
        <f t="shared" si="18"/>
        <v>0</v>
      </c>
      <c r="AZ17" s="168">
        <f t="array" ref="AZ17">+SUMPRODUCT(IF('31'!$AO$4:$AO$1395=AV17,('31'!$Q$4:$Q$1395*'31'!$AH$4:$AH$1395)/SUMIF('31'!$AO$4:$AO$1395,#REF!,'31'!$AH$4:$AH$1395)))</f>
        <v>0</v>
      </c>
      <c r="BA17" s="167">
        <f t="shared" si="19"/>
        <v>0</v>
      </c>
      <c r="BB17" s="167">
        <f t="shared" si="20"/>
        <v>0</v>
      </c>
      <c r="BC17" s="168">
        <f t="shared" si="21"/>
        <v>521.7893624</v>
      </c>
      <c r="BD17" s="169">
        <f t="shared" si="22"/>
        <v>507.58</v>
      </c>
    </row>
    <row r="18" ht="15.0" customHeight="1">
      <c r="A18" s="116" t="s">
        <v>1955</v>
      </c>
      <c r="B18" s="182">
        <v>45967.0</v>
      </c>
      <c r="C18" s="182">
        <v>45958.0</v>
      </c>
      <c r="D18" s="2" t="s">
        <v>602</v>
      </c>
      <c r="E18" s="3">
        <f t="array" ref="E18">XLOOKUP(D18,RUC!$B$3:$B$110,RUC!$D$3:$D$110)</f>
        <v>20169040231</v>
      </c>
      <c r="G18" s="141">
        <v>23.0</v>
      </c>
      <c r="H18" s="3" t="s">
        <v>71</v>
      </c>
      <c r="I18" s="6">
        <v>2.38</v>
      </c>
      <c r="J18" s="58">
        <v>3.65</v>
      </c>
      <c r="K18" s="6">
        <f t="shared" si="2"/>
        <v>2.293</v>
      </c>
      <c r="L18" s="3">
        <v>0.248</v>
      </c>
      <c r="M18" s="3">
        <v>0.233</v>
      </c>
      <c r="N18" s="75">
        <v>0.271</v>
      </c>
      <c r="O18" s="60">
        <f t="shared" si="16"/>
        <v>0.252</v>
      </c>
      <c r="P18" s="63">
        <v>90.0</v>
      </c>
      <c r="Q18" s="58">
        <v>93.55</v>
      </c>
      <c r="R18" s="65">
        <v>3948.5</v>
      </c>
      <c r="S18" s="66">
        <f t="array" ref="S18">IF((XLOOKUP(D18,RUC!$B$3:$B$106,RUC!$E$3:$E$106)+ROUNDDOWN(O18,1)*100)&lt;95,95,((XLOOKUP(D18,RUC!$B$3:$B$106,RUC!$E$3:$E$106)+ROUNDDOWN(O18,1)*100)))</f>
        <v>105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140">
        <v>35.0</v>
      </c>
      <c r="AA18" s="70">
        <f t="shared" si="4"/>
        <v>55</v>
      </c>
      <c r="AB18" s="71">
        <f t="shared" si="5"/>
        <v>780.7632787</v>
      </c>
      <c r="AC18" s="71">
        <f>+(S18-T18)*V18-'data 1'!$F$4</f>
        <v>35.7415</v>
      </c>
      <c r="AD18" s="71">
        <f t="shared" si="6"/>
        <v>37.15424946</v>
      </c>
      <c r="AE18" s="71">
        <f t="shared" si="7"/>
        <v>-9.3735</v>
      </c>
      <c r="AF18" s="71">
        <f t="shared" si="8"/>
        <v>-15.79182207</v>
      </c>
      <c r="AG18" s="72">
        <f t="shared" si="9"/>
        <v>64.73042739</v>
      </c>
      <c r="AH18" s="193">
        <f t="shared" si="10"/>
        <v>18.239</v>
      </c>
      <c r="AI18" s="193">
        <f t="shared" si="11"/>
        <v>19.497</v>
      </c>
      <c r="AJ18" s="73">
        <f t="shared" si="12"/>
        <v>74.54762968</v>
      </c>
      <c r="AK18" s="73">
        <f t="shared" si="13"/>
        <v>17.83019834</v>
      </c>
      <c r="AL18" s="11"/>
      <c r="AM18" s="51">
        <f t="shared" si="14"/>
        <v>1790.290198</v>
      </c>
      <c r="AN18" s="51" t="str">
        <f t="array" ref="AN18">XLOOKUP(D18,RUC!$B$3:$B$565,RUC!$M$3:$M$565)</f>
        <v>Ronald Miranda</v>
      </c>
      <c r="AO18" s="131" t="s">
        <v>551</v>
      </c>
      <c r="AP18" s="57" t="s">
        <v>1914</v>
      </c>
      <c r="AQ18" s="57" t="s">
        <v>1571</v>
      </c>
    </row>
    <row r="19" ht="15.0" customHeight="1">
      <c r="A19" s="116" t="s">
        <v>1956</v>
      </c>
      <c r="B19" s="182">
        <v>45965.0</v>
      </c>
      <c r="C19" s="182">
        <v>45958.0</v>
      </c>
      <c r="D19" s="2" t="s">
        <v>602</v>
      </c>
      <c r="E19" s="3">
        <f t="array" ref="E19">XLOOKUP(D19,RUC!$B$3:$B$110,RUC!$D$3:$D$110)</f>
        <v>20169040231</v>
      </c>
      <c r="G19" s="141">
        <v>77.0</v>
      </c>
      <c r="H19" s="3" t="s">
        <v>47</v>
      </c>
      <c r="I19" s="6">
        <v>7.38</v>
      </c>
      <c r="J19" s="58">
        <v>1.65</v>
      </c>
      <c r="K19" s="6">
        <f t="shared" si="2"/>
        <v>7.258</v>
      </c>
      <c r="L19" s="3">
        <v>0.533</v>
      </c>
      <c r="M19" s="60">
        <v>0.506</v>
      </c>
      <c r="N19" s="75">
        <v>0.541</v>
      </c>
      <c r="O19" s="60">
        <f t="shared" si="16"/>
        <v>0.524</v>
      </c>
      <c r="P19" s="63">
        <v>90.0</v>
      </c>
      <c r="Q19" s="58">
        <v>97.56</v>
      </c>
      <c r="R19" s="65">
        <v>3948.5</v>
      </c>
      <c r="S19" s="66">
        <f t="array" ref="S19">IF((XLOOKUP(D19,RUC!$B$3:$B$106,RUC!$E$3:$E$106)+ROUNDDOWN(O19,1)*100)&lt;95,95,((XLOOKUP(D19,RUC!$B$3:$B$106,RUC!$E$3:$E$106)+ROUNDDOWN(O19,1)*100)))</f>
        <v>135</v>
      </c>
      <c r="U19" s="67">
        <f t="array" ref="U19">XLOOKUP(D19,RUC!$B$3:$B$110,RUC!$F$3:$F$110)</f>
        <v>120</v>
      </c>
      <c r="V19" s="67">
        <v>1.1023</v>
      </c>
      <c r="Y19" s="68">
        <v>30.0</v>
      </c>
      <c r="Z19" s="140">
        <v>35.0</v>
      </c>
      <c r="AA19" s="70">
        <f t="shared" si="4"/>
        <v>65</v>
      </c>
      <c r="AB19" s="71">
        <f t="shared" si="5"/>
        <v>1769.765357</v>
      </c>
      <c r="AC19" s="71">
        <f>+(S19-T19)*V19-'data 1'!$F$4</f>
        <v>68.8105</v>
      </c>
      <c r="AD19" s="71">
        <f t="shared" si="6"/>
        <v>170.0503239</v>
      </c>
      <c r="AE19" s="71">
        <f t="shared" si="7"/>
        <v>1.6495</v>
      </c>
      <c r="AF19" s="71">
        <f t="shared" si="8"/>
        <v>37.05465379</v>
      </c>
      <c r="AG19" s="72">
        <f t="shared" si="9"/>
        <v>294.5649776</v>
      </c>
      <c r="AH19" s="193">
        <f t="shared" si="10"/>
        <v>129.397</v>
      </c>
      <c r="AI19" s="193">
        <f t="shared" si="11"/>
        <v>132.634</v>
      </c>
      <c r="AJ19" s="73">
        <f t="shared" si="12"/>
        <v>167.0849631</v>
      </c>
      <c r="AK19" s="73">
        <f t="shared" si="13"/>
        <v>117.3545222</v>
      </c>
      <c r="AL19" s="11"/>
      <c r="AM19" s="51">
        <f t="shared" si="14"/>
        <v>12844.95696</v>
      </c>
      <c r="AN19" s="51" t="str">
        <f t="array" ref="AN19">XLOOKUP(D19,RUC!$B$3:$B$565,RUC!$M$3:$M$565)</f>
        <v>Ronald Miranda</v>
      </c>
      <c r="AO19" s="131" t="s">
        <v>558</v>
      </c>
      <c r="AP19" s="57" t="s">
        <v>1957</v>
      </c>
      <c r="AQ19" s="57" t="s">
        <v>1958</v>
      </c>
    </row>
    <row r="20" ht="15.0" customHeight="1">
      <c r="A20" s="116" t="s">
        <v>1959</v>
      </c>
      <c r="B20" s="182">
        <v>45965.0</v>
      </c>
      <c r="C20" s="182">
        <v>45958.0</v>
      </c>
      <c r="D20" s="2" t="s">
        <v>602</v>
      </c>
      <c r="E20" s="3">
        <f t="array" ref="E20">XLOOKUP(D20,RUC!$B$3:$B$110,RUC!$D$3:$D$110)</f>
        <v>20169040231</v>
      </c>
      <c r="G20" s="141">
        <v>80.0</v>
      </c>
      <c r="H20" s="3" t="s">
        <v>47</v>
      </c>
      <c r="I20" s="6">
        <v>6.86</v>
      </c>
      <c r="J20" s="58">
        <v>1.5</v>
      </c>
      <c r="K20" s="6">
        <f t="shared" si="2"/>
        <v>6.757</v>
      </c>
      <c r="L20" s="3">
        <v>0.788</v>
      </c>
      <c r="M20" s="60">
        <v>0.749</v>
      </c>
      <c r="N20" s="123">
        <f>M20+0.1</f>
        <v>0.849</v>
      </c>
      <c r="O20" s="60">
        <f t="shared" si="16"/>
        <v>0.799</v>
      </c>
      <c r="P20" s="63">
        <v>80.0</v>
      </c>
      <c r="Q20" s="58">
        <v>81.47</v>
      </c>
      <c r="R20" s="65">
        <v>3948.5</v>
      </c>
      <c r="S20" s="66">
        <f t="array" ref="S20">IF((XLOOKUP(D20,RUC!$B$3:$B$106,RUC!$E$3:$E$106)+ROUNDDOWN(O20,1)*100)&lt;95,95,((XLOOKUP(D20,RUC!$B$3:$B$106,RUC!$E$3:$E$106)+ROUNDDOWN(O20,1)*100)))</f>
        <v>155</v>
      </c>
      <c r="U20" s="67">
        <f t="array" ref="U20">XLOOKUP(D20,RUC!$B$3:$B$110,RUC!$F$3:$F$110)</f>
        <v>120</v>
      </c>
      <c r="V20" s="67">
        <v>1.1023</v>
      </c>
      <c r="Y20" s="68">
        <v>30.0</v>
      </c>
      <c r="Z20" s="140">
        <v>35.0</v>
      </c>
      <c r="AA20" s="70">
        <f t="shared" si="4"/>
        <v>65</v>
      </c>
      <c r="AB20" s="71">
        <f t="shared" si="5"/>
        <v>2455.017428</v>
      </c>
      <c r="AC20" s="71">
        <f>+(S20-T20)*V20-'data 1'!$F$4</f>
        <v>90.8565</v>
      </c>
      <c r="AD20" s="71">
        <f t="shared" si="6"/>
        <v>48.88459383</v>
      </c>
      <c r="AE20" s="71">
        <f t="shared" si="7"/>
        <v>1.6495</v>
      </c>
      <c r="AF20" s="71">
        <f t="shared" si="8"/>
        <v>-37.81976799</v>
      </c>
      <c r="AG20" s="72">
        <f t="shared" si="9"/>
        <v>120.5708258</v>
      </c>
      <c r="AH20" s="193">
        <f t="shared" si="10"/>
        <v>148.726</v>
      </c>
      <c r="AI20" s="193">
        <f t="shared" si="11"/>
        <v>182.553</v>
      </c>
      <c r="AJ20" s="73">
        <f t="shared" si="12"/>
        <v>206.2824592</v>
      </c>
      <c r="AK20" s="73">
        <f t="shared" si="13"/>
        <v>148.0811418</v>
      </c>
      <c r="AL20" s="11"/>
      <c r="AM20" s="51">
        <f t="shared" si="14"/>
        <v>16588.55276</v>
      </c>
      <c r="AN20" s="51" t="str">
        <f t="array" ref="AN20">XLOOKUP(D20,RUC!$B$3:$B$565,RUC!$M$3:$M$565)</f>
        <v>Ronald Miranda</v>
      </c>
      <c r="AO20" s="131" t="s">
        <v>551</v>
      </c>
      <c r="AP20" s="57" t="s">
        <v>1957</v>
      </c>
      <c r="AQ20" s="57" t="s">
        <v>1958</v>
      </c>
      <c r="AV20" s="149" t="s">
        <v>1960</v>
      </c>
      <c r="AW20" s="150"/>
      <c r="AX20" s="150"/>
      <c r="AY20" s="150"/>
      <c r="AZ20" s="150"/>
      <c r="BA20" s="151"/>
    </row>
    <row r="21" ht="15.0" customHeight="1">
      <c r="A21" s="116" t="s">
        <v>1961</v>
      </c>
      <c r="B21" s="182">
        <v>45965.0</v>
      </c>
      <c r="C21" s="182">
        <v>45958.0</v>
      </c>
      <c r="D21" s="2" t="s">
        <v>602</v>
      </c>
      <c r="E21" s="3">
        <f t="array" ref="E21">XLOOKUP(D21,RUC!$B$3:$B$110,RUC!$D$3:$D$110)</f>
        <v>20169040231</v>
      </c>
      <c r="G21" s="141">
        <v>97.0</v>
      </c>
      <c r="H21" s="3" t="s">
        <v>47</v>
      </c>
      <c r="I21" s="6">
        <v>8.23</v>
      </c>
      <c r="J21" s="58">
        <v>1.25</v>
      </c>
      <c r="K21" s="6">
        <f t="shared" si="2"/>
        <v>8.127</v>
      </c>
      <c r="L21" s="3">
        <v>0.677</v>
      </c>
      <c r="M21" s="60">
        <v>0.643</v>
      </c>
      <c r="N21" s="75">
        <v>0.729</v>
      </c>
      <c r="O21" s="60">
        <f t="shared" si="16"/>
        <v>0.686</v>
      </c>
      <c r="P21" s="63">
        <v>80.0</v>
      </c>
      <c r="Q21" s="58">
        <v>76.07</v>
      </c>
      <c r="R21" s="65">
        <v>3948.5</v>
      </c>
      <c r="S21" s="66">
        <f t="array" ref="S21">IF((XLOOKUP(D21,RUC!$B$3:$B$106,RUC!$E$3:$E$106)+ROUNDDOWN(O21,1)*100)&lt;95,95,((XLOOKUP(D21,RUC!$B$3:$B$106,RUC!$E$3:$E$106)+ROUNDDOWN(O21,1)*100)))</f>
        <v>145</v>
      </c>
      <c r="U21" s="67">
        <f t="array" ref="U21">XLOOKUP(D21,RUC!$B$3:$B$110,RUC!$F$3:$F$110)</f>
        <v>120</v>
      </c>
      <c r="V21" s="67">
        <v>1.1023</v>
      </c>
      <c r="Y21" s="68">
        <v>30.0</v>
      </c>
      <c r="Z21" s="140">
        <v>35.0</v>
      </c>
      <c r="AA21" s="70">
        <f t="shared" si="4"/>
        <v>65</v>
      </c>
      <c r="AB21" s="71">
        <f t="shared" si="5"/>
        <v>2084.538366</v>
      </c>
      <c r="AC21" s="71">
        <f>+(S21-T21)*V21-'data 1'!$F$4</f>
        <v>79.8335</v>
      </c>
      <c r="AD21" s="71">
        <f t="shared" si="6"/>
        <v>-112.2818806</v>
      </c>
      <c r="AE21" s="71">
        <f t="shared" si="7"/>
        <v>1.6495</v>
      </c>
      <c r="AF21" s="71">
        <f t="shared" si="8"/>
        <v>-28.89245094</v>
      </c>
      <c r="AG21" s="72">
        <f t="shared" si="9"/>
        <v>-42.69133152</v>
      </c>
      <c r="AH21" s="193">
        <f t="shared" si="10"/>
        <v>143.497</v>
      </c>
      <c r="AI21" s="193">
        <f t="shared" si="11"/>
        <v>188.637</v>
      </c>
      <c r="AJ21" s="73">
        <f t="shared" si="12"/>
        <v>165.4780717</v>
      </c>
      <c r="AK21" s="73">
        <f t="shared" si="13"/>
        <v>152.916177</v>
      </c>
      <c r="AL21" s="11"/>
      <c r="AM21" s="51">
        <f t="shared" si="14"/>
        <v>16941.0433</v>
      </c>
      <c r="AN21" s="51" t="str">
        <f t="array" ref="AN21">XLOOKUP(D21,RUC!$B$3:$B$565,RUC!$M$3:$M$565)</f>
        <v>Ronald Miranda</v>
      </c>
      <c r="AO21" s="131" t="s">
        <v>551</v>
      </c>
      <c r="AP21" s="57" t="s">
        <v>1957</v>
      </c>
      <c r="AQ21" s="57" t="s">
        <v>1958</v>
      </c>
      <c r="BA21" s="203">
        <f>SUM(BA23:BA32)</f>
        <v>2585.804572</v>
      </c>
    </row>
    <row r="22" ht="15.0" customHeight="1">
      <c r="A22" s="116" t="s">
        <v>1962</v>
      </c>
      <c r="B22" s="182">
        <v>45965.0</v>
      </c>
      <c r="C22" s="182">
        <v>45958.0</v>
      </c>
      <c r="D22" s="2" t="s">
        <v>602</v>
      </c>
      <c r="E22" s="3">
        <f t="array" ref="E22">XLOOKUP(D22,RUC!$B$3:$B$110,RUC!$D$3:$D$110)</f>
        <v>20169040231</v>
      </c>
      <c r="G22" s="141">
        <v>50.0</v>
      </c>
      <c r="H22" s="3" t="s">
        <v>71</v>
      </c>
      <c r="I22" s="6">
        <v>5.07</v>
      </c>
      <c r="J22" s="58">
        <v>2.9</v>
      </c>
      <c r="K22" s="6">
        <f t="shared" si="2"/>
        <v>4.923</v>
      </c>
      <c r="L22" s="3">
        <v>0.29</v>
      </c>
      <c r="M22" s="60">
        <v>0.275</v>
      </c>
      <c r="N22" s="62">
        <f>+M22</f>
        <v>0.275</v>
      </c>
      <c r="O22" s="60">
        <f t="shared" si="16"/>
        <v>0.275</v>
      </c>
      <c r="P22" s="63">
        <v>90.0</v>
      </c>
      <c r="Q22" s="58">
        <v>93.79</v>
      </c>
      <c r="R22" s="65">
        <v>3948.5</v>
      </c>
      <c r="S22" s="66">
        <f t="array" ref="S22">IF((XLOOKUP(D22,RUC!$B$3:$B$106,RUC!$E$3:$E$106)+ROUNDDOWN(O22,1)*100)&lt;95,95,((XLOOKUP(D22,RUC!$B$3:$B$106,RUC!$E$3:$E$106)+ROUNDDOWN(O22,1)*100)))</f>
        <v>105</v>
      </c>
      <c r="U22" s="67">
        <f t="array" ref="U22">XLOOKUP(D22,RUC!$B$3:$B$110,RUC!$F$3:$F$110)</f>
        <v>120</v>
      </c>
      <c r="V22" s="67">
        <v>1.1023</v>
      </c>
      <c r="Y22" s="57">
        <f t="array" ref="Y22">XLOOKUP(D22,RUC!$B$3:$B$110,RUC!$G$3:$G$110)</f>
        <v>20</v>
      </c>
      <c r="Z22" s="140">
        <v>35.0</v>
      </c>
      <c r="AA22" s="70">
        <f t="shared" si="4"/>
        <v>55</v>
      </c>
      <c r="AB22" s="71">
        <f t="shared" si="5"/>
        <v>868.1204986</v>
      </c>
      <c r="AC22" s="71">
        <f>+(S22-T22)*V22-'data 1'!$F$4</f>
        <v>35.7415</v>
      </c>
      <c r="AD22" s="71">
        <f t="shared" si="6"/>
        <v>46.38372965</v>
      </c>
      <c r="AE22" s="71">
        <f t="shared" si="7"/>
        <v>-9.3735</v>
      </c>
      <c r="AF22" s="71">
        <f t="shared" si="8"/>
        <v>59.37125836</v>
      </c>
      <c r="AG22" s="72">
        <f t="shared" si="9"/>
        <v>149.122988</v>
      </c>
      <c r="AH22" s="193">
        <f t="shared" si="10"/>
        <v>45.909</v>
      </c>
      <c r="AI22" s="193">
        <f t="shared" si="11"/>
        <v>48.948</v>
      </c>
      <c r="AJ22" s="73">
        <f t="shared" si="12"/>
        <v>87.39627052</v>
      </c>
      <c r="AK22" s="73">
        <f t="shared" si="13"/>
        <v>41.77477393</v>
      </c>
      <c r="AL22" s="11"/>
      <c r="AM22" s="51">
        <f t="shared" si="14"/>
        <v>4273.757215</v>
      </c>
      <c r="AN22" s="51" t="str">
        <f t="array" ref="AN22">XLOOKUP(D22,RUC!$B$3:$B$565,RUC!$M$3:$M$565)</f>
        <v>Ronald Miranda</v>
      </c>
      <c r="AO22" s="131" t="s">
        <v>551</v>
      </c>
      <c r="AP22" s="57" t="s">
        <v>1957</v>
      </c>
      <c r="AQ22" s="57" t="s">
        <v>1958</v>
      </c>
      <c r="AV22" s="3"/>
      <c r="AW22" s="3" t="s">
        <v>14</v>
      </c>
      <c r="AX22" s="3" t="s">
        <v>683</v>
      </c>
      <c r="AY22" s="3" t="s">
        <v>686</v>
      </c>
      <c r="AZ22" s="204" t="s">
        <v>700</v>
      </c>
      <c r="BA22" s="3" t="s">
        <v>687</v>
      </c>
    </row>
    <row r="23" ht="15.0" customHeight="1">
      <c r="A23" s="116" t="s">
        <v>1963</v>
      </c>
      <c r="B23" s="182">
        <v>45969.0</v>
      </c>
      <c r="C23" s="182">
        <v>45958.0</v>
      </c>
      <c r="D23" s="57" t="s">
        <v>225</v>
      </c>
      <c r="E23" s="3">
        <f t="array" ref="E23">XLOOKUP(D23,RUC!$B$3:$B$110,RUC!$D$3:$D$110)</f>
        <v>10761932735</v>
      </c>
      <c r="G23" s="141">
        <v>75.0</v>
      </c>
      <c r="H23" s="3" t="s">
        <v>47</v>
      </c>
      <c r="I23" s="6">
        <v>6.37</v>
      </c>
      <c r="J23" s="58">
        <v>8.65</v>
      </c>
      <c r="K23" s="6">
        <f t="shared" si="2"/>
        <v>5.819</v>
      </c>
      <c r="L23" s="3">
        <v>0.125</v>
      </c>
      <c r="M23" s="60">
        <v>0.11</v>
      </c>
      <c r="N23" s="75">
        <v>0.174</v>
      </c>
      <c r="O23" s="60">
        <f t="shared" si="16"/>
        <v>0.142</v>
      </c>
      <c r="P23" s="63">
        <v>85.0</v>
      </c>
      <c r="Q23" s="58">
        <v>92.8</v>
      </c>
      <c r="R23" s="65">
        <v>3948.5</v>
      </c>
      <c r="S23" s="66">
        <f t="array" ref="S23">IF((XLOOKUP(D23,RUC!$B$3:$B$106,RUC!$E$3:$E$106)+ROUNDDOWN(O23,1)*100)&lt;95,95,((XLOOKUP(D23,RUC!$B$3:$B$106,RUC!$E$3:$E$106)+ROUNDDOWN(O23,1)*100)))</f>
        <v>100</v>
      </c>
      <c r="U23" s="67">
        <f t="array" ref="U23">XLOOKUP(D23,RUC!$B$3:$B$110,RUC!$F$3:$F$110)</f>
        <v>120</v>
      </c>
      <c r="V23" s="67">
        <v>1.1023</v>
      </c>
      <c r="Y23" s="68"/>
      <c r="Z23" s="69">
        <f t="array" ref="Z23">XLOOKUP(D23,RUC!$B$3:$B$110,RUC!$H$3:$H$110)</f>
        <v>30</v>
      </c>
      <c r="AA23" s="70">
        <f t="shared" si="4"/>
        <v>30</v>
      </c>
      <c r="AB23" s="71">
        <f t="shared" si="5"/>
        <v>366.0737749</v>
      </c>
      <c r="AC23" s="71">
        <f>+(S23-T23)*V23-'data 1'!$F$4</f>
        <v>30.23</v>
      </c>
      <c r="AD23" s="71">
        <f t="shared" si="6"/>
        <v>41.14651661</v>
      </c>
      <c r="AE23" s="71">
        <f t="shared" si="7"/>
        <v>-36.931</v>
      </c>
      <c r="AF23" s="71">
        <f t="shared" si="8"/>
        <v>-66.57717396</v>
      </c>
      <c r="AG23" s="72">
        <f t="shared" si="9"/>
        <v>-15.13165734</v>
      </c>
      <c r="AH23" s="193">
        <f t="shared" si="10"/>
        <v>23.143</v>
      </c>
      <c r="AI23" s="193">
        <f t="shared" si="11"/>
        <v>24.938</v>
      </c>
      <c r="AJ23" s="73">
        <f t="shared" si="12"/>
        <v>37.2731722</v>
      </c>
      <c r="AK23" s="73">
        <f t="shared" si="13"/>
        <v>24.08045544</v>
      </c>
      <c r="AL23" s="11"/>
      <c r="AM23" s="51">
        <f t="shared" si="14"/>
        <v>2130.183296</v>
      </c>
      <c r="AN23" s="51" t="str">
        <f t="array" ref="AN23">XLOOKUP(D23,RUC!$B$3:$B$565,RUC!$M$3:$M$565)</f>
        <v>Richard Sapacayo</v>
      </c>
      <c r="AO23" s="131" t="s">
        <v>558</v>
      </c>
      <c r="AP23" s="57" t="s">
        <v>1964</v>
      </c>
      <c r="AQ23" s="57" t="s">
        <v>1965</v>
      </c>
      <c r="AR23" s="57" t="s">
        <v>1966</v>
      </c>
      <c r="AV23" s="152" t="s">
        <v>558</v>
      </c>
      <c r="AW23" s="154">
        <f t="shared" ref="AW23:AW32" si="24">SUMIF($AO$4:$AO$1503,AV23,$K$4:$K$1503)</f>
        <v>149.255</v>
      </c>
      <c r="AX23" s="154">
        <v>0.141</v>
      </c>
      <c r="AY23" s="157">
        <f t="shared" ref="AY23:AY32" si="25">AW23*AX23*31.1035*1.1023</f>
        <v>721.5344487</v>
      </c>
      <c r="AZ23" s="58">
        <v>46.68</v>
      </c>
      <c r="BA23" s="157">
        <f t="shared" ref="BA23:BA32" si="26">AY23*AZ23/100</f>
        <v>336.8122806</v>
      </c>
      <c r="BB23" s="449" t="s">
        <v>1967</v>
      </c>
      <c r="BC23" s="450">
        <f>+BB6</f>
        <v>5021.509</v>
      </c>
    </row>
    <row r="24" ht="15.0" customHeight="1">
      <c r="A24" s="116" t="s">
        <v>1968</v>
      </c>
      <c r="B24" s="182">
        <v>45969.0</v>
      </c>
      <c r="C24" s="182">
        <v>45958.0</v>
      </c>
      <c r="D24" s="57" t="s">
        <v>225</v>
      </c>
      <c r="E24" s="3">
        <f t="array" ref="E24">XLOOKUP(D24,RUC!$B$3:$B$110,RUC!$D$3:$D$110)</f>
        <v>10761932735</v>
      </c>
      <c r="G24" s="141">
        <v>84.0</v>
      </c>
      <c r="H24" s="3" t="s">
        <v>47</v>
      </c>
      <c r="I24" s="6">
        <v>6.94</v>
      </c>
      <c r="J24" s="58">
        <v>5.0</v>
      </c>
      <c r="K24" s="6">
        <f t="shared" si="2"/>
        <v>6.593</v>
      </c>
      <c r="L24" s="60">
        <v>0.15</v>
      </c>
      <c r="M24" s="60">
        <v>0.135</v>
      </c>
      <c r="N24" s="75">
        <v>0.224</v>
      </c>
      <c r="O24" s="60">
        <f t="shared" si="16"/>
        <v>0.18</v>
      </c>
      <c r="P24" s="63">
        <v>85.0</v>
      </c>
      <c r="Q24" s="58">
        <v>98.52</v>
      </c>
      <c r="R24" s="65">
        <v>3948.5</v>
      </c>
      <c r="S24" s="66">
        <f t="array" ref="S24">IF((XLOOKUP(D24,RUC!$B$3:$B$106,RUC!$E$3:$E$106)+ROUNDDOWN(O24,1)*100)&lt;95,95,((XLOOKUP(D24,RUC!$B$3:$B$106,RUC!$E$3:$E$106)+ROUNDDOWN(O24,1)*100)))</f>
        <v>100</v>
      </c>
      <c r="U24" s="67">
        <f t="array" ref="U24">XLOOKUP(D24,RUC!$B$3:$B$110,RUC!$F$3:$F$110)</f>
        <v>120</v>
      </c>
      <c r="V24" s="67">
        <v>1.1023</v>
      </c>
      <c r="Y24" s="68"/>
      <c r="Z24" s="69">
        <f t="array" ref="Z24">XLOOKUP(D24,RUC!$B$3:$B$110,RUC!$H$3:$H$110)</f>
        <v>30</v>
      </c>
      <c r="AA24" s="70">
        <f t="shared" si="4"/>
        <v>30</v>
      </c>
      <c r="AB24" s="71">
        <f t="shared" si="5"/>
        <v>502.3847992</v>
      </c>
      <c r="AC24" s="71">
        <f>+(S24-T24)*V24-'data 1'!$F$4</f>
        <v>30.23</v>
      </c>
      <c r="AD24" s="71">
        <f t="shared" si="6"/>
        <v>85.58475455</v>
      </c>
      <c r="AE24" s="71">
        <f t="shared" si="7"/>
        <v>-36.931</v>
      </c>
      <c r="AF24" s="71">
        <f t="shared" si="8"/>
        <v>-124.7309174</v>
      </c>
      <c r="AG24" s="72">
        <f t="shared" si="9"/>
        <v>-28.84716288</v>
      </c>
      <c r="AH24" s="193">
        <f t="shared" si="10"/>
        <v>33.405</v>
      </c>
      <c r="AI24" s="193">
        <f t="shared" si="11"/>
        <v>33.907</v>
      </c>
      <c r="AJ24" s="73">
        <f t="shared" si="12"/>
        <v>47.4847361</v>
      </c>
      <c r="AK24" s="73">
        <f t="shared" si="13"/>
        <v>34.5846652</v>
      </c>
      <c r="AL24" s="11"/>
      <c r="AM24" s="51">
        <f t="shared" si="14"/>
        <v>3312.222981</v>
      </c>
      <c r="AN24" s="51" t="str">
        <f t="array" ref="AN24">XLOOKUP(D24,RUC!$B$3:$B$565,RUC!$M$3:$M$565)</f>
        <v>Richard Sapacayo</v>
      </c>
      <c r="AO24" s="131" t="s">
        <v>558</v>
      </c>
      <c r="AP24" s="57" t="s">
        <v>1964</v>
      </c>
      <c r="AQ24" s="57" t="s">
        <v>1965</v>
      </c>
      <c r="AR24" s="57" t="s">
        <v>1966</v>
      </c>
      <c r="AV24" s="160" t="s">
        <v>551</v>
      </c>
      <c r="AW24" s="6">
        <f t="shared" si="24"/>
        <v>149.794</v>
      </c>
      <c r="AX24" s="6">
        <v>0.158</v>
      </c>
      <c r="AY24" s="58">
        <f t="shared" si="25"/>
        <v>811.447776</v>
      </c>
      <c r="AZ24" s="58">
        <v>89.5</v>
      </c>
      <c r="BA24" s="58">
        <f t="shared" si="26"/>
        <v>726.2457595</v>
      </c>
      <c r="BB24" s="451" t="s">
        <v>1969</v>
      </c>
      <c r="BC24" s="452">
        <f>+'30'!BC27+'30'!BC28</f>
        <v>1071.576</v>
      </c>
    </row>
    <row r="25" ht="15.0" customHeight="1">
      <c r="A25" s="192" t="s">
        <v>1970</v>
      </c>
      <c r="B25" s="453">
        <v>45969.0</v>
      </c>
      <c r="C25" s="182">
        <v>45958.0</v>
      </c>
      <c r="D25" s="57" t="s">
        <v>225</v>
      </c>
      <c r="E25" s="3">
        <f t="array" ref="E25">XLOOKUP(D25,RUC!$B$3:$B$110,RUC!$D$3:$D$110)</f>
        <v>10761932735</v>
      </c>
      <c r="G25" s="141">
        <v>115.0</v>
      </c>
      <c r="H25" s="3" t="s">
        <v>47</v>
      </c>
      <c r="I25" s="6">
        <v>9.79</v>
      </c>
      <c r="J25" s="58">
        <v>6.75</v>
      </c>
      <c r="K25" s="6">
        <f t="shared" si="2"/>
        <v>9.129</v>
      </c>
      <c r="L25" s="3">
        <v>0.103</v>
      </c>
      <c r="M25" s="3">
        <v>0.088</v>
      </c>
      <c r="N25" s="75">
        <v>0.164</v>
      </c>
      <c r="O25" s="60">
        <f t="shared" si="16"/>
        <v>0.126</v>
      </c>
      <c r="P25" s="63">
        <v>80.0</v>
      </c>
      <c r="Q25" s="58">
        <v>97.09</v>
      </c>
      <c r="R25" s="65">
        <v>3948.5</v>
      </c>
      <c r="S25" s="66">
        <f t="array" ref="S25">IF((XLOOKUP(D25,RUC!$B$3:$B$106,RUC!$E$3:$E$106)+ROUNDDOWN(O25,1)*100)&lt;95,95,((XLOOKUP(D25,RUC!$B$3:$B$106,RUC!$E$3:$E$106)+ROUNDDOWN(O25,1)*100)))</f>
        <v>100</v>
      </c>
      <c r="U25" s="67">
        <f t="array" ref="U25">XLOOKUP(D25,RUC!$B$3:$B$110,RUC!$F$3:$F$110)</f>
        <v>120</v>
      </c>
      <c r="V25" s="67">
        <v>1.1023</v>
      </c>
      <c r="Y25" s="68"/>
      <c r="Z25" s="69">
        <f t="array" ref="Z25">XLOOKUP(D25,RUC!$B$3:$B$110,RUC!$H$3:$H$110)</f>
        <v>30</v>
      </c>
      <c r="AA25" s="70">
        <f t="shared" si="4"/>
        <v>30</v>
      </c>
      <c r="AB25" s="71">
        <f t="shared" si="5"/>
        <v>282.0926794</v>
      </c>
      <c r="AC25" s="71">
        <f>+(S25-T25)*V25-'data 1'!$F$4</f>
        <v>30.23</v>
      </c>
      <c r="AD25" s="71">
        <f t="shared" si="6"/>
        <v>74.2861321</v>
      </c>
      <c r="AE25" s="71">
        <f t="shared" si="7"/>
        <v>-36.931</v>
      </c>
      <c r="AF25" s="71">
        <f t="shared" si="8"/>
        <v>-94.23902754</v>
      </c>
      <c r="AG25" s="72">
        <f t="shared" si="9"/>
        <v>-9.65389544</v>
      </c>
      <c r="AH25" s="193">
        <f t="shared" si="10"/>
        <v>31.3</v>
      </c>
      <c r="AI25" s="193">
        <f t="shared" si="11"/>
        <v>32.238</v>
      </c>
      <c r="AJ25" s="73">
        <f t="shared" si="12"/>
        <v>32.13291257</v>
      </c>
      <c r="AK25" s="73">
        <f t="shared" si="13"/>
        <v>31.5495238</v>
      </c>
      <c r="AL25" s="11"/>
      <c r="AM25" s="51">
        <f t="shared" si="14"/>
        <v>2575.224071</v>
      </c>
      <c r="AN25" s="51" t="str">
        <f t="array" ref="AN25">XLOOKUP(D25,RUC!$B$3:$B$565,RUC!$M$3:$M$565)</f>
        <v>Richard Sapacayo</v>
      </c>
      <c r="AO25" s="131" t="s">
        <v>547</v>
      </c>
      <c r="AP25" s="57" t="s">
        <v>1964</v>
      </c>
      <c r="AQ25" s="57" t="s">
        <v>1965</v>
      </c>
      <c r="AR25" s="57" t="s">
        <v>1966</v>
      </c>
      <c r="AV25" s="160" t="s">
        <v>547</v>
      </c>
      <c r="AW25" s="6">
        <f t="shared" si="24"/>
        <v>106.108</v>
      </c>
      <c r="AX25" s="6">
        <v>0.339</v>
      </c>
      <c r="AY25" s="58">
        <f t="shared" si="25"/>
        <v>1233.266391</v>
      </c>
      <c r="AZ25" s="58">
        <v>84.72743353703824</v>
      </c>
      <c r="BA25" s="58">
        <f t="shared" si="26"/>
        <v>1044.914962</v>
      </c>
      <c r="BB25" s="454" t="s">
        <v>1971</v>
      </c>
      <c r="BC25" s="455">
        <v>5527.94</v>
      </c>
    </row>
    <row r="26" ht="15.0" customHeight="1">
      <c r="A26" s="116" t="s">
        <v>1972</v>
      </c>
      <c r="B26" s="182">
        <v>45969.0</v>
      </c>
      <c r="C26" s="182">
        <v>45958.0</v>
      </c>
      <c r="D26" s="57" t="s">
        <v>225</v>
      </c>
      <c r="E26" s="3">
        <f t="array" ref="E26">XLOOKUP(D26,RUC!$B$3:$B$110,RUC!$D$3:$D$110)</f>
        <v>10761932735</v>
      </c>
      <c r="G26" s="141">
        <v>99.0</v>
      </c>
      <c r="H26" s="3" t="s">
        <v>47</v>
      </c>
      <c r="I26" s="6">
        <v>8.26</v>
      </c>
      <c r="J26" s="58">
        <v>11.06</v>
      </c>
      <c r="K26" s="6">
        <f t="shared" si="2"/>
        <v>7.346</v>
      </c>
      <c r="L26" s="3">
        <v>0.124</v>
      </c>
      <c r="M26" s="3">
        <v>0.109</v>
      </c>
      <c r="N26" s="75">
        <v>0.187</v>
      </c>
      <c r="O26" s="60">
        <f t="shared" si="16"/>
        <v>0.148</v>
      </c>
      <c r="P26" s="63">
        <v>85.0</v>
      </c>
      <c r="Q26" s="58">
        <v>94.35</v>
      </c>
      <c r="R26" s="65">
        <v>3948.5</v>
      </c>
      <c r="S26" s="66">
        <f t="array" ref="S26">IF((XLOOKUP(D26,RUC!$B$3:$B$106,RUC!$E$3:$E$106)+ROUNDDOWN(O26,1)*100)&lt;95,95,((XLOOKUP(D26,RUC!$B$3:$B$106,RUC!$E$3:$E$106)+ROUNDDOWN(O26,1)*100)))</f>
        <v>100</v>
      </c>
      <c r="U26" s="67">
        <f t="array" ref="U26">XLOOKUP(D26,RUC!$B$3:$B$110,RUC!$F$3:$F$110)</f>
        <v>120</v>
      </c>
      <c r="V26" s="67">
        <v>1.1023</v>
      </c>
      <c r="Y26" s="68"/>
      <c r="Z26" s="69">
        <f t="array" ref="Z26">XLOOKUP(D26,RUC!$B$3:$B$110,RUC!$H$3:$H$110)</f>
        <v>30</v>
      </c>
      <c r="AA26" s="70">
        <f t="shared" si="4"/>
        <v>30</v>
      </c>
      <c r="AB26" s="71">
        <f t="shared" si="5"/>
        <v>387.5965682</v>
      </c>
      <c r="AC26" s="71">
        <f>+(S26-T26)*V26-'data 1'!$F$4</f>
        <v>30.23</v>
      </c>
      <c r="AD26" s="71">
        <f t="shared" si="6"/>
        <v>48.92848345</v>
      </c>
      <c r="AE26" s="71">
        <f t="shared" si="7"/>
        <v>-36.931</v>
      </c>
      <c r="AF26" s="71">
        <f t="shared" si="8"/>
        <v>-95.56120227</v>
      </c>
      <c r="AG26" s="72">
        <f t="shared" si="9"/>
        <v>-36.33371883</v>
      </c>
      <c r="AH26" s="193">
        <f t="shared" si="10"/>
        <v>29.466</v>
      </c>
      <c r="AI26" s="193">
        <f t="shared" si="11"/>
        <v>31.231</v>
      </c>
      <c r="AJ26" s="73">
        <f t="shared" si="12"/>
        <v>37.59256473</v>
      </c>
      <c r="AK26" s="73">
        <f t="shared" si="13"/>
        <v>31.68404595</v>
      </c>
      <c r="AL26" s="11"/>
      <c r="AM26" s="51">
        <f t="shared" si="14"/>
        <v>2847.28439</v>
      </c>
      <c r="AN26" s="51" t="str">
        <f t="array" ref="AN26">XLOOKUP(D26,RUC!$B$3:$B$565,RUC!$M$3:$M$565)</f>
        <v>Richard Sapacayo</v>
      </c>
      <c r="AO26" s="131" t="s">
        <v>558</v>
      </c>
      <c r="AP26" s="57" t="s">
        <v>1964</v>
      </c>
      <c r="AQ26" s="57" t="s">
        <v>1965</v>
      </c>
      <c r="AR26" s="57" t="s">
        <v>1966</v>
      </c>
      <c r="AV26" s="160" t="s">
        <v>549</v>
      </c>
      <c r="AW26" s="6">
        <f t="shared" si="24"/>
        <v>102.423</v>
      </c>
      <c r="AX26" s="6">
        <v>0.178</v>
      </c>
      <c r="AY26" s="58">
        <f t="shared" si="25"/>
        <v>625.0669894</v>
      </c>
      <c r="AZ26" s="58">
        <v>76.44485768280119</v>
      </c>
      <c r="BA26" s="58">
        <f t="shared" si="26"/>
        <v>477.8315705</v>
      </c>
      <c r="BB26" s="454" t="s">
        <v>1973</v>
      </c>
      <c r="BC26" s="455">
        <v>606.223</v>
      </c>
    </row>
    <row r="27" ht="15.0" customHeight="1">
      <c r="A27" s="116" t="s">
        <v>1974</v>
      </c>
      <c r="B27" s="182">
        <v>45965.0</v>
      </c>
      <c r="C27" s="182">
        <v>45959.0</v>
      </c>
      <c r="D27" s="57" t="s">
        <v>602</v>
      </c>
      <c r="E27" s="3">
        <f t="array" ref="E27">XLOOKUP(D27,RUC!$B$3:$B$110,RUC!$D$3:$D$110)</f>
        <v>20169040231</v>
      </c>
      <c r="G27" s="141">
        <v>50.0</v>
      </c>
      <c r="H27" s="3" t="s">
        <v>47</v>
      </c>
      <c r="I27" s="6">
        <v>4.41</v>
      </c>
      <c r="J27" s="58">
        <v>1.3</v>
      </c>
      <c r="K27" s="6">
        <f t="shared" si="2"/>
        <v>4.353</v>
      </c>
      <c r="L27" s="3">
        <v>0.657</v>
      </c>
      <c r="M27" s="3">
        <v>0.624</v>
      </c>
      <c r="N27" s="62">
        <f>+M27</f>
        <v>0.624</v>
      </c>
      <c r="O27" s="60">
        <f t="shared" si="16"/>
        <v>0.624</v>
      </c>
      <c r="P27" s="63">
        <v>90.0</v>
      </c>
      <c r="Q27" s="58">
        <v>92.39</v>
      </c>
      <c r="R27" s="65">
        <v>4006.7</v>
      </c>
      <c r="S27" s="66">
        <f t="array" ref="S27">IF((XLOOKUP(D27,RUC!$B$3:$B$106,RUC!$E$3:$E$106)+ROUNDDOWN(O27,1)*100)&lt;95,95,((XLOOKUP(D27,RUC!$B$3:$B$106,RUC!$E$3:$E$106)+ROUNDDOWN(O27,1)*100)))</f>
        <v>145</v>
      </c>
      <c r="U27" s="67">
        <f t="array" ref="U27">XLOOKUP(D27,RUC!$B$3:$B$110,RUC!$F$3:$F$110)</f>
        <v>120</v>
      </c>
      <c r="V27" s="67">
        <v>1.1023</v>
      </c>
      <c r="Y27" s="57">
        <f t="array" ref="Y27">XLOOKUP(D27,RUC!$B$3:$B$110,RUC!$G$3:$G$110)</f>
        <v>20</v>
      </c>
      <c r="Z27" s="140">
        <v>35.0</v>
      </c>
      <c r="AA27" s="70">
        <f t="shared" si="4"/>
        <v>55</v>
      </c>
      <c r="AB27" s="71">
        <f t="shared" si="5"/>
        <v>2185.608165</v>
      </c>
      <c r="AC27" s="71">
        <f>+(S27-T27)*V27-'data 1'!$F$4</f>
        <v>79.8335</v>
      </c>
      <c r="AD27" s="71">
        <f t="shared" si="6"/>
        <v>67.27351165</v>
      </c>
      <c r="AE27" s="71">
        <f t="shared" si="7"/>
        <v>-9.3735</v>
      </c>
      <c r="AF27" s="71">
        <f t="shared" si="8"/>
        <v>130.6230243</v>
      </c>
      <c r="AG27" s="72">
        <f t="shared" si="9"/>
        <v>285.356536</v>
      </c>
      <c r="AH27" s="193">
        <f t="shared" si="10"/>
        <v>90.592</v>
      </c>
      <c r="AI27" s="193">
        <f t="shared" si="11"/>
        <v>98.054</v>
      </c>
      <c r="AJ27" s="73">
        <f t="shared" si="12"/>
        <v>156.1007116</v>
      </c>
      <c r="AK27" s="73">
        <f t="shared" si="13"/>
        <v>83.81559561</v>
      </c>
      <c r="AL27" s="11"/>
      <c r="AM27" s="51">
        <f t="shared" si="14"/>
        <v>9513.952341</v>
      </c>
      <c r="AN27" s="51" t="str">
        <f t="array" ref="AN27">XLOOKUP(D27,RUC!$B$3:$B$565,RUC!$M$3:$M$565)</f>
        <v>Ronald Miranda</v>
      </c>
      <c r="AO27" s="131" t="s">
        <v>558</v>
      </c>
      <c r="AP27" s="57" t="s">
        <v>1919</v>
      </c>
      <c r="AQ27" s="57" t="s">
        <v>1107</v>
      </c>
      <c r="AV27" s="160" t="s">
        <v>561</v>
      </c>
      <c r="AW27" s="6">
        <f t="shared" si="24"/>
        <v>0</v>
      </c>
      <c r="AX27" s="6"/>
      <c r="AY27" s="58">
        <f t="shared" si="25"/>
        <v>0</v>
      </c>
      <c r="AZ27" s="58"/>
      <c r="BA27" s="58">
        <f t="shared" si="26"/>
        <v>0</v>
      </c>
      <c r="BB27" s="454" t="s">
        <v>1975</v>
      </c>
      <c r="BC27" s="455">
        <v>149.252</v>
      </c>
    </row>
    <row r="28" ht="15.0" customHeight="1">
      <c r="A28" s="116" t="s">
        <v>1976</v>
      </c>
      <c r="B28" s="182">
        <v>45966.0</v>
      </c>
      <c r="C28" s="182">
        <v>45959.0</v>
      </c>
      <c r="D28" s="57" t="s">
        <v>665</v>
      </c>
      <c r="E28" s="3">
        <f t="array" ref="E28">XLOOKUP(D28,RUC!$B$3:$B$110,RUC!$D$3:$D$110)</f>
        <v>20608774000</v>
      </c>
      <c r="G28" s="141">
        <v>90.0</v>
      </c>
      <c r="H28" s="3" t="s">
        <v>47</v>
      </c>
      <c r="I28" s="6">
        <v>8.73</v>
      </c>
      <c r="J28" s="58">
        <v>1.5</v>
      </c>
      <c r="K28" s="6">
        <f t="shared" si="2"/>
        <v>8.599</v>
      </c>
      <c r="L28" s="3">
        <v>0.175</v>
      </c>
      <c r="M28" s="60">
        <v>0.16</v>
      </c>
      <c r="N28" s="75">
        <v>0.252</v>
      </c>
      <c r="O28" s="60">
        <f t="shared" si="16"/>
        <v>0.206</v>
      </c>
      <c r="P28" s="63">
        <v>90.0</v>
      </c>
      <c r="Q28" s="58">
        <v>96.0</v>
      </c>
      <c r="R28" s="65">
        <v>4006.7</v>
      </c>
      <c r="S28" s="66">
        <f t="array" ref="S28">IF((XLOOKUP(D28,RUC!$B$3:$B$106,RUC!$E$3:$E$106)+ROUNDDOWN(O28,1)*100)&lt;95,95,((XLOOKUP(D28,RUC!$B$3:$B$106,RUC!$E$3:$E$106)+ROUNDDOWN(O28,1)*100)))</f>
        <v>105</v>
      </c>
      <c r="U28" s="67">
        <f t="array" ref="U28">XLOOKUP(D28,RUC!$B$3:$B$110,RUC!$F$3:$F$110)</f>
        <v>120</v>
      </c>
      <c r="V28" s="67">
        <v>1.1023</v>
      </c>
      <c r="Y28" s="57">
        <v>40.0</v>
      </c>
      <c r="Z28" s="140">
        <v>35.0</v>
      </c>
      <c r="AA28" s="70">
        <f t="shared" si="4"/>
        <v>75</v>
      </c>
      <c r="AB28" s="71">
        <f t="shared" si="5"/>
        <v>595.8969646</v>
      </c>
      <c r="AC28" s="71">
        <f>+(S28-T28)*V28-'data 1'!$F$4</f>
        <v>35.7415</v>
      </c>
      <c r="AD28" s="71">
        <f t="shared" si="6"/>
        <v>44.98524881</v>
      </c>
      <c r="AE28" s="71">
        <f t="shared" si="7"/>
        <v>12.6725</v>
      </c>
      <c r="AF28" s="71">
        <f t="shared" si="8"/>
        <v>-127.501048</v>
      </c>
      <c r="AG28" s="72">
        <f t="shared" si="9"/>
        <v>-17.10179924</v>
      </c>
      <c r="AH28" s="193">
        <f t="shared" si="10"/>
        <v>49.53</v>
      </c>
      <c r="AI28" s="193">
        <f t="shared" si="11"/>
        <v>51.594</v>
      </c>
      <c r="AJ28" s="73">
        <f t="shared" si="12"/>
        <v>43.20398712</v>
      </c>
      <c r="AK28" s="73">
        <f t="shared" si="13"/>
        <v>54.65963761</v>
      </c>
      <c r="AL28" s="11"/>
      <c r="AM28" s="51">
        <f t="shared" si="14"/>
        <v>5124.117999</v>
      </c>
      <c r="AN28" s="51" t="str">
        <f t="array" ref="AN28">XLOOKUP(D28,RUC!$B$3:$B$565,RUC!$M$3:$M$565)</f>
        <v>Ronald Miranda</v>
      </c>
      <c r="AO28" s="131" t="s">
        <v>547</v>
      </c>
      <c r="AP28" s="57" t="s">
        <v>1977</v>
      </c>
      <c r="AQ28" s="57" t="s">
        <v>1978</v>
      </c>
      <c r="AR28" s="2" t="s">
        <v>1921</v>
      </c>
      <c r="AV28" s="160" t="s">
        <v>689</v>
      </c>
      <c r="AW28" s="6">
        <f t="shared" si="24"/>
        <v>0</v>
      </c>
      <c r="AX28" s="2"/>
      <c r="AY28" s="58">
        <f t="shared" si="25"/>
        <v>0</v>
      </c>
      <c r="AZ28" s="2"/>
      <c r="BA28" s="58">
        <f t="shared" si="26"/>
        <v>0</v>
      </c>
      <c r="BB28" s="456" t="s">
        <v>1206</v>
      </c>
      <c r="BC28" s="457">
        <f>-BC23-BC24+BC25+BC26+BC27</f>
        <v>190.33</v>
      </c>
    </row>
    <row r="29" ht="15.0" customHeight="1">
      <c r="A29" s="116" t="s">
        <v>1979</v>
      </c>
      <c r="B29" s="182">
        <v>45969.0</v>
      </c>
      <c r="C29" s="182">
        <v>45959.0</v>
      </c>
      <c r="D29" s="57" t="s">
        <v>225</v>
      </c>
      <c r="E29" s="3">
        <f t="array" ref="E29">XLOOKUP(D29,RUC!$B$3:$B$110,RUC!$D$3:$D$110)</f>
        <v>10761932735</v>
      </c>
      <c r="G29" s="141" t="s">
        <v>735</v>
      </c>
      <c r="H29" s="3" t="s">
        <v>47</v>
      </c>
      <c r="I29" s="6">
        <v>22.15</v>
      </c>
      <c r="J29" s="58">
        <v>7.85</v>
      </c>
      <c r="K29" s="6">
        <f t="shared" si="2"/>
        <v>20.411</v>
      </c>
      <c r="L29" s="3">
        <v>0.121</v>
      </c>
      <c r="M29" s="3">
        <v>0.106</v>
      </c>
      <c r="N29" s="62">
        <f t="shared" ref="N29:N39" si="27">+M29</f>
        <v>0.106</v>
      </c>
      <c r="O29" s="60">
        <f t="shared" si="16"/>
        <v>0.106</v>
      </c>
      <c r="P29" s="63">
        <v>80.0</v>
      </c>
      <c r="Q29" s="58">
        <v>97.52</v>
      </c>
      <c r="R29" s="65">
        <v>4006.7</v>
      </c>
      <c r="S29" s="66">
        <f t="array" ref="S29">IF((XLOOKUP(D29,RUC!$B$3:$B$106,RUC!$E$3:$E$106)+ROUNDDOWN(O29,1)*100)&lt;95,95,((XLOOKUP(D29,RUC!$B$3:$B$106,RUC!$E$3:$E$106)+ROUNDDOWN(O29,1)*100)))</f>
        <v>100</v>
      </c>
      <c r="U29" s="67">
        <f t="array" ref="U29">XLOOKUP(D29,RUC!$B$3:$B$110,RUC!$F$3:$F$110)</f>
        <v>120</v>
      </c>
      <c r="V29" s="67">
        <v>1.1023</v>
      </c>
      <c r="Y29" s="57">
        <v>0.0</v>
      </c>
      <c r="Z29" s="69">
        <f t="array" ref="Z29">XLOOKUP(D29,RUC!$B$3:$B$110,RUC!$H$3:$H$110)</f>
        <v>30</v>
      </c>
      <c r="AA29" s="70">
        <f t="shared" si="4"/>
        <v>30</v>
      </c>
      <c r="AB29" s="71">
        <f t="shared" si="5"/>
        <v>220.010438</v>
      </c>
      <c r="AC29" s="71">
        <f>+(S29-T29)*V29-'data 1'!$F$4</f>
        <v>30.23</v>
      </c>
      <c r="AD29" s="71">
        <f t="shared" si="6"/>
        <v>90.82393204</v>
      </c>
      <c r="AE29" s="71">
        <f t="shared" si="7"/>
        <v>-36.931</v>
      </c>
      <c r="AF29" s="71">
        <f t="shared" si="8"/>
        <v>62.67087805</v>
      </c>
      <c r="AG29" s="72">
        <f t="shared" si="9"/>
        <v>163.7938101</v>
      </c>
      <c r="AH29" s="193">
        <f t="shared" si="10"/>
        <v>82.576</v>
      </c>
      <c r="AI29" s="193">
        <f t="shared" si="11"/>
        <v>84.676</v>
      </c>
      <c r="AJ29" s="73">
        <f t="shared" si="12"/>
        <v>30.34545189</v>
      </c>
      <c r="AK29" s="73">
        <f t="shared" si="13"/>
        <v>59.34295991</v>
      </c>
      <c r="AL29" s="11"/>
      <c r="AM29" s="51">
        <f t="shared" si="14"/>
        <v>4490.633049</v>
      </c>
      <c r="AN29" s="51" t="str">
        <f t="array" ref="AN29">XLOOKUP(D29,RUC!$B$3:$B$565,RUC!$M$3:$M$565)</f>
        <v>Richard Sapacayo</v>
      </c>
      <c r="AO29" s="131" t="s">
        <v>547</v>
      </c>
      <c r="AP29" s="57" t="s">
        <v>1980</v>
      </c>
      <c r="AQ29" s="57" t="s">
        <v>1981</v>
      </c>
      <c r="AV29" s="160" t="s">
        <v>690</v>
      </c>
      <c r="AW29" s="6">
        <f t="shared" si="24"/>
        <v>0</v>
      </c>
      <c r="AX29" s="2"/>
      <c r="AY29" s="58">
        <f t="shared" si="25"/>
        <v>0</v>
      </c>
      <c r="AZ29" s="2"/>
      <c r="BA29" s="162">
        <f t="shared" si="26"/>
        <v>0</v>
      </c>
    </row>
    <row r="30" ht="15.0" customHeight="1">
      <c r="A30" s="116" t="s">
        <v>1982</v>
      </c>
      <c r="B30" s="182">
        <v>45969.0</v>
      </c>
      <c r="C30" s="182">
        <v>45960.0</v>
      </c>
      <c r="D30" s="57" t="s">
        <v>602</v>
      </c>
      <c r="E30" s="3">
        <f t="array" ref="E30">XLOOKUP(D30,RUC!$B$3:$B$110,RUC!$D$3:$D$110)</f>
        <v>20169040231</v>
      </c>
      <c r="G30" s="141">
        <v>16.0</v>
      </c>
      <c r="H30" s="3" t="s">
        <v>47</v>
      </c>
      <c r="I30" s="6">
        <v>1.4</v>
      </c>
      <c r="J30" s="58">
        <v>1.2</v>
      </c>
      <c r="K30" s="6">
        <f t="shared" si="2"/>
        <v>1.383</v>
      </c>
      <c r="L30" s="3">
        <v>0.553</v>
      </c>
      <c r="M30" s="3">
        <v>0.525</v>
      </c>
      <c r="N30" s="62">
        <f t="shared" si="27"/>
        <v>0.525</v>
      </c>
      <c r="O30" s="60">
        <f t="shared" si="16"/>
        <v>0.525</v>
      </c>
      <c r="P30" s="63">
        <v>90.0</v>
      </c>
      <c r="Q30" s="58">
        <v>89.69</v>
      </c>
      <c r="R30" s="65">
        <v>3994.15</v>
      </c>
      <c r="S30" s="66">
        <f t="array" ref="S30">IF((XLOOKUP(D30,RUC!$B$3:$B$106,RUC!$E$3:$E$106)+ROUNDDOWN(O30,1)*100)&lt;95,95,((XLOOKUP(D30,RUC!$B$3:$B$106,RUC!$E$3:$E$106)+ROUNDDOWN(O30,1)*100)))</f>
        <v>135</v>
      </c>
      <c r="U30" s="67">
        <f t="array" ref="U30">XLOOKUP(D30,RUC!$B$3:$B$110,RUC!$F$3:$F$110)</f>
        <v>120</v>
      </c>
      <c r="V30" s="67">
        <v>1.1023</v>
      </c>
      <c r="Y30" s="68">
        <v>35.0</v>
      </c>
      <c r="Z30" s="140">
        <v>35.0</v>
      </c>
      <c r="AA30" s="70">
        <f t="shared" si="4"/>
        <v>70</v>
      </c>
      <c r="AB30" s="71">
        <f t="shared" si="5"/>
        <v>1791.828195</v>
      </c>
      <c r="AC30" s="71">
        <f>+(S30-T30)*V30-'data 1'!$F$4</f>
        <v>68.8105</v>
      </c>
      <c r="AD30" s="71">
        <f t="shared" si="6"/>
        <v>-7.320876227</v>
      </c>
      <c r="AE30" s="71">
        <f t="shared" si="7"/>
        <v>7.161</v>
      </c>
      <c r="AF30" s="71">
        <f t="shared" si="8"/>
        <v>107.2453065</v>
      </c>
      <c r="AG30" s="72">
        <f t="shared" si="9"/>
        <v>192.8959302</v>
      </c>
      <c r="AH30" s="193">
        <f t="shared" si="10"/>
        <v>23.518</v>
      </c>
      <c r="AI30" s="193">
        <f t="shared" si="11"/>
        <v>26.221</v>
      </c>
      <c r="AJ30" s="73">
        <f t="shared" si="12"/>
        <v>134.4123504</v>
      </c>
      <c r="AK30" s="73">
        <f t="shared" si="13"/>
        <v>22.40438682</v>
      </c>
      <c r="AL30" s="11"/>
      <c r="AM30" s="51">
        <f t="shared" si="14"/>
        <v>2478.098394</v>
      </c>
      <c r="AN30" s="51" t="str">
        <f t="array" ref="AN30">XLOOKUP(D30,RUC!$B$3:$B$565,RUC!$M$3:$M$565)</f>
        <v>Ronald Miranda</v>
      </c>
      <c r="AO30" s="131" t="s">
        <v>547</v>
      </c>
      <c r="AP30" s="57" t="s">
        <v>1925</v>
      </c>
      <c r="AQ30" s="57" t="s">
        <v>1926</v>
      </c>
      <c r="AV30" s="160" t="s">
        <v>691</v>
      </c>
      <c r="AW30" s="6">
        <f t="shared" si="24"/>
        <v>0</v>
      </c>
      <c r="AX30" s="2"/>
      <c r="AY30" s="58">
        <f t="shared" si="25"/>
        <v>0</v>
      </c>
      <c r="AZ30" s="2"/>
      <c r="BA30" s="162">
        <f t="shared" si="26"/>
        <v>0</v>
      </c>
    </row>
    <row r="31" ht="15.0" customHeight="1">
      <c r="A31" s="116" t="s">
        <v>1983</v>
      </c>
      <c r="B31" s="182">
        <v>45965.0</v>
      </c>
      <c r="C31" s="182">
        <v>45960.0</v>
      </c>
      <c r="D31" s="57" t="s">
        <v>665</v>
      </c>
      <c r="E31" s="3">
        <f t="array" ref="E31">XLOOKUP(D31,RUC!$B$3:$B$110,RUC!$D$3:$D$110)</f>
        <v>20608774000</v>
      </c>
      <c r="G31" s="141">
        <v>40.0</v>
      </c>
      <c r="H31" s="3" t="s">
        <v>47</v>
      </c>
      <c r="I31" s="6">
        <v>3.77</v>
      </c>
      <c r="J31" s="58">
        <v>1.3</v>
      </c>
      <c r="K31" s="6">
        <f t="shared" si="2"/>
        <v>3.721</v>
      </c>
      <c r="L31" s="3">
        <v>0.586</v>
      </c>
      <c r="M31" s="3">
        <v>0.557</v>
      </c>
      <c r="N31" s="62">
        <f t="shared" si="27"/>
        <v>0.557</v>
      </c>
      <c r="O31" s="60">
        <f t="shared" si="16"/>
        <v>0.557</v>
      </c>
      <c r="P31" s="63">
        <v>90.0</v>
      </c>
      <c r="Q31" s="58">
        <v>92.83</v>
      </c>
      <c r="R31" s="65">
        <v>3994.15</v>
      </c>
      <c r="S31" s="66">
        <f t="array" ref="S31">IF((XLOOKUP(D31,RUC!$B$3:$B$106,RUC!$E$3:$E$106)+ROUNDDOWN(O31,1)*100)&lt;95,95,((XLOOKUP(D31,RUC!$B$3:$B$106,RUC!$E$3:$E$106)+ROUNDDOWN(O31,1)*100)))</f>
        <v>135</v>
      </c>
      <c r="U31" s="67">
        <f t="array" ref="U31">XLOOKUP(D31,RUC!$B$3:$B$110,RUC!$F$3:$F$110)</f>
        <v>120</v>
      </c>
      <c r="V31" s="67">
        <v>1.1023</v>
      </c>
      <c r="Y31" s="57">
        <f t="array" ref="Y31">XLOOKUP(D31,RUC!$B$3:$B$110,RUC!$G$3:$G$110)</f>
        <v>20</v>
      </c>
      <c r="Z31" s="140">
        <v>35.0</v>
      </c>
      <c r="AA31" s="70">
        <f t="shared" si="4"/>
        <v>55</v>
      </c>
      <c r="AB31" s="71">
        <f t="shared" si="5"/>
        <v>1931.352391</v>
      </c>
      <c r="AC31" s="71">
        <f>+(S31-T31)*V31-'data 1'!$F$4</f>
        <v>68.8105</v>
      </c>
      <c r="AD31" s="71">
        <f t="shared" si="6"/>
        <v>70.82071234</v>
      </c>
      <c r="AE31" s="71">
        <f t="shared" si="7"/>
        <v>-9.3735</v>
      </c>
      <c r="AF31" s="71">
        <f t="shared" si="8"/>
        <v>114.964191</v>
      </c>
      <c r="AG31" s="72">
        <f t="shared" si="9"/>
        <v>262.2219033</v>
      </c>
      <c r="AH31" s="193">
        <f t="shared" si="10"/>
        <v>69.399</v>
      </c>
      <c r="AI31" s="193">
        <f t="shared" si="11"/>
        <v>74.759</v>
      </c>
      <c r="AJ31" s="73">
        <f t="shared" si="12"/>
        <v>147.4198573</v>
      </c>
      <c r="AK31" s="73">
        <f t="shared" si="13"/>
        <v>63.95381317</v>
      </c>
      <c r="AL31" s="11"/>
      <c r="AM31" s="51">
        <f t="shared" si="14"/>
        <v>7186.562246</v>
      </c>
      <c r="AN31" s="51" t="str">
        <f t="array" ref="AN31">XLOOKUP(D31,RUC!$B$3:$B$565,RUC!$M$3:$M$565)</f>
        <v>Ronald Miranda</v>
      </c>
      <c r="AO31" s="131" t="s">
        <v>558</v>
      </c>
      <c r="AP31" s="57" t="s">
        <v>1984</v>
      </c>
      <c r="AQ31" s="57" t="s">
        <v>1985</v>
      </c>
      <c r="AV31" s="160" t="s">
        <v>692</v>
      </c>
      <c r="AW31" s="6">
        <f t="shared" si="24"/>
        <v>0</v>
      </c>
      <c r="AX31" s="2"/>
      <c r="AY31" s="58">
        <f t="shared" si="25"/>
        <v>0</v>
      </c>
      <c r="AZ31" s="2"/>
      <c r="BA31" s="162">
        <f t="shared" si="26"/>
        <v>0</v>
      </c>
    </row>
    <row r="32" ht="15.0" customHeight="1">
      <c r="A32" s="192" t="s">
        <v>1986</v>
      </c>
      <c r="B32" s="453">
        <v>45966.0</v>
      </c>
      <c r="C32" s="182">
        <v>45960.0</v>
      </c>
      <c r="D32" s="57" t="s">
        <v>602</v>
      </c>
      <c r="E32" s="3">
        <f t="array" ref="E32">XLOOKUP(D32,RUC!$B$3:$B$110,RUC!$D$3:$D$110)</f>
        <v>20169040231</v>
      </c>
      <c r="G32" s="141">
        <v>100.0</v>
      </c>
      <c r="H32" s="3" t="s">
        <v>47</v>
      </c>
      <c r="I32" s="6">
        <v>10.27</v>
      </c>
      <c r="J32" s="58">
        <v>6.0</v>
      </c>
      <c r="K32" s="6">
        <f t="shared" si="2"/>
        <v>9.654</v>
      </c>
      <c r="L32" s="3">
        <v>0.039</v>
      </c>
      <c r="M32" s="3">
        <v>0.024</v>
      </c>
      <c r="N32" s="62">
        <f t="shared" si="27"/>
        <v>0.024</v>
      </c>
      <c r="O32" s="60">
        <f t="shared" si="16"/>
        <v>0.024</v>
      </c>
      <c r="P32" s="63">
        <v>80.0</v>
      </c>
      <c r="Q32" s="58">
        <v>92.31</v>
      </c>
      <c r="R32" s="65">
        <v>3994.15</v>
      </c>
      <c r="S32" s="66">
        <f t="array" ref="S32">IF((XLOOKUP(D32,RUC!$B$3:$B$106,RUC!$E$3:$E$106)+ROUNDDOWN(O32,1)*100)&lt;95,95,((XLOOKUP(D32,RUC!$B$3:$B$106,RUC!$E$3:$E$106)+ROUNDDOWN(O32,1)*100)))</f>
        <v>95</v>
      </c>
      <c r="U32" s="67">
        <f t="array" ref="U32">XLOOKUP(D32,RUC!$B$3:$B$110,RUC!$F$3:$F$110)</f>
        <v>120</v>
      </c>
      <c r="V32" s="67">
        <v>1.1023</v>
      </c>
      <c r="Y32" s="57">
        <f t="array" ref="Y32">XLOOKUP(D32,RUC!$B$3:$B$110,RUC!$G$3:$G$110)</f>
        <v>20</v>
      </c>
      <c r="Z32" s="69">
        <f t="array" ref="Z32">XLOOKUP(D32,RUC!$B$3:$B$110,RUC!$H$3:$H$110)</f>
        <v>30</v>
      </c>
      <c r="AA32" s="70">
        <f t="shared" si="4"/>
        <v>50</v>
      </c>
      <c r="AB32" s="447">
        <v>0.001</v>
      </c>
      <c r="AC32" s="71">
        <f>+(S32-T32)*V32-'data 1'!$F$4</f>
        <v>24.7185</v>
      </c>
      <c r="AD32" s="71">
        <f t="shared" si="6"/>
        <v>20.50212604</v>
      </c>
      <c r="AE32" s="71">
        <f t="shared" si="7"/>
        <v>-14.885</v>
      </c>
      <c r="AF32" s="71">
        <f t="shared" si="8"/>
        <v>59.13113963</v>
      </c>
      <c r="AG32" s="72">
        <f>AC32+AD32+AE32+AF32+70-53-74</f>
        <v>32.46676568</v>
      </c>
      <c r="AH32" s="193">
        <f t="shared" si="10"/>
        <v>11.916</v>
      </c>
      <c r="AI32" s="193">
        <f t="shared" si="11"/>
        <v>12.909</v>
      </c>
      <c r="AJ32" s="73">
        <f t="shared" si="12"/>
        <v>9.75626028</v>
      </c>
      <c r="AK32" s="73">
        <f t="shared" si="13"/>
        <v>6.355029816</v>
      </c>
      <c r="AL32" s="11"/>
      <c r="AM32" s="51">
        <f t="shared" si="14"/>
        <v>0.009654</v>
      </c>
      <c r="AN32" s="51" t="str">
        <f t="array" ref="AN32">XLOOKUP(D32,RUC!$B$3:$B$565,RUC!$M$3:$M$565)</f>
        <v>Ronald Miranda</v>
      </c>
      <c r="AO32" s="131" t="s">
        <v>551</v>
      </c>
      <c r="AP32" s="57" t="s">
        <v>1925</v>
      </c>
      <c r="AQ32" s="57" t="s">
        <v>1926</v>
      </c>
      <c r="AV32" s="163" t="s">
        <v>693</v>
      </c>
      <c r="AW32" s="165">
        <f t="shared" si="24"/>
        <v>0</v>
      </c>
      <c r="AX32" s="170"/>
      <c r="AY32" s="168">
        <f t="shared" si="25"/>
        <v>0</v>
      </c>
      <c r="AZ32" s="170"/>
      <c r="BA32" s="171">
        <f t="shared" si="26"/>
        <v>0</v>
      </c>
    </row>
    <row r="33" ht="15.0" customHeight="1">
      <c r="A33" s="116" t="s">
        <v>1987</v>
      </c>
      <c r="B33" s="182">
        <v>45967.0</v>
      </c>
      <c r="C33" s="182">
        <v>45962.0</v>
      </c>
      <c r="D33" s="57" t="s">
        <v>146</v>
      </c>
      <c r="E33" s="3">
        <f t="array" ref="E33">XLOOKUP(D33,RUC!$B$3:$B$110,RUC!$D$3:$D$110)</f>
        <v>20517242919</v>
      </c>
      <c r="G33" s="141">
        <v>39.0</v>
      </c>
      <c r="H33" s="3" t="s">
        <v>47</v>
      </c>
      <c r="I33" s="6">
        <v>3.45</v>
      </c>
      <c r="J33" s="58">
        <v>1.5</v>
      </c>
      <c r="K33" s="6">
        <f t="shared" si="2"/>
        <v>3.398</v>
      </c>
      <c r="L33" s="139">
        <v>0.147</v>
      </c>
      <c r="M33" s="60">
        <v>0.14</v>
      </c>
      <c r="N33" s="62">
        <f t="shared" si="27"/>
        <v>0.14</v>
      </c>
      <c r="O33" s="60">
        <f t="shared" si="16"/>
        <v>0.14</v>
      </c>
      <c r="P33" s="63">
        <v>85.0</v>
      </c>
      <c r="Q33" s="58">
        <v>95.92</v>
      </c>
      <c r="R33" s="65">
        <v>4013.2</v>
      </c>
      <c r="S33" s="66">
        <f t="array" ref="S33">IF((XLOOKUP(D33,RUC!$B$3:$B$106,RUC!$E$3:$E$106)+ROUNDDOWN(O33,1)*100)&lt;95,95,((XLOOKUP(D33,RUC!$B$3:$B$106,RUC!$E$3:$E$106)+ROUNDDOWN(O33,1)*100)))</f>
        <v>95</v>
      </c>
      <c r="U33" s="67">
        <f t="array" ref="U33">XLOOKUP(D33,RUC!$B$3:$B$110,RUC!$F$3:$F$110)</f>
        <v>80</v>
      </c>
      <c r="V33" s="67">
        <v>1.1023</v>
      </c>
      <c r="Y33" s="57" t="str">
        <f t="array" ref="Y33">XLOOKUP(D33,RUC!$B$3:$B$110,RUC!$G$3:$G$110)</f>
        <v/>
      </c>
      <c r="Z33" s="69">
        <f t="array" ref="Z33">XLOOKUP(D33,RUC!$B$3:$B$110,RUC!$H$3:$H$110)</f>
        <v>10</v>
      </c>
      <c r="AA33" s="70">
        <f t="shared" si="4"/>
        <v>10</v>
      </c>
      <c r="AB33" s="71">
        <f t="shared" ref="AB33:AB38" si="28">+((O33*P33*(R33-U33)/100)-S33-AA33+T33)*V33</f>
        <v>400.1908968</v>
      </c>
      <c r="AC33" s="71">
        <f>+(S33-T33)*V33-'data 1'!$F$4</f>
        <v>24.7185</v>
      </c>
      <c r="AD33" s="71">
        <f t="shared" si="6"/>
        <v>69.59624544</v>
      </c>
      <c r="AE33" s="71">
        <f t="shared" si="7"/>
        <v>-58.977</v>
      </c>
      <c r="AF33" s="71">
        <f t="shared" si="8"/>
        <v>29.11072677</v>
      </c>
      <c r="AG33" s="72">
        <f t="shared" ref="AG33:AG37" si="29">AC33+AD33+AE33+AF33+70</f>
        <v>134.4484722</v>
      </c>
      <c r="AH33" s="193">
        <f t="shared" si="10"/>
        <v>16.427</v>
      </c>
      <c r="AI33" s="193">
        <f t="shared" si="11"/>
        <v>17.126</v>
      </c>
      <c r="AJ33" s="73">
        <f t="shared" si="12"/>
        <v>29.03375342</v>
      </c>
      <c r="AK33" s="73">
        <f t="shared" si="13"/>
        <v>13.86370808</v>
      </c>
      <c r="AL33" s="11"/>
      <c r="AM33" s="51">
        <f t="shared" si="14"/>
        <v>1359.848667</v>
      </c>
      <c r="AN33" s="51" t="str">
        <f t="array" ref="AN33">XLOOKUP(D33,RUC!$B$3:$B$565,RUC!$M$3:$M$565)</f>
        <v>Melchor Vera</v>
      </c>
      <c r="AO33" s="131" t="s">
        <v>551</v>
      </c>
      <c r="AP33" s="57" t="s">
        <v>1988</v>
      </c>
      <c r="AQ33" s="57" t="s">
        <v>1989</v>
      </c>
    </row>
    <row r="34" ht="15.0" customHeight="1">
      <c r="A34" s="116" t="s">
        <v>1990</v>
      </c>
      <c r="B34" s="182">
        <v>45967.0</v>
      </c>
      <c r="C34" s="182">
        <v>45962.0</v>
      </c>
      <c r="D34" s="57" t="s">
        <v>146</v>
      </c>
      <c r="E34" s="3">
        <f t="array" ref="E34">XLOOKUP(D34,RUC!$B$3:$B$110,RUC!$D$3:$D$110)</f>
        <v>20517242919</v>
      </c>
      <c r="G34" s="141">
        <v>35.0</v>
      </c>
      <c r="H34" s="3" t="s">
        <v>47</v>
      </c>
      <c r="I34" s="6">
        <v>2.89</v>
      </c>
      <c r="J34" s="58">
        <v>1.55</v>
      </c>
      <c r="K34" s="6">
        <f t="shared" si="2"/>
        <v>2.845</v>
      </c>
      <c r="L34" s="139">
        <v>0.201</v>
      </c>
      <c r="M34" s="3">
        <v>0.194</v>
      </c>
      <c r="N34" s="62">
        <f t="shared" si="27"/>
        <v>0.194</v>
      </c>
      <c r="O34" s="60">
        <f t="shared" si="16"/>
        <v>0.194</v>
      </c>
      <c r="P34" s="63">
        <v>85.0</v>
      </c>
      <c r="Q34" s="58">
        <v>97.01</v>
      </c>
      <c r="R34" s="65">
        <v>4013.2</v>
      </c>
      <c r="S34" s="66">
        <f t="array" ref="S34">IF((XLOOKUP(D34,RUC!$B$3:$B$106,RUC!$E$3:$E$106)+ROUNDDOWN(O34,1)*100)&lt;95,95,((XLOOKUP(D34,RUC!$B$3:$B$106,RUC!$E$3:$E$106)+ROUNDDOWN(O34,1)*100)))</f>
        <v>95</v>
      </c>
      <c r="U34" s="67">
        <f t="array" ref="U34">XLOOKUP(D34,RUC!$B$3:$B$110,RUC!$F$3:$F$110)</f>
        <v>80</v>
      </c>
      <c r="V34" s="67">
        <v>1.1023</v>
      </c>
      <c r="Y34" s="57" t="str">
        <f t="array" ref="Y34">XLOOKUP(D34,RUC!$B$3:$B$110,RUC!$G$3:$G$110)</f>
        <v/>
      </c>
      <c r="Z34" s="69">
        <f t="array" ref="Z34">XLOOKUP(D34,RUC!$B$3:$B$110,RUC!$H$3:$H$110)</f>
        <v>10</v>
      </c>
      <c r="AA34" s="70">
        <f t="shared" si="4"/>
        <v>10</v>
      </c>
      <c r="AB34" s="71">
        <f t="shared" si="28"/>
        <v>599.1933928</v>
      </c>
      <c r="AC34" s="71">
        <f>+(S34-T34)*V34-'data 1'!$F$4</f>
        <v>24.7185</v>
      </c>
      <c r="AD34" s="71">
        <f t="shared" si="6"/>
        <v>104.6610055</v>
      </c>
      <c r="AE34" s="71">
        <f t="shared" si="7"/>
        <v>-58.977</v>
      </c>
      <c r="AF34" s="71">
        <f t="shared" si="8"/>
        <v>29.44153048</v>
      </c>
      <c r="AG34" s="72">
        <f t="shared" si="29"/>
        <v>169.844036</v>
      </c>
      <c r="AH34" s="193">
        <f t="shared" si="10"/>
        <v>19.02</v>
      </c>
      <c r="AI34" s="193">
        <f t="shared" si="11"/>
        <v>19.606</v>
      </c>
      <c r="AJ34" s="73">
        <f t="shared" si="12"/>
        <v>40.15034129</v>
      </c>
      <c r="AK34" s="73">
        <f t="shared" si="13"/>
        <v>16.08466409</v>
      </c>
      <c r="AL34" s="11"/>
      <c r="AM34" s="51">
        <f t="shared" si="14"/>
        <v>1704.705202</v>
      </c>
      <c r="AN34" s="51" t="str">
        <f t="array" ref="AN34">XLOOKUP(D34,RUC!$B$3:$B$565,RUC!$M$3:$M$565)</f>
        <v>Melchor Vera</v>
      </c>
      <c r="AO34" s="131" t="s">
        <v>558</v>
      </c>
      <c r="AP34" s="57" t="s">
        <v>1988</v>
      </c>
      <c r="AQ34" s="57" t="s">
        <v>1989</v>
      </c>
    </row>
    <row r="35" ht="15.0" customHeight="1">
      <c r="A35" s="116" t="s">
        <v>1991</v>
      </c>
      <c r="B35" s="182">
        <v>45967.0</v>
      </c>
      <c r="C35" s="182">
        <v>45962.0</v>
      </c>
      <c r="D35" s="57" t="s">
        <v>146</v>
      </c>
      <c r="E35" s="3">
        <f t="array" ref="E35">XLOOKUP(D35,RUC!$B$3:$B$110,RUC!$D$3:$D$110)</f>
        <v>20517242919</v>
      </c>
      <c r="G35" s="141">
        <v>40.0</v>
      </c>
      <c r="H35" s="3" t="s">
        <v>47</v>
      </c>
      <c r="I35" s="6">
        <v>3.63</v>
      </c>
      <c r="J35" s="58">
        <v>1.75</v>
      </c>
      <c r="K35" s="6">
        <f t="shared" si="2"/>
        <v>3.566</v>
      </c>
      <c r="L35" s="139">
        <v>0.148</v>
      </c>
      <c r="M35" s="3">
        <v>0.141</v>
      </c>
      <c r="N35" s="62">
        <f t="shared" si="27"/>
        <v>0.141</v>
      </c>
      <c r="O35" s="60">
        <f t="shared" si="16"/>
        <v>0.141</v>
      </c>
      <c r="P35" s="63">
        <v>85.0</v>
      </c>
      <c r="Q35" s="58">
        <v>94.59</v>
      </c>
      <c r="R35" s="65">
        <v>4013.2</v>
      </c>
      <c r="S35" s="66">
        <f t="array" ref="S35">IF((XLOOKUP(D35,RUC!$B$3:$B$106,RUC!$E$3:$E$106)+ROUNDDOWN(O35,1)*100)&lt;95,95,((XLOOKUP(D35,RUC!$B$3:$B$106,RUC!$E$3:$E$106)+ROUNDDOWN(O35,1)*100)))</f>
        <v>95</v>
      </c>
      <c r="U35" s="67">
        <f t="array" ref="U35">XLOOKUP(D35,RUC!$B$3:$B$110,RUC!$F$3:$F$110)</f>
        <v>80</v>
      </c>
      <c r="V35" s="67">
        <v>1.1023</v>
      </c>
      <c r="Y35" s="57" t="str">
        <f t="array" ref="Y35">XLOOKUP(D35,RUC!$B$3:$B$110,RUC!$G$3:$G$110)</f>
        <v/>
      </c>
      <c r="Z35" s="69">
        <f t="array" ref="Z35">XLOOKUP(D35,RUC!$B$3:$B$110,RUC!$H$3:$H$110)</f>
        <v>10</v>
      </c>
      <c r="AA35" s="70">
        <f t="shared" si="4"/>
        <v>10</v>
      </c>
      <c r="AB35" s="71">
        <f t="shared" si="28"/>
        <v>403.8761282</v>
      </c>
      <c r="AC35" s="71">
        <f>+(S35-T35)*V35-'data 1'!$F$4</f>
        <v>24.7185</v>
      </c>
      <c r="AD35" s="71">
        <f t="shared" si="6"/>
        <v>61.53556046</v>
      </c>
      <c r="AE35" s="71">
        <f t="shared" si="7"/>
        <v>-58.977</v>
      </c>
      <c r="AF35" s="71">
        <f t="shared" si="8"/>
        <v>28.70708554</v>
      </c>
      <c r="AG35" s="72">
        <f t="shared" si="29"/>
        <v>125.984146</v>
      </c>
      <c r="AH35" s="193">
        <f t="shared" si="10"/>
        <v>17.116</v>
      </c>
      <c r="AI35" s="193">
        <f t="shared" si="11"/>
        <v>18.095</v>
      </c>
      <c r="AJ35" s="73">
        <f t="shared" si="12"/>
        <v>28.82594941</v>
      </c>
      <c r="AK35" s="73">
        <f t="shared" si="13"/>
        <v>14.653064</v>
      </c>
      <c r="AL35" s="11"/>
      <c r="AM35" s="51">
        <f t="shared" si="14"/>
        <v>1440.222273</v>
      </c>
      <c r="AN35" s="51" t="str">
        <f t="array" ref="AN35">XLOOKUP(D35,RUC!$B$3:$B$565,RUC!$M$3:$M$565)</f>
        <v>Melchor Vera</v>
      </c>
      <c r="AO35" s="131" t="s">
        <v>551</v>
      </c>
      <c r="AP35" s="57" t="s">
        <v>1988</v>
      </c>
      <c r="AQ35" s="57" t="s">
        <v>1989</v>
      </c>
    </row>
    <row r="36" ht="15.0" customHeight="1">
      <c r="A36" s="116" t="s">
        <v>1992</v>
      </c>
      <c r="B36" s="182">
        <v>45967.0</v>
      </c>
      <c r="C36" s="182">
        <v>45962.0</v>
      </c>
      <c r="D36" s="57" t="s">
        <v>146</v>
      </c>
      <c r="E36" s="3">
        <f t="array" ref="E36">XLOOKUP(D36,RUC!$B$3:$B$110,RUC!$D$3:$D$110)</f>
        <v>20517242919</v>
      </c>
      <c r="G36" s="141">
        <v>40.0</v>
      </c>
      <c r="H36" s="3" t="s">
        <v>47</v>
      </c>
      <c r="I36" s="6">
        <v>3.63</v>
      </c>
      <c r="J36" s="58">
        <v>1.6</v>
      </c>
      <c r="K36" s="6">
        <f t="shared" si="2"/>
        <v>3.572</v>
      </c>
      <c r="L36" s="139">
        <v>0.157</v>
      </c>
      <c r="M36" s="60">
        <v>0.15</v>
      </c>
      <c r="N36" s="62">
        <f t="shared" si="27"/>
        <v>0.15</v>
      </c>
      <c r="O36" s="60">
        <f t="shared" si="16"/>
        <v>0.15</v>
      </c>
      <c r="P36" s="63">
        <v>85.0</v>
      </c>
      <c r="Q36" s="58">
        <v>93.63</v>
      </c>
      <c r="R36" s="65">
        <v>4013.2</v>
      </c>
      <c r="S36" s="66">
        <f t="array" ref="S36">IF((XLOOKUP(D36,RUC!$B$3:$B$106,RUC!$E$3:$E$106)+ROUNDDOWN(O36,1)*100)&lt;95,95,((XLOOKUP(D36,RUC!$B$3:$B$106,RUC!$E$3:$E$106)+ROUNDDOWN(O36,1)*100)))</f>
        <v>95</v>
      </c>
      <c r="U36" s="67">
        <f t="array" ref="U36">XLOOKUP(D36,RUC!$B$3:$B$110,RUC!$F$3:$F$110)</f>
        <v>80</v>
      </c>
      <c r="V36" s="67">
        <v>1.1023</v>
      </c>
      <c r="Y36" s="57" t="str">
        <f t="array" ref="Y36">XLOOKUP(D36,RUC!$B$3:$B$110,RUC!$G$3:$G$110)</f>
        <v/>
      </c>
      <c r="Z36" s="69">
        <f t="array" ref="Z36">XLOOKUP(D36,RUC!$B$3:$B$110,RUC!$H$3:$H$110)</f>
        <v>10</v>
      </c>
      <c r="AA36" s="70">
        <f t="shared" si="4"/>
        <v>10</v>
      </c>
      <c r="AB36" s="71">
        <f t="shared" si="28"/>
        <v>437.0432109</v>
      </c>
      <c r="AC36" s="71">
        <f>+(S36-T36)*V36-'data 1'!$F$4</f>
        <v>24.7185</v>
      </c>
      <c r="AD36" s="71">
        <f t="shared" si="6"/>
        <v>58.74302217</v>
      </c>
      <c r="AE36" s="71">
        <f t="shared" si="7"/>
        <v>-58.977</v>
      </c>
      <c r="AF36" s="71">
        <f t="shared" si="8"/>
        <v>28.41573548</v>
      </c>
      <c r="AG36" s="72">
        <f t="shared" si="29"/>
        <v>122.9002576</v>
      </c>
      <c r="AH36" s="193">
        <f t="shared" si="10"/>
        <v>18.003</v>
      </c>
      <c r="AI36" s="193">
        <f t="shared" si="11"/>
        <v>19.227</v>
      </c>
      <c r="AJ36" s="73">
        <f t="shared" si="12"/>
        <v>30.26853176</v>
      </c>
      <c r="AK36" s="73">
        <f t="shared" si="13"/>
        <v>15.61459428</v>
      </c>
      <c r="AL36" s="11"/>
      <c r="AM36" s="51">
        <f t="shared" si="14"/>
        <v>1561.118349</v>
      </c>
      <c r="AN36" s="51" t="str">
        <f t="array" ref="AN36">XLOOKUP(D36,RUC!$B$3:$B$565,RUC!$M$3:$M$565)</f>
        <v>Melchor Vera</v>
      </c>
      <c r="AO36" s="131" t="s">
        <v>551</v>
      </c>
      <c r="AP36" s="57" t="s">
        <v>1988</v>
      </c>
      <c r="AQ36" s="57" t="s">
        <v>1989</v>
      </c>
    </row>
    <row r="37" ht="15.0" customHeight="1">
      <c r="A37" s="116" t="s">
        <v>1993</v>
      </c>
      <c r="B37" s="182">
        <v>45967.0</v>
      </c>
      <c r="C37" s="182">
        <v>45962.0</v>
      </c>
      <c r="D37" s="57" t="s">
        <v>146</v>
      </c>
      <c r="E37" s="3">
        <f t="array" ref="E37">XLOOKUP(D37,RUC!$B$3:$B$110,RUC!$D$3:$D$110)</f>
        <v>20517242919</v>
      </c>
      <c r="G37" s="141">
        <v>56.0</v>
      </c>
      <c r="H37" s="3" t="s">
        <v>47</v>
      </c>
      <c r="I37" s="6">
        <v>5.04</v>
      </c>
      <c r="J37" s="58">
        <v>1.5</v>
      </c>
      <c r="K37" s="6">
        <f t="shared" si="2"/>
        <v>4.964</v>
      </c>
      <c r="L37" s="139">
        <v>0.171</v>
      </c>
      <c r="M37" s="60">
        <f t="shared" ref="M37:M70" si="30">ROUND(+IF(AN37="Melchor Vera",IF(L37&gt;0.467,L37*0.985,(L37-0.007)),IF(L37&gt;0.3,L37*0.95,(L37-0.015))),3)</f>
        <v>0.164</v>
      </c>
      <c r="N37" s="62">
        <f t="shared" si="27"/>
        <v>0.164</v>
      </c>
      <c r="O37" s="60">
        <f t="shared" si="16"/>
        <v>0.164</v>
      </c>
      <c r="P37" s="63">
        <v>85.0</v>
      </c>
      <c r="Q37" s="58">
        <v>94.74</v>
      </c>
      <c r="R37" s="65">
        <v>4013.2</v>
      </c>
      <c r="S37" s="66">
        <f t="array" ref="S37">IF((XLOOKUP(D37,RUC!$B$3:$B$106,RUC!$E$3:$E$106)+ROUNDDOWN(O37,1)*100)&lt;95,95,((XLOOKUP(D37,RUC!$B$3:$B$106,RUC!$E$3:$E$106)+ROUNDDOWN(O37,1)*100)))</f>
        <v>95</v>
      </c>
      <c r="U37" s="67">
        <f t="array" ref="U37">XLOOKUP(D37,RUC!$B$3:$B$110,RUC!$F$3:$F$110)</f>
        <v>80</v>
      </c>
      <c r="V37" s="67">
        <v>1.1023</v>
      </c>
      <c r="Y37" s="57" t="str">
        <f t="array" ref="Y37">XLOOKUP(D37,RUC!$B$3:$B$110,RUC!$G$3:$G$110)</f>
        <v/>
      </c>
      <c r="Z37" s="69">
        <f t="array" ref="Z37">XLOOKUP(D37,RUC!$B$3:$B$110,RUC!$H$3:$H$110)</f>
        <v>10</v>
      </c>
      <c r="AA37" s="70">
        <f t="shared" si="4"/>
        <v>10</v>
      </c>
      <c r="AB37" s="71">
        <f t="shared" si="28"/>
        <v>488.6364506</v>
      </c>
      <c r="AC37" s="71">
        <f>+(S37-T37)*V37-'data 1'!$F$4</f>
        <v>24.7185</v>
      </c>
      <c r="AD37" s="71">
        <f t="shared" si="6"/>
        <v>72.21059195</v>
      </c>
      <c r="AE37" s="71">
        <f t="shared" si="7"/>
        <v>-58.977</v>
      </c>
      <c r="AF37" s="71">
        <f t="shared" si="8"/>
        <v>28.75260899</v>
      </c>
      <c r="AG37" s="72">
        <f t="shared" si="29"/>
        <v>136.7047009</v>
      </c>
      <c r="AH37" s="193">
        <f t="shared" si="10"/>
        <v>27.572</v>
      </c>
      <c r="AI37" s="193">
        <f t="shared" si="11"/>
        <v>29.103</v>
      </c>
      <c r="AJ37" s="73">
        <f t="shared" si="12"/>
        <v>33.35847359</v>
      </c>
      <c r="AK37" s="73">
        <f t="shared" si="13"/>
        <v>23.72485768</v>
      </c>
      <c r="AL37" s="11"/>
      <c r="AM37" s="51">
        <f t="shared" si="14"/>
        <v>2425.591341</v>
      </c>
      <c r="AN37" s="51" t="str">
        <f t="array" ref="AN37">XLOOKUP(D37,RUC!$B$3:$B$565,RUC!$M$3:$M$565)</f>
        <v>Melchor Vera</v>
      </c>
      <c r="AO37" s="131" t="s">
        <v>558</v>
      </c>
      <c r="AP37" s="57" t="s">
        <v>1988</v>
      </c>
      <c r="AQ37" s="57" t="s">
        <v>1989</v>
      </c>
    </row>
    <row r="38" ht="15.0" customHeight="1">
      <c r="A38" s="116" t="s">
        <v>1994</v>
      </c>
      <c r="B38" s="182">
        <v>45969.0</v>
      </c>
      <c r="C38" s="182">
        <v>45962.0</v>
      </c>
      <c r="D38" s="57" t="s">
        <v>602</v>
      </c>
      <c r="E38" s="3">
        <f t="array" ref="E38">XLOOKUP(D38,RUC!$B$3:$B$110,RUC!$D$3:$D$110)</f>
        <v>20169040231</v>
      </c>
      <c r="G38" s="141">
        <v>20.0</v>
      </c>
      <c r="H38" s="3" t="s">
        <v>47</v>
      </c>
      <c r="I38" s="6">
        <v>1.73</v>
      </c>
      <c r="J38" s="58">
        <v>1.3</v>
      </c>
      <c r="K38" s="6">
        <f t="shared" si="2"/>
        <v>1.708</v>
      </c>
      <c r="L38" s="139">
        <v>1.249</v>
      </c>
      <c r="M38" s="60">
        <f t="shared" si="30"/>
        <v>1.187</v>
      </c>
      <c r="N38" s="62">
        <f t="shared" si="27"/>
        <v>1.187</v>
      </c>
      <c r="O38" s="60">
        <f t="shared" si="16"/>
        <v>1.187</v>
      </c>
      <c r="P38" s="63">
        <v>90.0</v>
      </c>
      <c r="Q38" s="58">
        <v>95.92</v>
      </c>
      <c r="R38" s="65">
        <v>4011.5</v>
      </c>
      <c r="S38" s="66">
        <f t="array" ref="S38">IF((XLOOKUP(D38,RUC!$B$3:$B$106,RUC!$E$3:$E$106)+ROUNDDOWN(O38,1)*100)&lt;95,95,((XLOOKUP(D38,RUC!$B$3:$B$106,RUC!$E$3:$E$106)+ROUNDDOWN(O38,1)*100)))</f>
        <v>195</v>
      </c>
      <c r="U38" s="67">
        <f t="array" ref="U38">XLOOKUP(D38,RUC!$B$3:$B$110,RUC!$F$3:$F$110)</f>
        <v>120</v>
      </c>
      <c r="V38" s="67">
        <v>1.1023</v>
      </c>
      <c r="Y38" s="57">
        <f t="array" ref="Y38">XLOOKUP(D38,RUC!$B$3:$B$110,RUC!$G$3:$G$110)</f>
        <v>20</v>
      </c>
      <c r="Z38" s="140">
        <v>35.0</v>
      </c>
      <c r="AA38" s="70">
        <f t="shared" si="4"/>
        <v>55</v>
      </c>
      <c r="AB38" s="71">
        <f t="shared" si="28"/>
        <v>4307.005161</v>
      </c>
      <c r="AC38" s="71">
        <f>+(S38-T38)*V38-'data 1'!$F$4</f>
        <v>134.9485</v>
      </c>
      <c r="AD38" s="71">
        <f t="shared" si="6"/>
        <v>317.176489</v>
      </c>
      <c r="AE38" s="71">
        <f t="shared" si="7"/>
        <v>-9.3735</v>
      </c>
      <c r="AF38" s="71">
        <f t="shared" si="8"/>
        <v>255.1042546</v>
      </c>
      <c r="AG38" s="72">
        <f>AC38+AD38+AE38+AF38+70-53</f>
        <v>714.8557436</v>
      </c>
      <c r="AH38" s="193">
        <f t="shared" si="10"/>
        <v>70.157</v>
      </c>
      <c r="AI38" s="193">
        <f t="shared" si="11"/>
        <v>73.141</v>
      </c>
      <c r="AJ38" s="73">
        <f t="shared" si="12"/>
        <v>301.7571854</v>
      </c>
      <c r="AK38" s="73">
        <f t="shared" si="13"/>
        <v>62.55905273</v>
      </c>
      <c r="AL38" s="11"/>
      <c r="AM38" s="51">
        <f t="shared" si="14"/>
        <v>7356.364815</v>
      </c>
      <c r="AN38" s="51" t="str">
        <f t="array" ref="AN38">XLOOKUP(D38,RUC!$B$3:$B$565,RUC!$M$3:$M$565)</f>
        <v>Ronald Miranda</v>
      </c>
      <c r="AO38" s="131" t="s">
        <v>551</v>
      </c>
      <c r="AP38" s="57" t="s">
        <v>1995</v>
      </c>
      <c r="AQ38" s="57" t="s">
        <v>1996</v>
      </c>
    </row>
    <row r="39" ht="15.0" customHeight="1">
      <c r="A39" s="192" t="s">
        <v>1997</v>
      </c>
      <c r="B39" s="194">
        <v>45969.0</v>
      </c>
      <c r="C39" s="182">
        <v>45962.0</v>
      </c>
      <c r="D39" s="57" t="s">
        <v>602</v>
      </c>
      <c r="E39" s="3">
        <f t="array" ref="E39">XLOOKUP(D39,RUC!$B$3:$B$110,RUC!$D$3:$D$110)</f>
        <v>20169040231</v>
      </c>
      <c r="G39" s="141">
        <v>60.0</v>
      </c>
      <c r="H39" s="3" t="s">
        <v>47</v>
      </c>
      <c r="I39" s="6">
        <v>5.77</v>
      </c>
      <c r="J39" s="58">
        <v>1.4</v>
      </c>
      <c r="K39" s="6">
        <f t="shared" si="2"/>
        <v>5.689</v>
      </c>
      <c r="L39" s="139">
        <v>0.032</v>
      </c>
      <c r="M39" s="60">
        <f t="shared" si="30"/>
        <v>0.017</v>
      </c>
      <c r="N39" s="62">
        <f t="shared" si="27"/>
        <v>0.017</v>
      </c>
      <c r="O39" s="60">
        <f t="shared" si="16"/>
        <v>0.017</v>
      </c>
      <c r="P39" s="63">
        <v>80.0</v>
      </c>
      <c r="Q39" s="58">
        <v>96.88</v>
      </c>
      <c r="R39" s="65">
        <v>4011.5</v>
      </c>
      <c r="S39" s="66">
        <f t="array" ref="S39">IF((XLOOKUP(D39,RUC!$B$3:$B$106,RUC!$E$3:$E$106)+ROUNDDOWN(O39,1)*100)&lt;95,95,((XLOOKUP(D39,RUC!$B$3:$B$106,RUC!$E$3:$E$106)+ROUNDDOWN(O39,1)*100)))</f>
        <v>95</v>
      </c>
      <c r="U39" s="67">
        <f t="array" ref="U39">XLOOKUP(D39,RUC!$B$3:$B$110,RUC!$F$3:$F$110)</f>
        <v>120</v>
      </c>
      <c r="V39" s="67">
        <v>1.1023</v>
      </c>
      <c r="Y39" s="57">
        <f t="array" ref="Y39">XLOOKUP(D39,RUC!$B$3:$B$110,RUC!$G$3:$G$110)</f>
        <v>20</v>
      </c>
      <c r="Z39" s="140">
        <v>35.0</v>
      </c>
      <c r="AA39" s="70">
        <f t="shared" si="4"/>
        <v>55</v>
      </c>
      <c r="AB39" s="71">
        <v>0.001</v>
      </c>
      <c r="AC39" s="71">
        <f>+(S39-T39)*V39-'data 1'!$F$4</f>
        <v>24.7185</v>
      </c>
      <c r="AD39" s="71">
        <f t="shared" si="6"/>
        <v>23.17070579</v>
      </c>
      <c r="AE39" s="71">
        <f t="shared" si="7"/>
        <v>-9.3735</v>
      </c>
      <c r="AF39" s="71">
        <f t="shared" si="8"/>
        <v>62.33647374</v>
      </c>
      <c r="AG39" s="72">
        <f>AC39+AD39+AE39+AF39+70-53-101</f>
        <v>16.85217953</v>
      </c>
      <c r="AH39" s="193">
        <f t="shared" si="10"/>
        <v>6.047</v>
      </c>
      <c r="AI39" s="193">
        <f t="shared" si="11"/>
        <v>6.242</v>
      </c>
      <c r="AJ39" s="73">
        <f t="shared" si="12"/>
        <v>7.808545051</v>
      </c>
      <c r="AK39" s="73">
        <f t="shared" si="13"/>
        <v>2.652674188</v>
      </c>
      <c r="AL39" s="11"/>
      <c r="AM39" s="51">
        <f t="shared" si="14"/>
        <v>0.005689</v>
      </c>
      <c r="AN39" s="51" t="str">
        <f t="array" ref="AN39">XLOOKUP(D39,RUC!$B$3:$B$565,RUC!$M$3:$M$565)</f>
        <v>Ronald Miranda</v>
      </c>
      <c r="AO39" s="131" t="s">
        <v>551</v>
      </c>
      <c r="AP39" s="57" t="s">
        <v>1995</v>
      </c>
      <c r="AQ39" s="57" t="s">
        <v>1996</v>
      </c>
      <c r="AR39" s="2" t="s">
        <v>1998</v>
      </c>
    </row>
    <row r="40" ht="15.0" customHeight="1">
      <c r="A40" s="116" t="s">
        <v>1999</v>
      </c>
      <c r="B40" s="182">
        <v>45969.0</v>
      </c>
      <c r="C40" s="182">
        <v>45962.0</v>
      </c>
      <c r="D40" s="57" t="s">
        <v>602</v>
      </c>
      <c r="E40" s="3">
        <f t="array" ref="E40">XLOOKUP(D40,RUC!$B$3:$B$110,RUC!$D$3:$D$110)</f>
        <v>20169040231</v>
      </c>
      <c r="G40" s="141">
        <v>40.0</v>
      </c>
      <c r="H40" s="3" t="s">
        <v>47</v>
      </c>
      <c r="I40" s="6">
        <v>4.0</v>
      </c>
      <c r="J40" s="58">
        <v>1.35</v>
      </c>
      <c r="K40" s="6">
        <f t="shared" si="2"/>
        <v>3.946</v>
      </c>
      <c r="L40" s="139">
        <v>0.181</v>
      </c>
      <c r="M40" s="60">
        <f t="shared" si="30"/>
        <v>0.166</v>
      </c>
      <c r="N40" s="75">
        <v>0.205</v>
      </c>
      <c r="O40" s="60">
        <f t="shared" si="16"/>
        <v>0.186</v>
      </c>
      <c r="P40" s="63">
        <v>90.0</v>
      </c>
      <c r="Q40" s="58">
        <v>96.69</v>
      </c>
      <c r="R40" s="65">
        <v>4011.5</v>
      </c>
      <c r="S40" s="66">
        <f t="array" ref="S40">IF((XLOOKUP(D40,RUC!$B$3:$B$106,RUC!$E$3:$E$106)+ROUNDDOWN(O40,1)*100)&lt;95,95,((XLOOKUP(D40,RUC!$B$3:$B$106,RUC!$E$3:$E$106)+ROUNDDOWN(O40,1)*100)))</f>
        <v>95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140">
        <v>35.0</v>
      </c>
      <c r="AA40" s="70">
        <f t="shared" si="4"/>
        <v>55</v>
      </c>
      <c r="AB40" s="71">
        <f t="shared" ref="AB40:AB83" si="31">+((O40*P40*(R40-U40)/100)-S40-AA40+T40)*V40</f>
        <v>552.7341153</v>
      </c>
      <c r="AC40" s="71">
        <f>+(S40-T40)*V40-'data 1'!$F$4</f>
        <v>24.7185</v>
      </c>
      <c r="AD40" s="71">
        <f t="shared" si="6"/>
        <v>51.94234289</v>
      </c>
      <c r="AE40" s="71">
        <f t="shared" si="7"/>
        <v>-9.3735</v>
      </c>
      <c r="AF40" s="71">
        <f t="shared" si="8"/>
        <v>-20.73807338</v>
      </c>
      <c r="AG40" s="72">
        <f t="shared" ref="AG40:AG47" si="32">AC40+AD40+AE40+AF40+70-53</f>
        <v>63.54926951</v>
      </c>
      <c r="AH40" s="193">
        <f t="shared" si="10"/>
        <v>23.677</v>
      </c>
      <c r="AI40" s="193">
        <f t="shared" si="11"/>
        <v>24.488</v>
      </c>
      <c r="AJ40" s="73">
        <f t="shared" si="12"/>
        <v>44.08046294</v>
      </c>
      <c r="AK40" s="73">
        <f t="shared" si="13"/>
        <v>22.64756964</v>
      </c>
      <c r="AL40" s="11"/>
      <c r="AM40" s="51">
        <f t="shared" si="14"/>
        <v>2181.088819</v>
      </c>
      <c r="AN40" s="51" t="str">
        <f t="array" ref="AN40">XLOOKUP(D40,RUC!$B$3:$B$565,RUC!$M$3:$M$565)</f>
        <v>Ronald Miranda</v>
      </c>
      <c r="AO40" s="131" t="s">
        <v>558</v>
      </c>
      <c r="AP40" s="57" t="s">
        <v>1995</v>
      </c>
      <c r="AQ40" s="57" t="s">
        <v>1996</v>
      </c>
    </row>
    <row r="41" ht="15.0" customHeight="1">
      <c r="A41" s="116" t="s">
        <v>2000</v>
      </c>
      <c r="B41" s="182">
        <v>45969.0</v>
      </c>
      <c r="C41" s="182">
        <v>45962.0</v>
      </c>
      <c r="D41" s="57" t="s">
        <v>602</v>
      </c>
      <c r="E41" s="3">
        <f t="array" ref="E41">XLOOKUP(D41,RUC!$B$3:$B$110,RUC!$D$3:$D$110)</f>
        <v>20169040231</v>
      </c>
      <c r="G41" s="141">
        <v>51.0</v>
      </c>
      <c r="H41" s="3" t="s">
        <v>47</v>
      </c>
      <c r="I41" s="6">
        <v>4.64</v>
      </c>
      <c r="J41" s="58">
        <v>1.3</v>
      </c>
      <c r="K41" s="6">
        <f t="shared" si="2"/>
        <v>4.58</v>
      </c>
      <c r="L41" s="139">
        <v>0.166</v>
      </c>
      <c r="M41" s="60">
        <f t="shared" si="30"/>
        <v>0.151</v>
      </c>
      <c r="N41" s="62">
        <f t="shared" ref="N41:N49" si="33">+M41</f>
        <v>0.151</v>
      </c>
      <c r="O41" s="60">
        <f t="shared" si="16"/>
        <v>0.151</v>
      </c>
      <c r="P41" s="63">
        <v>90.0</v>
      </c>
      <c r="Q41" s="58">
        <v>95.78</v>
      </c>
      <c r="R41" s="65">
        <v>4011.5</v>
      </c>
      <c r="S41" s="66">
        <f t="array" ref="S41">IF((XLOOKUP(D41,RUC!$B$3:$B$106,RUC!$E$3:$E$106)+ROUNDDOWN(O41,1)*100)&lt;95,95,((XLOOKUP(D41,RUC!$B$3:$B$106,RUC!$E$3:$E$106)+ROUNDDOWN(O41,1)*100)))</f>
        <v>95</v>
      </c>
      <c r="U41" s="67">
        <f t="array" ref="U41">XLOOKUP(D41,RUC!$B$3:$B$110,RUC!$F$3:$F$110)</f>
        <v>120</v>
      </c>
      <c r="V41" s="67">
        <v>1.1023</v>
      </c>
      <c r="Y41" s="57">
        <f t="array" ref="Y41">XLOOKUP(D41,RUC!$B$3:$B$110,RUC!$G$3:$G$110)</f>
        <v>20</v>
      </c>
      <c r="Z41" s="140">
        <v>35.0</v>
      </c>
      <c r="AA41" s="70">
        <f t="shared" si="4"/>
        <v>55</v>
      </c>
      <c r="AB41" s="71">
        <f t="shared" si="31"/>
        <v>417.6117012</v>
      </c>
      <c r="AC41" s="71">
        <f>+(S41-T41)*V41-'data 1'!$F$4</f>
        <v>24.7185</v>
      </c>
      <c r="AD41" s="71">
        <f t="shared" si="6"/>
        <v>41.1578584</v>
      </c>
      <c r="AE41" s="71">
        <f t="shared" si="7"/>
        <v>-9.3735</v>
      </c>
      <c r="AF41" s="71">
        <f t="shared" si="8"/>
        <v>61.62868967</v>
      </c>
      <c r="AG41" s="72">
        <f t="shared" si="32"/>
        <v>135.1315481</v>
      </c>
      <c r="AH41" s="193">
        <f t="shared" si="10"/>
        <v>24.966</v>
      </c>
      <c r="AI41" s="193">
        <f t="shared" si="11"/>
        <v>26.066</v>
      </c>
      <c r="AJ41" s="73">
        <f t="shared" si="12"/>
        <v>40.0469027</v>
      </c>
      <c r="AK41" s="73">
        <f t="shared" si="13"/>
        <v>21.3399798</v>
      </c>
      <c r="AL41" s="11"/>
      <c r="AM41" s="51">
        <f t="shared" si="14"/>
        <v>1912.661591</v>
      </c>
      <c r="AN41" s="51" t="str">
        <f t="array" ref="AN41">XLOOKUP(D41,RUC!$B$3:$B$565,RUC!$M$3:$M$565)</f>
        <v>Ronald Miranda</v>
      </c>
      <c r="AO41" s="131" t="s">
        <v>558</v>
      </c>
      <c r="AP41" s="57" t="s">
        <v>1995</v>
      </c>
      <c r="AQ41" s="57" t="s">
        <v>1996</v>
      </c>
    </row>
    <row r="42" ht="15.0" customHeight="1">
      <c r="A42" s="116" t="s">
        <v>2001</v>
      </c>
      <c r="B42" s="182">
        <v>45970.0</v>
      </c>
      <c r="C42" s="182">
        <v>45962.0</v>
      </c>
      <c r="D42" s="57" t="s">
        <v>602</v>
      </c>
      <c r="E42" s="3">
        <f t="array" ref="E42">XLOOKUP(D42,RUC!$B$3:$B$110,RUC!$D$3:$D$110)</f>
        <v>20169040231</v>
      </c>
      <c r="G42" s="141">
        <v>28.0</v>
      </c>
      <c r="H42" s="3" t="s">
        <v>47</v>
      </c>
      <c r="I42" s="6">
        <v>2.47</v>
      </c>
      <c r="J42" s="58">
        <v>1.2</v>
      </c>
      <c r="K42" s="6">
        <f t="shared" si="2"/>
        <v>2.44</v>
      </c>
      <c r="L42" s="139">
        <v>0.552</v>
      </c>
      <c r="M42" s="60">
        <f t="shared" si="30"/>
        <v>0.524</v>
      </c>
      <c r="N42" s="62">
        <f t="shared" si="33"/>
        <v>0.524</v>
      </c>
      <c r="O42" s="60">
        <f t="shared" si="16"/>
        <v>0.524</v>
      </c>
      <c r="P42" s="63">
        <v>90.0</v>
      </c>
      <c r="Q42" s="58">
        <v>94.02</v>
      </c>
      <c r="R42" s="65">
        <v>4011.5</v>
      </c>
      <c r="S42" s="66">
        <f t="array" ref="S42">IF((XLOOKUP(D42,RUC!$B$3:$B$106,RUC!$E$3:$E$106)+ROUNDDOWN(O42,1)*100)&lt;95,95,((XLOOKUP(D42,RUC!$B$3:$B$106,RUC!$E$3:$E$106)+ROUNDDOWN(O42,1)*100)))</f>
        <v>135</v>
      </c>
      <c r="U42" s="67">
        <f t="array" ref="U42">XLOOKUP(D42,RUC!$B$3:$B$110,RUC!$F$3:$F$110)</f>
        <v>120</v>
      </c>
      <c r="V42" s="67">
        <v>1.1023</v>
      </c>
      <c r="Y42" s="57">
        <f t="array" ref="Y42">XLOOKUP(D42,RUC!$B$3:$B$110,RUC!$G$3:$G$110)</f>
        <v>20</v>
      </c>
      <c r="Z42" s="140">
        <v>35.0</v>
      </c>
      <c r="AA42" s="70">
        <f t="shared" si="4"/>
        <v>55</v>
      </c>
      <c r="AB42" s="71">
        <f t="shared" si="31"/>
        <v>1813.538572</v>
      </c>
      <c r="AC42" s="71">
        <f>+(S42-T42)*V42-'data 1'!$F$4</f>
        <v>68.8105</v>
      </c>
      <c r="AD42" s="71">
        <f t="shared" si="6"/>
        <v>95.18794983</v>
      </c>
      <c r="AE42" s="71">
        <f t="shared" si="7"/>
        <v>-9.3735</v>
      </c>
      <c r="AF42" s="71">
        <f t="shared" si="8"/>
        <v>112.9263056</v>
      </c>
      <c r="AG42" s="72">
        <f t="shared" si="32"/>
        <v>284.5512554</v>
      </c>
      <c r="AH42" s="193">
        <f t="shared" si="10"/>
        <v>43.417</v>
      </c>
      <c r="AI42" s="193">
        <f t="shared" si="11"/>
        <v>46.178</v>
      </c>
      <c r="AJ42" s="73">
        <f t="shared" si="12"/>
        <v>130.7209924</v>
      </c>
      <c r="AK42" s="73">
        <f t="shared" si="13"/>
        <v>39.45233317</v>
      </c>
      <c r="AL42" s="11"/>
      <c r="AM42" s="51">
        <f t="shared" si="14"/>
        <v>4425.034116</v>
      </c>
      <c r="AN42" s="51" t="str">
        <f t="array" ref="AN42">XLOOKUP(D42,RUC!$B$3:$B$565,RUC!$M$3:$M$565)</f>
        <v>Ronald Miranda</v>
      </c>
      <c r="AO42" s="131" t="s">
        <v>551</v>
      </c>
      <c r="AP42" s="57" t="s">
        <v>1995</v>
      </c>
      <c r="AQ42" s="57" t="s">
        <v>1996</v>
      </c>
    </row>
    <row r="43" ht="15.0" customHeight="1">
      <c r="A43" s="116" t="s">
        <v>2002</v>
      </c>
      <c r="B43" s="182">
        <v>45970.0</v>
      </c>
      <c r="C43" s="182">
        <v>45962.0</v>
      </c>
      <c r="D43" s="57" t="s">
        <v>602</v>
      </c>
      <c r="E43" s="3">
        <f t="array" ref="E43">XLOOKUP(D43,RUC!$B$3:$B$110,RUC!$D$3:$D$110)</f>
        <v>20169040231</v>
      </c>
      <c r="G43" s="141">
        <v>32.0</v>
      </c>
      <c r="H43" s="3" t="s">
        <v>47</v>
      </c>
      <c r="I43" s="6">
        <v>2.79</v>
      </c>
      <c r="J43" s="58">
        <v>1.25</v>
      </c>
      <c r="K43" s="6">
        <f t="shared" si="2"/>
        <v>2.755</v>
      </c>
      <c r="L43" s="139">
        <v>1.038</v>
      </c>
      <c r="M43" s="60">
        <f t="shared" si="30"/>
        <v>0.986</v>
      </c>
      <c r="N43" s="62">
        <f t="shared" si="33"/>
        <v>0.986</v>
      </c>
      <c r="O43" s="60">
        <f t="shared" si="16"/>
        <v>0.986</v>
      </c>
      <c r="P43" s="63">
        <v>90.0</v>
      </c>
      <c r="Q43" s="58">
        <v>94.32</v>
      </c>
      <c r="R43" s="65">
        <v>4011.5</v>
      </c>
      <c r="S43" s="66">
        <f t="array" ref="S43">IF((XLOOKUP(D43,RUC!$B$3:$B$106,RUC!$E$3:$E$106)+ROUNDDOWN(O43,1)*100)&lt;95,95,((XLOOKUP(D43,RUC!$B$3:$B$106,RUC!$E$3:$E$106)+ROUNDDOWN(O43,1)*100)))</f>
        <v>175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140">
        <v>35.0</v>
      </c>
      <c r="AA43" s="70">
        <f t="shared" si="4"/>
        <v>55</v>
      </c>
      <c r="AB43" s="71">
        <f t="shared" si="31"/>
        <v>3553.062439</v>
      </c>
      <c r="AC43" s="71">
        <f>+(S43-T43)*V43-'data 1'!$F$4</f>
        <v>112.9025</v>
      </c>
      <c r="AD43" s="71">
        <f t="shared" si="6"/>
        <v>192.3525475</v>
      </c>
      <c r="AE43" s="71">
        <f t="shared" si="7"/>
        <v>-9.3735</v>
      </c>
      <c r="AF43" s="71">
        <f t="shared" si="8"/>
        <v>210.3894595</v>
      </c>
      <c r="AG43" s="72">
        <f t="shared" si="32"/>
        <v>523.271007</v>
      </c>
      <c r="AH43" s="193">
        <f t="shared" si="10"/>
        <v>92.477</v>
      </c>
      <c r="AI43" s="193">
        <f t="shared" si="11"/>
        <v>98.046</v>
      </c>
      <c r="AJ43" s="73">
        <f t="shared" si="12"/>
        <v>246.5966415</v>
      </c>
      <c r="AK43" s="73">
        <f t="shared" si="13"/>
        <v>83.82047099</v>
      </c>
      <c r="AL43" s="11"/>
      <c r="AM43" s="51">
        <f t="shared" si="14"/>
        <v>9788.68702</v>
      </c>
      <c r="AN43" s="51" t="str">
        <f t="array" ref="AN43">XLOOKUP(D43,RUC!$B$3:$B$565,RUC!$M$3:$M$565)</f>
        <v>Ronald Miranda</v>
      </c>
      <c r="AO43" s="131" t="s">
        <v>547</v>
      </c>
      <c r="AP43" s="57" t="s">
        <v>1995</v>
      </c>
      <c r="AQ43" s="57" t="s">
        <v>1996</v>
      </c>
    </row>
    <row r="44" ht="15.0" customHeight="1">
      <c r="A44" s="116" t="s">
        <v>2003</v>
      </c>
      <c r="B44" s="182">
        <v>45969.0</v>
      </c>
      <c r="C44" s="182">
        <v>45962.0</v>
      </c>
      <c r="D44" s="57" t="s">
        <v>1203</v>
      </c>
      <c r="E44" s="3">
        <f t="array" ref="E44">XLOOKUP(D44,RUC!$B$3:$B$110,RUC!$D$3:$D$110)</f>
        <v>20601463173</v>
      </c>
      <c r="G44" s="141">
        <v>16.0</v>
      </c>
      <c r="H44" s="3" t="s">
        <v>40</v>
      </c>
      <c r="I44" s="6">
        <v>1.22</v>
      </c>
      <c r="J44" s="58">
        <v>1.3</v>
      </c>
      <c r="K44" s="6">
        <f t="shared" si="2"/>
        <v>1.204</v>
      </c>
      <c r="L44" s="139">
        <v>0.65</v>
      </c>
      <c r="M44" s="60">
        <f t="shared" si="30"/>
        <v>0.618</v>
      </c>
      <c r="N44" s="62">
        <f t="shared" si="33"/>
        <v>0.618</v>
      </c>
      <c r="O44" s="60">
        <f t="shared" si="16"/>
        <v>0.618</v>
      </c>
      <c r="P44" s="63">
        <v>90.0</v>
      </c>
      <c r="Q44" s="58">
        <v>94.77</v>
      </c>
      <c r="R44" s="65">
        <v>4011.5</v>
      </c>
      <c r="S44" s="66">
        <f t="array" ref="S44">IF((XLOOKUP(D44,RUC!$B$3:$B$106,RUC!$E$3:$E$106)+ROUNDDOWN(O44,1)*100)&lt;95,95,((XLOOKUP(D44,RUC!$B$3:$B$106,RUC!$E$3:$E$106)+ROUNDDOWN(O44,1)*100)))</f>
        <v>150</v>
      </c>
      <c r="U44" s="67">
        <f t="array" ref="U44">XLOOKUP(D44,RUC!$B$3:$B$110,RUC!$F$3:$F$110)</f>
        <v>100</v>
      </c>
      <c r="V44" s="67">
        <v>1.1023</v>
      </c>
      <c r="Y44" s="57" t="str">
        <f t="array" ref="Y44">XLOOKUP(D44,RUC!$B$3:$B$110,RUC!$G$3:$G$110)</f>
        <v/>
      </c>
      <c r="Z44" s="69">
        <f t="array" ref="Z44">XLOOKUP(D44,RUC!$B$3:$B$110,RUC!$H$3:$H$110)</f>
        <v>30</v>
      </c>
      <c r="AA44" s="70">
        <f t="shared" si="4"/>
        <v>30</v>
      </c>
      <c r="AB44" s="71">
        <f t="shared" si="31"/>
        <v>2199.723755</v>
      </c>
      <c r="AC44" s="71">
        <f>+(S44-T44)*V44-'data 1'!$F$4</f>
        <v>85.345</v>
      </c>
      <c r="AD44" s="71">
        <f t="shared" si="6"/>
        <v>133.6825982</v>
      </c>
      <c r="AE44" s="71">
        <f t="shared" si="7"/>
        <v>-36.931</v>
      </c>
      <c r="AF44" s="71">
        <f t="shared" si="8"/>
        <v>130.7567149</v>
      </c>
      <c r="AG44" s="72">
        <f t="shared" si="32"/>
        <v>329.8533131</v>
      </c>
      <c r="AH44" s="193">
        <f t="shared" si="10"/>
        <v>25.428</v>
      </c>
      <c r="AI44" s="193">
        <f t="shared" si="11"/>
        <v>26.832</v>
      </c>
      <c r="AJ44" s="73">
        <f t="shared" si="12"/>
        <v>141.5761519</v>
      </c>
      <c r="AK44" s="73">
        <f t="shared" si="13"/>
        <v>22.95971753</v>
      </c>
      <c r="AL44" s="11"/>
      <c r="AM44" s="51">
        <f t="shared" si="14"/>
        <v>2648.467402</v>
      </c>
      <c r="AN44" s="51" t="str">
        <f t="array" ref="AN44">XLOOKUP(D44,RUC!$B$3:$B$565,RUC!$M$3:$M$565)</f>
        <v>Yuri Rospigliossi</v>
      </c>
      <c r="AO44" s="131" t="s">
        <v>547</v>
      </c>
      <c r="AP44" s="57" t="s">
        <v>1984</v>
      </c>
      <c r="AQ44" s="57" t="s">
        <v>2004</v>
      </c>
    </row>
    <row r="45" ht="15.0" customHeight="1">
      <c r="A45" s="116" t="s">
        <v>2005</v>
      </c>
      <c r="B45" s="182">
        <v>45969.0</v>
      </c>
      <c r="C45" s="182">
        <v>45962.0</v>
      </c>
      <c r="D45" s="57" t="s">
        <v>665</v>
      </c>
      <c r="E45" s="3">
        <f t="array" ref="E45">XLOOKUP(D45,RUC!$B$3:$B$110,RUC!$D$3:$D$110)</f>
        <v>20608774000</v>
      </c>
      <c r="G45" s="141">
        <v>22.0</v>
      </c>
      <c r="H45" s="3" t="s">
        <v>40</v>
      </c>
      <c r="I45" s="6">
        <v>1.6</v>
      </c>
      <c r="J45" s="58">
        <v>14.0</v>
      </c>
      <c r="K45" s="6">
        <f t="shared" si="2"/>
        <v>1.376</v>
      </c>
      <c r="L45" s="139">
        <v>0.321</v>
      </c>
      <c r="M45" s="60">
        <f t="shared" si="30"/>
        <v>0.305</v>
      </c>
      <c r="N45" s="62">
        <f t="shared" si="33"/>
        <v>0.305</v>
      </c>
      <c r="O45" s="60">
        <f t="shared" si="16"/>
        <v>0.305</v>
      </c>
      <c r="P45" s="63">
        <v>90.0</v>
      </c>
      <c r="Q45" s="58">
        <v>96.88</v>
      </c>
      <c r="R45" s="65">
        <v>4011.5</v>
      </c>
      <c r="S45" s="66">
        <f t="array" ref="S45">IF((XLOOKUP(D45,RUC!$B$3:$B$106,RUC!$E$3:$E$106)+ROUNDDOWN(O45,1)*100)&lt;95,95,((XLOOKUP(D45,RUC!$B$3:$B$106,RUC!$E$3:$E$106)+ROUNDDOWN(O45,1)*100)))</f>
        <v>115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140">
        <v>35.0</v>
      </c>
      <c r="AA45" s="70">
        <f t="shared" si="4"/>
        <v>55</v>
      </c>
      <c r="AB45" s="71">
        <f t="shared" si="31"/>
        <v>990.1043235</v>
      </c>
      <c r="AC45" s="71">
        <f>+(S45-T45)*V45-'data 1'!$F$4</f>
        <v>46.7645</v>
      </c>
      <c r="AD45" s="71">
        <f t="shared" si="6"/>
        <v>94.73496802</v>
      </c>
      <c r="AE45" s="71">
        <f t="shared" si="7"/>
        <v>-9.3735</v>
      </c>
      <c r="AF45" s="71">
        <f t="shared" si="8"/>
        <v>66.49223866</v>
      </c>
      <c r="AG45" s="72">
        <f t="shared" si="32"/>
        <v>215.6182067</v>
      </c>
      <c r="AH45" s="193">
        <f t="shared" si="10"/>
        <v>14.671</v>
      </c>
      <c r="AI45" s="193">
        <f t="shared" si="11"/>
        <v>15.144</v>
      </c>
      <c r="AJ45" s="73">
        <f t="shared" si="12"/>
        <v>78.32946754</v>
      </c>
      <c r="AK45" s="73">
        <f t="shared" si="13"/>
        <v>12.95000249</v>
      </c>
      <c r="AL45" s="11"/>
      <c r="AM45" s="51">
        <f t="shared" si="14"/>
        <v>1362.383549</v>
      </c>
      <c r="AN45" s="51" t="str">
        <f t="array" ref="AN45">XLOOKUP(D45,RUC!$B$3:$B$565,RUC!$M$3:$M$565)</f>
        <v>Ronald Miranda</v>
      </c>
      <c r="AO45" s="131" t="s">
        <v>547</v>
      </c>
      <c r="AP45" s="57" t="s">
        <v>2006</v>
      </c>
      <c r="AQ45" s="57" t="s">
        <v>2007</v>
      </c>
    </row>
    <row r="46" ht="15.0" customHeight="1">
      <c r="A46" s="116" t="s">
        <v>2008</v>
      </c>
      <c r="B46" s="182">
        <v>45969.0</v>
      </c>
      <c r="C46" s="182">
        <v>45962.0</v>
      </c>
      <c r="D46" s="57" t="s">
        <v>665</v>
      </c>
      <c r="E46" s="3">
        <f t="array" ref="E46">XLOOKUP(D46,RUC!$B$3:$B$110,RUC!$D$3:$D$110)</f>
        <v>20608774000</v>
      </c>
      <c r="G46" s="141">
        <v>17.0</v>
      </c>
      <c r="H46" s="3" t="s">
        <v>339</v>
      </c>
      <c r="I46" s="6">
        <v>1.59</v>
      </c>
      <c r="J46" s="58">
        <v>3.95</v>
      </c>
      <c r="K46" s="6">
        <f t="shared" si="2"/>
        <v>1.527</v>
      </c>
      <c r="L46" s="139">
        <v>0.629</v>
      </c>
      <c r="M46" s="60">
        <f t="shared" si="30"/>
        <v>0.598</v>
      </c>
      <c r="N46" s="62">
        <f t="shared" si="33"/>
        <v>0.598</v>
      </c>
      <c r="O46" s="60">
        <f t="shared" si="16"/>
        <v>0.598</v>
      </c>
      <c r="P46" s="63">
        <v>90.0</v>
      </c>
      <c r="Q46" s="58">
        <v>95.04</v>
      </c>
      <c r="R46" s="65">
        <v>4011.5</v>
      </c>
      <c r="S46" s="66">
        <f t="array" ref="S46">IF((XLOOKUP(D46,RUC!$B$3:$B$106,RUC!$E$3:$E$106)+ROUNDDOWN(O46,1)*100)&lt;95,95,((XLOOKUP(D46,RUC!$B$3:$B$106,RUC!$E$3:$E$106)+ROUNDDOWN(O46,1)*100)))</f>
        <v>135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140">
        <v>35.0</v>
      </c>
      <c r="AA46" s="70">
        <f t="shared" si="4"/>
        <v>55</v>
      </c>
      <c r="AB46" s="71">
        <f t="shared" si="31"/>
        <v>2099.225962</v>
      </c>
      <c r="AC46" s="71">
        <f>+(S46-T46)*V46-'data 1'!$F$4</f>
        <v>68.8105</v>
      </c>
      <c r="AD46" s="71">
        <f t="shared" si="6"/>
        <v>135.9871976</v>
      </c>
      <c r="AE46" s="71">
        <f t="shared" si="7"/>
        <v>-9.3735</v>
      </c>
      <c r="AF46" s="71">
        <f t="shared" si="8"/>
        <v>126.3819243</v>
      </c>
      <c r="AG46" s="72">
        <f t="shared" si="32"/>
        <v>338.8061219</v>
      </c>
      <c r="AH46" s="193">
        <f t="shared" si="10"/>
        <v>31.297</v>
      </c>
      <c r="AI46" s="193">
        <f t="shared" si="11"/>
        <v>32.931</v>
      </c>
      <c r="AJ46" s="73">
        <f t="shared" si="12"/>
        <v>150.5716068</v>
      </c>
      <c r="AK46" s="73">
        <f t="shared" si="13"/>
        <v>28.17680846</v>
      </c>
      <c r="AL46" s="11"/>
      <c r="AM46" s="51">
        <f t="shared" si="14"/>
        <v>3205.518044</v>
      </c>
      <c r="AN46" s="51" t="str">
        <f t="array" ref="AN46">XLOOKUP(D46,RUC!$B$3:$B$565,RUC!$M$3:$M$565)</f>
        <v>Ronald Miranda</v>
      </c>
      <c r="AO46" s="131" t="s">
        <v>547</v>
      </c>
      <c r="AP46" s="57" t="s">
        <v>2006</v>
      </c>
      <c r="AQ46" s="57" t="s">
        <v>2007</v>
      </c>
    </row>
    <row r="47" ht="15.0" customHeight="1">
      <c r="A47" s="116" t="s">
        <v>2009</v>
      </c>
      <c r="B47" s="182">
        <v>45969.0</v>
      </c>
      <c r="C47" s="182">
        <v>45962.0</v>
      </c>
      <c r="D47" s="57" t="s">
        <v>665</v>
      </c>
      <c r="E47" s="3">
        <f t="array" ref="E47">XLOOKUP(D47,RUC!$B$3:$B$110,RUC!$D$3:$D$110)</f>
        <v>20608774000</v>
      </c>
      <c r="G47" s="141">
        <v>18.0</v>
      </c>
      <c r="H47" s="3" t="s">
        <v>339</v>
      </c>
      <c r="I47" s="6">
        <v>1.64</v>
      </c>
      <c r="J47" s="58">
        <v>3.5</v>
      </c>
      <c r="K47" s="6">
        <f t="shared" si="2"/>
        <v>1.583</v>
      </c>
      <c r="L47" s="139">
        <v>0.568</v>
      </c>
      <c r="M47" s="60">
        <f t="shared" si="30"/>
        <v>0.54</v>
      </c>
      <c r="N47" s="62">
        <f t="shared" si="33"/>
        <v>0.54</v>
      </c>
      <c r="O47" s="60">
        <f t="shared" si="16"/>
        <v>0.54</v>
      </c>
      <c r="P47" s="63">
        <v>90.0</v>
      </c>
      <c r="Q47" s="58">
        <v>96.45</v>
      </c>
      <c r="R47" s="65">
        <v>4011.5</v>
      </c>
      <c r="S47" s="66">
        <f t="array" ref="S47">IF((XLOOKUP(D47,RUC!$B$3:$B$106,RUC!$E$3:$E$106)+ROUNDDOWN(O47,1)*100)&lt;95,95,((XLOOKUP(D47,RUC!$B$3:$B$106,RUC!$E$3:$E$106)+ROUNDDOWN(O47,1)*100)))</f>
        <v>135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140">
        <v>35.0</v>
      </c>
      <c r="AA47" s="70">
        <f t="shared" si="4"/>
        <v>55</v>
      </c>
      <c r="AB47" s="71">
        <f t="shared" si="31"/>
        <v>1875.308819</v>
      </c>
      <c r="AC47" s="71">
        <f>+(S47-T47)*V47-'data 1'!$F$4</f>
        <v>68.8105</v>
      </c>
      <c r="AD47" s="71">
        <f t="shared" si="6"/>
        <v>157.1538021</v>
      </c>
      <c r="AE47" s="71">
        <f t="shared" si="7"/>
        <v>-9.3735</v>
      </c>
      <c r="AF47" s="71">
        <f t="shared" si="8"/>
        <v>115.8449498</v>
      </c>
      <c r="AG47" s="72">
        <f t="shared" si="32"/>
        <v>349.4357518</v>
      </c>
      <c r="AH47" s="193">
        <f t="shared" si="10"/>
        <v>29.733</v>
      </c>
      <c r="AI47" s="193">
        <f t="shared" si="11"/>
        <v>30.828</v>
      </c>
      <c r="AJ47" s="73">
        <f t="shared" si="12"/>
        <v>137.9864938</v>
      </c>
      <c r="AK47" s="73">
        <f t="shared" si="13"/>
        <v>26.37705187</v>
      </c>
      <c r="AL47" s="11"/>
      <c r="AM47" s="51">
        <f t="shared" si="14"/>
        <v>2968.61386</v>
      </c>
      <c r="AN47" s="51" t="str">
        <f t="array" ref="AN47">XLOOKUP(D47,RUC!$B$3:$B$565,RUC!$M$3:$M$565)</f>
        <v>Ronald Miranda</v>
      </c>
      <c r="AO47" s="131" t="s">
        <v>547</v>
      </c>
      <c r="AP47" s="57" t="s">
        <v>2006</v>
      </c>
      <c r="AQ47" s="57" t="s">
        <v>2007</v>
      </c>
    </row>
    <row r="48" ht="15.0" customHeight="1">
      <c r="A48" s="116" t="s">
        <v>2010</v>
      </c>
      <c r="B48" s="182">
        <v>45969.0</v>
      </c>
      <c r="C48" s="182">
        <v>45966.0</v>
      </c>
      <c r="D48" s="57" t="s">
        <v>2011</v>
      </c>
      <c r="E48" s="3">
        <f t="array" ref="E48">XLOOKUP(D48,RUC!$B$3:$B$110,RUC!$D$3:$D$110)</f>
        <v>20535021563</v>
      </c>
      <c r="G48" s="141" t="s">
        <v>735</v>
      </c>
      <c r="H48" s="3" t="s">
        <v>339</v>
      </c>
      <c r="I48" s="6">
        <v>35.75</v>
      </c>
      <c r="J48" s="57">
        <v>16.25</v>
      </c>
      <c r="K48" s="6">
        <f t="shared" si="2"/>
        <v>29.941</v>
      </c>
      <c r="L48" s="139">
        <v>0.287</v>
      </c>
      <c r="M48" s="60">
        <f t="shared" si="30"/>
        <v>0.272</v>
      </c>
      <c r="N48" s="62">
        <f t="shared" si="33"/>
        <v>0.272</v>
      </c>
      <c r="O48" s="60">
        <f t="shared" si="16"/>
        <v>0.272</v>
      </c>
      <c r="P48" s="63">
        <v>90.0</v>
      </c>
      <c r="Q48" s="58">
        <v>97.21</v>
      </c>
      <c r="R48" s="65">
        <v>3968.2</v>
      </c>
      <c r="S48" s="66">
        <f t="array" ref="S48">IF((XLOOKUP(D48,RUC!$B$3:$B$106,RUC!$E$3:$E$106)+ROUNDDOWN(O48,1)*100)&lt;95,95,((XLOOKUP(D48,RUC!$B$3:$B$106,RUC!$E$3:$E$106)+ROUNDDOWN(O48,1)*100)))</f>
        <v>105</v>
      </c>
      <c r="U48" s="67">
        <f t="array" ref="U48">XLOOKUP(D48,RUC!$B$3:$B$110,RUC!$F$3:$F$110)</f>
        <v>100</v>
      </c>
      <c r="V48" s="67">
        <v>1.1023</v>
      </c>
      <c r="Y48" s="57" t="str">
        <f t="array" ref="Y48">XLOOKUP(D48,RUC!$B$3:$B$110,RUC!$G$3:$G$110)</f>
        <v/>
      </c>
      <c r="Z48" s="69">
        <f t="array" ref="Z48">XLOOKUP(D48,RUC!$B$3:$B$110,RUC!$H$3:$H$110)</f>
        <v>30</v>
      </c>
      <c r="AA48" s="70">
        <f t="shared" si="4"/>
        <v>30</v>
      </c>
      <c r="AB48" s="71">
        <f t="shared" si="31"/>
        <v>894.9963473</v>
      </c>
      <c r="AC48" s="71">
        <f>+(S48-T48)*V48-'data 1'!$F$4</f>
        <v>35.7415</v>
      </c>
      <c r="AD48" s="71">
        <f t="shared" si="6"/>
        <v>88.23195241</v>
      </c>
      <c r="AE48" s="71">
        <f t="shared" si="7"/>
        <v>-36.931</v>
      </c>
      <c r="AF48" s="71">
        <f t="shared" si="8"/>
        <v>62.17430369</v>
      </c>
      <c r="AG48" s="72">
        <f t="shared" ref="AG48:AG51" si="34">AC48+AD48+AE48+AF48+70-65</f>
        <v>154.2167561</v>
      </c>
      <c r="AH48" s="193">
        <f t="shared" si="10"/>
        <v>286.397</v>
      </c>
      <c r="AI48" s="193">
        <f t="shared" si="11"/>
        <v>294.617</v>
      </c>
      <c r="AJ48" s="73">
        <f t="shared" si="12"/>
        <v>77.43697388</v>
      </c>
      <c r="AK48" s="73">
        <f t="shared" si="13"/>
        <v>251.2966991</v>
      </c>
      <c r="AL48" s="11"/>
      <c r="AM48" s="51">
        <f t="shared" si="14"/>
        <v>26797.08564</v>
      </c>
      <c r="AN48" s="51" t="str">
        <f t="array" ref="AN48">XLOOKUP(D48,RUC!$B$3:$B$565,RUC!$M$3:$M$565)</f>
        <v>Alfred Torres  *</v>
      </c>
      <c r="AO48" s="131" t="s">
        <v>551</v>
      </c>
      <c r="AP48" s="57" t="s">
        <v>2012</v>
      </c>
      <c r="AQ48" s="57" t="s">
        <v>847</v>
      </c>
    </row>
    <row r="49" ht="15.0" customHeight="1">
      <c r="A49" s="116" t="s">
        <v>2013</v>
      </c>
      <c r="B49" s="182">
        <v>45969.0</v>
      </c>
      <c r="C49" s="182">
        <v>45966.0</v>
      </c>
      <c r="D49" s="57" t="s">
        <v>2011</v>
      </c>
      <c r="E49" s="3">
        <f t="array" ref="E49">XLOOKUP(D49,RUC!$B$3:$B$110,RUC!$D$3:$D$110)</f>
        <v>20535021563</v>
      </c>
      <c r="G49" s="141" t="s">
        <v>735</v>
      </c>
      <c r="H49" s="3" t="s">
        <v>339</v>
      </c>
      <c r="I49" s="6">
        <v>37.91</v>
      </c>
      <c r="J49" s="57">
        <v>15.2</v>
      </c>
      <c r="K49" s="6">
        <f t="shared" si="2"/>
        <v>32.148</v>
      </c>
      <c r="L49" s="139">
        <v>0.263</v>
      </c>
      <c r="M49" s="60">
        <f t="shared" si="30"/>
        <v>0.248</v>
      </c>
      <c r="N49" s="62">
        <f t="shared" si="33"/>
        <v>0.248</v>
      </c>
      <c r="O49" s="60">
        <f t="shared" si="16"/>
        <v>0.248</v>
      </c>
      <c r="P49" s="63">
        <v>90.0</v>
      </c>
      <c r="Q49" s="58">
        <v>92.4</v>
      </c>
      <c r="R49" s="65">
        <v>3968.2</v>
      </c>
      <c r="S49" s="66">
        <f t="array" ref="S49">IF((XLOOKUP(D49,RUC!$B$3:$B$106,RUC!$E$3:$E$106)+ROUNDDOWN(O49,1)*100)&lt;95,95,((XLOOKUP(D49,RUC!$B$3:$B$106,RUC!$E$3:$E$106)+ROUNDDOWN(O49,1)*100)))</f>
        <v>105</v>
      </c>
      <c r="U49" s="67">
        <f t="array" ref="U49">XLOOKUP(D49,RUC!$B$3:$B$110,RUC!$F$3:$F$110)</f>
        <v>100</v>
      </c>
      <c r="V49" s="67">
        <v>1.1023</v>
      </c>
      <c r="Y49" s="57" t="str">
        <f t="array" ref="Y49">XLOOKUP(D49,RUC!$B$3:$B$110,RUC!$G$3:$G$110)</f>
        <v/>
      </c>
      <c r="Z49" s="69">
        <f t="array" ref="Z49">XLOOKUP(D49,RUC!$B$3:$B$110,RUC!$H$3:$H$110)</f>
        <v>30</v>
      </c>
      <c r="AA49" s="70">
        <f t="shared" si="4"/>
        <v>30</v>
      </c>
      <c r="AB49" s="71">
        <f t="shared" si="31"/>
        <v>802.8957432</v>
      </c>
      <c r="AC49" s="71">
        <f>+(S49-T49)*V49-'data 1'!$F$4</f>
        <v>35.7415</v>
      </c>
      <c r="AD49" s="71">
        <f t="shared" si="6"/>
        <v>26.91384322</v>
      </c>
      <c r="AE49" s="71">
        <f t="shared" si="7"/>
        <v>-36.931</v>
      </c>
      <c r="AF49" s="71">
        <f t="shared" si="8"/>
        <v>59.09788768</v>
      </c>
      <c r="AG49" s="72">
        <f t="shared" si="34"/>
        <v>89.8222309</v>
      </c>
      <c r="AH49" s="193">
        <f t="shared" si="10"/>
        <v>267.849</v>
      </c>
      <c r="AI49" s="193">
        <f t="shared" si="11"/>
        <v>289.88</v>
      </c>
      <c r="AJ49" s="73">
        <f t="shared" si="12"/>
        <v>67.45020173</v>
      </c>
      <c r="AK49" s="73">
        <f t="shared" si="13"/>
        <v>246.0125254</v>
      </c>
      <c r="AL49" s="11"/>
      <c r="AM49" s="51">
        <f t="shared" si="14"/>
        <v>25811.49235</v>
      </c>
      <c r="AN49" s="51" t="str">
        <f t="array" ref="AN49">XLOOKUP(D49,RUC!$B$3:$B$565,RUC!$M$3:$M$565)</f>
        <v>Alfred Torres  *</v>
      </c>
      <c r="AO49" s="131" t="s">
        <v>558</v>
      </c>
      <c r="AP49" s="57" t="s">
        <v>2012</v>
      </c>
      <c r="AQ49" s="57" t="s">
        <v>847</v>
      </c>
    </row>
    <row r="50" ht="15.0" customHeight="1">
      <c r="A50" s="116" t="s">
        <v>2014</v>
      </c>
      <c r="B50" s="182">
        <v>45969.0</v>
      </c>
      <c r="C50" s="182">
        <v>45966.0</v>
      </c>
      <c r="D50" s="57" t="s">
        <v>2011</v>
      </c>
      <c r="E50" s="3">
        <f t="array" ref="E50">XLOOKUP(D50,RUC!$B$3:$B$110,RUC!$D$3:$D$110)</f>
        <v>20535021563</v>
      </c>
      <c r="G50" s="141" t="s">
        <v>735</v>
      </c>
      <c r="H50" s="3" t="s">
        <v>339</v>
      </c>
      <c r="I50" s="6">
        <v>37.05</v>
      </c>
      <c r="J50" s="58">
        <v>15.08</v>
      </c>
      <c r="K50" s="6">
        <f t="shared" si="2"/>
        <v>31.463</v>
      </c>
      <c r="L50" s="139">
        <v>0.262</v>
      </c>
      <c r="M50" s="60">
        <f t="shared" si="30"/>
        <v>0.247</v>
      </c>
      <c r="N50" s="75">
        <v>0.325</v>
      </c>
      <c r="O50" s="60">
        <f t="shared" si="16"/>
        <v>0.286</v>
      </c>
      <c r="P50" s="63">
        <v>90.0</v>
      </c>
      <c r="Q50" s="58">
        <v>96.18</v>
      </c>
      <c r="R50" s="65">
        <v>3968.2</v>
      </c>
      <c r="S50" s="66">
        <f t="array" ref="S50">IF((XLOOKUP(D50,RUC!$B$3:$B$106,RUC!$E$3:$E$106)+ROUNDDOWN(O50,1)*100)&lt;95,95,((XLOOKUP(D50,RUC!$B$3:$B$106,RUC!$E$3:$E$106)+ROUNDDOWN(O50,1)*100)))</f>
        <v>105</v>
      </c>
      <c r="U50" s="67">
        <f t="array" ref="U50">XLOOKUP(D50,RUC!$B$3:$B$110,RUC!$F$3:$F$110)</f>
        <v>100</v>
      </c>
      <c r="V50" s="67">
        <v>1.1023</v>
      </c>
      <c r="Y50" s="57" t="str">
        <f t="array" ref="Y50">XLOOKUP(D50,RUC!$B$3:$B$110,RUC!$G$3:$G$110)</f>
        <v/>
      </c>
      <c r="Z50" s="69">
        <f t="array" ref="Z50">XLOOKUP(D50,RUC!$B$3:$B$110,RUC!$H$3:$H$110)</f>
        <v>30</v>
      </c>
      <c r="AA50" s="70">
        <f t="shared" si="4"/>
        <v>30</v>
      </c>
      <c r="AB50" s="71">
        <f t="shared" si="31"/>
        <v>948.7216998</v>
      </c>
      <c r="AC50" s="71">
        <f>+(S50-T50)*V50-'data 1'!$F$4</f>
        <v>35.7415</v>
      </c>
      <c r="AD50" s="71">
        <f t="shared" si="6"/>
        <v>69.03963623</v>
      </c>
      <c r="AE50" s="71">
        <f t="shared" si="7"/>
        <v>-36.931</v>
      </c>
      <c r="AF50" s="71">
        <f t="shared" si="8"/>
        <v>-98.42484566</v>
      </c>
      <c r="AG50" s="72">
        <f t="shared" si="34"/>
        <v>-25.57470943</v>
      </c>
      <c r="AH50" s="193">
        <f t="shared" si="10"/>
        <v>271.829</v>
      </c>
      <c r="AI50" s="193">
        <f t="shared" si="11"/>
        <v>282.625</v>
      </c>
      <c r="AJ50" s="73">
        <f t="shared" si="12"/>
        <v>69.94257178</v>
      </c>
      <c r="AK50" s="73">
        <f t="shared" si="13"/>
        <v>277.6628277</v>
      </c>
      <c r="AL50" s="11"/>
      <c r="AM50" s="51">
        <f t="shared" si="14"/>
        <v>29849.63084</v>
      </c>
      <c r="AN50" s="51" t="str">
        <f t="array" ref="AN50">XLOOKUP(D50,RUC!$B$3:$B$565,RUC!$M$3:$M$565)</f>
        <v>Alfred Torres  *</v>
      </c>
      <c r="AO50" s="131" t="s">
        <v>551</v>
      </c>
      <c r="AP50" s="57" t="s">
        <v>2012</v>
      </c>
      <c r="AQ50" s="57" t="s">
        <v>847</v>
      </c>
    </row>
    <row r="51" ht="15.0" customHeight="1">
      <c r="A51" s="116" t="s">
        <v>2015</v>
      </c>
      <c r="B51" s="182">
        <v>45969.0</v>
      </c>
      <c r="C51" s="182">
        <v>45966.0</v>
      </c>
      <c r="D51" s="57" t="s">
        <v>2011</v>
      </c>
      <c r="E51" s="3">
        <f t="array" ref="E51">XLOOKUP(D51,RUC!$B$3:$B$110,RUC!$D$3:$D$110)</f>
        <v>20535021563</v>
      </c>
      <c r="G51" s="141" t="s">
        <v>735</v>
      </c>
      <c r="H51" s="3" t="s">
        <v>339</v>
      </c>
      <c r="I51" s="6">
        <v>38.01</v>
      </c>
      <c r="J51" s="58">
        <v>14.7</v>
      </c>
      <c r="K51" s="6">
        <f t="shared" si="2"/>
        <v>32.423</v>
      </c>
      <c r="L51" s="139">
        <v>0.28</v>
      </c>
      <c r="M51" s="60">
        <f t="shared" si="30"/>
        <v>0.265</v>
      </c>
      <c r="N51" s="62">
        <f t="shared" ref="N51:N70" si="35">+M51</f>
        <v>0.265</v>
      </c>
      <c r="O51" s="60">
        <f t="shared" si="16"/>
        <v>0.265</v>
      </c>
      <c r="P51" s="63">
        <v>90.0</v>
      </c>
      <c r="Q51" s="58">
        <v>95.0</v>
      </c>
      <c r="R51" s="65">
        <v>3968.2</v>
      </c>
      <c r="S51" s="66">
        <f t="array" ref="S51">IF((XLOOKUP(D51,RUC!$B$3:$B$106,RUC!$E$3:$E$106)+ROUNDDOWN(O51,1)*100)&lt;95,95,((XLOOKUP(D51,RUC!$B$3:$B$106,RUC!$E$3:$E$106)+ROUNDDOWN(O51,1)*100)))</f>
        <v>105</v>
      </c>
      <c r="U51" s="67">
        <f t="array" ref="U51">XLOOKUP(D51,RUC!$B$3:$B$110,RUC!$F$3:$F$110)</f>
        <v>100</v>
      </c>
      <c r="V51" s="67">
        <v>1.1023</v>
      </c>
      <c r="Y51" s="57" t="str">
        <f t="array" ref="Y51">XLOOKUP(D51,RUC!$B$3:$B$110,RUC!$G$3:$G$110)</f>
        <v/>
      </c>
      <c r="Z51" s="69">
        <f t="array" ref="Z51">XLOOKUP(D51,RUC!$B$3:$B$110,RUC!$H$3:$H$110)</f>
        <v>30</v>
      </c>
      <c r="AA51" s="70">
        <f t="shared" si="4"/>
        <v>30</v>
      </c>
      <c r="AB51" s="71">
        <f t="shared" si="31"/>
        <v>868.1336711</v>
      </c>
      <c r="AC51" s="71">
        <f>+(S51-T51)*V51-'data 1'!$F$4</f>
        <v>35.7415</v>
      </c>
      <c r="AD51" s="71">
        <f t="shared" si="6"/>
        <v>59.69483604</v>
      </c>
      <c r="AE51" s="71">
        <f t="shared" si="7"/>
        <v>-36.931</v>
      </c>
      <c r="AF51" s="71">
        <f t="shared" si="8"/>
        <v>60.76081526</v>
      </c>
      <c r="AG51" s="72">
        <f t="shared" si="34"/>
        <v>124.2661513</v>
      </c>
      <c r="AH51" s="193">
        <f t="shared" si="10"/>
        <v>295.695</v>
      </c>
      <c r="AI51" s="193">
        <f t="shared" si="11"/>
        <v>311.258</v>
      </c>
      <c r="AJ51" s="73">
        <f t="shared" si="12"/>
        <v>73.83073124</v>
      </c>
      <c r="AK51" s="73">
        <f t="shared" si="13"/>
        <v>265.1249801</v>
      </c>
      <c r="AL51" s="11"/>
      <c r="AM51" s="51">
        <f t="shared" si="14"/>
        <v>28147.49802</v>
      </c>
      <c r="AN51" s="51" t="str">
        <f t="array" ref="AN51">XLOOKUP(D51,RUC!$B$3:$B$565,RUC!$M$3:$M$565)</f>
        <v>Alfred Torres  *</v>
      </c>
      <c r="AO51" s="131" t="s">
        <v>558</v>
      </c>
      <c r="AP51" s="57" t="s">
        <v>2012</v>
      </c>
      <c r="AQ51" s="57" t="s">
        <v>847</v>
      </c>
    </row>
    <row r="52" ht="15.0" customHeight="1">
      <c r="A52" s="116" t="s">
        <v>2016</v>
      </c>
      <c r="B52" s="182">
        <v>45974.0</v>
      </c>
      <c r="C52" s="182">
        <v>45966.0</v>
      </c>
      <c r="D52" s="57" t="s">
        <v>225</v>
      </c>
      <c r="E52" s="3">
        <f t="array" ref="E52">XLOOKUP(D52,RUC!$B$3:$B$110,RUC!$D$3:$D$110)</f>
        <v>10761932735</v>
      </c>
      <c r="G52" s="141" t="s">
        <v>735</v>
      </c>
      <c r="H52" s="3" t="s">
        <v>339</v>
      </c>
      <c r="I52" s="6">
        <v>25.82</v>
      </c>
      <c r="J52" s="58">
        <v>16.65</v>
      </c>
      <c r="K52" s="6">
        <f t="shared" si="2"/>
        <v>21.521</v>
      </c>
      <c r="L52" s="139">
        <v>0.179</v>
      </c>
      <c r="M52" s="60">
        <f t="shared" si="30"/>
        <v>0.164</v>
      </c>
      <c r="N52" s="62">
        <f t="shared" si="35"/>
        <v>0.164</v>
      </c>
      <c r="O52" s="60">
        <f t="shared" si="16"/>
        <v>0.164</v>
      </c>
      <c r="P52" s="63">
        <v>90.0</v>
      </c>
      <c r="Q52" s="58">
        <v>91.62</v>
      </c>
      <c r="R52" s="65">
        <v>3968.2</v>
      </c>
      <c r="S52" s="66">
        <f t="array" ref="S52">IF((XLOOKUP(D52,RUC!$B$3:$B$106,RUC!$E$3:$E$106)+ROUNDDOWN(O52,1)*100)&lt;95,95,((XLOOKUP(D52,RUC!$B$3:$B$106,RUC!$E$3:$E$106)+ROUNDDOWN(O52,1)*100)))</f>
        <v>100</v>
      </c>
      <c r="U52" s="67">
        <f t="array" ref="U52">XLOOKUP(D52,RUC!$B$3:$B$110,RUC!$F$3:$F$110)</f>
        <v>120</v>
      </c>
      <c r="V52" s="67">
        <v>1.1023</v>
      </c>
      <c r="Y52" s="57">
        <f t="array" ref="Y52">XLOOKUP(D52,RUC!$B$3:$B$110,RUC!$G$3:$G$110)</f>
        <v>20</v>
      </c>
      <c r="Z52" s="69">
        <f t="array" ref="Z52">XLOOKUP(D52,RUC!$B$3:$B$110,RUC!$H$3:$H$110)</f>
        <v>30</v>
      </c>
      <c r="AA52" s="70">
        <f t="shared" si="4"/>
        <v>50</v>
      </c>
      <c r="AB52" s="71">
        <f t="shared" si="31"/>
        <v>460.7551389</v>
      </c>
      <c r="AC52" s="71">
        <f>+(S52-T52)*V52-'data 1'!$F$4</f>
        <v>30.23</v>
      </c>
      <c r="AD52" s="71">
        <f t="shared" si="6"/>
        <v>12.30057712</v>
      </c>
      <c r="AE52" s="71">
        <f t="shared" si="7"/>
        <v>-14.885</v>
      </c>
      <c r="AF52" s="71">
        <f t="shared" si="8"/>
        <v>58.29603123</v>
      </c>
      <c r="AG52" s="72">
        <f t="shared" ref="AG52:AG60" si="36">AC52+AD52+AE52+AF52+70-53</f>
        <v>102.9416083</v>
      </c>
      <c r="AH52" s="193">
        <f t="shared" si="10"/>
        <v>121.008</v>
      </c>
      <c r="AI52" s="193">
        <f t="shared" si="11"/>
        <v>132.076</v>
      </c>
      <c r="AJ52" s="73">
        <f t="shared" si="12"/>
        <v>49.13518304</v>
      </c>
      <c r="AK52" s="73">
        <f t="shared" si="13"/>
        <v>108.9075214</v>
      </c>
      <c r="AL52" s="11"/>
      <c r="AM52" s="51">
        <f t="shared" si="14"/>
        <v>9915.911345</v>
      </c>
      <c r="AN52" s="51" t="str">
        <f t="array" ref="AN52">XLOOKUP(D52,RUC!$B$3:$B$565,RUC!$M$3:$M$565)</f>
        <v>Richard Sapacayo</v>
      </c>
      <c r="AO52" s="131" t="s">
        <v>549</v>
      </c>
      <c r="AP52" s="57" t="s">
        <v>2017</v>
      </c>
      <c r="AQ52" s="57" t="s">
        <v>2018</v>
      </c>
    </row>
    <row r="53" ht="15.0" customHeight="1">
      <c r="A53" s="116" t="s">
        <v>2019</v>
      </c>
      <c r="B53" s="182">
        <v>45974.0</v>
      </c>
      <c r="C53" s="182">
        <v>45967.0</v>
      </c>
      <c r="D53" s="57" t="s">
        <v>622</v>
      </c>
      <c r="E53" s="3">
        <f t="array" ref="E53">XLOOKUP(D53,RUC!$B$3:$B$110,RUC!$D$3:$D$110)</f>
        <v>20612719757</v>
      </c>
      <c r="G53" s="141">
        <v>34.0</v>
      </c>
      <c r="H53" s="3" t="s">
        <v>339</v>
      </c>
      <c r="I53" s="6">
        <v>2.7</v>
      </c>
      <c r="J53" s="58">
        <v>17.2</v>
      </c>
      <c r="K53" s="6">
        <f t="shared" si="2"/>
        <v>2.236</v>
      </c>
      <c r="L53" s="3">
        <v>0.347</v>
      </c>
      <c r="M53" s="60">
        <f t="shared" si="30"/>
        <v>0.33</v>
      </c>
      <c r="N53" s="62">
        <f t="shared" si="35"/>
        <v>0.33</v>
      </c>
      <c r="O53" s="60">
        <f t="shared" si="16"/>
        <v>0.33</v>
      </c>
      <c r="P53" s="63">
        <v>90.0</v>
      </c>
      <c r="Q53" s="58">
        <v>91.93</v>
      </c>
      <c r="R53" s="65">
        <v>3986.5</v>
      </c>
      <c r="S53" s="66">
        <f t="array" ref="S53">IF((XLOOKUP(D53,RUC!$B$3:$B$106,RUC!$E$3:$E$106)+ROUNDDOWN(O53,1)*100)&lt;95,95,((XLOOKUP(D53,RUC!$B$3:$B$106,RUC!$E$3:$E$106)+ROUNDDOWN(O53,1)*100)))</f>
        <v>120</v>
      </c>
      <c r="U53" s="67">
        <f t="array" ref="U53">XLOOKUP(D53,RUC!$B$3:$B$110,RUC!$F$3:$F$110)</f>
        <v>120</v>
      </c>
      <c r="V53" s="67">
        <v>1.1023</v>
      </c>
      <c r="Y53" s="57">
        <f t="array" ref="Y53">XLOOKUP(D53,RUC!$B$3:$B$110,RUC!$G$3:$G$110)</f>
        <v>20</v>
      </c>
      <c r="Z53" s="69">
        <f t="array" ref="Z53">XLOOKUP(D53,RUC!$B$3:$B$110,RUC!$H$3:$H$110)</f>
        <v>30</v>
      </c>
      <c r="AA53" s="70">
        <f t="shared" si="4"/>
        <v>50</v>
      </c>
      <c r="AB53" s="71">
        <f t="shared" si="31"/>
        <v>1078.435756</v>
      </c>
      <c r="AC53" s="71">
        <f>+(S53-T53)*V53-'data 1'!$F$4</f>
        <v>52.276</v>
      </c>
      <c r="AD53" s="71">
        <f t="shared" si="6"/>
        <v>28.54332784</v>
      </c>
      <c r="AE53" s="71">
        <f t="shared" si="7"/>
        <v>-14.885</v>
      </c>
      <c r="AF53" s="71">
        <f t="shared" si="8"/>
        <v>66.60763343</v>
      </c>
      <c r="AG53" s="72">
        <f t="shared" si="36"/>
        <v>149.5419613</v>
      </c>
      <c r="AH53" s="193">
        <f t="shared" si="10"/>
        <v>24.455</v>
      </c>
      <c r="AI53" s="193">
        <f t="shared" si="11"/>
        <v>26.602</v>
      </c>
      <c r="AJ53" s="73">
        <f t="shared" si="12"/>
        <v>89.13833259</v>
      </c>
      <c r="AK53" s="73">
        <f t="shared" si="13"/>
        <v>22.76865192</v>
      </c>
      <c r="AL53" s="11"/>
      <c r="AM53" s="51">
        <f t="shared" si="14"/>
        <v>2411.382351</v>
      </c>
      <c r="AN53" s="51" t="str">
        <f t="array" ref="AN53">XLOOKUP(D53,RUC!$B$3:$B$565,RUC!$M$3:$M$565)</f>
        <v>Walter Achulla </v>
      </c>
      <c r="AO53" s="131" t="s">
        <v>547</v>
      </c>
      <c r="AP53" s="2" t="s">
        <v>2020</v>
      </c>
      <c r="AQ53" s="2" t="s">
        <v>2021</v>
      </c>
    </row>
    <row r="54" ht="15.0" customHeight="1">
      <c r="A54" s="116" t="s">
        <v>2022</v>
      </c>
      <c r="B54" s="182">
        <v>45974.0</v>
      </c>
      <c r="C54" s="182">
        <v>45967.0</v>
      </c>
      <c r="D54" s="57" t="s">
        <v>622</v>
      </c>
      <c r="E54" s="3">
        <f t="array" ref="E54">XLOOKUP(D54,RUC!$B$3:$B$110,RUC!$D$3:$D$110)</f>
        <v>20612719757</v>
      </c>
      <c r="G54" s="141">
        <v>36.0</v>
      </c>
      <c r="H54" s="3" t="s">
        <v>339</v>
      </c>
      <c r="I54" s="6">
        <v>2.93</v>
      </c>
      <c r="J54" s="58">
        <v>13.4</v>
      </c>
      <c r="K54" s="6">
        <f t="shared" si="2"/>
        <v>2.537</v>
      </c>
      <c r="L54" s="3">
        <v>0.235</v>
      </c>
      <c r="M54" s="60">
        <f t="shared" si="30"/>
        <v>0.22</v>
      </c>
      <c r="N54" s="62">
        <f t="shared" si="35"/>
        <v>0.22</v>
      </c>
      <c r="O54" s="60">
        <f t="shared" si="16"/>
        <v>0.22</v>
      </c>
      <c r="P54" s="63">
        <v>90.0</v>
      </c>
      <c r="Q54" s="58">
        <v>91.06</v>
      </c>
      <c r="R54" s="65">
        <v>3986.5</v>
      </c>
      <c r="S54" s="66">
        <f t="array" ref="S54">IF((XLOOKUP(D54,RUC!$B$3:$B$106,RUC!$E$3:$E$106)+ROUNDDOWN(O54,1)*100)&lt;95,95,((XLOOKUP(D54,RUC!$B$3:$B$106,RUC!$E$3:$E$106)+ROUNDDOWN(O54,1)*100)))</f>
        <v>110</v>
      </c>
      <c r="U54" s="67">
        <f t="array" ref="U54">XLOOKUP(D54,RUC!$B$3:$B$110,RUC!$F$3:$F$110)</f>
        <v>120</v>
      </c>
      <c r="V54" s="67">
        <v>1.1023</v>
      </c>
      <c r="Y54" s="57">
        <f t="array" ref="Y54">XLOOKUP(D54,RUC!$B$3:$B$110,RUC!$G$3:$G$110)</f>
        <v>20</v>
      </c>
      <c r="Z54" s="69">
        <f t="array" ref="Z54">XLOOKUP(D54,RUC!$B$3:$B$110,RUC!$H$3:$H$110)</f>
        <v>30</v>
      </c>
      <c r="AA54" s="70">
        <f t="shared" si="4"/>
        <v>50</v>
      </c>
      <c r="AB54" s="71">
        <f t="shared" si="31"/>
        <v>667.5165041</v>
      </c>
      <c r="AC54" s="71">
        <f>+(S54-T54)*V54-'data 1'!$F$4</f>
        <v>41.253</v>
      </c>
      <c r="AD54" s="71">
        <f t="shared" si="6"/>
        <v>10.61674899</v>
      </c>
      <c r="AE54" s="71">
        <f t="shared" si="7"/>
        <v>-14.885</v>
      </c>
      <c r="AF54" s="71">
        <f t="shared" si="8"/>
        <v>58.21524465</v>
      </c>
      <c r="AG54" s="72">
        <f t="shared" si="36"/>
        <v>112.1999936</v>
      </c>
      <c r="AH54" s="193">
        <f t="shared" si="10"/>
        <v>18.613</v>
      </c>
      <c r="AI54" s="193">
        <f t="shared" si="11"/>
        <v>20.441</v>
      </c>
      <c r="AJ54" s="73">
        <f t="shared" si="12"/>
        <v>59.7961578</v>
      </c>
      <c r="AK54" s="73">
        <f t="shared" si="13"/>
        <v>17.22244184</v>
      </c>
      <c r="AL54" s="11"/>
      <c r="AM54" s="51">
        <f t="shared" si="14"/>
        <v>1693.489371</v>
      </c>
      <c r="AN54" s="51" t="str">
        <f t="array" ref="AN54">XLOOKUP(D54,RUC!$B$3:$B$565,RUC!$M$3:$M$565)</f>
        <v>Walter Achulla </v>
      </c>
      <c r="AO54" s="131" t="s">
        <v>547</v>
      </c>
      <c r="AP54" s="2" t="s">
        <v>2020</v>
      </c>
      <c r="AQ54" s="2" t="s">
        <v>2021</v>
      </c>
    </row>
    <row r="55" ht="15.0" customHeight="1">
      <c r="A55" s="116" t="s">
        <v>2023</v>
      </c>
      <c r="B55" s="182">
        <v>45971.0</v>
      </c>
      <c r="C55" s="182">
        <v>45967.0</v>
      </c>
      <c r="D55" s="57" t="s">
        <v>622</v>
      </c>
      <c r="E55" s="3">
        <f t="array" ref="E55">XLOOKUP(D55,RUC!$B$3:$B$110,RUC!$D$3:$D$110)</f>
        <v>20612719757</v>
      </c>
      <c r="G55" s="141">
        <v>54.0</v>
      </c>
      <c r="H55" s="3" t="s">
        <v>339</v>
      </c>
      <c r="I55" s="6">
        <v>4.57</v>
      </c>
      <c r="J55" s="58">
        <v>15.6</v>
      </c>
      <c r="K55" s="6">
        <f t="shared" si="2"/>
        <v>3.857</v>
      </c>
      <c r="L55" s="3">
        <v>0.436</v>
      </c>
      <c r="M55" s="60">
        <f t="shared" si="30"/>
        <v>0.414</v>
      </c>
      <c r="N55" s="62">
        <f t="shared" si="35"/>
        <v>0.414</v>
      </c>
      <c r="O55" s="60">
        <f t="shared" si="16"/>
        <v>0.414</v>
      </c>
      <c r="P55" s="63">
        <v>90.0</v>
      </c>
      <c r="Q55" s="58">
        <v>96.1</v>
      </c>
      <c r="R55" s="65">
        <v>3986.5</v>
      </c>
      <c r="S55" s="66">
        <f t="array" ref="S55">IF((XLOOKUP(D55,RUC!$B$3:$B$106,RUC!$E$3:$E$106)+ROUNDDOWN(O55,1)*100)&lt;95,95,((XLOOKUP(D55,RUC!$B$3:$B$106,RUC!$E$3:$E$106)+ROUNDDOWN(O55,1)*100)))</f>
        <v>130</v>
      </c>
      <c r="U55" s="67">
        <f t="array" ref="U55">XLOOKUP(D55,RUC!$B$3:$B$110,RUC!$F$3:$F$110)</f>
        <v>120</v>
      </c>
      <c r="V55" s="67">
        <v>1.1023</v>
      </c>
      <c r="Y55" s="57">
        <f t="array" ref="Y55">XLOOKUP(D55,RUC!$B$3:$B$110,RUC!$G$3:$G$110)</f>
        <v>20</v>
      </c>
      <c r="Z55" s="69">
        <f t="array" ref="Z55">XLOOKUP(D55,RUC!$B$3:$B$110,RUC!$H$3:$H$110)</f>
        <v>30</v>
      </c>
      <c r="AA55" s="70">
        <f t="shared" si="4"/>
        <v>50</v>
      </c>
      <c r="AB55" s="71">
        <f t="shared" si="31"/>
        <v>1389.623203</v>
      </c>
      <c r="AC55" s="71">
        <f>+(S55-T55)*V55-'data 1'!$F$4</f>
        <v>63.299</v>
      </c>
      <c r="AD55" s="71">
        <f t="shared" si="6"/>
        <v>113.3532943</v>
      </c>
      <c r="AE55" s="71">
        <f t="shared" si="7"/>
        <v>-14.885</v>
      </c>
      <c r="AF55" s="71">
        <f t="shared" si="8"/>
        <v>90.10811205</v>
      </c>
      <c r="AG55" s="72">
        <f t="shared" si="36"/>
        <v>268.8754063</v>
      </c>
      <c r="AH55" s="193">
        <f t="shared" si="10"/>
        <v>55.408</v>
      </c>
      <c r="AI55" s="193">
        <f t="shared" si="11"/>
        <v>57.656</v>
      </c>
      <c r="AJ55" s="73">
        <f t="shared" si="12"/>
        <v>117.0813302</v>
      </c>
      <c r="AK55" s="73">
        <f t="shared" si="13"/>
        <v>49.27215516</v>
      </c>
      <c r="AL55" s="11"/>
      <c r="AM55" s="51">
        <f t="shared" si="14"/>
        <v>5359.776695</v>
      </c>
      <c r="AN55" s="51" t="str">
        <f t="array" ref="AN55">XLOOKUP(D55,RUC!$B$3:$B$565,RUC!$M$3:$M$565)</f>
        <v>Walter Achulla </v>
      </c>
      <c r="AO55" s="131" t="s">
        <v>547</v>
      </c>
      <c r="AP55" s="2" t="s">
        <v>2020</v>
      </c>
      <c r="AQ55" s="2" t="s">
        <v>2021</v>
      </c>
    </row>
    <row r="56" ht="15.0" customHeight="1">
      <c r="A56" s="116" t="s">
        <v>2024</v>
      </c>
      <c r="B56" s="182">
        <v>45974.0</v>
      </c>
      <c r="C56" s="182">
        <v>45967.0</v>
      </c>
      <c r="D56" s="57" t="s">
        <v>295</v>
      </c>
      <c r="E56" s="3">
        <f t="array" ref="E56">XLOOKUP(D56,RUC!$B$3:$B$110,RUC!$D$3:$D$110)</f>
        <v>20601769396</v>
      </c>
      <c r="G56" s="141">
        <v>30.0</v>
      </c>
      <c r="H56" s="3" t="s">
        <v>339</v>
      </c>
      <c r="I56" s="6">
        <v>2.61</v>
      </c>
      <c r="J56" s="58">
        <v>10.23</v>
      </c>
      <c r="K56" s="6">
        <f t="shared" si="2"/>
        <v>2.343</v>
      </c>
      <c r="L56" s="3">
        <v>0.299</v>
      </c>
      <c r="M56" s="60">
        <f t="shared" si="30"/>
        <v>0.284</v>
      </c>
      <c r="N56" s="62">
        <f t="shared" si="35"/>
        <v>0.284</v>
      </c>
      <c r="O56" s="60">
        <f t="shared" si="16"/>
        <v>0.284</v>
      </c>
      <c r="P56" s="63">
        <v>90.0</v>
      </c>
      <c r="Q56" s="58">
        <v>93.02</v>
      </c>
      <c r="R56" s="65">
        <v>3986.5</v>
      </c>
      <c r="S56" s="66">
        <f t="array" ref="S56">IF((XLOOKUP(D56,RUC!$B$3:$B$106,RUC!$E$3:$E$106)+ROUNDDOWN(O56,1)*100)&lt;95,95,((XLOOKUP(D56,RUC!$B$3:$B$106,RUC!$E$3:$E$106)+ROUNDDOWN(O56,1)*100)))</f>
        <v>110</v>
      </c>
      <c r="U56" s="67">
        <f t="array" ref="U56">XLOOKUP(D56,RUC!$B$3:$B$110,RUC!$F$3:$F$110)</f>
        <v>120</v>
      </c>
      <c r="V56" s="67">
        <v>1.1023</v>
      </c>
      <c r="Y56" s="57">
        <f t="array" ref="Y56">XLOOKUP(D56,RUC!$B$3:$B$110,RUC!$G$3:$G$110)</f>
        <v>20</v>
      </c>
      <c r="Z56" s="69">
        <f t="array" ref="Z56">XLOOKUP(D56,RUC!$B$3:$B$110,RUC!$H$3:$H$110)</f>
        <v>30</v>
      </c>
      <c r="AA56" s="70">
        <f t="shared" si="4"/>
        <v>50</v>
      </c>
      <c r="AB56" s="71">
        <f t="shared" si="31"/>
        <v>913.010178</v>
      </c>
      <c r="AC56" s="71">
        <f>+(S56-T56)*V56-'data 1'!$F$4</f>
        <v>41.253</v>
      </c>
      <c r="AD56" s="71">
        <f t="shared" si="6"/>
        <v>38.48539543</v>
      </c>
      <c r="AE56" s="71">
        <f t="shared" si="7"/>
        <v>-14.885</v>
      </c>
      <c r="AF56" s="71">
        <f t="shared" si="8"/>
        <v>59.46828528</v>
      </c>
      <c r="AG56" s="72">
        <f t="shared" si="36"/>
        <v>141.3216807</v>
      </c>
      <c r="AH56" s="193">
        <f t="shared" si="10"/>
        <v>22.342</v>
      </c>
      <c r="AI56" s="193">
        <f t="shared" si="11"/>
        <v>24.019</v>
      </c>
      <c r="AJ56" s="73">
        <f t="shared" si="12"/>
        <v>77.71865831</v>
      </c>
      <c r="AK56" s="73">
        <f t="shared" si="13"/>
        <v>20.53251777</v>
      </c>
      <c r="AL56" s="11"/>
      <c r="AM56" s="51">
        <f t="shared" si="14"/>
        <v>2139.182847</v>
      </c>
      <c r="AN56" s="51" t="str">
        <f t="array" ref="AN56">XLOOKUP(D56,RUC!$B$3:$B$565,RUC!$M$3:$M$565)</f>
        <v>Evelyn</v>
      </c>
      <c r="AO56" s="131" t="s">
        <v>547</v>
      </c>
      <c r="AP56" s="2" t="s">
        <v>2025</v>
      </c>
      <c r="AQ56" s="2" t="s">
        <v>2026</v>
      </c>
    </row>
    <row r="57" ht="15.0" customHeight="1">
      <c r="A57" s="116" t="s">
        <v>2027</v>
      </c>
      <c r="B57" s="182">
        <v>45974.0</v>
      </c>
      <c r="C57" s="182">
        <v>45967.0</v>
      </c>
      <c r="D57" s="57" t="s">
        <v>295</v>
      </c>
      <c r="E57" s="3">
        <f t="array" ref="E57">XLOOKUP(D57,RUC!$B$3:$B$110,RUC!$D$3:$D$110)</f>
        <v>20601769396</v>
      </c>
      <c r="G57" s="141">
        <v>23.0</v>
      </c>
      <c r="H57" s="3" t="s">
        <v>339</v>
      </c>
      <c r="I57" s="6">
        <v>1.98</v>
      </c>
      <c r="J57" s="58">
        <v>8.7</v>
      </c>
      <c r="K57" s="6">
        <f t="shared" si="2"/>
        <v>1.808</v>
      </c>
      <c r="L57" s="3">
        <v>0.257</v>
      </c>
      <c r="M57" s="60">
        <f t="shared" si="30"/>
        <v>0.242</v>
      </c>
      <c r="N57" s="62">
        <f t="shared" si="35"/>
        <v>0.242</v>
      </c>
      <c r="O57" s="60">
        <f t="shared" si="16"/>
        <v>0.242</v>
      </c>
      <c r="P57" s="63">
        <v>90.0</v>
      </c>
      <c r="Q57" s="58">
        <v>94.16</v>
      </c>
      <c r="R57" s="65">
        <v>3986.5</v>
      </c>
      <c r="S57" s="66">
        <f t="array" ref="S57">IF((XLOOKUP(D57,RUC!$B$3:$B$106,RUC!$E$3:$E$106)+ROUNDDOWN(O57,1)*100)&lt;95,95,((XLOOKUP(D57,RUC!$B$3:$B$106,RUC!$E$3:$E$106)+ROUNDDOWN(O57,1)*100)))</f>
        <v>110</v>
      </c>
      <c r="U57" s="67">
        <f t="array" ref="U57">XLOOKUP(D57,RUC!$B$3:$B$110,RUC!$F$3:$F$110)</f>
        <v>120</v>
      </c>
      <c r="V57" s="67">
        <v>1.1023</v>
      </c>
      <c r="Y57" s="57">
        <f t="array" ref="Y57">XLOOKUP(D57,RUC!$B$3:$B$110,RUC!$G$3:$G$110)</f>
        <v>20</v>
      </c>
      <c r="Z57" s="69">
        <f t="array" ref="Z57">XLOOKUP(D57,RUC!$B$3:$B$110,RUC!$H$3:$H$110)</f>
        <v>30</v>
      </c>
      <c r="AA57" s="70">
        <f t="shared" si="4"/>
        <v>50</v>
      </c>
      <c r="AB57" s="71">
        <f t="shared" si="31"/>
        <v>751.9049545</v>
      </c>
      <c r="AC57" s="71">
        <f>+(S57-T57)*V57-'data 1'!$F$4</f>
        <v>41.253</v>
      </c>
      <c r="AD57" s="71">
        <f t="shared" si="6"/>
        <v>45.56635359</v>
      </c>
      <c r="AE57" s="71">
        <f t="shared" si="7"/>
        <v>-14.885</v>
      </c>
      <c r="AF57" s="71">
        <f t="shared" si="8"/>
        <v>60.19709463</v>
      </c>
      <c r="AG57" s="72">
        <f t="shared" si="36"/>
        <v>149.1314482</v>
      </c>
      <c r="AH57" s="193">
        <f t="shared" si="10"/>
        <v>15.001</v>
      </c>
      <c r="AI57" s="193">
        <f t="shared" si="11"/>
        <v>15.931</v>
      </c>
      <c r="AJ57" s="73">
        <f t="shared" si="12"/>
        <v>67.62033909</v>
      </c>
      <c r="AK57" s="73">
        <f t="shared" si="13"/>
        <v>13.50098239</v>
      </c>
      <c r="AL57" s="11"/>
      <c r="AM57" s="51">
        <f t="shared" si="14"/>
        <v>1359.444158</v>
      </c>
      <c r="AN57" s="51" t="str">
        <f t="array" ref="AN57">XLOOKUP(D57,RUC!$B$3:$B$565,RUC!$M$3:$M$565)</f>
        <v>Evelyn</v>
      </c>
      <c r="AO57" s="131" t="s">
        <v>547</v>
      </c>
      <c r="AP57" s="2" t="s">
        <v>736</v>
      </c>
      <c r="AQ57" s="2" t="s">
        <v>2028</v>
      </c>
    </row>
    <row r="58" ht="15.0" customHeight="1">
      <c r="A58" s="116" t="s">
        <v>2029</v>
      </c>
      <c r="B58" s="182">
        <v>45971.0</v>
      </c>
      <c r="C58" s="182">
        <v>45967.0</v>
      </c>
      <c r="D58" s="57" t="s">
        <v>295</v>
      </c>
      <c r="E58" s="3">
        <f t="array" ref="E58">XLOOKUP(D58,RUC!$B$3:$B$110,RUC!$D$3:$D$110)</f>
        <v>20601769396</v>
      </c>
      <c r="G58" s="141">
        <v>40.0</v>
      </c>
      <c r="H58" s="3" t="s">
        <v>339</v>
      </c>
      <c r="I58" s="6">
        <v>3.36</v>
      </c>
      <c r="J58" s="58">
        <v>8.85</v>
      </c>
      <c r="K58" s="6">
        <f t="shared" si="2"/>
        <v>3.063</v>
      </c>
      <c r="L58" s="3">
        <v>0.195</v>
      </c>
      <c r="M58" s="60">
        <f t="shared" si="30"/>
        <v>0.18</v>
      </c>
      <c r="N58" s="62">
        <f t="shared" si="35"/>
        <v>0.18</v>
      </c>
      <c r="O58" s="60">
        <f t="shared" si="16"/>
        <v>0.18</v>
      </c>
      <c r="P58" s="63">
        <v>90.0</v>
      </c>
      <c r="Q58" s="58">
        <v>93.33</v>
      </c>
      <c r="R58" s="65">
        <v>3986.5</v>
      </c>
      <c r="S58" s="66">
        <f t="array" ref="S58">IF((XLOOKUP(D58,RUC!$B$3:$B$106,RUC!$E$3:$E$106)+ROUNDDOWN(O58,1)*100)&lt;95,95,((XLOOKUP(D58,RUC!$B$3:$B$106,RUC!$E$3:$E$106)+ROUNDDOWN(O58,1)*100)))</f>
        <v>100</v>
      </c>
      <c r="U58" s="67">
        <f t="array" ref="U58">XLOOKUP(D58,RUC!$B$3:$B$110,RUC!$F$3:$F$110)</f>
        <v>120</v>
      </c>
      <c r="V58" s="67">
        <v>1.1023</v>
      </c>
      <c r="Y58" s="57">
        <f t="array" ref="Y58">XLOOKUP(D58,RUC!$B$3:$B$110,RUC!$G$3:$G$110)</f>
        <v>20</v>
      </c>
      <c r="Z58" s="69">
        <f t="array" ref="Z58">XLOOKUP(D58,RUC!$B$3:$B$110,RUC!$H$3:$H$110)</f>
        <v>30</v>
      </c>
      <c r="AA58" s="70">
        <f t="shared" si="4"/>
        <v>50</v>
      </c>
      <c r="AB58" s="71">
        <f t="shared" si="31"/>
        <v>525.1059579</v>
      </c>
      <c r="AC58" s="71">
        <f>+(S58-T58)*V58-'data 1'!$F$4</f>
        <v>30.23</v>
      </c>
      <c r="AD58" s="71">
        <f t="shared" si="6"/>
        <v>27.6755759</v>
      </c>
      <c r="AE58" s="71">
        <f t="shared" si="7"/>
        <v>-14.885</v>
      </c>
      <c r="AF58" s="71">
        <f t="shared" si="8"/>
        <v>59.66647028</v>
      </c>
      <c r="AG58" s="72">
        <f t="shared" si="36"/>
        <v>119.6870462</v>
      </c>
      <c r="AH58" s="193">
        <f t="shared" si="10"/>
        <v>19.112</v>
      </c>
      <c r="AI58" s="193">
        <f t="shared" si="11"/>
        <v>20.478</v>
      </c>
      <c r="AJ58" s="73">
        <f t="shared" si="12"/>
        <v>50.85499879</v>
      </c>
      <c r="AK58" s="73">
        <f t="shared" si="13"/>
        <v>17.01261526</v>
      </c>
      <c r="AL58" s="11"/>
      <c r="AM58" s="51">
        <f t="shared" si="14"/>
        <v>1608.399549</v>
      </c>
      <c r="AN58" s="51" t="str">
        <f t="array" ref="AN58">XLOOKUP(D58,RUC!$B$3:$B$565,RUC!$M$3:$M$565)</f>
        <v>Evelyn</v>
      </c>
      <c r="AO58" s="131" t="s">
        <v>547</v>
      </c>
      <c r="AP58" s="2" t="s">
        <v>736</v>
      </c>
      <c r="AQ58" s="2" t="s">
        <v>2028</v>
      </c>
    </row>
    <row r="59" ht="15.0" customHeight="1">
      <c r="A59" s="116" t="s">
        <v>2030</v>
      </c>
      <c r="B59" s="182">
        <v>45971.0</v>
      </c>
      <c r="C59" s="182">
        <v>45967.0</v>
      </c>
      <c r="D59" s="57" t="s">
        <v>295</v>
      </c>
      <c r="E59" s="3">
        <f t="array" ref="E59">XLOOKUP(D59,RUC!$B$3:$B$110,RUC!$D$3:$D$110)</f>
        <v>20601769396</v>
      </c>
      <c r="G59" s="141">
        <v>50.0</v>
      </c>
      <c r="H59" s="3" t="s">
        <v>339</v>
      </c>
      <c r="I59" s="6">
        <v>4.2</v>
      </c>
      <c r="J59" s="58">
        <v>9.75</v>
      </c>
      <c r="K59" s="6">
        <f t="shared" si="2"/>
        <v>3.791</v>
      </c>
      <c r="L59" s="3">
        <v>0.177</v>
      </c>
      <c r="M59" s="60">
        <f t="shared" si="30"/>
        <v>0.162</v>
      </c>
      <c r="N59" s="62">
        <f t="shared" si="35"/>
        <v>0.162</v>
      </c>
      <c r="O59" s="60">
        <f t="shared" si="16"/>
        <v>0.162</v>
      </c>
      <c r="P59" s="63">
        <v>90.0</v>
      </c>
      <c r="Q59" s="58">
        <v>95.48</v>
      </c>
      <c r="R59" s="65">
        <v>3986.5</v>
      </c>
      <c r="S59" s="66">
        <f t="array" ref="S59">IF((XLOOKUP(D59,RUC!$B$3:$B$106,RUC!$E$3:$E$106)+ROUNDDOWN(O59,1)*100)&lt;95,95,((XLOOKUP(D59,RUC!$B$3:$B$106,RUC!$E$3:$E$106)+ROUNDDOWN(O59,1)*100)))</f>
        <v>100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69">
        <f t="array" ref="Z59">XLOOKUP(D59,RUC!$B$3:$B$110,RUC!$H$3:$H$110)</f>
        <v>30</v>
      </c>
      <c r="AA59" s="70">
        <f t="shared" si="4"/>
        <v>50</v>
      </c>
      <c r="AB59" s="71">
        <f t="shared" si="31"/>
        <v>456.0608621</v>
      </c>
      <c r="AC59" s="71">
        <f>+(S59-T59)*V59-'data 1'!$F$4</f>
        <v>30.23</v>
      </c>
      <c r="AD59" s="71">
        <f t="shared" si="6"/>
        <v>41.3401118</v>
      </c>
      <c r="AE59" s="71">
        <f t="shared" si="7"/>
        <v>-14.885</v>
      </c>
      <c r="AF59" s="71">
        <f t="shared" si="8"/>
        <v>61.04097913</v>
      </c>
      <c r="AG59" s="72">
        <f t="shared" si="36"/>
        <v>134.7260909</v>
      </c>
      <c r="AH59" s="193">
        <f t="shared" si="10"/>
        <v>21.966</v>
      </c>
      <c r="AI59" s="193">
        <f t="shared" si="11"/>
        <v>23.006</v>
      </c>
      <c r="AJ59" s="73">
        <f t="shared" si="12"/>
        <v>47.22407368</v>
      </c>
      <c r="AK59" s="73">
        <f t="shared" si="13"/>
        <v>18.95048711</v>
      </c>
      <c r="AL59" s="11"/>
      <c r="AM59" s="51">
        <f t="shared" si="14"/>
        <v>1728.926728</v>
      </c>
      <c r="AN59" s="51" t="str">
        <f t="array" ref="AN59">XLOOKUP(D59,RUC!$B$3:$B$565,RUC!$M$3:$M$565)</f>
        <v>Evelyn</v>
      </c>
      <c r="AO59" s="131" t="s">
        <v>547</v>
      </c>
      <c r="AP59" s="2" t="s">
        <v>736</v>
      </c>
      <c r="AQ59" s="2" t="s">
        <v>2028</v>
      </c>
    </row>
    <row r="60" ht="15.0" customHeight="1">
      <c r="A60" s="116" t="s">
        <v>2031</v>
      </c>
      <c r="B60" s="182">
        <v>45971.0</v>
      </c>
      <c r="C60" s="182">
        <v>45967.0</v>
      </c>
      <c r="D60" s="57" t="s">
        <v>295</v>
      </c>
      <c r="E60" s="3">
        <f t="array" ref="E60">XLOOKUP(D60,RUC!$B$3:$B$110,RUC!$D$3:$D$110)</f>
        <v>20601769396</v>
      </c>
      <c r="G60" s="141">
        <v>50.0</v>
      </c>
      <c r="H60" s="3" t="s">
        <v>339</v>
      </c>
      <c r="I60" s="6">
        <v>4.1</v>
      </c>
      <c r="J60" s="58">
        <v>8.95</v>
      </c>
      <c r="K60" s="6">
        <f t="shared" si="2"/>
        <v>3.733</v>
      </c>
      <c r="L60" s="3">
        <v>0.238</v>
      </c>
      <c r="M60" s="60">
        <f t="shared" si="30"/>
        <v>0.223</v>
      </c>
      <c r="N60" s="62">
        <f t="shared" si="35"/>
        <v>0.223</v>
      </c>
      <c r="O60" s="60">
        <f t="shared" si="16"/>
        <v>0.223</v>
      </c>
      <c r="P60" s="63">
        <v>90.0</v>
      </c>
      <c r="Q60" s="58">
        <v>93.28</v>
      </c>
      <c r="R60" s="65">
        <v>3986.5</v>
      </c>
      <c r="S60" s="66">
        <f t="array" ref="S60">IF((XLOOKUP(D60,RUC!$B$3:$B$106,RUC!$E$3:$E$106)+ROUNDDOWN(O60,1)*100)&lt;95,95,((XLOOKUP(D60,RUC!$B$3:$B$106,RUC!$E$3:$E$106)+ROUNDDOWN(O60,1)*100)))</f>
        <v>110</v>
      </c>
      <c r="U60" s="67">
        <f t="array" ref="U60">XLOOKUP(D60,RUC!$B$3:$B$110,RUC!$F$3:$F$110)</f>
        <v>120</v>
      </c>
      <c r="V60" s="67">
        <v>1.1023</v>
      </c>
      <c r="Y60" s="57">
        <f t="array" ref="Y60">XLOOKUP(D60,RUC!$B$3:$B$110,RUC!$G$3:$G$110)</f>
        <v>20</v>
      </c>
      <c r="Z60" s="69">
        <f t="array" ref="Z60">XLOOKUP(D60,RUC!$B$3:$B$110,RUC!$H$3:$H$110)</f>
        <v>30</v>
      </c>
      <c r="AA60" s="70">
        <f t="shared" si="4"/>
        <v>50</v>
      </c>
      <c r="AB60" s="71">
        <f t="shared" si="31"/>
        <v>679.0240201</v>
      </c>
      <c r="AC60" s="71">
        <f>+(S60-T60)*V60-'data 1'!$F$4</f>
        <v>41.253</v>
      </c>
      <c r="AD60" s="71">
        <f t="shared" si="6"/>
        <v>33.27121208</v>
      </c>
      <c r="AE60" s="71">
        <f t="shared" si="7"/>
        <v>-14.885</v>
      </c>
      <c r="AF60" s="71">
        <f t="shared" si="8"/>
        <v>59.63450496</v>
      </c>
      <c r="AG60" s="72">
        <f t="shared" si="36"/>
        <v>136.273717</v>
      </c>
      <c r="AH60" s="193">
        <f t="shared" si="10"/>
        <v>28.414</v>
      </c>
      <c r="AI60" s="193">
        <f t="shared" si="11"/>
        <v>30.461</v>
      </c>
      <c r="AJ60" s="73">
        <f t="shared" si="12"/>
        <v>62.03592547</v>
      </c>
      <c r="AK60" s="73">
        <f t="shared" si="13"/>
        <v>25.68706187</v>
      </c>
      <c r="AL60" s="11"/>
      <c r="AM60" s="51">
        <f t="shared" si="14"/>
        <v>2534.796667</v>
      </c>
      <c r="AN60" s="51" t="str">
        <f t="array" ref="AN60">XLOOKUP(D60,RUC!$B$3:$B$565,RUC!$M$3:$M$565)</f>
        <v>Evelyn</v>
      </c>
      <c r="AO60" s="131" t="s">
        <v>547</v>
      </c>
      <c r="AP60" s="2" t="s">
        <v>736</v>
      </c>
      <c r="AQ60" s="2" t="s">
        <v>2028</v>
      </c>
    </row>
    <row r="61" ht="15.0" customHeight="1">
      <c r="A61" s="116" t="s">
        <v>2032</v>
      </c>
      <c r="B61" s="182">
        <v>45972.0</v>
      </c>
      <c r="C61" s="182">
        <v>45967.0</v>
      </c>
      <c r="D61" s="57" t="s">
        <v>306</v>
      </c>
      <c r="E61" s="3">
        <f t="array" ref="E61">XLOOKUP(D61,RUC!$B$3:$B$110,RUC!$D$3:$D$110)</f>
        <v>20612921866</v>
      </c>
      <c r="G61" s="141" t="s">
        <v>735</v>
      </c>
      <c r="H61" s="3" t="s">
        <v>47</v>
      </c>
      <c r="I61" s="6">
        <v>8.3</v>
      </c>
      <c r="J61" s="58">
        <v>1.2</v>
      </c>
      <c r="K61" s="6">
        <f t="shared" si="2"/>
        <v>8.2</v>
      </c>
      <c r="L61" s="3">
        <v>0.168</v>
      </c>
      <c r="M61" s="60">
        <f t="shared" si="30"/>
        <v>0.153</v>
      </c>
      <c r="N61" s="62">
        <f t="shared" si="35"/>
        <v>0.153</v>
      </c>
      <c r="O61" s="60">
        <f t="shared" si="16"/>
        <v>0.153</v>
      </c>
      <c r="P61" s="63">
        <v>90.0</v>
      </c>
      <c r="Q61" s="58">
        <v>94.05</v>
      </c>
      <c r="R61" s="65">
        <v>3986.5</v>
      </c>
      <c r="S61" s="66">
        <f t="array" ref="S61">IF((XLOOKUP(D61,RUC!$B$3:$B$106,RUC!$E$3:$E$106)+ROUNDDOWN(O61,1)*100)&lt;95,95,((XLOOKUP(D61,RUC!$B$3:$B$106,RUC!$E$3:$E$106)+ROUNDDOWN(O61,1)*100)))</f>
        <v>95</v>
      </c>
      <c r="U61" s="67">
        <f t="array" ref="U61">XLOOKUP(D61,RUC!$B$3:$B$110,RUC!$F$3:$F$110)</f>
        <v>100</v>
      </c>
      <c r="V61" s="67">
        <v>1.1023</v>
      </c>
      <c r="Y61" s="57" t="str">
        <f t="array" ref="Y61">XLOOKUP(D61,RUC!$B$3:$B$110,RUC!$G$3:$G$110)</f>
        <v/>
      </c>
      <c r="Z61" s="69">
        <f t="array" ref="Z61">XLOOKUP(D61,RUC!$B$3:$B$110,RUC!$H$3:$H$110)</f>
        <v>30</v>
      </c>
      <c r="AA61" s="70">
        <f t="shared" si="4"/>
        <v>30</v>
      </c>
      <c r="AB61" s="71">
        <f t="shared" si="31"/>
        <v>452.1315484</v>
      </c>
      <c r="AC61" s="71">
        <f>+(S61-T61)*V61-'data 1'!$F$4</f>
        <v>24.7185</v>
      </c>
      <c r="AD61" s="71">
        <f t="shared" si="6"/>
        <v>29.14894122</v>
      </c>
      <c r="AE61" s="71">
        <f t="shared" si="7"/>
        <v>-36.931</v>
      </c>
      <c r="AF61" s="71">
        <f t="shared" si="8"/>
        <v>60.43778486</v>
      </c>
      <c r="AG61" s="72">
        <f>AC61+AD61+AE61+AF61+70-10</f>
        <v>137.3742261</v>
      </c>
      <c r="AH61" s="193">
        <f t="shared" si="10"/>
        <v>44.421</v>
      </c>
      <c r="AI61" s="193">
        <f t="shared" si="11"/>
        <v>47.232</v>
      </c>
      <c r="AJ61" s="73">
        <f t="shared" si="12"/>
        <v>40.66818345</v>
      </c>
      <c r="AK61" s="73">
        <f t="shared" si="13"/>
        <v>38.71300306</v>
      </c>
      <c r="AL61" s="11"/>
      <c r="AM61" s="51">
        <f t="shared" si="14"/>
        <v>3707.478697</v>
      </c>
      <c r="AN61" s="51" t="str">
        <f t="array" ref="AN61">XLOOKUP(D61,RUC!$B$3:$B$565,RUC!$M$3:$M$565)</f>
        <v>Ronald Garibay</v>
      </c>
      <c r="AO61" s="131" t="s">
        <v>551</v>
      </c>
      <c r="AP61" s="2" t="s">
        <v>2033</v>
      </c>
      <c r="AQ61" s="2" t="s">
        <v>2034</v>
      </c>
    </row>
    <row r="62" ht="15.0" customHeight="1">
      <c r="A62" s="116" t="s">
        <v>2035</v>
      </c>
      <c r="B62" s="182">
        <v>45971.0</v>
      </c>
      <c r="C62" s="182">
        <v>45967.0</v>
      </c>
      <c r="D62" s="57" t="s">
        <v>295</v>
      </c>
      <c r="E62" s="3">
        <f t="array" ref="E62">XLOOKUP(D62,RUC!$B$3:$B$110,RUC!$D$3:$D$110)</f>
        <v>20601769396</v>
      </c>
      <c r="G62" s="141">
        <v>50.0</v>
      </c>
      <c r="H62" s="3" t="s">
        <v>339</v>
      </c>
      <c r="I62" s="6">
        <v>4.05</v>
      </c>
      <c r="J62" s="58">
        <v>8.4</v>
      </c>
      <c r="K62" s="6">
        <f t="shared" si="2"/>
        <v>3.71</v>
      </c>
      <c r="L62" s="3">
        <v>0.168</v>
      </c>
      <c r="M62" s="60">
        <f t="shared" si="30"/>
        <v>0.153</v>
      </c>
      <c r="N62" s="62">
        <f t="shared" si="35"/>
        <v>0.153</v>
      </c>
      <c r="O62" s="60">
        <f t="shared" si="16"/>
        <v>0.153</v>
      </c>
      <c r="P62" s="63">
        <v>90.0</v>
      </c>
      <c r="Q62" s="58">
        <v>95.83</v>
      </c>
      <c r="R62" s="65">
        <v>3986.5</v>
      </c>
      <c r="S62" s="66">
        <f t="array" ref="S62">IF((XLOOKUP(D62,RUC!$B$3:$B$106,RUC!$E$3:$E$106)+ROUNDDOWN(O62,1)*100)&lt;95,95,((XLOOKUP(D62,RUC!$B$3:$B$106,RUC!$E$3:$E$106)+ROUNDDOWN(O62,1)*100)))</f>
        <v>100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69">
        <f t="array" ref="Z62">XLOOKUP(D62,RUC!$B$3:$B$110,RUC!$H$3:$H$110)</f>
        <v>30</v>
      </c>
      <c r="AA62" s="70">
        <f t="shared" si="4"/>
        <v>50</v>
      </c>
      <c r="AB62" s="71">
        <f t="shared" si="31"/>
        <v>421.5383142</v>
      </c>
      <c r="AC62" s="71">
        <f>+(S62-T62)*V62-'data 1'!$F$4</f>
        <v>30.23</v>
      </c>
      <c r="AD62" s="71">
        <f t="shared" si="6"/>
        <v>41.74415347</v>
      </c>
      <c r="AE62" s="71">
        <f t="shared" si="7"/>
        <v>-14.885</v>
      </c>
      <c r="AF62" s="71">
        <f t="shared" si="8"/>
        <v>61.26473638</v>
      </c>
      <c r="AG62" s="72">
        <f>AC62+AD62+AE62+AF62+70-53</f>
        <v>135.3538899</v>
      </c>
      <c r="AH62" s="193">
        <f t="shared" si="10"/>
        <v>20.478</v>
      </c>
      <c r="AI62" s="193">
        <f t="shared" si="11"/>
        <v>21.369</v>
      </c>
      <c r="AJ62" s="73">
        <f t="shared" si="12"/>
        <v>44.98715622</v>
      </c>
      <c r="AK62" s="73">
        <f t="shared" si="13"/>
        <v>17.51527334</v>
      </c>
      <c r="AL62" s="11"/>
      <c r="AM62" s="51">
        <f t="shared" si="14"/>
        <v>1563.907146</v>
      </c>
      <c r="AN62" s="51" t="str">
        <f t="array" ref="AN62">XLOOKUP(D62,RUC!$B$3:$B$565,RUC!$M$3:$M$565)</f>
        <v>Evelyn</v>
      </c>
      <c r="AO62" s="131" t="s">
        <v>547</v>
      </c>
      <c r="AP62" s="2" t="s">
        <v>736</v>
      </c>
      <c r="AQ62" s="2" t="s">
        <v>2028</v>
      </c>
    </row>
    <row r="63" ht="15.0" customHeight="1">
      <c r="A63" s="116" t="s">
        <v>2036</v>
      </c>
      <c r="B63" s="182">
        <v>45977.0</v>
      </c>
      <c r="C63" s="182">
        <v>45967.0</v>
      </c>
      <c r="D63" s="57" t="s">
        <v>306</v>
      </c>
      <c r="E63" s="3">
        <f t="array" ref="E63">XLOOKUP(D63,RUC!$B$3:$B$110,RUC!$D$3:$D$110)</f>
        <v>20612921866</v>
      </c>
      <c r="G63" s="141">
        <v>50.0</v>
      </c>
      <c r="H63" s="3" t="s">
        <v>47</v>
      </c>
      <c r="I63" s="6">
        <v>5.57</v>
      </c>
      <c r="J63" s="58">
        <v>1.2</v>
      </c>
      <c r="K63" s="6">
        <f t="shared" si="2"/>
        <v>5.503</v>
      </c>
      <c r="L63" s="3">
        <v>0.318</v>
      </c>
      <c r="M63" s="60">
        <f t="shared" si="30"/>
        <v>0.302</v>
      </c>
      <c r="N63" s="62">
        <f t="shared" si="35"/>
        <v>0.302</v>
      </c>
      <c r="O63" s="60">
        <f t="shared" si="16"/>
        <v>0.302</v>
      </c>
      <c r="P63" s="63">
        <v>90.0</v>
      </c>
      <c r="Q63" s="57">
        <v>94.97</v>
      </c>
      <c r="R63" s="65">
        <v>3986.5</v>
      </c>
      <c r="S63" s="66">
        <f t="array" ref="S63">IF((XLOOKUP(D63,RUC!$B$3:$B$106,RUC!$E$3:$E$106)+ROUNDDOWN(O63,1)*100)&lt;95,95,((XLOOKUP(D63,RUC!$B$3:$B$106,RUC!$E$3:$E$106)+ROUNDDOWN(O63,1)*100)))</f>
        <v>110</v>
      </c>
      <c r="U63" s="67">
        <f t="array" ref="U63">XLOOKUP(D63,RUC!$B$3:$B$110,RUC!$F$3:$F$110)</f>
        <v>100</v>
      </c>
      <c r="V63" s="67">
        <v>1.1023</v>
      </c>
      <c r="Y63" s="57" t="str">
        <f t="array" ref="Y63">XLOOKUP(D63,RUC!$B$3:$B$110,RUC!$G$3:$G$110)</f>
        <v/>
      </c>
      <c r="Z63" s="69">
        <f t="array" ref="Z63">XLOOKUP(D63,RUC!$B$3:$B$110,RUC!$H$3:$H$110)</f>
        <v>30</v>
      </c>
      <c r="AA63" s="70">
        <f t="shared" si="4"/>
        <v>30</v>
      </c>
      <c r="AB63" s="71">
        <f t="shared" si="31"/>
        <v>1010.093377</v>
      </c>
      <c r="AC63" s="71">
        <f>+(S63-T63)*V63-'data 1'!$F$4</f>
        <v>41.253</v>
      </c>
      <c r="AD63" s="71">
        <f t="shared" si="6"/>
        <v>67.70831222</v>
      </c>
      <c r="AE63" s="71">
        <f t="shared" si="7"/>
        <v>-36.931</v>
      </c>
      <c r="AF63" s="71">
        <f t="shared" si="8"/>
        <v>65.09758841</v>
      </c>
      <c r="AG63" s="72">
        <f>AC63+AD63+AE63+AF63+70-10</f>
        <v>197.1279006</v>
      </c>
      <c r="AH63" s="193">
        <f t="shared" si="10"/>
        <v>56.98</v>
      </c>
      <c r="AI63" s="193">
        <f t="shared" si="11"/>
        <v>59.998</v>
      </c>
      <c r="AJ63" s="73">
        <f t="shared" si="12"/>
        <v>77.73207308</v>
      </c>
      <c r="AK63" s="73">
        <f t="shared" si="13"/>
        <v>51.2811829</v>
      </c>
      <c r="AM63" s="51">
        <f t="shared" si="14"/>
        <v>5558.543851</v>
      </c>
      <c r="AN63" s="51" t="str">
        <f t="array" ref="AN63">XLOOKUP(D63,RUC!$B$3:$B$565,RUC!$M$3:$M$565)</f>
        <v>Ronald Garibay</v>
      </c>
      <c r="AO63" s="131" t="s">
        <v>549</v>
      </c>
      <c r="AP63" s="57" t="s">
        <v>736</v>
      </c>
      <c r="AQ63" s="57" t="s">
        <v>1473</v>
      </c>
    </row>
    <row r="64" ht="15.0" customHeight="1">
      <c r="A64" s="116" t="s">
        <v>2037</v>
      </c>
      <c r="B64" s="182">
        <v>45974.0</v>
      </c>
      <c r="C64" s="182">
        <v>45968.0</v>
      </c>
      <c r="D64" s="57" t="s">
        <v>295</v>
      </c>
      <c r="E64" s="3">
        <f t="array" ref="E64">XLOOKUP(D64,RUC!$B$3:$B$110,RUC!$D$3:$D$110)</f>
        <v>20601769396</v>
      </c>
      <c r="G64" s="141">
        <v>61.0</v>
      </c>
      <c r="H64" s="3" t="s">
        <v>339</v>
      </c>
      <c r="I64" s="6">
        <v>4.86</v>
      </c>
      <c r="J64" s="58">
        <v>11.97</v>
      </c>
      <c r="K64" s="6">
        <f t="shared" si="2"/>
        <v>4.278</v>
      </c>
      <c r="L64" s="3">
        <v>0.681</v>
      </c>
      <c r="M64" s="60">
        <f t="shared" si="30"/>
        <v>0.647</v>
      </c>
      <c r="N64" s="62">
        <f t="shared" si="35"/>
        <v>0.647</v>
      </c>
      <c r="O64" s="60">
        <f t="shared" si="16"/>
        <v>0.647</v>
      </c>
      <c r="P64" s="63">
        <v>90.0</v>
      </c>
      <c r="Q64" s="57">
        <v>91.19</v>
      </c>
      <c r="R64" s="65">
        <v>3994.1</v>
      </c>
      <c r="S64" s="66">
        <f t="array" ref="S64">IF((XLOOKUP(D64,RUC!$B$3:$B$106,RUC!$E$3:$E$106)+ROUNDDOWN(O64,1)*100)&lt;95,95,((XLOOKUP(D64,RUC!$B$3:$B$106,RUC!$E$3:$E$106)+ROUNDDOWN(O64,1)*100)))</f>
        <v>150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69">
        <f t="array" ref="Z64">XLOOKUP(D64,RUC!$B$3:$B$110,RUC!$H$3:$H$110)</f>
        <v>30</v>
      </c>
      <c r="AA64" s="70">
        <f t="shared" si="4"/>
        <v>50</v>
      </c>
      <c r="AB64" s="71">
        <f t="shared" si="31"/>
        <v>2266.205816</v>
      </c>
      <c r="AC64" s="71">
        <f>+(S64-T64)*V64-'data 1'!$F$4</f>
        <v>85.345</v>
      </c>
      <c r="AD64" s="71">
        <f t="shared" si="6"/>
        <v>34.60706012</v>
      </c>
      <c r="AE64" s="71">
        <f t="shared" si="7"/>
        <v>-14.885</v>
      </c>
      <c r="AF64" s="71">
        <f t="shared" si="8"/>
        <v>132.4026773</v>
      </c>
      <c r="AG64" s="72">
        <f t="shared" ref="AG64:AG83" si="37">AC64+AD64+AE64+AF64+70-53</f>
        <v>254.4697374</v>
      </c>
      <c r="AH64" s="193">
        <f t="shared" si="10"/>
        <v>91.084</v>
      </c>
      <c r="AI64" s="193">
        <f t="shared" si="11"/>
        <v>99.884</v>
      </c>
      <c r="AJ64" s="73">
        <f t="shared" si="12"/>
        <v>168.3265661</v>
      </c>
      <c r="AK64" s="73">
        <f t="shared" si="13"/>
        <v>85.40762389</v>
      </c>
      <c r="AM64" s="51">
        <f t="shared" si="14"/>
        <v>9694.828483</v>
      </c>
      <c r="AN64" s="51" t="str">
        <f t="array" ref="AN64">XLOOKUP(D64,RUC!$B$3:$B$565,RUC!$M$3:$M$565)</f>
        <v>Evelyn</v>
      </c>
      <c r="AO64" s="131" t="s">
        <v>547</v>
      </c>
      <c r="AP64" s="57" t="s">
        <v>2033</v>
      </c>
      <c r="AQ64" s="57" t="s">
        <v>2038</v>
      </c>
    </row>
    <row r="65" ht="15.0" customHeight="1">
      <c r="A65" s="116" t="s">
        <v>2039</v>
      </c>
      <c r="B65" s="182">
        <v>45974.0</v>
      </c>
      <c r="C65" s="182">
        <v>45968.0</v>
      </c>
      <c r="D65" s="57" t="s">
        <v>295</v>
      </c>
      <c r="E65" s="3">
        <f t="array" ref="E65">XLOOKUP(D65,RUC!$B$3:$B$110,RUC!$D$3:$D$110)</f>
        <v>20601769396</v>
      </c>
      <c r="G65" s="141">
        <v>80.0</v>
      </c>
      <c r="H65" s="3" t="s">
        <v>40</v>
      </c>
      <c r="I65" s="6">
        <v>6.58</v>
      </c>
      <c r="J65" s="58">
        <v>15.15</v>
      </c>
      <c r="K65" s="6">
        <f t="shared" si="2"/>
        <v>5.583</v>
      </c>
      <c r="L65" s="3">
        <v>0.263</v>
      </c>
      <c r="M65" s="60">
        <f t="shared" si="30"/>
        <v>0.248</v>
      </c>
      <c r="N65" s="62">
        <f t="shared" si="35"/>
        <v>0.248</v>
      </c>
      <c r="O65" s="60">
        <f t="shared" si="16"/>
        <v>0.248</v>
      </c>
      <c r="P65" s="63">
        <v>87.0</v>
      </c>
      <c r="Q65" s="57">
        <v>87.07</v>
      </c>
      <c r="R65" s="65">
        <v>3994.1</v>
      </c>
      <c r="S65" s="66">
        <f t="array" ref="S65">IF((XLOOKUP(D65,RUC!$B$3:$B$106,RUC!$E$3:$E$106)+ROUNDDOWN(O65,1)*100)&lt;95,95,((XLOOKUP(D65,RUC!$B$3:$B$106,RUC!$E$3:$E$106)+ROUNDDOWN(O65,1)*100)))</f>
        <v>110</v>
      </c>
      <c r="U65" s="67">
        <f t="array" ref="U65">XLOOKUP(D65,RUC!$B$3:$B$110,RUC!$F$3:$F$110)</f>
        <v>120</v>
      </c>
      <c r="V65" s="67">
        <v>1.1023</v>
      </c>
      <c r="Y65" s="57">
        <f t="array" ref="Y65">XLOOKUP(D65,RUC!$B$3:$B$110,RUC!$G$3:$G$110)</f>
        <v>20</v>
      </c>
      <c r="Z65" s="69">
        <f t="array" ref="Z65">XLOOKUP(D65,RUC!$B$3:$B$110,RUC!$H$3:$H$110)</f>
        <v>30</v>
      </c>
      <c r="AA65" s="70">
        <f t="shared" si="4"/>
        <v>50</v>
      </c>
      <c r="AB65" s="71">
        <f t="shared" si="31"/>
        <v>745.017912</v>
      </c>
      <c r="AC65" s="71">
        <f>+(S65-T65)*V65-'data 1'!$F$4</f>
        <v>41.253</v>
      </c>
      <c r="AD65" s="71">
        <f t="shared" si="6"/>
        <v>0.7861844012</v>
      </c>
      <c r="AE65" s="71">
        <f t="shared" si="7"/>
        <v>-14.885</v>
      </c>
      <c r="AF65" s="71">
        <f t="shared" si="8"/>
        <v>55.77382603</v>
      </c>
      <c r="AG65" s="72">
        <f t="shared" si="37"/>
        <v>99.92801043</v>
      </c>
      <c r="AH65" s="193">
        <f t="shared" si="10"/>
        <v>43.833</v>
      </c>
      <c r="AI65" s="193">
        <f t="shared" si="11"/>
        <v>50.342</v>
      </c>
      <c r="AJ65" s="73">
        <f t="shared" si="12"/>
        <v>62.0701263</v>
      </c>
      <c r="AK65" s="73">
        <f t="shared" si="13"/>
        <v>41.29976976</v>
      </c>
      <c r="AM65" s="51">
        <f t="shared" si="14"/>
        <v>4159.435003</v>
      </c>
      <c r="AN65" s="51" t="str">
        <f t="array" ref="AN65">XLOOKUP(D65,RUC!$B$3:$B$565,RUC!$M$3:$M$565)</f>
        <v>Evelyn</v>
      </c>
      <c r="AO65" s="131" t="s">
        <v>547</v>
      </c>
      <c r="AP65" s="57" t="s">
        <v>2033</v>
      </c>
      <c r="AQ65" s="57" t="s">
        <v>2038</v>
      </c>
    </row>
    <row r="66" ht="15.0" customHeight="1">
      <c r="A66" s="116" t="s">
        <v>2040</v>
      </c>
      <c r="B66" s="182">
        <v>45974.0</v>
      </c>
      <c r="C66" s="182">
        <v>45968.0</v>
      </c>
      <c r="D66" s="57" t="s">
        <v>295</v>
      </c>
      <c r="E66" s="3">
        <f t="array" ref="E66">XLOOKUP(D66,RUC!$B$3:$B$110,RUC!$D$3:$D$110)</f>
        <v>20601769396</v>
      </c>
      <c r="G66" s="141">
        <v>50.0</v>
      </c>
      <c r="H66" s="3" t="s">
        <v>339</v>
      </c>
      <c r="I66" s="6">
        <v>4.04</v>
      </c>
      <c r="J66" s="58">
        <v>13.47</v>
      </c>
      <c r="K66" s="6">
        <f t="shared" si="2"/>
        <v>3.496</v>
      </c>
      <c r="L66" s="3">
        <v>0.437</v>
      </c>
      <c r="M66" s="60">
        <f t="shared" si="30"/>
        <v>0.415</v>
      </c>
      <c r="N66" s="62">
        <f t="shared" si="35"/>
        <v>0.415</v>
      </c>
      <c r="O66" s="60">
        <f t="shared" si="16"/>
        <v>0.415</v>
      </c>
      <c r="P66" s="63">
        <v>90.0</v>
      </c>
      <c r="Q66" s="57">
        <v>94.74</v>
      </c>
      <c r="R66" s="65">
        <v>3994.1</v>
      </c>
      <c r="S66" s="66">
        <f t="array" ref="S66">IF((XLOOKUP(D66,RUC!$B$3:$B$106,RUC!$E$3:$E$106)+ROUNDDOWN(O66,1)*100)&lt;95,95,((XLOOKUP(D66,RUC!$B$3:$B$106,RUC!$E$3:$E$106)+ROUNDDOWN(O66,1)*100)))</f>
        <v>130</v>
      </c>
      <c r="U66" s="67">
        <f t="array" ref="U66">XLOOKUP(D66,RUC!$B$3:$B$110,RUC!$F$3:$F$110)</f>
        <v>120</v>
      </c>
      <c r="V66" s="67">
        <v>1.1023</v>
      </c>
      <c r="Y66" s="57">
        <f t="array" ref="Y66">XLOOKUP(D66,RUC!$B$3:$B$110,RUC!$G$3:$G$110)</f>
        <v>20</v>
      </c>
      <c r="Z66" s="69">
        <f t="array" ref="Z66">XLOOKUP(D66,RUC!$B$3:$B$110,RUC!$H$3:$H$110)</f>
        <v>30</v>
      </c>
      <c r="AA66" s="70">
        <f t="shared" si="4"/>
        <v>50</v>
      </c>
      <c r="AB66" s="71">
        <f t="shared" si="31"/>
        <v>1396.588031</v>
      </c>
      <c r="AC66" s="71">
        <f>+(S66-T66)*V66-'data 1'!$F$4</f>
        <v>63.299</v>
      </c>
      <c r="AD66" s="71">
        <f t="shared" si="6"/>
        <v>88.4566347</v>
      </c>
      <c r="AE66" s="71">
        <f t="shared" si="7"/>
        <v>-14.885</v>
      </c>
      <c r="AF66" s="71">
        <f t="shared" si="8"/>
        <v>89.00751894</v>
      </c>
      <c r="AG66" s="72">
        <f t="shared" si="37"/>
        <v>242.8781536</v>
      </c>
      <c r="AH66" s="193">
        <f t="shared" si="10"/>
        <v>49.624</v>
      </c>
      <c r="AI66" s="193">
        <f t="shared" si="11"/>
        <v>52.38</v>
      </c>
      <c r="AJ66" s="73">
        <f t="shared" si="12"/>
        <v>112.2207465</v>
      </c>
      <c r="AK66" s="73">
        <f t="shared" si="13"/>
        <v>44.76835116</v>
      </c>
      <c r="AM66" s="51">
        <f t="shared" si="14"/>
        <v>4882.471755</v>
      </c>
      <c r="AN66" s="51" t="str">
        <f t="array" ref="AN66">XLOOKUP(D66,RUC!$B$3:$B$565,RUC!$M$3:$M$565)</f>
        <v>Evelyn</v>
      </c>
      <c r="AO66" s="131" t="s">
        <v>547</v>
      </c>
      <c r="AP66" s="57" t="s">
        <v>2033</v>
      </c>
      <c r="AQ66" s="57" t="s">
        <v>2038</v>
      </c>
    </row>
    <row r="67" ht="15.0" customHeight="1">
      <c r="A67" s="116" t="s">
        <v>2041</v>
      </c>
      <c r="B67" s="182">
        <v>45975.0</v>
      </c>
      <c r="C67" s="182">
        <v>45968.0</v>
      </c>
      <c r="D67" s="57" t="s">
        <v>295</v>
      </c>
      <c r="E67" s="3">
        <f t="array" ref="E67">XLOOKUP(D67,RUC!$B$3:$B$110,RUC!$D$3:$D$110)</f>
        <v>20601769396</v>
      </c>
      <c r="G67" s="141">
        <v>50.0</v>
      </c>
      <c r="H67" s="3" t="s">
        <v>339</v>
      </c>
      <c r="I67" s="6">
        <v>3.65</v>
      </c>
      <c r="J67" s="58">
        <v>10.3</v>
      </c>
      <c r="K67" s="6">
        <f t="shared" si="2"/>
        <v>3.274</v>
      </c>
      <c r="L67" s="3">
        <v>0.396</v>
      </c>
      <c r="M67" s="60">
        <f t="shared" si="30"/>
        <v>0.376</v>
      </c>
      <c r="N67" s="62">
        <f t="shared" si="35"/>
        <v>0.376</v>
      </c>
      <c r="O67" s="60">
        <f t="shared" si="16"/>
        <v>0.376</v>
      </c>
      <c r="P67" s="63">
        <v>90.0</v>
      </c>
      <c r="Q67" s="2">
        <v>93.18</v>
      </c>
      <c r="R67" s="65">
        <v>3994.1</v>
      </c>
      <c r="S67" s="66">
        <f t="array" ref="S67">IF((XLOOKUP(D67,RUC!$B$3:$B$106,RUC!$E$3:$E$106)+ROUNDDOWN(O67,1)*100)&lt;95,95,((XLOOKUP(D67,RUC!$B$3:$B$106,RUC!$E$3:$E$106)+ROUNDDOWN(O67,1)*100)))</f>
        <v>120</v>
      </c>
      <c r="U67" s="67">
        <f t="array" ref="U67">XLOOKUP(D67,RUC!$B$3:$B$110,RUC!$F$3:$F$110)</f>
        <v>120</v>
      </c>
      <c r="V67" s="67">
        <v>1.1023</v>
      </c>
      <c r="Y67" s="57">
        <f t="array" ref="Y67">XLOOKUP(D67,RUC!$B$3:$B$110,RUC!$G$3:$G$110)</f>
        <v>20</v>
      </c>
      <c r="Z67" s="69">
        <f t="array" ref="Z67">XLOOKUP(D67,RUC!$B$3:$B$110,RUC!$H$3:$H$110)</f>
        <v>30</v>
      </c>
      <c r="AA67" s="70">
        <f t="shared" si="4"/>
        <v>50</v>
      </c>
      <c r="AB67" s="71">
        <f t="shared" si="31"/>
        <v>1257.719274</v>
      </c>
      <c r="AC67" s="71">
        <f>+(S67-T67)*V67-'data 1'!$F$4</f>
        <v>52.276</v>
      </c>
      <c r="AD67" s="71">
        <f t="shared" si="6"/>
        <v>53.77655039</v>
      </c>
      <c r="AE67" s="71">
        <f t="shared" si="7"/>
        <v>-14.885</v>
      </c>
      <c r="AF67" s="71">
        <f t="shared" si="8"/>
        <v>79.58355513</v>
      </c>
      <c r="AG67" s="72">
        <f t="shared" si="37"/>
        <v>187.7511055</v>
      </c>
      <c r="AH67" s="193">
        <f t="shared" si="10"/>
        <v>41.42</v>
      </c>
      <c r="AI67" s="193">
        <f t="shared" si="11"/>
        <v>44.451</v>
      </c>
      <c r="AJ67" s="73">
        <f t="shared" si="12"/>
        <v>100.0175537</v>
      </c>
      <c r="AK67" s="73">
        <f t="shared" si="13"/>
        <v>37.98552198</v>
      </c>
      <c r="AM67" s="51">
        <f t="shared" si="14"/>
        <v>4117.772901</v>
      </c>
      <c r="AN67" s="51" t="str">
        <f t="array" ref="AN67">XLOOKUP(D67,RUC!$B$3:$B$565,RUC!$M$3:$M$565)</f>
        <v>Evelyn</v>
      </c>
      <c r="AO67" s="131" t="s">
        <v>547</v>
      </c>
      <c r="AP67" s="57" t="s">
        <v>2033</v>
      </c>
      <c r="AQ67" s="57" t="s">
        <v>2038</v>
      </c>
    </row>
    <row r="68" ht="15.0" customHeight="1">
      <c r="A68" s="116" t="s">
        <v>2042</v>
      </c>
      <c r="B68" s="182">
        <v>45975.0</v>
      </c>
      <c r="C68" s="182">
        <v>45968.0</v>
      </c>
      <c r="D68" s="57" t="s">
        <v>295</v>
      </c>
      <c r="E68" s="3">
        <f t="array" ref="E68">XLOOKUP(D68,RUC!$B$3:$B$110,RUC!$D$3:$D$110)</f>
        <v>20601769396</v>
      </c>
      <c r="G68" s="141">
        <v>16.0</v>
      </c>
      <c r="H68" s="3" t="s">
        <v>339</v>
      </c>
      <c r="I68" s="6">
        <v>1.15</v>
      </c>
      <c r="J68" s="58">
        <v>10.4</v>
      </c>
      <c r="K68" s="6">
        <f t="shared" si="2"/>
        <v>1.03</v>
      </c>
      <c r="L68" s="3">
        <v>0.402</v>
      </c>
      <c r="M68" s="60">
        <f t="shared" si="30"/>
        <v>0.382</v>
      </c>
      <c r="N68" s="62">
        <f t="shared" si="35"/>
        <v>0.382</v>
      </c>
      <c r="O68" s="60">
        <f t="shared" si="16"/>
        <v>0.382</v>
      </c>
      <c r="P68" s="63">
        <v>81.0</v>
      </c>
      <c r="Q68" s="2">
        <v>81.34</v>
      </c>
      <c r="R68" s="65">
        <v>3994.1</v>
      </c>
      <c r="S68" s="66">
        <f t="array" ref="S68">IF((XLOOKUP(D68,RUC!$B$3:$B$106,RUC!$E$3:$E$106)+ROUNDDOWN(O68,1)*100)&lt;95,95,((XLOOKUP(D68,RUC!$B$3:$B$106,RUC!$E$3:$E$106)+ROUNDDOWN(O68,1)*100)))</f>
        <v>120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4"/>
        <v>50</v>
      </c>
      <c r="AB68" s="71">
        <f t="shared" si="31"/>
        <v>1133.962489</v>
      </c>
      <c r="AC68" s="71">
        <f>+(S68-T68)*V68-'data 1'!$F$4</f>
        <v>52.276</v>
      </c>
      <c r="AD68" s="71">
        <f t="shared" si="6"/>
        <v>5.836810644</v>
      </c>
      <c r="AE68" s="71">
        <f t="shared" si="7"/>
        <v>-14.885</v>
      </c>
      <c r="AF68" s="71">
        <f t="shared" si="8"/>
        <v>69.47119956</v>
      </c>
      <c r="AG68" s="72">
        <f t="shared" si="37"/>
        <v>129.6990102</v>
      </c>
      <c r="AH68" s="193">
        <f t="shared" si="10"/>
        <v>11.547</v>
      </c>
      <c r="AI68" s="193">
        <f t="shared" si="11"/>
        <v>14.196</v>
      </c>
      <c r="AJ68" s="73">
        <f t="shared" si="12"/>
        <v>88.63159346</v>
      </c>
      <c r="AK68" s="73">
        <f t="shared" si="13"/>
        <v>10.92684231</v>
      </c>
      <c r="AM68" s="51">
        <f t="shared" si="14"/>
        <v>1167.981364</v>
      </c>
      <c r="AN68" s="51" t="str">
        <f t="array" ref="AN68">XLOOKUP(D68,RUC!$B$3:$B$565,RUC!$M$3:$M$565)</f>
        <v>Evelyn</v>
      </c>
      <c r="AO68" s="131" t="s">
        <v>547</v>
      </c>
      <c r="AP68" s="57" t="s">
        <v>2033</v>
      </c>
      <c r="AQ68" s="57" t="s">
        <v>2038</v>
      </c>
    </row>
    <row r="69" ht="15.0" customHeight="1">
      <c r="A69" s="116" t="s">
        <v>2043</v>
      </c>
      <c r="B69" s="182">
        <v>45975.0</v>
      </c>
      <c r="C69" s="182">
        <v>45968.0</v>
      </c>
      <c r="D69" s="57" t="s">
        <v>295</v>
      </c>
      <c r="E69" s="3">
        <f t="array" ref="E69">XLOOKUP(D69,RUC!$B$3:$B$110,RUC!$D$3:$D$110)</f>
        <v>20601769396</v>
      </c>
      <c r="G69" s="141">
        <v>31.0</v>
      </c>
      <c r="H69" s="3" t="s">
        <v>339</v>
      </c>
      <c r="I69" s="6">
        <v>2.34</v>
      </c>
      <c r="J69" s="58">
        <v>14.2</v>
      </c>
      <c r="K69" s="6">
        <f t="shared" si="2"/>
        <v>2.008</v>
      </c>
      <c r="L69" s="60">
        <v>0.28</v>
      </c>
      <c r="M69" s="60">
        <f t="shared" si="30"/>
        <v>0.265</v>
      </c>
      <c r="N69" s="62">
        <f t="shared" si="35"/>
        <v>0.265</v>
      </c>
      <c r="O69" s="60">
        <f t="shared" si="16"/>
        <v>0.265</v>
      </c>
      <c r="P69" s="63">
        <v>90.0</v>
      </c>
      <c r="Q69" s="2">
        <v>92.86</v>
      </c>
      <c r="R69" s="65">
        <v>3994.1</v>
      </c>
      <c r="S69" s="66">
        <f t="array" ref="S69">IF((XLOOKUP(D69,RUC!$B$3:$B$106,RUC!$E$3:$E$106)+ROUNDDOWN(O69,1)*100)&lt;95,95,((XLOOKUP(D69,RUC!$B$3:$B$106,RUC!$E$3:$E$106)+ROUNDDOWN(O69,1)*100)))</f>
        <v>110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4"/>
        <v>50</v>
      </c>
      <c r="AB69" s="71">
        <f t="shared" si="31"/>
        <v>842.1272726</v>
      </c>
      <c r="AC69" s="71">
        <f>+(S69-T69)*V69-'data 1'!$F$4</f>
        <v>41.253</v>
      </c>
      <c r="AD69" s="71">
        <f t="shared" si="6"/>
        <v>34.1975268</v>
      </c>
      <c r="AE69" s="71">
        <f t="shared" si="7"/>
        <v>-14.885</v>
      </c>
      <c r="AF69" s="71">
        <f t="shared" si="8"/>
        <v>59.48268617</v>
      </c>
      <c r="AG69" s="72">
        <f t="shared" si="37"/>
        <v>137.048213</v>
      </c>
      <c r="AH69" s="193">
        <f t="shared" si="10"/>
        <v>17.9</v>
      </c>
      <c r="AI69" s="193">
        <f t="shared" si="11"/>
        <v>19.277</v>
      </c>
      <c r="AJ69" s="73">
        <f t="shared" si="12"/>
        <v>70.47661664</v>
      </c>
      <c r="AK69" s="73">
        <f t="shared" si="13"/>
        <v>16.41954662</v>
      </c>
      <c r="AM69" s="51">
        <f t="shared" si="14"/>
        <v>1690.991563</v>
      </c>
      <c r="AN69" s="51" t="str">
        <f t="array" ref="AN69">XLOOKUP(D69,RUC!$B$3:$B$565,RUC!$M$3:$M$565)</f>
        <v>Evelyn</v>
      </c>
      <c r="AO69" s="131" t="s">
        <v>547</v>
      </c>
      <c r="AP69" s="57" t="s">
        <v>2033</v>
      </c>
      <c r="AQ69" s="57" t="s">
        <v>2038</v>
      </c>
    </row>
    <row r="70" ht="15.0" customHeight="1">
      <c r="A70" s="116" t="s">
        <v>2044</v>
      </c>
      <c r="B70" s="182">
        <v>45975.0</v>
      </c>
      <c r="C70" s="182">
        <v>45968.0</v>
      </c>
      <c r="D70" s="57" t="s">
        <v>295</v>
      </c>
      <c r="E70" s="3">
        <f t="array" ref="E70">XLOOKUP(D70,RUC!$B$3:$B$110,RUC!$D$3:$D$110)</f>
        <v>20601769396</v>
      </c>
      <c r="G70" s="141">
        <v>27.0</v>
      </c>
      <c r="H70" s="3" t="s">
        <v>339</v>
      </c>
      <c r="I70" s="6">
        <v>2.18</v>
      </c>
      <c r="J70" s="58">
        <v>11.5</v>
      </c>
      <c r="K70" s="6">
        <f t="shared" si="2"/>
        <v>1.929</v>
      </c>
      <c r="L70" s="3">
        <v>0.449</v>
      </c>
      <c r="M70" s="60">
        <f t="shared" si="30"/>
        <v>0.427</v>
      </c>
      <c r="N70" s="62">
        <f t="shared" si="35"/>
        <v>0.427</v>
      </c>
      <c r="O70" s="60">
        <f t="shared" si="16"/>
        <v>0.427</v>
      </c>
      <c r="P70" s="63">
        <v>86.0</v>
      </c>
      <c r="Q70" s="2">
        <v>86.86</v>
      </c>
      <c r="R70" s="65">
        <v>3994.1</v>
      </c>
      <c r="S70" s="66">
        <f t="array" ref="S70">IF((XLOOKUP(D70,RUC!$B$3:$B$106,RUC!$E$3:$E$106)+ROUNDDOWN(O70,1)*100)&lt;95,95,((XLOOKUP(D70,RUC!$B$3:$B$106,RUC!$E$3:$E$106)+ROUNDDOWN(O70,1)*100)))</f>
        <v>130</v>
      </c>
      <c r="U70" s="67">
        <f t="array" ref="U70">XLOOKUP(D70,RUC!$B$3:$B$110,RUC!$F$3:$F$110)</f>
        <v>120</v>
      </c>
      <c r="V70" s="67">
        <v>1.1023</v>
      </c>
      <c r="Y70" s="57">
        <f t="array" ref="Y70">XLOOKUP(D70,RUC!$B$3:$B$110,RUC!$G$3:$G$110)</f>
        <v>20</v>
      </c>
      <c r="Z70" s="69">
        <f t="array" ref="Z70">XLOOKUP(D70,RUC!$B$3:$B$110,RUC!$H$3:$H$110)</f>
        <v>30</v>
      </c>
      <c r="AA70" s="70">
        <f t="shared" si="4"/>
        <v>50</v>
      </c>
      <c r="AB70" s="71">
        <f t="shared" si="31"/>
        <v>1369.76979</v>
      </c>
      <c r="AC70" s="71">
        <f>+(S70-T70)*V70-'data 1'!$F$4</f>
        <v>63.299</v>
      </c>
      <c r="AD70" s="71">
        <f t="shared" si="6"/>
        <v>16.48980145</v>
      </c>
      <c r="AE70" s="71">
        <f t="shared" si="7"/>
        <v>-14.885</v>
      </c>
      <c r="AF70" s="71">
        <f t="shared" si="8"/>
        <v>81.60431808</v>
      </c>
      <c r="AG70" s="72">
        <f t="shared" si="37"/>
        <v>163.5081195</v>
      </c>
      <c r="AH70" s="193">
        <f t="shared" si="10"/>
        <v>25.793</v>
      </c>
      <c r="AI70" s="193">
        <f t="shared" si="11"/>
        <v>29.695</v>
      </c>
      <c r="AJ70" s="73">
        <f t="shared" si="12"/>
        <v>105.7120518</v>
      </c>
      <c r="AK70" s="73">
        <f t="shared" si="13"/>
        <v>24.28665051</v>
      </c>
      <c r="AM70" s="51">
        <f t="shared" si="14"/>
        <v>2642.285925</v>
      </c>
      <c r="AN70" s="51" t="str">
        <f t="array" ref="AN70">XLOOKUP(D70,RUC!$B$3:$B$565,RUC!$M$3:$M$565)</f>
        <v>Evelyn</v>
      </c>
      <c r="AO70" s="131" t="s">
        <v>547</v>
      </c>
      <c r="AP70" s="57" t="s">
        <v>2033</v>
      </c>
      <c r="AQ70" s="57" t="s">
        <v>2038</v>
      </c>
    </row>
    <row r="71" ht="15.0" customHeight="1">
      <c r="A71" s="116" t="s">
        <v>2045</v>
      </c>
      <c r="B71" s="182">
        <v>45978.0</v>
      </c>
      <c r="C71" s="182">
        <v>45970.0</v>
      </c>
      <c r="D71" s="57" t="s">
        <v>225</v>
      </c>
      <c r="E71" s="3">
        <f t="array" ref="E71">XLOOKUP(D71,RUC!$B$3:$B$110,RUC!$D$3:$D$110)</f>
        <v>10761932735</v>
      </c>
      <c r="G71" s="141">
        <v>83.0</v>
      </c>
      <c r="H71" s="3" t="s">
        <v>47</v>
      </c>
      <c r="I71" s="6">
        <v>7.63</v>
      </c>
      <c r="J71" s="58">
        <v>15.83</v>
      </c>
      <c r="K71" s="6">
        <f t="shared" si="2"/>
        <v>6.422</v>
      </c>
      <c r="L71" s="3">
        <v>0.479</v>
      </c>
      <c r="M71" s="60">
        <f t="shared" ref="M71:M83" si="38">ROUND(+IF(AN71="Melchor Vera",IF(L71&gt;0.467,L71*0.985,(L71-0.007)),IF(L71&gt;0.3,L71*0.94,(L71-0.018))),3)</f>
        <v>0.45</v>
      </c>
      <c r="N71" s="75">
        <v>0.532</v>
      </c>
      <c r="O71" s="60">
        <f t="shared" si="16"/>
        <v>0.491</v>
      </c>
      <c r="P71" s="63">
        <v>90.0</v>
      </c>
      <c r="Q71" s="58">
        <v>95.2</v>
      </c>
      <c r="R71" s="65">
        <v>3994.1</v>
      </c>
      <c r="S71" s="66">
        <f t="array" ref="S71">IF((XLOOKUP(D71,RUC!$B$3:$B$106,RUC!$E$3:$E$106)+ROUNDDOWN(O71,1)*100)&lt;95,95,((XLOOKUP(D71,RUC!$B$3:$B$106,RUC!$E$3:$E$106)+ROUNDDOWN(O71,1)*100)))</f>
        <v>130</v>
      </c>
      <c r="U71" s="67">
        <f t="array" ref="U71">XLOOKUP(D71,RUC!$B$3:$B$110,RUC!$F$3:$F$110)</f>
        <v>120</v>
      </c>
      <c r="V71" s="67">
        <v>1.1023</v>
      </c>
      <c r="Y71" s="57">
        <v>0.0</v>
      </c>
      <c r="Z71" s="69">
        <f t="array" ref="Z71">XLOOKUP(D71,RUC!$B$3:$B$110,RUC!$H$3:$H$110)</f>
        <v>30</v>
      </c>
      <c r="AA71" s="70">
        <f t="shared" si="4"/>
        <v>30</v>
      </c>
      <c r="AB71" s="71">
        <f t="shared" si="31"/>
        <v>1710.730788</v>
      </c>
      <c r="AC71" s="71">
        <f>+(S71-T71)*V71-'data 1'!$F$4</f>
        <v>63.299</v>
      </c>
      <c r="AD71" s="71">
        <f t="shared" si="6"/>
        <v>106.3676321</v>
      </c>
      <c r="AE71" s="71">
        <f t="shared" si="7"/>
        <v>-36.931</v>
      </c>
      <c r="AF71" s="71">
        <f t="shared" si="8"/>
        <v>-48.78528299</v>
      </c>
      <c r="AG71" s="72">
        <f t="shared" si="37"/>
        <v>100.9503491</v>
      </c>
      <c r="AH71" s="193">
        <f t="shared" si="10"/>
        <v>100.404</v>
      </c>
      <c r="AI71" s="193">
        <f t="shared" si="11"/>
        <v>105.467</v>
      </c>
      <c r="AJ71" s="73">
        <f t="shared" si="12"/>
        <v>123.6035084</v>
      </c>
      <c r="AK71" s="73">
        <f t="shared" si="13"/>
        <v>97.29787875</v>
      </c>
      <c r="AM71" s="51">
        <f t="shared" si="14"/>
        <v>10986.31312</v>
      </c>
      <c r="AN71" s="51" t="str">
        <f t="array" ref="AN71">XLOOKUP(D71,RUC!$B$3:$B$565,RUC!$M$3:$M$565)</f>
        <v>Richard Sapacayo</v>
      </c>
      <c r="AO71" s="131" t="s">
        <v>549</v>
      </c>
      <c r="AP71" s="57" t="s">
        <v>1423</v>
      </c>
      <c r="AQ71" s="57" t="s">
        <v>654</v>
      </c>
    </row>
    <row r="72" ht="15.0" customHeight="1">
      <c r="A72" s="116" t="s">
        <v>2046</v>
      </c>
      <c r="B72" s="182">
        <v>45978.0</v>
      </c>
      <c r="C72" s="182">
        <v>45970.0</v>
      </c>
      <c r="D72" s="57" t="s">
        <v>225</v>
      </c>
      <c r="E72" s="3">
        <f t="array" ref="E72">XLOOKUP(D72,RUC!$B$3:$B$110,RUC!$D$3:$D$110)</f>
        <v>10761932735</v>
      </c>
      <c r="G72" s="141" t="s">
        <v>735</v>
      </c>
      <c r="H72" s="3" t="s">
        <v>47</v>
      </c>
      <c r="I72" s="6">
        <v>31.81</v>
      </c>
      <c r="J72" s="58">
        <v>4.6</v>
      </c>
      <c r="K72" s="6">
        <f t="shared" si="2"/>
        <v>30.347</v>
      </c>
      <c r="L72" s="3">
        <v>0.165</v>
      </c>
      <c r="M72" s="60">
        <f t="shared" si="38"/>
        <v>0.147</v>
      </c>
      <c r="N72" s="62">
        <f t="shared" ref="N72:N75" si="39">+M72</f>
        <v>0.147</v>
      </c>
      <c r="O72" s="60">
        <f t="shared" si="16"/>
        <v>0.147</v>
      </c>
      <c r="P72" s="63">
        <v>85.0</v>
      </c>
      <c r="Q72" s="57">
        <v>96.36</v>
      </c>
      <c r="R72" s="65">
        <v>3994.1</v>
      </c>
      <c r="S72" s="66">
        <f t="array" ref="S72">IF((XLOOKUP(D72,RUC!$B$3:$B$106,RUC!$E$3:$E$106)+ROUNDDOWN(O72,1)*100)&lt;95,95,((XLOOKUP(D72,RUC!$B$3:$B$106,RUC!$E$3:$E$106)+ROUNDDOWN(O72,1)*100)))</f>
        <v>100</v>
      </c>
      <c r="U72" s="67">
        <f t="array" ref="U72">XLOOKUP(D72,RUC!$B$3:$B$110,RUC!$F$3:$F$110)</f>
        <v>120</v>
      </c>
      <c r="V72" s="67">
        <v>1.1023</v>
      </c>
      <c r="Y72" s="57">
        <v>0.0</v>
      </c>
      <c r="Z72" s="69">
        <f t="array" ref="Z72">XLOOKUP(D72,RUC!$B$3:$B$110,RUC!$H$3:$H$110)</f>
        <v>30</v>
      </c>
      <c r="AA72" s="70">
        <f t="shared" si="4"/>
        <v>30</v>
      </c>
      <c r="AB72" s="71">
        <f t="shared" si="31"/>
        <v>390.2900327</v>
      </c>
      <c r="AC72" s="71">
        <f>+(S72-T72)*V72-'data 1'!$F$4</f>
        <v>30.23</v>
      </c>
      <c r="AD72" s="71">
        <f t="shared" si="6"/>
        <v>80.04476054</v>
      </c>
      <c r="AE72" s="71">
        <f t="shared" si="7"/>
        <v>-36.931</v>
      </c>
      <c r="AF72" s="71">
        <f t="shared" si="8"/>
        <v>74.06958827</v>
      </c>
      <c r="AG72" s="72">
        <f t="shared" si="37"/>
        <v>164.4133488</v>
      </c>
      <c r="AH72" s="193">
        <f t="shared" si="10"/>
        <v>165.427</v>
      </c>
      <c r="AI72" s="193">
        <f t="shared" si="11"/>
        <v>171.676</v>
      </c>
      <c r="AJ72" s="73">
        <f t="shared" si="12"/>
        <v>43.0962093</v>
      </c>
      <c r="AK72" s="73">
        <f t="shared" si="13"/>
        <v>130.005311</v>
      </c>
      <c r="AM72" s="51">
        <f t="shared" si="14"/>
        <v>11844.13162</v>
      </c>
      <c r="AN72" s="51" t="str">
        <f t="array" ref="AN72">XLOOKUP(D72,RUC!$B$3:$B$565,RUC!$M$3:$M$565)</f>
        <v>Richard Sapacayo</v>
      </c>
      <c r="AO72" s="131" t="s">
        <v>549</v>
      </c>
      <c r="AP72" s="57" t="s">
        <v>1423</v>
      </c>
      <c r="AQ72" s="57" t="s">
        <v>654</v>
      </c>
    </row>
    <row r="73" ht="15.0" customHeight="1">
      <c r="A73" s="116" t="s">
        <v>2047</v>
      </c>
      <c r="B73" s="182">
        <v>45979.0</v>
      </c>
      <c r="C73" s="182">
        <v>45972.0</v>
      </c>
      <c r="D73" s="57" t="s">
        <v>602</v>
      </c>
      <c r="E73" s="3">
        <f t="array" ref="E73">XLOOKUP(D73,RUC!$B$3:$B$110,RUC!$D$3:$D$110)</f>
        <v>20169040231</v>
      </c>
      <c r="G73" s="141">
        <v>13.0</v>
      </c>
      <c r="H73" s="3" t="s">
        <v>47</v>
      </c>
      <c r="I73" s="6">
        <v>1.03</v>
      </c>
      <c r="J73" s="58">
        <v>1.2</v>
      </c>
      <c r="K73" s="6">
        <f t="shared" si="2"/>
        <v>1.018</v>
      </c>
      <c r="L73" s="60">
        <v>0.58</v>
      </c>
      <c r="M73" s="60">
        <f t="shared" si="38"/>
        <v>0.545</v>
      </c>
      <c r="N73" s="62">
        <f t="shared" si="39"/>
        <v>0.545</v>
      </c>
      <c r="O73" s="60">
        <f t="shared" si="16"/>
        <v>0.545</v>
      </c>
      <c r="P73" s="63">
        <v>90.0</v>
      </c>
      <c r="Q73" s="458">
        <v>91.72</v>
      </c>
      <c r="R73" s="65">
        <v>4123.3</v>
      </c>
      <c r="S73" s="66">
        <f t="array" ref="S73">IF((XLOOKUP(D73,RUC!$B$3:$B$106,RUC!$E$3:$E$106)+ROUNDDOWN(O73,1)*100)&lt;95,95,((XLOOKUP(D73,RUC!$B$3:$B$106,RUC!$E$3:$E$106)+ROUNDDOWN(O73,1)*100)))</f>
        <v>135</v>
      </c>
      <c r="U73" s="67">
        <f t="array" ref="U73">XLOOKUP(D73,RUC!$B$3:$B$110,RUC!$F$3:$F$110)</f>
        <v>120</v>
      </c>
      <c r="V73" s="67">
        <v>1.1023</v>
      </c>
      <c r="Y73" s="57">
        <f t="array" ref="Y73">XLOOKUP(D73,RUC!$B$3:$B$110,RUC!$G$3:$G$110)</f>
        <v>20</v>
      </c>
      <c r="Z73" s="140">
        <v>35.0</v>
      </c>
      <c r="AA73" s="70">
        <f t="shared" si="4"/>
        <v>55</v>
      </c>
      <c r="AB73" s="71">
        <f t="shared" si="31"/>
        <v>1955.059838</v>
      </c>
      <c r="AC73" s="71">
        <f>+(S73-T73)*V73-'data 1'!$F$4</f>
        <v>68.8105</v>
      </c>
      <c r="AD73" s="71">
        <f t="shared" si="6"/>
        <v>44.0224678</v>
      </c>
      <c r="AE73" s="71">
        <f t="shared" si="7"/>
        <v>-9.3735</v>
      </c>
      <c r="AF73" s="71">
        <f t="shared" si="8"/>
        <v>141.6609123</v>
      </c>
      <c r="AG73" s="72">
        <f t="shared" si="37"/>
        <v>262.1203801</v>
      </c>
      <c r="AH73" s="193">
        <f t="shared" si="10"/>
        <v>18.567</v>
      </c>
      <c r="AI73" s="193">
        <f t="shared" si="11"/>
        <v>20.243</v>
      </c>
      <c r="AJ73" s="73">
        <f t="shared" si="12"/>
        <v>68.4325468</v>
      </c>
      <c r="AK73" s="73">
        <f t="shared" si="13"/>
        <v>17.11968853</v>
      </c>
      <c r="AM73" s="51">
        <f t="shared" si="14"/>
        <v>1990.250915</v>
      </c>
      <c r="AN73" s="51" t="str">
        <f t="array" ref="AN73">XLOOKUP(D73,RUC!$B$3:$B$565,RUC!$M$3:$M$565)</f>
        <v>Ronald Miranda</v>
      </c>
      <c r="AO73" s="131" t="s">
        <v>549</v>
      </c>
      <c r="AP73" s="57" t="s">
        <v>2048</v>
      </c>
      <c r="AQ73" s="57" t="s">
        <v>2049</v>
      </c>
    </row>
    <row r="74" ht="15.0" customHeight="1">
      <c r="A74" s="116" t="s">
        <v>2050</v>
      </c>
      <c r="B74" s="182">
        <v>45979.0</v>
      </c>
      <c r="C74" s="182">
        <v>45972.0</v>
      </c>
      <c r="D74" s="57" t="s">
        <v>602</v>
      </c>
      <c r="E74" s="3">
        <f t="array" ref="E74">XLOOKUP(D74,RUC!$B$3:$B$110,RUC!$D$3:$D$110)</f>
        <v>20169040231</v>
      </c>
      <c r="G74" s="141">
        <v>28.0</v>
      </c>
      <c r="H74" s="3" t="s">
        <v>47</v>
      </c>
      <c r="I74" s="6">
        <v>2.54</v>
      </c>
      <c r="J74" s="58">
        <v>1.15</v>
      </c>
      <c r="K74" s="6">
        <f t="shared" si="2"/>
        <v>2.511</v>
      </c>
      <c r="L74" s="3">
        <v>0.824</v>
      </c>
      <c r="M74" s="60">
        <f t="shared" si="38"/>
        <v>0.775</v>
      </c>
      <c r="N74" s="62">
        <f t="shared" si="39"/>
        <v>0.775</v>
      </c>
      <c r="O74" s="60">
        <f t="shared" si="16"/>
        <v>0.775</v>
      </c>
      <c r="P74" s="63">
        <v>90.0</v>
      </c>
      <c r="Q74" s="458">
        <v>92.72</v>
      </c>
      <c r="R74" s="65">
        <v>4123.3</v>
      </c>
      <c r="S74" s="66">
        <f t="array" ref="S74">IF((XLOOKUP(D74,RUC!$B$3:$B$106,RUC!$E$3:$E$106)+ROUNDDOWN(O74,1)*100)&lt;95,95,((XLOOKUP(D74,RUC!$B$3:$B$106,RUC!$E$3:$E$106)+ROUNDDOWN(O74,1)*100)))</f>
        <v>155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140">
        <v>35.0</v>
      </c>
      <c r="AA74" s="70">
        <f t="shared" si="4"/>
        <v>55</v>
      </c>
      <c r="AB74" s="71">
        <f t="shared" si="31"/>
        <v>2846.471219</v>
      </c>
      <c r="AC74" s="71">
        <f>+(S74-T74)*V74-'data 1'!$F$4</f>
        <v>90.8565</v>
      </c>
      <c r="AD74" s="71">
        <f t="shared" si="6"/>
        <v>98.90404634</v>
      </c>
      <c r="AE74" s="71">
        <f t="shared" si="7"/>
        <v>-9.3735</v>
      </c>
      <c r="AF74" s="71">
        <f t="shared" si="8"/>
        <v>200.4875677</v>
      </c>
      <c r="AG74" s="72">
        <f t="shared" si="37"/>
        <v>397.874614</v>
      </c>
      <c r="AH74" s="193">
        <f t="shared" si="10"/>
        <v>65.774</v>
      </c>
      <c r="AI74" s="193">
        <f t="shared" si="11"/>
        <v>70.939</v>
      </c>
      <c r="AJ74" s="73">
        <f t="shared" si="12"/>
        <v>98.28139181</v>
      </c>
      <c r="AK74" s="73">
        <f t="shared" si="13"/>
        <v>60.04820005</v>
      </c>
      <c r="AM74" s="51">
        <f t="shared" si="14"/>
        <v>7147.489231</v>
      </c>
      <c r="AN74" s="51" t="str">
        <f t="array" ref="AN74">XLOOKUP(D74,RUC!$B$3:$B$565,RUC!$M$3:$M$565)</f>
        <v>Ronald Miranda</v>
      </c>
      <c r="AO74" s="131" t="s">
        <v>549</v>
      </c>
      <c r="AP74" s="57" t="s">
        <v>2048</v>
      </c>
      <c r="AQ74" s="57" t="s">
        <v>2049</v>
      </c>
    </row>
    <row r="75" ht="15.0" customHeight="1">
      <c r="A75" s="116" t="s">
        <v>2051</v>
      </c>
      <c r="B75" s="182">
        <v>45979.0</v>
      </c>
      <c r="C75" s="182">
        <v>45972.0</v>
      </c>
      <c r="D75" s="57" t="s">
        <v>602</v>
      </c>
      <c r="E75" s="3">
        <f t="array" ref="E75">XLOOKUP(D75,RUC!$B$3:$B$110,RUC!$D$3:$D$110)</f>
        <v>20169040231</v>
      </c>
      <c r="G75" s="141">
        <v>19.0</v>
      </c>
      <c r="H75" s="3" t="s">
        <v>47</v>
      </c>
      <c r="I75" s="6">
        <v>1.66</v>
      </c>
      <c r="J75" s="58">
        <v>1.3</v>
      </c>
      <c r="K75" s="6">
        <f t="shared" si="2"/>
        <v>1.638</v>
      </c>
      <c r="L75" s="3">
        <v>0.471</v>
      </c>
      <c r="M75" s="60">
        <f t="shared" si="38"/>
        <v>0.443</v>
      </c>
      <c r="N75" s="62">
        <f t="shared" si="39"/>
        <v>0.443</v>
      </c>
      <c r="O75" s="60">
        <f t="shared" si="16"/>
        <v>0.443</v>
      </c>
      <c r="P75" s="63">
        <v>90.0</v>
      </c>
      <c r="Q75" s="458">
        <v>90.87</v>
      </c>
      <c r="R75" s="65">
        <v>4123.3</v>
      </c>
      <c r="S75" s="66">
        <f t="array" ref="S75">IF((XLOOKUP(D75,RUC!$B$3:$B$106,RUC!$E$3:$E$106)+ROUNDDOWN(O75,1)*100)&lt;95,95,((XLOOKUP(D75,RUC!$B$3:$B$106,RUC!$E$3:$E$106)+ROUNDDOWN(O75,1)*100)))</f>
        <v>125</v>
      </c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140">
        <v>35.0</v>
      </c>
      <c r="AA75" s="70">
        <f t="shared" si="4"/>
        <v>55</v>
      </c>
      <c r="AB75" s="71">
        <f t="shared" si="31"/>
        <v>1560.984347</v>
      </c>
      <c r="AC75" s="71">
        <f>+(S75-T75)*V75-'data 1'!$F$4</f>
        <v>57.7875</v>
      </c>
      <c r="AD75" s="71">
        <f t="shared" si="6"/>
        <v>18.08248459</v>
      </c>
      <c r="AE75" s="71">
        <f t="shared" si="7"/>
        <v>-9.3735</v>
      </c>
      <c r="AF75" s="71">
        <f t="shared" si="8"/>
        <v>112.2784745</v>
      </c>
      <c r="AG75" s="72">
        <f t="shared" si="37"/>
        <v>195.7749591</v>
      </c>
      <c r="AH75" s="193">
        <f t="shared" si="10"/>
        <v>24.036</v>
      </c>
      <c r="AI75" s="193">
        <f t="shared" si="11"/>
        <v>26.451</v>
      </c>
      <c r="AJ75" s="73">
        <f t="shared" si="12"/>
        <v>55.05694361</v>
      </c>
      <c r="AK75" s="73">
        <f t="shared" si="13"/>
        <v>22.39077895</v>
      </c>
      <c r="AM75" s="51">
        <f t="shared" si="14"/>
        <v>2556.892361</v>
      </c>
      <c r="AN75" s="51" t="str">
        <f t="array" ref="AN75">XLOOKUP(D75,RUC!$B$3:$B$565,RUC!$M$3:$M$565)</f>
        <v>Ronald Miranda</v>
      </c>
      <c r="AO75" s="131" t="s">
        <v>549</v>
      </c>
      <c r="AP75" s="57" t="s">
        <v>2048</v>
      </c>
      <c r="AQ75" s="57" t="s">
        <v>2049</v>
      </c>
    </row>
    <row r="76" ht="15.0" customHeight="1">
      <c r="A76" s="116" t="s">
        <v>2052</v>
      </c>
      <c r="B76" s="182">
        <v>45979.0</v>
      </c>
      <c r="C76" s="182">
        <v>45972.0</v>
      </c>
      <c r="D76" s="57" t="s">
        <v>602</v>
      </c>
      <c r="E76" s="3">
        <f t="array" ref="E76">XLOOKUP(D76,RUC!$B$3:$B$110,RUC!$D$3:$D$110)</f>
        <v>20169040231</v>
      </c>
      <c r="G76" s="141">
        <v>57.0</v>
      </c>
      <c r="H76" s="3" t="s">
        <v>47</v>
      </c>
      <c r="I76" s="6">
        <v>4.46</v>
      </c>
      <c r="J76" s="58">
        <v>1.25</v>
      </c>
      <c r="K76" s="6">
        <f t="shared" si="2"/>
        <v>4.404</v>
      </c>
      <c r="L76" s="3">
        <v>0.358</v>
      </c>
      <c r="M76" s="60">
        <f t="shared" si="38"/>
        <v>0.337</v>
      </c>
      <c r="N76" s="75">
        <v>0.398</v>
      </c>
      <c r="O76" s="60">
        <f t="shared" si="16"/>
        <v>0.368</v>
      </c>
      <c r="P76" s="63">
        <v>90.0</v>
      </c>
      <c r="Q76" s="458">
        <v>93.02</v>
      </c>
      <c r="R76" s="65">
        <v>4123.3</v>
      </c>
      <c r="S76" s="66">
        <f t="array" ref="S76">IF((XLOOKUP(D76,RUC!$B$3:$B$106,RUC!$E$3:$E$106)+ROUNDDOWN(O76,1)*100)&lt;95,95,((XLOOKUP(D76,RUC!$B$3:$B$106,RUC!$E$3:$E$106)+ROUNDDOWN(O76,1)*100)))</f>
        <v>115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140">
        <v>35.0</v>
      </c>
      <c r="AA76" s="70">
        <f t="shared" si="4"/>
        <v>55</v>
      </c>
      <c r="AB76" s="71">
        <f t="shared" si="31"/>
        <v>1274.14081</v>
      </c>
      <c r="AC76" s="71">
        <f>+(S76-T76)*V76-'data 1'!$F$4</f>
        <v>46.7645</v>
      </c>
      <c r="AD76" s="71">
        <f t="shared" si="6"/>
        <v>47.70983489</v>
      </c>
      <c r="AE76" s="71">
        <f t="shared" si="7"/>
        <v>-9.3735</v>
      </c>
      <c r="AF76" s="71">
        <f t="shared" si="8"/>
        <v>-41.04821526</v>
      </c>
      <c r="AG76" s="72">
        <f t="shared" si="37"/>
        <v>61.05261963</v>
      </c>
      <c r="AH76" s="193">
        <f t="shared" si="10"/>
        <v>50.282</v>
      </c>
      <c r="AI76" s="193">
        <f t="shared" si="11"/>
        <v>54.055</v>
      </c>
      <c r="AJ76" s="73">
        <f t="shared" si="12"/>
        <v>42.83808274</v>
      </c>
      <c r="AK76" s="73">
        <f t="shared" si="13"/>
        <v>50.00883158</v>
      </c>
      <c r="AM76" s="51">
        <f t="shared" si="14"/>
        <v>5611.316126</v>
      </c>
      <c r="AN76" s="51" t="str">
        <f t="array" ref="AN76">XLOOKUP(D76,RUC!$B$3:$B$565,RUC!$M$3:$M$565)</f>
        <v>Ronald Miranda</v>
      </c>
      <c r="AO76" s="131" t="s">
        <v>549</v>
      </c>
      <c r="AP76" s="57" t="s">
        <v>2048</v>
      </c>
      <c r="AQ76" s="57" t="s">
        <v>2049</v>
      </c>
    </row>
    <row r="77" ht="15.0" customHeight="1">
      <c r="A77" s="116" t="s">
        <v>2053</v>
      </c>
      <c r="B77" s="182">
        <v>45979.0</v>
      </c>
      <c r="C77" s="182">
        <v>45972.0</v>
      </c>
      <c r="D77" s="57" t="s">
        <v>602</v>
      </c>
      <c r="E77" s="3">
        <f t="array" ref="E77">XLOOKUP(D77,RUC!$B$3:$B$110,RUC!$D$3:$D$110)</f>
        <v>20169040231</v>
      </c>
      <c r="G77" s="141">
        <v>63.0</v>
      </c>
      <c r="H77" s="3" t="s">
        <v>47</v>
      </c>
      <c r="I77" s="6">
        <v>4.85</v>
      </c>
      <c r="J77" s="58">
        <v>1.3</v>
      </c>
      <c r="K77" s="6">
        <f t="shared" si="2"/>
        <v>4.787</v>
      </c>
      <c r="L77" s="3">
        <v>0.592</v>
      </c>
      <c r="M77" s="60">
        <f t="shared" si="38"/>
        <v>0.556</v>
      </c>
      <c r="N77" s="75">
        <v>0.609</v>
      </c>
      <c r="O77" s="60">
        <f t="shared" si="16"/>
        <v>0.583</v>
      </c>
      <c r="P77" s="63">
        <v>90.0</v>
      </c>
      <c r="Q77" s="458">
        <v>93.24</v>
      </c>
      <c r="R77" s="65">
        <v>4123.3</v>
      </c>
      <c r="S77" s="66">
        <f t="array" ref="S77">IF((XLOOKUP(D77,RUC!$B$3:$B$106,RUC!$E$3:$E$106)+ROUNDDOWN(O77,1)*100)&lt;95,95,((XLOOKUP(D77,RUC!$B$3:$B$106,RUC!$E$3:$E$106)+ROUNDDOWN(O77,1)*100)))</f>
        <v>135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140">
        <v>35.0</v>
      </c>
      <c r="AA77" s="70">
        <f t="shared" si="4"/>
        <v>55</v>
      </c>
      <c r="AB77" s="71">
        <f t="shared" si="31"/>
        <v>2105.978883</v>
      </c>
      <c r="AC77" s="71">
        <f>+(S77-T77)*V77-'data 1'!$F$4</f>
        <v>68.8105</v>
      </c>
      <c r="AD77" s="71">
        <f t="shared" si="6"/>
        <v>84.64175525</v>
      </c>
      <c r="AE77" s="71">
        <f t="shared" si="7"/>
        <v>-9.3735</v>
      </c>
      <c r="AF77" s="71">
        <f t="shared" si="8"/>
        <v>37.03076792</v>
      </c>
      <c r="AG77" s="72">
        <f t="shared" si="37"/>
        <v>198.1095232</v>
      </c>
      <c r="AH77" s="193">
        <f t="shared" si="10"/>
        <v>90.593</v>
      </c>
      <c r="AI77" s="193">
        <f t="shared" si="11"/>
        <v>97.161</v>
      </c>
      <c r="AJ77" s="73">
        <f t="shared" si="12"/>
        <v>71.00593246</v>
      </c>
      <c r="AK77" s="73">
        <f t="shared" si="13"/>
        <v>86.11594287</v>
      </c>
      <c r="AM77" s="51">
        <f t="shared" si="14"/>
        <v>10081.32092</v>
      </c>
      <c r="AN77" s="51" t="str">
        <f t="array" ref="AN77">XLOOKUP(D77,RUC!$B$3:$B$565,RUC!$M$3:$M$565)</f>
        <v>Ronald Miranda</v>
      </c>
      <c r="AO77" s="131" t="s">
        <v>549</v>
      </c>
      <c r="AP77" s="57" t="s">
        <v>2048</v>
      </c>
      <c r="AQ77" s="57" t="s">
        <v>2049</v>
      </c>
    </row>
    <row r="78" ht="15.0" customHeight="1">
      <c r="A78" s="116" t="s">
        <v>2054</v>
      </c>
      <c r="B78" s="182">
        <v>45979.0</v>
      </c>
      <c r="C78" s="182">
        <v>45972.0</v>
      </c>
      <c r="D78" s="57" t="s">
        <v>602</v>
      </c>
      <c r="E78" s="3">
        <f t="array" ref="E78">XLOOKUP(D78,RUC!$B$3:$B$110,RUC!$D$3:$D$110)</f>
        <v>20169040231</v>
      </c>
      <c r="G78" s="141">
        <v>44.0</v>
      </c>
      <c r="H78" s="3" t="s">
        <v>47</v>
      </c>
      <c r="I78" s="6">
        <v>3.56</v>
      </c>
      <c r="J78" s="58">
        <v>1.2</v>
      </c>
      <c r="K78" s="6">
        <f t="shared" si="2"/>
        <v>3.517</v>
      </c>
      <c r="L78" s="3">
        <v>0.213</v>
      </c>
      <c r="M78" s="60">
        <f t="shared" si="38"/>
        <v>0.195</v>
      </c>
      <c r="N78" s="62">
        <f t="shared" ref="N78:N80" si="40">+M78</f>
        <v>0.195</v>
      </c>
      <c r="O78" s="60">
        <f t="shared" si="16"/>
        <v>0.195</v>
      </c>
      <c r="P78" s="63">
        <v>90.0</v>
      </c>
      <c r="Q78" s="458">
        <v>92.49</v>
      </c>
      <c r="R78" s="65">
        <v>4123.3</v>
      </c>
      <c r="S78" s="66">
        <f t="array" ref="S78">IF((XLOOKUP(D78,RUC!$B$3:$B$106,RUC!$E$3:$E$106)+ROUNDDOWN(O78,1)*100)&lt;95,95,((XLOOKUP(D78,RUC!$B$3:$B$106,RUC!$E$3:$E$106)+ROUNDDOWN(O78,1)*100)))</f>
        <v>95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140">
        <v>35.0</v>
      </c>
      <c r="AA78" s="70">
        <f t="shared" si="4"/>
        <v>55</v>
      </c>
      <c r="AB78" s="71">
        <f t="shared" si="31"/>
        <v>609.107997</v>
      </c>
      <c r="AC78" s="71">
        <f>+(S78-T78)*V78-'data 1'!$F$4</f>
        <v>24.7185</v>
      </c>
      <c r="AD78" s="71">
        <f t="shared" si="6"/>
        <v>23.40436673</v>
      </c>
      <c r="AE78" s="71">
        <f t="shared" si="7"/>
        <v>-9.3735</v>
      </c>
      <c r="AF78" s="71">
        <f t="shared" si="8"/>
        <v>73.46580277</v>
      </c>
      <c r="AG78" s="72">
        <f t="shared" si="37"/>
        <v>129.2151695</v>
      </c>
      <c r="AH78" s="193">
        <f t="shared" si="10"/>
        <v>23.755</v>
      </c>
      <c r="AI78" s="193">
        <f t="shared" si="11"/>
        <v>25.684</v>
      </c>
      <c r="AJ78" s="73">
        <f t="shared" si="12"/>
        <v>25.34224273</v>
      </c>
      <c r="AK78" s="73">
        <f t="shared" si="13"/>
        <v>21.16209006</v>
      </c>
      <c r="AM78" s="51">
        <f t="shared" si="14"/>
        <v>2142.232826</v>
      </c>
      <c r="AN78" s="51" t="str">
        <f t="array" ref="AN78">XLOOKUP(D78,RUC!$B$3:$B$565,RUC!$M$3:$M$565)</f>
        <v>Ronald Miranda</v>
      </c>
      <c r="AO78" s="131" t="s">
        <v>549</v>
      </c>
      <c r="AP78" s="57" t="s">
        <v>2048</v>
      </c>
      <c r="AQ78" s="57" t="s">
        <v>2049</v>
      </c>
    </row>
    <row r="79" ht="15.0" customHeight="1">
      <c r="A79" s="116" t="s">
        <v>2055</v>
      </c>
      <c r="B79" s="182">
        <v>45979.0</v>
      </c>
      <c r="C79" s="182">
        <v>45972.0</v>
      </c>
      <c r="D79" s="57" t="s">
        <v>602</v>
      </c>
      <c r="E79" s="3">
        <f t="array" ref="E79">XLOOKUP(D79,RUC!$B$3:$B$110,RUC!$D$3:$D$110)</f>
        <v>20169040231</v>
      </c>
      <c r="G79" s="141">
        <v>44.0</v>
      </c>
      <c r="H79" s="3" t="s">
        <v>47</v>
      </c>
      <c r="I79" s="6">
        <v>3.51</v>
      </c>
      <c r="J79" s="58">
        <v>1.25</v>
      </c>
      <c r="K79" s="6">
        <f t="shared" si="2"/>
        <v>3.466</v>
      </c>
      <c r="L79" s="3">
        <v>0.158</v>
      </c>
      <c r="M79" s="60">
        <f t="shared" si="38"/>
        <v>0.14</v>
      </c>
      <c r="N79" s="62">
        <f t="shared" si="40"/>
        <v>0.14</v>
      </c>
      <c r="O79" s="60">
        <f t="shared" si="16"/>
        <v>0.14</v>
      </c>
      <c r="P79" s="63">
        <v>85.0</v>
      </c>
      <c r="Q79" s="458">
        <v>87.97</v>
      </c>
      <c r="R79" s="65">
        <v>4123.3</v>
      </c>
      <c r="S79" s="66">
        <f t="array" ref="S79">IF((XLOOKUP(D79,RUC!$B$3:$B$106,RUC!$E$3:$E$106)+ROUNDDOWN(O79,1)*100)&lt;95,95,((XLOOKUP(D79,RUC!$B$3:$B$106,RUC!$E$3:$E$106)+ROUNDDOWN(O79,1)*100)))</f>
        <v>95</v>
      </c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140">
        <v>35.0</v>
      </c>
      <c r="AA79" s="70">
        <f t="shared" si="4"/>
        <v>55</v>
      </c>
      <c r="AB79" s="71">
        <f t="shared" si="31"/>
        <v>359.7826732</v>
      </c>
      <c r="AC79" s="71">
        <f>+(S79-T79)*V79-'data 1'!$F$4</f>
        <v>24.7185</v>
      </c>
      <c r="AD79" s="71">
        <f t="shared" si="6"/>
        <v>20.70768167</v>
      </c>
      <c r="AE79" s="71">
        <f t="shared" si="7"/>
        <v>-9.3735</v>
      </c>
      <c r="AF79" s="71">
        <f t="shared" si="8"/>
        <v>69.8755181</v>
      </c>
      <c r="AG79" s="72">
        <f t="shared" si="37"/>
        <v>122.9281998</v>
      </c>
      <c r="AH79" s="193">
        <f t="shared" si="10"/>
        <v>16.517</v>
      </c>
      <c r="AI79" s="193">
        <f t="shared" si="11"/>
        <v>18.776</v>
      </c>
      <c r="AJ79" s="73">
        <f t="shared" si="12"/>
        <v>17.87978707</v>
      </c>
      <c r="AK79" s="73">
        <f t="shared" si="13"/>
        <v>14.14114544</v>
      </c>
      <c r="AM79" s="51">
        <f t="shared" si="14"/>
        <v>1247.006745</v>
      </c>
      <c r="AN79" s="51" t="str">
        <f t="array" ref="AN79">XLOOKUP(D79,RUC!$B$3:$B$565,RUC!$M$3:$M$565)</f>
        <v>Ronald Miranda</v>
      </c>
      <c r="AO79" s="131" t="s">
        <v>549</v>
      </c>
      <c r="AP79" s="57" t="s">
        <v>2048</v>
      </c>
      <c r="AQ79" s="57" t="s">
        <v>2049</v>
      </c>
    </row>
    <row r="80" ht="15.0" customHeight="1">
      <c r="A80" s="116" t="s">
        <v>2056</v>
      </c>
      <c r="B80" s="182">
        <v>45979.0</v>
      </c>
      <c r="C80" s="182">
        <v>45972.0</v>
      </c>
      <c r="D80" s="57" t="s">
        <v>602</v>
      </c>
      <c r="E80" s="3">
        <f t="array" ref="E80">XLOOKUP(D80,RUC!$B$3:$B$110,RUC!$D$3:$D$110)</f>
        <v>20169040231</v>
      </c>
      <c r="G80" s="141">
        <v>50.0</v>
      </c>
      <c r="H80" s="3" t="s">
        <v>47</v>
      </c>
      <c r="I80" s="6">
        <v>4.03</v>
      </c>
      <c r="J80" s="58">
        <v>1.3</v>
      </c>
      <c r="K80" s="6">
        <f t="shared" si="2"/>
        <v>3.978</v>
      </c>
      <c r="L80" s="3">
        <v>0.636</v>
      </c>
      <c r="M80" s="60">
        <f t="shared" si="38"/>
        <v>0.598</v>
      </c>
      <c r="N80" s="62">
        <f t="shared" si="40"/>
        <v>0.598</v>
      </c>
      <c r="O80" s="60">
        <f t="shared" si="16"/>
        <v>0.598</v>
      </c>
      <c r="P80" s="63">
        <v>90.0</v>
      </c>
      <c r="Q80" s="458">
        <v>90.57</v>
      </c>
      <c r="R80" s="65">
        <v>4123.3</v>
      </c>
      <c r="S80" s="66">
        <f t="array" ref="S80">IF((XLOOKUP(D80,RUC!$B$3:$B$106,RUC!$E$3:$E$106)+ROUNDDOWN(O80,1)*100)&lt;95,95,((XLOOKUP(D80,RUC!$B$3:$B$106,RUC!$E$3:$E$106)+ROUNDDOWN(O80,1)*100)))</f>
        <v>135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140">
        <v>35.0</v>
      </c>
      <c r="AA80" s="70">
        <f t="shared" si="4"/>
        <v>55</v>
      </c>
      <c r="AB80" s="71">
        <f t="shared" si="31"/>
        <v>2165.552191</v>
      </c>
      <c r="AC80" s="71">
        <f>+(S80-T80)*V80-'data 1'!$F$4</f>
        <v>68.8105</v>
      </c>
      <c r="AD80" s="71">
        <f t="shared" si="6"/>
        <v>15.99741883</v>
      </c>
      <c r="AE80" s="71">
        <f t="shared" si="7"/>
        <v>-9.3735</v>
      </c>
      <c r="AF80" s="71">
        <f t="shared" si="8"/>
        <v>151.8748662</v>
      </c>
      <c r="AG80" s="72">
        <f t="shared" si="37"/>
        <v>244.309285</v>
      </c>
      <c r="AH80" s="193">
        <f t="shared" si="10"/>
        <v>78.563</v>
      </c>
      <c r="AI80" s="193">
        <f t="shared" si="11"/>
        <v>86.742</v>
      </c>
      <c r="AJ80" s="73">
        <f t="shared" si="12"/>
        <v>74.09896585</v>
      </c>
      <c r="AK80" s="73">
        <f t="shared" si="13"/>
        <v>73.40363069</v>
      </c>
      <c r="AM80" s="51">
        <f t="shared" si="14"/>
        <v>8614.566616</v>
      </c>
      <c r="AN80" s="51" t="str">
        <f t="array" ref="AN80">XLOOKUP(D80,RUC!$B$3:$B$565,RUC!$M$3:$M$565)</f>
        <v>Ronald Miranda</v>
      </c>
      <c r="AO80" s="131" t="s">
        <v>549</v>
      </c>
      <c r="AP80" s="57" t="s">
        <v>2048</v>
      </c>
      <c r="AQ80" s="57" t="s">
        <v>2049</v>
      </c>
    </row>
    <row r="81" ht="15.0" customHeight="1">
      <c r="A81" s="116" t="s">
        <v>2057</v>
      </c>
      <c r="B81" s="182">
        <v>45979.0</v>
      </c>
      <c r="C81" s="182">
        <v>45972.0</v>
      </c>
      <c r="D81" s="57" t="s">
        <v>602</v>
      </c>
      <c r="E81" s="3">
        <f t="array" ref="E81">XLOOKUP(D81,RUC!$B$3:$B$110,RUC!$D$3:$D$110)</f>
        <v>20169040231</v>
      </c>
      <c r="G81" s="141">
        <v>38.0</v>
      </c>
      <c r="H81" s="3" t="s">
        <v>47</v>
      </c>
      <c r="I81" s="6">
        <v>3.11</v>
      </c>
      <c r="J81" s="58">
        <v>1.2</v>
      </c>
      <c r="K81" s="6">
        <f t="shared" si="2"/>
        <v>3.073</v>
      </c>
      <c r="L81" s="3">
        <v>0.894</v>
      </c>
      <c r="M81" s="60">
        <f t="shared" si="38"/>
        <v>0.84</v>
      </c>
      <c r="N81" s="75">
        <v>0.918</v>
      </c>
      <c r="O81" s="60">
        <f t="shared" si="16"/>
        <v>0.879</v>
      </c>
      <c r="P81" s="63">
        <v>89.0</v>
      </c>
      <c r="Q81" s="458">
        <v>89.49</v>
      </c>
      <c r="R81" s="65">
        <v>4123.3</v>
      </c>
      <c r="S81" s="66">
        <f t="array" ref="S81">IF((XLOOKUP(D81,RUC!$B$3:$B$106,RUC!$E$3:$E$106)+ROUNDDOWN(O81,1)*100)&lt;95,95,((XLOOKUP(D81,RUC!$B$3:$B$106,RUC!$E$3:$E$106)+ROUNDDOWN(O81,1)*100)))</f>
        <v>165</v>
      </c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140">
        <v>35.0</v>
      </c>
      <c r="AA81" s="70">
        <f t="shared" si="4"/>
        <v>55</v>
      </c>
      <c r="AB81" s="71">
        <f t="shared" si="31"/>
        <v>3209.700975</v>
      </c>
      <c r="AC81" s="71">
        <f>+(S81-T81)*V81-'data 1'!$F$4</f>
        <v>101.8795</v>
      </c>
      <c r="AD81" s="71">
        <f t="shared" si="6"/>
        <v>19.33087635</v>
      </c>
      <c r="AE81" s="71">
        <f t="shared" si="7"/>
        <v>-9.3735</v>
      </c>
      <c r="AF81" s="71">
        <f t="shared" si="8"/>
        <v>59.23572539</v>
      </c>
      <c r="AG81" s="72">
        <f t="shared" si="37"/>
        <v>188.0726017</v>
      </c>
      <c r="AH81" s="193">
        <f t="shared" si="10"/>
        <v>84.291</v>
      </c>
      <c r="AI81" s="193">
        <f t="shared" si="11"/>
        <v>94.191</v>
      </c>
      <c r="AJ81" s="73">
        <f t="shared" si="12"/>
        <v>102.9159507</v>
      </c>
      <c r="AK81" s="73">
        <f t="shared" si="13"/>
        <v>82.42339732</v>
      </c>
      <c r="AM81" s="51">
        <f t="shared" si="14"/>
        <v>9863.411096</v>
      </c>
      <c r="AN81" s="51" t="str">
        <f t="array" ref="AN81">XLOOKUP(D81,RUC!$B$3:$B$565,RUC!$M$3:$M$565)</f>
        <v>Ronald Miranda</v>
      </c>
      <c r="AO81" s="131" t="s">
        <v>549</v>
      </c>
      <c r="AP81" s="57" t="s">
        <v>2048</v>
      </c>
      <c r="AQ81" s="57" t="s">
        <v>2049</v>
      </c>
    </row>
    <row r="82" ht="15.0" customHeight="1">
      <c r="A82" s="116" t="s">
        <v>2058</v>
      </c>
      <c r="B82" s="182">
        <v>45978.0</v>
      </c>
      <c r="C82" s="182">
        <v>45972.0</v>
      </c>
      <c r="D82" s="57" t="s">
        <v>295</v>
      </c>
      <c r="E82" s="3">
        <f t="array" ref="E82">XLOOKUP(D82,RUC!$B$3:$B$110,RUC!$D$3:$D$110)</f>
        <v>20601769396</v>
      </c>
      <c r="G82" s="141">
        <v>34.0</v>
      </c>
      <c r="H82" s="3" t="s">
        <v>71</v>
      </c>
      <c r="I82" s="6">
        <v>3.33</v>
      </c>
      <c r="J82" s="58">
        <v>6.65</v>
      </c>
      <c r="K82" s="6">
        <f t="shared" si="2"/>
        <v>3.109</v>
      </c>
      <c r="L82" s="3">
        <v>0.318</v>
      </c>
      <c r="M82" s="60">
        <f t="shared" si="38"/>
        <v>0.299</v>
      </c>
      <c r="N82" s="75">
        <v>0.344</v>
      </c>
      <c r="O82" s="60">
        <f t="shared" si="16"/>
        <v>0.322</v>
      </c>
      <c r="P82" s="63">
        <v>90.0</v>
      </c>
      <c r="Q82" s="458">
        <v>94.65</v>
      </c>
      <c r="R82" s="65">
        <v>4123.3</v>
      </c>
      <c r="S82" s="66">
        <f t="array" ref="S82">IF((XLOOKUP(D82,RUC!$B$3:$B$106,RUC!$E$3:$E$106)+ROUNDDOWN(O82,1)*100)&lt;95,95,((XLOOKUP(D82,RUC!$B$3:$B$106,RUC!$E$3:$E$106)+ROUNDDOWN(O82,1)*100)))</f>
        <v>120</v>
      </c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69">
        <f t="array" ref="Z82">XLOOKUP(D82,RUC!$B$3:$B$110,RUC!$H$3:$H$110)</f>
        <v>30</v>
      </c>
      <c r="AA82" s="70">
        <f t="shared" si="4"/>
        <v>50</v>
      </c>
      <c r="AB82" s="71">
        <f t="shared" si="31"/>
        <v>1091.449334</v>
      </c>
      <c r="AC82" s="71">
        <f>+(S82-T82)*V82-'data 1'!$F$4</f>
        <v>52.276</v>
      </c>
      <c r="AD82" s="71">
        <f t="shared" si="6"/>
        <v>65.25262944</v>
      </c>
      <c r="AE82" s="71">
        <f t="shared" si="7"/>
        <v>-14.885</v>
      </c>
      <c r="AF82" s="71">
        <f t="shared" si="8"/>
        <v>-16.70700312</v>
      </c>
      <c r="AG82" s="72">
        <f t="shared" si="37"/>
        <v>102.9366263</v>
      </c>
      <c r="AH82" s="193">
        <f t="shared" si="10"/>
        <v>32.083</v>
      </c>
      <c r="AI82" s="193">
        <f t="shared" si="11"/>
        <v>33.897</v>
      </c>
      <c r="AJ82" s="73">
        <f t="shared" si="12"/>
        <v>38.71848911</v>
      </c>
      <c r="AK82" s="73">
        <f t="shared" si="13"/>
        <v>30.89073007</v>
      </c>
      <c r="AM82" s="51">
        <f t="shared" si="14"/>
        <v>3393.315978</v>
      </c>
      <c r="AN82" s="51" t="str">
        <f t="array" ref="AN82">XLOOKUP(D82,RUC!$B$3:$B$565,RUC!$M$3:$M$565)</f>
        <v>Evelyn</v>
      </c>
      <c r="AO82" s="131" t="s">
        <v>549</v>
      </c>
      <c r="AP82" s="57" t="s">
        <v>2020</v>
      </c>
      <c r="AQ82" s="57" t="s">
        <v>2059</v>
      </c>
    </row>
    <row r="83" ht="15.0" customHeight="1">
      <c r="A83" s="116" t="s">
        <v>2060</v>
      </c>
      <c r="B83" s="182">
        <v>45978.0</v>
      </c>
      <c r="C83" s="182">
        <v>45972.0</v>
      </c>
      <c r="D83" s="57" t="s">
        <v>295</v>
      </c>
      <c r="E83" s="3">
        <f t="array" ref="E83">XLOOKUP(D83,RUC!$B$3:$B$110,RUC!$D$3:$D$110)</f>
        <v>20601769396</v>
      </c>
      <c r="G83" s="141">
        <v>35.0</v>
      </c>
      <c r="H83" s="3" t="s">
        <v>71</v>
      </c>
      <c r="I83" s="6">
        <v>3.37</v>
      </c>
      <c r="J83" s="58">
        <v>8.9</v>
      </c>
      <c r="K83" s="6">
        <f t="shared" si="2"/>
        <v>3.07</v>
      </c>
      <c r="L83" s="3">
        <v>0.363</v>
      </c>
      <c r="M83" s="60">
        <f t="shared" si="38"/>
        <v>0.341</v>
      </c>
      <c r="N83" s="62">
        <f>+M83</f>
        <v>0.341</v>
      </c>
      <c r="O83" s="60">
        <f t="shared" si="16"/>
        <v>0.341</v>
      </c>
      <c r="P83" s="63">
        <v>90.0</v>
      </c>
      <c r="Q83" s="458">
        <v>96.14</v>
      </c>
      <c r="R83" s="65">
        <v>4123.3</v>
      </c>
      <c r="S83" s="66">
        <f t="array" ref="S83">IF((XLOOKUP(D83,RUC!$B$3:$B$106,RUC!$E$3:$E$106)+ROUNDDOWN(O83,1)*100)&lt;95,95,((XLOOKUP(D83,RUC!$B$3:$B$106,RUC!$E$3:$E$106)+ROUNDDOWN(O83,1)*100)))</f>
        <v>120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4"/>
        <v>50</v>
      </c>
      <c r="AB83" s="71">
        <f t="shared" si="31"/>
        <v>1166.908856</v>
      </c>
      <c r="AC83" s="71">
        <f>+(S83-T83)*V83-'data 1'!$F$4</f>
        <v>52.276</v>
      </c>
      <c r="AD83" s="71">
        <f t="shared" si="6"/>
        <v>98.35420677</v>
      </c>
      <c r="AE83" s="71">
        <f t="shared" si="7"/>
        <v>-14.885</v>
      </c>
      <c r="AF83" s="71">
        <f t="shared" si="8"/>
        <v>93.3350453</v>
      </c>
      <c r="AG83" s="72">
        <f t="shared" si="37"/>
        <v>246.0802521</v>
      </c>
      <c r="AH83" s="193">
        <f t="shared" si="10"/>
        <v>36.733</v>
      </c>
      <c r="AI83" s="193">
        <f t="shared" si="11"/>
        <v>38.208</v>
      </c>
      <c r="AJ83" s="73">
        <f t="shared" si="12"/>
        <v>44.89328716</v>
      </c>
      <c r="AK83" s="73">
        <f t="shared" si="13"/>
        <v>32.30310977</v>
      </c>
      <c r="AM83" s="51">
        <f t="shared" si="14"/>
        <v>3582.410189</v>
      </c>
      <c r="AN83" s="51" t="str">
        <f t="array" ref="AN83">XLOOKUP(D83,RUC!$B$3:$B$565,RUC!$M$3:$M$565)</f>
        <v>Evelyn</v>
      </c>
      <c r="AO83" s="131" t="s">
        <v>549</v>
      </c>
      <c r="AP83" s="57" t="s">
        <v>2020</v>
      </c>
      <c r="AQ83" s="57" t="s">
        <v>2059</v>
      </c>
    </row>
    <row r="84" ht="15.0" customHeight="1">
      <c r="B84" s="3"/>
      <c r="C84" s="3"/>
      <c r="G84" s="141"/>
      <c r="H84" s="3"/>
      <c r="R84" s="65"/>
      <c r="AG84" s="91"/>
    </row>
    <row r="85" ht="15.0" customHeight="1">
      <c r="B85" s="3"/>
      <c r="C85" s="3"/>
      <c r="G85" s="141"/>
      <c r="H85" s="3"/>
      <c r="R85" s="65"/>
      <c r="AG85" s="91"/>
    </row>
    <row r="86" ht="15.0" customHeight="1">
      <c r="B86" s="3"/>
      <c r="C86" s="3"/>
      <c r="G86" s="141"/>
      <c r="H86" s="3"/>
      <c r="R86" s="65"/>
      <c r="AG86" s="91"/>
    </row>
    <row r="87" ht="15.0" customHeight="1">
      <c r="B87" s="3"/>
      <c r="C87" s="3"/>
      <c r="G87" s="141"/>
      <c r="H87" s="3"/>
      <c r="R87" s="65"/>
      <c r="AG87" s="91"/>
    </row>
    <row r="88" ht="15.0" customHeight="1">
      <c r="B88" s="3"/>
      <c r="C88" s="3"/>
      <c r="G88" s="141"/>
      <c r="H88" s="3"/>
      <c r="R88" s="65"/>
      <c r="AG88" s="91"/>
    </row>
    <row r="89" ht="15.0" customHeight="1">
      <c r="B89" s="3"/>
      <c r="C89" s="3"/>
      <c r="G89" s="141"/>
      <c r="H89" s="3"/>
      <c r="R89" s="65"/>
      <c r="AG89" s="91"/>
    </row>
    <row r="90" ht="15.0" customHeight="1">
      <c r="B90" s="3"/>
      <c r="C90" s="3"/>
      <c r="G90" s="141"/>
      <c r="H90" s="3"/>
      <c r="R90" s="65"/>
      <c r="AG90" s="91"/>
    </row>
    <row r="91" ht="15.0" customHeight="1">
      <c r="B91" s="3"/>
      <c r="C91" s="3"/>
      <c r="G91" s="141"/>
      <c r="H91" s="3"/>
      <c r="R91" s="65"/>
      <c r="AG91" s="91"/>
    </row>
    <row r="92" ht="15.0" customHeight="1">
      <c r="B92" s="3"/>
      <c r="C92" s="3"/>
      <c r="G92" s="141"/>
      <c r="H92" s="3"/>
      <c r="R92" s="65"/>
      <c r="AG92" s="91"/>
    </row>
    <row r="93" ht="15.0" customHeight="1">
      <c r="B93" s="3"/>
      <c r="C93" s="3"/>
      <c r="G93" s="141"/>
      <c r="H93" s="3"/>
      <c r="R93" s="65"/>
      <c r="AG93" s="91"/>
    </row>
    <row r="94" ht="15.0" customHeight="1">
      <c r="B94" s="3"/>
      <c r="C94" s="3"/>
      <c r="G94" s="141"/>
      <c r="H94" s="3"/>
      <c r="R94" s="65"/>
      <c r="AG94" s="91"/>
    </row>
    <row r="95" ht="15.0" customHeight="1">
      <c r="B95" s="3"/>
      <c r="C95" s="3"/>
      <c r="G95" s="141"/>
      <c r="H95" s="3"/>
      <c r="R95" s="65"/>
      <c r="AG95" s="91"/>
    </row>
    <row r="96" ht="15.0" customHeight="1">
      <c r="B96" s="3"/>
      <c r="C96" s="3"/>
      <c r="G96" s="141"/>
      <c r="H96" s="3"/>
      <c r="R96" s="65"/>
      <c r="AG96" s="91"/>
    </row>
    <row r="97" ht="15.0" customHeight="1">
      <c r="B97" s="3"/>
      <c r="C97" s="3"/>
      <c r="G97" s="141"/>
      <c r="H97" s="3"/>
      <c r="R97" s="65"/>
      <c r="AG97" s="91"/>
    </row>
    <row r="98" ht="15.0" customHeight="1">
      <c r="B98" s="3"/>
      <c r="C98" s="3"/>
      <c r="G98" s="141"/>
      <c r="H98" s="3"/>
      <c r="R98" s="65"/>
      <c r="AG98" s="91"/>
    </row>
    <row r="99" ht="15.0" customHeight="1">
      <c r="B99" s="3"/>
      <c r="C99" s="3"/>
      <c r="G99" s="141"/>
      <c r="H99" s="3"/>
      <c r="R99" s="65"/>
      <c r="AG99" s="91"/>
    </row>
    <row r="100" ht="15.0" customHeight="1">
      <c r="B100" s="3"/>
      <c r="C100" s="3"/>
      <c r="G100" s="141"/>
      <c r="H100" s="3"/>
      <c r="R100" s="65"/>
      <c r="AG100" s="91"/>
    </row>
    <row r="101" ht="15.0" customHeight="1">
      <c r="B101" s="3"/>
      <c r="C101" s="3"/>
      <c r="G101" s="141"/>
      <c r="H101" s="3"/>
      <c r="R101" s="65"/>
      <c r="AG101" s="91"/>
    </row>
    <row r="102" ht="15.0" customHeight="1">
      <c r="B102" s="3"/>
      <c r="C102" s="3"/>
      <c r="G102" s="141"/>
      <c r="H102" s="3"/>
      <c r="R102" s="65"/>
      <c r="AG102" s="91"/>
    </row>
    <row r="103" ht="15.0" customHeight="1">
      <c r="B103" s="3"/>
      <c r="C103" s="3"/>
      <c r="G103" s="141"/>
      <c r="H103" s="3"/>
      <c r="R103" s="65"/>
      <c r="AG103" s="91"/>
    </row>
    <row r="104" ht="15.0" customHeight="1">
      <c r="B104" s="3"/>
      <c r="C104" s="3"/>
      <c r="G104" s="141"/>
      <c r="H104" s="3"/>
      <c r="R104" s="65"/>
      <c r="AG104" s="91"/>
    </row>
    <row r="105" ht="15.0" customHeight="1">
      <c r="B105" s="3"/>
      <c r="C105" s="3"/>
      <c r="G105" s="141"/>
      <c r="H105" s="3"/>
      <c r="R105" s="65"/>
      <c r="AG105" s="91"/>
    </row>
    <row r="106" ht="15.0" customHeight="1">
      <c r="B106" s="3"/>
      <c r="C106" s="3"/>
      <c r="G106" s="141"/>
      <c r="H106" s="3"/>
      <c r="R106" s="65"/>
      <c r="AG106" s="91"/>
    </row>
    <row r="107" ht="15.0" customHeight="1">
      <c r="B107" s="3"/>
      <c r="C107" s="3"/>
      <c r="G107" s="141"/>
      <c r="H107" s="3"/>
      <c r="R107" s="65"/>
      <c r="AG107" s="91"/>
    </row>
    <row r="108" ht="15.0" customHeight="1">
      <c r="B108" s="3"/>
      <c r="C108" s="3"/>
      <c r="G108" s="141"/>
      <c r="H108" s="3"/>
      <c r="R108" s="65"/>
      <c r="AG108" s="91"/>
    </row>
    <row r="109" ht="15.0" customHeight="1">
      <c r="B109" s="3"/>
      <c r="C109" s="3"/>
      <c r="G109" s="141"/>
      <c r="H109" s="3"/>
      <c r="R109" s="65"/>
      <c r="AG109" s="91"/>
    </row>
    <row r="110" ht="15.0" customHeight="1">
      <c r="B110" s="3"/>
      <c r="C110" s="3"/>
      <c r="G110" s="141"/>
      <c r="H110" s="3"/>
      <c r="R110" s="65"/>
      <c r="AG110" s="91"/>
    </row>
    <row r="111" ht="15.0" customHeight="1">
      <c r="B111" s="3"/>
      <c r="C111" s="3"/>
      <c r="G111" s="141"/>
      <c r="H111" s="3"/>
      <c r="R111" s="65"/>
      <c r="AG111" s="91"/>
    </row>
    <row r="112" ht="15.0" customHeight="1">
      <c r="B112" s="3"/>
      <c r="C112" s="3"/>
      <c r="G112" s="141"/>
      <c r="H112" s="3"/>
      <c r="R112" s="65"/>
      <c r="AG112" s="91"/>
    </row>
    <row r="113" ht="15.0" customHeight="1">
      <c r="B113" s="3"/>
      <c r="C113" s="3"/>
      <c r="G113" s="141"/>
      <c r="H113" s="3"/>
      <c r="R113" s="65"/>
      <c r="AG113" s="91"/>
    </row>
    <row r="114" ht="15.0" customHeight="1">
      <c r="B114" s="3"/>
      <c r="C114" s="3"/>
      <c r="G114" s="141"/>
      <c r="H114" s="3"/>
      <c r="R114" s="65"/>
      <c r="AG114" s="91"/>
    </row>
    <row r="115" ht="15.0" customHeight="1">
      <c r="B115" s="3"/>
      <c r="C115" s="3"/>
      <c r="G115" s="141"/>
      <c r="H115" s="3"/>
      <c r="R115" s="65"/>
      <c r="AG115" s="91"/>
    </row>
    <row r="116" ht="15.0" customHeight="1">
      <c r="B116" s="3"/>
      <c r="C116" s="3"/>
      <c r="G116" s="141"/>
      <c r="H116" s="3"/>
      <c r="R116" s="65"/>
      <c r="AG116" s="91"/>
    </row>
    <row r="117" ht="15.0" customHeight="1">
      <c r="B117" s="3"/>
      <c r="C117" s="3"/>
      <c r="G117" s="141"/>
      <c r="H117" s="3"/>
      <c r="R117" s="65"/>
      <c r="AG117" s="91"/>
    </row>
    <row r="118" ht="15.0" customHeight="1">
      <c r="B118" s="3"/>
      <c r="C118" s="3"/>
      <c r="G118" s="141"/>
      <c r="H118" s="3"/>
      <c r="R118" s="65"/>
      <c r="AG118" s="91"/>
    </row>
    <row r="119" ht="15.0" customHeight="1">
      <c r="B119" s="3"/>
      <c r="C119" s="3"/>
      <c r="G119" s="141"/>
      <c r="H119" s="3"/>
      <c r="R119" s="65"/>
      <c r="AG119" s="91"/>
    </row>
    <row r="120" ht="15.0" customHeight="1">
      <c r="B120" s="3"/>
      <c r="C120" s="3"/>
      <c r="G120" s="141"/>
      <c r="H120" s="3"/>
      <c r="R120" s="65"/>
      <c r="AG120" s="91"/>
    </row>
    <row r="121" ht="15.0" customHeight="1">
      <c r="B121" s="3"/>
      <c r="C121" s="3"/>
      <c r="G121" s="141"/>
      <c r="H121" s="3"/>
      <c r="R121" s="65"/>
      <c r="AG121" s="91"/>
    </row>
    <row r="122" ht="15.0" customHeight="1">
      <c r="B122" s="3"/>
      <c r="C122" s="3"/>
      <c r="G122" s="141"/>
      <c r="H122" s="3"/>
      <c r="R122" s="65"/>
      <c r="AG122" s="91"/>
    </row>
    <row r="123" ht="15.0" customHeight="1">
      <c r="B123" s="3"/>
      <c r="C123" s="3"/>
      <c r="G123" s="141"/>
      <c r="H123" s="3"/>
      <c r="R123" s="65"/>
      <c r="AG123" s="91"/>
    </row>
    <row r="124" ht="15.0" customHeight="1">
      <c r="B124" s="3"/>
      <c r="C124" s="3"/>
      <c r="G124" s="141"/>
      <c r="H124" s="3"/>
      <c r="R124" s="65"/>
      <c r="AG124" s="91"/>
    </row>
    <row r="125" ht="15.0" customHeight="1">
      <c r="B125" s="3"/>
      <c r="C125" s="3"/>
      <c r="G125" s="141"/>
      <c r="H125" s="3"/>
      <c r="R125" s="65"/>
      <c r="AG125" s="91"/>
    </row>
    <row r="126" ht="15.0" customHeight="1">
      <c r="B126" s="3"/>
      <c r="C126" s="3"/>
      <c r="G126" s="141"/>
      <c r="H126" s="3"/>
      <c r="R126" s="65"/>
      <c r="AG126" s="91"/>
    </row>
    <row r="127" ht="15.0" customHeight="1">
      <c r="B127" s="3"/>
      <c r="C127" s="3"/>
      <c r="G127" s="141"/>
      <c r="H127" s="3"/>
      <c r="R127" s="65"/>
      <c r="AG127" s="91"/>
    </row>
    <row r="128" ht="15.0" customHeight="1">
      <c r="B128" s="3"/>
      <c r="C128" s="3"/>
      <c r="G128" s="141"/>
      <c r="H128" s="3"/>
      <c r="R128" s="65"/>
      <c r="AG128" s="91"/>
    </row>
    <row r="129" ht="15.0" customHeight="1">
      <c r="B129" s="3"/>
      <c r="C129" s="3"/>
      <c r="G129" s="141"/>
      <c r="H129" s="3"/>
      <c r="R129" s="65"/>
      <c r="AG129" s="91"/>
    </row>
    <row r="130" ht="15.0" customHeight="1">
      <c r="B130" s="3"/>
      <c r="C130" s="3"/>
      <c r="G130" s="141"/>
      <c r="H130" s="3"/>
      <c r="R130" s="65"/>
      <c r="AG130" s="91"/>
    </row>
    <row r="131" ht="15.0" customHeight="1">
      <c r="B131" s="3"/>
      <c r="C131" s="3"/>
      <c r="G131" s="141"/>
      <c r="H131" s="3"/>
      <c r="R131" s="65"/>
      <c r="AG131" s="91"/>
    </row>
    <row r="132" ht="15.0" customHeight="1">
      <c r="B132" s="3"/>
      <c r="C132" s="3"/>
      <c r="G132" s="141"/>
      <c r="H132" s="3"/>
      <c r="R132" s="65"/>
      <c r="AG132" s="91"/>
    </row>
    <row r="133" ht="15.0" customHeight="1">
      <c r="B133" s="3"/>
      <c r="C133" s="3"/>
      <c r="G133" s="141"/>
      <c r="H133" s="3"/>
      <c r="R133" s="65"/>
      <c r="AG133" s="91"/>
    </row>
    <row r="134" ht="15.0" customHeight="1">
      <c r="B134" s="3"/>
      <c r="C134" s="3"/>
      <c r="G134" s="141"/>
      <c r="H134" s="3"/>
      <c r="R134" s="65"/>
      <c r="AG134" s="91"/>
    </row>
    <row r="135" ht="15.0" customHeight="1">
      <c r="B135" s="3"/>
      <c r="C135" s="3"/>
      <c r="G135" s="141"/>
      <c r="H135" s="3"/>
      <c r="R135" s="65"/>
      <c r="AG135" s="91"/>
    </row>
    <row r="136" ht="15.0" customHeight="1">
      <c r="B136" s="3"/>
      <c r="C136" s="3"/>
      <c r="G136" s="141"/>
      <c r="H136" s="3"/>
      <c r="R136" s="65"/>
      <c r="AG136" s="91"/>
    </row>
    <row r="137" ht="15.0" customHeight="1">
      <c r="B137" s="3"/>
      <c r="C137" s="3"/>
      <c r="G137" s="141"/>
      <c r="H137" s="3"/>
      <c r="R137" s="65"/>
      <c r="AG137" s="91"/>
    </row>
    <row r="138" ht="15.0" customHeight="1">
      <c r="B138" s="3"/>
      <c r="C138" s="3"/>
      <c r="G138" s="141"/>
      <c r="H138" s="3"/>
      <c r="R138" s="65"/>
      <c r="AG138" s="91"/>
    </row>
    <row r="139" ht="15.0" customHeight="1">
      <c r="B139" s="3"/>
      <c r="C139" s="3"/>
      <c r="G139" s="141"/>
      <c r="H139" s="3"/>
      <c r="R139" s="65"/>
      <c r="AG139" s="91"/>
    </row>
    <row r="140" ht="15.0" customHeight="1">
      <c r="B140" s="3"/>
      <c r="C140" s="3"/>
      <c r="G140" s="141"/>
      <c r="H140" s="3"/>
      <c r="R140" s="65"/>
      <c r="AG140" s="91"/>
    </row>
    <row r="141" ht="15.0" customHeight="1">
      <c r="B141" s="3"/>
      <c r="C141" s="3"/>
      <c r="G141" s="141"/>
      <c r="H141" s="3"/>
      <c r="R141" s="65"/>
      <c r="AG141" s="91"/>
    </row>
    <row r="142" ht="15.0" customHeight="1">
      <c r="B142" s="3"/>
      <c r="C142" s="3"/>
      <c r="G142" s="141"/>
      <c r="H142" s="3"/>
      <c r="R142" s="65"/>
      <c r="AG142" s="91"/>
    </row>
    <row r="143" ht="15.0" customHeight="1">
      <c r="B143" s="3"/>
      <c r="C143" s="3"/>
      <c r="G143" s="141"/>
      <c r="H143" s="3"/>
      <c r="R143" s="65"/>
      <c r="AG143" s="91"/>
    </row>
    <row r="144" ht="15.0" customHeight="1">
      <c r="B144" s="3"/>
      <c r="C144" s="3"/>
      <c r="G144" s="141"/>
      <c r="H144" s="3"/>
      <c r="R144" s="65"/>
      <c r="AG144" s="91"/>
    </row>
    <row r="145" ht="15.0" customHeight="1">
      <c r="B145" s="3"/>
      <c r="C145" s="3"/>
      <c r="G145" s="141"/>
      <c r="H145" s="3"/>
      <c r="R145" s="65"/>
      <c r="AG145" s="91"/>
    </row>
    <row r="146" ht="15.0" customHeight="1">
      <c r="B146" s="3"/>
      <c r="C146" s="3"/>
      <c r="G146" s="141"/>
      <c r="H146" s="3"/>
      <c r="R146" s="65"/>
      <c r="AG146" s="91"/>
    </row>
    <row r="147" ht="15.0" customHeight="1">
      <c r="B147" s="3"/>
      <c r="C147" s="3"/>
      <c r="G147" s="141"/>
      <c r="H147" s="3"/>
      <c r="R147" s="65"/>
      <c r="AG147" s="91"/>
    </row>
    <row r="148" ht="15.0" customHeight="1">
      <c r="B148" s="3"/>
      <c r="C148" s="3"/>
      <c r="G148" s="141"/>
      <c r="H148" s="3"/>
      <c r="R148" s="65"/>
      <c r="AG148" s="91"/>
    </row>
    <row r="149" ht="15.0" customHeight="1">
      <c r="B149" s="3"/>
      <c r="C149" s="3"/>
      <c r="G149" s="141"/>
      <c r="H149" s="3"/>
      <c r="R149" s="65"/>
      <c r="AG149" s="91"/>
    </row>
    <row r="150" ht="15.0" customHeight="1">
      <c r="B150" s="3"/>
      <c r="C150" s="3"/>
      <c r="G150" s="141"/>
      <c r="H150" s="3"/>
      <c r="R150" s="65"/>
      <c r="AG150" s="91"/>
    </row>
    <row r="151" ht="15.0" customHeight="1">
      <c r="B151" s="3"/>
      <c r="C151" s="3"/>
      <c r="G151" s="141"/>
      <c r="H151" s="3"/>
      <c r="R151" s="65"/>
      <c r="AG151" s="91"/>
    </row>
    <row r="152" ht="15.0" customHeight="1">
      <c r="B152" s="3"/>
      <c r="C152" s="3"/>
      <c r="G152" s="141"/>
      <c r="H152" s="3"/>
      <c r="R152" s="65"/>
      <c r="AG152" s="91"/>
    </row>
    <row r="153" ht="15.0" customHeight="1">
      <c r="B153" s="3"/>
      <c r="C153" s="3"/>
      <c r="G153" s="141"/>
      <c r="H153" s="3"/>
      <c r="R153" s="65"/>
      <c r="AG153" s="91"/>
    </row>
    <row r="154" ht="15.0" customHeight="1">
      <c r="B154" s="3"/>
      <c r="C154" s="3"/>
      <c r="G154" s="141"/>
      <c r="H154" s="3"/>
      <c r="R154" s="65"/>
      <c r="AG154" s="91"/>
    </row>
    <row r="155" ht="15.0" customHeight="1">
      <c r="B155" s="3"/>
      <c r="C155" s="3"/>
      <c r="G155" s="141"/>
      <c r="H155" s="3"/>
      <c r="R155" s="65"/>
      <c r="AG155" s="91"/>
    </row>
    <row r="156" ht="15.0" customHeight="1">
      <c r="B156" s="3"/>
      <c r="C156" s="3"/>
      <c r="G156" s="141"/>
      <c r="H156" s="3"/>
      <c r="R156" s="65"/>
      <c r="AG156" s="91"/>
    </row>
    <row r="157" ht="15.0" customHeight="1">
      <c r="B157" s="3"/>
      <c r="C157" s="3"/>
      <c r="G157" s="141"/>
      <c r="H157" s="3"/>
      <c r="R157" s="65"/>
      <c r="AG157" s="91"/>
    </row>
    <row r="158" ht="15.0" customHeight="1">
      <c r="B158" s="3"/>
      <c r="C158" s="3"/>
      <c r="G158" s="141"/>
      <c r="H158" s="3"/>
      <c r="R158" s="65"/>
      <c r="AG158" s="91"/>
    </row>
    <row r="159" ht="15.0" customHeight="1">
      <c r="B159" s="3"/>
      <c r="C159" s="3"/>
      <c r="G159" s="141"/>
      <c r="H159" s="3"/>
      <c r="R159" s="65"/>
      <c r="AG159" s="91"/>
    </row>
    <row r="160" ht="15.0" customHeight="1">
      <c r="B160" s="3"/>
      <c r="C160" s="3"/>
      <c r="G160" s="141"/>
      <c r="H160" s="3"/>
      <c r="R160" s="65"/>
      <c r="AG160" s="91"/>
    </row>
    <row r="161" ht="15.0" customHeight="1">
      <c r="B161" s="3"/>
      <c r="C161" s="3"/>
      <c r="G161" s="141"/>
      <c r="H161" s="3"/>
      <c r="R161" s="65"/>
      <c r="AG161" s="91"/>
    </row>
    <row r="162" ht="15.0" customHeight="1">
      <c r="B162" s="3"/>
      <c r="C162" s="3"/>
      <c r="G162" s="141"/>
      <c r="H162" s="3"/>
      <c r="R162" s="65"/>
      <c r="AG162" s="91"/>
    </row>
    <row r="163" ht="15.0" customHeight="1">
      <c r="B163" s="3"/>
      <c r="C163" s="3"/>
      <c r="G163" s="141"/>
      <c r="H163" s="3"/>
      <c r="R163" s="65"/>
      <c r="AG163" s="91"/>
    </row>
    <row r="164" ht="15.0" customHeight="1">
      <c r="B164" s="3"/>
      <c r="C164" s="3"/>
      <c r="G164" s="141"/>
      <c r="H164" s="3"/>
      <c r="R164" s="65"/>
      <c r="AG164" s="91"/>
    </row>
    <row r="165" ht="15.0" customHeight="1">
      <c r="B165" s="3"/>
      <c r="C165" s="3"/>
      <c r="G165" s="141"/>
      <c r="H165" s="3"/>
      <c r="R165" s="65"/>
      <c r="AG165" s="91"/>
    </row>
    <row r="166" ht="15.0" customHeight="1">
      <c r="B166" s="3"/>
      <c r="C166" s="3"/>
      <c r="G166" s="141"/>
      <c r="H166" s="3"/>
      <c r="R166" s="65"/>
      <c r="AG166" s="91"/>
    </row>
    <row r="167" ht="15.0" customHeight="1">
      <c r="B167" s="3"/>
      <c r="C167" s="3"/>
      <c r="G167" s="141"/>
      <c r="H167" s="3"/>
      <c r="R167" s="65"/>
      <c r="AG167" s="91"/>
    </row>
    <row r="168" ht="15.0" customHeight="1">
      <c r="B168" s="3"/>
      <c r="C168" s="3"/>
      <c r="G168" s="141"/>
      <c r="H168" s="3"/>
      <c r="R168" s="65"/>
      <c r="AG168" s="91"/>
    </row>
    <row r="169" ht="15.0" customHeight="1">
      <c r="B169" s="3"/>
      <c r="C169" s="3"/>
      <c r="G169" s="141"/>
      <c r="H169" s="3"/>
      <c r="R169" s="65"/>
      <c r="AG169" s="91"/>
    </row>
    <row r="170" ht="15.0" customHeight="1">
      <c r="B170" s="3"/>
      <c r="C170" s="3"/>
      <c r="G170" s="141"/>
      <c r="H170" s="3"/>
      <c r="R170" s="65"/>
      <c r="AG170" s="91"/>
    </row>
    <row r="171" ht="15.0" customHeight="1">
      <c r="B171" s="3"/>
      <c r="C171" s="3"/>
      <c r="G171" s="141"/>
      <c r="H171" s="3"/>
      <c r="R171" s="65"/>
      <c r="AG171" s="91"/>
    </row>
    <row r="172" ht="15.0" customHeight="1">
      <c r="B172" s="3"/>
      <c r="C172" s="3"/>
      <c r="G172" s="141"/>
      <c r="H172" s="3"/>
      <c r="R172" s="65"/>
      <c r="AG172" s="91"/>
    </row>
    <row r="173" ht="15.0" customHeight="1">
      <c r="B173" s="3"/>
      <c r="C173" s="3"/>
      <c r="G173" s="141"/>
      <c r="H173" s="3"/>
      <c r="R173" s="65"/>
      <c r="AG173" s="91"/>
    </row>
    <row r="174" ht="15.0" customHeight="1">
      <c r="B174" s="3"/>
      <c r="C174" s="3"/>
      <c r="G174" s="141"/>
      <c r="H174" s="3"/>
      <c r="R174" s="65"/>
      <c r="AG174" s="91"/>
    </row>
    <row r="175" ht="15.0" customHeight="1">
      <c r="B175" s="3"/>
      <c r="C175" s="3"/>
      <c r="G175" s="141"/>
      <c r="H175" s="3"/>
      <c r="R175" s="65"/>
      <c r="AG175" s="91"/>
    </row>
    <row r="176" ht="15.0" customHeight="1">
      <c r="B176" s="3"/>
      <c r="C176" s="3"/>
      <c r="G176" s="141"/>
      <c r="H176" s="3"/>
      <c r="R176" s="65"/>
      <c r="AG176" s="91"/>
    </row>
    <row r="177" ht="15.0" customHeight="1">
      <c r="B177" s="3"/>
      <c r="C177" s="3"/>
      <c r="G177" s="141"/>
      <c r="H177" s="3"/>
      <c r="R177" s="65"/>
      <c r="AG177" s="91"/>
    </row>
    <row r="178" ht="15.0" customHeight="1">
      <c r="B178" s="3"/>
      <c r="C178" s="3"/>
      <c r="G178" s="141"/>
      <c r="H178" s="3"/>
      <c r="R178" s="65"/>
      <c r="AG178" s="91"/>
    </row>
    <row r="179" ht="15.0" customHeight="1">
      <c r="B179" s="3"/>
      <c r="C179" s="3"/>
      <c r="G179" s="141"/>
      <c r="H179" s="3"/>
      <c r="R179" s="65"/>
      <c r="AG179" s="91"/>
    </row>
    <row r="180" ht="15.0" customHeight="1">
      <c r="B180" s="3"/>
      <c r="C180" s="3"/>
      <c r="G180" s="141"/>
      <c r="H180" s="3"/>
      <c r="R180" s="65"/>
      <c r="AG180" s="91"/>
    </row>
    <row r="181" ht="15.0" customHeight="1">
      <c r="B181" s="3"/>
      <c r="C181" s="3"/>
      <c r="G181" s="141"/>
      <c r="H181" s="3"/>
      <c r="R181" s="65"/>
      <c r="AG181" s="91"/>
    </row>
    <row r="182" ht="15.0" customHeight="1">
      <c r="B182" s="3"/>
      <c r="C182" s="3"/>
      <c r="G182" s="141"/>
      <c r="H182" s="3"/>
      <c r="R182" s="65"/>
      <c r="AG182" s="91"/>
    </row>
    <row r="183" ht="15.0" customHeight="1">
      <c r="B183" s="3"/>
      <c r="C183" s="3"/>
      <c r="G183" s="141"/>
      <c r="H183" s="3"/>
      <c r="R183" s="65"/>
      <c r="AG183" s="91"/>
    </row>
    <row r="184" ht="15.0" customHeight="1">
      <c r="B184" s="3"/>
      <c r="C184" s="3"/>
      <c r="G184" s="141"/>
      <c r="H184" s="3"/>
      <c r="R184" s="65"/>
      <c r="AG184" s="91"/>
    </row>
    <row r="185" ht="15.0" customHeight="1">
      <c r="B185" s="3"/>
      <c r="C185" s="3"/>
      <c r="G185" s="141"/>
      <c r="H185" s="3"/>
      <c r="R185" s="65"/>
      <c r="AG185" s="91"/>
    </row>
    <row r="186" ht="15.0" customHeight="1">
      <c r="B186" s="3"/>
      <c r="C186" s="3"/>
      <c r="G186" s="141"/>
      <c r="H186" s="3"/>
      <c r="R186" s="65"/>
      <c r="AG186" s="91"/>
    </row>
    <row r="187" ht="15.0" customHeight="1">
      <c r="B187" s="3"/>
      <c r="C187" s="3"/>
      <c r="G187" s="141"/>
      <c r="H187" s="3"/>
      <c r="R187" s="65"/>
      <c r="AG187" s="91"/>
    </row>
    <row r="188" ht="15.0" customHeight="1">
      <c r="B188" s="3"/>
      <c r="C188" s="3"/>
      <c r="G188" s="141"/>
      <c r="H188" s="3"/>
      <c r="R188" s="65"/>
      <c r="AG188" s="91"/>
    </row>
    <row r="189" ht="15.0" customHeight="1">
      <c r="B189" s="3"/>
      <c r="C189" s="3"/>
      <c r="G189" s="141"/>
      <c r="H189" s="3"/>
      <c r="R189" s="65"/>
      <c r="AG189" s="91"/>
    </row>
    <row r="190" ht="15.0" customHeight="1">
      <c r="B190" s="3"/>
      <c r="C190" s="3"/>
      <c r="G190" s="141"/>
      <c r="H190" s="3"/>
      <c r="R190" s="65"/>
      <c r="AG190" s="91"/>
    </row>
    <row r="191" ht="15.0" customHeight="1">
      <c r="B191" s="3"/>
      <c r="C191" s="3"/>
      <c r="G191" s="141"/>
      <c r="H191" s="3"/>
      <c r="R191" s="65"/>
      <c r="AG191" s="91"/>
    </row>
    <row r="192" ht="15.0" customHeight="1">
      <c r="B192" s="3"/>
      <c r="C192" s="3"/>
      <c r="G192" s="141"/>
      <c r="H192" s="3"/>
      <c r="R192" s="65"/>
      <c r="AG192" s="91"/>
    </row>
    <row r="193" ht="15.0" customHeight="1">
      <c r="B193" s="3"/>
      <c r="C193" s="3"/>
      <c r="G193" s="141"/>
      <c r="H193" s="3"/>
      <c r="R193" s="65"/>
      <c r="AG193" s="91"/>
    </row>
    <row r="194" ht="15.0" customHeight="1">
      <c r="B194" s="3"/>
      <c r="C194" s="3"/>
      <c r="G194" s="141"/>
      <c r="H194" s="3"/>
      <c r="R194" s="65"/>
      <c r="AG194" s="91"/>
    </row>
    <row r="195" ht="15.0" customHeight="1">
      <c r="B195" s="3"/>
      <c r="C195" s="3"/>
      <c r="G195" s="141"/>
      <c r="H195" s="3"/>
      <c r="R195" s="65"/>
      <c r="AG195" s="91"/>
    </row>
    <row r="196" ht="15.0" customHeight="1">
      <c r="B196" s="3"/>
      <c r="C196" s="3"/>
      <c r="G196" s="141"/>
      <c r="H196" s="3"/>
      <c r="R196" s="65"/>
      <c r="AG196" s="91"/>
    </row>
    <row r="197" ht="15.0" customHeight="1">
      <c r="B197" s="3"/>
      <c r="C197" s="3"/>
      <c r="G197" s="141"/>
      <c r="H197" s="3"/>
      <c r="R197" s="65"/>
      <c r="AG197" s="91"/>
    </row>
    <row r="198" ht="15.0" customHeight="1">
      <c r="B198" s="3"/>
      <c r="C198" s="3"/>
      <c r="G198" s="141"/>
      <c r="H198" s="3"/>
      <c r="R198" s="65"/>
      <c r="AG198" s="91"/>
    </row>
    <row r="199" ht="15.0" customHeight="1">
      <c r="B199" s="3"/>
      <c r="C199" s="3"/>
      <c r="G199" s="141"/>
      <c r="H199" s="3"/>
      <c r="R199" s="65"/>
      <c r="AG199" s="91"/>
    </row>
    <row r="200" ht="15.0" customHeight="1">
      <c r="B200" s="3"/>
      <c r="C200" s="3"/>
      <c r="G200" s="141"/>
      <c r="H200" s="3"/>
      <c r="R200" s="65"/>
      <c r="AG200" s="91"/>
    </row>
    <row r="201" ht="15.0" customHeight="1">
      <c r="B201" s="3"/>
      <c r="C201" s="3"/>
      <c r="G201" s="141"/>
      <c r="H201" s="3"/>
      <c r="R201" s="65"/>
      <c r="AG201" s="91"/>
    </row>
    <row r="202" ht="15.0" customHeight="1">
      <c r="B202" s="3"/>
      <c r="C202" s="3"/>
      <c r="G202" s="141"/>
      <c r="H202" s="3"/>
      <c r="R202" s="65"/>
      <c r="AG202" s="91"/>
    </row>
    <row r="203" ht="15.0" customHeight="1">
      <c r="B203" s="3"/>
      <c r="C203" s="3"/>
      <c r="G203" s="141"/>
      <c r="H203" s="3"/>
      <c r="R203" s="65"/>
      <c r="AG203" s="91"/>
    </row>
    <row r="204" ht="15.0" customHeight="1">
      <c r="B204" s="3"/>
      <c r="C204" s="3"/>
      <c r="G204" s="141"/>
      <c r="H204" s="3"/>
      <c r="R204" s="65"/>
      <c r="AG204" s="91"/>
    </row>
    <row r="205" ht="15.0" customHeight="1">
      <c r="B205" s="3"/>
      <c r="C205" s="3"/>
      <c r="G205" s="141"/>
      <c r="H205" s="3"/>
      <c r="R205" s="65"/>
      <c r="AG205" s="91"/>
    </row>
    <row r="206" ht="15.0" customHeight="1">
      <c r="B206" s="3"/>
      <c r="C206" s="3"/>
      <c r="G206" s="141"/>
      <c r="H206" s="3"/>
      <c r="R206" s="65"/>
      <c r="AG206" s="91"/>
    </row>
    <row r="207" ht="15.0" customHeight="1">
      <c r="B207" s="3"/>
      <c r="C207" s="3"/>
      <c r="G207" s="141"/>
      <c r="H207" s="3"/>
      <c r="R207" s="65"/>
      <c r="AG207" s="91"/>
    </row>
    <row r="208" ht="15.0" customHeight="1">
      <c r="B208" s="3"/>
      <c r="C208" s="3"/>
      <c r="G208" s="141"/>
      <c r="H208" s="3"/>
      <c r="R208" s="65"/>
      <c r="AG208" s="91"/>
    </row>
    <row r="209" ht="15.0" customHeight="1">
      <c r="B209" s="3"/>
      <c r="C209" s="3"/>
      <c r="G209" s="141"/>
      <c r="H209" s="3"/>
      <c r="R209" s="65"/>
      <c r="AG209" s="91"/>
    </row>
    <row r="210" ht="15.0" customHeight="1">
      <c r="B210" s="3"/>
      <c r="C210" s="3"/>
      <c r="G210" s="141"/>
      <c r="H210" s="3"/>
      <c r="R210" s="65"/>
      <c r="AG210" s="91"/>
    </row>
    <row r="211" ht="15.0" customHeight="1">
      <c r="B211" s="3"/>
      <c r="C211" s="3"/>
      <c r="G211" s="141"/>
      <c r="H211" s="3"/>
      <c r="R211" s="65"/>
      <c r="AG211" s="91"/>
    </row>
    <row r="212" ht="15.0" customHeight="1">
      <c r="B212" s="3"/>
      <c r="C212" s="3"/>
      <c r="G212" s="141"/>
      <c r="H212" s="3"/>
      <c r="R212" s="65"/>
      <c r="AG212" s="91"/>
    </row>
    <row r="213" ht="15.0" customHeight="1">
      <c r="B213" s="3"/>
      <c r="C213" s="3"/>
      <c r="G213" s="141"/>
      <c r="H213" s="3"/>
      <c r="R213" s="65"/>
      <c r="AG213" s="91"/>
    </row>
    <row r="214" ht="15.0" customHeight="1">
      <c r="B214" s="3"/>
      <c r="C214" s="3"/>
      <c r="G214" s="141"/>
      <c r="H214" s="3"/>
      <c r="R214" s="65"/>
      <c r="AG214" s="91"/>
    </row>
    <row r="215" ht="15.0" customHeight="1">
      <c r="B215" s="3"/>
      <c r="C215" s="3"/>
      <c r="G215" s="141"/>
      <c r="H215" s="3"/>
      <c r="R215" s="65"/>
      <c r="AG215" s="91"/>
    </row>
    <row r="216" ht="15.0" customHeight="1">
      <c r="B216" s="3"/>
      <c r="C216" s="3"/>
      <c r="G216" s="141"/>
      <c r="H216" s="3"/>
      <c r="R216" s="65"/>
      <c r="AG216" s="91"/>
    </row>
    <row r="217" ht="15.0" customHeight="1">
      <c r="B217" s="3"/>
      <c r="C217" s="3"/>
      <c r="G217" s="141"/>
      <c r="H217" s="3"/>
      <c r="R217" s="65"/>
      <c r="AG217" s="91"/>
    </row>
    <row r="218" ht="15.0" customHeight="1">
      <c r="B218" s="3"/>
      <c r="C218" s="3"/>
      <c r="G218" s="141"/>
      <c r="H218" s="3"/>
      <c r="R218" s="65"/>
      <c r="AG218" s="91"/>
    </row>
    <row r="219" ht="15.0" customHeight="1">
      <c r="B219" s="3"/>
      <c r="C219" s="3"/>
      <c r="G219" s="141"/>
      <c r="H219" s="3"/>
      <c r="R219" s="65"/>
      <c r="AG219" s="91"/>
    </row>
    <row r="220" ht="15.0" customHeight="1">
      <c r="B220" s="3"/>
      <c r="C220" s="3"/>
      <c r="G220" s="141"/>
      <c r="H220" s="3"/>
      <c r="R220" s="65"/>
      <c r="AG220" s="91"/>
    </row>
    <row r="221" ht="15.0" customHeight="1">
      <c r="B221" s="3"/>
      <c r="C221" s="3"/>
      <c r="G221" s="141"/>
      <c r="H221" s="3"/>
      <c r="R221" s="65"/>
      <c r="AG221" s="91"/>
    </row>
    <row r="222" ht="15.0" customHeight="1">
      <c r="B222" s="3"/>
      <c r="C222" s="3"/>
      <c r="G222" s="141"/>
      <c r="H222" s="3"/>
      <c r="R222" s="65"/>
      <c r="AG222" s="91"/>
    </row>
    <row r="223" ht="15.0" customHeight="1">
      <c r="B223" s="3"/>
      <c r="C223" s="3"/>
      <c r="G223" s="141"/>
      <c r="H223" s="3"/>
      <c r="R223" s="65"/>
      <c r="AG223" s="91"/>
    </row>
    <row r="224" ht="15.0" customHeight="1">
      <c r="B224" s="3"/>
      <c r="C224" s="3"/>
      <c r="G224" s="141"/>
      <c r="H224" s="3"/>
      <c r="R224" s="65"/>
      <c r="AG224" s="91"/>
    </row>
    <row r="225" ht="15.0" customHeight="1">
      <c r="B225" s="3"/>
      <c r="C225" s="3"/>
      <c r="G225" s="141"/>
      <c r="H225" s="3"/>
      <c r="R225" s="65"/>
      <c r="AG225" s="91"/>
    </row>
    <row r="226" ht="15.0" customHeight="1">
      <c r="B226" s="3"/>
      <c r="C226" s="3"/>
      <c r="G226" s="141"/>
      <c r="H226" s="3"/>
      <c r="R226" s="65"/>
      <c r="AG226" s="91"/>
    </row>
    <row r="227" ht="15.0" customHeight="1">
      <c r="B227" s="3"/>
      <c r="C227" s="3"/>
      <c r="G227" s="141"/>
      <c r="H227" s="3"/>
      <c r="R227" s="65"/>
      <c r="AG227" s="91"/>
    </row>
    <row r="228" ht="15.0" customHeight="1">
      <c r="B228" s="3"/>
      <c r="C228" s="3"/>
      <c r="G228" s="141"/>
      <c r="H228" s="3"/>
      <c r="R228" s="65"/>
      <c r="AG228" s="91"/>
    </row>
    <row r="229" ht="15.0" customHeight="1">
      <c r="B229" s="3"/>
      <c r="C229" s="3"/>
      <c r="G229" s="141"/>
      <c r="H229" s="3"/>
      <c r="R229" s="65"/>
      <c r="AG229" s="91"/>
    </row>
    <row r="230" ht="15.0" customHeight="1">
      <c r="B230" s="3"/>
      <c r="C230" s="3"/>
      <c r="G230" s="141"/>
      <c r="H230" s="3"/>
      <c r="R230" s="65"/>
      <c r="AG230" s="91"/>
    </row>
    <row r="231" ht="15.0" customHeight="1">
      <c r="B231" s="3"/>
      <c r="C231" s="3"/>
      <c r="G231" s="141"/>
      <c r="H231" s="3"/>
      <c r="R231" s="65"/>
      <c r="AG231" s="91"/>
    </row>
    <row r="232" ht="15.0" customHeight="1">
      <c r="B232" s="3"/>
      <c r="C232" s="3"/>
      <c r="G232" s="141"/>
      <c r="H232" s="3"/>
      <c r="R232" s="65"/>
      <c r="AG232" s="91"/>
    </row>
    <row r="233" ht="15.0" customHeight="1">
      <c r="B233" s="3"/>
      <c r="C233" s="3"/>
      <c r="G233" s="141"/>
      <c r="H233" s="3"/>
      <c r="R233" s="65"/>
      <c r="AG233" s="91"/>
    </row>
    <row r="234" ht="15.0" customHeight="1">
      <c r="B234" s="3"/>
      <c r="C234" s="3"/>
      <c r="G234" s="141"/>
      <c r="H234" s="3"/>
      <c r="R234" s="65"/>
      <c r="AG234" s="91"/>
    </row>
    <row r="235" ht="15.0" customHeight="1">
      <c r="B235" s="3"/>
      <c r="C235" s="3"/>
      <c r="G235" s="141"/>
      <c r="H235" s="3"/>
      <c r="R235" s="65"/>
      <c r="AG235" s="91"/>
    </row>
    <row r="236" ht="15.0" customHeight="1">
      <c r="B236" s="3"/>
      <c r="C236" s="3"/>
      <c r="G236" s="141"/>
      <c r="H236" s="3"/>
      <c r="R236" s="65"/>
      <c r="AG236" s="91"/>
    </row>
    <row r="237" ht="15.0" customHeight="1">
      <c r="B237" s="3"/>
      <c r="C237" s="3"/>
      <c r="G237" s="141"/>
      <c r="H237" s="3"/>
      <c r="R237" s="65"/>
      <c r="AG237" s="91"/>
    </row>
    <row r="238" ht="15.0" customHeight="1">
      <c r="B238" s="3"/>
      <c r="C238" s="3"/>
      <c r="G238" s="141"/>
      <c r="H238" s="3"/>
      <c r="R238" s="65"/>
      <c r="AG238" s="91"/>
    </row>
    <row r="239" ht="15.0" customHeight="1">
      <c r="B239" s="3"/>
      <c r="C239" s="3"/>
      <c r="G239" s="141"/>
      <c r="H239" s="3"/>
      <c r="R239" s="65"/>
      <c r="AG239" s="91"/>
    </row>
    <row r="240" ht="15.0" customHeight="1">
      <c r="B240" s="3"/>
      <c r="C240" s="3"/>
      <c r="G240" s="141"/>
      <c r="H240" s="3"/>
      <c r="R240" s="65"/>
      <c r="AG240" s="91"/>
    </row>
    <row r="241" ht="15.0" customHeight="1">
      <c r="B241" s="3"/>
      <c r="C241" s="3"/>
      <c r="G241" s="141"/>
      <c r="H241" s="3"/>
      <c r="R241" s="65"/>
      <c r="AG241" s="91"/>
    </row>
    <row r="242" ht="15.0" customHeight="1">
      <c r="B242" s="3"/>
      <c r="C242" s="3"/>
      <c r="G242" s="141"/>
      <c r="H242" s="3"/>
      <c r="R242" s="65"/>
      <c r="AG242" s="91"/>
    </row>
    <row r="243" ht="15.0" customHeight="1">
      <c r="B243" s="3"/>
      <c r="C243" s="3"/>
      <c r="G243" s="141"/>
      <c r="H243" s="3"/>
      <c r="R243" s="65"/>
      <c r="AG243" s="91"/>
    </row>
    <row r="244" ht="15.0" customHeight="1">
      <c r="B244" s="3"/>
      <c r="C244" s="3"/>
      <c r="G244" s="141"/>
      <c r="H244" s="3"/>
      <c r="R244" s="65"/>
      <c r="AG244" s="91"/>
    </row>
    <row r="245" ht="15.0" customHeight="1">
      <c r="B245" s="3"/>
      <c r="C245" s="3"/>
      <c r="G245" s="141"/>
      <c r="H245" s="3"/>
      <c r="R245" s="65"/>
      <c r="AG245" s="91"/>
    </row>
    <row r="246" ht="15.0" customHeight="1">
      <c r="B246" s="3"/>
      <c r="C246" s="3"/>
      <c r="G246" s="141"/>
      <c r="H246" s="3"/>
      <c r="R246" s="65"/>
      <c r="AG246" s="91"/>
    </row>
    <row r="247" ht="15.0" customHeight="1">
      <c r="B247" s="3"/>
      <c r="C247" s="3"/>
      <c r="G247" s="141"/>
      <c r="H247" s="3"/>
      <c r="R247" s="65"/>
      <c r="AG247" s="91"/>
    </row>
    <row r="248" ht="15.0" customHeight="1">
      <c r="B248" s="3"/>
      <c r="C248" s="3"/>
      <c r="G248" s="141"/>
      <c r="H248" s="3"/>
      <c r="R248" s="65"/>
      <c r="AG248" s="91"/>
    </row>
    <row r="249" ht="15.0" customHeight="1">
      <c r="B249" s="3"/>
      <c r="C249" s="3"/>
      <c r="G249" s="141"/>
      <c r="H249" s="3"/>
      <c r="R249" s="65"/>
      <c r="AG249" s="91"/>
    </row>
    <row r="250" ht="15.0" customHeight="1">
      <c r="B250" s="3"/>
      <c r="C250" s="3"/>
      <c r="G250" s="141"/>
      <c r="H250" s="3"/>
      <c r="R250" s="65"/>
      <c r="AG250" s="91"/>
    </row>
    <row r="251" ht="15.0" customHeight="1">
      <c r="B251" s="3"/>
      <c r="C251" s="3"/>
      <c r="G251" s="141"/>
      <c r="H251" s="3"/>
      <c r="R251" s="65"/>
      <c r="AG251" s="91"/>
    </row>
    <row r="252" ht="15.0" customHeight="1">
      <c r="B252" s="3"/>
      <c r="C252" s="3"/>
      <c r="G252" s="141"/>
      <c r="H252" s="3"/>
      <c r="R252" s="65"/>
      <c r="AG252" s="91"/>
    </row>
    <row r="253" ht="15.0" customHeight="1">
      <c r="B253" s="3"/>
      <c r="C253" s="3"/>
      <c r="G253" s="141"/>
      <c r="H253" s="3"/>
      <c r="R253" s="65"/>
      <c r="AG253" s="91"/>
    </row>
    <row r="254" ht="15.0" customHeight="1">
      <c r="B254" s="3"/>
      <c r="C254" s="3"/>
      <c r="G254" s="141"/>
      <c r="H254" s="3"/>
      <c r="R254" s="65"/>
      <c r="AG254" s="91"/>
    </row>
    <row r="255" ht="15.0" customHeight="1">
      <c r="B255" s="3"/>
      <c r="C255" s="3"/>
      <c r="G255" s="141"/>
      <c r="H255" s="3"/>
      <c r="R255" s="65"/>
      <c r="AG255" s="91"/>
    </row>
    <row r="256" ht="15.0" customHeight="1">
      <c r="B256" s="3"/>
      <c r="C256" s="3"/>
      <c r="G256" s="141"/>
      <c r="H256" s="3"/>
      <c r="R256" s="65"/>
      <c r="AG256" s="91"/>
    </row>
    <row r="257" ht="15.0" customHeight="1">
      <c r="B257" s="3"/>
      <c r="C257" s="3"/>
      <c r="G257" s="141"/>
      <c r="H257" s="3"/>
      <c r="R257" s="65"/>
      <c r="AG257" s="91"/>
    </row>
    <row r="258" ht="15.0" customHeight="1">
      <c r="B258" s="3"/>
      <c r="C258" s="3"/>
      <c r="G258" s="141"/>
      <c r="H258" s="3"/>
      <c r="R258" s="65"/>
      <c r="AG258" s="91"/>
    </row>
    <row r="259" ht="15.0" customHeight="1">
      <c r="B259" s="3"/>
      <c r="C259" s="3"/>
      <c r="G259" s="141"/>
      <c r="H259" s="3"/>
      <c r="R259" s="65"/>
      <c r="AG259" s="91"/>
    </row>
    <row r="260" ht="15.0" customHeight="1">
      <c r="B260" s="3"/>
      <c r="C260" s="3"/>
      <c r="G260" s="141"/>
      <c r="H260" s="3"/>
      <c r="R260" s="65"/>
      <c r="AG260" s="91"/>
    </row>
    <row r="261" ht="15.0" customHeight="1">
      <c r="B261" s="3"/>
      <c r="C261" s="3"/>
      <c r="G261" s="141"/>
      <c r="H261" s="3"/>
      <c r="R261" s="65"/>
      <c r="AG261" s="91"/>
    </row>
    <row r="262" ht="15.0" customHeight="1">
      <c r="B262" s="3"/>
      <c r="C262" s="3"/>
      <c r="G262" s="141"/>
      <c r="H262" s="3"/>
      <c r="R262" s="65"/>
      <c r="AG262" s="91"/>
    </row>
    <row r="263" ht="15.0" customHeight="1">
      <c r="B263" s="3"/>
      <c r="C263" s="3"/>
      <c r="G263" s="141"/>
      <c r="H263" s="3"/>
      <c r="R263" s="65"/>
      <c r="AG263" s="91"/>
    </row>
    <row r="264" ht="15.0" customHeight="1">
      <c r="B264" s="3"/>
      <c r="C264" s="3"/>
      <c r="G264" s="141"/>
      <c r="H264" s="3"/>
      <c r="R264" s="65"/>
      <c r="AG264" s="91"/>
    </row>
    <row r="265" ht="15.0" customHeight="1">
      <c r="B265" s="3"/>
      <c r="C265" s="3"/>
      <c r="G265" s="141"/>
      <c r="H265" s="3"/>
      <c r="R265" s="65"/>
      <c r="AG265" s="91"/>
    </row>
    <row r="266" ht="15.0" customHeight="1">
      <c r="B266" s="3"/>
      <c r="C266" s="3"/>
      <c r="G266" s="141"/>
      <c r="H266" s="3"/>
      <c r="R266" s="65"/>
      <c r="AG266" s="91"/>
    </row>
    <row r="267" ht="15.0" customHeight="1">
      <c r="B267" s="3"/>
      <c r="C267" s="3"/>
      <c r="G267" s="141"/>
      <c r="H267" s="3"/>
      <c r="R267" s="65"/>
      <c r="AG267" s="91"/>
    </row>
    <row r="268" ht="15.0" customHeight="1">
      <c r="B268" s="3"/>
      <c r="C268" s="3"/>
      <c r="G268" s="141"/>
      <c r="H268" s="3"/>
      <c r="R268" s="65"/>
      <c r="AG268" s="91"/>
    </row>
    <row r="269" ht="15.0" customHeight="1">
      <c r="B269" s="3"/>
      <c r="C269" s="3"/>
      <c r="G269" s="141"/>
      <c r="H269" s="3"/>
      <c r="R269" s="65"/>
      <c r="AG269" s="91"/>
    </row>
    <row r="270" ht="15.0" customHeight="1">
      <c r="B270" s="3"/>
      <c r="C270" s="3"/>
      <c r="G270" s="141"/>
      <c r="H270" s="3"/>
      <c r="R270" s="65"/>
      <c r="AG270" s="91"/>
    </row>
    <row r="271" ht="15.0" customHeight="1">
      <c r="B271" s="3"/>
      <c r="C271" s="3"/>
      <c r="G271" s="141"/>
      <c r="H271" s="3"/>
      <c r="R271" s="65"/>
      <c r="AG271" s="91"/>
    </row>
    <row r="272" ht="15.0" customHeight="1">
      <c r="B272" s="3"/>
      <c r="C272" s="3"/>
      <c r="G272" s="141"/>
      <c r="H272" s="3"/>
      <c r="R272" s="65"/>
      <c r="AG272" s="91"/>
    </row>
    <row r="273" ht="15.0" customHeight="1">
      <c r="B273" s="3"/>
      <c r="C273" s="3"/>
      <c r="G273" s="141"/>
      <c r="H273" s="3"/>
      <c r="R273" s="65"/>
      <c r="AG273" s="91"/>
    </row>
    <row r="274" ht="15.0" customHeight="1">
      <c r="B274" s="3"/>
      <c r="C274" s="3"/>
      <c r="G274" s="141"/>
      <c r="H274" s="3"/>
      <c r="R274" s="65"/>
      <c r="AG274" s="91"/>
    </row>
    <row r="275" ht="15.0" customHeight="1">
      <c r="B275" s="3"/>
      <c r="C275" s="3"/>
      <c r="G275" s="141"/>
      <c r="H275" s="3"/>
      <c r="R275" s="65"/>
      <c r="AG275" s="91"/>
    </row>
    <row r="276" ht="15.0" customHeight="1">
      <c r="B276" s="3"/>
      <c r="C276" s="3"/>
      <c r="G276" s="141"/>
      <c r="H276" s="3"/>
      <c r="R276" s="65"/>
      <c r="AG276" s="91"/>
    </row>
    <row r="277" ht="15.0" customHeight="1">
      <c r="B277" s="3"/>
      <c r="C277" s="3"/>
      <c r="G277" s="141"/>
      <c r="H277" s="3"/>
      <c r="R277" s="65"/>
      <c r="AG277" s="91"/>
    </row>
    <row r="278" ht="15.0" customHeight="1">
      <c r="B278" s="3"/>
      <c r="C278" s="3"/>
      <c r="G278" s="141"/>
      <c r="H278" s="3"/>
      <c r="R278" s="65"/>
      <c r="AG278" s="91"/>
    </row>
    <row r="279" ht="15.0" customHeight="1">
      <c r="B279" s="3"/>
      <c r="C279" s="3"/>
      <c r="G279" s="141"/>
      <c r="H279" s="3"/>
      <c r="R279" s="65"/>
      <c r="AG279" s="91"/>
    </row>
    <row r="280" ht="15.0" customHeight="1">
      <c r="B280" s="3"/>
      <c r="C280" s="3"/>
      <c r="G280" s="141"/>
      <c r="H280" s="3"/>
      <c r="R280" s="65"/>
      <c r="AG280" s="91"/>
    </row>
    <row r="281" ht="15.0" customHeight="1">
      <c r="B281" s="3"/>
      <c r="C281" s="3"/>
      <c r="G281" s="141"/>
      <c r="H281" s="3"/>
      <c r="R281" s="65"/>
      <c r="AG281" s="91"/>
    </row>
    <row r="282" ht="15.0" customHeight="1">
      <c r="B282" s="3"/>
      <c r="C282" s="3"/>
      <c r="G282" s="141"/>
      <c r="H282" s="3"/>
      <c r="R282" s="65"/>
      <c r="AG282" s="91"/>
    </row>
    <row r="283" ht="15.0" customHeight="1">
      <c r="B283" s="3"/>
      <c r="C283" s="3"/>
      <c r="G283" s="141"/>
      <c r="H283" s="3"/>
      <c r="R283" s="65"/>
      <c r="AG283" s="91"/>
    </row>
    <row r="284" ht="15.75" customHeight="1">
      <c r="B284" s="3"/>
      <c r="C284" s="3"/>
      <c r="H284" s="3"/>
      <c r="AG284" s="91"/>
    </row>
    <row r="285" ht="15.75" customHeight="1">
      <c r="B285" s="3"/>
      <c r="C285" s="3"/>
      <c r="H285" s="3"/>
      <c r="AG285" s="91"/>
    </row>
    <row r="286" ht="15.75" customHeight="1">
      <c r="B286" s="3"/>
      <c r="C286" s="3"/>
      <c r="H286" s="3"/>
      <c r="AG286" s="91"/>
    </row>
    <row r="287" ht="15.75" customHeight="1">
      <c r="B287" s="3"/>
      <c r="C287" s="3"/>
      <c r="H287" s="3"/>
      <c r="AG287" s="91"/>
    </row>
    <row r="288" ht="15.75" customHeight="1">
      <c r="B288" s="3"/>
      <c r="C288" s="3"/>
      <c r="H288" s="3"/>
      <c r="AG288" s="91"/>
    </row>
    <row r="289" ht="15.75" customHeight="1">
      <c r="B289" s="3"/>
      <c r="C289" s="3"/>
      <c r="H289" s="3"/>
      <c r="AG289" s="91"/>
    </row>
    <row r="290" ht="15.75" customHeight="1">
      <c r="B290" s="3"/>
      <c r="C290" s="3"/>
      <c r="H290" s="3"/>
      <c r="AG290" s="91"/>
    </row>
    <row r="291" ht="15.75" customHeight="1">
      <c r="B291" s="3"/>
      <c r="C291" s="3"/>
      <c r="H291" s="3"/>
      <c r="AG291" s="91"/>
    </row>
    <row r="292" ht="15.75" customHeight="1">
      <c r="B292" s="3"/>
      <c r="C292" s="3"/>
      <c r="H292" s="3"/>
      <c r="AG292" s="91"/>
    </row>
    <row r="293" ht="15.75" customHeight="1">
      <c r="B293" s="3"/>
      <c r="C293" s="3"/>
      <c r="H293" s="3"/>
      <c r="AG293" s="91"/>
    </row>
    <row r="294" ht="15.75" customHeight="1">
      <c r="B294" s="3"/>
      <c r="C294" s="3"/>
      <c r="H294" s="3"/>
      <c r="AG294" s="91"/>
    </row>
    <row r="295" ht="15.75" customHeight="1">
      <c r="B295" s="3"/>
      <c r="C295" s="3"/>
      <c r="H295" s="3"/>
      <c r="AG295" s="91"/>
    </row>
    <row r="296" ht="15.75" customHeight="1">
      <c r="B296" s="3"/>
      <c r="C296" s="3"/>
      <c r="H296" s="3"/>
      <c r="AG296" s="91"/>
    </row>
    <row r="297" ht="15.75" customHeight="1">
      <c r="B297" s="3"/>
      <c r="C297" s="3"/>
      <c r="H297" s="3"/>
      <c r="AG297" s="91"/>
    </row>
    <row r="298" ht="15.75" customHeight="1">
      <c r="B298" s="3"/>
      <c r="C298" s="3"/>
      <c r="H298" s="3"/>
      <c r="AG298" s="91"/>
    </row>
    <row r="299" ht="15.75" customHeight="1">
      <c r="B299" s="3"/>
      <c r="C299" s="3"/>
      <c r="H299" s="3"/>
      <c r="AG299" s="91"/>
    </row>
    <row r="300" ht="15.75" customHeight="1">
      <c r="B300" s="3"/>
      <c r="C300" s="3"/>
      <c r="H300" s="3"/>
      <c r="AG300" s="91"/>
    </row>
    <row r="301" ht="15.75" customHeight="1">
      <c r="B301" s="3"/>
      <c r="C301" s="3"/>
      <c r="H301" s="3"/>
      <c r="AG301" s="91"/>
    </row>
    <row r="302" ht="15.75" customHeight="1">
      <c r="B302" s="3"/>
      <c r="C302" s="3"/>
      <c r="H302" s="3"/>
      <c r="AG302" s="91"/>
    </row>
    <row r="303" ht="15.75" customHeight="1">
      <c r="B303" s="3"/>
      <c r="C303" s="3"/>
      <c r="H303" s="3"/>
      <c r="AG303" s="91"/>
    </row>
    <row r="304" ht="15.75" customHeight="1">
      <c r="B304" s="3"/>
      <c r="C304" s="3"/>
      <c r="H304" s="3"/>
      <c r="AG304" s="91"/>
    </row>
    <row r="305" ht="15.75" customHeight="1">
      <c r="B305" s="3"/>
      <c r="C305" s="3"/>
      <c r="H305" s="3"/>
      <c r="AG305" s="91"/>
    </row>
    <row r="306" ht="15.75" customHeight="1">
      <c r="B306" s="3"/>
      <c r="C306" s="3"/>
      <c r="H306" s="3"/>
      <c r="AG306" s="91"/>
    </row>
    <row r="307" ht="15.75" customHeight="1">
      <c r="B307" s="3"/>
      <c r="C307" s="3"/>
      <c r="H307" s="3"/>
      <c r="AG307" s="91"/>
    </row>
    <row r="308" ht="15.75" customHeight="1">
      <c r="B308" s="3"/>
      <c r="C308" s="3"/>
      <c r="H308" s="3"/>
      <c r="AG308" s="91"/>
    </row>
    <row r="309" ht="15.75" customHeight="1">
      <c r="B309" s="3"/>
      <c r="C309" s="3"/>
      <c r="H309" s="3"/>
      <c r="AG309" s="91"/>
    </row>
    <row r="310" ht="15.75" customHeight="1">
      <c r="B310" s="3"/>
      <c r="C310" s="3"/>
      <c r="H310" s="3"/>
      <c r="AG310" s="91"/>
    </row>
    <row r="311" ht="15.75" customHeight="1">
      <c r="B311" s="3"/>
      <c r="C311" s="3"/>
      <c r="H311" s="3"/>
      <c r="AG311" s="91"/>
    </row>
    <row r="312" ht="15.75" customHeight="1">
      <c r="B312" s="3"/>
      <c r="C312" s="3"/>
      <c r="H312" s="3"/>
      <c r="AG312" s="91"/>
    </row>
    <row r="313" ht="15.75" customHeight="1">
      <c r="B313" s="3"/>
      <c r="C313" s="3"/>
      <c r="H313" s="3"/>
      <c r="AG313" s="91"/>
    </row>
    <row r="314" ht="15.75" customHeight="1">
      <c r="B314" s="3"/>
      <c r="C314" s="3"/>
      <c r="H314" s="3"/>
      <c r="AG314" s="91"/>
    </row>
    <row r="315" ht="15.75" customHeight="1">
      <c r="B315" s="3"/>
      <c r="C315" s="3"/>
      <c r="H315" s="3"/>
      <c r="AG315" s="91"/>
    </row>
    <row r="316" ht="15.75" customHeight="1">
      <c r="B316" s="3"/>
      <c r="C316" s="3"/>
      <c r="H316" s="3"/>
      <c r="AG316" s="91"/>
    </row>
    <row r="317" ht="15.75" customHeight="1">
      <c r="B317" s="3"/>
      <c r="C317" s="3"/>
      <c r="H317" s="3"/>
      <c r="AG317" s="91"/>
    </row>
    <row r="318" ht="15.75" customHeight="1">
      <c r="B318" s="3"/>
      <c r="C318" s="3"/>
      <c r="H318" s="3"/>
      <c r="AG318" s="91"/>
    </row>
    <row r="319" ht="15.75" customHeight="1">
      <c r="B319" s="3"/>
      <c r="C319" s="3"/>
      <c r="H319" s="3"/>
      <c r="AG319" s="91"/>
    </row>
    <row r="320" ht="15.75" customHeight="1">
      <c r="B320" s="3"/>
      <c r="C320" s="3"/>
      <c r="H320" s="3"/>
      <c r="AG320" s="91"/>
    </row>
    <row r="321" ht="15.75" customHeight="1">
      <c r="B321" s="3"/>
      <c r="C321" s="3"/>
      <c r="H321" s="3"/>
      <c r="AG321" s="91"/>
    </row>
    <row r="322" ht="15.75" customHeight="1">
      <c r="B322" s="3"/>
      <c r="C322" s="3"/>
      <c r="H322" s="3"/>
      <c r="AG322" s="91"/>
    </row>
    <row r="323" ht="15.75" customHeight="1">
      <c r="B323" s="3"/>
      <c r="C323" s="3"/>
      <c r="H323" s="3"/>
      <c r="AG323" s="91"/>
    </row>
    <row r="324" ht="15.75" customHeight="1">
      <c r="B324" s="3"/>
      <c r="C324" s="3"/>
      <c r="H324" s="3"/>
      <c r="AG324" s="91"/>
    </row>
    <row r="325" ht="15.75" customHeight="1">
      <c r="B325" s="3"/>
      <c r="C325" s="3"/>
      <c r="H325" s="3"/>
      <c r="AG325" s="91"/>
    </row>
    <row r="326" ht="15.75" customHeight="1">
      <c r="B326" s="3"/>
      <c r="C326" s="3"/>
      <c r="H326" s="3"/>
      <c r="AG326" s="91"/>
    </row>
    <row r="327" ht="15.75" customHeight="1">
      <c r="B327" s="3"/>
      <c r="C327" s="3"/>
      <c r="H327" s="3"/>
      <c r="AG327" s="91"/>
    </row>
    <row r="328" ht="15.75" customHeight="1">
      <c r="B328" s="3"/>
      <c r="C328" s="3"/>
      <c r="H328" s="3"/>
      <c r="AG328" s="91"/>
    </row>
    <row r="329" ht="15.75" customHeight="1">
      <c r="B329" s="3"/>
      <c r="C329" s="3"/>
      <c r="H329" s="3"/>
      <c r="AG329" s="91"/>
    </row>
    <row r="330" ht="15.75" customHeight="1">
      <c r="B330" s="3"/>
      <c r="C330" s="3"/>
      <c r="H330" s="3"/>
      <c r="AG330" s="91"/>
    </row>
    <row r="331" ht="15.75" customHeight="1">
      <c r="B331" s="3"/>
      <c r="C331" s="3"/>
      <c r="H331" s="3"/>
      <c r="AG331" s="91"/>
    </row>
    <row r="332" ht="15.75" customHeight="1">
      <c r="B332" s="3"/>
      <c r="C332" s="3"/>
      <c r="H332" s="3"/>
      <c r="AG332" s="91"/>
    </row>
    <row r="333" ht="15.75" customHeight="1">
      <c r="B333" s="3"/>
      <c r="C333" s="3"/>
      <c r="H333" s="3"/>
      <c r="AG333" s="91"/>
    </row>
    <row r="334" ht="15.75" customHeight="1">
      <c r="B334" s="3"/>
      <c r="C334" s="3"/>
      <c r="H334" s="3"/>
      <c r="AG334" s="91"/>
    </row>
    <row r="335" ht="15.75" customHeight="1">
      <c r="B335" s="3"/>
      <c r="C335" s="3"/>
      <c r="H335" s="3"/>
      <c r="AG335" s="91"/>
    </row>
    <row r="336" ht="15.75" customHeight="1">
      <c r="B336" s="3"/>
      <c r="C336" s="3"/>
      <c r="H336" s="3"/>
      <c r="AG336" s="91"/>
    </row>
    <row r="337" ht="15.75" customHeight="1">
      <c r="B337" s="3"/>
      <c r="C337" s="3"/>
      <c r="H337" s="3"/>
      <c r="AG337" s="91"/>
    </row>
    <row r="338" ht="15.75" customHeight="1">
      <c r="B338" s="3"/>
      <c r="C338" s="3"/>
      <c r="H338" s="3"/>
      <c r="AG338" s="91"/>
    </row>
    <row r="339" ht="15.75" customHeight="1">
      <c r="B339" s="3"/>
      <c r="C339" s="3"/>
      <c r="H339" s="3"/>
      <c r="AG339" s="91"/>
    </row>
    <row r="340" ht="15.75" customHeight="1">
      <c r="B340" s="3"/>
      <c r="C340" s="3"/>
      <c r="H340" s="3"/>
      <c r="AG340" s="91"/>
    </row>
    <row r="341" ht="15.75" customHeight="1">
      <c r="B341" s="3"/>
      <c r="C341" s="3"/>
      <c r="H341" s="3"/>
      <c r="AG341" s="91"/>
    </row>
    <row r="342" ht="15.75" customHeight="1">
      <c r="B342" s="3"/>
      <c r="C342" s="3"/>
      <c r="H342" s="3"/>
      <c r="AG342" s="91"/>
    </row>
    <row r="343" ht="15.75" customHeight="1">
      <c r="B343" s="3"/>
      <c r="C343" s="3"/>
      <c r="H343" s="3"/>
      <c r="AG343" s="91"/>
    </row>
    <row r="344" ht="15.75" customHeight="1">
      <c r="B344" s="3"/>
      <c r="C344" s="3"/>
      <c r="H344" s="3"/>
      <c r="AG344" s="91"/>
    </row>
    <row r="345" ht="15.75" customHeight="1">
      <c r="B345" s="3"/>
      <c r="C345" s="3"/>
      <c r="H345" s="3"/>
      <c r="AG345" s="91"/>
    </row>
    <row r="346" ht="15.75" customHeight="1">
      <c r="B346" s="3"/>
      <c r="C346" s="3"/>
      <c r="H346" s="3"/>
      <c r="AG346" s="91"/>
    </row>
    <row r="347" ht="15.75" customHeight="1">
      <c r="B347" s="3"/>
      <c r="C347" s="3"/>
      <c r="H347" s="3"/>
      <c r="AG347" s="91"/>
    </row>
    <row r="348" ht="15.75" customHeight="1">
      <c r="B348" s="3"/>
      <c r="C348" s="3"/>
      <c r="H348" s="3"/>
      <c r="AG348" s="91"/>
    </row>
    <row r="349" ht="15.75" customHeight="1">
      <c r="B349" s="3"/>
      <c r="C349" s="3"/>
      <c r="H349" s="3"/>
      <c r="AG349" s="91"/>
    </row>
    <row r="350" ht="15.75" customHeight="1">
      <c r="B350" s="3"/>
      <c r="C350" s="3"/>
      <c r="H350" s="3"/>
      <c r="AG350" s="91"/>
    </row>
    <row r="351" ht="15.75" customHeight="1">
      <c r="B351" s="3"/>
      <c r="C351" s="3"/>
      <c r="H351" s="3"/>
      <c r="AG351" s="91"/>
    </row>
    <row r="352" ht="15.75" customHeight="1">
      <c r="B352" s="3"/>
      <c r="C352" s="3"/>
      <c r="H352" s="3"/>
      <c r="AG352" s="91"/>
    </row>
    <row r="353" ht="15.75" customHeight="1">
      <c r="B353" s="3"/>
      <c r="C353" s="3"/>
      <c r="H353" s="3"/>
      <c r="AG353" s="91"/>
    </row>
    <row r="354" ht="15.75" customHeight="1">
      <c r="B354" s="3"/>
      <c r="C354" s="3"/>
      <c r="H354" s="3"/>
      <c r="AG354" s="91"/>
    </row>
    <row r="355" ht="15.75" customHeight="1">
      <c r="B355" s="3"/>
      <c r="C355" s="3"/>
      <c r="H355" s="3"/>
      <c r="AG355" s="91"/>
    </row>
    <row r="356" ht="15.75" customHeight="1">
      <c r="B356" s="3"/>
      <c r="C356" s="3"/>
      <c r="H356" s="3"/>
      <c r="AG356" s="91"/>
    </row>
    <row r="357" ht="15.75" customHeight="1">
      <c r="B357" s="3"/>
      <c r="C357" s="3"/>
      <c r="H357" s="3"/>
      <c r="AG357" s="91"/>
    </row>
    <row r="358" ht="15.75" customHeight="1">
      <c r="B358" s="3"/>
      <c r="C358" s="3"/>
      <c r="H358" s="3"/>
      <c r="AG358" s="91"/>
    </row>
    <row r="359" ht="15.75" customHeight="1">
      <c r="B359" s="3"/>
      <c r="C359" s="3"/>
      <c r="H359" s="3"/>
      <c r="AG359" s="91"/>
    </row>
    <row r="360" ht="15.75" customHeight="1">
      <c r="B360" s="3"/>
      <c r="C360" s="3"/>
      <c r="H360" s="3"/>
      <c r="AG360" s="91"/>
    </row>
    <row r="361" ht="15.75" customHeight="1">
      <c r="B361" s="3"/>
      <c r="C361" s="3"/>
      <c r="H361" s="3"/>
      <c r="AG361" s="91"/>
    </row>
    <row r="362" ht="15.75" customHeight="1">
      <c r="B362" s="3"/>
      <c r="C362" s="3"/>
      <c r="H362" s="3"/>
      <c r="AG362" s="91"/>
    </row>
    <row r="363" ht="15.75" customHeight="1">
      <c r="B363" s="3"/>
      <c r="C363" s="3"/>
      <c r="H363" s="3"/>
      <c r="AG363" s="91"/>
    </row>
    <row r="364" ht="15.75" customHeight="1">
      <c r="B364" s="3"/>
      <c r="C364" s="3"/>
      <c r="H364" s="3"/>
      <c r="AG364" s="91"/>
    </row>
    <row r="365" ht="15.75" customHeight="1">
      <c r="B365" s="3"/>
      <c r="C365" s="3"/>
      <c r="H365" s="3"/>
      <c r="AG365" s="91"/>
    </row>
    <row r="366" ht="15.75" customHeight="1">
      <c r="B366" s="3"/>
      <c r="C366" s="3"/>
      <c r="H366" s="3"/>
      <c r="AG366" s="91"/>
    </row>
    <row r="367" ht="15.75" customHeight="1">
      <c r="B367" s="3"/>
      <c r="C367" s="3"/>
      <c r="H367" s="3"/>
      <c r="AG367" s="91"/>
    </row>
    <row r="368" ht="15.75" customHeight="1">
      <c r="B368" s="3"/>
      <c r="C368" s="3"/>
      <c r="H368" s="3"/>
      <c r="AG368" s="91"/>
    </row>
    <row r="369" ht="15.75" customHeight="1">
      <c r="B369" s="3"/>
      <c r="C369" s="3"/>
      <c r="H369" s="3"/>
      <c r="AG369" s="91"/>
    </row>
    <row r="370" ht="15.75" customHeight="1">
      <c r="B370" s="3"/>
      <c r="C370" s="3"/>
      <c r="H370" s="3"/>
      <c r="AG370" s="91"/>
    </row>
    <row r="371" ht="15.75" customHeight="1">
      <c r="B371" s="3"/>
      <c r="C371" s="3"/>
      <c r="H371" s="3"/>
      <c r="AG371" s="91"/>
    </row>
    <row r="372" ht="15.75" customHeight="1">
      <c r="B372" s="3"/>
      <c r="C372" s="3"/>
      <c r="H372" s="3"/>
      <c r="AG372" s="91"/>
    </row>
    <row r="373" ht="15.75" customHeight="1">
      <c r="B373" s="3"/>
      <c r="C373" s="3"/>
      <c r="H373" s="3"/>
      <c r="AG373" s="91"/>
    </row>
    <row r="374" ht="15.75" customHeight="1">
      <c r="B374" s="3"/>
      <c r="C374" s="3"/>
      <c r="H374" s="3"/>
      <c r="AG374" s="91"/>
    </row>
    <row r="375" ht="15.75" customHeight="1">
      <c r="B375" s="3"/>
      <c r="C375" s="3"/>
      <c r="H375" s="3"/>
      <c r="AG375" s="91"/>
    </row>
    <row r="376" ht="15.75" customHeight="1">
      <c r="B376" s="3"/>
      <c r="C376" s="3"/>
      <c r="H376" s="3"/>
      <c r="AG376" s="91"/>
    </row>
    <row r="377" ht="15.75" customHeight="1">
      <c r="B377" s="3"/>
      <c r="C377" s="3"/>
      <c r="H377" s="3"/>
      <c r="AG377" s="91"/>
    </row>
    <row r="378" ht="15.75" customHeight="1">
      <c r="B378" s="3"/>
      <c r="C378" s="3"/>
      <c r="H378" s="3"/>
      <c r="AG378" s="91"/>
    </row>
    <row r="379" ht="15.75" customHeight="1">
      <c r="B379" s="3"/>
      <c r="C379" s="3"/>
      <c r="H379" s="3"/>
      <c r="AG379" s="91"/>
    </row>
    <row r="380" ht="15.75" customHeight="1">
      <c r="B380" s="3"/>
      <c r="C380" s="3"/>
      <c r="H380" s="3"/>
      <c r="AG380" s="91"/>
    </row>
    <row r="381" ht="15.75" customHeight="1">
      <c r="B381" s="3"/>
      <c r="C381" s="3"/>
      <c r="H381" s="3"/>
      <c r="AG381" s="91"/>
    </row>
    <row r="382" ht="15.75" customHeight="1">
      <c r="B382" s="3"/>
      <c r="C382" s="3"/>
      <c r="H382" s="3"/>
      <c r="AG382" s="91"/>
    </row>
    <row r="383" ht="15.75" customHeight="1">
      <c r="B383" s="3"/>
      <c r="C383" s="3"/>
      <c r="H383" s="3"/>
      <c r="AG383" s="91"/>
    </row>
    <row r="384" ht="15.75" customHeight="1">
      <c r="B384" s="3"/>
      <c r="C384" s="3"/>
      <c r="H384" s="3"/>
      <c r="AG384" s="91"/>
    </row>
    <row r="385" ht="15.75" customHeight="1">
      <c r="B385" s="3"/>
      <c r="C385" s="3"/>
      <c r="H385" s="3"/>
      <c r="AG385" s="91"/>
    </row>
    <row r="386" ht="15.75" customHeight="1">
      <c r="B386" s="3"/>
      <c r="C386" s="3"/>
      <c r="H386" s="3"/>
      <c r="AG386" s="91"/>
    </row>
    <row r="387" ht="15.75" customHeight="1">
      <c r="B387" s="3"/>
      <c r="C387" s="3"/>
      <c r="H387" s="3"/>
      <c r="AG387" s="91"/>
    </row>
    <row r="388" ht="15.75" customHeight="1">
      <c r="B388" s="3"/>
      <c r="C388" s="3"/>
      <c r="H388" s="3"/>
      <c r="AG388" s="91"/>
    </row>
    <row r="389" ht="15.75" customHeight="1">
      <c r="B389" s="3"/>
      <c r="C389" s="3"/>
      <c r="H389" s="3"/>
      <c r="AG389" s="91"/>
    </row>
    <row r="390" ht="15.75" customHeight="1">
      <c r="B390" s="3"/>
      <c r="C390" s="3"/>
      <c r="H390" s="3"/>
      <c r="AG390" s="91"/>
    </row>
    <row r="391" ht="15.75" customHeight="1">
      <c r="B391" s="3"/>
      <c r="C391" s="3"/>
      <c r="H391" s="3"/>
      <c r="AG391" s="91"/>
    </row>
    <row r="392" ht="15.75" customHeight="1">
      <c r="B392" s="3"/>
      <c r="C392" s="3"/>
      <c r="H392" s="3"/>
      <c r="AG392" s="91"/>
    </row>
    <row r="393" ht="15.75" customHeight="1">
      <c r="B393" s="3"/>
      <c r="C393" s="3"/>
      <c r="H393" s="3"/>
      <c r="AG393" s="91"/>
    </row>
    <row r="394" ht="15.75" customHeight="1">
      <c r="B394" s="3"/>
      <c r="C394" s="3"/>
      <c r="H394" s="3"/>
      <c r="AG394" s="91"/>
    </row>
    <row r="395" ht="15.75" customHeight="1">
      <c r="B395" s="3"/>
      <c r="C395" s="3"/>
      <c r="H395" s="3"/>
      <c r="AG395" s="91"/>
    </row>
    <row r="396" ht="15.75" customHeight="1">
      <c r="B396" s="3"/>
      <c r="C396" s="3"/>
      <c r="H396" s="3"/>
      <c r="AG396" s="91"/>
    </row>
    <row r="397" ht="15.75" customHeight="1">
      <c r="B397" s="3"/>
      <c r="C397" s="3"/>
      <c r="H397" s="3"/>
      <c r="AG397" s="91"/>
    </row>
    <row r="398" ht="15.75" customHeight="1">
      <c r="B398" s="3"/>
      <c r="C398" s="3"/>
      <c r="H398" s="3"/>
      <c r="AG398" s="91"/>
    </row>
    <row r="399" ht="15.75" customHeight="1">
      <c r="B399" s="3"/>
      <c r="C399" s="3"/>
      <c r="H399" s="3"/>
      <c r="AG399" s="91"/>
    </row>
    <row r="400" ht="15.75" customHeight="1">
      <c r="B400" s="3"/>
      <c r="C400" s="3"/>
      <c r="H400" s="3"/>
      <c r="AG400" s="91"/>
    </row>
    <row r="401" ht="15.75" customHeight="1">
      <c r="B401" s="3"/>
      <c r="C401" s="3"/>
      <c r="H401" s="3"/>
      <c r="AG401" s="91"/>
    </row>
    <row r="402" ht="15.75" customHeight="1">
      <c r="B402" s="3"/>
      <c r="C402" s="3"/>
      <c r="H402" s="3"/>
      <c r="AG402" s="91"/>
    </row>
    <row r="403" ht="15.75" customHeight="1">
      <c r="B403" s="3"/>
      <c r="C403" s="3"/>
      <c r="H403" s="3"/>
      <c r="AG403" s="91"/>
    </row>
    <row r="404" ht="15.75" customHeight="1">
      <c r="B404" s="3"/>
      <c r="C404" s="3"/>
      <c r="H404" s="3"/>
      <c r="AG404" s="91"/>
    </row>
    <row r="405" ht="15.75" customHeight="1">
      <c r="B405" s="3"/>
      <c r="C405" s="3"/>
      <c r="H405" s="3"/>
      <c r="AG405" s="91"/>
    </row>
    <row r="406" ht="15.75" customHeight="1">
      <c r="B406" s="3"/>
      <c r="C406" s="3"/>
      <c r="H406" s="3"/>
      <c r="AG406" s="91"/>
    </row>
    <row r="407" ht="15.75" customHeight="1">
      <c r="B407" s="3"/>
      <c r="C407" s="3"/>
      <c r="H407" s="3"/>
      <c r="AG407" s="91"/>
    </row>
    <row r="408" ht="15.75" customHeight="1">
      <c r="B408" s="3"/>
      <c r="C408" s="3"/>
      <c r="H408" s="3"/>
      <c r="AG408" s="91"/>
    </row>
    <row r="409" ht="15.75" customHeight="1">
      <c r="B409" s="3"/>
      <c r="C409" s="3"/>
      <c r="H409" s="3"/>
      <c r="AG409" s="91"/>
    </row>
    <row r="410" ht="15.75" customHeight="1">
      <c r="B410" s="3"/>
      <c r="C410" s="3"/>
      <c r="H410" s="3"/>
      <c r="AG410" s="91"/>
    </row>
    <row r="411" ht="15.75" customHeight="1">
      <c r="B411" s="3"/>
      <c r="C411" s="3"/>
      <c r="H411" s="3"/>
      <c r="AG411" s="91"/>
    </row>
    <row r="412" ht="15.75" customHeight="1">
      <c r="B412" s="3"/>
      <c r="C412" s="3"/>
      <c r="H412" s="3"/>
      <c r="AG412" s="91"/>
    </row>
    <row r="413" ht="15.75" customHeight="1">
      <c r="B413" s="3"/>
      <c r="C413" s="3"/>
      <c r="H413" s="3"/>
      <c r="AG413" s="91"/>
    </row>
    <row r="414" ht="15.75" customHeight="1">
      <c r="B414" s="3"/>
      <c r="C414" s="3"/>
      <c r="H414" s="3"/>
      <c r="AG414" s="91"/>
    </row>
    <row r="415" ht="15.75" customHeight="1">
      <c r="B415" s="3"/>
      <c r="C415" s="3"/>
      <c r="H415" s="3"/>
      <c r="AG415" s="91"/>
    </row>
    <row r="416" ht="15.75" customHeight="1">
      <c r="B416" s="3"/>
      <c r="C416" s="3"/>
      <c r="H416" s="3"/>
      <c r="AG416" s="91"/>
    </row>
    <row r="417" ht="15.75" customHeight="1">
      <c r="B417" s="3"/>
      <c r="C417" s="3"/>
      <c r="H417" s="3"/>
      <c r="AG417" s="91"/>
    </row>
    <row r="418" ht="15.75" customHeight="1">
      <c r="B418" s="3"/>
      <c r="C418" s="3"/>
      <c r="H418" s="3"/>
      <c r="AG418" s="91"/>
    </row>
    <row r="419" ht="15.75" customHeight="1">
      <c r="B419" s="3"/>
      <c r="C419" s="3"/>
      <c r="H419" s="3"/>
      <c r="AG419" s="91"/>
    </row>
    <row r="420" ht="15.75" customHeight="1">
      <c r="B420" s="3"/>
      <c r="C420" s="3"/>
      <c r="H420" s="3"/>
      <c r="AG420" s="91"/>
    </row>
    <row r="421" ht="15.75" customHeight="1">
      <c r="B421" s="3"/>
      <c r="C421" s="3"/>
      <c r="H421" s="3"/>
      <c r="AG421" s="91"/>
    </row>
    <row r="422" ht="15.75" customHeight="1">
      <c r="B422" s="3"/>
      <c r="C422" s="3"/>
      <c r="H422" s="3"/>
      <c r="AG422" s="91"/>
    </row>
    <row r="423" ht="15.75" customHeight="1">
      <c r="B423" s="3"/>
      <c r="C423" s="3"/>
      <c r="H423" s="3"/>
      <c r="AG423" s="91"/>
    </row>
    <row r="424" ht="15.75" customHeight="1">
      <c r="B424" s="3"/>
      <c r="C424" s="3"/>
      <c r="H424" s="3"/>
      <c r="AG424" s="91"/>
    </row>
    <row r="425" ht="15.75" customHeight="1">
      <c r="B425" s="3"/>
      <c r="C425" s="3"/>
      <c r="H425" s="3"/>
      <c r="AG425" s="91"/>
    </row>
    <row r="426" ht="15.75" customHeight="1">
      <c r="B426" s="3"/>
      <c r="C426" s="3"/>
      <c r="H426" s="3"/>
      <c r="AG426" s="91"/>
    </row>
    <row r="427" ht="15.75" customHeight="1">
      <c r="B427" s="3"/>
      <c r="C427" s="3"/>
      <c r="H427" s="3"/>
      <c r="AG427" s="91"/>
    </row>
    <row r="428" ht="15.75" customHeight="1">
      <c r="B428" s="3"/>
      <c r="C428" s="3"/>
      <c r="H428" s="3"/>
      <c r="AG428" s="91"/>
    </row>
    <row r="429" ht="15.75" customHeight="1">
      <c r="B429" s="3"/>
      <c r="C429" s="3"/>
      <c r="H429" s="3"/>
      <c r="AG429" s="91"/>
    </row>
    <row r="430" ht="15.75" customHeight="1">
      <c r="B430" s="3"/>
      <c r="C430" s="3"/>
      <c r="H430" s="3"/>
      <c r="AG430" s="91"/>
    </row>
    <row r="431" ht="15.75" customHeight="1">
      <c r="B431" s="3"/>
      <c r="C431" s="3"/>
      <c r="H431" s="3"/>
      <c r="AG431" s="91"/>
    </row>
    <row r="432" ht="15.75" customHeight="1">
      <c r="B432" s="3"/>
      <c r="C432" s="3"/>
      <c r="H432" s="3"/>
      <c r="AG432" s="91"/>
    </row>
    <row r="433" ht="15.75" customHeight="1">
      <c r="B433" s="3"/>
      <c r="C433" s="3"/>
      <c r="H433" s="3"/>
      <c r="AG433" s="91"/>
    </row>
    <row r="434" ht="15.75" customHeight="1">
      <c r="B434" s="3"/>
      <c r="C434" s="3"/>
      <c r="H434" s="3"/>
      <c r="AG434" s="91"/>
    </row>
    <row r="435" ht="15.75" customHeight="1">
      <c r="B435" s="3"/>
      <c r="C435" s="3"/>
      <c r="H435" s="3"/>
      <c r="AG435" s="91"/>
    </row>
    <row r="436" ht="15.75" customHeight="1">
      <c r="B436" s="3"/>
      <c r="C436" s="3"/>
      <c r="H436" s="3"/>
      <c r="AG436" s="91"/>
    </row>
    <row r="437" ht="15.75" customHeight="1">
      <c r="B437" s="3"/>
      <c r="C437" s="3"/>
      <c r="H437" s="3"/>
      <c r="AG437" s="91"/>
    </row>
    <row r="438" ht="15.75" customHeight="1">
      <c r="B438" s="3"/>
      <c r="C438" s="3"/>
      <c r="H438" s="3"/>
      <c r="AG438" s="91"/>
    </row>
    <row r="439" ht="15.75" customHeight="1">
      <c r="B439" s="3"/>
      <c r="C439" s="3"/>
      <c r="H439" s="3"/>
      <c r="AG439" s="91"/>
    </row>
    <row r="440" ht="15.75" customHeight="1">
      <c r="B440" s="3"/>
      <c r="C440" s="3"/>
      <c r="H440" s="3"/>
      <c r="AG440" s="91"/>
    </row>
    <row r="441" ht="15.75" customHeight="1">
      <c r="B441" s="3"/>
      <c r="C441" s="3"/>
      <c r="H441" s="3"/>
      <c r="AG441" s="91"/>
    </row>
    <row r="442" ht="15.75" customHeight="1">
      <c r="B442" s="3"/>
      <c r="C442" s="3"/>
      <c r="H442" s="3"/>
      <c r="AG442" s="91"/>
    </row>
    <row r="443" ht="15.75" customHeight="1">
      <c r="B443" s="3"/>
      <c r="C443" s="3"/>
      <c r="H443" s="3"/>
      <c r="AG443" s="91"/>
    </row>
    <row r="444" ht="15.75" customHeight="1">
      <c r="B444" s="3"/>
      <c r="C444" s="3"/>
      <c r="H444" s="3"/>
      <c r="AG444" s="91"/>
    </row>
    <row r="445" ht="15.75" customHeight="1">
      <c r="B445" s="3"/>
      <c r="C445" s="3"/>
      <c r="H445" s="3"/>
      <c r="AG445" s="91"/>
    </row>
    <row r="446" ht="15.75" customHeight="1">
      <c r="B446" s="3"/>
      <c r="C446" s="3"/>
      <c r="H446" s="3"/>
      <c r="AG446" s="91"/>
    </row>
    <row r="447" ht="15.75" customHeight="1">
      <c r="B447" s="3"/>
      <c r="C447" s="3"/>
      <c r="H447" s="3"/>
      <c r="AG447" s="91"/>
    </row>
    <row r="448" ht="15.75" customHeight="1">
      <c r="B448" s="3"/>
      <c r="C448" s="3"/>
      <c r="H448" s="3"/>
      <c r="AG448" s="91"/>
    </row>
    <row r="449" ht="15.75" customHeight="1">
      <c r="B449" s="3"/>
      <c r="C449" s="3"/>
      <c r="H449" s="3"/>
      <c r="AG449" s="91"/>
    </row>
    <row r="450" ht="15.75" customHeight="1">
      <c r="B450" s="3"/>
      <c r="C450" s="3"/>
      <c r="H450" s="3"/>
      <c r="AG450" s="91"/>
    </row>
    <row r="451" ht="15.75" customHeight="1">
      <c r="B451" s="3"/>
      <c r="C451" s="3"/>
      <c r="H451" s="3"/>
      <c r="AG451" s="91"/>
    </row>
    <row r="452" ht="15.75" customHeight="1">
      <c r="B452" s="3"/>
      <c r="C452" s="3"/>
      <c r="H452" s="3"/>
      <c r="AG452" s="91"/>
    </row>
    <row r="453" ht="15.75" customHeight="1">
      <c r="B453" s="3"/>
      <c r="C453" s="3"/>
      <c r="H453" s="3"/>
      <c r="AG453" s="91"/>
    </row>
    <row r="454" ht="15.75" customHeight="1">
      <c r="B454" s="3"/>
      <c r="C454" s="3"/>
      <c r="H454" s="3"/>
      <c r="AG454" s="91"/>
    </row>
    <row r="455" ht="15.75" customHeight="1">
      <c r="B455" s="3"/>
      <c r="C455" s="3"/>
      <c r="H455" s="3"/>
      <c r="AG455" s="91"/>
    </row>
    <row r="456" ht="15.75" customHeight="1">
      <c r="B456" s="3"/>
      <c r="C456" s="3"/>
      <c r="H456" s="3"/>
      <c r="AG456" s="91"/>
    </row>
    <row r="457" ht="15.75" customHeight="1">
      <c r="B457" s="3"/>
      <c r="C457" s="3"/>
      <c r="H457" s="3"/>
      <c r="AG457" s="91"/>
    </row>
    <row r="458" ht="15.75" customHeight="1">
      <c r="B458" s="3"/>
      <c r="C458" s="3"/>
      <c r="H458" s="3"/>
      <c r="AG458" s="91"/>
    </row>
    <row r="459" ht="15.75" customHeight="1">
      <c r="B459" s="3"/>
      <c r="C459" s="3"/>
      <c r="H459" s="3"/>
      <c r="AG459" s="91"/>
    </row>
    <row r="460" ht="15.75" customHeight="1">
      <c r="B460" s="3"/>
      <c r="C460" s="3"/>
      <c r="H460" s="3"/>
      <c r="AG460" s="91"/>
    </row>
    <row r="461" ht="15.75" customHeight="1">
      <c r="B461" s="3"/>
      <c r="C461" s="3"/>
      <c r="H461" s="3"/>
      <c r="AG461" s="91"/>
    </row>
    <row r="462" ht="15.75" customHeight="1">
      <c r="B462" s="3"/>
      <c r="C462" s="3"/>
      <c r="H462" s="3"/>
      <c r="AG462" s="91"/>
    </row>
    <row r="463" ht="15.75" customHeight="1">
      <c r="B463" s="3"/>
      <c r="C463" s="3"/>
      <c r="H463" s="3"/>
      <c r="AG463" s="91"/>
    </row>
    <row r="464" ht="15.75" customHeight="1">
      <c r="B464" s="3"/>
      <c r="C464" s="3"/>
      <c r="H464" s="3"/>
      <c r="AG464" s="91"/>
    </row>
    <row r="465" ht="15.75" customHeight="1">
      <c r="B465" s="3"/>
      <c r="C465" s="3"/>
      <c r="H465" s="3"/>
      <c r="AG465" s="91"/>
    </row>
    <row r="466" ht="15.75" customHeight="1">
      <c r="B466" s="3"/>
      <c r="C466" s="3"/>
      <c r="H466" s="3"/>
      <c r="AG466" s="91"/>
    </row>
    <row r="467" ht="15.75" customHeight="1">
      <c r="B467" s="3"/>
      <c r="C467" s="3"/>
      <c r="H467" s="3"/>
      <c r="AG467" s="91"/>
    </row>
    <row r="468" ht="15.75" customHeight="1">
      <c r="B468" s="3"/>
      <c r="C468" s="3"/>
      <c r="H468" s="3"/>
      <c r="AG468" s="91"/>
    </row>
    <row r="469" ht="15.75" customHeight="1">
      <c r="B469" s="3"/>
      <c r="C469" s="3"/>
      <c r="H469" s="3"/>
      <c r="AG469" s="91"/>
    </row>
    <row r="470" ht="15.75" customHeight="1">
      <c r="B470" s="3"/>
      <c r="C470" s="3"/>
      <c r="H470" s="3"/>
      <c r="AG470" s="91"/>
    </row>
    <row r="471" ht="15.75" customHeight="1">
      <c r="B471" s="3"/>
      <c r="C471" s="3"/>
      <c r="H471" s="3"/>
      <c r="AG471" s="91"/>
    </row>
    <row r="472" ht="15.75" customHeight="1">
      <c r="B472" s="3"/>
      <c r="C472" s="3"/>
      <c r="H472" s="3"/>
      <c r="AG472" s="91"/>
    </row>
    <row r="473" ht="15.75" customHeight="1">
      <c r="B473" s="3"/>
      <c r="C473" s="3"/>
      <c r="H473" s="3"/>
      <c r="AG473" s="91"/>
    </row>
    <row r="474" ht="15.75" customHeight="1">
      <c r="B474" s="3"/>
      <c r="C474" s="3"/>
      <c r="H474" s="3"/>
      <c r="AG474" s="91"/>
    </row>
    <row r="475" ht="15.75" customHeight="1">
      <c r="B475" s="3"/>
      <c r="C475" s="3"/>
      <c r="H475" s="3"/>
      <c r="AG475" s="91"/>
    </row>
    <row r="476" ht="15.75" customHeight="1">
      <c r="B476" s="3"/>
      <c r="C476" s="3"/>
      <c r="H476" s="3"/>
      <c r="AG476" s="91"/>
    </row>
    <row r="477" ht="15.75" customHeight="1">
      <c r="B477" s="3"/>
      <c r="C477" s="3"/>
      <c r="H477" s="3"/>
      <c r="AG477" s="91"/>
    </row>
    <row r="478" ht="15.75" customHeight="1">
      <c r="B478" s="3"/>
      <c r="C478" s="3"/>
      <c r="H478" s="3"/>
      <c r="AG478" s="91"/>
    </row>
    <row r="479" ht="15.75" customHeight="1">
      <c r="B479" s="3"/>
      <c r="C479" s="3"/>
      <c r="H479" s="3"/>
      <c r="AG479" s="91"/>
    </row>
    <row r="480" ht="15.75" customHeight="1">
      <c r="B480" s="3"/>
      <c r="C480" s="3"/>
      <c r="H480" s="3"/>
      <c r="AG480" s="91"/>
    </row>
    <row r="481" ht="15.75" customHeight="1">
      <c r="B481" s="3"/>
      <c r="C481" s="3"/>
      <c r="H481" s="3"/>
      <c r="AG481" s="91"/>
    </row>
    <row r="482" ht="15.75" customHeight="1">
      <c r="B482" s="3"/>
      <c r="C482" s="3"/>
      <c r="H482" s="3"/>
      <c r="AG482" s="91"/>
    </row>
    <row r="483" ht="15.75" customHeight="1">
      <c r="B483" s="3"/>
      <c r="C483" s="3"/>
      <c r="H483" s="3"/>
      <c r="AG483" s="91"/>
    </row>
    <row r="484" ht="15.75" customHeight="1">
      <c r="B484" s="3"/>
      <c r="C484" s="3"/>
      <c r="H484" s="3"/>
      <c r="AG484" s="91"/>
    </row>
    <row r="485" ht="15.75" customHeight="1">
      <c r="B485" s="3"/>
      <c r="C485" s="3"/>
      <c r="H485" s="3"/>
      <c r="AG485" s="91"/>
    </row>
    <row r="486" ht="15.75" customHeight="1">
      <c r="B486" s="3"/>
      <c r="C486" s="3"/>
      <c r="H486" s="3"/>
      <c r="AG486" s="91"/>
    </row>
    <row r="487" ht="15.75" customHeight="1">
      <c r="B487" s="3"/>
      <c r="C487" s="3"/>
      <c r="H487" s="3"/>
      <c r="AG487" s="91"/>
    </row>
    <row r="488" ht="15.75" customHeight="1">
      <c r="B488" s="3"/>
      <c r="C488" s="3"/>
      <c r="H488" s="3"/>
      <c r="AG488" s="91"/>
    </row>
    <row r="489" ht="15.75" customHeight="1">
      <c r="B489" s="3"/>
      <c r="C489" s="3"/>
      <c r="H489" s="3"/>
      <c r="AG489" s="91"/>
    </row>
    <row r="490" ht="15.75" customHeight="1">
      <c r="B490" s="3"/>
      <c r="C490" s="3"/>
      <c r="H490" s="3"/>
      <c r="AG490" s="91"/>
    </row>
    <row r="491" ht="15.75" customHeight="1">
      <c r="B491" s="3"/>
      <c r="C491" s="3"/>
      <c r="H491" s="3"/>
      <c r="AG491" s="91"/>
    </row>
    <row r="492" ht="15.75" customHeight="1">
      <c r="B492" s="3"/>
      <c r="C492" s="3"/>
      <c r="H492" s="3"/>
      <c r="AG492" s="91"/>
    </row>
    <row r="493" ht="15.75" customHeight="1">
      <c r="B493" s="3"/>
      <c r="C493" s="3"/>
      <c r="H493" s="3"/>
      <c r="AG493" s="91"/>
    </row>
    <row r="494" ht="15.75" customHeight="1">
      <c r="B494" s="3"/>
      <c r="C494" s="3"/>
      <c r="H494" s="3"/>
      <c r="AG494" s="91"/>
    </row>
    <row r="495" ht="15.75" customHeight="1">
      <c r="B495" s="3"/>
      <c r="C495" s="3"/>
      <c r="H495" s="3"/>
      <c r="AG495" s="91"/>
    </row>
    <row r="496" ht="15.75" customHeight="1">
      <c r="B496" s="3"/>
      <c r="C496" s="3"/>
      <c r="H496" s="3"/>
      <c r="AG496" s="91"/>
    </row>
    <row r="497" ht="15.75" customHeight="1">
      <c r="B497" s="3"/>
      <c r="C497" s="3"/>
      <c r="H497" s="3"/>
      <c r="AG497" s="91"/>
    </row>
    <row r="498" ht="15.75" customHeight="1">
      <c r="B498" s="3"/>
      <c r="C498" s="3"/>
      <c r="H498" s="3"/>
      <c r="AG498" s="91"/>
    </row>
    <row r="499" ht="15.75" customHeight="1">
      <c r="B499" s="3"/>
      <c r="C499" s="3"/>
      <c r="H499" s="3"/>
      <c r="AG499" s="91"/>
    </row>
    <row r="500" ht="15.75" customHeight="1">
      <c r="B500" s="3"/>
      <c r="C500" s="3"/>
      <c r="H500" s="3"/>
      <c r="AG500" s="91"/>
    </row>
    <row r="501" ht="15.75" customHeight="1">
      <c r="B501" s="3"/>
      <c r="C501" s="3"/>
      <c r="H501" s="3"/>
      <c r="AG501" s="91"/>
    </row>
    <row r="502" ht="15.75" customHeight="1">
      <c r="B502" s="3"/>
      <c r="C502" s="3"/>
      <c r="H502" s="3"/>
      <c r="AG502" s="91"/>
    </row>
    <row r="503" ht="15.75" customHeight="1">
      <c r="B503" s="3"/>
      <c r="C503" s="3"/>
      <c r="H503" s="3"/>
      <c r="AG503" s="91"/>
    </row>
    <row r="504" ht="15.75" customHeight="1">
      <c r="B504" s="3"/>
      <c r="C504" s="3"/>
      <c r="H504" s="3"/>
      <c r="AG504" s="91"/>
    </row>
    <row r="505" ht="15.75" customHeight="1">
      <c r="B505" s="3"/>
      <c r="C505" s="3"/>
      <c r="H505" s="3"/>
      <c r="AG505" s="91"/>
    </row>
    <row r="506" ht="15.75" customHeight="1">
      <c r="B506" s="3"/>
      <c r="C506" s="3"/>
      <c r="H506" s="3"/>
      <c r="AG506" s="91"/>
    </row>
    <row r="507" ht="15.75" customHeight="1">
      <c r="B507" s="3"/>
      <c r="C507" s="3"/>
      <c r="H507" s="3"/>
      <c r="AG507" s="91"/>
    </row>
    <row r="508" ht="15.75" customHeight="1">
      <c r="B508" s="3"/>
      <c r="C508" s="3"/>
      <c r="H508" s="3"/>
      <c r="AG508" s="91"/>
    </row>
    <row r="509" ht="15.75" customHeight="1">
      <c r="B509" s="3"/>
      <c r="C509" s="3"/>
      <c r="H509" s="3"/>
      <c r="AG509" s="91"/>
    </row>
    <row r="510" ht="15.75" customHeight="1">
      <c r="B510" s="3"/>
      <c r="C510" s="3"/>
      <c r="H510" s="3"/>
      <c r="AG510" s="91"/>
    </row>
    <row r="511" ht="15.75" customHeight="1">
      <c r="B511" s="3"/>
      <c r="C511" s="3"/>
      <c r="H511" s="3"/>
      <c r="AG511" s="91"/>
    </row>
    <row r="512" ht="15.75" customHeight="1">
      <c r="B512" s="3"/>
      <c r="C512" s="3"/>
      <c r="H512" s="3"/>
      <c r="AG512" s="91"/>
    </row>
    <row r="513" ht="15.75" customHeight="1">
      <c r="B513" s="3"/>
      <c r="C513" s="3"/>
      <c r="H513" s="3"/>
      <c r="AG513" s="91"/>
    </row>
    <row r="514" ht="15.75" customHeight="1">
      <c r="B514" s="3"/>
      <c r="C514" s="3"/>
      <c r="H514" s="3"/>
      <c r="AG514" s="91"/>
    </row>
    <row r="515" ht="15.75" customHeight="1">
      <c r="B515" s="3"/>
      <c r="C515" s="3"/>
      <c r="H515" s="3"/>
      <c r="AG515" s="91"/>
    </row>
    <row r="516" ht="15.75" customHeight="1">
      <c r="B516" s="3"/>
      <c r="C516" s="3"/>
      <c r="H516" s="3"/>
      <c r="AG516" s="91"/>
    </row>
    <row r="517" ht="15.75" customHeight="1">
      <c r="B517" s="3"/>
      <c r="C517" s="3"/>
      <c r="H517" s="3"/>
      <c r="AG517" s="91"/>
    </row>
    <row r="518" ht="15.75" customHeight="1">
      <c r="B518" s="3"/>
      <c r="C518" s="3"/>
      <c r="H518" s="3"/>
      <c r="AG518" s="91"/>
    </row>
    <row r="519" ht="15.75" customHeight="1">
      <c r="B519" s="3"/>
      <c r="C519" s="3"/>
      <c r="H519" s="3"/>
      <c r="AG519" s="91"/>
    </row>
    <row r="520" ht="15.75" customHeight="1">
      <c r="B520" s="3"/>
      <c r="C520" s="3"/>
      <c r="H520" s="3"/>
      <c r="AG520" s="91"/>
    </row>
    <row r="521" ht="15.75" customHeight="1">
      <c r="B521" s="3"/>
      <c r="C521" s="3"/>
      <c r="H521" s="3"/>
      <c r="AG521" s="91"/>
    </row>
    <row r="522" ht="15.75" customHeight="1">
      <c r="B522" s="3"/>
      <c r="C522" s="3"/>
      <c r="H522" s="3"/>
      <c r="AG522" s="91"/>
    </row>
    <row r="523" ht="15.75" customHeight="1">
      <c r="B523" s="3"/>
      <c r="C523" s="3"/>
      <c r="H523" s="3"/>
      <c r="AG523" s="91"/>
    </row>
    <row r="524" ht="15.75" customHeight="1">
      <c r="B524" s="3"/>
      <c r="C524" s="3"/>
      <c r="H524" s="3"/>
      <c r="AG524" s="91"/>
    </row>
    <row r="525" ht="15.75" customHeight="1">
      <c r="B525" s="3"/>
      <c r="C525" s="3"/>
      <c r="H525" s="3"/>
      <c r="AG525" s="91"/>
    </row>
    <row r="526" ht="15.75" customHeight="1">
      <c r="B526" s="3"/>
      <c r="C526" s="3"/>
      <c r="H526" s="3"/>
      <c r="AG526" s="91"/>
    </row>
    <row r="527" ht="15.75" customHeight="1">
      <c r="B527" s="3"/>
      <c r="C527" s="3"/>
      <c r="H527" s="3"/>
      <c r="AG527" s="91"/>
    </row>
    <row r="528" ht="15.75" customHeight="1">
      <c r="B528" s="3"/>
      <c r="C528" s="3"/>
      <c r="H528" s="3"/>
      <c r="AG528" s="91"/>
    </row>
    <row r="529" ht="15.75" customHeight="1">
      <c r="B529" s="3"/>
      <c r="C529" s="3"/>
      <c r="H529" s="3"/>
      <c r="AG529" s="91"/>
    </row>
    <row r="530" ht="15.75" customHeight="1">
      <c r="B530" s="3"/>
      <c r="C530" s="3"/>
      <c r="H530" s="3"/>
      <c r="AG530" s="91"/>
    </row>
    <row r="531" ht="15.75" customHeight="1">
      <c r="B531" s="3"/>
      <c r="C531" s="3"/>
      <c r="H531" s="3"/>
      <c r="AG531" s="91"/>
    </row>
    <row r="532" ht="15.75" customHeight="1">
      <c r="B532" s="3"/>
      <c r="C532" s="3"/>
      <c r="H532" s="3"/>
      <c r="AG532" s="91"/>
    </row>
    <row r="533" ht="15.75" customHeight="1">
      <c r="B533" s="3"/>
      <c r="C533" s="3"/>
      <c r="H533" s="3"/>
      <c r="AG533" s="91"/>
    </row>
    <row r="534" ht="15.75" customHeight="1">
      <c r="B534" s="3"/>
      <c r="C534" s="3"/>
      <c r="H534" s="3"/>
      <c r="AG534" s="91"/>
    </row>
    <row r="535" ht="15.75" customHeight="1">
      <c r="B535" s="3"/>
      <c r="C535" s="3"/>
      <c r="H535" s="3"/>
      <c r="AG535" s="91"/>
    </row>
    <row r="536" ht="15.75" customHeight="1">
      <c r="B536" s="3"/>
      <c r="C536" s="3"/>
      <c r="H536" s="3"/>
      <c r="AG536" s="91"/>
    </row>
    <row r="537" ht="15.75" customHeight="1">
      <c r="B537" s="3"/>
      <c r="C537" s="3"/>
      <c r="H537" s="3"/>
      <c r="AG537" s="91"/>
    </row>
    <row r="538" ht="15.75" customHeight="1">
      <c r="B538" s="3"/>
      <c r="C538" s="3"/>
      <c r="H538" s="3"/>
      <c r="AG538" s="91"/>
    </row>
    <row r="539" ht="15.75" customHeight="1">
      <c r="B539" s="3"/>
      <c r="C539" s="3"/>
      <c r="H539" s="3"/>
      <c r="AG539" s="91"/>
    </row>
    <row r="540" ht="15.75" customHeight="1">
      <c r="B540" s="3"/>
      <c r="C540" s="3"/>
      <c r="H540" s="3"/>
      <c r="AG540" s="91"/>
    </row>
    <row r="541" ht="15.75" customHeight="1">
      <c r="B541" s="3"/>
      <c r="C541" s="3"/>
      <c r="H541" s="3"/>
      <c r="AG541" s="91"/>
    </row>
    <row r="542" ht="15.75" customHeight="1">
      <c r="B542" s="3"/>
      <c r="C542" s="3"/>
      <c r="H542" s="3"/>
      <c r="AG542" s="91"/>
    </row>
    <row r="543" ht="15.75" customHeight="1">
      <c r="B543" s="3"/>
      <c r="C543" s="3"/>
      <c r="H543" s="3"/>
      <c r="AG543" s="91"/>
    </row>
    <row r="544" ht="15.75" customHeight="1">
      <c r="B544" s="3"/>
      <c r="C544" s="3"/>
      <c r="H544" s="3"/>
      <c r="AG544" s="91"/>
    </row>
    <row r="545" ht="15.75" customHeight="1">
      <c r="B545" s="3"/>
      <c r="C545" s="3"/>
      <c r="H545" s="3"/>
      <c r="AG545" s="91"/>
    </row>
    <row r="546" ht="15.75" customHeight="1">
      <c r="B546" s="3"/>
      <c r="C546" s="3"/>
      <c r="H546" s="3"/>
      <c r="AG546" s="91"/>
    </row>
    <row r="547" ht="15.75" customHeight="1">
      <c r="B547" s="3"/>
      <c r="C547" s="3"/>
      <c r="H547" s="3"/>
      <c r="AG547" s="91"/>
    </row>
    <row r="548" ht="15.75" customHeight="1">
      <c r="B548" s="3"/>
      <c r="C548" s="3"/>
      <c r="H548" s="3"/>
      <c r="AG548" s="91"/>
    </row>
    <row r="549" ht="15.75" customHeight="1">
      <c r="B549" s="3"/>
      <c r="C549" s="3"/>
      <c r="H549" s="3"/>
      <c r="AG549" s="91"/>
    </row>
    <row r="550" ht="15.75" customHeight="1">
      <c r="B550" s="3"/>
      <c r="C550" s="3"/>
      <c r="H550" s="3"/>
      <c r="AG550" s="91"/>
    </row>
    <row r="551" ht="15.75" customHeight="1">
      <c r="B551" s="3"/>
      <c r="C551" s="3"/>
      <c r="H551" s="3"/>
      <c r="AG551" s="91"/>
    </row>
    <row r="552" ht="15.75" customHeight="1">
      <c r="B552" s="3"/>
      <c r="C552" s="3"/>
      <c r="H552" s="3"/>
      <c r="AG552" s="91"/>
    </row>
    <row r="553" ht="15.75" customHeight="1">
      <c r="B553" s="3"/>
      <c r="C553" s="3"/>
      <c r="H553" s="3"/>
      <c r="AG553" s="91"/>
    </row>
    <row r="554" ht="15.75" customHeight="1">
      <c r="B554" s="3"/>
      <c r="C554" s="3"/>
      <c r="H554" s="3"/>
      <c r="AG554" s="91"/>
    </row>
    <row r="555" ht="15.75" customHeight="1">
      <c r="B555" s="3"/>
      <c r="C555" s="3"/>
      <c r="H555" s="3"/>
      <c r="AG555" s="91"/>
    </row>
    <row r="556" ht="15.75" customHeight="1">
      <c r="B556" s="3"/>
      <c r="C556" s="3"/>
      <c r="H556" s="3"/>
      <c r="AG556" s="91"/>
    </row>
    <row r="557" ht="15.75" customHeight="1">
      <c r="B557" s="3"/>
      <c r="C557" s="3"/>
      <c r="H557" s="3"/>
      <c r="AG557" s="91"/>
    </row>
    <row r="558" ht="15.75" customHeight="1">
      <c r="B558" s="3"/>
      <c r="C558" s="3"/>
      <c r="H558" s="3"/>
      <c r="AG558" s="91"/>
    </row>
    <row r="559" ht="15.75" customHeight="1">
      <c r="B559" s="3"/>
      <c r="C559" s="3"/>
      <c r="H559" s="3"/>
      <c r="AG559" s="91"/>
    </row>
    <row r="560" ht="15.75" customHeight="1">
      <c r="B560" s="3"/>
      <c r="C560" s="3"/>
      <c r="H560" s="3"/>
      <c r="AG560" s="91"/>
    </row>
    <row r="561" ht="15.75" customHeight="1">
      <c r="B561" s="3"/>
      <c r="C561" s="3"/>
      <c r="H561" s="3"/>
      <c r="AG561" s="91"/>
    </row>
    <row r="562" ht="15.75" customHeight="1">
      <c r="B562" s="3"/>
      <c r="C562" s="3"/>
      <c r="H562" s="3"/>
      <c r="AG562" s="91"/>
    </row>
    <row r="563" ht="15.75" customHeight="1">
      <c r="B563" s="3"/>
      <c r="C563" s="3"/>
      <c r="H563" s="3"/>
      <c r="AG563" s="91"/>
    </row>
    <row r="564" ht="15.75" customHeight="1">
      <c r="B564" s="3"/>
      <c r="C564" s="3"/>
      <c r="H564" s="3"/>
      <c r="AG564" s="91"/>
    </row>
    <row r="565" ht="15.75" customHeight="1">
      <c r="B565" s="3"/>
      <c r="C565" s="3"/>
      <c r="H565" s="3"/>
      <c r="AG565" s="91"/>
    </row>
    <row r="566" ht="15.75" customHeight="1">
      <c r="B566" s="3"/>
      <c r="C566" s="3"/>
      <c r="H566" s="3"/>
      <c r="AG566" s="91"/>
    </row>
    <row r="567" ht="15.75" customHeight="1">
      <c r="B567" s="3"/>
      <c r="C567" s="3"/>
      <c r="H567" s="3"/>
      <c r="AG567" s="91"/>
    </row>
    <row r="568" ht="15.75" customHeight="1">
      <c r="B568" s="3"/>
      <c r="C568" s="3"/>
      <c r="H568" s="3"/>
      <c r="AG568" s="91"/>
    </row>
    <row r="569" ht="15.75" customHeight="1">
      <c r="B569" s="3"/>
      <c r="C569" s="3"/>
      <c r="H569" s="3"/>
      <c r="AG569" s="91"/>
    </row>
    <row r="570" ht="15.75" customHeight="1">
      <c r="B570" s="3"/>
      <c r="C570" s="3"/>
      <c r="H570" s="3"/>
      <c r="AG570" s="91"/>
    </row>
    <row r="571" ht="15.75" customHeight="1">
      <c r="B571" s="3"/>
      <c r="C571" s="3"/>
      <c r="H571" s="3"/>
      <c r="AG571" s="91"/>
    </row>
    <row r="572" ht="15.75" customHeight="1">
      <c r="B572" s="3"/>
      <c r="C572" s="3"/>
      <c r="H572" s="3"/>
      <c r="AG572" s="91"/>
    </row>
    <row r="573" ht="15.75" customHeight="1">
      <c r="B573" s="3"/>
      <c r="C573" s="3"/>
      <c r="H573" s="3"/>
      <c r="AG573" s="91"/>
    </row>
    <row r="574" ht="15.75" customHeight="1">
      <c r="B574" s="3"/>
      <c r="C574" s="3"/>
      <c r="H574" s="3"/>
      <c r="AG574" s="91"/>
    </row>
    <row r="575" ht="15.75" customHeight="1">
      <c r="B575" s="3"/>
      <c r="C575" s="3"/>
      <c r="H575" s="3"/>
      <c r="AG575" s="91"/>
    </row>
    <row r="576" ht="15.75" customHeight="1">
      <c r="B576" s="3"/>
      <c r="C576" s="3"/>
      <c r="H576" s="3"/>
      <c r="AG576" s="91"/>
    </row>
    <row r="577" ht="15.75" customHeight="1">
      <c r="B577" s="3"/>
      <c r="C577" s="3"/>
      <c r="H577" s="3"/>
      <c r="AG577" s="91"/>
    </row>
    <row r="578" ht="15.75" customHeight="1">
      <c r="B578" s="3"/>
      <c r="C578" s="3"/>
      <c r="H578" s="3"/>
      <c r="AG578" s="91"/>
    </row>
    <row r="579" ht="15.75" customHeight="1">
      <c r="B579" s="3"/>
      <c r="C579" s="3"/>
      <c r="H579" s="3"/>
      <c r="AG579" s="91"/>
    </row>
    <row r="580" ht="15.75" customHeight="1">
      <c r="B580" s="3"/>
      <c r="C580" s="3"/>
      <c r="H580" s="3"/>
      <c r="AG580" s="91"/>
    </row>
    <row r="581" ht="15.75" customHeight="1">
      <c r="B581" s="3"/>
      <c r="C581" s="3"/>
      <c r="H581" s="3"/>
      <c r="AG581" s="91"/>
    </row>
    <row r="582" ht="15.75" customHeight="1">
      <c r="B582" s="3"/>
      <c r="C582" s="3"/>
      <c r="H582" s="3"/>
      <c r="AG582" s="91"/>
    </row>
    <row r="583" ht="15.75" customHeight="1">
      <c r="B583" s="3"/>
      <c r="C583" s="3"/>
      <c r="H583" s="3"/>
      <c r="AG583" s="91"/>
    </row>
    <row r="584" ht="15.75" customHeight="1">
      <c r="B584" s="3"/>
      <c r="C584" s="3"/>
      <c r="H584" s="3"/>
      <c r="AG584" s="91"/>
    </row>
    <row r="585" ht="15.75" customHeight="1">
      <c r="B585" s="3"/>
      <c r="C585" s="3"/>
      <c r="H585" s="3"/>
      <c r="AG585" s="91"/>
    </row>
    <row r="586" ht="15.75" customHeight="1">
      <c r="B586" s="3"/>
      <c r="C586" s="3"/>
      <c r="H586" s="3"/>
      <c r="AG586" s="91"/>
    </row>
    <row r="587" ht="15.75" customHeight="1">
      <c r="B587" s="3"/>
      <c r="C587" s="3"/>
      <c r="H587" s="3"/>
      <c r="AG587" s="91"/>
    </row>
    <row r="588" ht="15.75" customHeight="1">
      <c r="B588" s="3"/>
      <c r="C588" s="3"/>
      <c r="H588" s="3"/>
      <c r="AG588" s="91"/>
    </row>
    <row r="589" ht="15.75" customHeight="1">
      <c r="B589" s="3"/>
      <c r="C589" s="3"/>
      <c r="H589" s="3"/>
      <c r="AG589" s="91"/>
    </row>
    <row r="590" ht="15.75" customHeight="1">
      <c r="B590" s="3"/>
      <c r="C590" s="3"/>
      <c r="H590" s="3"/>
      <c r="AG590" s="91"/>
    </row>
    <row r="591" ht="15.75" customHeight="1">
      <c r="B591" s="3"/>
      <c r="C591" s="3"/>
      <c r="H591" s="3"/>
      <c r="AG591" s="91"/>
    </row>
    <row r="592" ht="15.75" customHeight="1">
      <c r="B592" s="3"/>
      <c r="C592" s="3"/>
      <c r="H592" s="3"/>
      <c r="AG592" s="91"/>
    </row>
    <row r="593" ht="15.75" customHeight="1">
      <c r="B593" s="3"/>
      <c r="C593" s="3"/>
      <c r="H593" s="3"/>
      <c r="AG593" s="91"/>
    </row>
    <row r="594" ht="15.75" customHeight="1">
      <c r="B594" s="3"/>
      <c r="C594" s="3"/>
      <c r="H594" s="3"/>
      <c r="AG594" s="91"/>
    </row>
    <row r="595" ht="15.75" customHeight="1">
      <c r="B595" s="3"/>
      <c r="C595" s="3"/>
      <c r="H595" s="3"/>
      <c r="AG595" s="91"/>
    </row>
    <row r="596" ht="15.75" customHeight="1">
      <c r="B596" s="3"/>
      <c r="C596" s="3"/>
      <c r="H596" s="3"/>
      <c r="AG596" s="91"/>
    </row>
    <row r="597" ht="15.75" customHeight="1">
      <c r="B597" s="3"/>
      <c r="C597" s="3"/>
      <c r="H597" s="3"/>
      <c r="AG597" s="91"/>
    </row>
    <row r="598" ht="15.75" customHeight="1">
      <c r="B598" s="3"/>
      <c r="C598" s="3"/>
      <c r="H598" s="3"/>
      <c r="AG598" s="91"/>
    </row>
    <row r="599" ht="15.75" customHeight="1">
      <c r="B599" s="3"/>
      <c r="C599" s="3"/>
      <c r="H599" s="3"/>
      <c r="AG599" s="91"/>
    </row>
    <row r="600" ht="15.75" customHeight="1">
      <c r="B600" s="3"/>
      <c r="C600" s="3"/>
      <c r="H600" s="3"/>
      <c r="AG600" s="91"/>
    </row>
    <row r="601" ht="15.75" customHeight="1">
      <c r="B601" s="3"/>
      <c r="C601" s="3"/>
      <c r="H601" s="3"/>
      <c r="AG601" s="91"/>
    </row>
    <row r="602" ht="15.75" customHeight="1">
      <c r="B602" s="3"/>
      <c r="C602" s="3"/>
      <c r="H602" s="3"/>
      <c r="AG602" s="91"/>
    </row>
    <row r="603" ht="15.75" customHeight="1">
      <c r="B603" s="3"/>
      <c r="C603" s="3"/>
      <c r="H603" s="3"/>
      <c r="AG603" s="91"/>
    </row>
    <row r="604" ht="15.75" customHeight="1">
      <c r="B604" s="3"/>
      <c r="C604" s="3"/>
      <c r="H604" s="3"/>
      <c r="AG604" s="91"/>
    </row>
    <row r="605" ht="15.75" customHeight="1">
      <c r="B605" s="3"/>
      <c r="C605" s="3"/>
      <c r="H605" s="3"/>
      <c r="AG605" s="91"/>
    </row>
    <row r="606" ht="15.75" customHeight="1">
      <c r="B606" s="3"/>
      <c r="C606" s="3"/>
      <c r="H606" s="3"/>
      <c r="AG606" s="91"/>
    </row>
    <row r="607" ht="15.75" customHeight="1">
      <c r="B607" s="3"/>
      <c r="C607" s="3"/>
      <c r="H607" s="3"/>
      <c r="AG607" s="91"/>
    </row>
    <row r="608" ht="15.75" customHeight="1">
      <c r="B608" s="3"/>
      <c r="C608" s="3"/>
      <c r="H608" s="3"/>
      <c r="AG608" s="91"/>
    </row>
    <row r="609" ht="15.75" customHeight="1">
      <c r="B609" s="3"/>
      <c r="C609" s="3"/>
      <c r="H609" s="3"/>
      <c r="AG609" s="91"/>
    </row>
    <row r="610" ht="15.75" customHeight="1">
      <c r="B610" s="3"/>
      <c r="C610" s="3"/>
      <c r="H610" s="3"/>
      <c r="AG610" s="91"/>
    </row>
    <row r="611" ht="15.75" customHeight="1">
      <c r="B611" s="3"/>
      <c r="C611" s="3"/>
      <c r="H611" s="3"/>
      <c r="AG611" s="91"/>
    </row>
    <row r="612" ht="15.75" customHeight="1">
      <c r="B612" s="3"/>
      <c r="C612" s="3"/>
      <c r="H612" s="3"/>
      <c r="AG612" s="91"/>
    </row>
    <row r="613" ht="15.75" customHeight="1">
      <c r="B613" s="3"/>
      <c r="C613" s="3"/>
      <c r="H613" s="3"/>
      <c r="AG613" s="91"/>
    </row>
    <row r="614" ht="15.75" customHeight="1">
      <c r="B614" s="3"/>
      <c r="C614" s="3"/>
      <c r="H614" s="3"/>
      <c r="AG614" s="91"/>
    </row>
    <row r="615" ht="15.75" customHeight="1">
      <c r="B615" s="3"/>
      <c r="C615" s="3"/>
      <c r="H615" s="3"/>
      <c r="AG615" s="91"/>
    </row>
    <row r="616" ht="15.75" customHeight="1">
      <c r="B616" s="3"/>
      <c r="C616" s="3"/>
      <c r="H616" s="3"/>
      <c r="AG616" s="91"/>
    </row>
    <row r="617" ht="15.75" customHeight="1">
      <c r="B617" s="3"/>
      <c r="C617" s="3"/>
      <c r="H617" s="3"/>
      <c r="AG617" s="91"/>
    </row>
    <row r="618" ht="15.75" customHeight="1">
      <c r="B618" s="3"/>
      <c r="C618" s="3"/>
      <c r="H618" s="3"/>
      <c r="AG618" s="91"/>
    </row>
    <row r="619" ht="15.75" customHeight="1">
      <c r="B619" s="3"/>
      <c r="C619" s="3"/>
      <c r="H619" s="3"/>
      <c r="AG619" s="91"/>
    </row>
    <row r="620" ht="15.75" customHeight="1">
      <c r="B620" s="3"/>
      <c r="C620" s="3"/>
      <c r="H620" s="3"/>
      <c r="AG620" s="91"/>
    </row>
    <row r="621" ht="15.75" customHeight="1">
      <c r="B621" s="3"/>
      <c r="C621" s="3"/>
      <c r="H621" s="3"/>
      <c r="AG621" s="91"/>
    </row>
    <row r="622" ht="15.75" customHeight="1">
      <c r="B622" s="3"/>
      <c r="C622" s="3"/>
      <c r="H622" s="3"/>
      <c r="AG622" s="91"/>
    </row>
    <row r="623" ht="15.75" customHeight="1">
      <c r="B623" s="3"/>
      <c r="C623" s="3"/>
      <c r="H623" s="3"/>
      <c r="AG623" s="91"/>
    </row>
    <row r="624" ht="15.75" customHeight="1">
      <c r="B624" s="3"/>
      <c r="C624" s="3"/>
      <c r="H624" s="3"/>
      <c r="AG624" s="91"/>
    </row>
    <row r="625" ht="15.75" customHeight="1">
      <c r="B625" s="3"/>
      <c r="C625" s="3"/>
      <c r="H625" s="3"/>
      <c r="AG625" s="91"/>
    </row>
    <row r="626" ht="15.75" customHeight="1">
      <c r="B626" s="3"/>
      <c r="C626" s="3"/>
      <c r="H626" s="3"/>
      <c r="AG626" s="91"/>
    </row>
    <row r="627" ht="15.75" customHeight="1">
      <c r="B627" s="3"/>
      <c r="C627" s="3"/>
      <c r="H627" s="3"/>
      <c r="AG627" s="91"/>
    </row>
    <row r="628" ht="15.75" customHeight="1">
      <c r="B628" s="3"/>
      <c r="C628" s="3"/>
      <c r="H628" s="3"/>
      <c r="AG628" s="91"/>
    </row>
    <row r="629" ht="15.75" customHeight="1">
      <c r="B629" s="3"/>
      <c r="C629" s="3"/>
      <c r="H629" s="3"/>
      <c r="AG629" s="91"/>
    </row>
    <row r="630" ht="15.75" customHeight="1">
      <c r="B630" s="3"/>
      <c r="C630" s="3"/>
      <c r="H630" s="3"/>
      <c r="AG630" s="91"/>
    </row>
    <row r="631" ht="15.75" customHeight="1">
      <c r="B631" s="3"/>
      <c r="C631" s="3"/>
      <c r="H631" s="3"/>
      <c r="AG631" s="91"/>
    </row>
    <row r="632" ht="15.75" customHeight="1">
      <c r="B632" s="3"/>
      <c r="C632" s="3"/>
      <c r="H632" s="3"/>
      <c r="AG632" s="91"/>
    </row>
    <row r="633" ht="15.75" customHeight="1">
      <c r="B633" s="3"/>
      <c r="C633" s="3"/>
      <c r="H633" s="3"/>
      <c r="AG633" s="91"/>
    </row>
    <row r="634" ht="15.75" customHeight="1">
      <c r="B634" s="3"/>
      <c r="C634" s="3"/>
      <c r="H634" s="3"/>
      <c r="AG634" s="91"/>
    </row>
    <row r="635" ht="15.75" customHeight="1">
      <c r="B635" s="3"/>
      <c r="C635" s="3"/>
      <c r="H635" s="3"/>
      <c r="AG635" s="91"/>
    </row>
    <row r="636" ht="15.75" customHeight="1">
      <c r="B636" s="3"/>
      <c r="C636" s="3"/>
      <c r="H636" s="3"/>
      <c r="AG636" s="91"/>
    </row>
    <row r="637" ht="15.75" customHeight="1">
      <c r="B637" s="3"/>
      <c r="C637" s="3"/>
      <c r="H637" s="3"/>
      <c r="AG637" s="91"/>
    </row>
    <row r="638" ht="15.75" customHeight="1">
      <c r="B638" s="3"/>
      <c r="C638" s="3"/>
      <c r="H638" s="3"/>
      <c r="AG638" s="91"/>
    </row>
    <row r="639" ht="15.75" customHeight="1">
      <c r="B639" s="3"/>
      <c r="C639" s="3"/>
      <c r="H639" s="3"/>
      <c r="AG639" s="91"/>
    </row>
    <row r="640" ht="15.75" customHeight="1">
      <c r="B640" s="3"/>
      <c r="C640" s="3"/>
      <c r="H640" s="3"/>
      <c r="AG640" s="91"/>
    </row>
    <row r="641" ht="15.75" customHeight="1">
      <c r="B641" s="3"/>
      <c r="C641" s="3"/>
      <c r="H641" s="3"/>
      <c r="AG641" s="91"/>
    </row>
    <row r="642" ht="15.75" customHeight="1">
      <c r="B642" s="3"/>
      <c r="C642" s="3"/>
      <c r="H642" s="3"/>
      <c r="AG642" s="91"/>
    </row>
    <row r="643" ht="15.75" customHeight="1">
      <c r="B643" s="3"/>
      <c r="C643" s="3"/>
      <c r="H643" s="3"/>
      <c r="AG643" s="91"/>
    </row>
    <row r="644" ht="15.75" customHeight="1">
      <c r="B644" s="3"/>
      <c r="C644" s="3"/>
      <c r="H644" s="3"/>
      <c r="AG644" s="91"/>
    </row>
    <row r="645" ht="15.75" customHeight="1">
      <c r="B645" s="3"/>
      <c r="C645" s="3"/>
      <c r="H645" s="3"/>
      <c r="AG645" s="91"/>
    </row>
    <row r="646" ht="15.75" customHeight="1">
      <c r="B646" s="3"/>
      <c r="C646" s="3"/>
      <c r="H646" s="3"/>
      <c r="AG646" s="91"/>
    </row>
    <row r="647" ht="15.75" customHeight="1">
      <c r="B647" s="3"/>
      <c r="C647" s="3"/>
      <c r="H647" s="3"/>
      <c r="AG647" s="91"/>
    </row>
    <row r="648" ht="15.75" customHeight="1">
      <c r="B648" s="3"/>
      <c r="C648" s="3"/>
      <c r="H648" s="3"/>
      <c r="AG648" s="91"/>
    </row>
    <row r="649" ht="15.75" customHeight="1">
      <c r="B649" s="3"/>
      <c r="C649" s="3"/>
      <c r="H649" s="3"/>
      <c r="AG649" s="91"/>
    </row>
    <row r="650" ht="15.75" customHeight="1">
      <c r="B650" s="3"/>
      <c r="C650" s="3"/>
      <c r="H650" s="3"/>
      <c r="AG650" s="91"/>
    </row>
    <row r="651" ht="15.75" customHeight="1">
      <c r="B651" s="3"/>
      <c r="C651" s="3"/>
      <c r="H651" s="3"/>
      <c r="AG651" s="91"/>
    </row>
    <row r="652" ht="15.75" customHeight="1">
      <c r="B652" s="3"/>
      <c r="C652" s="3"/>
      <c r="H652" s="3"/>
      <c r="AG652" s="91"/>
    </row>
    <row r="653" ht="15.75" customHeight="1">
      <c r="B653" s="3"/>
      <c r="C653" s="3"/>
      <c r="H653" s="3"/>
      <c r="AG653" s="91"/>
    </row>
    <row r="654" ht="15.75" customHeight="1">
      <c r="B654" s="3"/>
      <c r="C654" s="3"/>
      <c r="H654" s="3"/>
      <c r="AG654" s="91"/>
    </row>
    <row r="655" ht="15.75" customHeight="1">
      <c r="B655" s="3"/>
      <c r="C655" s="3"/>
      <c r="H655" s="3"/>
      <c r="AG655" s="91"/>
    </row>
    <row r="656" ht="15.75" customHeight="1">
      <c r="B656" s="3"/>
      <c r="C656" s="3"/>
      <c r="H656" s="3"/>
      <c r="AG656" s="91"/>
    </row>
    <row r="657" ht="15.75" customHeight="1">
      <c r="B657" s="3"/>
      <c r="C657" s="3"/>
      <c r="H657" s="3"/>
      <c r="AG657" s="91"/>
    </row>
    <row r="658" ht="15.75" customHeight="1">
      <c r="B658" s="3"/>
      <c r="C658" s="3"/>
      <c r="H658" s="3"/>
      <c r="AG658" s="91"/>
    </row>
    <row r="659" ht="15.75" customHeight="1">
      <c r="B659" s="3"/>
      <c r="C659" s="3"/>
      <c r="H659" s="3"/>
      <c r="AG659" s="91"/>
    </row>
    <row r="660" ht="15.75" customHeight="1">
      <c r="B660" s="3"/>
      <c r="C660" s="3"/>
      <c r="H660" s="3"/>
      <c r="AG660" s="91"/>
    </row>
    <row r="661" ht="15.75" customHeight="1">
      <c r="B661" s="3"/>
      <c r="C661" s="3"/>
      <c r="H661" s="3"/>
      <c r="AG661" s="91"/>
    </row>
    <row r="662" ht="15.75" customHeight="1">
      <c r="B662" s="3"/>
      <c r="C662" s="3"/>
      <c r="H662" s="3"/>
      <c r="AG662" s="91"/>
    </row>
    <row r="663" ht="15.75" customHeight="1">
      <c r="B663" s="3"/>
      <c r="C663" s="3"/>
      <c r="H663" s="3"/>
      <c r="AG663" s="91"/>
    </row>
    <row r="664" ht="15.75" customHeight="1">
      <c r="B664" s="3"/>
      <c r="C664" s="3"/>
      <c r="H664" s="3"/>
      <c r="AG664" s="91"/>
    </row>
    <row r="665" ht="15.75" customHeight="1">
      <c r="B665" s="3"/>
      <c r="C665" s="3"/>
      <c r="H665" s="3"/>
      <c r="AG665" s="91"/>
    </row>
    <row r="666" ht="15.75" customHeight="1">
      <c r="B666" s="3"/>
      <c r="C666" s="3"/>
      <c r="H666" s="3"/>
      <c r="AG666" s="91"/>
    </row>
    <row r="667" ht="15.75" customHeight="1">
      <c r="B667" s="3"/>
      <c r="C667" s="3"/>
      <c r="H667" s="3"/>
      <c r="AG667" s="91"/>
    </row>
    <row r="668" ht="15.75" customHeight="1">
      <c r="B668" s="3"/>
      <c r="C668" s="3"/>
      <c r="H668" s="3"/>
      <c r="AG668" s="91"/>
    </row>
    <row r="669" ht="15.75" customHeight="1">
      <c r="B669" s="3"/>
      <c r="C669" s="3"/>
      <c r="H669" s="3"/>
      <c r="AG669" s="91"/>
    </row>
    <row r="670" ht="15.75" customHeight="1">
      <c r="B670" s="3"/>
      <c r="C670" s="3"/>
      <c r="H670" s="3"/>
      <c r="AG670" s="91"/>
    </row>
    <row r="671" ht="15.75" customHeight="1">
      <c r="B671" s="3"/>
      <c r="C671" s="3"/>
      <c r="H671" s="3"/>
      <c r="AG671" s="91"/>
    </row>
    <row r="672" ht="15.75" customHeight="1">
      <c r="B672" s="3"/>
      <c r="C672" s="3"/>
      <c r="H672" s="3"/>
      <c r="AG672" s="91"/>
    </row>
    <row r="673" ht="15.75" customHeight="1">
      <c r="B673" s="3"/>
      <c r="C673" s="3"/>
      <c r="H673" s="3"/>
      <c r="AG673" s="91"/>
    </row>
    <row r="674" ht="15.75" customHeight="1">
      <c r="B674" s="3"/>
      <c r="C674" s="3"/>
      <c r="H674" s="3"/>
      <c r="AG674" s="91"/>
    </row>
    <row r="675" ht="15.75" customHeight="1">
      <c r="B675" s="3"/>
      <c r="C675" s="3"/>
      <c r="H675" s="3"/>
      <c r="AG675" s="91"/>
    </row>
    <row r="676" ht="15.75" customHeight="1">
      <c r="B676" s="3"/>
      <c r="C676" s="3"/>
      <c r="H676" s="3"/>
      <c r="AG676" s="91"/>
    </row>
    <row r="677" ht="15.75" customHeight="1">
      <c r="B677" s="3"/>
      <c r="C677" s="3"/>
      <c r="H677" s="3"/>
      <c r="AG677" s="91"/>
    </row>
    <row r="678" ht="15.75" customHeight="1">
      <c r="B678" s="3"/>
      <c r="C678" s="3"/>
      <c r="H678" s="3"/>
      <c r="AG678" s="91"/>
    </row>
    <row r="679" ht="15.75" customHeight="1">
      <c r="B679" s="3"/>
      <c r="C679" s="3"/>
      <c r="H679" s="3"/>
      <c r="AG679" s="91"/>
    </row>
    <row r="680" ht="15.75" customHeight="1">
      <c r="B680" s="3"/>
      <c r="C680" s="3"/>
      <c r="H680" s="3"/>
      <c r="AG680" s="91"/>
    </row>
    <row r="681" ht="15.75" customHeight="1">
      <c r="B681" s="3"/>
      <c r="C681" s="3"/>
      <c r="H681" s="3"/>
      <c r="AG681" s="91"/>
    </row>
    <row r="682" ht="15.75" customHeight="1">
      <c r="B682" s="3"/>
      <c r="C682" s="3"/>
      <c r="H682" s="3"/>
      <c r="AG682" s="91"/>
    </row>
    <row r="683" ht="15.75" customHeight="1">
      <c r="B683" s="3"/>
      <c r="C683" s="3"/>
      <c r="H683" s="3"/>
      <c r="AG683" s="91"/>
    </row>
    <row r="684" ht="15.75" customHeight="1">
      <c r="B684" s="3"/>
      <c r="C684" s="3"/>
      <c r="H684" s="3"/>
      <c r="AG684" s="91"/>
    </row>
    <row r="685" ht="15.75" customHeight="1">
      <c r="B685" s="3"/>
      <c r="C685" s="3"/>
      <c r="H685" s="3"/>
      <c r="AG685" s="91"/>
    </row>
    <row r="686" ht="15.75" customHeight="1">
      <c r="B686" s="3"/>
      <c r="C686" s="3"/>
      <c r="H686" s="3"/>
      <c r="AG686" s="91"/>
    </row>
    <row r="687" ht="15.75" customHeight="1">
      <c r="B687" s="3"/>
      <c r="C687" s="3"/>
      <c r="H687" s="3"/>
      <c r="AG687" s="91"/>
    </row>
    <row r="688" ht="15.75" customHeight="1">
      <c r="B688" s="3"/>
      <c r="C688" s="3"/>
      <c r="H688" s="3"/>
      <c r="AG688" s="91"/>
    </row>
    <row r="689" ht="15.75" customHeight="1">
      <c r="B689" s="3"/>
      <c r="C689" s="3"/>
      <c r="H689" s="3"/>
      <c r="AG689" s="91"/>
    </row>
    <row r="690" ht="15.75" customHeight="1">
      <c r="B690" s="3"/>
      <c r="C690" s="3"/>
      <c r="H690" s="3"/>
      <c r="AG690" s="91"/>
    </row>
    <row r="691" ht="15.75" customHeight="1">
      <c r="B691" s="3"/>
      <c r="C691" s="3"/>
      <c r="H691" s="3"/>
      <c r="AG691" s="91"/>
    </row>
    <row r="692" ht="15.75" customHeight="1">
      <c r="B692" s="3"/>
      <c r="C692" s="3"/>
      <c r="H692" s="3"/>
      <c r="AG692" s="91"/>
    </row>
    <row r="693" ht="15.75" customHeight="1">
      <c r="B693" s="3"/>
      <c r="C693" s="3"/>
      <c r="H693" s="3"/>
      <c r="AG693" s="91"/>
    </row>
    <row r="694" ht="15.75" customHeight="1">
      <c r="B694" s="3"/>
      <c r="C694" s="3"/>
      <c r="H694" s="3"/>
      <c r="AG694" s="91"/>
    </row>
    <row r="695" ht="15.75" customHeight="1">
      <c r="B695" s="3"/>
      <c r="C695" s="3"/>
      <c r="H695" s="3"/>
      <c r="AG695" s="91"/>
    </row>
    <row r="696" ht="15.75" customHeight="1">
      <c r="B696" s="3"/>
      <c r="C696" s="3"/>
      <c r="H696" s="3"/>
      <c r="AG696" s="91"/>
    </row>
    <row r="697" ht="15.75" customHeight="1">
      <c r="B697" s="3"/>
      <c r="C697" s="3"/>
      <c r="H697" s="3"/>
      <c r="AG697" s="91"/>
    </row>
    <row r="698" ht="15.75" customHeight="1">
      <c r="B698" s="3"/>
      <c r="C698" s="3"/>
      <c r="H698" s="3"/>
      <c r="AG698" s="91"/>
    </row>
    <row r="699" ht="15.75" customHeight="1">
      <c r="B699" s="3"/>
      <c r="C699" s="3"/>
      <c r="H699" s="3"/>
      <c r="AG699" s="91"/>
    </row>
    <row r="700" ht="15.75" customHeight="1">
      <c r="B700" s="3"/>
      <c r="C700" s="3"/>
      <c r="H700" s="3"/>
      <c r="AG700" s="91"/>
    </row>
    <row r="701" ht="15.75" customHeight="1">
      <c r="B701" s="3"/>
      <c r="C701" s="3"/>
      <c r="H701" s="3"/>
      <c r="AG701" s="91"/>
    </row>
    <row r="702" ht="15.75" customHeight="1">
      <c r="B702" s="3"/>
      <c r="C702" s="3"/>
      <c r="H702" s="3"/>
      <c r="AG702" s="91"/>
    </row>
    <row r="703" ht="15.75" customHeight="1">
      <c r="B703" s="3"/>
      <c r="C703" s="3"/>
      <c r="H703" s="3"/>
      <c r="AG703" s="91"/>
    </row>
    <row r="704" ht="15.75" customHeight="1">
      <c r="B704" s="3"/>
      <c r="C704" s="3"/>
      <c r="H704" s="3"/>
      <c r="AG704" s="91"/>
    </row>
    <row r="705" ht="15.75" customHeight="1">
      <c r="B705" s="3"/>
      <c r="C705" s="3"/>
      <c r="H705" s="3"/>
      <c r="AG705" s="91"/>
    </row>
    <row r="706" ht="15.75" customHeight="1">
      <c r="B706" s="3"/>
      <c r="C706" s="3"/>
      <c r="H706" s="3"/>
      <c r="AG706" s="91"/>
    </row>
    <row r="707" ht="15.75" customHeight="1">
      <c r="B707" s="3"/>
      <c r="C707" s="3"/>
      <c r="H707" s="3"/>
      <c r="AG707" s="91"/>
    </row>
    <row r="708" ht="15.75" customHeight="1">
      <c r="B708" s="3"/>
      <c r="C708" s="3"/>
      <c r="H708" s="3"/>
      <c r="AG708" s="91"/>
    </row>
    <row r="709" ht="15.75" customHeight="1">
      <c r="B709" s="3"/>
      <c r="C709" s="3"/>
      <c r="H709" s="3"/>
      <c r="AG709" s="91"/>
    </row>
    <row r="710" ht="15.75" customHeight="1">
      <c r="B710" s="3"/>
      <c r="C710" s="3"/>
      <c r="H710" s="3"/>
      <c r="AG710" s="91"/>
    </row>
    <row r="711" ht="15.75" customHeight="1">
      <c r="B711" s="3"/>
      <c r="C711" s="3"/>
      <c r="H711" s="3"/>
      <c r="AG711" s="91"/>
    </row>
    <row r="712" ht="15.75" customHeight="1">
      <c r="B712" s="3"/>
      <c r="C712" s="3"/>
      <c r="H712" s="3"/>
      <c r="AG712" s="91"/>
    </row>
    <row r="713" ht="15.75" customHeight="1">
      <c r="B713" s="3"/>
      <c r="C713" s="3"/>
      <c r="H713" s="3"/>
      <c r="AG713" s="91"/>
    </row>
    <row r="714" ht="15.75" customHeight="1">
      <c r="B714" s="3"/>
      <c r="C714" s="3"/>
      <c r="H714" s="3"/>
      <c r="AG714" s="91"/>
    </row>
    <row r="715" ht="15.75" customHeight="1">
      <c r="B715" s="3"/>
      <c r="C715" s="3"/>
      <c r="H715" s="3"/>
      <c r="AG715" s="91"/>
    </row>
    <row r="716" ht="15.75" customHeight="1">
      <c r="B716" s="3"/>
      <c r="C716" s="3"/>
      <c r="H716" s="3"/>
      <c r="AG716" s="91"/>
    </row>
    <row r="717" ht="15.75" customHeight="1">
      <c r="B717" s="3"/>
      <c r="C717" s="3"/>
      <c r="H717" s="3"/>
      <c r="AG717" s="91"/>
    </row>
    <row r="718" ht="15.75" customHeight="1">
      <c r="B718" s="3"/>
      <c r="C718" s="3"/>
      <c r="H718" s="3"/>
      <c r="AG718" s="91"/>
    </row>
    <row r="719" ht="15.75" customHeight="1">
      <c r="B719" s="3"/>
      <c r="C719" s="3"/>
      <c r="H719" s="3"/>
      <c r="AG719" s="91"/>
    </row>
    <row r="720" ht="15.75" customHeight="1">
      <c r="B720" s="3"/>
      <c r="C720" s="3"/>
      <c r="H720" s="3"/>
      <c r="AG720" s="91"/>
    </row>
    <row r="721" ht="15.75" customHeight="1">
      <c r="B721" s="3"/>
      <c r="C721" s="3"/>
      <c r="H721" s="3"/>
      <c r="AG721" s="91"/>
    </row>
    <row r="722" ht="15.75" customHeight="1">
      <c r="B722" s="3"/>
      <c r="C722" s="3"/>
      <c r="H722" s="3"/>
      <c r="AG722" s="91"/>
    </row>
    <row r="723" ht="15.75" customHeight="1">
      <c r="B723" s="3"/>
      <c r="C723" s="3"/>
      <c r="H723" s="3"/>
      <c r="AG723" s="91"/>
    </row>
    <row r="724" ht="15.75" customHeight="1">
      <c r="B724" s="3"/>
      <c r="C724" s="3"/>
      <c r="H724" s="3"/>
      <c r="AG724" s="91"/>
    </row>
    <row r="725" ht="15.75" customHeight="1">
      <c r="B725" s="3"/>
      <c r="C725" s="3"/>
      <c r="H725" s="3"/>
      <c r="AG725" s="91"/>
    </row>
    <row r="726" ht="15.75" customHeight="1">
      <c r="B726" s="3"/>
      <c r="C726" s="3"/>
      <c r="H726" s="3"/>
      <c r="AG726" s="91"/>
    </row>
    <row r="727" ht="15.75" customHeight="1">
      <c r="B727" s="3"/>
      <c r="C727" s="3"/>
      <c r="H727" s="3"/>
      <c r="AG727" s="91"/>
    </row>
    <row r="728" ht="15.75" customHeight="1">
      <c r="B728" s="3"/>
      <c r="C728" s="3"/>
      <c r="H728" s="3"/>
      <c r="AG728" s="91"/>
    </row>
    <row r="729" ht="15.75" customHeight="1">
      <c r="B729" s="3"/>
      <c r="C729" s="3"/>
      <c r="H729" s="3"/>
      <c r="AG729" s="91"/>
    </row>
    <row r="730" ht="15.75" customHeight="1">
      <c r="B730" s="3"/>
      <c r="C730" s="3"/>
      <c r="H730" s="3"/>
      <c r="AG730" s="91"/>
    </row>
    <row r="731" ht="15.75" customHeight="1">
      <c r="B731" s="3"/>
      <c r="C731" s="3"/>
      <c r="H731" s="3"/>
      <c r="AG731" s="91"/>
    </row>
    <row r="732" ht="15.75" customHeight="1">
      <c r="B732" s="3"/>
      <c r="C732" s="3"/>
      <c r="H732" s="3"/>
      <c r="AG732" s="91"/>
    </row>
    <row r="733" ht="15.75" customHeight="1">
      <c r="B733" s="3"/>
      <c r="C733" s="3"/>
      <c r="H733" s="3"/>
      <c r="AG733" s="91"/>
    </row>
    <row r="734" ht="15.75" customHeight="1">
      <c r="B734" s="3"/>
      <c r="C734" s="3"/>
      <c r="H734" s="3"/>
      <c r="AG734" s="91"/>
    </row>
    <row r="735" ht="15.75" customHeight="1">
      <c r="B735" s="3"/>
      <c r="C735" s="3"/>
      <c r="H735" s="3"/>
      <c r="AG735" s="91"/>
    </row>
    <row r="736" ht="15.75" customHeight="1">
      <c r="B736" s="3"/>
      <c r="C736" s="3"/>
      <c r="H736" s="3"/>
      <c r="AG736" s="91"/>
    </row>
    <row r="737" ht="15.75" customHeight="1">
      <c r="B737" s="3"/>
      <c r="C737" s="3"/>
      <c r="H737" s="3"/>
      <c r="AG737" s="91"/>
    </row>
    <row r="738" ht="15.75" customHeight="1">
      <c r="B738" s="3"/>
      <c r="C738" s="3"/>
      <c r="H738" s="3"/>
      <c r="AG738" s="91"/>
    </row>
    <row r="739" ht="15.75" customHeight="1">
      <c r="B739" s="3"/>
      <c r="C739" s="3"/>
      <c r="H739" s="3"/>
      <c r="AG739" s="91"/>
    </row>
    <row r="740" ht="15.75" customHeight="1">
      <c r="B740" s="3"/>
      <c r="C740" s="3"/>
      <c r="H740" s="3"/>
      <c r="AG740" s="91"/>
    </row>
    <row r="741" ht="15.75" customHeight="1">
      <c r="B741" s="3"/>
      <c r="C741" s="3"/>
      <c r="H741" s="3"/>
      <c r="AG741" s="91"/>
    </row>
    <row r="742" ht="15.75" customHeight="1">
      <c r="B742" s="3"/>
      <c r="C742" s="3"/>
      <c r="H742" s="3"/>
      <c r="AG742" s="91"/>
    </row>
    <row r="743" ht="15.75" customHeight="1">
      <c r="B743" s="3"/>
      <c r="C743" s="3"/>
      <c r="H743" s="3"/>
      <c r="AG743" s="91"/>
    </row>
    <row r="744" ht="15.75" customHeight="1">
      <c r="B744" s="3"/>
      <c r="C744" s="3"/>
      <c r="H744" s="3"/>
      <c r="AG744" s="91"/>
    </row>
    <row r="745" ht="15.75" customHeight="1">
      <c r="B745" s="3"/>
      <c r="C745" s="3"/>
      <c r="H745" s="3"/>
      <c r="AG745" s="91"/>
    </row>
    <row r="746" ht="15.75" customHeight="1">
      <c r="B746" s="3"/>
      <c r="C746" s="3"/>
      <c r="H746" s="3"/>
      <c r="AG746" s="91"/>
    </row>
    <row r="747" ht="15.75" customHeight="1">
      <c r="B747" s="3"/>
      <c r="C747" s="3"/>
      <c r="H747" s="3"/>
      <c r="AG747" s="91"/>
    </row>
    <row r="748" ht="15.75" customHeight="1">
      <c r="B748" s="3"/>
      <c r="C748" s="3"/>
      <c r="H748" s="3"/>
      <c r="AG748" s="91"/>
    </row>
    <row r="749" ht="15.75" customHeight="1">
      <c r="B749" s="3"/>
      <c r="C749" s="3"/>
      <c r="H749" s="3"/>
      <c r="AG749" s="91"/>
    </row>
    <row r="750" ht="15.75" customHeight="1">
      <c r="B750" s="3"/>
      <c r="C750" s="3"/>
      <c r="H750" s="3"/>
      <c r="AG750" s="91"/>
    </row>
    <row r="751" ht="15.75" customHeight="1">
      <c r="B751" s="3"/>
      <c r="C751" s="3"/>
      <c r="H751" s="3"/>
      <c r="AG751" s="91"/>
    </row>
    <row r="752" ht="15.75" customHeight="1">
      <c r="B752" s="3"/>
      <c r="C752" s="3"/>
      <c r="H752" s="3"/>
      <c r="AG752" s="91"/>
    </row>
    <row r="753" ht="15.75" customHeight="1">
      <c r="B753" s="3"/>
      <c r="C753" s="3"/>
      <c r="H753" s="3"/>
      <c r="AG753" s="91"/>
    </row>
    <row r="754" ht="15.75" customHeight="1">
      <c r="B754" s="3"/>
      <c r="C754" s="3"/>
      <c r="H754" s="3"/>
      <c r="AG754" s="91"/>
    </row>
    <row r="755" ht="15.75" customHeight="1">
      <c r="B755" s="3"/>
      <c r="C755" s="3"/>
      <c r="H755" s="3"/>
      <c r="AG755" s="91"/>
    </row>
    <row r="756" ht="15.75" customHeight="1">
      <c r="B756" s="3"/>
      <c r="C756" s="3"/>
      <c r="H756" s="3"/>
      <c r="AG756" s="91"/>
    </row>
    <row r="757" ht="15.75" customHeight="1">
      <c r="B757" s="3"/>
      <c r="C757" s="3"/>
      <c r="H757" s="3"/>
      <c r="AG757" s="91"/>
    </row>
    <row r="758" ht="15.75" customHeight="1">
      <c r="B758" s="3"/>
      <c r="C758" s="3"/>
      <c r="H758" s="3"/>
      <c r="AG758" s="91"/>
    </row>
    <row r="759" ht="15.75" customHeight="1">
      <c r="B759" s="3"/>
      <c r="C759" s="3"/>
      <c r="H759" s="3"/>
      <c r="AG759" s="91"/>
    </row>
    <row r="760" ht="15.75" customHeight="1">
      <c r="B760" s="3"/>
      <c r="C760" s="3"/>
      <c r="H760" s="3"/>
      <c r="AG760" s="91"/>
    </row>
    <row r="761" ht="15.75" customHeight="1">
      <c r="B761" s="3"/>
      <c r="C761" s="3"/>
      <c r="H761" s="3"/>
      <c r="AG761" s="91"/>
    </row>
    <row r="762" ht="15.75" customHeight="1">
      <c r="B762" s="3"/>
      <c r="C762" s="3"/>
      <c r="H762" s="3"/>
      <c r="AG762" s="91"/>
    </row>
    <row r="763" ht="15.75" customHeight="1">
      <c r="B763" s="3"/>
      <c r="C763" s="3"/>
      <c r="H763" s="3"/>
      <c r="AG763" s="91"/>
    </row>
    <row r="764" ht="15.75" customHeight="1">
      <c r="B764" s="3"/>
      <c r="C764" s="3"/>
      <c r="H764" s="3"/>
      <c r="AG764" s="91"/>
    </row>
    <row r="765" ht="15.75" customHeight="1">
      <c r="B765" s="3"/>
      <c r="C765" s="3"/>
      <c r="H765" s="3"/>
      <c r="AG765" s="91"/>
    </row>
    <row r="766" ht="15.75" customHeight="1">
      <c r="B766" s="3"/>
      <c r="C766" s="3"/>
      <c r="H766" s="3"/>
      <c r="AG766" s="91"/>
    </row>
    <row r="767" ht="15.75" customHeight="1">
      <c r="B767" s="3"/>
      <c r="C767" s="3"/>
      <c r="H767" s="3"/>
      <c r="AG767" s="91"/>
    </row>
    <row r="768" ht="15.75" customHeight="1">
      <c r="B768" s="3"/>
      <c r="C768" s="3"/>
      <c r="H768" s="3"/>
      <c r="AG768" s="91"/>
    </row>
    <row r="769" ht="15.75" customHeight="1">
      <c r="B769" s="3"/>
      <c r="C769" s="3"/>
      <c r="H769" s="3"/>
      <c r="AG769" s="91"/>
    </row>
    <row r="770" ht="15.75" customHeight="1">
      <c r="B770" s="3"/>
      <c r="C770" s="3"/>
      <c r="H770" s="3"/>
      <c r="AG770" s="91"/>
    </row>
    <row r="771" ht="15.75" customHeight="1">
      <c r="B771" s="3"/>
      <c r="C771" s="3"/>
      <c r="H771" s="3"/>
      <c r="AG771" s="91"/>
    </row>
    <row r="772" ht="15.75" customHeight="1">
      <c r="B772" s="3"/>
      <c r="C772" s="3"/>
      <c r="H772" s="3"/>
      <c r="AG772" s="91"/>
    </row>
    <row r="773" ht="15.75" customHeight="1">
      <c r="B773" s="3"/>
      <c r="C773" s="3"/>
      <c r="H773" s="3"/>
      <c r="AG773" s="91"/>
    </row>
    <row r="774" ht="15.75" customHeight="1">
      <c r="B774" s="3"/>
      <c r="C774" s="3"/>
      <c r="H774" s="3"/>
      <c r="AG774" s="91"/>
    </row>
    <row r="775" ht="15.75" customHeight="1">
      <c r="B775" s="3"/>
      <c r="C775" s="3"/>
      <c r="H775" s="3"/>
      <c r="AG775" s="91"/>
    </row>
    <row r="776" ht="15.75" customHeight="1">
      <c r="B776" s="3"/>
      <c r="C776" s="3"/>
      <c r="H776" s="3"/>
      <c r="AG776" s="91"/>
    </row>
    <row r="777" ht="15.75" customHeight="1">
      <c r="B777" s="3"/>
      <c r="C777" s="3"/>
      <c r="H777" s="3"/>
      <c r="AG777" s="91"/>
    </row>
    <row r="778" ht="15.75" customHeight="1">
      <c r="B778" s="3"/>
      <c r="C778" s="3"/>
      <c r="H778" s="3"/>
      <c r="AG778" s="91"/>
    </row>
    <row r="779" ht="15.75" customHeight="1">
      <c r="B779" s="3"/>
      <c r="C779" s="3"/>
      <c r="H779" s="3"/>
      <c r="AG779" s="91"/>
    </row>
    <row r="780" ht="15.75" customHeight="1">
      <c r="B780" s="3"/>
      <c r="C780" s="3"/>
      <c r="H780" s="3"/>
      <c r="AG780" s="91"/>
    </row>
    <row r="781" ht="15.75" customHeight="1">
      <c r="B781" s="3"/>
      <c r="C781" s="3"/>
      <c r="H781" s="3"/>
      <c r="AG781" s="91"/>
    </row>
    <row r="782" ht="15.75" customHeight="1">
      <c r="B782" s="3"/>
      <c r="C782" s="3"/>
      <c r="H782" s="3"/>
      <c r="AG782" s="91"/>
    </row>
    <row r="783" ht="15.75" customHeight="1">
      <c r="B783" s="3"/>
      <c r="C783" s="3"/>
      <c r="H783" s="3"/>
      <c r="AG783" s="91"/>
    </row>
    <row r="784" ht="15.75" customHeight="1">
      <c r="B784" s="3"/>
      <c r="C784" s="3"/>
      <c r="H784" s="3"/>
      <c r="AG784" s="91"/>
    </row>
    <row r="785" ht="15.75" customHeight="1">
      <c r="B785" s="3"/>
      <c r="C785" s="3"/>
      <c r="H785" s="3"/>
      <c r="AG785" s="91"/>
    </row>
    <row r="786" ht="15.75" customHeight="1">
      <c r="B786" s="3"/>
      <c r="C786" s="3"/>
      <c r="H786" s="3"/>
      <c r="AG786" s="91"/>
    </row>
    <row r="787" ht="15.75" customHeight="1">
      <c r="B787" s="3"/>
      <c r="C787" s="3"/>
      <c r="H787" s="3"/>
      <c r="AG787" s="91"/>
    </row>
    <row r="788" ht="15.75" customHeight="1">
      <c r="B788" s="3"/>
      <c r="C788" s="3"/>
      <c r="H788" s="3"/>
      <c r="AG788" s="91"/>
    </row>
    <row r="789" ht="15.75" customHeight="1">
      <c r="B789" s="3"/>
      <c r="C789" s="3"/>
      <c r="H789" s="3"/>
      <c r="AG789" s="91"/>
    </row>
    <row r="790" ht="15.75" customHeight="1">
      <c r="B790" s="3"/>
      <c r="C790" s="3"/>
      <c r="H790" s="3"/>
      <c r="AG790" s="91"/>
    </row>
    <row r="791" ht="15.75" customHeight="1">
      <c r="B791" s="3"/>
      <c r="C791" s="3"/>
      <c r="H791" s="3"/>
      <c r="AG791" s="91"/>
    </row>
    <row r="792" ht="15.75" customHeight="1">
      <c r="B792" s="3"/>
      <c r="C792" s="3"/>
      <c r="H792" s="3"/>
      <c r="AG792" s="91"/>
    </row>
    <row r="793" ht="15.75" customHeight="1">
      <c r="B793" s="3"/>
      <c r="C793" s="3"/>
      <c r="H793" s="3"/>
      <c r="AG793" s="91"/>
    </row>
    <row r="794" ht="15.75" customHeight="1">
      <c r="B794" s="3"/>
      <c r="C794" s="3"/>
      <c r="H794" s="3"/>
      <c r="AG794" s="91"/>
    </row>
    <row r="795" ht="15.75" customHeight="1">
      <c r="B795" s="3"/>
      <c r="C795" s="3"/>
      <c r="H795" s="3"/>
      <c r="AG795" s="91"/>
    </row>
    <row r="796" ht="15.75" customHeight="1">
      <c r="B796" s="3"/>
      <c r="C796" s="3"/>
      <c r="H796" s="3"/>
      <c r="AG796" s="91"/>
    </row>
    <row r="797" ht="15.75" customHeight="1">
      <c r="B797" s="3"/>
      <c r="C797" s="3"/>
      <c r="H797" s="3"/>
      <c r="AG797" s="91"/>
    </row>
    <row r="798" ht="15.75" customHeight="1">
      <c r="B798" s="3"/>
      <c r="C798" s="3"/>
      <c r="H798" s="3"/>
      <c r="AG798" s="91"/>
    </row>
    <row r="799" ht="15.75" customHeight="1">
      <c r="B799" s="3"/>
      <c r="C799" s="3"/>
      <c r="H799" s="3"/>
      <c r="AG799" s="91"/>
    </row>
    <row r="800" ht="15.75" customHeight="1">
      <c r="B800" s="3"/>
      <c r="C800" s="3"/>
      <c r="H800" s="3"/>
      <c r="AG800" s="91"/>
    </row>
    <row r="801" ht="15.75" customHeight="1">
      <c r="B801" s="3"/>
      <c r="C801" s="3"/>
      <c r="H801" s="3"/>
      <c r="AG801" s="91"/>
    </row>
    <row r="802" ht="15.75" customHeight="1">
      <c r="B802" s="3"/>
      <c r="C802" s="3"/>
      <c r="H802" s="3"/>
      <c r="AG802" s="91"/>
    </row>
    <row r="803" ht="15.75" customHeight="1">
      <c r="B803" s="3"/>
      <c r="C803" s="3"/>
      <c r="H803" s="3"/>
      <c r="AG803" s="91"/>
    </row>
    <row r="804" ht="15.75" customHeight="1">
      <c r="B804" s="3"/>
      <c r="C804" s="3"/>
      <c r="H804" s="3"/>
      <c r="AG804" s="91"/>
    </row>
    <row r="805" ht="15.75" customHeight="1">
      <c r="B805" s="3"/>
      <c r="C805" s="3"/>
      <c r="H805" s="3"/>
      <c r="AG805" s="91"/>
    </row>
    <row r="806" ht="15.75" customHeight="1">
      <c r="B806" s="3"/>
      <c r="C806" s="3"/>
      <c r="H806" s="3"/>
      <c r="AG806" s="91"/>
    </row>
    <row r="807" ht="15.75" customHeight="1">
      <c r="B807" s="3"/>
      <c r="C807" s="3"/>
      <c r="H807" s="3"/>
      <c r="AG807" s="91"/>
    </row>
    <row r="808" ht="15.75" customHeight="1">
      <c r="B808" s="3"/>
      <c r="C808" s="3"/>
      <c r="H808" s="3"/>
      <c r="AG808" s="91"/>
    </row>
    <row r="809" ht="15.75" customHeight="1">
      <c r="B809" s="3"/>
      <c r="C809" s="3"/>
      <c r="H809" s="3"/>
      <c r="AG809" s="91"/>
    </row>
    <row r="810" ht="15.75" customHeight="1">
      <c r="B810" s="3"/>
      <c r="C810" s="3"/>
      <c r="H810" s="3"/>
      <c r="AG810" s="91"/>
    </row>
    <row r="811" ht="15.75" customHeight="1">
      <c r="B811" s="3"/>
      <c r="C811" s="3"/>
      <c r="H811" s="3"/>
      <c r="AG811" s="91"/>
    </row>
    <row r="812" ht="15.75" customHeight="1">
      <c r="B812" s="3"/>
      <c r="C812" s="3"/>
      <c r="H812" s="3"/>
      <c r="AG812" s="91"/>
    </row>
    <row r="813" ht="15.75" customHeight="1">
      <c r="B813" s="3"/>
      <c r="C813" s="3"/>
      <c r="H813" s="3"/>
      <c r="AG813" s="91"/>
    </row>
    <row r="814" ht="15.75" customHeight="1">
      <c r="B814" s="3"/>
      <c r="C814" s="3"/>
      <c r="H814" s="3"/>
      <c r="AG814" s="91"/>
    </row>
    <row r="815" ht="15.75" customHeight="1">
      <c r="B815" s="3"/>
      <c r="C815" s="3"/>
      <c r="H815" s="3"/>
      <c r="AG815" s="91"/>
    </row>
    <row r="816" ht="15.75" customHeight="1">
      <c r="B816" s="3"/>
      <c r="C816" s="3"/>
      <c r="H816" s="3"/>
      <c r="AG816" s="91"/>
    </row>
    <row r="817" ht="15.75" customHeight="1">
      <c r="B817" s="3"/>
      <c r="C817" s="3"/>
      <c r="H817" s="3"/>
      <c r="AG817" s="91"/>
    </row>
    <row r="818" ht="15.75" customHeight="1">
      <c r="B818" s="3"/>
      <c r="C818" s="3"/>
      <c r="H818" s="3"/>
      <c r="AG818" s="91"/>
    </row>
    <row r="819" ht="15.75" customHeight="1">
      <c r="B819" s="3"/>
      <c r="C819" s="3"/>
      <c r="H819" s="3"/>
      <c r="AG819" s="91"/>
    </row>
    <row r="820" ht="15.75" customHeight="1">
      <c r="B820" s="3"/>
      <c r="C820" s="3"/>
      <c r="H820" s="3"/>
      <c r="AG820" s="91"/>
    </row>
    <row r="821" ht="15.75" customHeight="1">
      <c r="B821" s="3"/>
      <c r="C821" s="3"/>
      <c r="H821" s="3"/>
      <c r="AG821" s="91"/>
    </row>
    <row r="822" ht="15.75" customHeight="1">
      <c r="B822" s="3"/>
      <c r="C822" s="3"/>
      <c r="H822" s="3"/>
      <c r="AG822" s="91"/>
    </row>
    <row r="823" ht="15.75" customHeight="1">
      <c r="B823" s="3"/>
      <c r="C823" s="3"/>
      <c r="H823" s="3"/>
      <c r="AG823" s="91"/>
    </row>
    <row r="824" ht="15.75" customHeight="1">
      <c r="B824" s="3"/>
      <c r="C824" s="3"/>
      <c r="H824" s="3"/>
      <c r="AG824" s="91"/>
    </row>
    <row r="825" ht="15.75" customHeight="1">
      <c r="B825" s="3"/>
      <c r="C825" s="3"/>
      <c r="H825" s="3"/>
      <c r="AG825" s="91"/>
    </row>
    <row r="826" ht="15.75" customHeight="1">
      <c r="B826" s="3"/>
      <c r="C826" s="3"/>
      <c r="H826" s="3"/>
      <c r="AG826" s="91"/>
    </row>
    <row r="827" ht="15.75" customHeight="1">
      <c r="B827" s="3"/>
      <c r="C827" s="3"/>
      <c r="H827" s="3"/>
      <c r="AG827" s="91"/>
    </row>
    <row r="828" ht="15.75" customHeight="1">
      <c r="B828" s="3"/>
      <c r="C828" s="3"/>
      <c r="H828" s="3"/>
      <c r="AG828" s="91"/>
    </row>
    <row r="829" ht="15.75" customHeight="1">
      <c r="B829" s="3"/>
      <c r="C829" s="3"/>
      <c r="H829" s="3"/>
      <c r="AG829" s="91"/>
    </row>
    <row r="830" ht="15.75" customHeight="1">
      <c r="B830" s="3"/>
      <c r="C830" s="3"/>
      <c r="H830" s="3"/>
      <c r="AG830" s="91"/>
    </row>
    <row r="831" ht="15.75" customHeight="1">
      <c r="B831" s="3"/>
      <c r="C831" s="3"/>
      <c r="H831" s="3"/>
      <c r="AG831" s="91"/>
    </row>
    <row r="832" ht="15.75" customHeight="1">
      <c r="B832" s="3"/>
      <c r="C832" s="3"/>
      <c r="H832" s="3"/>
      <c r="AG832" s="91"/>
    </row>
    <row r="833" ht="15.75" customHeight="1">
      <c r="B833" s="3"/>
      <c r="C833" s="3"/>
      <c r="H833" s="3"/>
      <c r="AG833" s="91"/>
    </row>
    <row r="834" ht="15.75" customHeight="1">
      <c r="B834" s="3"/>
      <c r="C834" s="3"/>
      <c r="H834" s="3"/>
      <c r="AG834" s="91"/>
    </row>
    <row r="835" ht="15.75" customHeight="1">
      <c r="B835" s="3"/>
      <c r="C835" s="3"/>
      <c r="H835" s="3"/>
      <c r="AG835" s="91"/>
    </row>
    <row r="836" ht="15.75" customHeight="1">
      <c r="B836" s="3"/>
      <c r="C836" s="3"/>
      <c r="H836" s="3"/>
      <c r="AG836" s="91"/>
    </row>
    <row r="837" ht="15.75" customHeight="1">
      <c r="B837" s="3"/>
      <c r="C837" s="3"/>
      <c r="H837" s="3"/>
      <c r="AG837" s="91"/>
    </row>
    <row r="838" ht="15.75" customHeight="1">
      <c r="B838" s="3"/>
      <c r="C838" s="3"/>
      <c r="H838" s="3"/>
      <c r="AG838" s="91"/>
    </row>
    <row r="839" ht="15.75" customHeight="1">
      <c r="B839" s="3"/>
      <c r="C839" s="3"/>
      <c r="H839" s="3"/>
      <c r="AG839" s="91"/>
    </row>
    <row r="840" ht="15.75" customHeight="1">
      <c r="B840" s="3"/>
      <c r="C840" s="3"/>
      <c r="H840" s="3"/>
      <c r="AG840" s="91"/>
    </row>
    <row r="841" ht="15.75" customHeight="1">
      <c r="B841" s="3"/>
      <c r="C841" s="3"/>
      <c r="H841" s="3"/>
      <c r="AG841" s="91"/>
    </row>
    <row r="842" ht="15.75" customHeight="1">
      <c r="B842" s="3"/>
      <c r="C842" s="3"/>
      <c r="H842" s="3"/>
      <c r="AG842" s="91"/>
    </row>
    <row r="843" ht="15.75" customHeight="1">
      <c r="B843" s="3"/>
      <c r="C843" s="3"/>
      <c r="H843" s="3"/>
      <c r="AG843" s="91"/>
    </row>
    <row r="844" ht="15.75" customHeight="1">
      <c r="B844" s="3"/>
      <c r="C844" s="3"/>
      <c r="H844" s="3"/>
      <c r="AG844" s="91"/>
    </row>
    <row r="845" ht="15.75" customHeight="1">
      <c r="B845" s="3"/>
      <c r="C845" s="3"/>
      <c r="H845" s="3"/>
      <c r="AG845" s="91"/>
    </row>
    <row r="846" ht="15.75" customHeight="1">
      <c r="B846" s="3"/>
      <c r="C846" s="3"/>
      <c r="H846" s="3"/>
      <c r="AG846" s="91"/>
    </row>
    <row r="847" ht="15.75" customHeight="1">
      <c r="B847" s="3"/>
      <c r="C847" s="3"/>
      <c r="H847" s="3"/>
      <c r="AG847" s="91"/>
    </row>
    <row r="848" ht="15.75" customHeight="1">
      <c r="B848" s="3"/>
      <c r="C848" s="3"/>
      <c r="H848" s="3"/>
      <c r="AG848" s="91"/>
    </row>
    <row r="849" ht="15.75" customHeight="1">
      <c r="B849" s="3"/>
      <c r="C849" s="3"/>
      <c r="H849" s="3"/>
      <c r="AG849" s="91"/>
    </row>
    <row r="850" ht="15.75" customHeight="1">
      <c r="B850" s="3"/>
      <c r="C850" s="3"/>
      <c r="H850" s="3"/>
      <c r="AG850" s="91"/>
    </row>
    <row r="851" ht="15.75" customHeight="1">
      <c r="B851" s="3"/>
      <c r="C851" s="3"/>
      <c r="H851" s="3"/>
      <c r="AG851" s="91"/>
    </row>
    <row r="852" ht="15.75" customHeight="1">
      <c r="B852" s="3"/>
      <c r="C852" s="3"/>
      <c r="H852" s="3"/>
      <c r="AG852" s="91"/>
    </row>
    <row r="853" ht="15.75" customHeight="1">
      <c r="B853" s="3"/>
      <c r="C853" s="3"/>
      <c r="H853" s="3"/>
      <c r="AG853" s="91"/>
    </row>
    <row r="854" ht="15.75" customHeight="1">
      <c r="B854" s="3"/>
      <c r="C854" s="3"/>
      <c r="H854" s="3"/>
      <c r="AG854" s="91"/>
    </row>
    <row r="855" ht="15.75" customHeight="1">
      <c r="B855" s="3"/>
      <c r="C855" s="3"/>
      <c r="H855" s="3"/>
      <c r="AG855" s="91"/>
    </row>
    <row r="856" ht="15.75" customHeight="1">
      <c r="B856" s="3"/>
      <c r="C856" s="3"/>
      <c r="H856" s="3"/>
      <c r="AG856" s="91"/>
    </row>
    <row r="857" ht="15.75" customHeight="1">
      <c r="B857" s="3"/>
      <c r="C857" s="3"/>
      <c r="H857" s="3"/>
      <c r="AG857" s="91"/>
    </row>
    <row r="858" ht="15.75" customHeight="1">
      <c r="B858" s="3"/>
      <c r="C858" s="3"/>
      <c r="H858" s="3"/>
      <c r="AG858" s="91"/>
    </row>
    <row r="859" ht="15.75" customHeight="1">
      <c r="B859" s="3"/>
      <c r="C859" s="3"/>
      <c r="H859" s="3"/>
      <c r="AG859" s="91"/>
    </row>
    <row r="860" ht="15.75" customHeight="1">
      <c r="B860" s="3"/>
      <c r="C860" s="3"/>
      <c r="H860" s="3"/>
      <c r="AG860" s="91"/>
    </row>
    <row r="861" ht="15.75" customHeight="1">
      <c r="B861" s="3"/>
      <c r="C861" s="3"/>
      <c r="H861" s="3"/>
      <c r="AG861" s="91"/>
    </row>
    <row r="862" ht="15.75" customHeight="1">
      <c r="B862" s="3"/>
      <c r="C862" s="3"/>
      <c r="H862" s="3"/>
      <c r="AG862" s="91"/>
    </row>
    <row r="863" ht="15.75" customHeight="1">
      <c r="B863" s="3"/>
      <c r="C863" s="3"/>
      <c r="H863" s="3"/>
      <c r="AG863" s="91"/>
    </row>
    <row r="864" ht="15.75" customHeight="1">
      <c r="B864" s="3"/>
      <c r="C864" s="3"/>
      <c r="H864" s="3"/>
      <c r="AG864" s="91"/>
    </row>
    <row r="865" ht="15.75" customHeight="1">
      <c r="B865" s="3"/>
      <c r="C865" s="3"/>
      <c r="H865" s="3"/>
      <c r="AG865" s="91"/>
    </row>
    <row r="866" ht="15.75" customHeight="1">
      <c r="B866" s="3"/>
      <c r="C866" s="3"/>
      <c r="H866" s="3"/>
      <c r="AG866" s="91"/>
    </row>
    <row r="867" ht="15.75" customHeight="1">
      <c r="B867" s="3"/>
      <c r="C867" s="3"/>
      <c r="H867" s="3"/>
      <c r="AG867" s="91"/>
    </row>
    <row r="868" ht="15.75" customHeight="1">
      <c r="B868" s="3"/>
      <c r="C868" s="3"/>
      <c r="H868" s="3"/>
      <c r="AG868" s="91"/>
    </row>
    <row r="869" ht="15.75" customHeight="1">
      <c r="B869" s="3"/>
      <c r="C869" s="3"/>
      <c r="H869" s="3"/>
      <c r="AG869" s="91"/>
    </row>
    <row r="870" ht="15.75" customHeight="1">
      <c r="B870" s="3"/>
      <c r="C870" s="3"/>
      <c r="H870" s="3"/>
      <c r="AG870" s="91"/>
    </row>
    <row r="871" ht="15.75" customHeight="1">
      <c r="B871" s="3"/>
      <c r="C871" s="3"/>
      <c r="H871" s="3"/>
      <c r="AG871" s="91"/>
    </row>
    <row r="872" ht="15.75" customHeight="1">
      <c r="B872" s="3"/>
      <c r="C872" s="3"/>
      <c r="H872" s="3"/>
      <c r="AG872" s="91"/>
    </row>
    <row r="873" ht="15.75" customHeight="1">
      <c r="B873" s="3"/>
      <c r="C873" s="3"/>
      <c r="H873" s="3"/>
      <c r="AG873" s="91"/>
    </row>
    <row r="874" ht="15.75" customHeight="1">
      <c r="B874" s="3"/>
      <c r="C874" s="3"/>
      <c r="H874" s="3"/>
      <c r="AG874" s="91"/>
    </row>
    <row r="875" ht="15.75" customHeight="1">
      <c r="B875" s="3"/>
      <c r="C875" s="3"/>
      <c r="H875" s="3"/>
      <c r="AG875" s="91"/>
    </row>
    <row r="876" ht="15.75" customHeight="1">
      <c r="B876" s="3"/>
      <c r="C876" s="3"/>
      <c r="H876" s="3"/>
      <c r="AG876" s="91"/>
    </row>
    <row r="877" ht="15.75" customHeight="1">
      <c r="B877" s="3"/>
      <c r="C877" s="3"/>
      <c r="H877" s="3"/>
      <c r="AG877" s="91"/>
    </row>
    <row r="878" ht="15.75" customHeight="1">
      <c r="B878" s="3"/>
      <c r="C878" s="3"/>
      <c r="H878" s="3"/>
      <c r="AG878" s="91"/>
    </row>
    <row r="879" ht="15.75" customHeight="1">
      <c r="B879" s="3"/>
      <c r="C879" s="3"/>
      <c r="H879" s="3"/>
      <c r="AG879" s="91"/>
    </row>
    <row r="880" ht="15.75" customHeight="1">
      <c r="B880" s="3"/>
      <c r="C880" s="3"/>
      <c r="H880" s="3"/>
      <c r="AG880" s="91"/>
    </row>
    <row r="881" ht="15.75" customHeight="1">
      <c r="B881" s="3"/>
      <c r="C881" s="3"/>
      <c r="H881" s="3"/>
      <c r="AG881" s="91"/>
    </row>
    <row r="882" ht="15.75" customHeight="1">
      <c r="B882" s="3"/>
      <c r="C882" s="3"/>
      <c r="H882" s="3"/>
      <c r="AG882" s="91"/>
    </row>
    <row r="883" ht="15.75" customHeight="1">
      <c r="B883" s="3"/>
      <c r="C883" s="3"/>
      <c r="H883" s="3"/>
      <c r="AG883" s="91"/>
    </row>
    <row r="884" ht="15.75" customHeight="1">
      <c r="B884" s="3"/>
      <c r="C884" s="3"/>
      <c r="H884" s="3"/>
      <c r="AG884" s="91"/>
    </row>
    <row r="885" ht="15.75" customHeight="1">
      <c r="B885" s="3"/>
      <c r="C885" s="3"/>
      <c r="H885" s="3"/>
      <c r="AG885" s="91"/>
    </row>
    <row r="886" ht="15.75" customHeight="1">
      <c r="B886" s="3"/>
      <c r="C886" s="3"/>
      <c r="H886" s="3"/>
      <c r="AG886" s="91"/>
    </row>
    <row r="887" ht="15.75" customHeight="1">
      <c r="B887" s="3"/>
      <c r="C887" s="3"/>
      <c r="H887" s="3"/>
      <c r="AG887" s="91"/>
    </row>
    <row r="888" ht="15.75" customHeight="1">
      <c r="B888" s="3"/>
      <c r="C888" s="3"/>
      <c r="H888" s="3"/>
      <c r="AG888" s="91"/>
    </row>
    <row r="889" ht="15.75" customHeight="1">
      <c r="B889" s="3"/>
      <c r="C889" s="3"/>
      <c r="H889" s="3"/>
      <c r="AG889" s="91"/>
    </row>
    <row r="890" ht="15.75" customHeight="1">
      <c r="B890" s="3"/>
      <c r="C890" s="3"/>
      <c r="H890" s="3"/>
      <c r="AG890" s="91"/>
    </row>
    <row r="891" ht="15.75" customHeight="1">
      <c r="B891" s="3"/>
      <c r="C891" s="3"/>
      <c r="H891" s="3"/>
      <c r="AG891" s="91"/>
    </row>
    <row r="892" ht="15.75" customHeight="1">
      <c r="B892" s="3"/>
      <c r="C892" s="3"/>
      <c r="H892" s="3"/>
      <c r="AG892" s="91"/>
    </row>
    <row r="893" ht="15.75" customHeight="1">
      <c r="B893" s="3"/>
      <c r="C893" s="3"/>
      <c r="H893" s="3"/>
      <c r="AG893" s="91"/>
    </row>
    <row r="894" ht="15.75" customHeight="1">
      <c r="B894" s="3"/>
      <c r="C894" s="3"/>
      <c r="H894" s="3"/>
      <c r="AG894" s="91"/>
    </row>
    <row r="895" ht="15.75" customHeight="1">
      <c r="B895" s="3"/>
      <c r="C895" s="3"/>
      <c r="H895" s="3"/>
      <c r="AG895" s="91"/>
    </row>
    <row r="896" ht="15.75" customHeight="1">
      <c r="B896" s="3"/>
      <c r="C896" s="3"/>
      <c r="H896" s="3"/>
      <c r="AG896" s="91"/>
    </row>
    <row r="897" ht="15.75" customHeight="1">
      <c r="B897" s="3"/>
      <c r="C897" s="3"/>
      <c r="H897" s="3"/>
      <c r="AG897" s="91"/>
    </row>
    <row r="898" ht="15.75" customHeight="1">
      <c r="B898" s="3"/>
      <c r="C898" s="3"/>
      <c r="H898" s="3"/>
      <c r="AG898" s="91"/>
    </row>
    <row r="899" ht="15.75" customHeight="1">
      <c r="B899" s="3"/>
      <c r="C899" s="3"/>
      <c r="H899" s="3"/>
      <c r="AG899" s="91"/>
    </row>
    <row r="900" ht="15.75" customHeight="1">
      <c r="B900" s="3"/>
      <c r="C900" s="3"/>
      <c r="H900" s="3"/>
      <c r="AG900" s="91"/>
    </row>
    <row r="901" ht="15.75" customHeight="1">
      <c r="B901" s="3"/>
      <c r="C901" s="3"/>
      <c r="H901" s="3"/>
      <c r="AG901" s="91"/>
    </row>
    <row r="902" ht="15.75" customHeight="1">
      <c r="B902" s="3"/>
      <c r="C902" s="3"/>
      <c r="H902" s="3"/>
      <c r="AG902" s="91"/>
    </row>
    <row r="903" ht="15.75" customHeight="1">
      <c r="B903" s="3"/>
      <c r="C903" s="3"/>
      <c r="H903" s="3"/>
      <c r="AG903" s="91"/>
    </row>
    <row r="904" ht="15.75" customHeight="1">
      <c r="B904" s="3"/>
      <c r="C904" s="3"/>
      <c r="H904" s="3"/>
      <c r="AG904" s="91"/>
    </row>
    <row r="905" ht="15.75" customHeight="1">
      <c r="B905" s="3"/>
      <c r="C905" s="3"/>
      <c r="H905" s="3"/>
      <c r="AG905" s="91"/>
    </row>
    <row r="906" ht="15.75" customHeight="1">
      <c r="B906" s="3"/>
      <c r="C906" s="3"/>
      <c r="H906" s="3"/>
      <c r="AG906" s="91"/>
    </row>
    <row r="907" ht="15.75" customHeight="1">
      <c r="B907" s="3"/>
      <c r="C907" s="3"/>
      <c r="H907" s="3"/>
      <c r="AG907" s="91"/>
    </row>
    <row r="908" ht="15.75" customHeight="1">
      <c r="B908" s="3"/>
      <c r="C908" s="3"/>
      <c r="H908" s="3"/>
      <c r="AG908" s="91"/>
    </row>
    <row r="909" ht="15.75" customHeight="1">
      <c r="B909" s="3"/>
      <c r="C909" s="3"/>
      <c r="H909" s="3"/>
      <c r="AG909" s="91"/>
    </row>
    <row r="910" ht="15.75" customHeight="1">
      <c r="B910" s="3"/>
      <c r="C910" s="3"/>
      <c r="H910" s="3"/>
      <c r="AG910" s="91"/>
    </row>
    <row r="911" ht="15.75" customHeight="1">
      <c r="B911" s="3"/>
      <c r="C911" s="3"/>
      <c r="H911" s="3"/>
      <c r="AG911" s="91"/>
    </row>
    <row r="912" ht="15.75" customHeight="1">
      <c r="B912" s="3"/>
      <c r="C912" s="3"/>
      <c r="H912" s="3"/>
      <c r="AG912" s="91"/>
    </row>
    <row r="913" ht="15.75" customHeight="1">
      <c r="B913" s="3"/>
      <c r="C913" s="3"/>
      <c r="H913" s="3"/>
      <c r="AG913" s="91"/>
    </row>
    <row r="914" ht="15.75" customHeight="1">
      <c r="B914" s="3"/>
      <c r="C914" s="3"/>
      <c r="H914" s="3"/>
      <c r="AG914" s="91"/>
    </row>
    <row r="915" ht="15.75" customHeight="1">
      <c r="B915" s="3"/>
      <c r="C915" s="3"/>
      <c r="H915" s="3"/>
      <c r="AG915" s="91"/>
    </row>
    <row r="916" ht="15.75" customHeight="1">
      <c r="B916" s="3"/>
      <c r="C916" s="3"/>
      <c r="H916" s="3"/>
      <c r="AG916" s="91"/>
    </row>
    <row r="917" ht="15.75" customHeight="1">
      <c r="B917" s="3"/>
      <c r="C917" s="3"/>
      <c r="H917" s="3"/>
      <c r="AG917" s="91"/>
    </row>
    <row r="918" ht="15.75" customHeight="1">
      <c r="B918" s="3"/>
      <c r="C918" s="3"/>
      <c r="H918" s="3"/>
      <c r="AG918" s="91"/>
    </row>
    <row r="919" ht="15.75" customHeight="1">
      <c r="B919" s="3"/>
      <c r="C919" s="3"/>
      <c r="H919" s="3"/>
      <c r="AG919" s="91"/>
    </row>
    <row r="920" ht="15.75" customHeight="1">
      <c r="B920" s="3"/>
      <c r="C920" s="3"/>
      <c r="H920" s="3"/>
      <c r="AG920" s="91"/>
    </row>
    <row r="921" ht="15.75" customHeight="1">
      <c r="B921" s="3"/>
      <c r="C921" s="3"/>
      <c r="H921" s="3"/>
      <c r="AG921" s="91"/>
    </row>
    <row r="922" ht="15.75" customHeight="1">
      <c r="B922" s="3"/>
      <c r="C922" s="3"/>
      <c r="H922" s="3"/>
      <c r="AG922" s="91"/>
    </row>
    <row r="923" ht="15.75" customHeight="1">
      <c r="B923" s="3"/>
      <c r="C923" s="3"/>
      <c r="H923" s="3"/>
      <c r="AG923" s="91"/>
    </row>
    <row r="924" ht="15.75" customHeight="1">
      <c r="B924" s="3"/>
      <c r="C924" s="3"/>
      <c r="H924" s="3"/>
      <c r="AG924" s="91"/>
    </row>
    <row r="925" ht="15.75" customHeight="1">
      <c r="B925" s="3"/>
      <c r="C925" s="3"/>
      <c r="H925" s="3"/>
      <c r="AG925" s="91"/>
    </row>
    <row r="926" ht="15.75" customHeight="1">
      <c r="B926" s="3"/>
      <c r="C926" s="3"/>
      <c r="H926" s="3"/>
      <c r="AG926" s="91"/>
    </row>
    <row r="927" ht="15.75" customHeight="1">
      <c r="B927" s="3"/>
      <c r="C927" s="3"/>
      <c r="H927" s="3"/>
      <c r="AG927" s="91"/>
    </row>
    <row r="928" ht="15.75" customHeight="1">
      <c r="B928" s="3"/>
      <c r="C928" s="3"/>
      <c r="H928" s="3"/>
      <c r="AG928" s="91"/>
    </row>
    <row r="929" ht="15.75" customHeight="1">
      <c r="B929" s="3"/>
      <c r="C929" s="3"/>
      <c r="H929" s="3"/>
      <c r="AG929" s="91"/>
    </row>
    <row r="930" ht="15.75" customHeight="1">
      <c r="B930" s="3"/>
      <c r="C930" s="3"/>
      <c r="H930" s="3"/>
      <c r="AG930" s="91"/>
    </row>
    <row r="931" ht="15.75" customHeight="1">
      <c r="B931" s="3"/>
      <c r="C931" s="3"/>
      <c r="H931" s="3"/>
      <c r="AG931" s="91"/>
    </row>
    <row r="932" ht="15.75" customHeight="1">
      <c r="B932" s="3"/>
      <c r="C932" s="3"/>
      <c r="H932" s="3"/>
      <c r="AG932" s="91"/>
    </row>
    <row r="933" ht="15.75" customHeight="1">
      <c r="B933" s="3"/>
      <c r="C933" s="3"/>
      <c r="H933" s="3"/>
      <c r="AG933" s="91"/>
    </row>
    <row r="934" ht="15.75" customHeight="1">
      <c r="B934" s="3"/>
      <c r="C934" s="3"/>
      <c r="H934" s="3"/>
      <c r="AG934" s="91"/>
    </row>
    <row r="935" ht="15.75" customHeight="1">
      <c r="B935" s="3"/>
      <c r="C935" s="3"/>
      <c r="H935" s="3"/>
      <c r="AG935" s="91"/>
    </row>
    <row r="936" ht="15.75" customHeight="1">
      <c r="B936" s="3"/>
      <c r="C936" s="3"/>
      <c r="H936" s="3"/>
      <c r="AG936" s="91"/>
    </row>
    <row r="937" ht="15.75" customHeight="1">
      <c r="B937" s="3"/>
      <c r="C937" s="3"/>
      <c r="H937" s="3"/>
      <c r="AG937" s="91"/>
    </row>
    <row r="938" ht="15.75" customHeight="1">
      <c r="B938" s="3"/>
      <c r="C938" s="3"/>
      <c r="H938" s="3"/>
      <c r="AG938" s="91"/>
    </row>
    <row r="939" ht="15.75" customHeight="1">
      <c r="B939" s="3"/>
      <c r="C939" s="3"/>
      <c r="H939" s="3"/>
      <c r="AG939" s="91"/>
    </row>
    <row r="940" ht="15.75" customHeight="1">
      <c r="B940" s="3"/>
      <c r="C940" s="3"/>
      <c r="H940" s="3"/>
      <c r="AG940" s="91"/>
    </row>
    <row r="941" ht="15.75" customHeight="1">
      <c r="B941" s="3"/>
      <c r="C941" s="3"/>
      <c r="H941" s="3"/>
      <c r="AG941" s="91"/>
    </row>
    <row r="942" ht="15.75" customHeight="1">
      <c r="B942" s="3"/>
      <c r="C942" s="3"/>
      <c r="H942" s="3"/>
      <c r="AG942" s="91"/>
    </row>
    <row r="943" ht="15.75" customHeight="1">
      <c r="B943" s="3"/>
      <c r="C943" s="3"/>
      <c r="H943" s="3"/>
      <c r="AG943" s="91"/>
    </row>
    <row r="944" ht="15.75" customHeight="1">
      <c r="B944" s="3"/>
      <c r="C944" s="3"/>
      <c r="H944" s="3"/>
      <c r="AG944" s="91"/>
    </row>
    <row r="945" ht="15.75" customHeight="1">
      <c r="B945" s="3"/>
      <c r="C945" s="3"/>
      <c r="H945" s="3"/>
      <c r="AG945" s="91"/>
    </row>
    <row r="946" ht="15.75" customHeight="1">
      <c r="B946" s="3"/>
      <c r="C946" s="3"/>
      <c r="H946" s="3"/>
      <c r="AG946" s="91"/>
    </row>
    <row r="947" ht="15.75" customHeight="1">
      <c r="B947" s="3"/>
      <c r="C947" s="3"/>
      <c r="H947" s="3"/>
      <c r="AG947" s="91"/>
    </row>
    <row r="948" ht="15.75" customHeight="1">
      <c r="B948" s="3"/>
      <c r="C948" s="3"/>
      <c r="H948" s="3"/>
      <c r="AG948" s="91"/>
    </row>
    <row r="949" ht="15.75" customHeight="1">
      <c r="B949" s="3"/>
      <c r="C949" s="3"/>
      <c r="H949" s="3"/>
      <c r="AG949" s="91"/>
    </row>
    <row r="950" ht="15.75" customHeight="1">
      <c r="B950" s="3"/>
      <c r="C950" s="3"/>
      <c r="H950" s="3"/>
      <c r="AG950" s="91"/>
    </row>
    <row r="951" ht="15.75" customHeight="1">
      <c r="B951" s="3"/>
      <c r="C951" s="3"/>
      <c r="H951" s="3"/>
      <c r="AG951" s="91"/>
    </row>
    <row r="952" ht="15.75" customHeight="1">
      <c r="B952" s="3"/>
      <c r="C952" s="3"/>
      <c r="H952" s="3"/>
      <c r="AG952" s="91"/>
    </row>
    <row r="953" ht="15.75" customHeight="1">
      <c r="B953" s="3"/>
      <c r="C953" s="3"/>
      <c r="H953" s="3"/>
      <c r="AG953" s="91"/>
    </row>
    <row r="954" ht="15.75" customHeight="1">
      <c r="B954" s="3"/>
      <c r="C954" s="3"/>
      <c r="H954" s="3"/>
      <c r="AG954" s="91"/>
    </row>
    <row r="955" ht="15.75" customHeight="1">
      <c r="B955" s="3"/>
      <c r="C955" s="3"/>
      <c r="H955" s="3"/>
      <c r="AG955" s="91"/>
    </row>
    <row r="956" ht="15.75" customHeight="1">
      <c r="B956" s="3"/>
      <c r="C956" s="3"/>
      <c r="H956" s="3"/>
      <c r="AG956" s="91"/>
    </row>
    <row r="957" ht="15.75" customHeight="1">
      <c r="B957" s="3"/>
      <c r="C957" s="3"/>
      <c r="H957" s="3"/>
      <c r="AG957" s="91"/>
    </row>
    <row r="958" ht="15.75" customHeight="1">
      <c r="B958" s="3"/>
      <c r="C958" s="3"/>
      <c r="H958" s="3"/>
      <c r="AG958" s="91"/>
    </row>
    <row r="959" ht="15.75" customHeight="1">
      <c r="B959" s="3"/>
      <c r="C959" s="3"/>
      <c r="H959" s="3"/>
      <c r="AG959" s="91"/>
    </row>
    <row r="960" ht="15.75" customHeight="1">
      <c r="B960" s="3"/>
      <c r="C960" s="3"/>
      <c r="H960" s="3"/>
      <c r="AG960" s="91"/>
    </row>
    <row r="961" ht="15.75" customHeight="1">
      <c r="B961" s="3"/>
      <c r="C961" s="3"/>
      <c r="H961" s="3"/>
      <c r="AG961" s="91"/>
    </row>
    <row r="962" ht="15.75" customHeight="1">
      <c r="B962" s="3"/>
      <c r="C962" s="3"/>
      <c r="H962" s="3"/>
      <c r="AG962" s="91"/>
    </row>
    <row r="963" ht="15.75" customHeight="1">
      <c r="B963" s="3"/>
      <c r="C963" s="3"/>
      <c r="H963" s="3"/>
      <c r="AG963" s="91"/>
    </row>
    <row r="964" ht="15.75" customHeight="1">
      <c r="B964" s="3"/>
      <c r="C964" s="3"/>
      <c r="H964" s="3"/>
      <c r="AG964" s="91"/>
    </row>
    <row r="965" ht="15.75" customHeight="1">
      <c r="B965" s="3"/>
      <c r="C965" s="3"/>
      <c r="H965" s="3"/>
      <c r="AG965" s="91"/>
    </row>
    <row r="966" ht="15.75" customHeight="1">
      <c r="B966" s="3"/>
      <c r="C966" s="3"/>
      <c r="H966" s="3"/>
      <c r="AG966" s="91"/>
    </row>
    <row r="967" ht="15.75" customHeight="1">
      <c r="B967" s="3"/>
      <c r="C967" s="3"/>
      <c r="H967" s="3"/>
      <c r="AG967" s="91"/>
    </row>
    <row r="968" ht="15.75" customHeight="1">
      <c r="B968" s="3"/>
      <c r="C968" s="3"/>
      <c r="H968" s="3"/>
      <c r="AG968" s="91"/>
    </row>
    <row r="969" ht="15.75" customHeight="1">
      <c r="B969" s="3"/>
      <c r="C969" s="3"/>
      <c r="H969" s="3"/>
      <c r="AG969" s="91"/>
    </row>
    <row r="970" ht="15.75" customHeight="1">
      <c r="B970" s="3"/>
      <c r="C970" s="3"/>
      <c r="H970" s="3"/>
      <c r="AG970" s="91"/>
    </row>
    <row r="971" ht="15.75" customHeight="1">
      <c r="B971" s="3"/>
      <c r="C971" s="3"/>
      <c r="H971" s="3"/>
      <c r="AG971" s="91"/>
    </row>
    <row r="972" ht="15.75" customHeight="1">
      <c r="B972" s="3"/>
      <c r="C972" s="3"/>
      <c r="H972" s="3"/>
      <c r="AG972" s="91"/>
    </row>
    <row r="973" ht="15.75" customHeight="1">
      <c r="B973" s="3"/>
      <c r="C973" s="3"/>
      <c r="H973" s="3"/>
      <c r="AG973" s="91"/>
    </row>
    <row r="974" ht="15.75" customHeight="1">
      <c r="B974" s="3"/>
      <c r="C974" s="3"/>
      <c r="H974" s="3"/>
      <c r="AG974" s="91"/>
    </row>
    <row r="975" ht="15.75" customHeight="1">
      <c r="B975" s="3"/>
      <c r="C975" s="3"/>
      <c r="H975" s="3"/>
      <c r="AG975" s="91"/>
    </row>
    <row r="976" ht="15.75" customHeight="1">
      <c r="B976" s="3"/>
      <c r="C976" s="3"/>
      <c r="H976" s="3"/>
      <c r="AG976" s="91"/>
    </row>
    <row r="977" ht="15.75" customHeight="1">
      <c r="B977" s="3"/>
      <c r="C977" s="3"/>
      <c r="H977" s="3"/>
      <c r="AG977" s="91"/>
    </row>
    <row r="978" ht="15.75" customHeight="1">
      <c r="B978" s="3"/>
      <c r="C978" s="3"/>
      <c r="H978" s="3"/>
      <c r="AG978" s="91"/>
    </row>
    <row r="979" ht="15.75" customHeight="1">
      <c r="B979" s="3"/>
      <c r="C979" s="3"/>
      <c r="H979" s="3"/>
      <c r="AG979" s="91"/>
    </row>
    <row r="980" ht="15.75" customHeight="1">
      <c r="B980" s="3"/>
      <c r="C980" s="3"/>
      <c r="H980" s="3"/>
      <c r="AG980" s="91"/>
    </row>
    <row r="981" ht="15.75" customHeight="1">
      <c r="B981" s="3"/>
      <c r="C981" s="3"/>
      <c r="H981" s="3"/>
      <c r="AG981" s="91"/>
    </row>
    <row r="982" ht="15.75" customHeight="1">
      <c r="B982" s="3"/>
      <c r="C982" s="3"/>
      <c r="H982" s="3"/>
      <c r="AG982" s="91"/>
    </row>
    <row r="983" ht="15.75" customHeight="1">
      <c r="B983" s="3"/>
      <c r="C983" s="3"/>
      <c r="H983" s="3"/>
      <c r="AG983" s="91"/>
    </row>
    <row r="984" ht="15.75" customHeight="1">
      <c r="B984" s="3"/>
      <c r="C984" s="3"/>
      <c r="H984" s="3"/>
      <c r="AG984" s="91"/>
    </row>
    <row r="985" ht="15.75" customHeight="1">
      <c r="B985" s="3"/>
      <c r="C985" s="3"/>
      <c r="H985" s="3"/>
      <c r="AG985" s="91"/>
    </row>
    <row r="986" ht="15.75" customHeight="1">
      <c r="B986" s="3"/>
      <c r="C986" s="3"/>
      <c r="H986" s="3"/>
      <c r="AG986" s="91"/>
    </row>
    <row r="987" ht="15.75" customHeight="1">
      <c r="B987" s="3"/>
      <c r="C987" s="3"/>
      <c r="H987" s="3"/>
      <c r="AG987" s="91"/>
    </row>
    <row r="988" ht="15.75" customHeight="1">
      <c r="B988" s="3"/>
      <c r="C988" s="3"/>
      <c r="H988" s="3"/>
      <c r="AG988" s="91"/>
    </row>
    <row r="989" ht="15.75" customHeight="1">
      <c r="B989" s="3"/>
      <c r="C989" s="3"/>
      <c r="H989" s="3"/>
      <c r="AG989" s="91"/>
    </row>
    <row r="990" ht="15.75" customHeight="1">
      <c r="B990" s="3"/>
      <c r="C990" s="3"/>
      <c r="H990" s="3"/>
      <c r="AG990" s="91"/>
    </row>
    <row r="991" ht="15.75" customHeight="1">
      <c r="B991" s="3"/>
      <c r="C991" s="3"/>
      <c r="H991" s="3"/>
      <c r="AG991" s="91"/>
    </row>
    <row r="992" ht="15.75" customHeight="1">
      <c r="B992" s="3"/>
      <c r="C992" s="3"/>
      <c r="H992" s="3"/>
      <c r="AG992" s="91"/>
    </row>
    <row r="993" ht="15.75" customHeight="1">
      <c r="B993" s="3"/>
      <c r="C993" s="3"/>
      <c r="H993" s="3"/>
      <c r="AG993" s="91"/>
    </row>
    <row r="994" ht="15.75" customHeight="1">
      <c r="B994" s="3"/>
      <c r="C994" s="3"/>
      <c r="H994" s="3"/>
      <c r="AG994" s="91"/>
    </row>
    <row r="995" ht="15.75" customHeight="1">
      <c r="B995" s="3"/>
      <c r="C995" s="3"/>
      <c r="H995" s="3"/>
      <c r="AG995" s="91"/>
    </row>
    <row r="996" ht="15.75" customHeight="1">
      <c r="B996" s="3"/>
      <c r="C996" s="3"/>
      <c r="H996" s="3"/>
      <c r="AG996" s="91"/>
    </row>
    <row r="997" ht="15.75" customHeight="1">
      <c r="B997" s="3"/>
      <c r="C997" s="3"/>
      <c r="H997" s="3"/>
      <c r="AG997" s="91"/>
    </row>
    <row r="998" ht="15.75" customHeight="1">
      <c r="B998" s="3"/>
      <c r="C998" s="3"/>
      <c r="H998" s="3"/>
      <c r="AG998" s="91"/>
    </row>
    <row r="999" ht="15.75" customHeight="1">
      <c r="B999" s="3"/>
      <c r="C999" s="3"/>
      <c r="H999" s="3"/>
      <c r="AG999" s="91"/>
    </row>
    <row r="1000" ht="15.75" customHeight="1">
      <c r="B1000" s="3"/>
      <c r="C1000" s="3"/>
      <c r="H1000" s="3"/>
      <c r="AG1000" s="91"/>
    </row>
  </sheetData>
  <autoFilter ref="$A$3:$AO$83"/>
  <mergeCells count="2">
    <mergeCell ref="AV5:BD5"/>
    <mergeCell ref="AV20:BA20"/>
  </mergeCells>
  <printOptions/>
  <pageMargins bottom="0.75" footer="0.0" header="0.0" left="0.7" right="0.7" top="0.75"/>
  <pageSetup fitToHeight="0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43"/>
    <col customWidth="1" min="3" max="3" width="11.71"/>
    <col customWidth="1" min="4" max="4" width="42.57"/>
    <col customWidth="1" min="5" max="5" width="13.14"/>
    <col customWidth="1" min="6" max="6" width="17.29"/>
    <col customWidth="1" min="7" max="7" width="11.71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3"/>
      <c r="C1" s="3"/>
      <c r="D1" s="97" t="s">
        <v>540</v>
      </c>
      <c r="E1" s="98">
        <f>+AI3</f>
        <v>5110.337</v>
      </c>
      <c r="F1" s="97" t="s">
        <v>241</v>
      </c>
      <c r="G1" s="98">
        <f>+$AM3</f>
        <v>468822.0167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22"/>
      <c r="C2" s="3"/>
      <c r="D2" s="97" t="s">
        <v>242</v>
      </c>
      <c r="E2" s="98">
        <f>+AH3</f>
        <v>4806.492</v>
      </c>
      <c r="F2" s="99" t="s">
        <v>243</v>
      </c>
      <c r="G2" s="100">
        <f>+Q2</f>
        <v>94.26516511</v>
      </c>
      <c r="H2" s="13"/>
      <c r="I2" s="184">
        <f>SUBTOTAL(9,I4:I1363)</f>
        <v>558.09</v>
      </c>
      <c r="J2" s="4"/>
      <c r="K2" s="14">
        <f>SUBTOTAL(9,K4:K1363)</f>
        <v>524.958</v>
      </c>
      <c r="L2" s="126">
        <f>+SUMPRODUCT(L5:L1363,K5:K1363)/K2</f>
        <v>0.2839329051</v>
      </c>
      <c r="M2" s="2"/>
      <c r="O2" s="6"/>
      <c r="P2" s="16">
        <f>+SUMPRODUCT(P4:P1363,AH4:AH1363)/SUM(AH4:AH1363)</f>
        <v>88.45681325</v>
      </c>
      <c r="Q2" s="16">
        <f>+SUMPRODUCT(Q4:Q1363,AH4:AH1363)/SUM(AH4:AH1363)</f>
        <v>94.26516511</v>
      </c>
      <c r="R2" s="12">
        <f>+SUMPRODUCT(R4:R1363,AH4:AH1363)/SUM(AH4:AH1363)</f>
        <v>4090.901057</v>
      </c>
      <c r="S2" s="2"/>
      <c r="AB2" s="7"/>
      <c r="AC2" s="7"/>
      <c r="AD2" s="7"/>
      <c r="AE2" s="7"/>
      <c r="AF2" s="7"/>
      <c r="AG2" s="17">
        <f>SUMPRODUCT($AG4:$AG1363,$K4:$K1363)/SUM($K4:$K1363)</f>
        <v>159.2074054</v>
      </c>
      <c r="AH2" s="18"/>
      <c r="AI2" s="2"/>
      <c r="AJ2" s="19">
        <v>4200.0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3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SUBTOTAL(9,AH4:AH1363)</f>
        <v>4806.492</v>
      </c>
      <c r="AI3" s="186">
        <f t="shared" si="1"/>
        <v>5110.337</v>
      </c>
      <c r="AJ3" s="187">
        <f>SUMPRODUCT(K4:K1363,AJ4:AJ1363)/K2</f>
        <v>65.73716588</v>
      </c>
      <c r="AK3" s="39">
        <f>SUBTOTAL(9,AK4:AK1363)</f>
        <v>4396.097196</v>
      </c>
      <c r="AL3" s="11"/>
      <c r="AM3" s="39">
        <f>SUBTOTAL(9,AM4:AM1363)</f>
        <v>468822.0167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3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92" t="s">
        <v>2061</v>
      </c>
      <c r="B5" s="182"/>
      <c r="C5" s="182">
        <v>45949.0</v>
      </c>
      <c r="D5" s="57" t="s">
        <v>74</v>
      </c>
      <c r="E5" s="3">
        <f t="array" ref="E5">XLOOKUP(D5,RUC!$B$3:$B$110,RUC!$D$3:$D$110)</f>
        <v>10082235774</v>
      </c>
      <c r="G5" s="141">
        <v>67.0</v>
      </c>
      <c r="H5" s="3" t="s">
        <v>47</v>
      </c>
      <c r="I5" s="6">
        <v>5.84</v>
      </c>
      <c r="J5" s="58">
        <v>1.2</v>
      </c>
      <c r="K5" s="6">
        <f t="shared" ref="K5:K112" si="2">ROUND(+I5-(I5*(J5/100)),3)</f>
        <v>5.77</v>
      </c>
      <c r="L5" s="3">
        <v>0.088</v>
      </c>
      <c r="M5" s="3">
        <v>0.081</v>
      </c>
      <c r="N5" s="62">
        <f>+M5</f>
        <v>0.081</v>
      </c>
      <c r="O5" s="60">
        <f t="shared" ref="O5:O14" si="3">+ROUND((M5+N5)/2,3)</f>
        <v>0.081</v>
      </c>
      <c r="P5" s="63">
        <v>85.0</v>
      </c>
      <c r="Q5" s="57">
        <v>95.45</v>
      </c>
      <c r="R5" s="65">
        <v>4294.35</v>
      </c>
      <c r="S5" s="133">
        <f t="array" ref="S5">IF((XLOOKUP(D5,RUC!$B$3:$B$106,RUC!$E$3:$E$106)+ROUNDDOWN(O5,1)*100)&lt;95,95,((XLOOKUP(D5,RUC!$B$3:$B$106,RUC!$E$3:$E$106)+ROUNDDOWN(O5,1)*100)))</f>
        <v>95</v>
      </c>
      <c r="U5" s="67">
        <f t="array" ref="U5">XLOOKUP(D5,RUC!$B$3:$B$110,RUC!$F$3:$F$110)</f>
        <v>80</v>
      </c>
      <c r="V5" s="67">
        <v>1.1023</v>
      </c>
      <c r="Y5" s="57" t="str">
        <f t="array" ref="Y5">XLOOKUP(D5,RUC!$B$3:$B$110,RUC!$G$3:$G$110)</f>
        <v/>
      </c>
      <c r="Z5" s="69">
        <f t="array" ref="Z5">XLOOKUP(D5,RUC!$B$3:$B$110,RUC!$H$3:$H$110)</f>
        <v>10</v>
      </c>
      <c r="AA5" s="70">
        <f t="shared" ref="AA5:AA112" si="4">+Y5+Z5</f>
        <v>10</v>
      </c>
      <c r="AB5" s="71">
        <v>0.001</v>
      </c>
      <c r="AC5" s="71">
        <f>+(S5-T5)*V5-'data 1'!$F$4</f>
        <v>24.7185</v>
      </c>
      <c r="AD5" s="71">
        <f t="shared" ref="AD5:AD112" si="5">+(Q5-P5)*(R5-U5)*L5*V5/100</f>
        <v>42.71981573</v>
      </c>
      <c r="AE5" s="71">
        <f t="shared" ref="AE5:AE112" si="6">+(Y5*V5-70)+V5*(Z5-IF(D5="UNTUCA",IF(+((W5-3)*2.5+(X5-3)*3.1)&gt;0,+((W5-3)*1.5+(X5-3)*3.1),0),IF(+((W5-3)*1.5+(X5-3)*3.1)&gt;0,+((W5-3)*1.5+(X5-3)*3.1),0)))</f>
        <v>-58.977</v>
      </c>
      <c r="AF5" s="71">
        <f t="shared" ref="AF5:AF112" si="7">(L5-O5)*(R5-U5)*Q5*V5/100</f>
        <v>31.03876129</v>
      </c>
      <c r="AG5" s="72">
        <f>AC5+AD5+AE5+AF5+70+204.1</f>
        <v>313.600077</v>
      </c>
      <c r="AH5" s="193">
        <f t="shared" ref="AH5:AH112" si="8">ROUND((31.1035*L5*Q5*1.1023*K5/100),3)</f>
        <v>16.617</v>
      </c>
      <c r="AI5" s="193">
        <f t="shared" ref="AI5:AI112" si="9">ROUND((31.1035*L5*1.1023*K5),3)</f>
        <v>17.409</v>
      </c>
      <c r="AJ5" s="73">
        <f t="shared" ref="AJ5:AJ112" si="10">+((+$AJ$2-R5+U5)*L5*Q5*V5)/100</f>
        <v>-1.328649148</v>
      </c>
      <c r="AK5" s="73">
        <f t="shared" ref="AK5:AK112" si="11">31.1035*1.1023*K5*P5*O5/100</f>
        <v>13.62036754</v>
      </c>
      <c r="AL5" s="11"/>
      <c r="AM5" s="51">
        <f t="shared" ref="AM5:AM112" si="12">+IF(AB5*K5&gt;0,AB5*K5,0)</f>
        <v>0.00577</v>
      </c>
      <c r="AN5" s="51" t="str">
        <f t="array" ref="AN5">XLOOKUP(D5,RUC!$B$3:$B$565,RUC!$M$3:$M$565)</f>
        <v>Melchor Vera</v>
      </c>
      <c r="AO5" s="131" t="s">
        <v>561</v>
      </c>
      <c r="AP5" s="57" t="s">
        <v>1643</v>
      </c>
      <c r="AQ5" s="57" t="s">
        <v>1644</v>
      </c>
      <c r="AV5" s="149" t="s">
        <v>2062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16" t="s">
        <v>2063</v>
      </c>
      <c r="B6" s="182">
        <v>45967.0</v>
      </c>
      <c r="C6" s="182">
        <v>45958.0</v>
      </c>
      <c r="D6" s="2" t="s">
        <v>602</v>
      </c>
      <c r="E6" s="3">
        <f t="array" ref="E6">XLOOKUP(D6,RUC!$B$3:$B$110,RUC!$D$3:$D$110)</f>
        <v>20169040231</v>
      </c>
      <c r="G6" s="141">
        <v>78.0</v>
      </c>
      <c r="H6" s="3" t="s">
        <v>71</v>
      </c>
      <c r="I6" s="6">
        <v>7.85</v>
      </c>
      <c r="J6" s="58">
        <v>2.75</v>
      </c>
      <c r="K6" s="6">
        <f t="shared" si="2"/>
        <v>7.634</v>
      </c>
      <c r="L6" s="3">
        <v>0.352</v>
      </c>
      <c r="M6" s="3">
        <v>0.334</v>
      </c>
      <c r="N6" s="75">
        <v>0.379</v>
      </c>
      <c r="O6" s="60">
        <f t="shared" si="3"/>
        <v>0.357</v>
      </c>
      <c r="P6" s="63">
        <v>84.0</v>
      </c>
      <c r="Q6" s="58">
        <v>84.66</v>
      </c>
      <c r="R6" s="65">
        <v>3948.5</v>
      </c>
      <c r="S6" s="66">
        <f t="array" ref="S6">IF((XLOOKUP(D6,RUC!$B$3:$B$106,RUC!$E$3:$E$106)+ROUNDDOWN(O6,1)*100)&lt;95,95,((XLOOKUP(D6,RUC!$B$3:$B$106,RUC!$E$3:$E$106)+ROUNDDOWN(O6,1)*100)))</f>
        <v>115</v>
      </c>
      <c r="U6" s="67">
        <f t="array" ref="U6">XLOOKUP(D6,RUC!$B$3:$B$110,RUC!$F$3:$F$110)</f>
        <v>120</v>
      </c>
      <c r="V6" s="67">
        <v>1.1023</v>
      </c>
      <c r="Y6" s="57">
        <f t="array" ref="Y6">XLOOKUP(D6,RUC!$B$3:$B$110,RUC!$G$3:$G$110)</f>
        <v>20</v>
      </c>
      <c r="Z6" s="140">
        <v>35.0</v>
      </c>
      <c r="AA6" s="70">
        <f t="shared" si="4"/>
        <v>55</v>
      </c>
      <c r="AB6" s="71">
        <f t="shared" ref="AB6:AB8" si="14">+((O6*P6*(R6-U6)/100)-S6-AA6+T6)*V6</f>
        <v>1078.149246</v>
      </c>
      <c r="AC6" s="71">
        <f>+(S6-T6)*V6-'data 1'!$F$4</f>
        <v>46.7645</v>
      </c>
      <c r="AD6" s="71">
        <f t="shared" si="5"/>
        <v>9.804265374</v>
      </c>
      <c r="AE6" s="71">
        <f t="shared" si="6"/>
        <v>-9.3735</v>
      </c>
      <c r="AF6" s="71">
        <f t="shared" si="7"/>
        <v>-17.86391844</v>
      </c>
      <c r="AG6" s="72">
        <f t="shared" ref="AG6:AG8" si="15">AC6+AD6+AE6+AF6+70-53</f>
        <v>46.33134693</v>
      </c>
      <c r="AH6" s="193">
        <f t="shared" si="8"/>
        <v>77.998</v>
      </c>
      <c r="AI6" s="193">
        <f t="shared" si="9"/>
        <v>92.131</v>
      </c>
      <c r="AJ6" s="73">
        <f t="shared" si="10"/>
        <v>122.0336365</v>
      </c>
      <c r="AK6" s="73">
        <f t="shared" si="11"/>
        <v>78.48898755</v>
      </c>
      <c r="AL6" s="11"/>
      <c r="AM6" s="51">
        <f t="shared" si="12"/>
        <v>8230.591347</v>
      </c>
      <c r="AN6" s="51" t="str">
        <f t="array" ref="AN6">XLOOKUP(D6,RUC!$B$3:$B$565,RUC!$M$3:$M$565)</f>
        <v>Ronald Miranda</v>
      </c>
      <c r="AO6" s="131" t="s">
        <v>558</v>
      </c>
      <c r="AP6" s="57" t="s">
        <v>1914</v>
      </c>
      <c r="AQ6" s="57" t="s">
        <v>1571</v>
      </c>
      <c r="AW6" s="195">
        <f>SUM(AW8:AW17)</f>
        <v>524.958</v>
      </c>
      <c r="AX6" s="196">
        <f>SUMPRODUCT(AW8:AW17,AX8:AX17)/SUM(AW8:AW17)</f>
        <v>0.2839329051</v>
      </c>
      <c r="AY6" s="197"/>
      <c r="AZ6" s="198">
        <f>SUMPRODUCT(AZ8:AZ17,$BB8:$BB17)/SUM($BB8:$BB17)/100</f>
        <v>0.9426516511</v>
      </c>
      <c r="BA6" s="82">
        <f t="shared" ref="BA6:BB6" si="13">SUM(BA8:BA17)</f>
        <v>5110.334802</v>
      </c>
      <c r="BB6" s="82">
        <f t="shared" si="13"/>
        <v>4806.492</v>
      </c>
    </row>
    <row r="7" ht="15.0" customHeight="1">
      <c r="A7" s="116" t="s">
        <v>2064</v>
      </c>
      <c r="B7" s="182">
        <v>45965.0</v>
      </c>
      <c r="C7" s="182">
        <v>45958.0</v>
      </c>
      <c r="D7" s="2" t="s">
        <v>602</v>
      </c>
      <c r="E7" s="3">
        <f t="array" ref="E7">XLOOKUP(D7,RUC!$B$3:$B$110,RUC!$D$3:$D$110)</f>
        <v>20169040231</v>
      </c>
      <c r="G7" s="141">
        <v>50.0</v>
      </c>
      <c r="H7" s="3" t="s">
        <v>71</v>
      </c>
      <c r="I7" s="6">
        <v>5.3</v>
      </c>
      <c r="J7" s="58">
        <v>4.15</v>
      </c>
      <c r="K7" s="6">
        <f t="shared" si="2"/>
        <v>5.08</v>
      </c>
      <c r="L7" s="3">
        <v>0.212</v>
      </c>
      <c r="M7" s="60">
        <v>0.197</v>
      </c>
      <c r="N7" s="62">
        <f>+M7</f>
        <v>0.197</v>
      </c>
      <c r="O7" s="60">
        <f t="shared" si="3"/>
        <v>0.197</v>
      </c>
      <c r="P7" s="63">
        <v>90.0</v>
      </c>
      <c r="Q7" s="58">
        <v>94.34</v>
      </c>
      <c r="R7" s="65">
        <v>3948.5</v>
      </c>
      <c r="S7" s="66">
        <f t="array" ref="S7">IF((XLOOKUP(D7,RUC!$B$3:$B$106,RUC!$E$3:$E$106)+ROUNDDOWN(O7,1)*100)&lt;95,95,((XLOOKUP(D7,RUC!$B$3:$B$106,RUC!$E$3:$E$106)+ROUNDDOWN(O7,1)*100)))</f>
        <v>95</v>
      </c>
      <c r="U7" s="67">
        <f t="array" ref="U7">XLOOKUP(D7,RUC!$B$3:$B$110,RUC!$F$3:$F$110)</f>
        <v>120</v>
      </c>
      <c r="V7" s="67">
        <v>1.1023</v>
      </c>
      <c r="Y7" s="57">
        <f t="array" ref="Y7">XLOOKUP(D7,RUC!$B$3:$B$110,RUC!$G$3:$G$110)</f>
        <v>20</v>
      </c>
      <c r="Z7" s="140">
        <v>35.0</v>
      </c>
      <c r="AA7" s="70">
        <f t="shared" si="4"/>
        <v>55</v>
      </c>
      <c r="AB7" s="71">
        <f t="shared" si="14"/>
        <v>582.888579</v>
      </c>
      <c r="AC7" s="71">
        <f>+(S7-T7)*V7-'data 1'!$F$4</f>
        <v>24.7185</v>
      </c>
      <c r="AD7" s="71">
        <f t="shared" si="5"/>
        <v>38.82880718</v>
      </c>
      <c r="AE7" s="71">
        <f t="shared" si="6"/>
        <v>-9.3735</v>
      </c>
      <c r="AF7" s="71">
        <f t="shared" si="7"/>
        <v>59.71942119</v>
      </c>
      <c r="AG7" s="72">
        <f t="shared" si="15"/>
        <v>130.8932284</v>
      </c>
      <c r="AH7" s="193">
        <f t="shared" si="8"/>
        <v>34.834</v>
      </c>
      <c r="AI7" s="193">
        <f t="shared" si="9"/>
        <v>36.924</v>
      </c>
      <c r="AJ7" s="73">
        <f t="shared" si="10"/>
        <v>81.9012176</v>
      </c>
      <c r="AK7" s="73">
        <f t="shared" si="11"/>
        <v>30.88030045</v>
      </c>
      <c r="AL7" s="11"/>
      <c r="AM7" s="51">
        <f t="shared" si="12"/>
        <v>2961.073981</v>
      </c>
      <c r="AN7" s="51" t="str">
        <f t="array" ref="AN7">XLOOKUP(D7,RUC!$B$3:$B$565,RUC!$M$3:$M$565)</f>
        <v>Ronald Miranda</v>
      </c>
      <c r="AO7" s="131" t="s">
        <v>558</v>
      </c>
      <c r="AP7" s="57" t="s">
        <v>1957</v>
      </c>
      <c r="AQ7" s="57" t="s">
        <v>1958</v>
      </c>
      <c r="AV7" s="3"/>
      <c r="AW7" s="3" t="s">
        <v>14</v>
      </c>
      <c r="AX7" s="3" t="s">
        <v>683</v>
      </c>
      <c r="AY7" s="143" t="s">
        <v>683</v>
      </c>
      <c r="AZ7" s="3" t="s">
        <v>685</v>
      </c>
      <c r="BA7" s="3" t="s">
        <v>686</v>
      </c>
      <c r="BB7" s="3" t="s">
        <v>687</v>
      </c>
      <c r="BC7" s="3" t="s">
        <v>698</v>
      </c>
      <c r="BD7" s="65" t="s">
        <v>699</v>
      </c>
    </row>
    <row r="8" ht="15.0" customHeight="1">
      <c r="A8" s="116" t="s">
        <v>2065</v>
      </c>
      <c r="B8" s="182">
        <v>45966.0</v>
      </c>
      <c r="C8" s="182">
        <v>45960.0</v>
      </c>
      <c r="D8" s="2" t="s">
        <v>730</v>
      </c>
      <c r="E8" s="3">
        <f t="array" ref="E8">XLOOKUP(D8,RUC!$B$3:$B$110,RUC!$D$3:$D$110)</f>
        <v>20613935151</v>
      </c>
      <c r="G8" s="141">
        <v>90.0</v>
      </c>
      <c r="H8" s="3" t="s">
        <v>47</v>
      </c>
      <c r="I8" s="6">
        <v>8.32</v>
      </c>
      <c r="J8" s="58">
        <v>1.2</v>
      </c>
      <c r="K8" s="6">
        <f t="shared" si="2"/>
        <v>8.22</v>
      </c>
      <c r="L8" s="60">
        <v>0.23</v>
      </c>
      <c r="M8" s="3">
        <v>0.215</v>
      </c>
      <c r="N8" s="75">
        <v>0.277</v>
      </c>
      <c r="O8" s="60">
        <f t="shared" si="3"/>
        <v>0.246</v>
      </c>
      <c r="P8" s="63">
        <v>90.0</v>
      </c>
      <c r="Q8" s="58">
        <v>95.65</v>
      </c>
      <c r="R8" s="65">
        <v>3994.15</v>
      </c>
      <c r="S8" s="66">
        <f t="array" ref="S8">IF((XLOOKUP(D8,RUC!$B$3:$B$106,RUC!$E$3:$E$106)+ROUNDDOWN(O8,1)*100)&lt;95,95,((XLOOKUP(D8,RUC!$B$3:$B$106,RUC!$E$3:$E$106)+ROUNDDOWN(O8,1)*100)))</f>
        <v>110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69">
        <f t="array" ref="Z8">XLOOKUP(D8,RUC!$B$3:$B$110,RUC!$H$3:$H$110)</f>
        <v>30</v>
      </c>
      <c r="AA8" s="70">
        <f t="shared" si="4"/>
        <v>50</v>
      </c>
      <c r="AB8" s="71">
        <f t="shared" si="14"/>
        <v>769.1152857</v>
      </c>
      <c r="AC8" s="71">
        <f>+(S8-T8)*V8-'data 1'!$F$4</f>
        <v>41.253</v>
      </c>
      <c r="AD8" s="71">
        <f t="shared" si="5"/>
        <v>55.49482971</v>
      </c>
      <c r="AE8" s="71">
        <f t="shared" si="6"/>
        <v>-14.885</v>
      </c>
      <c r="AF8" s="71">
        <f t="shared" si="7"/>
        <v>-65.35535774</v>
      </c>
      <c r="AG8" s="72">
        <f t="shared" si="15"/>
        <v>33.50747197</v>
      </c>
      <c r="AH8" s="193">
        <f t="shared" si="8"/>
        <v>62</v>
      </c>
      <c r="AI8" s="193">
        <f t="shared" si="9"/>
        <v>64.82</v>
      </c>
      <c r="AJ8" s="73">
        <f t="shared" si="10"/>
        <v>79.01878418</v>
      </c>
      <c r="AK8" s="73">
        <f t="shared" si="11"/>
        <v>62.396252</v>
      </c>
      <c r="AL8" s="11"/>
      <c r="AM8" s="51">
        <f t="shared" si="12"/>
        <v>6322.127648</v>
      </c>
      <c r="AN8" s="51" t="str">
        <f t="array" ref="AN8">XLOOKUP(D8,RUC!$B$3:$B$565,RUC!$M$3:$M$565)</f>
        <v>Dante </v>
      </c>
      <c r="AO8" s="131" t="s">
        <v>558</v>
      </c>
      <c r="AP8" s="57" t="s">
        <v>2066</v>
      </c>
      <c r="AQ8" s="57" t="s">
        <v>2067</v>
      </c>
      <c r="AV8" s="152" t="s">
        <v>558</v>
      </c>
      <c r="AW8" s="154">
        <f t="shared" ref="AW8:AW17" si="16">SUMIF($AO$4:$AO$1471,AV8,$K$4:$K$1471)</f>
        <v>91.001</v>
      </c>
      <c r="AX8" s="154">
        <f t="array" ref="AX8">+SUMPRODUCT(IF($AO$4:$AO$1471=AV8,$L$4:$L$1471*$K$4:$K$1471/AW8))</f>
        <v>0.2858412325</v>
      </c>
      <c r="AY8" s="155">
        <f t="shared" ref="AY8:AY17" si="17">31.1035*1.1023*AX8*(100-AZ8)/100</f>
        <v>0.7448169619</v>
      </c>
      <c r="AZ8" s="157">
        <f t="array" ref="AZ8">+SUMPRODUCT(IF($AO$4:$AO$1471=AV8,($Q$4:$Q$1471*$AH$4:$AH$1471)/SUMIF($AO$4:$AO$1471,$AV8,$AH$4:$AH$1471)))</f>
        <v>92.39996463</v>
      </c>
      <c r="BA8" s="200">
        <f t="shared" ref="BA8:BA17" si="18">+AX8*31.1035*1.1023*AW8</f>
        <v>891.8259597</v>
      </c>
      <c r="BB8" s="156">
        <f t="shared" ref="BB8:BB17" si="19">SUMIF($AO$4:$AO$571,$AV8,$AH$4:$AH$571)</f>
        <v>821.953</v>
      </c>
      <c r="BC8" s="157">
        <f>+BA8-BB8</f>
        <v>69.87295972</v>
      </c>
      <c r="BD8" s="158">
        <f>+AW8</f>
        <v>91.001</v>
      </c>
    </row>
    <row r="9" ht="15.0" customHeight="1">
      <c r="A9" s="192" t="s">
        <v>2068</v>
      </c>
      <c r="B9" s="182">
        <v>45967.0</v>
      </c>
      <c r="C9" s="182">
        <v>45962.0</v>
      </c>
      <c r="D9" s="57" t="s">
        <v>146</v>
      </c>
      <c r="E9" s="3">
        <f t="array" ref="E9">XLOOKUP(D9,RUC!$B$3:$B$110,RUC!$D$3:$D$110)</f>
        <v>20517242919</v>
      </c>
      <c r="G9" s="141">
        <v>27.0</v>
      </c>
      <c r="H9" s="3" t="s">
        <v>47</v>
      </c>
      <c r="I9" s="6">
        <v>2.35</v>
      </c>
      <c r="J9" s="58">
        <v>1.7</v>
      </c>
      <c r="K9" s="6">
        <f t="shared" si="2"/>
        <v>2.31</v>
      </c>
      <c r="L9" s="139">
        <v>0.093</v>
      </c>
      <c r="M9" s="3">
        <v>0.086</v>
      </c>
      <c r="N9" s="62">
        <f t="shared" ref="N9:N19" si="20">+M9</f>
        <v>0.086</v>
      </c>
      <c r="O9" s="60">
        <f t="shared" si="3"/>
        <v>0.086</v>
      </c>
      <c r="P9" s="63">
        <v>85.0</v>
      </c>
      <c r="Q9" s="58">
        <v>97.85</v>
      </c>
      <c r="R9" s="65">
        <v>4013.2</v>
      </c>
      <c r="S9" s="66">
        <f t="array" ref="S9">IF((XLOOKUP(D9,RUC!$B$3:$B$106,RUC!$E$3:$E$106)+ROUNDDOWN(O9,1)*100)&lt;95,95,((XLOOKUP(D9,RUC!$B$3:$B$106,RUC!$E$3:$E$106)+ROUNDDOWN(O9,1)*100)))</f>
        <v>95</v>
      </c>
      <c r="U9" s="67">
        <f t="array" ref="U9">XLOOKUP(D9,RUC!$B$3:$B$110,RUC!$F$3:$F$110)</f>
        <v>80</v>
      </c>
      <c r="V9" s="67">
        <v>1.1023</v>
      </c>
      <c r="Y9" s="57" t="str">
        <f t="array" ref="Y9">XLOOKUP(D9,RUC!$B$3:$B$110,RUC!$G$3:$G$110)</f>
        <v/>
      </c>
      <c r="Z9" s="69">
        <f t="array" ref="Z9">XLOOKUP(D9,RUC!$B$3:$B$110,RUC!$H$3:$H$110)</f>
        <v>10</v>
      </c>
      <c r="AA9" s="70">
        <f t="shared" si="4"/>
        <v>10</v>
      </c>
      <c r="AB9" s="71">
        <v>0.001</v>
      </c>
      <c r="AC9" s="71">
        <f>+(S9-T9)*V9-'data 1'!$F$4</f>
        <v>24.7185</v>
      </c>
      <c r="AD9" s="71">
        <f t="shared" si="5"/>
        <v>51.81218579</v>
      </c>
      <c r="AE9" s="71">
        <f t="shared" si="6"/>
        <v>-58.977</v>
      </c>
      <c r="AF9" s="71">
        <f t="shared" si="7"/>
        <v>29.69646178</v>
      </c>
      <c r="AG9" s="72">
        <f>AC9+AD9+AE9+AF9+70+219.83</f>
        <v>337.0801476</v>
      </c>
      <c r="AH9" s="193">
        <f t="shared" si="8"/>
        <v>7.207</v>
      </c>
      <c r="AI9" s="193">
        <f t="shared" si="9"/>
        <v>7.366</v>
      </c>
      <c r="AJ9" s="73">
        <f t="shared" si="10"/>
        <v>26.76266829</v>
      </c>
      <c r="AK9" s="73">
        <f t="shared" si="11"/>
        <v>5.789464912</v>
      </c>
      <c r="AL9" s="11"/>
      <c r="AM9" s="51">
        <f t="shared" si="12"/>
        <v>0.00231</v>
      </c>
      <c r="AN9" s="51" t="str">
        <f t="array" ref="AN9">XLOOKUP(D9,RUC!$B$3:$B$565,RUC!$M$3:$M$565)</f>
        <v>Melchor Vera</v>
      </c>
      <c r="AO9" s="131" t="s">
        <v>561</v>
      </c>
      <c r="AP9" s="57" t="s">
        <v>1988</v>
      </c>
      <c r="AQ9" s="57" t="s">
        <v>1989</v>
      </c>
      <c r="AV9" s="160" t="s">
        <v>551</v>
      </c>
      <c r="AW9" s="6">
        <f t="shared" si="16"/>
        <v>114.713</v>
      </c>
      <c r="AX9" s="6">
        <f t="array" ref="AX9">+SUMPRODUCT(IF($AO$4:$AO$1471=AV9,$L$4:$L$1471*$K$4:$K$1471/AW9))</f>
        <v>0.2890583979</v>
      </c>
      <c r="AY9" s="145">
        <f t="shared" si="17"/>
        <v>0.6190706214</v>
      </c>
      <c r="AZ9" s="58">
        <f t="array" ref="AZ9">+SUMPRODUCT(IF($AO$4:$AO$1471=AV9,($Q$4:$Q$1471*$AH$4:$AH$1471)/SUMIF($AO$4:$AO$1471,$AV9,$AH$4:$AH$1471)))</f>
        <v>93.75337358</v>
      </c>
      <c r="BA9" s="5">
        <f t="shared" si="18"/>
        <v>1136.860817</v>
      </c>
      <c r="BB9" s="65">
        <f t="shared" si="19"/>
        <v>1064.399</v>
      </c>
      <c r="BC9" s="58">
        <f t="shared" ref="BC9:BC17" si="21">+BC8+BA9-BB9</f>
        <v>142.3347764</v>
      </c>
      <c r="BD9" s="161">
        <f t="shared" ref="BD9:BD17" si="22">+BD8+AW9</f>
        <v>205.714</v>
      </c>
    </row>
    <row r="10" ht="15.0" customHeight="1">
      <c r="A10" s="116" t="s">
        <v>2069</v>
      </c>
      <c r="B10" s="182">
        <v>45971.0</v>
      </c>
      <c r="C10" s="182">
        <v>45967.0</v>
      </c>
      <c r="D10" s="57" t="s">
        <v>295</v>
      </c>
      <c r="E10" s="3">
        <f t="array" ref="E10">XLOOKUP(D10,RUC!$B$3:$B$110,RUC!$D$3:$D$110)</f>
        <v>20601769396</v>
      </c>
      <c r="G10" s="141">
        <v>40.0</v>
      </c>
      <c r="H10" s="3" t="s">
        <v>339</v>
      </c>
      <c r="I10" s="6">
        <v>3.33</v>
      </c>
      <c r="J10" s="58">
        <v>9.5</v>
      </c>
      <c r="K10" s="6">
        <f t="shared" si="2"/>
        <v>3.014</v>
      </c>
      <c r="L10" s="3">
        <v>0.167</v>
      </c>
      <c r="M10" s="60">
        <f t="shared" ref="M10:M11" si="23">ROUND(+IF(AN10="Melchor Vera",IF(L10&gt;0.467,L10*0.985,(L10-0.007)),IF(L10&gt;0.3,L10*0.95,(L10-0.015))),3)</f>
        <v>0.152</v>
      </c>
      <c r="N10" s="62">
        <f t="shared" si="20"/>
        <v>0.152</v>
      </c>
      <c r="O10" s="60">
        <f t="shared" si="3"/>
        <v>0.152</v>
      </c>
      <c r="P10" s="63">
        <v>90.0</v>
      </c>
      <c r="Q10" s="58">
        <v>92.81</v>
      </c>
      <c r="R10" s="65">
        <v>3986.5</v>
      </c>
      <c r="S10" s="66">
        <f t="array" ref="S10">IF((XLOOKUP(D10,RUC!$B$3:$B$106,RUC!$E$3:$E$106)+ROUNDDOWN(O10,1)*100)&lt;95,95,((XLOOKUP(D10,RUC!$B$3:$B$106,RUC!$E$3:$E$106)+ROUNDDOWN(O10,1)*100)))</f>
        <v>100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69">
        <f t="array" ref="Z10">XLOOKUP(D10,RUC!$B$3:$B$110,RUC!$H$3:$H$110)</f>
        <v>30</v>
      </c>
      <c r="AA10" s="70">
        <f t="shared" si="4"/>
        <v>50</v>
      </c>
      <c r="AB10" s="71">
        <f t="shared" ref="AB10:AB40" si="24">+((O10*P10*(R10-U10)/100)-S10-AA10+T10)*V10</f>
        <v>417.7024756</v>
      </c>
      <c r="AC10" s="71">
        <f>+(S10-T10)*V10-'data 1'!$F$4</f>
        <v>30.23</v>
      </c>
      <c r="AD10" s="71">
        <f t="shared" si="5"/>
        <v>20.00048895</v>
      </c>
      <c r="AE10" s="71">
        <f t="shared" si="6"/>
        <v>-14.885</v>
      </c>
      <c r="AF10" s="71">
        <f t="shared" si="7"/>
        <v>59.33403093</v>
      </c>
      <c r="AG10" s="72">
        <f t="shared" ref="AG10:AG11" si="25">AC10+AD10+AE10+AF10+70-53</f>
        <v>111.6795199</v>
      </c>
      <c r="AH10" s="193">
        <f t="shared" si="8"/>
        <v>16.016</v>
      </c>
      <c r="AI10" s="193">
        <f t="shared" si="9"/>
        <v>17.257</v>
      </c>
      <c r="AJ10" s="73">
        <f t="shared" si="10"/>
        <v>56.97795915</v>
      </c>
      <c r="AK10" s="73">
        <f t="shared" si="11"/>
        <v>14.13638663</v>
      </c>
      <c r="AL10" s="11"/>
      <c r="AM10" s="51">
        <f t="shared" si="12"/>
        <v>1258.955261</v>
      </c>
      <c r="AN10" s="51" t="str">
        <f t="array" ref="AN10">XLOOKUP(D10,RUC!$B$3:$B$565,RUC!$M$3:$M$565)</f>
        <v>Evelyn</v>
      </c>
      <c r="AO10" s="131" t="s">
        <v>558</v>
      </c>
      <c r="AP10" s="2" t="s">
        <v>736</v>
      </c>
      <c r="AQ10" s="2" t="s">
        <v>2028</v>
      </c>
      <c r="AV10" s="160" t="s">
        <v>547</v>
      </c>
      <c r="AW10" s="6">
        <f t="shared" si="16"/>
        <v>119.916</v>
      </c>
      <c r="AX10" s="6">
        <f t="array" ref="AX10">+SUMPRODUCT(IF($AO$4:$AO$1471=AV10,$L$4:$L$1471*$K$4:$K$1471/AW10))</f>
        <v>0.2808362103</v>
      </c>
      <c r="AY10" s="145">
        <f t="shared" si="17"/>
        <v>0.4118992251</v>
      </c>
      <c r="AZ10" s="58">
        <f t="array" ref="AZ10">+SUMPRODUCT(IF($AO$4:$AO$1471=AV10,($Q$4:$Q$1471*$AH$4:$AH$1471)/SUMIF($AO$4:$AO$1471,$AV10,$AH$4:$AH$1471)))</f>
        <v>95.72211799</v>
      </c>
      <c r="BA10" s="65">
        <f t="shared" si="18"/>
        <v>1154.620613</v>
      </c>
      <c r="BB10" s="65">
        <f t="shared" si="19"/>
        <v>1104.168</v>
      </c>
      <c r="BC10" s="58">
        <f t="shared" si="21"/>
        <v>192.7873899</v>
      </c>
      <c r="BD10" s="161">
        <f t="shared" si="22"/>
        <v>325.63</v>
      </c>
    </row>
    <row r="11" ht="15.0" customHeight="1">
      <c r="A11" s="116" t="s">
        <v>2070</v>
      </c>
      <c r="B11" s="182">
        <v>45971.0</v>
      </c>
      <c r="C11" s="182">
        <v>45967.0</v>
      </c>
      <c r="D11" s="57" t="s">
        <v>295</v>
      </c>
      <c r="E11" s="3">
        <f t="array" ref="E11">XLOOKUP(D11,RUC!$B$3:$B$110,RUC!$D$3:$D$110)</f>
        <v>20601769396</v>
      </c>
      <c r="G11" s="141">
        <v>50.0</v>
      </c>
      <c r="H11" s="3" t="s">
        <v>339</v>
      </c>
      <c r="I11" s="6">
        <v>4.09</v>
      </c>
      <c r="J11" s="58">
        <v>9.2</v>
      </c>
      <c r="K11" s="6">
        <f t="shared" si="2"/>
        <v>3.714</v>
      </c>
      <c r="L11" s="3">
        <v>0.152</v>
      </c>
      <c r="M11" s="60">
        <f t="shared" si="23"/>
        <v>0.137</v>
      </c>
      <c r="N11" s="62">
        <f t="shared" si="20"/>
        <v>0.137</v>
      </c>
      <c r="O11" s="60">
        <f t="shared" si="3"/>
        <v>0.137</v>
      </c>
      <c r="P11" s="63">
        <v>85.0</v>
      </c>
      <c r="Q11" s="58">
        <v>95.39</v>
      </c>
      <c r="R11" s="65">
        <v>3986.5</v>
      </c>
      <c r="S11" s="66">
        <f t="array" ref="S11">IF((XLOOKUP(D11,RUC!$B$3:$B$106,RUC!$E$3:$E$106)+ROUNDDOWN(O11,1)*100)&lt;95,95,((XLOOKUP(D11,RUC!$B$3:$B$106,RUC!$E$3:$E$106)+ROUNDDOWN(O11,1)*100)))</f>
        <v>100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4"/>
        <v>50</v>
      </c>
      <c r="AB11" s="71">
        <f t="shared" si="24"/>
        <v>330.9699015</v>
      </c>
      <c r="AC11" s="71">
        <f>+(S11-T11)*V11-'data 1'!$F$4</f>
        <v>30.23</v>
      </c>
      <c r="AD11" s="71">
        <f t="shared" si="5"/>
        <v>67.3095919</v>
      </c>
      <c r="AE11" s="71">
        <f t="shared" si="6"/>
        <v>-14.885</v>
      </c>
      <c r="AF11" s="71">
        <f t="shared" si="7"/>
        <v>60.98344155</v>
      </c>
      <c r="AG11" s="72">
        <f t="shared" si="25"/>
        <v>160.6380335</v>
      </c>
      <c r="AH11" s="193">
        <f t="shared" si="8"/>
        <v>18.463</v>
      </c>
      <c r="AI11" s="193">
        <f t="shared" si="9"/>
        <v>19.355</v>
      </c>
      <c r="AJ11" s="73">
        <f t="shared" si="10"/>
        <v>53.30182541</v>
      </c>
      <c r="AK11" s="73">
        <f t="shared" si="11"/>
        <v>14.82826919</v>
      </c>
      <c r="AL11" s="11"/>
      <c r="AM11" s="51">
        <f t="shared" si="12"/>
        <v>1229.222214</v>
      </c>
      <c r="AN11" s="51" t="str">
        <f t="array" ref="AN11">XLOOKUP(D11,RUC!$B$3:$B$565,RUC!$M$3:$M$565)</f>
        <v>Evelyn</v>
      </c>
      <c r="AO11" s="131" t="s">
        <v>558</v>
      </c>
      <c r="AP11" s="2" t="s">
        <v>736</v>
      </c>
      <c r="AQ11" s="2" t="s">
        <v>2028</v>
      </c>
      <c r="AV11" s="160" t="s">
        <v>549</v>
      </c>
      <c r="AW11" s="6">
        <f t="shared" si="16"/>
        <v>107.611</v>
      </c>
      <c r="AX11" s="6">
        <f t="array" ref="AX11">+SUMPRODUCT(IF($AO$4:$AO$1471=AV11,$L$4:$L$1471*$K$4:$K$1471/AW11))</f>
        <v>0.2816357807</v>
      </c>
      <c r="AY11" s="145">
        <f t="shared" si="17"/>
        <v>0.3545294144</v>
      </c>
      <c r="AZ11" s="58">
        <f t="array" ref="AZ11">+SUMPRODUCT(IF($AO$4:$AO$1471=AV11,($Q$4:$Q$1471*$AH$4:$AH$1471)/SUMIF($AO$4:$AO$1471,$AV11,$AH$4:$AH$1471)))</f>
        <v>96.32839989</v>
      </c>
      <c r="BA11" s="65">
        <f t="shared" si="18"/>
        <v>1039.090958</v>
      </c>
      <c r="BB11" s="65">
        <f t="shared" si="19"/>
        <v>998.41</v>
      </c>
      <c r="BC11" s="58">
        <f t="shared" si="21"/>
        <v>233.4683483</v>
      </c>
      <c r="BD11" s="161">
        <f t="shared" si="22"/>
        <v>433.241</v>
      </c>
    </row>
    <row r="12" ht="15.0" customHeight="1">
      <c r="A12" s="116" t="s">
        <v>2071</v>
      </c>
      <c r="B12" s="182">
        <v>45977.0</v>
      </c>
      <c r="C12" s="182">
        <v>45967.0</v>
      </c>
      <c r="D12" s="2" t="s">
        <v>306</v>
      </c>
      <c r="E12" s="3">
        <f t="array" ref="E12">XLOOKUP(D12,RUC!$B$3:$B$110,RUC!$D$3:$D$110)</f>
        <v>20612921866</v>
      </c>
      <c r="G12" s="141">
        <v>50.0</v>
      </c>
      <c r="H12" s="3" t="s">
        <v>47</v>
      </c>
      <c r="I12" s="6">
        <v>5.33</v>
      </c>
      <c r="J12" s="58">
        <v>1.25</v>
      </c>
      <c r="K12" s="6">
        <f t="shared" si="2"/>
        <v>5.263</v>
      </c>
      <c r="L12" s="3">
        <v>0.275</v>
      </c>
      <c r="M12" s="75">
        <v>0.264</v>
      </c>
      <c r="N12" s="62">
        <f t="shared" si="20"/>
        <v>0.264</v>
      </c>
      <c r="O12" s="60">
        <f t="shared" si="3"/>
        <v>0.264</v>
      </c>
      <c r="P12" s="63">
        <v>90.0</v>
      </c>
      <c r="Q12" s="57">
        <v>97.49</v>
      </c>
      <c r="R12" s="65">
        <v>3986.5</v>
      </c>
      <c r="S12" s="66">
        <f t="array" ref="S12">IF((XLOOKUP(D12,RUC!$B$3:$B$106,RUC!$E$3:$E$106)+ROUNDDOWN(O12,1)*100)&lt;95,95,((XLOOKUP(D12,RUC!$B$3:$B$106,RUC!$E$3:$E$106)+ROUNDDOWN(O12,1)*100)))</f>
        <v>100</v>
      </c>
      <c r="U12" s="67">
        <f t="array" ref="U12">XLOOKUP(D12,RUC!$B$3:$B$110,RUC!$F$3:$F$110)</f>
        <v>100</v>
      </c>
      <c r="V12" s="67">
        <v>1.1023</v>
      </c>
      <c r="Y12" s="57" t="str">
        <f t="array" ref="Y12">XLOOKUP(D12,RUC!$B$3:$B$110,RUC!$G$3:$G$110)</f>
        <v/>
      </c>
      <c r="Z12" s="69">
        <f t="array" ref="Z12">XLOOKUP(D12,RUC!$B$3:$B$110,RUC!$H$3:$H$110)</f>
        <v>30</v>
      </c>
      <c r="AA12" s="70">
        <f t="shared" si="4"/>
        <v>30</v>
      </c>
      <c r="AB12" s="71">
        <f t="shared" si="24"/>
        <v>874.6005345</v>
      </c>
      <c r="AC12" s="71">
        <f>+(S12-T12)*V12-'data 1'!$F$4</f>
        <v>30.23</v>
      </c>
      <c r="AD12" s="71">
        <f t="shared" si="5"/>
        <v>88.24152215</v>
      </c>
      <c r="AE12" s="71">
        <f t="shared" si="6"/>
        <v>-36.931</v>
      </c>
      <c r="AF12" s="71">
        <f t="shared" si="7"/>
        <v>45.94214149</v>
      </c>
      <c r="AG12" s="72">
        <f>AC12+AD12+AE12+AF12+70-10</f>
        <v>187.4826636</v>
      </c>
      <c r="AH12" s="193">
        <f t="shared" si="8"/>
        <v>48.377</v>
      </c>
      <c r="AI12" s="193">
        <f t="shared" si="9"/>
        <v>49.622</v>
      </c>
      <c r="AJ12" s="73">
        <f t="shared" si="10"/>
        <v>92.64673458</v>
      </c>
      <c r="AK12" s="73">
        <f t="shared" si="11"/>
        <v>42.87349376</v>
      </c>
      <c r="AM12" s="51">
        <f t="shared" si="12"/>
        <v>4603.022613</v>
      </c>
      <c r="AN12" s="51" t="str">
        <f t="array" ref="AN12">XLOOKUP(D12,RUC!$B$3:$B$565,RUC!$M$3:$M$565)</f>
        <v>Ronald Garibay</v>
      </c>
      <c r="AO12" s="131" t="s">
        <v>558</v>
      </c>
      <c r="AP12" s="57" t="s">
        <v>736</v>
      </c>
      <c r="AQ12" s="57" t="s">
        <v>1473</v>
      </c>
      <c r="AV12" s="160" t="s">
        <v>561</v>
      </c>
      <c r="AW12" s="6">
        <f t="shared" si="16"/>
        <v>91.717</v>
      </c>
      <c r="AX12" s="6">
        <f t="array" ref="AX12">+SUMPRODUCT(IF($AO$4:$AO$1471=AV12,$L$4:$L$1471*$K$4:$K$1471/AW12))</f>
        <v>0.2823728753</v>
      </c>
      <c r="AY12" s="145">
        <f t="shared" si="17"/>
        <v>0.7435831375</v>
      </c>
      <c r="AZ12" s="58">
        <f t="array" ref="AZ12">+SUMPRODUCT(IF($AO$4:$AO$1471=AV12,($Q$4:$Q$1471*$AH$4:$AH$1471)/SUMIF($AO$4:$AO$1471,$AV12,$AH$4:$AH$1471)))</f>
        <v>92.31935863</v>
      </c>
      <c r="BA12" s="65">
        <f t="shared" si="18"/>
        <v>887.9364539</v>
      </c>
      <c r="BB12" s="65">
        <f t="shared" si="19"/>
        <v>817.562</v>
      </c>
      <c r="BC12" s="58">
        <f t="shared" si="21"/>
        <v>303.8428022</v>
      </c>
      <c r="BD12" s="161">
        <f t="shared" si="22"/>
        <v>524.958</v>
      </c>
    </row>
    <row r="13" ht="15.0" customHeight="1">
      <c r="A13" s="116" t="s">
        <v>2072</v>
      </c>
      <c r="B13" s="182">
        <v>45975.0</v>
      </c>
      <c r="C13" s="182">
        <v>45968.0</v>
      </c>
      <c r="D13" s="57" t="s">
        <v>295</v>
      </c>
      <c r="E13" s="3">
        <f t="array" ref="E13">XLOOKUP(D13,RUC!$B$3:$B$110,RUC!$D$3:$D$110)</f>
        <v>20601769396</v>
      </c>
      <c r="G13" s="141">
        <v>34.0</v>
      </c>
      <c r="H13" s="3" t="s">
        <v>339</v>
      </c>
      <c r="I13" s="6">
        <v>2.53</v>
      </c>
      <c r="J13" s="58">
        <v>10.05</v>
      </c>
      <c r="K13" s="6">
        <f t="shared" si="2"/>
        <v>2.276</v>
      </c>
      <c r="L13" s="3">
        <v>0.182</v>
      </c>
      <c r="M13" s="60">
        <f>ROUND(+IF(AN13="Melchor Vera",IF(L13&gt;0.467,L13*0.985,(L13-0.007)),IF(L13&gt;0.3,L13*0.95,(L13-0.015))),3)</f>
        <v>0.167</v>
      </c>
      <c r="N13" s="62">
        <f t="shared" si="20"/>
        <v>0.167</v>
      </c>
      <c r="O13" s="60">
        <f t="shared" si="3"/>
        <v>0.167</v>
      </c>
      <c r="P13" s="63">
        <v>79.0</v>
      </c>
      <c r="Q13" s="2">
        <v>79.12</v>
      </c>
      <c r="R13" s="65">
        <v>3994.1</v>
      </c>
      <c r="S13" s="66">
        <f t="array" ref="S13">IF((XLOOKUP(D13,RUC!$B$3:$B$106,RUC!$E$3:$E$106)+ROUNDDOWN(O13,1)*100)&lt;95,95,((XLOOKUP(D13,RUC!$B$3:$B$106,RUC!$E$3:$E$106)+ROUNDDOWN(O13,1)*100)))</f>
        <v>100</v>
      </c>
      <c r="U13" s="67">
        <f t="array" ref="U13">XLOOKUP(D13,RUC!$B$3:$B$110,RUC!$F$3:$F$110)</f>
        <v>120</v>
      </c>
      <c r="V13" s="67">
        <v>1.1023</v>
      </c>
      <c r="Y13" s="57">
        <f t="array" ref="Y13">XLOOKUP(D13,RUC!$B$3:$B$110,RUC!$G$3:$G$110)</f>
        <v>20</v>
      </c>
      <c r="Z13" s="69">
        <f t="array" ref="Z13">XLOOKUP(D13,RUC!$B$3:$B$110,RUC!$H$3:$H$110)</f>
        <v>30</v>
      </c>
      <c r="AA13" s="70">
        <f t="shared" si="4"/>
        <v>50</v>
      </c>
      <c r="AB13" s="71">
        <f t="shared" si="24"/>
        <v>398.0515673</v>
      </c>
      <c r="AC13" s="71">
        <f>+(S13-T13)*V13-'data 1'!$F$4</f>
        <v>30.23</v>
      </c>
      <c r="AD13" s="71">
        <f t="shared" si="5"/>
        <v>0.9326598219</v>
      </c>
      <c r="AE13" s="71">
        <f t="shared" si="6"/>
        <v>-14.885</v>
      </c>
      <c r="AF13" s="71">
        <f t="shared" si="7"/>
        <v>50.68134966</v>
      </c>
      <c r="AG13" s="72">
        <f t="shared" ref="AG13:AG31" si="26">AC13+AD13+AE13+AF13+70-53</f>
        <v>83.95900949</v>
      </c>
      <c r="AH13" s="193">
        <f t="shared" si="8"/>
        <v>11.237</v>
      </c>
      <c r="AI13" s="193">
        <f t="shared" si="9"/>
        <v>14.202</v>
      </c>
      <c r="AJ13" s="73">
        <f t="shared" si="10"/>
        <v>51.7299233</v>
      </c>
      <c r="AK13" s="73">
        <f t="shared" si="11"/>
        <v>10.29496535</v>
      </c>
      <c r="AM13" s="51">
        <f t="shared" si="12"/>
        <v>905.9653672</v>
      </c>
      <c r="AN13" s="51" t="str">
        <f t="array" ref="AN13">XLOOKUP(D13,RUC!$B$3:$B$565,RUC!$M$3:$M$565)</f>
        <v>Evelyn</v>
      </c>
      <c r="AO13" s="131" t="s">
        <v>558</v>
      </c>
      <c r="AP13" s="57" t="s">
        <v>2033</v>
      </c>
      <c r="AQ13" s="57" t="s">
        <v>2038</v>
      </c>
      <c r="AV13" s="160" t="s">
        <v>689</v>
      </c>
      <c r="AW13" s="6">
        <f t="shared" si="16"/>
        <v>0</v>
      </c>
      <c r="AX13" s="6">
        <f t="array" ref="AX13">+SUMPRODUCT(IF($AO$4:$AO$1471=AV13,$L$4:$L$1471*$K$4:$K$1471/AW13))</f>
        <v>0</v>
      </c>
      <c r="AY13" s="145">
        <f t="shared" si="17"/>
        <v>0</v>
      </c>
      <c r="AZ13" s="58">
        <f t="array" ref="AZ13">+SUMPRODUCT(IF('32'!$AO$4:$AO$1363=AV13,('32'!$Q$4:$Q$1363*'32'!$AH$4:$AH$1363)/SUMIF('32'!$AO$4:$AO$1363,#REF!,'32'!$AH$4:$AH$1363)))</f>
        <v>0</v>
      </c>
      <c r="BA13" s="65">
        <f t="shared" si="18"/>
        <v>0</v>
      </c>
      <c r="BB13" s="65">
        <f t="shared" si="19"/>
        <v>0</v>
      </c>
      <c r="BC13" s="58">
        <f t="shared" si="21"/>
        <v>303.8428022</v>
      </c>
      <c r="BD13" s="161">
        <f t="shared" si="22"/>
        <v>524.958</v>
      </c>
    </row>
    <row r="14" ht="15.0" customHeight="1">
      <c r="A14" s="116" t="s">
        <v>2073</v>
      </c>
      <c r="B14" s="182">
        <v>45978.0</v>
      </c>
      <c r="C14" s="182">
        <v>45968.0</v>
      </c>
      <c r="D14" s="57" t="s">
        <v>295</v>
      </c>
      <c r="E14" s="3">
        <f t="array" ref="E14">XLOOKUP(D14,RUC!$B$3:$B$110,RUC!$D$3:$D$110)</f>
        <v>20601769396</v>
      </c>
      <c r="G14" s="141">
        <v>20.0</v>
      </c>
      <c r="H14" s="3" t="s">
        <v>339</v>
      </c>
      <c r="I14" s="6">
        <v>1.6</v>
      </c>
      <c r="J14" s="58">
        <v>9.87</v>
      </c>
      <c r="K14" s="6">
        <f t="shared" si="2"/>
        <v>1.442</v>
      </c>
      <c r="L14" s="3">
        <v>0.193</v>
      </c>
      <c r="M14" s="60">
        <f t="shared" ref="M14:M20" si="27">ROUND(+IF(AN14="Melchor Vera",IF(L14&gt;0.467,L14*0.985,(L14-0.007)),IF(L14&gt;0.3,L14*0.94,(L14-0.018))),3)</f>
        <v>0.175</v>
      </c>
      <c r="N14" s="62">
        <f t="shared" si="20"/>
        <v>0.175</v>
      </c>
      <c r="O14" s="60">
        <f t="shared" si="3"/>
        <v>0.175</v>
      </c>
      <c r="P14" s="63">
        <v>90.0</v>
      </c>
      <c r="Q14" s="57">
        <v>90.11</v>
      </c>
      <c r="R14" s="65">
        <v>3994.1</v>
      </c>
      <c r="S14" s="66">
        <f t="array" ref="S14">IF((XLOOKUP(D14,RUC!$B$3:$B$106,RUC!$E$3:$E$106)+ROUNDDOWN(O14,1)*100)&lt;95,95,((XLOOKUP(D14,RUC!$B$3:$B$106,RUC!$E$3:$E$106)+ROUNDDOWN(O14,1)*100)))</f>
        <v>100</v>
      </c>
      <c r="U14" s="67">
        <f t="array" ref="U14">XLOOKUP(D14,RUC!$B$3:$B$110,RUC!$F$3:$F$110)</f>
        <v>120</v>
      </c>
      <c r="V14" s="67">
        <v>1.1023</v>
      </c>
      <c r="Y14" s="57">
        <f t="array" ref="Y14">XLOOKUP(D14,RUC!$B$3:$B$110,RUC!$G$3:$G$110)</f>
        <v>20</v>
      </c>
      <c r="Z14" s="69">
        <f t="array" ref="Z14">XLOOKUP(D14,RUC!$B$3:$B$110,RUC!$H$3:$H$110)</f>
        <v>30</v>
      </c>
      <c r="AA14" s="70">
        <f t="shared" si="4"/>
        <v>50</v>
      </c>
      <c r="AB14" s="71">
        <f t="shared" si="24"/>
        <v>507.2462177</v>
      </c>
      <c r="AC14" s="71">
        <f>+(S14-T14)*V14-'data 1'!$F$4</f>
        <v>30.23</v>
      </c>
      <c r="AD14" s="71">
        <f t="shared" si="5"/>
        <v>0.9066102573</v>
      </c>
      <c r="AE14" s="71">
        <f t="shared" si="6"/>
        <v>-14.885</v>
      </c>
      <c r="AF14" s="71">
        <f t="shared" si="7"/>
        <v>69.26536529</v>
      </c>
      <c r="AG14" s="72">
        <f t="shared" si="26"/>
        <v>102.5169755</v>
      </c>
      <c r="AH14" s="193">
        <f t="shared" si="8"/>
        <v>8.598</v>
      </c>
      <c r="AI14" s="193">
        <f t="shared" si="9"/>
        <v>9.542</v>
      </c>
      <c r="AJ14" s="73">
        <f t="shared" si="10"/>
        <v>62.47617987</v>
      </c>
      <c r="AK14" s="73">
        <f t="shared" si="11"/>
        <v>7.786725907</v>
      </c>
      <c r="AM14" s="51">
        <f t="shared" si="12"/>
        <v>731.449046</v>
      </c>
      <c r="AN14" s="51" t="str">
        <f t="array" ref="AN14">XLOOKUP(D14,RUC!$B$3:$B$565,RUC!$M$3:$M$565)</f>
        <v>Evelyn</v>
      </c>
      <c r="AO14" s="131" t="s">
        <v>558</v>
      </c>
      <c r="AP14" s="57" t="s">
        <v>2033</v>
      </c>
      <c r="AQ14" s="57" t="s">
        <v>2038</v>
      </c>
      <c r="AV14" s="160" t="s">
        <v>690</v>
      </c>
      <c r="AW14" s="6">
        <f t="shared" si="16"/>
        <v>0</v>
      </c>
      <c r="AX14" s="6">
        <f t="array" ref="AX14">+SUMPRODUCT(IF($AO$4:$AO$1471=AV14,$L$4:$L$1471*$K$4:$K$1471/AW14))</f>
        <v>0</v>
      </c>
      <c r="AY14" s="145">
        <f t="shared" si="17"/>
        <v>0</v>
      </c>
      <c r="AZ14" s="58">
        <f t="array" ref="AZ14">+SUMPRODUCT(IF('32'!$AO$4:$AO$1363=AV14,('32'!$Q$4:$Q$1363*'32'!$AH$4:$AH$1363)/SUMIF('32'!$AO$4:$AO$1363,#REF!,'32'!$AH$4:$AH$1363)))</f>
        <v>0</v>
      </c>
      <c r="BA14" s="65">
        <f t="shared" si="18"/>
        <v>0</v>
      </c>
      <c r="BB14" s="65">
        <f t="shared" si="19"/>
        <v>0</v>
      </c>
      <c r="BC14" s="58">
        <f t="shared" si="21"/>
        <v>303.8428022</v>
      </c>
      <c r="BD14" s="161">
        <f t="shared" si="22"/>
        <v>524.958</v>
      </c>
    </row>
    <row r="15" ht="15.0" customHeight="1">
      <c r="A15" s="116" t="s">
        <v>2074</v>
      </c>
      <c r="B15" s="182">
        <v>45978.0</v>
      </c>
      <c r="C15" s="182">
        <v>45968.0</v>
      </c>
      <c r="D15" s="57" t="s">
        <v>295</v>
      </c>
      <c r="E15" s="3">
        <f t="array" ref="E15">XLOOKUP(D15,RUC!$B$3:$B$110,RUC!$D$3:$D$110)</f>
        <v>20601769396</v>
      </c>
      <c r="G15" s="141">
        <v>20.0</v>
      </c>
      <c r="H15" s="3" t="s">
        <v>339</v>
      </c>
      <c r="I15" s="6">
        <v>1.63</v>
      </c>
      <c r="J15" s="58">
        <v>11.23</v>
      </c>
      <c r="K15" s="6">
        <f t="shared" si="2"/>
        <v>1.447</v>
      </c>
      <c r="L15" s="3">
        <v>0.133</v>
      </c>
      <c r="M15" s="60">
        <f t="shared" si="27"/>
        <v>0.115</v>
      </c>
      <c r="N15" s="62">
        <f t="shared" si="20"/>
        <v>0.115</v>
      </c>
      <c r="O15" s="75">
        <v>0.117</v>
      </c>
      <c r="P15" s="63">
        <v>80.0</v>
      </c>
      <c r="Q15" s="57">
        <v>93.94</v>
      </c>
      <c r="R15" s="65">
        <v>3994.1</v>
      </c>
      <c r="S15" s="66">
        <f t="array" ref="S15">IF((XLOOKUP(D15,RUC!$B$3:$B$106,RUC!$E$3:$E$106)+ROUNDDOWN(O15,1)*100)&lt;95,95,((XLOOKUP(D15,RUC!$B$3:$B$106,RUC!$E$3:$E$106)+ROUNDDOWN(O15,1)*100)))</f>
        <v>100</v>
      </c>
      <c r="U15" s="67">
        <f t="array" ref="U15">XLOOKUP(D15,RUC!$B$3:$B$110,RUC!$F$3:$F$110)</f>
        <v>120</v>
      </c>
      <c r="V15" s="67">
        <v>1.1023</v>
      </c>
      <c r="Y15" s="57">
        <f t="array" ref="Y15">XLOOKUP(D15,RUC!$B$3:$B$110,RUC!$G$3:$G$110)</f>
        <v>20</v>
      </c>
      <c r="Z15" s="69">
        <f t="array" ref="Z15">XLOOKUP(D15,RUC!$B$3:$B$110,RUC!$H$3:$H$110)</f>
        <v>30</v>
      </c>
      <c r="AA15" s="70">
        <f t="shared" si="4"/>
        <v>50</v>
      </c>
      <c r="AB15" s="71">
        <f t="shared" si="24"/>
        <v>234.3663522</v>
      </c>
      <c r="AC15" s="71">
        <f>+(S15-T15)*V15-'data 1'!$F$4</f>
        <v>30.23</v>
      </c>
      <c r="AD15" s="71">
        <f t="shared" si="5"/>
        <v>79.17444886</v>
      </c>
      <c r="AE15" s="71">
        <f t="shared" si="6"/>
        <v>-14.885</v>
      </c>
      <c r="AF15" s="71">
        <f t="shared" si="7"/>
        <v>64.18612723</v>
      </c>
      <c r="AG15" s="72">
        <f t="shared" si="26"/>
        <v>175.7055761</v>
      </c>
      <c r="AH15" s="193">
        <f t="shared" si="8"/>
        <v>6.198</v>
      </c>
      <c r="AI15" s="193">
        <f t="shared" si="9"/>
        <v>6.598</v>
      </c>
      <c r="AJ15" s="73">
        <f t="shared" si="10"/>
        <v>44.88346372</v>
      </c>
      <c r="AK15" s="73">
        <f t="shared" si="11"/>
        <v>4.643585529</v>
      </c>
      <c r="AM15" s="51">
        <f t="shared" si="12"/>
        <v>339.1281117</v>
      </c>
      <c r="AN15" s="51" t="str">
        <f t="array" ref="AN15">XLOOKUP(D15,RUC!$B$3:$B$565,RUC!$M$3:$M$565)</f>
        <v>Evelyn</v>
      </c>
      <c r="AO15" s="131" t="s">
        <v>547</v>
      </c>
      <c r="AP15" s="57" t="s">
        <v>2033</v>
      </c>
      <c r="AQ15" s="57" t="s">
        <v>2038</v>
      </c>
      <c r="AV15" s="160" t="s">
        <v>691</v>
      </c>
      <c r="AW15" s="6">
        <f t="shared" si="16"/>
        <v>0</v>
      </c>
      <c r="AX15" s="6">
        <f t="array" ref="AX15">+SUMPRODUCT(IF($AO$4:$AO$1471=AV15,$L$4:$L$1471*$K$4:$K$1471/AW15))</f>
        <v>0</v>
      </c>
      <c r="AY15" s="145">
        <f t="shared" si="17"/>
        <v>0</v>
      </c>
      <c r="AZ15" s="58">
        <f t="array" ref="AZ15">+SUMPRODUCT(IF('32'!$AO$4:$AO$1363=AV15,('32'!$Q$4:$Q$1363*'32'!$AH$4:$AH$1363)/SUMIF('32'!$AO$4:$AO$1363,#REF!,'32'!$AH$4:$AH$1363)))</f>
        <v>0</v>
      </c>
      <c r="BA15" s="65">
        <f t="shared" si="18"/>
        <v>0</v>
      </c>
      <c r="BB15" s="65">
        <f t="shared" si="19"/>
        <v>0</v>
      </c>
      <c r="BC15" s="58">
        <f t="shared" si="21"/>
        <v>303.8428022</v>
      </c>
      <c r="BD15" s="161">
        <f t="shared" si="22"/>
        <v>524.958</v>
      </c>
    </row>
    <row r="16" ht="15.0" customHeight="1">
      <c r="A16" s="116" t="s">
        <v>2075</v>
      </c>
      <c r="B16" s="182">
        <v>45978.0</v>
      </c>
      <c r="C16" s="182">
        <v>45968.0</v>
      </c>
      <c r="D16" s="57" t="s">
        <v>295</v>
      </c>
      <c r="E16" s="3">
        <f t="array" ref="E16">XLOOKUP(D16,RUC!$B$3:$B$110,RUC!$D$3:$D$110)</f>
        <v>20601769396</v>
      </c>
      <c r="G16" s="141">
        <v>20.0</v>
      </c>
      <c r="H16" s="3" t="s">
        <v>339</v>
      </c>
      <c r="I16" s="6">
        <v>1.54</v>
      </c>
      <c r="J16" s="58">
        <v>9.4</v>
      </c>
      <c r="K16" s="6">
        <f t="shared" si="2"/>
        <v>1.395</v>
      </c>
      <c r="L16" s="3">
        <v>0.146</v>
      </c>
      <c r="M16" s="60">
        <f t="shared" si="27"/>
        <v>0.128</v>
      </c>
      <c r="N16" s="62">
        <f t="shared" si="20"/>
        <v>0.128</v>
      </c>
      <c r="O16" s="75">
        <v>0.138</v>
      </c>
      <c r="P16" s="63">
        <v>85.0</v>
      </c>
      <c r="Q16" s="57">
        <v>92.81</v>
      </c>
      <c r="R16" s="65">
        <v>3994.1</v>
      </c>
      <c r="S16" s="66">
        <f t="array" ref="S16">IF((XLOOKUP(D16,RUC!$B$3:$B$106,RUC!$E$3:$E$106)+ROUNDDOWN(O16,1)*100)&lt;95,95,((XLOOKUP(D16,RUC!$B$3:$B$106,RUC!$E$3:$E$106)+ROUNDDOWN(O16,1)*100)))</f>
        <v>100</v>
      </c>
      <c r="U16" s="67">
        <f t="array" ref="U16">XLOOKUP(D16,RUC!$B$3:$B$110,RUC!$F$3:$F$110)</f>
        <v>120</v>
      </c>
      <c r="V16" s="67">
        <v>1.1023</v>
      </c>
      <c r="Y16" s="57">
        <f t="array" ref="Y16">XLOOKUP(D16,RUC!$B$3:$B$110,RUC!$G$3:$G$110)</f>
        <v>20</v>
      </c>
      <c r="Z16" s="69">
        <f t="array" ref="Z16">XLOOKUP(D16,RUC!$B$3:$B$110,RUC!$H$3:$H$110)</f>
        <v>30</v>
      </c>
      <c r="AA16" s="70">
        <f t="shared" si="4"/>
        <v>50</v>
      </c>
      <c r="AB16" s="71">
        <f t="shared" si="24"/>
        <v>335.5753164</v>
      </c>
      <c r="AC16" s="71">
        <f>+(S16-T16)*V16-'data 1'!$F$4</f>
        <v>30.23</v>
      </c>
      <c r="AD16" s="71">
        <f t="shared" si="5"/>
        <v>48.693896</v>
      </c>
      <c r="AE16" s="71">
        <f t="shared" si="6"/>
        <v>-14.885</v>
      </c>
      <c r="AF16" s="71">
        <f t="shared" si="7"/>
        <v>31.70701761</v>
      </c>
      <c r="AG16" s="72">
        <f t="shared" si="26"/>
        <v>112.7459136</v>
      </c>
      <c r="AH16" s="193">
        <f t="shared" si="8"/>
        <v>6.481</v>
      </c>
      <c r="AI16" s="193">
        <f t="shared" si="9"/>
        <v>6.983</v>
      </c>
      <c r="AJ16" s="73">
        <f t="shared" si="10"/>
        <v>48.67789576</v>
      </c>
      <c r="AK16" s="73">
        <f t="shared" si="11"/>
        <v>5.610238045</v>
      </c>
      <c r="AM16" s="51">
        <f t="shared" si="12"/>
        <v>468.1275664</v>
      </c>
      <c r="AN16" s="51" t="str">
        <f t="array" ref="AN16">XLOOKUP(D16,RUC!$B$3:$B$565,RUC!$M$3:$M$565)</f>
        <v>Evelyn</v>
      </c>
      <c r="AO16" s="131" t="s">
        <v>558</v>
      </c>
      <c r="AP16" s="57" t="s">
        <v>2033</v>
      </c>
      <c r="AQ16" s="57" t="s">
        <v>2038</v>
      </c>
      <c r="AV16" s="160" t="s">
        <v>692</v>
      </c>
      <c r="AW16" s="6">
        <f t="shared" si="16"/>
        <v>0</v>
      </c>
      <c r="AX16" s="6">
        <f t="array" ref="AX16">+SUMPRODUCT(IF($AO$4:$AO$1471=AV16,$L$4:$L$1471*$K$4:$K$1471/AW16))</f>
        <v>0</v>
      </c>
      <c r="AY16" s="145">
        <f t="shared" si="17"/>
        <v>0</v>
      </c>
      <c r="AZ16" s="58">
        <f t="array" ref="AZ16">+SUMPRODUCT(IF('32'!$AO$4:$AO$1363=AV16,('32'!$Q$4:$Q$1363*'32'!$AH$4:$AH$1363)/SUMIF('32'!$AO$4:$AO$1363,#REF!,'32'!$AH$4:$AH$1363)))</f>
        <v>0</v>
      </c>
      <c r="BA16" s="65">
        <f t="shared" si="18"/>
        <v>0</v>
      </c>
      <c r="BB16" s="65">
        <f t="shared" si="19"/>
        <v>0</v>
      </c>
      <c r="BC16" s="58">
        <f t="shared" si="21"/>
        <v>303.8428022</v>
      </c>
      <c r="BD16" s="161">
        <f t="shared" si="22"/>
        <v>524.958</v>
      </c>
    </row>
    <row r="17" ht="15.0" customHeight="1">
      <c r="A17" s="116" t="s">
        <v>2076</v>
      </c>
      <c r="B17" s="182">
        <v>45978.0</v>
      </c>
      <c r="C17" s="182">
        <v>45968.0</v>
      </c>
      <c r="D17" s="57" t="s">
        <v>295</v>
      </c>
      <c r="E17" s="3">
        <f t="array" ref="E17">XLOOKUP(D17,RUC!$B$3:$B$110,RUC!$D$3:$D$110)</f>
        <v>20601769396</v>
      </c>
      <c r="G17" s="141">
        <v>20.0</v>
      </c>
      <c r="H17" s="3" t="s">
        <v>339</v>
      </c>
      <c r="I17" s="6">
        <v>1.54</v>
      </c>
      <c r="J17" s="58">
        <v>8.63</v>
      </c>
      <c r="K17" s="6">
        <f t="shared" si="2"/>
        <v>1.407</v>
      </c>
      <c r="L17" s="3">
        <v>0.126</v>
      </c>
      <c r="M17" s="60">
        <f t="shared" si="27"/>
        <v>0.108</v>
      </c>
      <c r="N17" s="62">
        <f t="shared" si="20"/>
        <v>0.108</v>
      </c>
      <c r="O17" s="60">
        <f>+ROUND((M17+N17)/2,3)</f>
        <v>0.108</v>
      </c>
      <c r="P17" s="63">
        <v>80.0</v>
      </c>
      <c r="Q17" s="57">
        <v>92.66</v>
      </c>
      <c r="R17" s="65">
        <v>3994.1</v>
      </c>
      <c r="S17" s="66">
        <f t="array" ref="S17">IF((XLOOKUP(D17,RUC!$B$3:$B$106,RUC!$E$3:$E$106)+ROUNDDOWN(O17,1)*100)&lt;95,95,((XLOOKUP(D17,RUC!$B$3:$B$106,RUC!$E$3:$E$106)+ROUNDDOWN(O17,1)*100)))</f>
        <v>100</v>
      </c>
      <c r="U17" s="67">
        <f t="array" ref="U17">XLOOKUP(D17,RUC!$B$3:$B$110,RUC!$F$3:$F$110)</f>
        <v>120</v>
      </c>
      <c r="V17" s="67">
        <v>1.1023</v>
      </c>
      <c r="Y17" s="57">
        <f t="array" ref="Y17">XLOOKUP(D17,RUC!$B$3:$B$110,RUC!$G$3:$G$110)</f>
        <v>20</v>
      </c>
      <c r="Z17" s="69">
        <f t="array" ref="Z17">XLOOKUP(D17,RUC!$B$3:$B$110,RUC!$H$3:$H$110)</f>
        <v>30</v>
      </c>
      <c r="AA17" s="70">
        <f t="shared" si="4"/>
        <v>50</v>
      </c>
      <c r="AB17" s="71">
        <f t="shared" si="24"/>
        <v>203.6193252</v>
      </c>
      <c r="AC17" s="71">
        <f>+(S17-T17)*V17-'data 1'!$F$4</f>
        <v>30.23</v>
      </c>
      <c r="AD17" s="71">
        <f t="shared" si="5"/>
        <v>68.12003853</v>
      </c>
      <c r="AE17" s="71">
        <f t="shared" si="6"/>
        <v>-14.885</v>
      </c>
      <c r="AF17" s="71">
        <f t="shared" si="7"/>
        <v>71.22548827</v>
      </c>
      <c r="AG17" s="72">
        <f t="shared" si="26"/>
        <v>171.6905268</v>
      </c>
      <c r="AH17" s="193">
        <f t="shared" si="8"/>
        <v>5.632</v>
      </c>
      <c r="AI17" s="193">
        <f t="shared" si="9"/>
        <v>6.078</v>
      </c>
      <c r="AJ17" s="73">
        <f t="shared" si="10"/>
        <v>41.94179458</v>
      </c>
      <c r="AK17" s="73">
        <f t="shared" si="11"/>
        <v>4.167896341</v>
      </c>
      <c r="AM17" s="51">
        <f t="shared" si="12"/>
        <v>286.4923905</v>
      </c>
      <c r="AN17" s="51" t="str">
        <f t="array" ref="AN17">XLOOKUP(D17,RUC!$B$3:$B$565,RUC!$M$3:$M$565)</f>
        <v>Evelyn</v>
      </c>
      <c r="AO17" s="131" t="s">
        <v>547</v>
      </c>
      <c r="AP17" s="57" t="s">
        <v>2033</v>
      </c>
      <c r="AQ17" s="57" t="s">
        <v>2038</v>
      </c>
      <c r="AV17" s="163" t="s">
        <v>693</v>
      </c>
      <c r="AW17" s="165">
        <f t="shared" si="16"/>
        <v>0</v>
      </c>
      <c r="AX17" s="165">
        <f t="array" ref="AX17">+SUMPRODUCT(IF('32'!$AO$4:$AO$1363=AV17,'32'!$L$4:$L$1363*'32'!$K$4:$K$1363/AW17))</f>
        <v>0</v>
      </c>
      <c r="AY17" s="166">
        <f t="shared" si="17"/>
        <v>0</v>
      </c>
      <c r="AZ17" s="168">
        <f t="array" ref="AZ17">+SUMPRODUCT(IF('32'!$AO$4:$AO$1363=AV17,('32'!$Q$4:$Q$1363*'32'!$AH$4:$AH$1363)/SUMIF('32'!$AO$4:$AO$1363,#REF!,'32'!$AH$4:$AH$1363)))</f>
        <v>0</v>
      </c>
      <c r="BA17" s="167">
        <f t="shared" si="18"/>
        <v>0</v>
      </c>
      <c r="BB17" s="167">
        <f t="shared" si="19"/>
        <v>0</v>
      </c>
      <c r="BC17" s="168">
        <f t="shared" si="21"/>
        <v>303.8428022</v>
      </c>
      <c r="BD17" s="169">
        <f t="shared" si="22"/>
        <v>524.958</v>
      </c>
    </row>
    <row r="18" ht="15.0" customHeight="1">
      <c r="A18" s="116" t="s">
        <v>2077</v>
      </c>
      <c r="B18" s="182">
        <v>45978.0</v>
      </c>
      <c r="C18" s="182">
        <v>45968.0</v>
      </c>
      <c r="D18" s="57" t="s">
        <v>295</v>
      </c>
      <c r="E18" s="3">
        <f t="array" ref="E18">XLOOKUP(D18,RUC!$B$3:$B$110,RUC!$D$3:$D$110)</f>
        <v>20601769396</v>
      </c>
      <c r="G18" s="141">
        <v>17.0</v>
      </c>
      <c r="H18" s="3" t="s">
        <v>339</v>
      </c>
      <c r="I18" s="6">
        <v>1.14</v>
      </c>
      <c r="J18" s="58">
        <v>4.93</v>
      </c>
      <c r="K18" s="6">
        <f t="shared" si="2"/>
        <v>1.084</v>
      </c>
      <c r="L18" s="3">
        <v>0.118</v>
      </c>
      <c r="M18" s="60">
        <f t="shared" si="27"/>
        <v>0.1</v>
      </c>
      <c r="N18" s="62">
        <f t="shared" si="20"/>
        <v>0.1</v>
      </c>
      <c r="O18" s="75">
        <v>0.117</v>
      </c>
      <c r="P18" s="63">
        <v>80.0</v>
      </c>
      <c r="Q18" s="57">
        <v>85.61</v>
      </c>
      <c r="R18" s="65">
        <v>3994.1</v>
      </c>
      <c r="S18" s="66">
        <f t="array" ref="S18">IF((XLOOKUP(D18,RUC!$B$3:$B$106,RUC!$E$3:$E$106)+ROUNDDOWN(O18,1)*100)&lt;95,95,((XLOOKUP(D18,RUC!$B$3:$B$106,RUC!$E$3:$E$106)+ROUNDDOWN(O18,1)*100)))</f>
        <v>100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69">
        <f t="array" ref="Z18">XLOOKUP(D18,RUC!$B$3:$B$110,RUC!$H$3:$H$110)</f>
        <v>30</v>
      </c>
      <c r="AA18" s="70">
        <f t="shared" si="4"/>
        <v>50</v>
      </c>
      <c r="AB18" s="71">
        <f t="shared" si="24"/>
        <v>234.3663522</v>
      </c>
      <c r="AC18" s="71">
        <f>+(S18-T18)*V18-'data 1'!$F$4</f>
        <v>30.23</v>
      </c>
      <c r="AD18" s="71">
        <f t="shared" si="5"/>
        <v>28.26932916</v>
      </c>
      <c r="AE18" s="71">
        <f t="shared" si="6"/>
        <v>-14.885</v>
      </c>
      <c r="AF18" s="71">
        <f t="shared" si="7"/>
        <v>3.65590693</v>
      </c>
      <c r="AG18" s="72">
        <f t="shared" si="26"/>
        <v>64.27023609</v>
      </c>
      <c r="AH18" s="193">
        <f t="shared" si="8"/>
        <v>3.754</v>
      </c>
      <c r="AI18" s="193">
        <f t="shared" si="9"/>
        <v>4.386</v>
      </c>
      <c r="AJ18" s="73">
        <f t="shared" si="10"/>
        <v>36.29030951</v>
      </c>
      <c r="AK18" s="73">
        <f t="shared" si="11"/>
        <v>3.478677756</v>
      </c>
      <c r="AM18" s="51">
        <f t="shared" si="12"/>
        <v>254.0531258</v>
      </c>
      <c r="AN18" s="51" t="str">
        <f t="array" ref="AN18">XLOOKUP(D18,RUC!$B$3:$B$565,RUC!$M$3:$M$565)</f>
        <v>Evelyn</v>
      </c>
      <c r="AO18" s="131" t="s">
        <v>547</v>
      </c>
      <c r="AP18" s="57" t="s">
        <v>2033</v>
      </c>
      <c r="AQ18" s="57" t="s">
        <v>2038</v>
      </c>
    </row>
    <row r="19" ht="15.0" customHeight="1">
      <c r="A19" s="116" t="s">
        <v>2078</v>
      </c>
      <c r="B19" s="182">
        <v>45978.0</v>
      </c>
      <c r="C19" s="182">
        <v>45969.0</v>
      </c>
      <c r="D19" s="57" t="s">
        <v>225</v>
      </c>
      <c r="E19" s="3">
        <f t="array" ref="E19">XLOOKUP(D19,RUC!$B$3:$B$110,RUC!$D$3:$D$110)</f>
        <v>10761932735</v>
      </c>
      <c r="G19" s="141">
        <v>12.0</v>
      </c>
      <c r="H19" s="3" t="s">
        <v>47</v>
      </c>
      <c r="I19" s="6">
        <v>1.17</v>
      </c>
      <c r="J19" s="58">
        <v>13.0</v>
      </c>
      <c r="K19" s="6">
        <f t="shared" si="2"/>
        <v>1.018</v>
      </c>
      <c r="L19" s="3">
        <v>0.163</v>
      </c>
      <c r="M19" s="60">
        <f t="shared" si="27"/>
        <v>0.145</v>
      </c>
      <c r="N19" s="62">
        <f t="shared" si="20"/>
        <v>0.145</v>
      </c>
      <c r="O19" s="60">
        <f t="shared" ref="O19:O35" si="28">+ROUND((M19+N19)/2,3)</f>
        <v>0.145</v>
      </c>
      <c r="P19" s="63">
        <v>85.0</v>
      </c>
      <c r="Q19" s="57">
        <v>98.77</v>
      </c>
      <c r="R19" s="65">
        <v>3994.1</v>
      </c>
      <c r="S19" s="66">
        <f t="array" ref="S19">IF((XLOOKUP(D19,RUC!$B$3:$B$106,RUC!$E$3:$E$106)+ROUNDDOWN(O19,1)*100)&lt;95,95,((XLOOKUP(D19,RUC!$B$3:$B$106,RUC!$E$3:$E$106)+ROUNDDOWN(O19,1)*100)))</f>
        <v>100</v>
      </c>
      <c r="U19" s="67">
        <f t="array" ref="U19">XLOOKUP(D19,RUC!$B$3:$B$110,RUC!$F$3:$F$110)</f>
        <v>120</v>
      </c>
      <c r="V19" s="67">
        <v>1.1023</v>
      </c>
      <c r="Y19" s="57">
        <f t="array" ref="Y19">XLOOKUP(D19,RUC!$B$3:$B$110,RUC!$G$3:$G$110)</f>
        <v>20</v>
      </c>
      <c r="Z19" s="69">
        <f t="array" ref="Z19">XLOOKUP(D19,RUC!$B$3:$B$110,RUC!$H$3:$H$110)</f>
        <v>30</v>
      </c>
      <c r="AA19" s="70">
        <f t="shared" si="4"/>
        <v>50</v>
      </c>
      <c r="AB19" s="71">
        <f t="shared" si="24"/>
        <v>360.984318</v>
      </c>
      <c r="AC19" s="71">
        <f>+(S19-T19)*V19-'data 1'!$F$4</f>
        <v>30.23</v>
      </c>
      <c r="AD19" s="71">
        <f t="shared" si="5"/>
        <v>95.85001359</v>
      </c>
      <c r="AE19" s="71">
        <f t="shared" si="6"/>
        <v>-14.885</v>
      </c>
      <c r="AF19" s="71">
        <f t="shared" si="7"/>
        <v>75.92209666</v>
      </c>
      <c r="AG19" s="72">
        <f t="shared" si="26"/>
        <v>204.1171103</v>
      </c>
      <c r="AH19" s="193">
        <f t="shared" si="8"/>
        <v>5.619</v>
      </c>
      <c r="AI19" s="193">
        <f t="shared" si="9"/>
        <v>5.689</v>
      </c>
      <c r="AJ19" s="73">
        <f t="shared" si="10"/>
        <v>57.8358105</v>
      </c>
      <c r="AK19" s="73">
        <f t="shared" si="11"/>
        <v>4.301736211</v>
      </c>
      <c r="AM19" s="51">
        <f t="shared" si="12"/>
        <v>367.4820357</v>
      </c>
      <c r="AN19" s="51" t="str">
        <f t="array" ref="AN19">XLOOKUP(D19,RUC!$B$3:$B$565,RUC!$M$3:$M$565)</f>
        <v>Richard Sapacayo</v>
      </c>
      <c r="AO19" s="131" t="s">
        <v>558</v>
      </c>
      <c r="AP19" s="57" t="s">
        <v>1420</v>
      </c>
      <c r="AQ19" s="57" t="s">
        <v>2079</v>
      </c>
    </row>
    <row r="20" ht="15.0" customHeight="1">
      <c r="A20" s="116" t="s">
        <v>2080</v>
      </c>
      <c r="B20" s="182">
        <v>45980.0</v>
      </c>
      <c r="C20" s="182">
        <v>45969.0</v>
      </c>
      <c r="D20" s="57" t="s">
        <v>225</v>
      </c>
      <c r="E20" s="3">
        <f t="array" ref="E20">XLOOKUP(D20,RUC!$B$3:$B$110,RUC!$D$3:$D$110)</f>
        <v>10761932735</v>
      </c>
      <c r="G20" s="141" t="s">
        <v>735</v>
      </c>
      <c r="H20" s="3" t="s">
        <v>47</v>
      </c>
      <c r="I20" s="6">
        <v>23.42</v>
      </c>
      <c r="J20" s="58">
        <v>12.98</v>
      </c>
      <c r="K20" s="6">
        <f t="shared" si="2"/>
        <v>20.38</v>
      </c>
      <c r="L20" s="3">
        <v>0.103</v>
      </c>
      <c r="M20" s="60">
        <f t="shared" si="27"/>
        <v>0.085</v>
      </c>
      <c r="N20" s="75">
        <v>0.136</v>
      </c>
      <c r="O20" s="60">
        <f t="shared" si="28"/>
        <v>0.111</v>
      </c>
      <c r="P20" s="63">
        <v>80.0</v>
      </c>
      <c r="Q20" s="458">
        <v>97.09</v>
      </c>
      <c r="R20" s="65">
        <v>3994.1</v>
      </c>
      <c r="S20" s="66">
        <f t="array" ref="S20">IF((XLOOKUP(D20,RUC!$B$3:$B$106,RUC!$E$3:$E$106)+ROUNDDOWN(O20,1)*100)&lt;95,95,((XLOOKUP(D20,RUC!$B$3:$B$106,RUC!$E$3:$E$106)+ROUNDDOWN(O20,1)*100)))</f>
        <v>100</v>
      </c>
      <c r="U20" s="87">
        <v>135.0</v>
      </c>
      <c r="V20" s="67">
        <v>1.1023</v>
      </c>
      <c r="Y20" s="57">
        <v>0.0</v>
      </c>
      <c r="Z20" s="69">
        <f t="array" ref="Z20">XLOOKUP(D20,RUC!$B$3:$B$110,RUC!$H$3:$H$110)</f>
        <v>30</v>
      </c>
      <c r="AA20" s="70">
        <f t="shared" si="4"/>
        <v>30</v>
      </c>
      <c r="AB20" s="71">
        <f t="shared" si="24"/>
        <v>234.4460706</v>
      </c>
      <c r="AC20" s="71">
        <f>+(S20-T20)*V20-'data 1'!$F$4</f>
        <v>30.23</v>
      </c>
      <c r="AD20" s="71">
        <f t="shared" si="5"/>
        <v>74.87987786</v>
      </c>
      <c r="AE20" s="71">
        <f t="shared" si="6"/>
        <v>-36.931</v>
      </c>
      <c r="AF20" s="71">
        <f t="shared" si="7"/>
        <v>-33.0407828</v>
      </c>
      <c r="AG20" s="72">
        <f t="shared" si="26"/>
        <v>52.13809506</v>
      </c>
      <c r="AH20" s="193">
        <f t="shared" si="8"/>
        <v>69.876</v>
      </c>
      <c r="AI20" s="193">
        <f t="shared" si="9"/>
        <v>71.97</v>
      </c>
      <c r="AJ20" s="73">
        <f t="shared" si="10"/>
        <v>37.57842159</v>
      </c>
      <c r="AK20" s="73">
        <f t="shared" si="11"/>
        <v>62.04777531</v>
      </c>
      <c r="AM20" s="51">
        <f t="shared" si="12"/>
        <v>4778.010919</v>
      </c>
      <c r="AN20" s="51" t="str">
        <f t="array" ref="AN20">XLOOKUP(D20,RUC!$B$3:$B$565,RUC!$M$3:$M$565)</f>
        <v>Richard Sapacayo</v>
      </c>
      <c r="AO20" s="131" t="s">
        <v>549</v>
      </c>
      <c r="AP20" s="57" t="s">
        <v>1420</v>
      </c>
      <c r="AQ20" s="57" t="s">
        <v>2079</v>
      </c>
      <c r="AV20" s="149" t="s">
        <v>2081</v>
      </c>
      <c r="AW20" s="150"/>
      <c r="AX20" s="150"/>
      <c r="AY20" s="150"/>
      <c r="AZ20" s="150"/>
      <c r="BA20" s="151"/>
    </row>
    <row r="21" ht="15.0" customHeight="1">
      <c r="A21" s="116" t="s">
        <v>2082</v>
      </c>
      <c r="B21" s="182">
        <v>45976.0</v>
      </c>
      <c r="C21" s="182">
        <v>45969.0</v>
      </c>
      <c r="D21" s="57" t="s">
        <v>295</v>
      </c>
      <c r="E21" s="3">
        <f t="array" ref="E21">XLOOKUP(D21,RUC!$B$3:$B$110,RUC!$D$3:$D$110)</f>
        <v>20601769396</v>
      </c>
      <c r="G21" s="141">
        <v>40.0</v>
      </c>
      <c r="H21" s="3" t="s">
        <v>339</v>
      </c>
      <c r="I21" s="6">
        <v>3.17</v>
      </c>
      <c r="J21" s="58">
        <v>10.3</v>
      </c>
      <c r="K21" s="6">
        <f t="shared" si="2"/>
        <v>2.843</v>
      </c>
      <c r="L21" s="3">
        <v>0.482</v>
      </c>
      <c r="M21" s="60">
        <f>ROUND(+IF(AN21="Melchor Vera",IF(L21&gt;0.467,L21*0.985,(L21-0.007)),IF(L21&gt;0.3,L21*0.94,(L21-0.018))),3)-0.004</f>
        <v>0.449</v>
      </c>
      <c r="N21" s="62">
        <f t="shared" ref="N21:N25" si="29">+M21</f>
        <v>0.449</v>
      </c>
      <c r="O21" s="60">
        <f t="shared" si="28"/>
        <v>0.449</v>
      </c>
      <c r="P21" s="63">
        <v>86.0</v>
      </c>
      <c r="Q21" s="57">
        <v>86.31</v>
      </c>
      <c r="R21" s="65">
        <v>3994.1</v>
      </c>
      <c r="S21" s="66">
        <f t="array" ref="S21">IF((XLOOKUP(D21,RUC!$B$3:$B$106,RUC!$E$3:$E$106)+ROUNDDOWN(O21,1)*100)&lt;95,95,((XLOOKUP(D21,RUC!$B$3:$B$106,RUC!$E$3:$E$106)+ROUNDDOWN(O21,1)*100)))</f>
        <v>130</v>
      </c>
      <c r="U21" s="67">
        <f t="array" ref="U21">XLOOKUP(D21,RUC!$B$3:$B$110,RUC!$F$3:$F$110)</f>
        <v>120</v>
      </c>
      <c r="V21" s="67">
        <v>1.1023</v>
      </c>
      <c r="Y21" s="57">
        <f t="array" ref="Y21">XLOOKUP(D21,RUC!$B$3:$B$110,RUC!$G$3:$G$110)</f>
        <v>20</v>
      </c>
      <c r="Z21" s="69">
        <f t="array" ref="Z21">XLOOKUP(D21,RUC!$B$3:$B$110,RUC!$H$3:$H$110)</f>
        <v>30</v>
      </c>
      <c r="AA21" s="70">
        <f t="shared" si="4"/>
        <v>50</v>
      </c>
      <c r="AB21" s="71">
        <f t="shared" si="24"/>
        <v>1450.566145</v>
      </c>
      <c r="AC21" s="71">
        <f>+(S21-T21)*V21-'data 1'!$F$4</f>
        <v>63.299</v>
      </c>
      <c r="AD21" s="71">
        <f t="shared" si="5"/>
        <v>6.380862207</v>
      </c>
      <c r="AE21" s="71">
        <f t="shared" si="6"/>
        <v>-14.885</v>
      </c>
      <c r="AF21" s="71">
        <f t="shared" si="7"/>
        <v>121.6313958</v>
      </c>
      <c r="AG21" s="72">
        <f t="shared" si="26"/>
        <v>193.426258</v>
      </c>
      <c r="AH21" s="193">
        <f t="shared" si="8"/>
        <v>40.55</v>
      </c>
      <c r="AI21" s="193">
        <f t="shared" si="9"/>
        <v>46.982</v>
      </c>
      <c r="AJ21" s="73">
        <f t="shared" si="10"/>
        <v>149.4487623</v>
      </c>
      <c r="AK21" s="73">
        <f t="shared" si="11"/>
        <v>37.63836255</v>
      </c>
      <c r="AM21" s="51">
        <f t="shared" si="12"/>
        <v>4123.95955</v>
      </c>
      <c r="AN21" s="51" t="str">
        <f t="array" ref="AN21">XLOOKUP(D21,RUC!$B$3:$B$565,RUC!$M$3:$M$565)</f>
        <v>Evelyn</v>
      </c>
      <c r="AO21" s="131" t="s">
        <v>551</v>
      </c>
      <c r="AP21" s="57" t="s">
        <v>739</v>
      </c>
      <c r="AQ21" s="57" t="s">
        <v>635</v>
      </c>
      <c r="BA21" s="203">
        <f>SUM(BA23:BA32)</f>
        <v>2335.25392</v>
      </c>
    </row>
    <row r="22" ht="15.0" customHeight="1">
      <c r="A22" s="116" t="s">
        <v>2083</v>
      </c>
      <c r="B22" s="182">
        <v>45976.0</v>
      </c>
      <c r="C22" s="182">
        <v>45969.0</v>
      </c>
      <c r="D22" s="57" t="s">
        <v>295</v>
      </c>
      <c r="E22" s="3">
        <f t="array" ref="E22">XLOOKUP(D22,RUC!$B$3:$B$110,RUC!$D$3:$D$110)</f>
        <v>20601769396</v>
      </c>
      <c r="G22" s="141">
        <v>40.0</v>
      </c>
      <c r="H22" s="3" t="s">
        <v>339</v>
      </c>
      <c r="I22" s="6">
        <v>3.19</v>
      </c>
      <c r="J22" s="58">
        <v>10.5</v>
      </c>
      <c r="K22" s="6">
        <f t="shared" si="2"/>
        <v>2.855</v>
      </c>
      <c r="L22" s="3">
        <v>0.385</v>
      </c>
      <c r="M22" s="60">
        <f t="shared" ref="M22:M112" si="30">ROUND(+IF(AN22="Melchor Vera",IF(L22&gt;0.467,L22*0.985,(L22-0.007)),IF(L22&gt;0.3,L22*0.94,(L22-0.018))),3)</f>
        <v>0.362</v>
      </c>
      <c r="N22" s="62">
        <f t="shared" si="29"/>
        <v>0.362</v>
      </c>
      <c r="O22" s="60">
        <f t="shared" si="28"/>
        <v>0.362</v>
      </c>
      <c r="P22" s="63">
        <v>87.0</v>
      </c>
      <c r="Q22" s="57">
        <v>87.27</v>
      </c>
      <c r="R22" s="65">
        <v>3994.1</v>
      </c>
      <c r="S22" s="66">
        <f t="array" ref="S22">IF((XLOOKUP(D22,RUC!$B$3:$B$106,RUC!$E$3:$E$106)+ROUNDDOWN(O22,1)*100)&lt;95,95,((XLOOKUP(D22,RUC!$B$3:$B$106,RUC!$E$3:$E$106)+ROUNDDOWN(O22,1)*100)))</f>
        <v>120</v>
      </c>
      <c r="U22" s="67">
        <f t="array" ref="U22">XLOOKUP(D22,RUC!$B$3:$B$110,RUC!$F$3:$F$110)</f>
        <v>120</v>
      </c>
      <c r="V22" s="67">
        <v>1.1023</v>
      </c>
      <c r="Y22" s="57">
        <f t="array" ref="Y22">XLOOKUP(D22,RUC!$B$3:$B$110,RUC!$G$3:$G$110)</f>
        <v>20</v>
      </c>
      <c r="Z22" s="69">
        <f t="array" ref="Z22">XLOOKUP(D22,RUC!$B$3:$B$110,RUC!$H$3:$H$110)</f>
        <v>30</v>
      </c>
      <c r="AA22" s="70">
        <f t="shared" si="4"/>
        <v>50</v>
      </c>
      <c r="AB22" s="71">
        <f t="shared" si="24"/>
        <v>1157.53521</v>
      </c>
      <c r="AC22" s="71">
        <f>+(S22-T22)*V22-'data 1'!$F$4</f>
        <v>52.276</v>
      </c>
      <c r="AD22" s="71">
        <f t="shared" si="5"/>
        <v>4.439102037</v>
      </c>
      <c r="AE22" s="71">
        <f t="shared" si="6"/>
        <v>-14.885</v>
      </c>
      <c r="AF22" s="71">
        <f t="shared" si="7"/>
        <v>85.71630591</v>
      </c>
      <c r="AG22" s="72">
        <f t="shared" si="26"/>
        <v>144.5464079</v>
      </c>
      <c r="AH22" s="193">
        <f t="shared" si="8"/>
        <v>32.888</v>
      </c>
      <c r="AI22" s="193">
        <f t="shared" si="9"/>
        <v>37.686</v>
      </c>
      <c r="AJ22" s="73">
        <f t="shared" si="10"/>
        <v>120.7007235</v>
      </c>
      <c r="AK22" s="73">
        <f t="shared" si="11"/>
        <v>30.82783352</v>
      </c>
      <c r="AM22" s="51">
        <f t="shared" si="12"/>
        <v>3304.763025</v>
      </c>
      <c r="AN22" s="51" t="str">
        <f t="array" ref="AN22">XLOOKUP(D22,RUC!$B$3:$B$565,RUC!$M$3:$M$565)</f>
        <v>Evelyn</v>
      </c>
      <c r="AO22" s="131" t="s">
        <v>551</v>
      </c>
      <c r="AP22" s="57" t="s">
        <v>739</v>
      </c>
      <c r="AQ22" s="57" t="s">
        <v>635</v>
      </c>
      <c r="AV22" s="3"/>
      <c r="AW22" s="3" t="s">
        <v>14</v>
      </c>
      <c r="AX22" s="3" t="s">
        <v>683</v>
      </c>
      <c r="AY22" s="3" t="s">
        <v>686</v>
      </c>
      <c r="AZ22" s="204" t="s">
        <v>700</v>
      </c>
      <c r="BA22" s="3" t="s">
        <v>687</v>
      </c>
    </row>
    <row r="23" ht="15.0" customHeight="1">
      <c r="A23" s="116" t="s">
        <v>2084</v>
      </c>
      <c r="B23" s="182">
        <v>45976.0</v>
      </c>
      <c r="C23" s="182">
        <v>45969.0</v>
      </c>
      <c r="D23" s="57" t="s">
        <v>295</v>
      </c>
      <c r="E23" s="3">
        <f t="array" ref="E23">XLOOKUP(D23,RUC!$B$3:$B$110,RUC!$D$3:$D$110)</f>
        <v>20601769396</v>
      </c>
      <c r="G23" s="141">
        <v>21.0</v>
      </c>
      <c r="H23" s="3" t="s">
        <v>339</v>
      </c>
      <c r="I23" s="6">
        <v>1.74</v>
      </c>
      <c r="J23" s="58">
        <v>9.12</v>
      </c>
      <c r="K23" s="6">
        <f t="shared" si="2"/>
        <v>1.581</v>
      </c>
      <c r="L23" s="3">
        <v>0.436</v>
      </c>
      <c r="M23" s="60">
        <f t="shared" si="30"/>
        <v>0.41</v>
      </c>
      <c r="N23" s="62">
        <f t="shared" si="29"/>
        <v>0.41</v>
      </c>
      <c r="O23" s="60">
        <f t="shared" si="28"/>
        <v>0.41</v>
      </c>
      <c r="P23" s="63">
        <v>88.0</v>
      </c>
      <c r="Q23" s="458">
        <v>88.53</v>
      </c>
      <c r="R23" s="65">
        <v>3994.1</v>
      </c>
      <c r="S23" s="66">
        <f t="array" ref="S23">IF((XLOOKUP(D23,RUC!$B$3:$B$106,RUC!$E$3:$E$106)+ROUNDDOWN(O23,1)*100)&lt;95,95,((XLOOKUP(D23,RUC!$B$3:$B$106,RUC!$E$3:$E$106)+ROUNDDOWN(O23,1)*100)))</f>
        <v>130</v>
      </c>
      <c r="U23" s="67">
        <f t="array" ref="U23">XLOOKUP(D23,RUC!$B$3:$B$110,RUC!$F$3:$F$110)</f>
        <v>120</v>
      </c>
      <c r="V23" s="67">
        <v>1.1023</v>
      </c>
      <c r="Y23" s="57">
        <f t="array" ref="Y23">XLOOKUP(D23,RUC!$B$3:$B$110,RUC!$G$3:$G$110)</f>
        <v>20</v>
      </c>
      <c r="Z23" s="69">
        <f t="array" ref="Z23">XLOOKUP(D23,RUC!$B$3:$B$110,RUC!$H$3:$H$110)</f>
        <v>30</v>
      </c>
      <c r="AA23" s="70">
        <f t="shared" si="4"/>
        <v>50</v>
      </c>
      <c r="AB23" s="71">
        <f t="shared" si="24"/>
        <v>1342.353691</v>
      </c>
      <c r="AC23" s="71">
        <f>+(S23-T23)*V23-'data 1'!$F$4</f>
        <v>63.299</v>
      </c>
      <c r="AD23" s="71">
        <f t="shared" si="5"/>
        <v>9.86808753</v>
      </c>
      <c r="AE23" s="71">
        <f t="shared" si="6"/>
        <v>-14.885</v>
      </c>
      <c r="AF23" s="71">
        <f t="shared" si="7"/>
        <v>98.29568337</v>
      </c>
      <c r="AG23" s="72">
        <f t="shared" si="26"/>
        <v>173.5777709</v>
      </c>
      <c r="AH23" s="193">
        <f t="shared" si="8"/>
        <v>20.923</v>
      </c>
      <c r="AI23" s="193">
        <f t="shared" si="9"/>
        <v>23.633</v>
      </c>
      <c r="AJ23" s="73">
        <f t="shared" si="10"/>
        <v>138.663169</v>
      </c>
      <c r="AK23" s="73">
        <f t="shared" si="11"/>
        <v>19.55723562</v>
      </c>
      <c r="AM23" s="51">
        <f t="shared" si="12"/>
        <v>2122.261186</v>
      </c>
      <c r="AN23" s="51" t="str">
        <f t="array" ref="AN23">XLOOKUP(D23,RUC!$B$3:$B$565,RUC!$M$3:$M$565)</f>
        <v>Evelyn</v>
      </c>
      <c r="AO23" s="131" t="s">
        <v>551</v>
      </c>
      <c r="AP23" s="57" t="s">
        <v>739</v>
      </c>
      <c r="AQ23" s="57" t="s">
        <v>635</v>
      </c>
      <c r="AV23" s="152" t="s">
        <v>558</v>
      </c>
      <c r="AW23" s="154">
        <f t="shared" ref="AW23:AW32" si="31">SUMIF($AO$4:$AO$1471,AV23,$K$4:$K$1471)</f>
        <v>91.001</v>
      </c>
      <c r="AX23" s="154">
        <v>0.267</v>
      </c>
      <c r="AY23" s="157">
        <f t="shared" ref="AY23:AY32" si="32">AW23*AX23*31.1035*1.1023</f>
        <v>833.0412276</v>
      </c>
      <c r="AZ23" s="58">
        <v>80.80958434277899</v>
      </c>
      <c r="BA23" s="159">
        <f t="shared" ref="BA23:BA32" si="33">AY23*AZ23/100</f>
        <v>673.1771535</v>
      </c>
      <c r="BB23" s="449" t="s">
        <v>2085</v>
      </c>
      <c r="BC23" s="450">
        <f>+BB6</f>
        <v>4806.492</v>
      </c>
    </row>
    <row r="24" ht="15.0" customHeight="1">
      <c r="A24" s="116" t="s">
        <v>2086</v>
      </c>
      <c r="B24" s="182">
        <v>45979.0</v>
      </c>
      <c r="C24" s="182">
        <v>45972.0</v>
      </c>
      <c r="D24" s="57" t="s">
        <v>602</v>
      </c>
      <c r="E24" s="3">
        <f t="array" ref="E24">XLOOKUP(D24,RUC!$B$3:$B$110,RUC!$D$3:$D$110)</f>
        <v>20169040231</v>
      </c>
      <c r="G24" s="141">
        <v>4.0</v>
      </c>
      <c r="H24" s="3" t="s">
        <v>47</v>
      </c>
      <c r="I24" s="6">
        <v>0.23</v>
      </c>
      <c r="J24" s="58">
        <v>1.2</v>
      </c>
      <c r="K24" s="6">
        <f t="shared" si="2"/>
        <v>0.227</v>
      </c>
      <c r="L24" s="3">
        <v>0.128</v>
      </c>
      <c r="M24" s="60">
        <f t="shared" si="30"/>
        <v>0.11</v>
      </c>
      <c r="N24" s="62">
        <f t="shared" si="29"/>
        <v>0.11</v>
      </c>
      <c r="O24" s="60">
        <f t="shared" si="28"/>
        <v>0.11</v>
      </c>
      <c r="P24" s="63">
        <v>80.0</v>
      </c>
      <c r="Q24" s="458">
        <v>96.88</v>
      </c>
      <c r="R24" s="65">
        <v>4123.3</v>
      </c>
      <c r="S24" s="66">
        <f t="array" ref="S24">IF((XLOOKUP(D24,RUC!$B$3:$B$106,RUC!$E$3:$E$106)+ROUNDDOWN(O24,1)*100)&lt;95,95,((XLOOKUP(D24,RUC!$B$3:$B$106,RUC!$E$3:$E$106)+ROUNDDOWN(O24,1)*100)))</f>
        <v>95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140">
        <v>35.0</v>
      </c>
      <c r="AA24" s="70">
        <f t="shared" si="4"/>
        <v>55</v>
      </c>
      <c r="AB24" s="71">
        <f t="shared" si="24"/>
        <v>222.9847079</v>
      </c>
      <c r="AC24" s="71">
        <f>+(S24-T24)*V24-'data 1'!$F$4</f>
        <v>24.7185</v>
      </c>
      <c r="AD24" s="71">
        <f t="shared" si="5"/>
        <v>95.3455341</v>
      </c>
      <c r="AE24" s="71">
        <f t="shared" si="6"/>
        <v>-9.3735</v>
      </c>
      <c r="AF24" s="71">
        <f t="shared" si="7"/>
        <v>76.95282703</v>
      </c>
      <c r="AG24" s="72">
        <f t="shared" si="26"/>
        <v>204.6433611</v>
      </c>
      <c r="AH24" s="193">
        <f t="shared" si="8"/>
        <v>0.965</v>
      </c>
      <c r="AI24" s="193">
        <f t="shared" si="9"/>
        <v>0.996</v>
      </c>
      <c r="AJ24" s="73">
        <f t="shared" si="10"/>
        <v>26.8873665</v>
      </c>
      <c r="AK24" s="73">
        <f t="shared" si="11"/>
        <v>0.6848849117</v>
      </c>
      <c r="AM24" s="51">
        <f t="shared" si="12"/>
        <v>50.6175287</v>
      </c>
      <c r="AN24" s="51" t="str">
        <f t="array" ref="AN24">XLOOKUP(D24,RUC!$B$3:$B$565,RUC!$M$3:$M$565)</f>
        <v>Ronald Miranda</v>
      </c>
      <c r="AO24" s="131" t="s">
        <v>547</v>
      </c>
      <c r="AP24" s="57" t="s">
        <v>2048</v>
      </c>
      <c r="AQ24" s="57" t="s">
        <v>2049</v>
      </c>
      <c r="AV24" s="160" t="s">
        <v>551</v>
      </c>
      <c r="AW24" s="6">
        <f t="shared" si="31"/>
        <v>114.713</v>
      </c>
      <c r="AX24" s="6">
        <v>0.491</v>
      </c>
      <c r="AY24" s="58">
        <f t="shared" si="32"/>
        <v>1931.093042</v>
      </c>
      <c r="AZ24" s="58">
        <v>86.06922248166407</v>
      </c>
      <c r="BA24" s="162">
        <f t="shared" si="33"/>
        <v>1662.076767</v>
      </c>
      <c r="BB24" s="451" t="s">
        <v>2087</v>
      </c>
      <c r="BC24" s="452">
        <f>+'31'!BC26+'31'!BC27</f>
        <v>755.475</v>
      </c>
    </row>
    <row r="25" ht="15.0" customHeight="1">
      <c r="A25" s="116" t="s">
        <v>2088</v>
      </c>
      <c r="B25" s="182">
        <v>45981.0</v>
      </c>
      <c r="C25" s="182">
        <v>45972.0</v>
      </c>
      <c r="D25" s="57" t="s">
        <v>295</v>
      </c>
      <c r="E25" s="3">
        <f t="array" ref="E25">XLOOKUP(D25,RUC!$B$3:$B$110,RUC!$D$3:$D$110)</f>
        <v>20601769396</v>
      </c>
      <c r="G25" s="141">
        <v>24.0</v>
      </c>
      <c r="H25" s="3" t="s">
        <v>71</v>
      </c>
      <c r="I25" s="6">
        <v>1.92</v>
      </c>
      <c r="J25" s="58">
        <v>13.1</v>
      </c>
      <c r="K25" s="6">
        <f t="shared" si="2"/>
        <v>1.668</v>
      </c>
      <c r="L25" s="3">
        <v>0.424</v>
      </c>
      <c r="M25" s="60">
        <f t="shared" si="30"/>
        <v>0.399</v>
      </c>
      <c r="N25" s="62">
        <f t="shared" si="29"/>
        <v>0.399</v>
      </c>
      <c r="O25" s="60">
        <f t="shared" si="28"/>
        <v>0.399</v>
      </c>
      <c r="P25" s="63">
        <v>90.0</v>
      </c>
      <c r="Q25" s="458">
        <v>93.16</v>
      </c>
      <c r="R25" s="65">
        <v>4123.3</v>
      </c>
      <c r="S25" s="66">
        <f t="array" ref="S25">IF((XLOOKUP(D25,RUC!$B$3:$B$106,RUC!$E$3:$E$106)+ROUNDDOWN(O25,1)*100)&lt;95,95,((XLOOKUP(D25,RUC!$B$3:$B$106,RUC!$E$3:$E$106)+ROUNDDOWN(O25,1)*100)))</f>
        <v>120</v>
      </c>
      <c r="U25" s="67">
        <f t="array" ref="U25">XLOOKUP(D25,RUC!$B$3:$B$110,RUC!$F$3:$F$110)</f>
        <v>120</v>
      </c>
      <c r="V25" s="67">
        <v>1.1023</v>
      </c>
      <c r="Y25" s="57">
        <f t="array" ref="Y25">XLOOKUP(D25,RUC!$B$3:$B$110,RUC!$G$3:$G$110)</f>
        <v>20</v>
      </c>
      <c r="Z25" s="69">
        <f t="array" ref="Z25">XLOOKUP(D25,RUC!$B$3:$B$110,RUC!$H$3:$H$110)</f>
        <v>30</v>
      </c>
      <c r="AA25" s="70">
        <f t="shared" si="4"/>
        <v>50</v>
      </c>
      <c r="AB25" s="71">
        <f t="shared" si="24"/>
        <v>1397.258979</v>
      </c>
      <c r="AC25" s="71">
        <f>+(S25-T25)*V25-'data 1'!$F$4</f>
        <v>52.276</v>
      </c>
      <c r="AD25" s="71">
        <f t="shared" si="5"/>
        <v>59.12496317</v>
      </c>
      <c r="AE25" s="71">
        <f t="shared" si="6"/>
        <v>-14.885</v>
      </c>
      <c r="AF25" s="71">
        <f t="shared" si="7"/>
        <v>102.7749875</v>
      </c>
      <c r="AG25" s="72">
        <f t="shared" si="26"/>
        <v>216.2909506</v>
      </c>
      <c r="AH25" s="193">
        <f t="shared" si="8"/>
        <v>22.589</v>
      </c>
      <c r="AI25" s="193">
        <f t="shared" si="9"/>
        <v>24.248</v>
      </c>
      <c r="AJ25" s="73">
        <f t="shared" si="10"/>
        <v>85.64450503</v>
      </c>
      <c r="AK25" s="73">
        <f t="shared" si="11"/>
        <v>20.53622059</v>
      </c>
      <c r="AM25" s="51">
        <f t="shared" si="12"/>
        <v>2330.627976</v>
      </c>
      <c r="AN25" s="51" t="str">
        <f t="array" ref="AN25">XLOOKUP(D25,RUC!$B$3:$B$565,RUC!$M$3:$M$565)</f>
        <v>Evelyn</v>
      </c>
      <c r="AO25" s="131" t="s">
        <v>558</v>
      </c>
      <c r="AP25" s="57" t="s">
        <v>2020</v>
      </c>
      <c r="AQ25" s="57" t="s">
        <v>2059</v>
      </c>
      <c r="AV25" s="160" t="s">
        <v>547</v>
      </c>
      <c r="AW25" s="6">
        <f t="shared" si="31"/>
        <v>119.916</v>
      </c>
      <c r="AX25" s="6">
        <v>0.66</v>
      </c>
      <c r="AY25" s="58">
        <f t="shared" si="32"/>
        <v>2713.501952</v>
      </c>
      <c r="AZ25" s="58"/>
      <c r="BA25" s="162">
        <f t="shared" si="33"/>
        <v>0</v>
      </c>
      <c r="BB25" s="454" t="s">
        <v>2089</v>
      </c>
      <c r="BC25" s="459">
        <v>4573.7</v>
      </c>
    </row>
    <row r="26" ht="15.0" customHeight="1">
      <c r="A26" s="116" t="s">
        <v>2090</v>
      </c>
      <c r="B26" s="182">
        <v>45981.0</v>
      </c>
      <c r="C26" s="182">
        <v>45972.0</v>
      </c>
      <c r="D26" s="57" t="s">
        <v>295</v>
      </c>
      <c r="E26" s="3">
        <f t="array" ref="E26">XLOOKUP(D26,RUC!$B$3:$B$110,RUC!$D$3:$D$110)</f>
        <v>20601769396</v>
      </c>
      <c r="G26" s="141">
        <v>25.0</v>
      </c>
      <c r="H26" s="3" t="s">
        <v>71</v>
      </c>
      <c r="I26" s="6">
        <v>2.04</v>
      </c>
      <c r="J26" s="58">
        <v>12.57</v>
      </c>
      <c r="K26" s="6">
        <f t="shared" si="2"/>
        <v>1.784</v>
      </c>
      <c r="L26" s="3">
        <v>0.513</v>
      </c>
      <c r="M26" s="60">
        <f t="shared" si="30"/>
        <v>0.482</v>
      </c>
      <c r="N26" s="75">
        <v>0.541</v>
      </c>
      <c r="O26" s="60">
        <f t="shared" si="28"/>
        <v>0.512</v>
      </c>
      <c r="P26" s="63">
        <v>85.0</v>
      </c>
      <c r="Q26" s="458">
        <v>85.19</v>
      </c>
      <c r="R26" s="65">
        <v>4123.3</v>
      </c>
      <c r="S26" s="66">
        <f t="array" ref="S26">IF((XLOOKUP(D26,RUC!$B$3:$B$106,RUC!$E$3:$E$106)+ROUNDDOWN(O26,1)*100)&lt;95,95,((XLOOKUP(D26,RUC!$B$3:$B$106,RUC!$E$3:$E$106)+ROUNDDOWN(O26,1)*100)))</f>
        <v>140</v>
      </c>
      <c r="U26" s="67">
        <f t="array" ref="U26">XLOOKUP(D26,RUC!$B$3:$B$110,RUC!$F$3:$F$110)</f>
        <v>120</v>
      </c>
      <c r="V26" s="67">
        <v>1.1023</v>
      </c>
      <c r="Y26" s="57">
        <f t="array" ref="Y26">XLOOKUP(D26,RUC!$B$3:$B$110,RUC!$G$3:$G$110)</f>
        <v>20</v>
      </c>
      <c r="Z26" s="69">
        <f t="array" ref="Z26">XLOOKUP(D26,RUC!$B$3:$B$110,RUC!$H$3:$H$110)</f>
        <v>30</v>
      </c>
      <c r="AA26" s="70">
        <f t="shared" si="4"/>
        <v>50</v>
      </c>
      <c r="AB26" s="71">
        <f t="shared" si="24"/>
        <v>1711.029919</v>
      </c>
      <c r="AC26" s="71">
        <f>+(S26-T26)*V26-'data 1'!$F$4</f>
        <v>74.322</v>
      </c>
      <c r="AD26" s="71">
        <f t="shared" si="5"/>
        <v>4.301192799</v>
      </c>
      <c r="AE26" s="71">
        <f t="shared" si="6"/>
        <v>-14.885</v>
      </c>
      <c r="AF26" s="71">
        <f t="shared" si="7"/>
        <v>3.759296343</v>
      </c>
      <c r="AG26" s="72">
        <f t="shared" si="26"/>
        <v>84.49748914</v>
      </c>
      <c r="AH26" s="193">
        <f t="shared" si="8"/>
        <v>26.731</v>
      </c>
      <c r="AI26" s="193">
        <f t="shared" si="9"/>
        <v>31.378</v>
      </c>
      <c r="AJ26" s="73">
        <f t="shared" si="10"/>
        <v>94.75674868</v>
      </c>
      <c r="AK26" s="73">
        <f t="shared" si="11"/>
        <v>26.61906557</v>
      </c>
      <c r="AM26" s="51">
        <f t="shared" si="12"/>
        <v>3052.477376</v>
      </c>
      <c r="AN26" s="51" t="str">
        <f t="array" ref="AN26">XLOOKUP(D26,RUC!$B$3:$B$565,RUC!$M$3:$M$565)</f>
        <v>Evelyn</v>
      </c>
      <c r="AO26" s="131" t="s">
        <v>558</v>
      </c>
      <c r="AP26" s="57" t="s">
        <v>2020</v>
      </c>
      <c r="AQ26" s="57" t="s">
        <v>2059</v>
      </c>
      <c r="AV26" s="160" t="s">
        <v>549</v>
      </c>
      <c r="AW26" s="6">
        <f t="shared" si="31"/>
        <v>107.611</v>
      </c>
      <c r="AX26" s="6">
        <v>0.159</v>
      </c>
      <c r="AY26" s="58">
        <f t="shared" si="32"/>
        <v>586.6280981</v>
      </c>
      <c r="AZ26" s="58"/>
      <c r="BA26" s="162">
        <f t="shared" si="33"/>
        <v>0</v>
      </c>
      <c r="BB26" s="454" t="s">
        <v>2091</v>
      </c>
      <c r="BC26" s="459">
        <v>939.82</v>
      </c>
    </row>
    <row r="27" ht="15.0" customHeight="1">
      <c r="A27" s="116" t="s">
        <v>2092</v>
      </c>
      <c r="B27" s="182">
        <v>45981.0</v>
      </c>
      <c r="C27" s="182">
        <v>45972.0</v>
      </c>
      <c r="D27" s="57" t="s">
        <v>295</v>
      </c>
      <c r="E27" s="3">
        <f t="array" ref="E27">XLOOKUP(D27,RUC!$B$3:$B$110,RUC!$D$3:$D$110)</f>
        <v>20601769396</v>
      </c>
      <c r="G27" s="141">
        <v>13.0</v>
      </c>
      <c r="H27" s="3" t="s">
        <v>40</v>
      </c>
      <c r="I27" s="6">
        <v>0.92</v>
      </c>
      <c r="J27" s="58">
        <v>20.07</v>
      </c>
      <c r="K27" s="6">
        <f t="shared" si="2"/>
        <v>0.735</v>
      </c>
      <c r="L27" s="3">
        <v>0.286</v>
      </c>
      <c r="M27" s="60">
        <f t="shared" si="30"/>
        <v>0.268</v>
      </c>
      <c r="N27" s="62">
        <f>+M27</f>
        <v>0.268</v>
      </c>
      <c r="O27" s="60">
        <f t="shared" si="28"/>
        <v>0.268</v>
      </c>
      <c r="P27" s="63">
        <v>90.0</v>
      </c>
      <c r="Q27" s="458">
        <v>98.6</v>
      </c>
      <c r="R27" s="65">
        <v>4123.3</v>
      </c>
      <c r="S27" s="66">
        <f t="array" ref="S27">IF((XLOOKUP(D27,RUC!$B$3:$B$106,RUC!$E$3:$E$106)+ROUNDDOWN(O27,1)*100)&lt;95,95,((XLOOKUP(D27,RUC!$B$3:$B$106,RUC!$E$3:$E$106)+ROUNDDOWN(O27,1)*100)))</f>
        <v>110</v>
      </c>
      <c r="U27" s="67">
        <f t="array" ref="U27">XLOOKUP(D27,RUC!$B$3:$B$110,RUC!$F$3:$F$110)</f>
        <v>120</v>
      </c>
      <c r="V27" s="67">
        <v>1.1023</v>
      </c>
      <c r="Y27" s="57">
        <f t="array" ref="Y27">XLOOKUP(D27,RUC!$B$3:$B$110,RUC!$G$3:$G$110)</f>
        <v>20</v>
      </c>
      <c r="Z27" s="69">
        <f t="array" ref="Z27">XLOOKUP(D27,RUC!$B$3:$B$110,RUC!$H$3:$H$110)</f>
        <v>30</v>
      </c>
      <c r="AA27" s="70">
        <f t="shared" si="4"/>
        <v>50</v>
      </c>
      <c r="AB27" s="71">
        <f t="shared" si="24"/>
        <v>888.0084267</v>
      </c>
      <c r="AC27" s="71">
        <f>+(S27-T27)*V27-'data 1'!$F$4</f>
        <v>41.253</v>
      </c>
      <c r="AD27" s="71">
        <f t="shared" si="5"/>
        <v>108.5381534</v>
      </c>
      <c r="AE27" s="71">
        <f t="shared" si="6"/>
        <v>-14.885</v>
      </c>
      <c r="AF27" s="71">
        <f t="shared" si="7"/>
        <v>78.31904155</v>
      </c>
      <c r="AG27" s="72">
        <f t="shared" si="26"/>
        <v>230.2251949</v>
      </c>
      <c r="AH27" s="193">
        <f t="shared" si="8"/>
        <v>7.106</v>
      </c>
      <c r="AI27" s="193">
        <f t="shared" si="9"/>
        <v>7.207</v>
      </c>
      <c r="AJ27" s="73">
        <f t="shared" si="10"/>
        <v>61.14305233</v>
      </c>
      <c r="AK27" s="73">
        <f t="shared" si="11"/>
        <v>6.078182164</v>
      </c>
      <c r="AM27" s="51">
        <f t="shared" si="12"/>
        <v>652.6861936</v>
      </c>
      <c r="AN27" s="51" t="str">
        <f t="array" ref="AN27">XLOOKUP(D27,RUC!$B$3:$B$565,RUC!$M$3:$M$565)</f>
        <v>Evelyn</v>
      </c>
      <c r="AO27" s="131" t="s">
        <v>558</v>
      </c>
      <c r="AP27" s="57" t="s">
        <v>2020</v>
      </c>
      <c r="AQ27" s="57" t="s">
        <v>2059</v>
      </c>
      <c r="AV27" s="160" t="s">
        <v>561</v>
      </c>
      <c r="AW27" s="6">
        <f t="shared" si="31"/>
        <v>91.717</v>
      </c>
      <c r="AX27" s="6"/>
      <c r="AY27" s="58">
        <f t="shared" si="32"/>
        <v>0</v>
      </c>
      <c r="AZ27" s="58"/>
      <c r="BA27" s="162">
        <f t="shared" si="33"/>
        <v>0</v>
      </c>
      <c r="BB27" s="454" t="s">
        <v>2093</v>
      </c>
      <c r="BC27" s="459">
        <v>186.519</v>
      </c>
    </row>
    <row r="28" ht="15.0" customHeight="1">
      <c r="A28" s="116" t="s">
        <v>2094</v>
      </c>
      <c r="B28" s="182">
        <v>45981.0</v>
      </c>
      <c r="C28" s="182">
        <v>45972.0</v>
      </c>
      <c r="D28" s="57" t="s">
        <v>295</v>
      </c>
      <c r="E28" s="3">
        <f t="array" ref="E28">XLOOKUP(D28,RUC!$B$3:$B$110,RUC!$D$3:$D$110)</f>
        <v>20601769396</v>
      </c>
      <c r="G28" s="141">
        <v>45.0</v>
      </c>
      <c r="H28" s="3" t="s">
        <v>71</v>
      </c>
      <c r="I28" s="6">
        <v>3.61</v>
      </c>
      <c r="J28" s="58">
        <v>18.62</v>
      </c>
      <c r="K28" s="6">
        <f t="shared" si="2"/>
        <v>2.938</v>
      </c>
      <c r="L28" s="3">
        <v>0.134</v>
      </c>
      <c r="M28" s="60">
        <f t="shared" si="30"/>
        <v>0.116</v>
      </c>
      <c r="N28" s="75">
        <v>0.199</v>
      </c>
      <c r="O28" s="60">
        <f t="shared" si="28"/>
        <v>0.158</v>
      </c>
      <c r="P28" s="63">
        <v>85.0</v>
      </c>
      <c r="Q28" s="458">
        <v>88.06</v>
      </c>
      <c r="R28" s="65">
        <v>4123.3</v>
      </c>
      <c r="S28" s="66">
        <f t="array" ref="S28">IF((XLOOKUP(D28,RUC!$B$3:$B$106,RUC!$E$3:$E$106)+ROUNDDOWN(O28,1)*100)&lt;95,95,((XLOOKUP(D28,RUC!$B$3:$B$106,RUC!$E$3:$E$106)+ROUNDDOWN(O28,1)*100)))</f>
        <v>100</v>
      </c>
      <c r="U28" s="67">
        <f t="array" ref="U28">XLOOKUP(D28,RUC!$B$3:$B$110,RUC!$F$3:$F$110)</f>
        <v>120</v>
      </c>
      <c r="V28" s="67">
        <v>1.1023</v>
      </c>
      <c r="Y28" s="199">
        <v>40.0</v>
      </c>
      <c r="Z28" s="69">
        <f t="array" ref="Z28">XLOOKUP(D28,RUC!$B$3:$B$110,RUC!$H$3:$H$110)</f>
        <v>30</v>
      </c>
      <c r="AA28" s="70">
        <f t="shared" si="4"/>
        <v>70</v>
      </c>
      <c r="AB28" s="71">
        <f t="shared" si="24"/>
        <v>405.2530883</v>
      </c>
      <c r="AC28" s="71">
        <f>+(S28-T28)*V28-'data 1'!$F$4</f>
        <v>30.23</v>
      </c>
      <c r="AD28" s="71">
        <f t="shared" si="5"/>
        <v>18.09439925</v>
      </c>
      <c r="AE28" s="71">
        <f t="shared" si="6"/>
        <v>7.161</v>
      </c>
      <c r="AF28" s="71">
        <f t="shared" si="7"/>
        <v>-93.26267476</v>
      </c>
      <c r="AG28" s="72">
        <f t="shared" si="26"/>
        <v>-20.77727551</v>
      </c>
      <c r="AH28" s="193">
        <f t="shared" si="8"/>
        <v>11.886</v>
      </c>
      <c r="AI28" s="193">
        <f t="shared" si="9"/>
        <v>13.498</v>
      </c>
      <c r="AJ28" s="73">
        <f t="shared" si="10"/>
        <v>25.58513111</v>
      </c>
      <c r="AK28" s="73">
        <f t="shared" si="11"/>
        <v>13.52810213</v>
      </c>
      <c r="AM28" s="51">
        <f t="shared" si="12"/>
        <v>1190.633574</v>
      </c>
      <c r="AN28" s="51" t="str">
        <f t="array" ref="AN28">XLOOKUP(D28,RUC!$B$3:$B$565,RUC!$M$3:$M$565)</f>
        <v>Evelyn</v>
      </c>
      <c r="AO28" s="131" t="s">
        <v>558</v>
      </c>
      <c r="AP28" s="57" t="s">
        <v>2020</v>
      </c>
      <c r="AQ28" s="57" t="s">
        <v>2059</v>
      </c>
      <c r="AV28" s="160" t="s">
        <v>689</v>
      </c>
      <c r="AW28" s="6">
        <f t="shared" si="31"/>
        <v>0</v>
      </c>
      <c r="AY28" s="58">
        <f t="shared" si="32"/>
        <v>0</v>
      </c>
      <c r="BA28" s="162">
        <f t="shared" si="33"/>
        <v>0</v>
      </c>
      <c r="BB28" s="456" t="s">
        <v>1206</v>
      </c>
      <c r="BC28" s="457">
        <f>-BC23-BC24+BC25+BC26+BC27</f>
        <v>138.072</v>
      </c>
    </row>
    <row r="29" ht="15.0" customHeight="1">
      <c r="A29" s="116" t="s">
        <v>2095</v>
      </c>
      <c r="B29" s="182">
        <v>45982.0</v>
      </c>
      <c r="C29" s="182">
        <v>45972.0</v>
      </c>
      <c r="D29" s="57" t="s">
        <v>295</v>
      </c>
      <c r="E29" s="3">
        <f t="array" ref="E29">XLOOKUP(D29,RUC!$B$3:$B$110,RUC!$D$3:$D$110)</f>
        <v>20601769396</v>
      </c>
      <c r="G29" s="141">
        <v>33.0</v>
      </c>
      <c r="H29" s="3" t="s">
        <v>71</v>
      </c>
      <c r="I29" s="6">
        <v>2.9</v>
      </c>
      <c r="J29" s="58">
        <v>11.85</v>
      </c>
      <c r="K29" s="6">
        <f t="shared" si="2"/>
        <v>2.556</v>
      </c>
      <c r="L29" s="3">
        <v>0.274</v>
      </c>
      <c r="M29" s="60">
        <f t="shared" si="30"/>
        <v>0.256</v>
      </c>
      <c r="N29" s="62">
        <f t="shared" ref="N29:N30" si="34">+M29</f>
        <v>0.256</v>
      </c>
      <c r="O29" s="60">
        <f t="shared" si="28"/>
        <v>0.256</v>
      </c>
      <c r="P29" s="63">
        <v>90.0</v>
      </c>
      <c r="Q29" s="458">
        <v>92.7</v>
      </c>
      <c r="R29" s="65">
        <v>4123.3</v>
      </c>
      <c r="S29" s="66">
        <f t="array" ref="S29">IF((XLOOKUP(D29,RUC!$B$3:$B$106,RUC!$E$3:$E$106)+ROUNDDOWN(O29,1)*100)&lt;95,95,((XLOOKUP(D29,RUC!$B$3:$B$106,RUC!$E$3:$E$106)+ROUNDDOWN(O29,1)*100)))</f>
        <v>110</v>
      </c>
      <c r="U29" s="67">
        <f t="array" ref="U29">XLOOKUP(D29,RUC!$B$3:$B$110,RUC!$F$3:$F$110)</f>
        <v>120</v>
      </c>
      <c r="V29" s="67">
        <v>1.1023</v>
      </c>
      <c r="Y29" s="57">
        <f t="array" ref="Y29">XLOOKUP(D29,RUC!$B$3:$B$110,RUC!$G$3:$G$110)</f>
        <v>20</v>
      </c>
      <c r="Z29" s="69">
        <f t="array" ref="Z29">XLOOKUP(D29,RUC!$B$3:$B$110,RUC!$H$3:$H$110)</f>
        <v>30</v>
      </c>
      <c r="AA29" s="70">
        <f t="shared" si="4"/>
        <v>50</v>
      </c>
      <c r="AB29" s="71">
        <f t="shared" si="24"/>
        <v>840.3497807</v>
      </c>
      <c r="AC29" s="71">
        <f>+(S29-T29)*V29-'data 1'!$F$4</f>
        <v>41.253</v>
      </c>
      <c r="AD29" s="71">
        <f t="shared" si="5"/>
        <v>32.64617249</v>
      </c>
      <c r="AE29" s="71">
        <f t="shared" si="6"/>
        <v>-14.885</v>
      </c>
      <c r="AF29" s="71">
        <f t="shared" si="7"/>
        <v>73.63260803</v>
      </c>
      <c r="AG29" s="72">
        <f t="shared" si="26"/>
        <v>149.6467805</v>
      </c>
      <c r="AH29" s="193">
        <f t="shared" si="8"/>
        <v>22.259</v>
      </c>
      <c r="AI29" s="193">
        <f t="shared" si="9"/>
        <v>24.012</v>
      </c>
      <c r="AJ29" s="73">
        <f t="shared" si="10"/>
        <v>55.0724585</v>
      </c>
      <c r="AK29" s="73">
        <f t="shared" si="11"/>
        <v>20.19074731</v>
      </c>
      <c r="AM29" s="51">
        <f t="shared" si="12"/>
        <v>2147.93404</v>
      </c>
      <c r="AN29" s="51" t="str">
        <f t="array" ref="AN29">XLOOKUP(D29,RUC!$B$3:$B$565,RUC!$M$3:$M$565)</f>
        <v>Evelyn</v>
      </c>
      <c r="AO29" s="131" t="s">
        <v>551</v>
      </c>
      <c r="AP29" s="57" t="s">
        <v>2020</v>
      </c>
      <c r="AQ29" s="57" t="s">
        <v>2059</v>
      </c>
      <c r="AV29" s="160" t="s">
        <v>690</v>
      </c>
      <c r="AW29" s="6">
        <f t="shared" si="31"/>
        <v>0</v>
      </c>
      <c r="AY29" s="58">
        <f t="shared" si="32"/>
        <v>0</v>
      </c>
      <c r="BA29" s="162">
        <f t="shared" si="33"/>
        <v>0</v>
      </c>
    </row>
    <row r="30" ht="15.0" customHeight="1">
      <c r="A30" s="116" t="s">
        <v>2096</v>
      </c>
      <c r="B30" s="182">
        <v>45982.0</v>
      </c>
      <c r="C30" s="182">
        <v>45972.0</v>
      </c>
      <c r="D30" s="57" t="s">
        <v>295</v>
      </c>
      <c r="E30" s="3">
        <f t="array" ref="E30">XLOOKUP(D30,RUC!$B$3:$B$110,RUC!$D$3:$D$110)</f>
        <v>20601769396</v>
      </c>
      <c r="G30" s="141">
        <v>33.0</v>
      </c>
      <c r="H30" s="3" t="s">
        <v>71</v>
      </c>
      <c r="I30" s="6">
        <v>2.81</v>
      </c>
      <c r="J30" s="58">
        <v>8.6</v>
      </c>
      <c r="K30" s="6">
        <f t="shared" si="2"/>
        <v>2.568</v>
      </c>
      <c r="L30" s="60">
        <v>0.24</v>
      </c>
      <c r="M30" s="60">
        <f t="shared" si="30"/>
        <v>0.222</v>
      </c>
      <c r="N30" s="62">
        <f t="shared" si="34"/>
        <v>0.222</v>
      </c>
      <c r="O30" s="60">
        <f t="shared" si="28"/>
        <v>0.222</v>
      </c>
      <c r="P30" s="63">
        <v>90.0</v>
      </c>
      <c r="Q30" s="458">
        <v>92.5</v>
      </c>
      <c r="R30" s="65">
        <v>4123.3</v>
      </c>
      <c r="S30" s="66">
        <f t="array" ref="S30">IF((XLOOKUP(D30,RUC!$B$3:$B$106,RUC!$E$3:$E$106)+ROUNDDOWN(O30,1)*100)&lt;95,95,((XLOOKUP(D30,RUC!$B$3:$B$106,RUC!$E$3:$E$106)+ROUNDDOWN(O30,1)*100)))</f>
        <v>110</v>
      </c>
      <c r="U30" s="67">
        <f t="array" ref="U30">XLOOKUP(D30,RUC!$B$3:$B$110,RUC!$F$3:$F$110)</f>
        <v>120</v>
      </c>
      <c r="V30" s="67">
        <v>1.1023</v>
      </c>
      <c r="Y30" s="57">
        <f t="array" ref="Y30">XLOOKUP(D30,RUC!$B$3:$B$110,RUC!$G$3:$G$110)</f>
        <v>20</v>
      </c>
      <c r="Z30" s="69">
        <f t="array" ref="Z30">XLOOKUP(D30,RUC!$B$3:$B$110,RUC!$H$3:$H$110)</f>
        <v>30</v>
      </c>
      <c r="AA30" s="70">
        <f t="shared" si="4"/>
        <v>50</v>
      </c>
      <c r="AB30" s="71">
        <f t="shared" si="24"/>
        <v>705.3169505</v>
      </c>
      <c r="AC30" s="71">
        <f>+(S30-T30)*V30-'data 1'!$F$4</f>
        <v>41.253</v>
      </c>
      <c r="AD30" s="71">
        <f t="shared" si="5"/>
        <v>26.47702554</v>
      </c>
      <c r="AE30" s="71">
        <f t="shared" si="6"/>
        <v>-14.885</v>
      </c>
      <c r="AF30" s="71">
        <f t="shared" si="7"/>
        <v>73.47374587</v>
      </c>
      <c r="AG30" s="72">
        <f t="shared" si="26"/>
        <v>143.3187714</v>
      </c>
      <c r="AH30" s="193">
        <f t="shared" si="8"/>
        <v>19.546</v>
      </c>
      <c r="AI30" s="193">
        <f t="shared" si="9"/>
        <v>21.131</v>
      </c>
      <c r="AJ30" s="73">
        <f t="shared" si="10"/>
        <v>48.13457502</v>
      </c>
      <c r="AK30" s="73">
        <f t="shared" si="11"/>
        <v>17.59136633</v>
      </c>
      <c r="AM30" s="51">
        <f t="shared" si="12"/>
        <v>1811.253929</v>
      </c>
      <c r="AN30" s="51" t="str">
        <f t="array" ref="AN30">XLOOKUP(D30,RUC!$B$3:$B$565,RUC!$M$3:$M$565)</f>
        <v>Evelyn</v>
      </c>
      <c r="AO30" s="131" t="s">
        <v>551</v>
      </c>
      <c r="AP30" s="57" t="s">
        <v>2020</v>
      </c>
      <c r="AQ30" s="57" t="s">
        <v>2059</v>
      </c>
      <c r="AV30" s="160" t="s">
        <v>691</v>
      </c>
      <c r="AW30" s="6">
        <f t="shared" si="31"/>
        <v>0</v>
      </c>
      <c r="AY30" s="58">
        <f t="shared" si="32"/>
        <v>0</v>
      </c>
      <c r="BA30" s="162">
        <f t="shared" si="33"/>
        <v>0</v>
      </c>
    </row>
    <row r="31" ht="15.0" customHeight="1">
      <c r="A31" s="116" t="s">
        <v>2097</v>
      </c>
      <c r="B31" s="182">
        <v>45982.0</v>
      </c>
      <c r="C31" s="182">
        <v>45972.0</v>
      </c>
      <c r="D31" s="57" t="s">
        <v>295</v>
      </c>
      <c r="E31" s="3">
        <f t="array" ref="E31">XLOOKUP(D31,RUC!$B$3:$B$110,RUC!$D$3:$D$110)</f>
        <v>20601769396</v>
      </c>
      <c r="G31" s="141">
        <v>33.0</v>
      </c>
      <c r="H31" s="3" t="s">
        <v>71</v>
      </c>
      <c r="I31" s="6">
        <v>2.86</v>
      </c>
      <c r="J31" s="58">
        <v>9.3</v>
      </c>
      <c r="K31" s="6">
        <f t="shared" si="2"/>
        <v>2.594</v>
      </c>
      <c r="L31" s="3">
        <v>0.282</v>
      </c>
      <c r="M31" s="60">
        <f t="shared" si="30"/>
        <v>0.264</v>
      </c>
      <c r="N31" s="75">
        <v>0.351</v>
      </c>
      <c r="O31" s="60">
        <f t="shared" si="28"/>
        <v>0.308</v>
      </c>
      <c r="P31" s="63">
        <v>90.0</v>
      </c>
      <c r="Q31" s="458">
        <v>95.74</v>
      </c>
      <c r="R31" s="65">
        <v>4123.3</v>
      </c>
      <c r="S31" s="66">
        <f t="array" ref="S31">IF((XLOOKUP(D31,RUC!$B$3:$B$106,RUC!$E$3:$E$106)+ROUNDDOWN(O31,1)*100)&lt;95,95,((XLOOKUP(D31,RUC!$B$3:$B$106,RUC!$E$3:$E$106)+ROUNDDOWN(O31,1)*100)))</f>
        <v>120</v>
      </c>
      <c r="U31" s="67">
        <f t="array" ref="U31">XLOOKUP(D31,RUC!$B$3:$B$110,RUC!$F$3:$F$110)</f>
        <v>120</v>
      </c>
      <c r="V31" s="67">
        <v>1.1023</v>
      </c>
      <c r="Y31" s="87">
        <v>35.0</v>
      </c>
      <c r="Z31" s="69">
        <f t="array" ref="Z31">XLOOKUP(D31,RUC!$B$3:$B$110,RUC!$H$3:$H$110)</f>
        <v>30</v>
      </c>
      <c r="AA31" s="70">
        <f t="shared" si="4"/>
        <v>65</v>
      </c>
      <c r="AB31" s="71">
        <f t="shared" si="24"/>
        <v>1019.31308</v>
      </c>
      <c r="AC31" s="71">
        <f>+(S31-T31)*V31-'data 1'!$F$4</f>
        <v>52.276</v>
      </c>
      <c r="AD31" s="71">
        <f t="shared" si="5"/>
        <v>71.4297195</v>
      </c>
      <c r="AE31" s="71">
        <f t="shared" si="6"/>
        <v>1.6495</v>
      </c>
      <c r="AF31" s="71">
        <f t="shared" si="7"/>
        <v>-109.8461184</v>
      </c>
      <c r="AG31" s="72">
        <f t="shared" si="26"/>
        <v>32.50910108</v>
      </c>
      <c r="AH31" s="193">
        <f t="shared" si="8"/>
        <v>24.012</v>
      </c>
      <c r="AI31" s="193">
        <f t="shared" si="9"/>
        <v>25.08</v>
      </c>
      <c r="AJ31" s="73">
        <f t="shared" si="10"/>
        <v>58.53918864</v>
      </c>
      <c r="AK31" s="73">
        <f t="shared" si="11"/>
        <v>24.65314142</v>
      </c>
      <c r="AM31" s="51">
        <f t="shared" si="12"/>
        <v>2644.098129</v>
      </c>
      <c r="AN31" s="51" t="str">
        <f t="array" ref="AN31">XLOOKUP(D31,RUC!$B$3:$B$565,RUC!$M$3:$M$565)</f>
        <v>Evelyn</v>
      </c>
      <c r="AO31" s="131" t="s">
        <v>551</v>
      </c>
      <c r="AP31" s="57" t="s">
        <v>2020</v>
      </c>
      <c r="AQ31" s="57" t="s">
        <v>2059</v>
      </c>
      <c r="AV31" s="160" t="s">
        <v>692</v>
      </c>
      <c r="AW31" s="6">
        <f t="shared" si="31"/>
        <v>0</v>
      </c>
      <c r="AY31" s="58">
        <f t="shared" si="32"/>
        <v>0</v>
      </c>
      <c r="BA31" s="162">
        <f t="shared" si="33"/>
        <v>0</v>
      </c>
    </row>
    <row r="32" ht="15.0" customHeight="1">
      <c r="A32" s="116" t="s">
        <v>2098</v>
      </c>
      <c r="B32" s="182">
        <v>45977.0</v>
      </c>
      <c r="C32" s="182">
        <v>45972.0</v>
      </c>
      <c r="D32" s="57" t="s">
        <v>306</v>
      </c>
      <c r="E32" s="3">
        <f t="array" ref="E32">XLOOKUP(D32,RUC!$B$3:$B$110,RUC!$D$3:$D$110)</f>
        <v>20612921866</v>
      </c>
      <c r="G32" s="141">
        <v>18.0</v>
      </c>
      <c r="H32" s="3" t="s">
        <v>47</v>
      </c>
      <c r="I32" s="6">
        <v>1.01</v>
      </c>
      <c r="J32" s="58">
        <v>1.2</v>
      </c>
      <c r="K32" s="6">
        <f t="shared" si="2"/>
        <v>0.998</v>
      </c>
      <c r="L32" s="3">
        <v>0.163</v>
      </c>
      <c r="M32" s="60">
        <f t="shared" si="30"/>
        <v>0.145</v>
      </c>
      <c r="N32" s="62">
        <f t="shared" ref="N32:N47" si="35">+M32</f>
        <v>0.145</v>
      </c>
      <c r="O32" s="60">
        <f t="shared" si="28"/>
        <v>0.145</v>
      </c>
      <c r="P32" s="63">
        <v>90.0</v>
      </c>
      <c r="Q32" s="458">
        <v>96.32</v>
      </c>
      <c r="R32" s="65">
        <v>4123.3</v>
      </c>
      <c r="S32" s="66">
        <f t="array" ref="S32">IF((XLOOKUP(D32,RUC!$B$3:$B$106,RUC!$E$3:$E$106)+ROUNDDOWN(O32,1)*100)&lt;95,95,((XLOOKUP(D32,RUC!$B$3:$B$106,RUC!$E$3:$E$106)+ROUNDDOWN(O32,1)*100)))</f>
        <v>95</v>
      </c>
      <c r="U32" s="67">
        <f t="array" ref="U32">XLOOKUP(D32,RUC!$B$3:$B$110,RUC!$F$3:$F$110)</f>
        <v>100</v>
      </c>
      <c r="V32" s="67">
        <v>1.1023</v>
      </c>
      <c r="Y32" s="57" t="str">
        <f t="array" ref="Y32">XLOOKUP(D32,RUC!$B$3:$B$110,RUC!$G$3:$G$110)</f>
        <v/>
      </c>
      <c r="Z32" s="69">
        <f t="array" ref="Z32">XLOOKUP(D32,RUC!$B$3:$B$110,RUC!$H$3:$H$110)</f>
        <v>30</v>
      </c>
      <c r="AA32" s="70">
        <f t="shared" si="4"/>
        <v>30</v>
      </c>
      <c r="AB32" s="71">
        <f t="shared" si="24"/>
        <v>440.9648085</v>
      </c>
      <c r="AC32" s="71">
        <f>+(S32-T32)*V32-'data 1'!$F$4</f>
        <v>24.7185</v>
      </c>
      <c r="AD32" s="71">
        <f t="shared" si="5"/>
        <v>45.68639679</v>
      </c>
      <c r="AE32" s="71">
        <f t="shared" si="6"/>
        <v>-36.931</v>
      </c>
      <c r="AF32" s="71">
        <f t="shared" si="7"/>
        <v>76.89023773</v>
      </c>
      <c r="AG32" s="72">
        <f t="shared" ref="AG32:AG33" si="36">AC32+AD32+AE32+AF32+70-10</f>
        <v>170.3641345</v>
      </c>
      <c r="AH32" s="193">
        <f t="shared" si="8"/>
        <v>5.372</v>
      </c>
      <c r="AI32" s="193">
        <f t="shared" si="9"/>
        <v>5.577</v>
      </c>
      <c r="AJ32" s="73">
        <f t="shared" si="10"/>
        <v>30.58020801</v>
      </c>
      <c r="AK32" s="73">
        <f t="shared" si="11"/>
        <v>4.465294654</v>
      </c>
      <c r="AM32" s="51">
        <f t="shared" si="12"/>
        <v>440.0828789</v>
      </c>
      <c r="AN32" s="51" t="str">
        <f t="array" ref="AN32">XLOOKUP(D32,RUC!$B$3:$B$565,RUC!$M$3:$M$565)</f>
        <v>Ronald Garibay</v>
      </c>
      <c r="AO32" s="131" t="s">
        <v>558</v>
      </c>
      <c r="AP32" s="57" t="s">
        <v>2099</v>
      </c>
      <c r="AQ32" s="57" t="s">
        <v>717</v>
      </c>
      <c r="AV32" s="163" t="s">
        <v>693</v>
      </c>
      <c r="AW32" s="165">
        <f t="shared" si="31"/>
        <v>0</v>
      </c>
      <c r="AX32" s="170"/>
      <c r="AY32" s="168">
        <f t="shared" si="32"/>
        <v>0</v>
      </c>
      <c r="AZ32" s="170"/>
      <c r="BA32" s="171">
        <f t="shared" si="33"/>
        <v>0</v>
      </c>
    </row>
    <row r="33" ht="15.0" customHeight="1">
      <c r="A33" s="116" t="s">
        <v>2100</v>
      </c>
      <c r="B33" s="182">
        <v>45977.0</v>
      </c>
      <c r="C33" s="182">
        <v>45972.0</v>
      </c>
      <c r="D33" s="57" t="s">
        <v>306</v>
      </c>
      <c r="E33" s="3">
        <f t="array" ref="E33">XLOOKUP(D33,RUC!$B$3:$B$110,RUC!$D$3:$D$110)</f>
        <v>20612921866</v>
      </c>
      <c r="G33" s="141">
        <v>26.0</v>
      </c>
      <c r="H33" s="3" t="s">
        <v>40</v>
      </c>
      <c r="I33" s="6">
        <v>1.79</v>
      </c>
      <c r="J33" s="58">
        <v>1.15</v>
      </c>
      <c r="K33" s="6">
        <f t="shared" si="2"/>
        <v>1.769</v>
      </c>
      <c r="L33" s="3">
        <v>0.224</v>
      </c>
      <c r="M33" s="60">
        <f t="shared" si="30"/>
        <v>0.206</v>
      </c>
      <c r="N33" s="62">
        <f t="shared" si="35"/>
        <v>0.206</v>
      </c>
      <c r="O33" s="60">
        <f t="shared" si="28"/>
        <v>0.206</v>
      </c>
      <c r="P33" s="63">
        <v>90.0</v>
      </c>
      <c r="Q33" s="458">
        <v>94.2</v>
      </c>
      <c r="R33" s="65">
        <v>4123.3</v>
      </c>
      <c r="S33" s="66">
        <f t="array" ref="S33">IF((XLOOKUP(D33,RUC!$B$3:$B$106,RUC!$E$3:$E$106)+ROUNDDOWN(O33,1)*100)&lt;95,95,((XLOOKUP(D33,RUC!$B$3:$B$106,RUC!$E$3:$E$106)+ROUNDDOWN(O33,1)*100)))</f>
        <v>100</v>
      </c>
      <c r="U33" s="67">
        <f t="array" ref="U33">XLOOKUP(D33,RUC!$B$3:$B$110,RUC!$F$3:$F$110)</f>
        <v>100</v>
      </c>
      <c r="V33" s="67">
        <v>1.1023</v>
      </c>
      <c r="Y33" s="57" t="str">
        <f t="array" ref="Y33">XLOOKUP(D33,RUC!$B$3:$B$110,RUC!$G$3:$G$110)</f>
        <v/>
      </c>
      <c r="Z33" s="69">
        <f t="array" ref="Z33">XLOOKUP(D33,RUC!$B$3:$B$110,RUC!$H$3:$H$110)</f>
        <v>30</v>
      </c>
      <c r="AA33" s="70">
        <f t="shared" si="4"/>
        <v>30</v>
      </c>
      <c r="AB33" s="71">
        <f t="shared" si="24"/>
        <v>678.9284176</v>
      </c>
      <c r="AC33" s="71">
        <f>+(S33-T33)*V33-'data 1'!$F$4</f>
        <v>30.23</v>
      </c>
      <c r="AD33" s="71">
        <f t="shared" si="5"/>
        <v>41.72338481</v>
      </c>
      <c r="AE33" s="71">
        <f t="shared" si="6"/>
        <v>-36.931</v>
      </c>
      <c r="AF33" s="71">
        <f t="shared" si="7"/>
        <v>75.19788615</v>
      </c>
      <c r="AG33" s="72">
        <f t="shared" si="36"/>
        <v>170.220271</v>
      </c>
      <c r="AH33" s="193">
        <f t="shared" si="8"/>
        <v>12.798</v>
      </c>
      <c r="AI33" s="193">
        <f t="shared" si="9"/>
        <v>13.586</v>
      </c>
      <c r="AJ33" s="73">
        <f t="shared" si="10"/>
        <v>41.09938072</v>
      </c>
      <c r="AK33" s="73">
        <f t="shared" si="11"/>
        <v>11.24466786</v>
      </c>
      <c r="AM33" s="51">
        <f t="shared" si="12"/>
        <v>1201.024371</v>
      </c>
      <c r="AN33" s="51" t="str">
        <f t="array" ref="AN33">XLOOKUP(D33,RUC!$B$3:$B$565,RUC!$M$3:$M$565)</f>
        <v>Ronald Garibay</v>
      </c>
      <c r="AO33" s="131" t="s">
        <v>558</v>
      </c>
      <c r="AP33" s="57" t="s">
        <v>2099</v>
      </c>
      <c r="AQ33" s="57" t="s">
        <v>717</v>
      </c>
    </row>
    <row r="34" ht="15.0" customHeight="1">
      <c r="A34" s="116" t="s">
        <v>2101</v>
      </c>
      <c r="B34" s="182">
        <v>45978.0</v>
      </c>
      <c r="C34" s="182">
        <v>45972.0</v>
      </c>
      <c r="D34" s="57" t="s">
        <v>295</v>
      </c>
      <c r="E34" s="3">
        <f t="array" ref="E34">XLOOKUP(D34,RUC!$B$3:$B$110,RUC!$D$3:$D$110)</f>
        <v>20601769396</v>
      </c>
      <c r="G34" s="141">
        <v>34.0</v>
      </c>
      <c r="H34" s="3" t="s">
        <v>71</v>
      </c>
      <c r="I34" s="6">
        <v>3.33</v>
      </c>
      <c r="J34" s="58">
        <v>6.95</v>
      </c>
      <c r="K34" s="6">
        <f t="shared" si="2"/>
        <v>3.099</v>
      </c>
      <c r="L34" s="3">
        <v>0.304</v>
      </c>
      <c r="M34" s="60">
        <f t="shared" si="30"/>
        <v>0.286</v>
      </c>
      <c r="N34" s="62">
        <f t="shared" si="35"/>
        <v>0.286</v>
      </c>
      <c r="O34" s="60">
        <f t="shared" si="28"/>
        <v>0.286</v>
      </c>
      <c r="P34" s="63">
        <v>90.0</v>
      </c>
      <c r="Q34" s="458">
        <v>93.75</v>
      </c>
      <c r="R34" s="65">
        <v>4123.3</v>
      </c>
      <c r="S34" s="66">
        <f t="array" ref="S34">IF((XLOOKUP(D34,RUC!$B$3:$B$106,RUC!$E$3:$E$106)+ROUNDDOWN(O34,1)*100)&lt;95,95,((XLOOKUP(D34,RUC!$B$3:$B$106,RUC!$E$3:$E$106)+ROUNDDOWN(O34,1)*100)))</f>
        <v>110</v>
      </c>
      <c r="U34" s="67">
        <f t="array" ref="U34">XLOOKUP(D34,RUC!$B$3:$B$110,RUC!$F$3:$F$110)</f>
        <v>120</v>
      </c>
      <c r="V34" s="67">
        <v>1.1023</v>
      </c>
      <c r="Y34" s="57">
        <f t="array" ref="Y34">XLOOKUP(D34,RUC!$B$3:$B$110,RUC!$G$3:$G$110)</f>
        <v>20</v>
      </c>
      <c r="Z34" s="69">
        <f t="array" ref="Z34">XLOOKUP(D34,RUC!$B$3:$B$110,RUC!$H$3:$H$110)</f>
        <v>30</v>
      </c>
      <c r="AA34" s="70">
        <f t="shared" si="4"/>
        <v>50</v>
      </c>
      <c r="AB34" s="71">
        <f t="shared" si="24"/>
        <v>959.4963957</v>
      </c>
      <c r="AC34" s="71">
        <f>+(S34-T34)*V34-'data 1'!$F$4</f>
        <v>41.253</v>
      </c>
      <c r="AD34" s="71">
        <f t="shared" si="5"/>
        <v>50.30634853</v>
      </c>
      <c r="AE34" s="71">
        <f t="shared" si="6"/>
        <v>-14.885</v>
      </c>
      <c r="AF34" s="71">
        <f t="shared" si="7"/>
        <v>74.46663433</v>
      </c>
      <c r="AG34" s="72">
        <f>AC34+AD34+AE34+AF34+70-53</f>
        <v>168.1409829</v>
      </c>
      <c r="AH34" s="193">
        <f t="shared" si="8"/>
        <v>30.281</v>
      </c>
      <c r="AI34" s="193">
        <f t="shared" si="9"/>
        <v>32.3</v>
      </c>
      <c r="AJ34" s="73">
        <f t="shared" si="10"/>
        <v>61.79438685</v>
      </c>
      <c r="AK34" s="73">
        <f t="shared" si="11"/>
        <v>27.34885748</v>
      </c>
      <c r="AM34" s="51">
        <f t="shared" si="12"/>
        <v>2973.47933</v>
      </c>
      <c r="AN34" s="51" t="str">
        <f t="array" ref="AN34">XLOOKUP(D34,RUC!$B$3:$B$565,RUC!$M$3:$M$565)</f>
        <v>Evelyn</v>
      </c>
      <c r="AO34" s="131" t="s">
        <v>558</v>
      </c>
      <c r="AP34" s="57" t="s">
        <v>2020</v>
      </c>
      <c r="AQ34" s="57" t="s">
        <v>2059</v>
      </c>
    </row>
    <row r="35" ht="14.25" customHeight="1">
      <c r="A35" s="116" t="s">
        <v>2102</v>
      </c>
      <c r="B35" s="182">
        <v>45977.0</v>
      </c>
      <c r="C35" s="182">
        <v>45972.0</v>
      </c>
      <c r="D35" s="57" t="s">
        <v>306</v>
      </c>
      <c r="E35" s="3">
        <f t="array" ref="E35">XLOOKUP(D35,RUC!$B$3:$B$110,RUC!$D$3:$D$110)</f>
        <v>20612921866</v>
      </c>
      <c r="G35" s="141">
        <v>82.0</v>
      </c>
      <c r="H35" s="3" t="s">
        <v>47</v>
      </c>
      <c r="I35" s="6">
        <v>8.92</v>
      </c>
      <c r="J35" s="58">
        <v>1.25</v>
      </c>
      <c r="K35" s="6">
        <f t="shared" si="2"/>
        <v>8.809</v>
      </c>
      <c r="L35" s="3">
        <v>0.143</v>
      </c>
      <c r="M35" s="60">
        <f t="shared" si="30"/>
        <v>0.125</v>
      </c>
      <c r="N35" s="62">
        <f t="shared" si="35"/>
        <v>0.125</v>
      </c>
      <c r="O35" s="60">
        <f t="shared" si="28"/>
        <v>0.125</v>
      </c>
      <c r="P35" s="63">
        <v>90.0</v>
      </c>
      <c r="Q35" s="458">
        <v>97.2</v>
      </c>
      <c r="R35" s="65">
        <v>4123.3</v>
      </c>
      <c r="S35" s="66">
        <f t="array" ref="S35">IF((XLOOKUP(D35,RUC!$B$3:$B$106,RUC!$E$3:$E$106)+ROUNDDOWN(O35,1)*100)&lt;95,95,((XLOOKUP(D35,RUC!$B$3:$B$106,RUC!$E$3:$E$106)+ROUNDDOWN(O35,1)*100)))</f>
        <v>95</v>
      </c>
      <c r="U35" s="67">
        <f t="array" ref="U35">XLOOKUP(D35,RUC!$B$3:$B$110,RUC!$F$3:$F$110)</f>
        <v>100</v>
      </c>
      <c r="V35" s="67">
        <v>1.1023</v>
      </c>
      <c r="Y35" s="57" t="str">
        <f t="array" ref="Y35">XLOOKUP(D35,RUC!$B$3:$B$110,RUC!$G$3:$G$110)</f>
        <v/>
      </c>
      <c r="Z35" s="69">
        <f t="array" ref="Z35">XLOOKUP(D35,RUC!$B$3:$B$110,RUC!$H$3:$H$110)</f>
        <v>30</v>
      </c>
      <c r="AA35" s="70">
        <f t="shared" si="4"/>
        <v>30</v>
      </c>
      <c r="AB35" s="71">
        <f t="shared" si="24"/>
        <v>361.1369039</v>
      </c>
      <c r="AC35" s="71">
        <f>+(S35-T35)*V35-'data 1'!$F$4</f>
        <v>24.7185</v>
      </c>
      <c r="AD35" s="71">
        <f t="shared" si="5"/>
        <v>45.66156144</v>
      </c>
      <c r="AE35" s="71">
        <f t="shared" si="6"/>
        <v>-36.931</v>
      </c>
      <c r="AF35" s="71">
        <f t="shared" si="7"/>
        <v>77.59272329</v>
      </c>
      <c r="AG35" s="72">
        <f>AC35+AD35+AE35+AF35+70-10</f>
        <v>171.0417847</v>
      </c>
      <c r="AH35" s="193">
        <f t="shared" si="8"/>
        <v>41.98</v>
      </c>
      <c r="AI35" s="193">
        <f t="shared" si="9"/>
        <v>43.189</v>
      </c>
      <c r="AJ35" s="73">
        <f t="shared" si="10"/>
        <v>27.07314188</v>
      </c>
      <c r="AK35" s="73">
        <f t="shared" si="11"/>
        <v>33.97724812</v>
      </c>
      <c r="AM35" s="51">
        <f t="shared" si="12"/>
        <v>3181.254986</v>
      </c>
      <c r="AN35" s="51" t="str">
        <f t="array" ref="AN35">XLOOKUP(D35,RUC!$B$3:$B$565,RUC!$M$3:$M$565)</f>
        <v>Ronald Garibay</v>
      </c>
      <c r="AO35" s="131" t="s">
        <v>558</v>
      </c>
      <c r="AP35" s="57" t="s">
        <v>2099</v>
      </c>
      <c r="AQ35" s="57" t="s">
        <v>717</v>
      </c>
    </row>
    <row r="36" ht="15.0" customHeight="1">
      <c r="A36" s="116" t="s">
        <v>2103</v>
      </c>
      <c r="B36" s="182">
        <v>45980.0</v>
      </c>
      <c r="C36" s="182">
        <v>45972.0</v>
      </c>
      <c r="D36" s="57" t="s">
        <v>295</v>
      </c>
      <c r="E36" s="3">
        <f t="array" ref="E36">XLOOKUP(D36,RUC!$B$3:$B$110,RUC!$D$3:$D$110)</f>
        <v>20601769396</v>
      </c>
      <c r="G36" s="141">
        <v>30.0</v>
      </c>
      <c r="H36" s="3" t="s">
        <v>71</v>
      </c>
      <c r="I36" s="6">
        <v>2.41</v>
      </c>
      <c r="J36" s="58">
        <v>6.6</v>
      </c>
      <c r="K36" s="6">
        <f t="shared" si="2"/>
        <v>2.251</v>
      </c>
      <c r="L36" s="3">
        <v>0.202</v>
      </c>
      <c r="M36" s="60">
        <f t="shared" si="30"/>
        <v>0.184</v>
      </c>
      <c r="N36" s="62">
        <f t="shared" si="35"/>
        <v>0.184</v>
      </c>
      <c r="O36" s="123">
        <v>0.265</v>
      </c>
      <c r="P36" s="63">
        <v>90.0</v>
      </c>
      <c r="Q36" s="458">
        <v>94.06</v>
      </c>
      <c r="R36" s="65">
        <v>4123.3</v>
      </c>
      <c r="S36" s="66">
        <f t="array" ref="S36">IF((XLOOKUP(D36,RUC!$B$3:$B$106,RUC!$E$3:$E$106)+ROUNDDOWN(O36,1)*100)&lt;95,95,((XLOOKUP(D36,RUC!$B$3:$B$106,RUC!$E$3:$E$106)+ROUNDDOWN(O36,1)*100)))</f>
        <v>110</v>
      </c>
      <c r="U36" s="67">
        <f t="array" ref="U36">XLOOKUP(D36,RUC!$B$3:$B$110,RUC!$F$3:$F$110)</f>
        <v>120</v>
      </c>
      <c r="V36" s="67">
        <v>1.1023</v>
      </c>
      <c r="Y36" s="87">
        <v>40.0</v>
      </c>
      <c r="Z36" s="69">
        <f t="array" ref="Z36">XLOOKUP(D36,RUC!$B$3:$B$110,RUC!$H$3:$H$110)</f>
        <v>30</v>
      </c>
      <c r="AA36" s="70">
        <f t="shared" si="4"/>
        <v>70</v>
      </c>
      <c r="AB36" s="71">
        <f t="shared" si="24"/>
        <v>854.0477652</v>
      </c>
      <c r="AC36" s="71">
        <f>+(S36-T36)*V36-'data 1'!$F$4</f>
        <v>41.253</v>
      </c>
      <c r="AD36" s="71">
        <f t="shared" si="5"/>
        <v>36.19056364</v>
      </c>
      <c r="AE36" s="71">
        <f t="shared" si="6"/>
        <v>7.161</v>
      </c>
      <c r="AF36" s="71">
        <f t="shared" si="7"/>
        <v>-261.4950473</v>
      </c>
      <c r="AG36" s="72">
        <f t="shared" ref="AG36:AG40" si="37">AC36+AD36+AE36+AF36+70-53</f>
        <v>-159.8904837</v>
      </c>
      <c r="AH36" s="193">
        <f t="shared" si="8"/>
        <v>14.664</v>
      </c>
      <c r="AI36" s="193">
        <f t="shared" si="9"/>
        <v>15.59</v>
      </c>
      <c r="AJ36" s="73">
        <f t="shared" si="10"/>
        <v>41.19651809</v>
      </c>
      <c r="AK36" s="73">
        <f t="shared" si="11"/>
        <v>18.40657343</v>
      </c>
      <c r="AM36" s="51">
        <f t="shared" si="12"/>
        <v>1922.461519</v>
      </c>
      <c r="AN36" s="51" t="str">
        <f t="array" ref="AN36">XLOOKUP(D36,RUC!$B$3:$B$565,RUC!$M$3:$M$565)</f>
        <v>Evelyn</v>
      </c>
      <c r="AO36" s="131" t="s">
        <v>551</v>
      </c>
      <c r="AP36" s="57" t="s">
        <v>2020</v>
      </c>
      <c r="AQ36" s="57" t="s">
        <v>2059</v>
      </c>
      <c r="AR36" s="2" t="s">
        <v>2104</v>
      </c>
    </row>
    <row r="37" ht="15.0" customHeight="1">
      <c r="A37" s="116" t="s">
        <v>2105</v>
      </c>
      <c r="B37" s="182">
        <v>45977.0</v>
      </c>
      <c r="C37" s="182">
        <v>45973.0</v>
      </c>
      <c r="D37" s="57" t="s">
        <v>295</v>
      </c>
      <c r="E37" s="3">
        <f t="array" ref="E37">XLOOKUP(D37,RUC!$B$3:$B$110,RUC!$D$3:$D$110)</f>
        <v>20601769396</v>
      </c>
      <c r="G37" s="141">
        <v>20.0</v>
      </c>
      <c r="H37" s="3" t="s">
        <v>47</v>
      </c>
      <c r="I37" s="6">
        <v>1.76</v>
      </c>
      <c r="J37" s="58">
        <v>5.0</v>
      </c>
      <c r="K37" s="6">
        <f t="shared" si="2"/>
        <v>1.672</v>
      </c>
      <c r="L37" s="3">
        <v>0.269</v>
      </c>
      <c r="M37" s="60">
        <f t="shared" si="30"/>
        <v>0.251</v>
      </c>
      <c r="N37" s="62">
        <f t="shared" si="35"/>
        <v>0.251</v>
      </c>
      <c r="O37" s="60">
        <f t="shared" ref="O37:O45" si="38">+ROUND((M37+N37)/2,3)</f>
        <v>0.251</v>
      </c>
      <c r="P37" s="63">
        <v>90.0</v>
      </c>
      <c r="Q37" s="458">
        <v>96.28</v>
      </c>
      <c r="R37" s="65">
        <v>4136.75</v>
      </c>
      <c r="S37" s="66">
        <f t="array" ref="S37">IF((XLOOKUP(D37,RUC!$B$3:$B$106,RUC!$E$3:$E$106)+ROUNDDOWN(O37,1)*100)&lt;95,95,((XLOOKUP(D37,RUC!$B$3:$B$106,RUC!$E$3:$E$106)+ROUNDDOWN(O37,1)*100)))</f>
        <v>110</v>
      </c>
      <c r="U37" s="67">
        <f t="array" ref="U37">XLOOKUP(D37,RUC!$B$3:$B$110,RUC!$F$3:$F$110)</f>
        <v>120</v>
      </c>
      <c r="V37" s="67">
        <v>1.1023</v>
      </c>
      <c r="Y37" s="57">
        <f t="array" ref="Y37">XLOOKUP(D37,RUC!$B$3:$B$110,RUC!$G$3:$G$110)</f>
        <v>20</v>
      </c>
      <c r="Z37" s="69">
        <f t="array" ref="Z37">XLOOKUP(D37,RUC!$B$3:$B$110,RUC!$H$3:$H$110)</f>
        <v>30</v>
      </c>
      <c r="AA37" s="70">
        <f t="shared" si="4"/>
        <v>50</v>
      </c>
      <c r="AB37" s="71">
        <f t="shared" si="24"/>
        <v>823.8411903</v>
      </c>
      <c r="AC37" s="71">
        <f>+(S37-T37)*V37-'data 1'!$F$4</f>
        <v>41.253</v>
      </c>
      <c r="AD37" s="71">
        <f t="shared" si="5"/>
        <v>74.79740546</v>
      </c>
      <c r="AE37" s="71">
        <f t="shared" si="6"/>
        <v>-14.885</v>
      </c>
      <c r="AF37" s="71">
        <f t="shared" si="7"/>
        <v>76.73317995</v>
      </c>
      <c r="AG37" s="72">
        <f t="shared" si="37"/>
        <v>194.8985854</v>
      </c>
      <c r="AH37" s="193">
        <f t="shared" si="8"/>
        <v>14.847</v>
      </c>
      <c r="AI37" s="193">
        <f t="shared" si="9"/>
        <v>15.42</v>
      </c>
      <c r="AJ37" s="73">
        <f t="shared" si="10"/>
        <v>52.31571345</v>
      </c>
      <c r="AK37" s="73">
        <f t="shared" si="11"/>
        <v>12.94975564</v>
      </c>
      <c r="AM37" s="51">
        <f t="shared" si="12"/>
        <v>1377.46247</v>
      </c>
      <c r="AN37" s="51" t="str">
        <f t="array" ref="AN37">XLOOKUP(D37,RUC!$B$3:$B$565,RUC!$M$3:$M$565)</f>
        <v>Evelyn</v>
      </c>
      <c r="AO37" s="131" t="s">
        <v>551</v>
      </c>
      <c r="AP37" s="57" t="s">
        <v>2106</v>
      </c>
      <c r="AQ37" s="57" t="s">
        <v>2107</v>
      </c>
    </row>
    <row r="38" ht="15.0" customHeight="1">
      <c r="A38" s="116" t="s">
        <v>2108</v>
      </c>
      <c r="B38" s="182">
        <v>45977.0</v>
      </c>
      <c r="C38" s="182">
        <v>45973.0</v>
      </c>
      <c r="D38" s="57" t="s">
        <v>295</v>
      </c>
      <c r="E38" s="3">
        <f t="array" ref="E38">XLOOKUP(D38,RUC!$B$3:$B$110,RUC!$D$3:$D$110)</f>
        <v>20601769396</v>
      </c>
      <c r="G38" s="141">
        <v>30.0</v>
      </c>
      <c r="H38" s="3" t="s">
        <v>47</v>
      </c>
      <c r="I38" s="6">
        <v>2.45</v>
      </c>
      <c r="J38" s="58">
        <v>8.8</v>
      </c>
      <c r="K38" s="6">
        <f t="shared" si="2"/>
        <v>2.234</v>
      </c>
      <c r="L38" s="3">
        <v>0.289</v>
      </c>
      <c r="M38" s="60">
        <f t="shared" si="30"/>
        <v>0.271</v>
      </c>
      <c r="N38" s="62">
        <f t="shared" si="35"/>
        <v>0.271</v>
      </c>
      <c r="O38" s="60">
        <f t="shared" si="38"/>
        <v>0.271</v>
      </c>
      <c r="P38" s="63">
        <v>90.0</v>
      </c>
      <c r="Q38" s="458">
        <v>95.85</v>
      </c>
      <c r="R38" s="65">
        <v>4136.75</v>
      </c>
      <c r="S38" s="66">
        <f t="array" ref="S38">IF((XLOOKUP(D38,RUC!$B$3:$B$106,RUC!$E$3:$E$106)+ROUNDDOWN(O38,1)*100)&lt;95,95,((XLOOKUP(D38,RUC!$B$3:$B$106,RUC!$E$3:$E$106)+ROUNDDOWN(O38,1)*100)))</f>
        <v>110</v>
      </c>
      <c r="U38" s="67">
        <f t="array" ref="U38">XLOOKUP(D38,RUC!$B$3:$B$110,RUC!$F$3:$F$110)</f>
        <v>120</v>
      </c>
      <c r="V38" s="67">
        <v>1.1023</v>
      </c>
      <c r="Y38" s="57">
        <f t="array" ref="Y38">XLOOKUP(D38,RUC!$B$3:$B$110,RUC!$G$3:$G$110)</f>
        <v>20</v>
      </c>
      <c r="Z38" s="69">
        <f t="array" ref="Z38">XLOOKUP(D38,RUC!$B$3:$B$110,RUC!$H$3:$H$110)</f>
        <v>30</v>
      </c>
      <c r="AA38" s="70">
        <f t="shared" si="4"/>
        <v>50</v>
      </c>
      <c r="AB38" s="71">
        <f t="shared" si="24"/>
        <v>903.5391337</v>
      </c>
      <c r="AC38" s="71">
        <f>+(S38-T38)*V38-'data 1'!$F$4</f>
        <v>41.253</v>
      </c>
      <c r="AD38" s="71">
        <f t="shared" si="5"/>
        <v>74.85629339</v>
      </c>
      <c r="AE38" s="71">
        <f t="shared" si="6"/>
        <v>-14.885</v>
      </c>
      <c r="AF38" s="71">
        <f t="shared" si="7"/>
        <v>76.3904788</v>
      </c>
      <c r="AG38" s="72">
        <f t="shared" si="37"/>
        <v>194.6147722</v>
      </c>
      <c r="AH38" s="193">
        <f t="shared" si="8"/>
        <v>21.217</v>
      </c>
      <c r="AI38" s="193">
        <f t="shared" si="9"/>
        <v>22.136</v>
      </c>
      <c r="AJ38" s="73">
        <f t="shared" si="10"/>
        <v>55.95433655</v>
      </c>
      <c r="AK38" s="73">
        <f t="shared" si="11"/>
        <v>18.68116853</v>
      </c>
      <c r="AM38" s="51">
        <f t="shared" si="12"/>
        <v>2018.506425</v>
      </c>
      <c r="AN38" s="51" t="str">
        <f t="array" ref="AN38">XLOOKUP(D38,RUC!$B$3:$B$565,RUC!$M$3:$M$565)</f>
        <v>Evelyn</v>
      </c>
      <c r="AO38" s="131" t="s">
        <v>551</v>
      </c>
      <c r="AP38" s="57" t="s">
        <v>2106</v>
      </c>
      <c r="AQ38" s="57" t="s">
        <v>2107</v>
      </c>
    </row>
    <row r="39" ht="15.0" customHeight="1">
      <c r="A39" s="116" t="s">
        <v>2109</v>
      </c>
      <c r="B39" s="182">
        <v>45977.0</v>
      </c>
      <c r="C39" s="182">
        <v>45973.0</v>
      </c>
      <c r="D39" s="57" t="s">
        <v>295</v>
      </c>
      <c r="E39" s="3">
        <f t="array" ref="E39">XLOOKUP(D39,RUC!$B$3:$B$110,RUC!$D$3:$D$110)</f>
        <v>20601769396</v>
      </c>
      <c r="G39" s="141">
        <v>30.0</v>
      </c>
      <c r="H39" s="3" t="s">
        <v>71</v>
      </c>
      <c r="I39" s="6">
        <v>2.24</v>
      </c>
      <c r="J39" s="58">
        <v>12.23</v>
      </c>
      <c r="K39" s="6">
        <f t="shared" si="2"/>
        <v>1.966</v>
      </c>
      <c r="L39" s="60">
        <v>0.33</v>
      </c>
      <c r="M39" s="60">
        <f t="shared" si="30"/>
        <v>0.31</v>
      </c>
      <c r="N39" s="62">
        <f t="shared" si="35"/>
        <v>0.31</v>
      </c>
      <c r="O39" s="60">
        <f t="shared" si="38"/>
        <v>0.31</v>
      </c>
      <c r="P39" s="63">
        <v>90.0</v>
      </c>
      <c r="Q39" s="458">
        <v>94.55</v>
      </c>
      <c r="R39" s="65">
        <v>4136.75</v>
      </c>
      <c r="S39" s="66">
        <f t="array" ref="S39">IF((XLOOKUP(D39,RUC!$B$3:$B$106,RUC!$E$3:$E$106)+ROUNDDOWN(O39,1)*100)&lt;95,95,((XLOOKUP(D39,RUC!$B$3:$B$106,RUC!$E$3:$E$106)+ROUNDDOWN(O39,1)*100)))</f>
        <v>120</v>
      </c>
      <c r="U39" s="67">
        <f t="array" ref="U39">XLOOKUP(D39,RUC!$B$3:$B$110,RUC!$F$3:$F$110)</f>
        <v>120</v>
      </c>
      <c r="V39" s="67">
        <v>1.1023</v>
      </c>
      <c r="Y39" s="57">
        <f t="array" ref="Y39">XLOOKUP(D39,RUC!$B$3:$B$110,RUC!$G$3:$G$110)</f>
        <v>20</v>
      </c>
      <c r="Z39" s="69">
        <f t="array" ref="Z39">XLOOKUP(D39,RUC!$B$3:$B$110,RUC!$H$3:$H$110)</f>
        <v>30</v>
      </c>
      <c r="AA39" s="70">
        <f t="shared" si="4"/>
        <v>50</v>
      </c>
      <c r="AB39" s="71">
        <f t="shared" si="24"/>
        <v>1047.927123</v>
      </c>
      <c r="AC39" s="71">
        <f>+(S39-T39)*V39-'data 1'!$F$4</f>
        <v>52.276</v>
      </c>
      <c r="AD39" s="71">
        <f t="shared" si="5"/>
        <v>66.48136783</v>
      </c>
      <c r="AE39" s="71">
        <f t="shared" si="6"/>
        <v>-14.885</v>
      </c>
      <c r="AF39" s="71">
        <f t="shared" si="7"/>
        <v>83.72711726</v>
      </c>
      <c r="AG39" s="72">
        <f t="shared" si="37"/>
        <v>204.5994851</v>
      </c>
      <c r="AH39" s="193">
        <f t="shared" si="8"/>
        <v>21.031</v>
      </c>
      <c r="AI39" s="193">
        <f t="shared" si="9"/>
        <v>22.244</v>
      </c>
      <c r="AJ39" s="73">
        <f t="shared" si="10"/>
        <v>63.02593015</v>
      </c>
      <c r="AK39" s="73">
        <f t="shared" si="11"/>
        <v>18.80601534</v>
      </c>
      <c r="AM39" s="51">
        <f t="shared" si="12"/>
        <v>2060.224725</v>
      </c>
      <c r="AN39" s="51" t="str">
        <f t="array" ref="AN39">XLOOKUP(D39,RUC!$B$3:$B$565,RUC!$M$3:$M$565)</f>
        <v>Evelyn</v>
      </c>
      <c r="AO39" s="131" t="s">
        <v>551</v>
      </c>
      <c r="AP39" s="57" t="s">
        <v>2106</v>
      </c>
      <c r="AQ39" s="57" t="s">
        <v>2107</v>
      </c>
    </row>
    <row r="40" ht="15.0" customHeight="1">
      <c r="A40" s="116" t="s">
        <v>2110</v>
      </c>
      <c r="B40" s="182">
        <v>45977.0</v>
      </c>
      <c r="C40" s="182">
        <v>45973.0</v>
      </c>
      <c r="D40" s="57" t="s">
        <v>295</v>
      </c>
      <c r="E40" s="3">
        <f t="array" ref="E40">XLOOKUP(D40,RUC!$B$3:$B$110,RUC!$D$3:$D$110)</f>
        <v>20601769396</v>
      </c>
      <c r="G40" s="141">
        <v>30.0</v>
      </c>
      <c r="H40" s="3" t="s">
        <v>71</v>
      </c>
      <c r="I40" s="6">
        <v>2.23</v>
      </c>
      <c r="J40" s="58">
        <v>8.8</v>
      </c>
      <c r="K40" s="6">
        <f t="shared" si="2"/>
        <v>2.034</v>
      </c>
      <c r="L40" s="3">
        <v>0.254</v>
      </c>
      <c r="M40" s="60">
        <f t="shared" si="30"/>
        <v>0.236</v>
      </c>
      <c r="N40" s="62">
        <f t="shared" si="35"/>
        <v>0.236</v>
      </c>
      <c r="O40" s="60">
        <f t="shared" si="38"/>
        <v>0.236</v>
      </c>
      <c r="P40" s="63">
        <v>85.0</v>
      </c>
      <c r="Q40" s="458">
        <v>85.83</v>
      </c>
      <c r="R40" s="65">
        <v>4136.75</v>
      </c>
      <c r="S40" s="66">
        <f t="array" ref="S40">IF((XLOOKUP(D40,RUC!$B$3:$B$106,RUC!$E$3:$E$106)+ROUNDDOWN(O40,1)*100)&lt;95,95,((XLOOKUP(D40,RUC!$B$3:$B$106,RUC!$E$3:$E$106)+ROUNDDOWN(O40,1)*100)))</f>
        <v>110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69">
        <f t="array" ref="Z40">XLOOKUP(D40,RUC!$B$3:$B$110,RUC!$H$3:$H$110)</f>
        <v>30</v>
      </c>
      <c r="AA40" s="70">
        <f t="shared" si="4"/>
        <v>50</v>
      </c>
      <c r="AB40" s="71">
        <f t="shared" si="24"/>
        <v>711.8213031</v>
      </c>
      <c r="AC40" s="71">
        <f>+(S40-T40)*V40-'data 1'!$F$4</f>
        <v>41.253</v>
      </c>
      <c r="AD40" s="71">
        <f t="shared" si="5"/>
        <v>9.334400243</v>
      </c>
      <c r="AE40" s="71">
        <f t="shared" si="6"/>
        <v>-14.885</v>
      </c>
      <c r="AF40" s="71">
        <f t="shared" si="7"/>
        <v>68.40474486</v>
      </c>
      <c r="AG40" s="72">
        <f t="shared" si="37"/>
        <v>121.1071451</v>
      </c>
      <c r="AH40" s="193">
        <f t="shared" si="8"/>
        <v>15.203</v>
      </c>
      <c r="AI40" s="193">
        <f t="shared" si="9"/>
        <v>17.713</v>
      </c>
      <c r="AJ40" s="73">
        <f t="shared" si="10"/>
        <v>44.03688792</v>
      </c>
      <c r="AK40" s="73">
        <f t="shared" si="11"/>
        <v>13.98913775</v>
      </c>
      <c r="AM40" s="51">
        <f t="shared" si="12"/>
        <v>1447.844531</v>
      </c>
      <c r="AN40" s="51" t="str">
        <f t="array" ref="AN40">XLOOKUP(D40,RUC!$B$3:$B$565,RUC!$M$3:$M$565)</f>
        <v>Evelyn</v>
      </c>
      <c r="AO40" s="131" t="s">
        <v>551</v>
      </c>
      <c r="AP40" s="57" t="s">
        <v>2106</v>
      </c>
      <c r="AQ40" s="57" t="s">
        <v>2107</v>
      </c>
    </row>
    <row r="41" ht="15.0" customHeight="1">
      <c r="A41" s="192" t="s">
        <v>2111</v>
      </c>
      <c r="B41" s="194">
        <v>45977.0</v>
      </c>
      <c r="C41" s="182">
        <v>45973.0</v>
      </c>
      <c r="D41" s="57" t="s">
        <v>295</v>
      </c>
      <c r="E41" s="3">
        <f t="array" ref="E41">XLOOKUP(D41,RUC!$B$3:$B$110,RUC!$D$3:$D$110)</f>
        <v>20601769396</v>
      </c>
      <c r="G41" s="141">
        <v>21.0</v>
      </c>
      <c r="H41" s="3" t="s">
        <v>47</v>
      </c>
      <c r="I41" s="6">
        <v>1.61</v>
      </c>
      <c r="J41" s="58">
        <v>2.3</v>
      </c>
      <c r="K41" s="6">
        <f t="shared" si="2"/>
        <v>1.573</v>
      </c>
      <c r="L41" s="60">
        <v>0.115</v>
      </c>
      <c r="M41" s="60">
        <f t="shared" si="30"/>
        <v>0.097</v>
      </c>
      <c r="N41" s="62">
        <f t="shared" si="35"/>
        <v>0.097</v>
      </c>
      <c r="O41" s="60">
        <f t="shared" si="38"/>
        <v>0.097</v>
      </c>
      <c r="P41" s="63">
        <v>80.0</v>
      </c>
      <c r="Q41" s="458">
        <v>86.49</v>
      </c>
      <c r="R41" s="65">
        <v>4136.75</v>
      </c>
      <c r="S41" s="66">
        <f t="array" ref="S41">IF((XLOOKUP(D41,RUC!$B$3:$B$106,RUC!$E$3:$E$106)+ROUNDDOWN(O41,1)*100)&lt;95,95,((XLOOKUP(D41,RUC!$B$3:$B$106,RUC!$E$3:$E$106)+ROUNDDOWN(O41,1)*100)))</f>
        <v>95</v>
      </c>
      <c r="U41" s="67">
        <f t="array" ref="U41">XLOOKUP(D41,RUC!$B$3:$B$110,RUC!$F$3:$F$110)</f>
        <v>120</v>
      </c>
      <c r="V41" s="67">
        <v>1.1023</v>
      </c>
      <c r="Y41" s="57">
        <f t="array" ref="Y41">XLOOKUP(D41,RUC!$B$3:$B$110,RUC!$G$3:$G$110)</f>
        <v>20</v>
      </c>
      <c r="Z41" s="69">
        <f t="array" ref="Z41">XLOOKUP(D41,RUC!$B$3:$B$110,RUC!$H$3:$H$110)</f>
        <v>30</v>
      </c>
      <c r="AA41" s="70">
        <f t="shared" si="4"/>
        <v>50</v>
      </c>
      <c r="AB41" s="460">
        <v>0.001</v>
      </c>
      <c r="AC41" s="71">
        <f>+(S41-T41)*V41-'data 1'!$F$4</f>
        <v>24.7185</v>
      </c>
      <c r="AD41" s="71">
        <f t="shared" si="5"/>
        <v>33.04586672</v>
      </c>
      <c r="AE41" s="71">
        <f t="shared" si="6"/>
        <v>-14.885</v>
      </c>
      <c r="AF41" s="71">
        <f t="shared" si="7"/>
        <v>68.93075129</v>
      </c>
      <c r="AG41" s="72">
        <f>AC41+AD41+AE41+AF41+70-53+169.58</f>
        <v>298.390118</v>
      </c>
      <c r="AH41" s="193">
        <f t="shared" si="8"/>
        <v>5.364</v>
      </c>
      <c r="AI41" s="193">
        <f t="shared" si="9"/>
        <v>6.202</v>
      </c>
      <c r="AJ41" s="73">
        <f t="shared" si="10"/>
        <v>20.09127639</v>
      </c>
      <c r="AK41" s="73">
        <f t="shared" si="11"/>
        <v>4.185039035</v>
      </c>
      <c r="AM41" s="51">
        <f t="shared" si="12"/>
        <v>0.001573</v>
      </c>
      <c r="AN41" s="51" t="str">
        <f t="array" ref="AN41">XLOOKUP(D41,RUC!$B$3:$B$565,RUC!$M$3:$M$565)</f>
        <v>Evelyn</v>
      </c>
      <c r="AO41" s="131" t="s">
        <v>549</v>
      </c>
      <c r="AP41" s="57" t="s">
        <v>2106</v>
      </c>
      <c r="AQ41" s="57" t="s">
        <v>2107</v>
      </c>
    </row>
    <row r="42" ht="15.0" customHeight="1">
      <c r="A42" s="116" t="s">
        <v>2112</v>
      </c>
      <c r="B42" s="182">
        <v>45977.0</v>
      </c>
      <c r="C42" s="182">
        <v>45973.0</v>
      </c>
      <c r="D42" s="57" t="s">
        <v>295</v>
      </c>
      <c r="E42" s="3">
        <f t="array" ref="E42">XLOOKUP(D42,RUC!$B$3:$B$110,RUC!$D$3:$D$110)</f>
        <v>20601769396</v>
      </c>
      <c r="G42" s="141">
        <v>30.0</v>
      </c>
      <c r="H42" s="3" t="s">
        <v>71</v>
      </c>
      <c r="I42" s="6">
        <v>2.06</v>
      </c>
      <c r="J42" s="58">
        <v>11.45</v>
      </c>
      <c r="K42" s="6">
        <f t="shared" si="2"/>
        <v>1.824</v>
      </c>
      <c r="L42" s="60">
        <v>0.36</v>
      </c>
      <c r="M42" s="60">
        <f t="shared" si="30"/>
        <v>0.338</v>
      </c>
      <c r="N42" s="62">
        <f t="shared" si="35"/>
        <v>0.338</v>
      </c>
      <c r="O42" s="60">
        <f t="shared" si="38"/>
        <v>0.338</v>
      </c>
      <c r="P42" s="63">
        <v>87.0</v>
      </c>
      <c r="Q42" s="458">
        <v>87.78</v>
      </c>
      <c r="R42" s="65">
        <v>4136.75</v>
      </c>
      <c r="S42" s="66">
        <f t="array" ref="S42">IF((XLOOKUP(D42,RUC!$B$3:$B$106,RUC!$E$3:$E$106)+ROUNDDOWN(O42,1)*100)&lt;95,95,((XLOOKUP(D42,RUC!$B$3:$B$106,RUC!$E$3:$E$106)+ROUNDDOWN(O42,1)*100)))</f>
        <v>120</v>
      </c>
      <c r="U42" s="67">
        <f t="array" ref="U42">XLOOKUP(D42,RUC!$B$3:$B$110,RUC!$F$3:$F$110)</f>
        <v>120</v>
      </c>
      <c r="V42" s="67">
        <v>1.1023</v>
      </c>
      <c r="Y42" s="57">
        <f t="array" ref="Y42">XLOOKUP(D42,RUC!$B$3:$B$110,RUC!$G$3:$G$110)</f>
        <v>20</v>
      </c>
      <c r="Z42" s="69">
        <f t="array" ref="Z42">XLOOKUP(D42,RUC!$B$3:$B$110,RUC!$H$3:$H$110)</f>
        <v>30</v>
      </c>
      <c r="AA42" s="70">
        <f t="shared" si="4"/>
        <v>50</v>
      </c>
      <c r="AB42" s="71">
        <f t="shared" ref="AB42:AB43" si="39">+((O42*P42*(R42-U42)/100)-S42-AA42+T42)*V42</f>
        <v>1114.607736</v>
      </c>
      <c r="AC42" s="71">
        <f>+(S42-T42)*V42-'data 1'!$F$4</f>
        <v>52.276</v>
      </c>
      <c r="AD42" s="71">
        <f t="shared" si="5"/>
        <v>12.43287918</v>
      </c>
      <c r="AE42" s="71">
        <f t="shared" si="6"/>
        <v>-14.885</v>
      </c>
      <c r="AF42" s="71">
        <f t="shared" si="7"/>
        <v>85.50526693</v>
      </c>
      <c r="AG42" s="72">
        <f t="shared" ref="AG42:AG43" si="40">AC42+AD42+AE42+AF42+70-53</f>
        <v>152.3291461</v>
      </c>
      <c r="AH42" s="193">
        <f t="shared" si="8"/>
        <v>19.762</v>
      </c>
      <c r="AI42" s="193">
        <f t="shared" si="9"/>
        <v>22.513</v>
      </c>
      <c r="AJ42" s="73">
        <f t="shared" si="10"/>
        <v>63.83250207</v>
      </c>
      <c r="AK42" s="73">
        <f t="shared" si="11"/>
        <v>18.38949725</v>
      </c>
      <c r="AM42" s="51">
        <f t="shared" si="12"/>
        <v>2033.044511</v>
      </c>
      <c r="AN42" s="51" t="str">
        <f t="array" ref="AN42">XLOOKUP(D42,RUC!$B$3:$B$565,RUC!$M$3:$M$565)</f>
        <v>Evelyn</v>
      </c>
      <c r="AO42" s="131" t="s">
        <v>551</v>
      </c>
      <c r="AP42" s="57" t="s">
        <v>2106</v>
      </c>
      <c r="AQ42" s="57" t="s">
        <v>2107</v>
      </c>
    </row>
    <row r="43" ht="15.0" customHeight="1">
      <c r="A43" s="116" t="s">
        <v>2113</v>
      </c>
      <c r="B43" s="182">
        <v>45981.0</v>
      </c>
      <c r="C43" s="182">
        <v>45973.0</v>
      </c>
      <c r="D43" s="57" t="s">
        <v>295</v>
      </c>
      <c r="E43" s="3">
        <f t="array" ref="E43">XLOOKUP(D43,RUC!$B$3:$B$110,RUC!$D$3:$D$110)</f>
        <v>20601769396</v>
      </c>
      <c r="G43" s="141">
        <v>30.0</v>
      </c>
      <c r="H43" s="3" t="s">
        <v>47</v>
      </c>
      <c r="I43" s="6">
        <v>2.17</v>
      </c>
      <c r="J43" s="58">
        <v>2.6</v>
      </c>
      <c r="K43" s="6">
        <f t="shared" si="2"/>
        <v>2.114</v>
      </c>
      <c r="L43" s="3">
        <v>0.263</v>
      </c>
      <c r="M43" s="60">
        <f t="shared" si="30"/>
        <v>0.245</v>
      </c>
      <c r="N43" s="62">
        <f t="shared" si="35"/>
        <v>0.245</v>
      </c>
      <c r="O43" s="60">
        <f t="shared" si="38"/>
        <v>0.245</v>
      </c>
      <c r="P43" s="63">
        <v>90.0</v>
      </c>
      <c r="Q43" s="458">
        <v>93.16</v>
      </c>
      <c r="R43" s="65">
        <v>4136.75</v>
      </c>
      <c r="S43" s="66">
        <f t="array" ref="S43">IF((XLOOKUP(D43,RUC!$B$3:$B$106,RUC!$E$3:$E$106)+ROUNDDOWN(O43,1)*100)&lt;95,95,((XLOOKUP(D43,RUC!$B$3:$B$106,RUC!$E$3:$E$106)+ROUNDDOWN(O43,1)*100)))</f>
        <v>110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4"/>
        <v>50</v>
      </c>
      <c r="AB43" s="71">
        <f t="shared" si="39"/>
        <v>799.9318073</v>
      </c>
      <c r="AC43" s="71">
        <f>+(S43-T43)*V43-'data 1'!$F$4</f>
        <v>41.253</v>
      </c>
      <c r="AD43" s="71">
        <f t="shared" si="5"/>
        <v>36.79742602</v>
      </c>
      <c r="AE43" s="71">
        <f t="shared" si="6"/>
        <v>-14.885</v>
      </c>
      <c r="AF43" s="71">
        <f t="shared" si="7"/>
        <v>74.24660412</v>
      </c>
      <c r="AG43" s="72">
        <f t="shared" si="40"/>
        <v>154.4120301</v>
      </c>
      <c r="AH43" s="193">
        <f t="shared" si="8"/>
        <v>17.758</v>
      </c>
      <c r="AI43" s="193">
        <f t="shared" si="9"/>
        <v>19.062</v>
      </c>
      <c r="AJ43" s="73">
        <f t="shared" si="10"/>
        <v>49.49131794</v>
      </c>
      <c r="AK43" s="73">
        <f t="shared" si="11"/>
        <v>15.98168793</v>
      </c>
      <c r="AM43" s="51">
        <f t="shared" si="12"/>
        <v>1691.055841</v>
      </c>
      <c r="AN43" s="51" t="str">
        <f t="array" ref="AN43">XLOOKUP(D43,RUC!$B$3:$B$565,RUC!$M$3:$M$565)</f>
        <v>Evelyn</v>
      </c>
      <c r="AO43" s="131" t="s">
        <v>558</v>
      </c>
      <c r="AP43" s="57" t="s">
        <v>2106</v>
      </c>
      <c r="AQ43" s="57" t="s">
        <v>2107</v>
      </c>
    </row>
    <row r="44" ht="15.0" customHeight="1">
      <c r="A44" s="192" t="s">
        <v>2114</v>
      </c>
      <c r="B44" s="194">
        <v>45981.0</v>
      </c>
      <c r="C44" s="182">
        <v>45973.0</v>
      </c>
      <c r="D44" s="57" t="s">
        <v>295</v>
      </c>
      <c r="E44" s="3">
        <f t="array" ref="E44">XLOOKUP(D44,RUC!$B$3:$B$110,RUC!$D$3:$D$110)</f>
        <v>20601769396</v>
      </c>
      <c r="G44" s="141">
        <v>30.0</v>
      </c>
      <c r="H44" s="3" t="s">
        <v>47</v>
      </c>
      <c r="I44" s="6">
        <v>2.07</v>
      </c>
      <c r="J44" s="58">
        <v>2.5</v>
      </c>
      <c r="K44" s="6">
        <f t="shared" si="2"/>
        <v>2.018</v>
      </c>
      <c r="L44" s="3">
        <v>0.094</v>
      </c>
      <c r="M44" s="60">
        <f t="shared" si="30"/>
        <v>0.076</v>
      </c>
      <c r="N44" s="62">
        <f t="shared" si="35"/>
        <v>0.076</v>
      </c>
      <c r="O44" s="60">
        <f t="shared" si="38"/>
        <v>0.076</v>
      </c>
      <c r="P44" s="63">
        <v>80.0</v>
      </c>
      <c r="Q44" s="458">
        <v>68.32</v>
      </c>
      <c r="R44" s="65">
        <v>4136.75</v>
      </c>
      <c r="S44" s="66">
        <f t="array" ref="S44">IF((XLOOKUP(D44,RUC!$B$3:$B$106,RUC!$E$3:$E$106)+ROUNDDOWN(O44,1)*100)&lt;95,95,((XLOOKUP(D44,RUC!$B$3:$B$106,RUC!$E$3:$E$106)+ROUNDDOWN(O44,1)*100)))</f>
        <v>95</v>
      </c>
      <c r="U44" s="67">
        <f t="array" ref="U44">XLOOKUP(D44,RUC!$B$3:$B$110,RUC!$F$3:$F$110)</f>
        <v>120</v>
      </c>
      <c r="V44" s="67">
        <v>1.1023</v>
      </c>
      <c r="Y44" s="57">
        <f t="array" ref="Y44">XLOOKUP(D44,RUC!$B$3:$B$110,RUC!$G$3:$G$110)</f>
        <v>20</v>
      </c>
      <c r="Z44" s="69">
        <f t="array" ref="Z44">XLOOKUP(D44,RUC!$B$3:$B$110,RUC!$H$3:$H$110)</f>
        <v>30</v>
      </c>
      <c r="AA44" s="70">
        <f t="shared" si="4"/>
        <v>50</v>
      </c>
      <c r="AB44" s="71">
        <v>0.001</v>
      </c>
      <c r="AC44" s="71">
        <f>+(S44-T44)*V44-'data 1'!$F$4</f>
        <v>24.7185</v>
      </c>
      <c r="AD44" s="71">
        <f t="shared" si="5"/>
        <v>-48.61220337</v>
      </c>
      <c r="AE44" s="71">
        <f t="shared" si="6"/>
        <v>-14.885</v>
      </c>
      <c r="AF44" s="71">
        <f t="shared" si="7"/>
        <v>54.44963497</v>
      </c>
      <c r="AG44" s="72">
        <f>AC44+AD44+AE44+AF44+70-53+109.37</f>
        <v>142.0409316</v>
      </c>
      <c r="AH44" s="193">
        <f t="shared" si="8"/>
        <v>4.443</v>
      </c>
      <c r="AI44" s="193">
        <f t="shared" si="9"/>
        <v>6.504</v>
      </c>
      <c r="AJ44" s="73">
        <f t="shared" si="10"/>
        <v>12.97237522</v>
      </c>
      <c r="AK44" s="73">
        <f t="shared" si="11"/>
        <v>4.206625116</v>
      </c>
      <c r="AM44" s="51">
        <f t="shared" si="12"/>
        <v>0.002018</v>
      </c>
      <c r="AN44" s="51" t="str">
        <f t="array" ref="AN44">XLOOKUP(D44,RUC!$B$3:$B$565,RUC!$M$3:$M$565)</f>
        <v>Evelyn</v>
      </c>
      <c r="AO44" s="131" t="s">
        <v>547</v>
      </c>
      <c r="AP44" s="57" t="s">
        <v>2106</v>
      </c>
      <c r="AQ44" s="57" t="s">
        <v>2107</v>
      </c>
    </row>
    <row r="45" ht="15.0" customHeight="1">
      <c r="A45" s="116" t="s">
        <v>2115</v>
      </c>
      <c r="B45" s="182">
        <v>45981.0</v>
      </c>
      <c r="C45" s="182">
        <v>45973.0</v>
      </c>
      <c r="D45" s="57" t="s">
        <v>295</v>
      </c>
      <c r="E45" s="3">
        <f t="array" ref="E45">XLOOKUP(D45,RUC!$B$3:$B$110,RUC!$D$3:$D$110)</f>
        <v>20601769396</v>
      </c>
      <c r="G45" s="141">
        <v>30.0</v>
      </c>
      <c r="H45" s="3" t="s">
        <v>47</v>
      </c>
      <c r="I45" s="6">
        <v>2.38</v>
      </c>
      <c r="J45" s="58">
        <v>13.1</v>
      </c>
      <c r="K45" s="6">
        <f t="shared" si="2"/>
        <v>2.068</v>
      </c>
      <c r="L45" s="3">
        <v>0.625</v>
      </c>
      <c r="M45" s="60">
        <f t="shared" si="30"/>
        <v>0.588</v>
      </c>
      <c r="N45" s="62">
        <f t="shared" si="35"/>
        <v>0.588</v>
      </c>
      <c r="O45" s="60">
        <f t="shared" si="38"/>
        <v>0.588</v>
      </c>
      <c r="P45" s="63">
        <v>90.0</v>
      </c>
      <c r="Q45" s="458">
        <v>91.84</v>
      </c>
      <c r="R45" s="65">
        <v>4136.75</v>
      </c>
      <c r="S45" s="66">
        <f t="array" ref="S45">IF((XLOOKUP(D45,RUC!$B$3:$B$106,RUC!$E$3:$E$106)+ROUNDDOWN(O45,1)*100)&lt;95,95,((XLOOKUP(D45,RUC!$B$3:$B$106,RUC!$E$3:$E$106)+ROUNDDOWN(O45,1)*100)))</f>
        <v>140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si="4"/>
        <v>50</v>
      </c>
      <c r="AB45" s="71">
        <f t="shared" ref="AB45:AB53" si="41">+((O45*P45*(R45-U45)/100)-S45-AA45+T45)*V45</f>
        <v>2133.682537</v>
      </c>
      <c r="AC45" s="71">
        <f>+(S45-T45)*V45-'data 1'!$F$4</f>
        <v>74.322</v>
      </c>
      <c r="AD45" s="71">
        <f t="shared" si="5"/>
        <v>50.91813054</v>
      </c>
      <c r="AE45" s="71">
        <f t="shared" si="6"/>
        <v>-14.885</v>
      </c>
      <c r="AF45" s="71">
        <f t="shared" si="7"/>
        <v>150.4555487</v>
      </c>
      <c r="AG45" s="72">
        <f t="shared" ref="AG45:AG52" si="42">AC45+AD45+AE45+AF45+70-53</f>
        <v>277.8106792</v>
      </c>
      <c r="AH45" s="193">
        <f t="shared" si="8"/>
        <v>40.698</v>
      </c>
      <c r="AI45" s="193">
        <f t="shared" si="9"/>
        <v>44.314</v>
      </c>
      <c r="AJ45" s="73">
        <f t="shared" si="10"/>
        <v>115.9459767</v>
      </c>
      <c r="AK45" s="73">
        <f t="shared" si="11"/>
        <v>37.52143497</v>
      </c>
      <c r="AM45" s="51">
        <f t="shared" si="12"/>
        <v>4412.455487</v>
      </c>
      <c r="AN45" s="51" t="str">
        <f t="array" ref="AN45">XLOOKUP(D45,RUC!$B$3:$B$565,RUC!$M$3:$M$565)</f>
        <v>Evelyn</v>
      </c>
      <c r="AO45" s="131" t="s">
        <v>558</v>
      </c>
      <c r="AP45" s="57" t="s">
        <v>2106</v>
      </c>
      <c r="AQ45" s="57" t="s">
        <v>2107</v>
      </c>
    </row>
    <row r="46" ht="15.0" customHeight="1">
      <c r="A46" s="116" t="s">
        <v>2116</v>
      </c>
      <c r="B46" s="182">
        <v>45982.0</v>
      </c>
      <c r="C46" s="182">
        <v>45973.0</v>
      </c>
      <c r="D46" s="57" t="s">
        <v>295</v>
      </c>
      <c r="E46" s="3">
        <f t="array" ref="E46">XLOOKUP(D46,RUC!$B$3:$B$110,RUC!$D$3:$D$110)</f>
        <v>20601769396</v>
      </c>
      <c r="G46" s="141">
        <v>30.0</v>
      </c>
      <c r="H46" s="3" t="s">
        <v>47</v>
      </c>
      <c r="I46" s="6">
        <v>2.6</v>
      </c>
      <c r="J46" s="58">
        <v>6.8</v>
      </c>
      <c r="K46" s="6">
        <f t="shared" si="2"/>
        <v>2.423</v>
      </c>
      <c r="L46" s="60">
        <v>0.193</v>
      </c>
      <c r="M46" s="60">
        <f t="shared" si="30"/>
        <v>0.175</v>
      </c>
      <c r="N46" s="62">
        <f t="shared" si="35"/>
        <v>0.175</v>
      </c>
      <c r="O46" s="75">
        <v>0.186</v>
      </c>
      <c r="P46" s="63">
        <v>90.0</v>
      </c>
      <c r="Q46" s="458">
        <v>91.18</v>
      </c>
      <c r="R46" s="65">
        <v>4136.75</v>
      </c>
      <c r="S46" s="66">
        <f t="array" ref="S46">IF((XLOOKUP(D46,RUC!$B$3:$B$106,RUC!$E$3:$E$106)+ROUNDDOWN(O46,1)*100)&lt;95,95,((XLOOKUP(D46,RUC!$B$3:$B$106,RUC!$E$3:$E$106)+ROUNDDOWN(O46,1)*100)))</f>
        <v>100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4"/>
        <v>50</v>
      </c>
      <c r="AB46" s="71">
        <f t="shared" si="41"/>
        <v>575.8458741</v>
      </c>
      <c r="AC46" s="71">
        <f>+(S46-T46)*V46-'data 1'!$F$4</f>
        <v>30.23</v>
      </c>
      <c r="AD46" s="71">
        <f t="shared" si="5"/>
        <v>10.08356091</v>
      </c>
      <c r="AE46" s="71">
        <f t="shared" si="6"/>
        <v>-14.885</v>
      </c>
      <c r="AF46" s="71">
        <f t="shared" si="7"/>
        <v>28.26000521</v>
      </c>
      <c r="AG46" s="72">
        <f t="shared" si="42"/>
        <v>70.68856613</v>
      </c>
      <c r="AH46" s="193">
        <f t="shared" si="8"/>
        <v>14.619</v>
      </c>
      <c r="AI46" s="193">
        <f t="shared" si="9"/>
        <v>16.033</v>
      </c>
      <c r="AJ46" s="73">
        <f t="shared" si="10"/>
        <v>35.54681448</v>
      </c>
      <c r="AK46" s="73">
        <f t="shared" si="11"/>
        <v>13.9065031</v>
      </c>
      <c r="AM46" s="51">
        <f t="shared" si="12"/>
        <v>1395.274553</v>
      </c>
      <c r="AN46" s="51" t="str">
        <f t="array" ref="AN46">XLOOKUP(D46,RUC!$B$3:$B$565,RUC!$M$3:$M$565)</f>
        <v>Evelyn</v>
      </c>
      <c r="AO46" s="131" t="s">
        <v>551</v>
      </c>
      <c r="AP46" s="57" t="s">
        <v>2106</v>
      </c>
      <c r="AQ46" s="57" t="s">
        <v>2107</v>
      </c>
      <c r="AR46" s="2"/>
    </row>
    <row r="47" ht="15.0" customHeight="1">
      <c r="A47" s="116" t="s">
        <v>2117</v>
      </c>
      <c r="B47" s="182">
        <v>45981.0</v>
      </c>
      <c r="C47" s="182">
        <v>45973.0</v>
      </c>
      <c r="D47" s="57" t="s">
        <v>295</v>
      </c>
      <c r="E47" s="3">
        <f t="array" ref="E47">XLOOKUP(D47,RUC!$B$3:$B$110,RUC!$D$3:$D$110)</f>
        <v>20601769396</v>
      </c>
      <c r="G47" s="141">
        <v>30.0</v>
      </c>
      <c r="H47" s="3" t="s">
        <v>71</v>
      </c>
      <c r="I47" s="6">
        <v>2.18</v>
      </c>
      <c r="J47" s="58">
        <v>8.4</v>
      </c>
      <c r="K47" s="6">
        <f t="shared" si="2"/>
        <v>1.997</v>
      </c>
      <c r="L47" s="60">
        <v>0.37</v>
      </c>
      <c r="M47" s="60">
        <f t="shared" si="30"/>
        <v>0.348</v>
      </c>
      <c r="N47" s="62">
        <f t="shared" si="35"/>
        <v>0.348</v>
      </c>
      <c r="O47" s="60">
        <f t="shared" ref="O47:O51" si="43">+ROUND((M47+N47)/2,3)</f>
        <v>0.348</v>
      </c>
      <c r="P47" s="63">
        <v>87.0</v>
      </c>
      <c r="Q47" s="458">
        <v>87.3</v>
      </c>
      <c r="R47" s="65">
        <v>4136.75</v>
      </c>
      <c r="S47" s="66">
        <f t="array" ref="S47">IF((XLOOKUP(D47,RUC!$B$3:$B$106,RUC!$E$3:$E$106)+ROUNDDOWN(O47,1)*100)&lt;95,95,((XLOOKUP(D47,RUC!$B$3:$B$106,RUC!$E$3:$E$106)+ROUNDDOWN(O47,1)*100)))</f>
        <v>120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4"/>
        <v>50</v>
      </c>
      <c r="AB47" s="71">
        <f t="shared" si="41"/>
        <v>1153.128409</v>
      </c>
      <c r="AC47" s="71">
        <f>+(S47-T47)*V47-'data 1'!$F$4</f>
        <v>52.276</v>
      </c>
      <c r="AD47" s="71">
        <f t="shared" si="5"/>
        <v>4.914706513</v>
      </c>
      <c r="AE47" s="71">
        <f t="shared" si="6"/>
        <v>-14.885</v>
      </c>
      <c r="AF47" s="71">
        <f t="shared" si="7"/>
        <v>85.03770566</v>
      </c>
      <c r="AG47" s="72">
        <f t="shared" si="42"/>
        <v>144.3434122</v>
      </c>
      <c r="AH47" s="193">
        <f t="shared" si="8"/>
        <v>22.116</v>
      </c>
      <c r="AI47" s="193">
        <f t="shared" si="9"/>
        <v>25.333</v>
      </c>
      <c r="AJ47" s="73">
        <f t="shared" si="10"/>
        <v>65.24688139</v>
      </c>
      <c r="AK47" s="73">
        <f t="shared" si="11"/>
        <v>20.72934744</v>
      </c>
      <c r="AM47" s="51">
        <f t="shared" si="12"/>
        <v>2302.797432</v>
      </c>
      <c r="AN47" s="51" t="str">
        <f t="array" ref="AN47">XLOOKUP(D47,RUC!$B$3:$B$565,RUC!$M$3:$M$565)</f>
        <v>Evelyn</v>
      </c>
      <c r="AO47" s="131" t="s">
        <v>558</v>
      </c>
      <c r="AP47" s="57" t="s">
        <v>2106</v>
      </c>
      <c r="AQ47" s="57" t="s">
        <v>2107</v>
      </c>
    </row>
    <row r="48" ht="15.0" customHeight="1">
      <c r="A48" s="116" t="s">
        <v>2118</v>
      </c>
      <c r="B48" s="182">
        <v>45977.0</v>
      </c>
      <c r="C48" s="182">
        <v>45973.0</v>
      </c>
      <c r="D48" s="57" t="s">
        <v>730</v>
      </c>
      <c r="E48" s="3">
        <f t="array" ref="E48">XLOOKUP(D48,RUC!$B$3:$B$110,RUC!$D$3:$D$110)</f>
        <v>20613935151</v>
      </c>
      <c r="G48" s="141" t="s">
        <v>735</v>
      </c>
      <c r="H48" s="3" t="s">
        <v>40</v>
      </c>
      <c r="I48" s="6">
        <v>12.8</v>
      </c>
      <c r="J48" s="58">
        <v>11.67</v>
      </c>
      <c r="K48" s="6">
        <f t="shared" si="2"/>
        <v>11.306</v>
      </c>
      <c r="L48" s="3">
        <v>0.134</v>
      </c>
      <c r="M48" s="60">
        <f t="shared" si="30"/>
        <v>0.116</v>
      </c>
      <c r="N48" s="75">
        <v>0.167</v>
      </c>
      <c r="O48" s="60">
        <f t="shared" si="43"/>
        <v>0.142</v>
      </c>
      <c r="P48" s="63">
        <v>85.0</v>
      </c>
      <c r="Q48" s="458">
        <v>97.01</v>
      </c>
      <c r="R48" s="65">
        <v>4136.75</v>
      </c>
      <c r="S48" s="66">
        <f t="array" ref="S48">IF((XLOOKUP(D48,RUC!$B$3:$B$106,RUC!$E$3:$E$106)+ROUNDDOWN(O48,1)*100)&lt;95,95,((XLOOKUP(D48,RUC!$B$3:$B$106,RUC!$E$3:$E$106)+ROUNDDOWN(O48,1)*100)))</f>
        <v>100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4"/>
        <v>50</v>
      </c>
      <c r="AB48" s="71">
        <f t="shared" si="41"/>
        <v>369.0739875</v>
      </c>
      <c r="AC48" s="71">
        <f>+(S48-T48)*V48-'data 1'!$F$4</f>
        <v>30.23</v>
      </c>
      <c r="AD48" s="71">
        <f t="shared" si="5"/>
        <v>71.25616017</v>
      </c>
      <c r="AE48" s="71">
        <f t="shared" si="6"/>
        <v>-14.885</v>
      </c>
      <c r="AF48" s="71">
        <f t="shared" si="7"/>
        <v>-34.36221108</v>
      </c>
      <c r="AG48" s="72">
        <f t="shared" si="42"/>
        <v>69.23894909</v>
      </c>
      <c r="AH48" s="193">
        <f t="shared" si="8"/>
        <v>50.389</v>
      </c>
      <c r="AI48" s="193">
        <f t="shared" si="9"/>
        <v>51.943</v>
      </c>
      <c r="AJ48" s="73">
        <f t="shared" si="10"/>
        <v>26.25820857</v>
      </c>
      <c r="AK48" s="73">
        <f t="shared" si="11"/>
        <v>46.78701309</v>
      </c>
      <c r="AL48" s="11"/>
      <c r="AM48" s="51">
        <f t="shared" si="12"/>
        <v>4172.750502</v>
      </c>
      <c r="AN48" s="51" t="str">
        <f t="array" ref="AN48">XLOOKUP(D48,RUC!$B$3:$B$565,RUC!$M$3:$M$565)</f>
        <v>Dante </v>
      </c>
      <c r="AO48" s="131" t="s">
        <v>558</v>
      </c>
      <c r="AP48" s="57" t="s">
        <v>2119</v>
      </c>
      <c r="AQ48" s="57" t="s">
        <v>2120</v>
      </c>
    </row>
    <row r="49" ht="15.0" customHeight="1">
      <c r="A49" s="116" t="s">
        <v>2121</v>
      </c>
      <c r="B49" s="182">
        <v>45979.0</v>
      </c>
      <c r="C49" s="182">
        <v>45974.0</v>
      </c>
      <c r="D49" s="57" t="s">
        <v>2122</v>
      </c>
      <c r="E49" s="3">
        <f t="array" ref="E49">XLOOKUP(D49,RUC!$B$3:$B$110,RUC!$D$3:$D$110)</f>
        <v>20614284740</v>
      </c>
      <c r="G49" s="141">
        <v>100.0</v>
      </c>
      <c r="H49" s="3" t="s">
        <v>47</v>
      </c>
      <c r="I49" s="6">
        <v>8.83</v>
      </c>
      <c r="J49" s="58">
        <v>1.2</v>
      </c>
      <c r="K49" s="6">
        <f t="shared" si="2"/>
        <v>8.724</v>
      </c>
      <c r="L49" s="3">
        <v>0.359</v>
      </c>
      <c r="M49" s="60">
        <f t="shared" si="30"/>
        <v>0.337</v>
      </c>
      <c r="N49" s="62">
        <f>+M49</f>
        <v>0.337</v>
      </c>
      <c r="O49" s="60">
        <f t="shared" si="43"/>
        <v>0.337</v>
      </c>
      <c r="P49" s="63">
        <v>90.0</v>
      </c>
      <c r="Q49" s="458">
        <v>94.71</v>
      </c>
      <c r="R49" s="65">
        <v>4195.65</v>
      </c>
      <c r="S49" s="66">
        <f t="array" ref="S49">IF((XLOOKUP(D49,RUC!$B$3:$B$106,RUC!$E$3:$E$106)+ROUNDDOWN(O49,1)*100)&lt;95,95,((XLOOKUP(D49,RUC!$B$3:$B$106,RUC!$E$3:$E$106)+ROUNDDOWN(O49,1)*100)))</f>
        <v>120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4"/>
        <v>50</v>
      </c>
      <c r="AB49" s="71">
        <f t="shared" si="41"/>
        <v>1175.211242</v>
      </c>
      <c r="AC49" s="71">
        <f>+(S49-T49)*V49-'data 1'!$F$4</f>
        <v>52.276</v>
      </c>
      <c r="AD49" s="71">
        <f t="shared" si="5"/>
        <v>75.96473806</v>
      </c>
      <c r="AE49" s="71">
        <f t="shared" si="6"/>
        <v>-14.885</v>
      </c>
      <c r="AF49" s="71">
        <f t="shared" si="7"/>
        <v>93.60848282</v>
      </c>
      <c r="AG49" s="72">
        <f t="shared" si="42"/>
        <v>223.9642209</v>
      </c>
      <c r="AH49" s="193">
        <f t="shared" si="8"/>
        <v>101.699</v>
      </c>
      <c r="AI49" s="193">
        <f t="shared" si="9"/>
        <v>107.379</v>
      </c>
      <c r="AJ49" s="73">
        <f t="shared" si="10"/>
        <v>46.60536163</v>
      </c>
      <c r="AK49" s="73">
        <f t="shared" si="11"/>
        <v>90.7187665</v>
      </c>
      <c r="AM49" s="51">
        <f t="shared" si="12"/>
        <v>10252.54288</v>
      </c>
      <c r="AN49" s="51" t="str">
        <f t="array" ref="AN49">XLOOKUP(D49,RUC!$B$3:$B$565,RUC!$M$3:$M$565)</f>
        <v>Walter Achulla </v>
      </c>
      <c r="AO49" s="131" t="s">
        <v>551</v>
      </c>
      <c r="AP49" s="57" t="s">
        <v>2123</v>
      </c>
      <c r="AQ49" s="57" t="s">
        <v>2124</v>
      </c>
    </row>
    <row r="50" ht="15.0" customHeight="1">
      <c r="A50" s="116" t="s">
        <v>2125</v>
      </c>
      <c r="B50" s="182">
        <v>45979.0</v>
      </c>
      <c r="C50" s="182">
        <v>45974.0</v>
      </c>
      <c r="D50" s="57" t="s">
        <v>2122</v>
      </c>
      <c r="E50" s="3">
        <f t="array" ref="E50">XLOOKUP(D50,RUC!$B$3:$B$110,RUC!$D$3:$D$110)</f>
        <v>20614284740</v>
      </c>
      <c r="G50" s="141">
        <v>100.0</v>
      </c>
      <c r="H50" s="3" t="s">
        <v>47</v>
      </c>
      <c r="I50" s="6">
        <v>7.95</v>
      </c>
      <c r="J50" s="58">
        <v>1.3</v>
      </c>
      <c r="K50" s="6">
        <f t="shared" si="2"/>
        <v>7.847</v>
      </c>
      <c r="L50" s="3">
        <v>0.251</v>
      </c>
      <c r="M50" s="60">
        <f t="shared" si="30"/>
        <v>0.233</v>
      </c>
      <c r="N50" s="75">
        <v>0.292</v>
      </c>
      <c r="O50" s="60">
        <f t="shared" si="43"/>
        <v>0.263</v>
      </c>
      <c r="P50" s="63">
        <v>90.0</v>
      </c>
      <c r="Q50" s="458">
        <v>97.61</v>
      </c>
      <c r="R50" s="65">
        <v>4195.65</v>
      </c>
      <c r="S50" s="66">
        <f t="array" ref="S50">IF((XLOOKUP(D50,RUC!$B$3:$B$106,RUC!$E$3:$E$106)+ROUNDDOWN(O50,1)*100)&lt;95,95,((XLOOKUP(D50,RUC!$B$3:$B$106,RUC!$E$3:$E$106)+ROUNDDOWN(O50,1)*100)))</f>
        <v>110</v>
      </c>
      <c r="U50" s="67">
        <f t="array" ref="U50">XLOOKUP(D50,RUC!$B$3:$B$110,RUC!$F$3:$F$110)</f>
        <v>120</v>
      </c>
      <c r="V50" s="67">
        <v>1.1023</v>
      </c>
      <c r="Y50" s="57">
        <f t="array" ref="Y50">XLOOKUP(D50,RUC!$B$3:$B$110,RUC!$G$3:$G$110)</f>
        <v>20</v>
      </c>
      <c r="Z50" s="69">
        <f t="array" ref="Z50">XLOOKUP(D50,RUC!$B$3:$B$110,RUC!$H$3:$H$110)</f>
        <v>30</v>
      </c>
      <c r="AA50" s="70">
        <f t="shared" si="4"/>
        <v>50</v>
      </c>
      <c r="AB50" s="71">
        <f t="shared" si="41"/>
        <v>887.0278151</v>
      </c>
      <c r="AC50" s="71">
        <f>+(S50-T50)*V50-'data 1'!$F$4</f>
        <v>41.253</v>
      </c>
      <c r="AD50" s="71">
        <f t="shared" si="5"/>
        <v>85.81339165</v>
      </c>
      <c r="AE50" s="71">
        <f t="shared" si="6"/>
        <v>-14.885</v>
      </c>
      <c r="AF50" s="71">
        <f t="shared" si="7"/>
        <v>-52.62259342</v>
      </c>
      <c r="AG50" s="72">
        <f t="shared" si="42"/>
        <v>76.55879824</v>
      </c>
      <c r="AH50" s="193">
        <f t="shared" si="8"/>
        <v>65.914</v>
      </c>
      <c r="AI50" s="193">
        <f t="shared" si="9"/>
        <v>67.528</v>
      </c>
      <c r="AJ50" s="73">
        <f t="shared" si="10"/>
        <v>33.582547</v>
      </c>
      <c r="AK50" s="73">
        <f t="shared" si="11"/>
        <v>63.68116205</v>
      </c>
      <c r="AM50" s="51">
        <f t="shared" si="12"/>
        <v>6960.507265</v>
      </c>
      <c r="AN50" s="51" t="str">
        <f t="array" ref="AN50">XLOOKUP(D50,RUC!$B$3:$B$565,RUC!$M$3:$M$565)</f>
        <v>Walter Achulla </v>
      </c>
      <c r="AO50" s="131" t="s">
        <v>551</v>
      </c>
      <c r="AP50" s="57" t="s">
        <v>2123</v>
      </c>
      <c r="AQ50" s="57" t="s">
        <v>2124</v>
      </c>
    </row>
    <row r="51" ht="15.0" customHeight="1">
      <c r="A51" s="116" t="s">
        <v>2126</v>
      </c>
      <c r="B51" s="182">
        <v>45979.0</v>
      </c>
      <c r="C51" s="182">
        <v>45974.0</v>
      </c>
      <c r="D51" s="57" t="s">
        <v>2122</v>
      </c>
      <c r="E51" s="3">
        <f t="array" ref="E51">XLOOKUP(D51,RUC!$B$3:$B$110,RUC!$D$3:$D$110)</f>
        <v>20614284740</v>
      </c>
      <c r="G51" s="141">
        <v>100.0</v>
      </c>
      <c r="H51" s="3" t="s">
        <v>47</v>
      </c>
      <c r="I51" s="6">
        <v>8.19</v>
      </c>
      <c r="J51" s="58">
        <v>1.25</v>
      </c>
      <c r="K51" s="6">
        <f t="shared" si="2"/>
        <v>8.088</v>
      </c>
      <c r="L51" s="3">
        <v>0.271</v>
      </c>
      <c r="M51" s="60">
        <f t="shared" si="30"/>
        <v>0.253</v>
      </c>
      <c r="N51" s="62">
        <f t="shared" ref="N51:N54" si="44">+M51</f>
        <v>0.253</v>
      </c>
      <c r="O51" s="60">
        <f t="shared" si="43"/>
        <v>0.253</v>
      </c>
      <c r="P51" s="63">
        <v>90.0</v>
      </c>
      <c r="Q51" s="458">
        <v>92.62</v>
      </c>
      <c r="R51" s="65">
        <v>4195.65</v>
      </c>
      <c r="S51" s="66">
        <f t="array" ref="S51">IF((XLOOKUP(D51,RUC!$B$3:$B$106,RUC!$E$3:$E$106)+ROUNDDOWN(O51,1)*100)&lt;95,95,((XLOOKUP(D51,RUC!$B$3:$B$106,RUC!$E$3:$E$106)+ROUNDDOWN(O51,1)*100)))</f>
        <v>110</v>
      </c>
      <c r="U51" s="67">
        <f t="array" ref="U51">XLOOKUP(D51,RUC!$B$3:$B$110,RUC!$F$3:$F$110)</f>
        <v>120</v>
      </c>
      <c r="V51" s="67">
        <v>1.1023</v>
      </c>
      <c r="Y51" s="57">
        <f t="array" ref="Y51">XLOOKUP(D51,RUC!$B$3:$B$110,RUC!$G$3:$G$110)</f>
        <v>20</v>
      </c>
      <c r="Z51" s="69">
        <f t="array" ref="Z51">XLOOKUP(D51,RUC!$B$3:$B$110,RUC!$H$3:$H$110)</f>
        <v>30</v>
      </c>
      <c r="AA51" s="70">
        <f t="shared" si="4"/>
        <v>50</v>
      </c>
      <c r="AB51" s="71">
        <f t="shared" si="41"/>
        <v>846.5945142</v>
      </c>
      <c r="AC51" s="71">
        <f>+(S51-T51)*V51-'data 1'!$F$4</f>
        <v>41.253</v>
      </c>
      <c r="AD51" s="71">
        <f t="shared" si="5"/>
        <v>31.89828038</v>
      </c>
      <c r="AE51" s="71">
        <f t="shared" si="6"/>
        <v>-14.885</v>
      </c>
      <c r="AF51" s="71">
        <f t="shared" si="7"/>
        <v>74.89864669</v>
      </c>
      <c r="AG51" s="72">
        <f t="shared" si="42"/>
        <v>150.1649271</v>
      </c>
      <c r="AH51" s="193">
        <f t="shared" si="8"/>
        <v>69.602</v>
      </c>
      <c r="AI51" s="193">
        <f t="shared" si="9"/>
        <v>75.148</v>
      </c>
      <c r="AJ51" s="73">
        <f t="shared" si="10"/>
        <v>34.40484967</v>
      </c>
      <c r="AK51" s="73">
        <f t="shared" si="11"/>
        <v>63.14125976</v>
      </c>
      <c r="AM51" s="51">
        <f t="shared" si="12"/>
        <v>6847.256431</v>
      </c>
      <c r="AN51" s="51" t="str">
        <f t="array" ref="AN51">XLOOKUP(D51,RUC!$B$3:$B$565,RUC!$M$3:$M$565)</f>
        <v>Walter Achulla </v>
      </c>
      <c r="AO51" s="131" t="s">
        <v>551</v>
      </c>
      <c r="AP51" s="57" t="s">
        <v>2123</v>
      </c>
      <c r="AQ51" s="57" t="s">
        <v>2124</v>
      </c>
    </row>
    <row r="52" ht="15.0" customHeight="1">
      <c r="A52" s="116" t="s">
        <v>2127</v>
      </c>
      <c r="B52" s="182">
        <v>45979.0</v>
      </c>
      <c r="C52" s="182">
        <v>45974.0</v>
      </c>
      <c r="D52" s="57" t="s">
        <v>2122</v>
      </c>
      <c r="E52" s="3">
        <f t="array" ref="E52">XLOOKUP(D52,RUC!$B$3:$B$110,RUC!$D$3:$D$110)</f>
        <v>20614284740</v>
      </c>
      <c r="G52" s="141">
        <v>100.0</v>
      </c>
      <c r="H52" s="3" t="s">
        <v>47</v>
      </c>
      <c r="I52" s="6">
        <v>8.69</v>
      </c>
      <c r="J52" s="58">
        <v>1.2</v>
      </c>
      <c r="K52" s="6">
        <f t="shared" si="2"/>
        <v>8.586</v>
      </c>
      <c r="L52" s="60">
        <v>0.434</v>
      </c>
      <c r="M52" s="60">
        <f t="shared" si="30"/>
        <v>0.408</v>
      </c>
      <c r="N52" s="62">
        <f t="shared" si="44"/>
        <v>0.408</v>
      </c>
      <c r="O52" s="61">
        <v>0.481</v>
      </c>
      <c r="P52" s="63">
        <v>90.0</v>
      </c>
      <c r="Q52" s="458">
        <v>94.39</v>
      </c>
      <c r="R52" s="65">
        <v>4195.65</v>
      </c>
      <c r="S52" s="66">
        <f t="array" ref="S52">IF((XLOOKUP(D52,RUC!$B$3:$B$106,RUC!$E$3:$E$106)+ROUNDDOWN(O52,1)*100)&lt;95,95,((XLOOKUP(D52,RUC!$B$3:$B$106,RUC!$E$3:$E$106)+ROUNDDOWN(O52,1)*100)))</f>
        <v>130</v>
      </c>
      <c r="U52" s="67">
        <f t="array" ref="U52">XLOOKUP(D52,RUC!$B$3:$B$110,RUC!$F$3:$F$110)</f>
        <v>120</v>
      </c>
      <c r="V52" s="67">
        <v>1.1023</v>
      </c>
      <c r="Y52" s="199">
        <v>40.0</v>
      </c>
      <c r="Z52" s="69">
        <f t="array" ref="Z52">XLOOKUP(D52,RUC!$B$3:$B$110,RUC!$H$3:$H$110)</f>
        <v>30</v>
      </c>
      <c r="AA52" s="70">
        <f t="shared" si="4"/>
        <v>70</v>
      </c>
      <c r="AB52" s="71">
        <f t="shared" si="41"/>
        <v>1724.381776</v>
      </c>
      <c r="AC52" s="71">
        <f>+(S52-T52)*V52-'data 1'!$F$4</f>
        <v>63.299</v>
      </c>
      <c r="AD52" s="71">
        <f t="shared" si="5"/>
        <v>85.59550109</v>
      </c>
      <c r="AE52" s="71">
        <f t="shared" si="6"/>
        <v>7.161</v>
      </c>
      <c r="AF52" s="71">
        <f t="shared" si="7"/>
        <v>-199.3060734</v>
      </c>
      <c r="AG52" s="72">
        <f t="shared" si="42"/>
        <v>-26.25057228</v>
      </c>
      <c r="AH52" s="193">
        <f t="shared" si="8"/>
        <v>120.591</v>
      </c>
      <c r="AI52" s="193">
        <f t="shared" si="9"/>
        <v>127.758</v>
      </c>
      <c r="AJ52" s="73">
        <f t="shared" si="10"/>
        <v>56.15149358</v>
      </c>
      <c r="AK52" s="73">
        <f t="shared" si="11"/>
        <v>127.4346526</v>
      </c>
      <c r="AM52" s="51">
        <f t="shared" si="12"/>
        <v>14805.54193</v>
      </c>
      <c r="AN52" s="51" t="str">
        <f t="array" ref="AN52">XLOOKUP(D52,RUC!$B$3:$B$565,RUC!$M$3:$M$565)</f>
        <v>Walter Achulla </v>
      </c>
      <c r="AO52" s="131" t="s">
        <v>551</v>
      </c>
      <c r="AP52" s="57" t="s">
        <v>2123</v>
      </c>
      <c r="AQ52" s="57" t="s">
        <v>2124</v>
      </c>
      <c r="AR52" s="57" t="s">
        <v>2128</v>
      </c>
    </row>
    <row r="53" ht="15.0" customHeight="1">
      <c r="A53" s="116" t="s">
        <v>2129</v>
      </c>
      <c r="B53" s="182">
        <v>45980.0</v>
      </c>
      <c r="C53" s="182">
        <v>45975.0</v>
      </c>
      <c r="D53" s="57" t="s">
        <v>306</v>
      </c>
      <c r="E53" s="3">
        <f t="array" ref="E53">XLOOKUP(D53,RUC!$B$3:$B$110,RUC!$D$3:$D$110)</f>
        <v>20612921866</v>
      </c>
      <c r="G53" s="141">
        <v>20.0</v>
      </c>
      <c r="H53" s="3" t="s">
        <v>47</v>
      </c>
      <c r="I53" s="6">
        <v>2.17</v>
      </c>
      <c r="J53" s="58">
        <v>1.25</v>
      </c>
      <c r="K53" s="6">
        <f t="shared" si="2"/>
        <v>2.143</v>
      </c>
      <c r="L53" s="3">
        <v>0.158</v>
      </c>
      <c r="M53" s="60">
        <f t="shared" si="30"/>
        <v>0.14</v>
      </c>
      <c r="N53" s="62">
        <f t="shared" si="44"/>
        <v>0.14</v>
      </c>
      <c r="O53" s="60">
        <f t="shared" ref="O53:O112" si="45">+ROUND((M53+N53)/2,3)</f>
        <v>0.14</v>
      </c>
      <c r="P53" s="63">
        <v>90.0</v>
      </c>
      <c r="Q53" s="458">
        <v>96.2</v>
      </c>
      <c r="R53" s="65">
        <v>4071.1</v>
      </c>
      <c r="S53" s="66">
        <f t="array" ref="S53">IF((XLOOKUP(D53,RUC!$B$3:$B$106,RUC!$E$3:$E$106)+ROUNDDOWN(O53,1)*100)&lt;95,95,((XLOOKUP(D53,RUC!$B$3:$B$106,RUC!$E$3:$E$106)+ROUNDDOWN(O53,1)*100)))</f>
        <v>95</v>
      </c>
      <c r="U53" s="67">
        <f t="array" ref="U53">XLOOKUP(D53,RUC!$B$3:$B$110,RUC!$F$3:$F$110)</f>
        <v>100</v>
      </c>
      <c r="V53" s="67">
        <v>1.1023</v>
      </c>
      <c r="Y53" s="57" t="str">
        <f t="array" ref="Y53">XLOOKUP(D53,RUC!$B$3:$B$110,RUC!$G$3:$G$110)</f>
        <v/>
      </c>
      <c r="Z53" s="69">
        <f t="array" ref="Z53">XLOOKUP(D53,RUC!$B$3:$B$110,RUC!$H$3:$H$110)</f>
        <v>30</v>
      </c>
      <c r="AA53" s="70">
        <f t="shared" si="4"/>
        <v>30</v>
      </c>
      <c r="AB53" s="71">
        <f t="shared" si="41"/>
        <v>413.7577848</v>
      </c>
      <c r="AC53" s="71">
        <f>+(S53-T53)*V53-'data 1'!$F$4</f>
        <v>24.7185</v>
      </c>
      <c r="AD53" s="71">
        <f t="shared" si="5"/>
        <v>42.88045722</v>
      </c>
      <c r="AE53" s="71">
        <f t="shared" si="6"/>
        <v>-36.931</v>
      </c>
      <c r="AF53" s="71">
        <f t="shared" si="7"/>
        <v>75.79808057</v>
      </c>
      <c r="AG53" s="72">
        <f>AC53+AD53+AE53+AF53+70-10</f>
        <v>166.4660378</v>
      </c>
      <c r="AH53" s="193">
        <f t="shared" si="8"/>
        <v>11.168</v>
      </c>
      <c r="AI53" s="193">
        <f t="shared" si="9"/>
        <v>11.609</v>
      </c>
      <c r="AJ53" s="73">
        <f t="shared" si="10"/>
        <v>38.35109417</v>
      </c>
      <c r="AK53" s="73">
        <f t="shared" si="11"/>
        <v>9.25767191</v>
      </c>
      <c r="AM53" s="51">
        <f t="shared" si="12"/>
        <v>886.6829328</v>
      </c>
      <c r="AN53" s="51" t="str">
        <f t="array" ref="AN53">XLOOKUP(D53,RUC!$B$3:$B$565,RUC!$M$3:$M$565)</f>
        <v>Ronald Garibay</v>
      </c>
      <c r="AO53" s="131" t="s">
        <v>547</v>
      </c>
      <c r="AP53" s="57" t="s">
        <v>2130</v>
      </c>
      <c r="AQ53" s="57" t="s">
        <v>2131</v>
      </c>
    </row>
    <row r="54" ht="15.0" customHeight="1">
      <c r="A54" s="192" t="s">
        <v>2132</v>
      </c>
      <c r="B54" s="194">
        <v>45980.0</v>
      </c>
      <c r="C54" s="182">
        <v>45975.0</v>
      </c>
      <c r="D54" s="57" t="s">
        <v>306</v>
      </c>
      <c r="E54" s="3">
        <f t="array" ref="E54">XLOOKUP(D54,RUC!$B$3:$B$110,RUC!$D$3:$D$110)</f>
        <v>20612921866</v>
      </c>
      <c r="G54" s="141">
        <v>20.0</v>
      </c>
      <c r="H54" s="3" t="s">
        <v>47</v>
      </c>
      <c r="I54" s="6">
        <v>2.27</v>
      </c>
      <c r="J54" s="58">
        <v>1.2</v>
      </c>
      <c r="K54" s="6">
        <f t="shared" si="2"/>
        <v>2.243</v>
      </c>
      <c r="L54" s="3">
        <v>0.113</v>
      </c>
      <c r="M54" s="60">
        <f t="shared" si="30"/>
        <v>0.095</v>
      </c>
      <c r="N54" s="62">
        <f t="shared" si="44"/>
        <v>0.095</v>
      </c>
      <c r="O54" s="60">
        <f t="shared" si="45"/>
        <v>0.095</v>
      </c>
      <c r="P54" s="63">
        <v>90.0</v>
      </c>
      <c r="Q54" s="458">
        <v>97.35</v>
      </c>
      <c r="R54" s="65">
        <v>4071.1</v>
      </c>
      <c r="S54" s="66">
        <f t="array" ref="S54">IF((XLOOKUP(D54,RUC!$B$3:$B$106,RUC!$E$3:$E$106)+ROUNDDOWN(O54,1)*100)&lt;95,95,((XLOOKUP(D54,RUC!$B$3:$B$106,RUC!$E$3:$E$106)+ROUNDDOWN(O54,1)*100)))</f>
        <v>95</v>
      </c>
      <c r="U54" s="67">
        <f t="array" ref="U54">XLOOKUP(D54,RUC!$B$3:$B$110,RUC!$F$3:$F$110)</f>
        <v>100</v>
      </c>
      <c r="V54" s="67">
        <v>1.1023</v>
      </c>
      <c r="Y54" s="57" t="str">
        <f t="array" ref="Y54">XLOOKUP(D54,RUC!$B$3:$B$110,RUC!$G$3:$G$110)</f>
        <v/>
      </c>
      <c r="Z54" s="69">
        <f t="array" ref="Z54">XLOOKUP(D54,RUC!$B$3:$B$110,RUC!$H$3:$H$110)</f>
        <v>30</v>
      </c>
      <c r="AA54" s="70">
        <f t="shared" si="4"/>
        <v>30</v>
      </c>
      <c r="AB54" s="71">
        <v>0.001</v>
      </c>
      <c r="AC54" s="71">
        <f>+(S54-T54)*V54-'data 1'!$F$4</f>
        <v>24.7185</v>
      </c>
      <c r="AD54" s="71">
        <f t="shared" si="5"/>
        <v>36.35602669</v>
      </c>
      <c r="AE54" s="71">
        <f t="shared" si="6"/>
        <v>-36.931</v>
      </c>
      <c r="AF54" s="71">
        <f t="shared" si="7"/>
        <v>76.70419068</v>
      </c>
      <c r="AG54" s="72">
        <f>AC54+AD54+AE54+AF54+70-10+236.48</f>
        <v>397.3277174</v>
      </c>
      <c r="AH54" s="193">
        <f t="shared" si="8"/>
        <v>8.46</v>
      </c>
      <c r="AI54" s="193">
        <f t="shared" si="9"/>
        <v>8.69</v>
      </c>
      <c r="AJ54" s="73">
        <f t="shared" si="10"/>
        <v>27.75619944</v>
      </c>
      <c r="AK54" s="73">
        <f t="shared" si="11"/>
        <v>6.575131721</v>
      </c>
      <c r="AM54" s="51">
        <f t="shared" si="12"/>
        <v>0.002243</v>
      </c>
      <c r="AN54" s="51" t="str">
        <f t="array" ref="AN54">XLOOKUP(D54,RUC!$B$3:$B$565,RUC!$M$3:$M$565)</f>
        <v>Ronald Garibay</v>
      </c>
      <c r="AO54" s="131" t="s">
        <v>547</v>
      </c>
      <c r="AP54" s="57" t="s">
        <v>2130</v>
      </c>
      <c r="AQ54" s="57" t="s">
        <v>2131</v>
      </c>
    </row>
    <row r="55" ht="15.0" customHeight="1">
      <c r="A55" s="116" t="s">
        <v>2133</v>
      </c>
      <c r="B55" s="182">
        <v>45984.0</v>
      </c>
      <c r="C55" s="182">
        <v>45975.0</v>
      </c>
      <c r="D55" s="57" t="s">
        <v>146</v>
      </c>
      <c r="E55" s="3">
        <f t="array" ref="E55">XLOOKUP(D55,RUC!$B$3:$B$110,RUC!$D$3:$D$110)</f>
        <v>20517242919</v>
      </c>
      <c r="G55" s="141">
        <v>68.0</v>
      </c>
      <c r="H55" s="3" t="s">
        <v>47</v>
      </c>
      <c r="I55" s="6">
        <v>5.87</v>
      </c>
      <c r="J55" s="58">
        <v>1.35</v>
      </c>
      <c r="K55" s="6">
        <f t="shared" si="2"/>
        <v>5.791</v>
      </c>
      <c r="L55" s="3">
        <v>0.281</v>
      </c>
      <c r="M55" s="60">
        <f t="shared" si="30"/>
        <v>0.274</v>
      </c>
      <c r="N55" s="75">
        <v>0.318</v>
      </c>
      <c r="O55" s="60">
        <f t="shared" si="45"/>
        <v>0.296</v>
      </c>
      <c r="P55" s="63">
        <v>90.0</v>
      </c>
      <c r="Q55" s="458">
        <v>95.37</v>
      </c>
      <c r="R55" s="65">
        <v>4071.1</v>
      </c>
      <c r="S55" s="133">
        <v>105.0</v>
      </c>
      <c r="U55" s="67">
        <f t="array" ref="U55">XLOOKUP(D55,RUC!$B$3:$B$110,RUC!$F$3:$F$110)</f>
        <v>80</v>
      </c>
      <c r="V55" s="67">
        <v>1.1023</v>
      </c>
      <c r="Y55" s="57" t="str">
        <f t="array" ref="Y55">XLOOKUP(D55,RUC!$B$3:$B$110,RUC!$G$3:$G$110)</f>
        <v/>
      </c>
      <c r="Z55" s="69">
        <f t="array" ref="Z55">XLOOKUP(D55,RUC!$B$3:$B$110,RUC!$H$3:$H$110)</f>
        <v>10</v>
      </c>
      <c r="AA55" s="70">
        <f t="shared" si="4"/>
        <v>10</v>
      </c>
      <c r="AB55" s="71">
        <f t="shared" ref="AB55:AB112" si="46">+((O55*P55*(R55-U55)/100)-S55-AA55+T55)*V55</f>
        <v>1045.232871</v>
      </c>
      <c r="AC55" s="71">
        <f>+(S55-T55)*V55-'data 1'!$F$4</f>
        <v>35.7415</v>
      </c>
      <c r="AD55" s="71">
        <f t="shared" si="5"/>
        <v>66.38546819</v>
      </c>
      <c r="AE55" s="71">
        <f t="shared" si="6"/>
        <v>-58.977</v>
      </c>
      <c r="AF55" s="71">
        <f t="shared" si="7"/>
        <v>-62.93546692</v>
      </c>
      <c r="AG55" s="72">
        <f t="shared" ref="AG55:AG62" si="47">AC55+AD55+AE55+AF55+70</f>
        <v>50.21450127</v>
      </c>
      <c r="AH55" s="193">
        <f t="shared" si="8"/>
        <v>53.208</v>
      </c>
      <c r="AI55" s="193">
        <f t="shared" si="9"/>
        <v>55.792</v>
      </c>
      <c r="AJ55" s="73">
        <f t="shared" si="10"/>
        <v>61.71011417</v>
      </c>
      <c r="AK55" s="73">
        <f t="shared" si="11"/>
        <v>52.89283614</v>
      </c>
      <c r="AL55" s="11"/>
      <c r="AM55" s="51">
        <f t="shared" si="12"/>
        <v>6052.943555</v>
      </c>
      <c r="AN55" s="51" t="str">
        <f t="array" ref="AN55">XLOOKUP(D55,RUC!$B$3:$B$565,RUC!$M$3:$M$565)</f>
        <v>Melchor Vera</v>
      </c>
      <c r="AO55" s="131" t="s">
        <v>551</v>
      </c>
      <c r="AP55" s="57" t="s">
        <v>587</v>
      </c>
      <c r="AQ55" s="57" t="s">
        <v>2134</v>
      </c>
    </row>
    <row r="56" ht="15.0" customHeight="1">
      <c r="A56" s="116" t="s">
        <v>2135</v>
      </c>
      <c r="B56" s="182">
        <v>45984.0</v>
      </c>
      <c r="C56" s="182">
        <v>45975.0</v>
      </c>
      <c r="D56" s="57" t="s">
        <v>146</v>
      </c>
      <c r="E56" s="3">
        <f t="array" ref="E56">XLOOKUP(D56,RUC!$B$3:$B$110,RUC!$D$3:$D$110)</f>
        <v>20517242919</v>
      </c>
      <c r="G56" s="141">
        <v>63.0</v>
      </c>
      <c r="H56" s="3" t="s">
        <v>47</v>
      </c>
      <c r="I56" s="6">
        <v>5.14</v>
      </c>
      <c r="J56" s="58">
        <v>1.3</v>
      </c>
      <c r="K56" s="6">
        <f t="shared" si="2"/>
        <v>5.073</v>
      </c>
      <c r="L56" s="3">
        <v>0.224</v>
      </c>
      <c r="M56" s="60">
        <f t="shared" si="30"/>
        <v>0.217</v>
      </c>
      <c r="N56" s="62">
        <f t="shared" ref="N56:N63" si="48">+M56</f>
        <v>0.217</v>
      </c>
      <c r="O56" s="60">
        <f t="shared" si="45"/>
        <v>0.217</v>
      </c>
      <c r="P56" s="63">
        <v>85.0</v>
      </c>
      <c r="Q56" s="458">
        <v>96.88</v>
      </c>
      <c r="R56" s="65">
        <v>4071.1</v>
      </c>
      <c r="S56" s="133">
        <v>105.0</v>
      </c>
      <c r="U56" s="67">
        <f t="array" ref="U56">XLOOKUP(D56,RUC!$B$3:$B$110,RUC!$F$3:$F$110)</f>
        <v>80</v>
      </c>
      <c r="V56" s="67">
        <v>1.1023</v>
      </c>
      <c r="Y56" s="57" t="str">
        <f t="array" ref="Y56">XLOOKUP(D56,RUC!$B$3:$B$110,RUC!$G$3:$G$110)</f>
        <v/>
      </c>
      <c r="Z56" s="69">
        <f t="array" ref="Z56">XLOOKUP(D56,RUC!$B$3:$B$110,RUC!$H$3:$H$110)</f>
        <v>10</v>
      </c>
      <c r="AA56" s="70">
        <f t="shared" si="4"/>
        <v>10</v>
      </c>
      <c r="AB56" s="71">
        <f t="shared" si="46"/>
        <v>684.7028988</v>
      </c>
      <c r="AC56" s="71">
        <f>+(S56-T56)*V56-'data 1'!$F$4</f>
        <v>35.7415</v>
      </c>
      <c r="AD56" s="71">
        <f t="shared" si="5"/>
        <v>117.0730347</v>
      </c>
      <c r="AE56" s="71">
        <f t="shared" si="6"/>
        <v>-58.977</v>
      </c>
      <c r="AF56" s="71">
        <f t="shared" si="7"/>
        <v>29.83490004</v>
      </c>
      <c r="AG56" s="72">
        <f t="shared" si="47"/>
        <v>193.6724347</v>
      </c>
      <c r="AH56" s="193">
        <f t="shared" si="8"/>
        <v>37.745</v>
      </c>
      <c r="AI56" s="193">
        <f t="shared" si="9"/>
        <v>38.96</v>
      </c>
      <c r="AJ56" s="73">
        <f t="shared" si="10"/>
        <v>49.97127102</v>
      </c>
      <c r="AK56" s="73">
        <f t="shared" si="11"/>
        <v>32.08134674</v>
      </c>
      <c r="AL56" s="11"/>
      <c r="AM56" s="51">
        <f t="shared" si="12"/>
        <v>3473.497806</v>
      </c>
      <c r="AN56" s="51" t="str">
        <f t="array" ref="AN56">XLOOKUP(D56,RUC!$B$3:$B$565,RUC!$M$3:$M$565)</f>
        <v>Melchor Vera</v>
      </c>
      <c r="AO56" s="131" t="s">
        <v>551</v>
      </c>
      <c r="AP56" s="57" t="s">
        <v>587</v>
      </c>
      <c r="AQ56" s="57" t="s">
        <v>2134</v>
      </c>
    </row>
    <row r="57" ht="15.0" customHeight="1">
      <c r="A57" s="116" t="s">
        <v>2136</v>
      </c>
      <c r="B57" s="182">
        <v>45984.0</v>
      </c>
      <c r="C57" s="182">
        <v>45975.0</v>
      </c>
      <c r="D57" s="57" t="s">
        <v>146</v>
      </c>
      <c r="E57" s="3">
        <f t="array" ref="E57">XLOOKUP(D57,RUC!$B$3:$B$110,RUC!$D$3:$D$110)</f>
        <v>20517242919</v>
      </c>
      <c r="G57" s="141">
        <v>60.0</v>
      </c>
      <c r="H57" s="3" t="s">
        <v>47</v>
      </c>
      <c r="I57" s="6">
        <v>5.32</v>
      </c>
      <c r="J57" s="58">
        <v>1.15</v>
      </c>
      <c r="K57" s="6">
        <f t="shared" si="2"/>
        <v>5.259</v>
      </c>
      <c r="L57" s="60">
        <v>0.28</v>
      </c>
      <c r="M57" s="60">
        <f t="shared" si="30"/>
        <v>0.273</v>
      </c>
      <c r="N57" s="62">
        <f t="shared" si="48"/>
        <v>0.273</v>
      </c>
      <c r="O57" s="60">
        <f t="shared" si="45"/>
        <v>0.273</v>
      </c>
      <c r="P57" s="63">
        <v>90.0</v>
      </c>
      <c r="Q57" s="458">
        <v>91.79</v>
      </c>
      <c r="R57" s="65">
        <v>4071.1</v>
      </c>
      <c r="S57" s="133">
        <v>105.0</v>
      </c>
      <c r="U57" s="67">
        <f t="array" ref="U57">XLOOKUP(D57,RUC!$B$3:$B$110,RUC!$F$3:$F$110)</f>
        <v>80</v>
      </c>
      <c r="V57" s="67">
        <v>1.1023</v>
      </c>
      <c r="Y57" s="57" t="str">
        <f t="array" ref="Y57">XLOOKUP(D57,RUC!$B$3:$B$110,RUC!$G$3:$G$110)</f>
        <v/>
      </c>
      <c r="Z57" s="69">
        <f t="array" ref="Z57">XLOOKUP(D57,RUC!$B$3:$B$110,RUC!$H$3:$H$110)</f>
        <v>10</v>
      </c>
      <c r="AA57" s="70">
        <f t="shared" si="4"/>
        <v>10</v>
      </c>
      <c r="AB57" s="71">
        <f t="shared" si="46"/>
        <v>954.1655075</v>
      </c>
      <c r="AC57" s="71">
        <f>+(S57-T57)*V57-'data 1'!$F$4</f>
        <v>35.7415</v>
      </c>
      <c r="AD57" s="71">
        <f t="shared" si="5"/>
        <v>22.04974032</v>
      </c>
      <c r="AE57" s="71">
        <f t="shared" si="6"/>
        <v>-58.977</v>
      </c>
      <c r="AF57" s="71">
        <f t="shared" si="7"/>
        <v>28.26739755</v>
      </c>
      <c r="AG57" s="72">
        <f t="shared" si="47"/>
        <v>97.08163787</v>
      </c>
      <c r="AH57" s="193">
        <f t="shared" si="8"/>
        <v>46.341</v>
      </c>
      <c r="AI57" s="193">
        <f t="shared" si="9"/>
        <v>50.486</v>
      </c>
      <c r="AJ57" s="73">
        <f t="shared" si="10"/>
        <v>59.18227404</v>
      </c>
      <c r="AK57" s="73">
        <f t="shared" si="11"/>
        <v>44.30139446</v>
      </c>
      <c r="AL57" s="11"/>
      <c r="AM57" s="51">
        <f t="shared" si="12"/>
        <v>5017.956404</v>
      </c>
      <c r="AN57" s="51" t="str">
        <f t="array" ref="AN57">XLOOKUP(D57,RUC!$B$3:$B$565,RUC!$M$3:$M$565)</f>
        <v>Melchor Vera</v>
      </c>
      <c r="AO57" s="131" t="s">
        <v>551</v>
      </c>
      <c r="AP57" s="57" t="s">
        <v>587</v>
      </c>
      <c r="AQ57" s="57" t="s">
        <v>2134</v>
      </c>
    </row>
    <row r="58" ht="15.0" customHeight="1">
      <c r="A58" s="116" t="s">
        <v>2137</v>
      </c>
      <c r="B58" s="182">
        <v>45984.0</v>
      </c>
      <c r="C58" s="182">
        <v>45975.0</v>
      </c>
      <c r="D58" s="57" t="s">
        <v>146</v>
      </c>
      <c r="E58" s="3">
        <f t="array" ref="E58">XLOOKUP(D58,RUC!$B$3:$B$110,RUC!$D$3:$D$110)</f>
        <v>20517242919</v>
      </c>
      <c r="G58" s="141">
        <v>65.0</v>
      </c>
      <c r="H58" s="3" t="s">
        <v>47</v>
      </c>
      <c r="I58" s="6">
        <v>5.53</v>
      </c>
      <c r="J58" s="58">
        <v>1.3</v>
      </c>
      <c r="K58" s="6">
        <f t="shared" si="2"/>
        <v>5.458</v>
      </c>
      <c r="L58" s="3">
        <v>0.143</v>
      </c>
      <c r="M58" s="60">
        <f t="shared" si="30"/>
        <v>0.136</v>
      </c>
      <c r="N58" s="62">
        <f t="shared" si="48"/>
        <v>0.136</v>
      </c>
      <c r="O58" s="60">
        <f t="shared" si="45"/>
        <v>0.136</v>
      </c>
      <c r="P58" s="63">
        <v>85.0</v>
      </c>
      <c r="Q58" s="458">
        <v>97.2</v>
      </c>
      <c r="R58" s="65">
        <v>4071.1</v>
      </c>
      <c r="S58" s="133">
        <v>95.0</v>
      </c>
      <c r="U58" s="67">
        <f t="array" ref="U58">XLOOKUP(D58,RUC!$B$3:$B$110,RUC!$F$3:$F$110)</f>
        <v>80</v>
      </c>
      <c r="V58" s="67">
        <v>1.1023</v>
      </c>
      <c r="Y58" s="57" t="str">
        <f t="array" ref="Y58">XLOOKUP(D58,RUC!$B$3:$B$110,RUC!$G$3:$G$110)</f>
        <v/>
      </c>
      <c r="Z58" s="69">
        <f t="array" ref="Z58">XLOOKUP(D58,RUC!$B$3:$B$110,RUC!$H$3:$H$110)</f>
        <v>10</v>
      </c>
      <c r="AA58" s="70">
        <f t="shared" si="4"/>
        <v>10</v>
      </c>
      <c r="AB58" s="71">
        <f t="shared" si="46"/>
        <v>392.8279297</v>
      </c>
      <c r="AC58" s="71">
        <f>+(S58-T58)*V58-'data 1'!$F$4</f>
        <v>24.7185</v>
      </c>
      <c r="AD58" s="71">
        <f t="shared" si="5"/>
        <v>76.75174974</v>
      </c>
      <c r="AE58" s="71">
        <f t="shared" si="6"/>
        <v>-58.977</v>
      </c>
      <c r="AF58" s="71">
        <f t="shared" si="7"/>
        <v>29.93344636</v>
      </c>
      <c r="AG58" s="72">
        <f t="shared" si="47"/>
        <v>142.4266961</v>
      </c>
      <c r="AH58" s="193">
        <f t="shared" si="8"/>
        <v>26.01</v>
      </c>
      <c r="AI58" s="193">
        <f t="shared" si="9"/>
        <v>26.76</v>
      </c>
      <c r="AJ58" s="73">
        <f t="shared" si="10"/>
        <v>32.00667425</v>
      </c>
      <c r="AK58" s="73">
        <f t="shared" si="11"/>
        <v>21.63218731</v>
      </c>
      <c r="AL58" s="11"/>
      <c r="AM58" s="51">
        <f t="shared" si="12"/>
        <v>2144.05484</v>
      </c>
      <c r="AN58" s="51" t="str">
        <f t="array" ref="AN58">XLOOKUP(D58,RUC!$B$3:$B$565,RUC!$M$3:$M$565)</f>
        <v>Melchor Vera</v>
      </c>
      <c r="AO58" s="131" t="s">
        <v>547</v>
      </c>
      <c r="AP58" s="57" t="s">
        <v>587</v>
      </c>
      <c r="AQ58" s="57" t="s">
        <v>2134</v>
      </c>
    </row>
    <row r="59" ht="15.0" customHeight="1">
      <c r="A59" s="116" t="s">
        <v>2138</v>
      </c>
      <c r="B59" s="182">
        <v>45984.0</v>
      </c>
      <c r="C59" s="182">
        <v>45975.0</v>
      </c>
      <c r="D59" s="57" t="s">
        <v>146</v>
      </c>
      <c r="E59" s="3">
        <f t="array" ref="E59">XLOOKUP(D59,RUC!$B$3:$B$110,RUC!$D$3:$D$110)</f>
        <v>20517242919</v>
      </c>
      <c r="G59" s="141">
        <v>40.0</v>
      </c>
      <c r="H59" s="3" t="s">
        <v>47</v>
      </c>
      <c r="I59" s="6">
        <v>3.76</v>
      </c>
      <c r="J59" s="58">
        <v>1.2</v>
      </c>
      <c r="K59" s="6">
        <f t="shared" si="2"/>
        <v>3.715</v>
      </c>
      <c r="L59" s="3">
        <v>0.448</v>
      </c>
      <c r="M59" s="60">
        <f t="shared" si="30"/>
        <v>0.441</v>
      </c>
      <c r="N59" s="62">
        <f t="shared" si="48"/>
        <v>0.441</v>
      </c>
      <c r="O59" s="60">
        <f t="shared" si="45"/>
        <v>0.441</v>
      </c>
      <c r="P59" s="63">
        <v>90.0</v>
      </c>
      <c r="Q59" s="458">
        <v>90.18</v>
      </c>
      <c r="R59" s="65">
        <v>4071.1</v>
      </c>
      <c r="S59" s="133">
        <v>115.0</v>
      </c>
      <c r="U59" s="67">
        <f t="array" ref="U59">XLOOKUP(D59,RUC!$B$3:$B$110,RUC!$F$3:$F$110)</f>
        <v>80</v>
      </c>
      <c r="V59" s="67">
        <v>1.1023</v>
      </c>
      <c r="Y59" s="57" t="str">
        <f t="array" ref="Y59">XLOOKUP(D59,RUC!$B$3:$B$110,RUC!$G$3:$G$110)</f>
        <v/>
      </c>
      <c r="Z59" s="69">
        <f t="array" ref="Z59">XLOOKUP(D59,RUC!$B$3:$B$110,RUC!$H$3:$H$110)</f>
        <v>10</v>
      </c>
      <c r="AA59" s="70">
        <f t="shared" si="4"/>
        <v>10</v>
      </c>
      <c r="AB59" s="71">
        <f t="shared" si="46"/>
        <v>1608.330204</v>
      </c>
      <c r="AC59" s="71">
        <f>+(S59-T59)*V59-'data 1'!$F$4</f>
        <v>46.7645</v>
      </c>
      <c r="AD59" s="71">
        <f t="shared" si="5"/>
        <v>3.547667717</v>
      </c>
      <c r="AE59" s="71">
        <f t="shared" si="6"/>
        <v>-58.977</v>
      </c>
      <c r="AF59" s="71">
        <f t="shared" si="7"/>
        <v>27.77158635</v>
      </c>
      <c r="AG59" s="72">
        <f t="shared" si="47"/>
        <v>89.10675406</v>
      </c>
      <c r="AH59" s="193">
        <f t="shared" si="8"/>
        <v>51.458</v>
      </c>
      <c r="AI59" s="193">
        <f t="shared" si="9"/>
        <v>57.062</v>
      </c>
      <c r="AJ59" s="73">
        <f t="shared" si="10"/>
        <v>93.03074361</v>
      </c>
      <c r="AK59" s="73">
        <f t="shared" si="11"/>
        <v>50.55323897</v>
      </c>
      <c r="AL59" s="11"/>
      <c r="AM59" s="51">
        <f t="shared" si="12"/>
        <v>5974.94671</v>
      </c>
      <c r="AN59" s="51" t="str">
        <f t="array" ref="AN59">XLOOKUP(D59,RUC!$B$3:$B$565,RUC!$M$3:$M$565)</f>
        <v>Melchor Vera</v>
      </c>
      <c r="AO59" s="131" t="s">
        <v>551</v>
      </c>
      <c r="AP59" s="57" t="s">
        <v>587</v>
      </c>
      <c r="AQ59" s="57" t="s">
        <v>2134</v>
      </c>
    </row>
    <row r="60" ht="15.0" customHeight="1">
      <c r="A60" s="116" t="s">
        <v>2139</v>
      </c>
      <c r="B60" s="182">
        <v>45984.0</v>
      </c>
      <c r="C60" s="182">
        <v>45975.0</v>
      </c>
      <c r="D60" s="57" t="s">
        <v>146</v>
      </c>
      <c r="E60" s="3">
        <f t="array" ref="E60">XLOOKUP(D60,RUC!$B$3:$B$110,RUC!$D$3:$D$110)</f>
        <v>20517242919</v>
      </c>
      <c r="G60" s="141">
        <v>15.0</v>
      </c>
      <c r="H60" s="3" t="s">
        <v>47</v>
      </c>
      <c r="I60" s="6">
        <v>1.51</v>
      </c>
      <c r="J60" s="58">
        <v>1.25</v>
      </c>
      <c r="K60" s="6">
        <f t="shared" si="2"/>
        <v>1.491</v>
      </c>
      <c r="L60" s="60">
        <v>0.46</v>
      </c>
      <c r="M60" s="60">
        <f t="shared" si="30"/>
        <v>0.453</v>
      </c>
      <c r="N60" s="62">
        <f t="shared" si="48"/>
        <v>0.453</v>
      </c>
      <c r="O60" s="60">
        <f t="shared" si="45"/>
        <v>0.453</v>
      </c>
      <c r="P60" s="63">
        <v>90.0</v>
      </c>
      <c r="Q60" s="461">
        <v>88.91</v>
      </c>
      <c r="R60" s="65">
        <v>4071.1</v>
      </c>
      <c r="S60" s="133">
        <v>115.0</v>
      </c>
      <c r="U60" s="67">
        <f t="array" ref="U60">XLOOKUP(D60,RUC!$B$3:$B$110,RUC!$F$3:$F$110)</f>
        <v>80</v>
      </c>
      <c r="V60" s="67">
        <v>1.1023</v>
      </c>
      <c r="Y60" s="57" t="str">
        <f t="array" ref="Y60">XLOOKUP(D60,RUC!$B$3:$B$110,RUC!$G$3:$G$110)</f>
        <v/>
      </c>
      <c r="Z60" s="69">
        <f t="array" ref="Z60">XLOOKUP(D60,RUC!$B$3:$B$110,RUC!$H$3:$H$110)</f>
        <v>10</v>
      </c>
      <c r="AA60" s="70">
        <f t="shared" si="4"/>
        <v>10</v>
      </c>
      <c r="AB60" s="71">
        <f t="shared" si="46"/>
        <v>1655.843611</v>
      </c>
      <c r="AC60" s="71">
        <f>+(S60-T60)*V60-'data 1'!$F$4</f>
        <v>46.7645</v>
      </c>
      <c r="AD60" s="71">
        <f t="shared" si="5"/>
        <v>-22.0585391</v>
      </c>
      <c r="AE60" s="71">
        <f t="shared" si="6"/>
        <v>-58.977</v>
      </c>
      <c r="AF60" s="71">
        <f t="shared" si="7"/>
        <v>27.38048062</v>
      </c>
      <c r="AG60" s="72">
        <f t="shared" si="47"/>
        <v>63.10944151</v>
      </c>
      <c r="AH60" s="193">
        <f t="shared" si="8"/>
        <v>20.907</v>
      </c>
      <c r="AI60" s="193">
        <f t="shared" si="9"/>
        <v>23.515</v>
      </c>
      <c r="AJ60" s="73">
        <f t="shared" si="10"/>
        <v>94.17739844</v>
      </c>
      <c r="AK60" s="73">
        <f t="shared" si="11"/>
        <v>20.84142569</v>
      </c>
      <c r="AL60" s="11"/>
      <c r="AM60" s="51">
        <f t="shared" si="12"/>
        <v>2468.862825</v>
      </c>
      <c r="AN60" s="51" t="str">
        <f t="array" ref="AN60">XLOOKUP(D60,RUC!$B$3:$B$565,RUC!$M$3:$M$565)</f>
        <v>Melchor Vera</v>
      </c>
      <c r="AO60" s="131" t="s">
        <v>551</v>
      </c>
      <c r="AP60" s="57" t="s">
        <v>587</v>
      </c>
      <c r="AQ60" s="57" t="s">
        <v>2134</v>
      </c>
    </row>
    <row r="61" ht="15.0" customHeight="1">
      <c r="A61" s="116" t="s">
        <v>2140</v>
      </c>
      <c r="B61" s="182">
        <v>45984.0</v>
      </c>
      <c r="C61" s="182">
        <v>45975.0</v>
      </c>
      <c r="D61" s="57" t="s">
        <v>146</v>
      </c>
      <c r="E61" s="3">
        <f t="array" ref="E61">XLOOKUP(D61,RUC!$B$3:$B$110,RUC!$D$3:$D$110)</f>
        <v>20517242919</v>
      </c>
      <c r="G61" s="141">
        <v>24.0</v>
      </c>
      <c r="H61" s="3" t="s">
        <v>47</v>
      </c>
      <c r="I61" s="6">
        <v>2.22</v>
      </c>
      <c r="J61" s="58">
        <v>1.15</v>
      </c>
      <c r="K61" s="6">
        <f t="shared" si="2"/>
        <v>2.194</v>
      </c>
      <c r="L61" s="3">
        <v>0.208</v>
      </c>
      <c r="M61" s="60">
        <f t="shared" si="30"/>
        <v>0.201</v>
      </c>
      <c r="N61" s="62">
        <f t="shared" si="48"/>
        <v>0.201</v>
      </c>
      <c r="O61" s="60">
        <f t="shared" si="45"/>
        <v>0.201</v>
      </c>
      <c r="P61" s="63">
        <v>85.0</v>
      </c>
      <c r="Q61" s="458">
        <v>88.94</v>
      </c>
      <c r="R61" s="65">
        <v>4071.1</v>
      </c>
      <c r="S61" s="133">
        <v>105.0</v>
      </c>
      <c r="U61" s="67">
        <f t="array" ref="U61">XLOOKUP(D61,RUC!$B$3:$B$110,RUC!$F$3:$F$110)</f>
        <v>80</v>
      </c>
      <c r="V61" s="67">
        <v>1.1023</v>
      </c>
      <c r="Y61" s="57" t="str">
        <f t="array" ref="Y61">XLOOKUP(D61,RUC!$B$3:$B$110,RUC!$G$3:$G$110)</f>
        <v/>
      </c>
      <c r="Z61" s="69">
        <f t="array" ref="Z61">XLOOKUP(D61,RUC!$B$3:$B$110,RUC!$H$3:$H$110)</f>
        <v>10</v>
      </c>
      <c r="AA61" s="70">
        <f t="shared" si="4"/>
        <v>10</v>
      </c>
      <c r="AB61" s="71">
        <f t="shared" si="46"/>
        <v>624.8712012</v>
      </c>
      <c r="AC61" s="71">
        <f>+(S61-T61)*V61-'data 1'!$F$4</f>
        <v>35.7415</v>
      </c>
      <c r="AD61" s="71">
        <f t="shared" si="5"/>
        <v>36.05387708</v>
      </c>
      <c r="AE61" s="71">
        <f t="shared" si="6"/>
        <v>-58.977</v>
      </c>
      <c r="AF61" s="71">
        <f t="shared" si="7"/>
        <v>27.38971934</v>
      </c>
      <c r="AG61" s="72">
        <f t="shared" si="47"/>
        <v>110.2080964</v>
      </c>
      <c r="AH61" s="193">
        <f t="shared" si="8"/>
        <v>13.916</v>
      </c>
      <c r="AI61" s="193">
        <f t="shared" si="9"/>
        <v>15.646</v>
      </c>
      <c r="AJ61" s="73">
        <f t="shared" si="10"/>
        <v>42.59893165</v>
      </c>
      <c r="AK61" s="73">
        <f t="shared" si="11"/>
        <v>12.85170286</v>
      </c>
      <c r="AL61" s="11"/>
      <c r="AM61" s="51">
        <f t="shared" si="12"/>
        <v>1370.967415</v>
      </c>
      <c r="AN61" s="51" t="str">
        <f t="array" ref="AN61">XLOOKUP(D61,RUC!$B$3:$B$565,RUC!$M$3:$M$565)</f>
        <v>Melchor Vera</v>
      </c>
      <c r="AO61" s="131" t="s">
        <v>551</v>
      </c>
      <c r="AP61" s="57" t="s">
        <v>587</v>
      </c>
      <c r="AQ61" s="57" t="s">
        <v>2134</v>
      </c>
    </row>
    <row r="62" ht="15.0" customHeight="1">
      <c r="A62" s="116" t="s">
        <v>2141</v>
      </c>
      <c r="B62" s="182">
        <v>45984.0</v>
      </c>
      <c r="C62" s="182">
        <v>45975.0</v>
      </c>
      <c r="D62" s="57" t="s">
        <v>146</v>
      </c>
      <c r="E62" s="3">
        <f t="array" ref="E62">XLOOKUP(D62,RUC!$B$3:$B$110,RUC!$D$3:$D$110)</f>
        <v>20517242919</v>
      </c>
      <c r="G62" s="141">
        <v>40.0</v>
      </c>
      <c r="H62" s="3" t="s">
        <v>47</v>
      </c>
      <c r="I62" s="6">
        <v>3.53</v>
      </c>
      <c r="J62" s="58">
        <v>1.2</v>
      </c>
      <c r="K62" s="6">
        <f t="shared" si="2"/>
        <v>3.488</v>
      </c>
      <c r="L62" s="3">
        <v>0.159</v>
      </c>
      <c r="M62" s="60">
        <f t="shared" si="30"/>
        <v>0.152</v>
      </c>
      <c r="N62" s="62">
        <f t="shared" si="48"/>
        <v>0.152</v>
      </c>
      <c r="O62" s="60">
        <f t="shared" si="45"/>
        <v>0.152</v>
      </c>
      <c r="P62" s="63">
        <v>85.0</v>
      </c>
      <c r="Q62" s="458">
        <v>92.45</v>
      </c>
      <c r="R62" s="65">
        <v>4071.1</v>
      </c>
      <c r="S62" s="133">
        <v>95.0</v>
      </c>
      <c r="U62" s="67">
        <f t="array" ref="U62">XLOOKUP(D62,RUC!$B$3:$B$110,RUC!$F$3:$F$110)</f>
        <v>80</v>
      </c>
      <c r="V62" s="67">
        <v>1.1023</v>
      </c>
      <c r="Y62" s="57" t="str">
        <f t="array" ref="Y62">XLOOKUP(D62,RUC!$B$3:$B$110,RUC!$G$3:$G$110)</f>
        <v/>
      </c>
      <c r="Z62" s="69">
        <f t="array" ref="Z62">XLOOKUP(D62,RUC!$B$3:$B$110,RUC!$H$3:$H$110)</f>
        <v>10</v>
      </c>
      <c r="AA62" s="70">
        <f t="shared" si="4"/>
        <v>10</v>
      </c>
      <c r="AB62" s="71">
        <f t="shared" si="46"/>
        <v>452.6596273</v>
      </c>
      <c r="AC62" s="71">
        <f>+(S62-T62)*V62-'data 1'!$F$4</f>
        <v>24.7185</v>
      </c>
      <c r="AD62" s="71">
        <f t="shared" si="5"/>
        <v>52.11296868</v>
      </c>
      <c r="AE62" s="71">
        <f t="shared" si="6"/>
        <v>-58.977</v>
      </c>
      <c r="AF62" s="71">
        <f t="shared" si="7"/>
        <v>28.47064934</v>
      </c>
      <c r="AG62" s="72">
        <f t="shared" si="47"/>
        <v>116.325118</v>
      </c>
      <c r="AH62" s="193">
        <f t="shared" si="8"/>
        <v>17.579</v>
      </c>
      <c r="AI62" s="193">
        <f t="shared" si="9"/>
        <v>19.014</v>
      </c>
      <c r="AJ62" s="73">
        <f t="shared" si="10"/>
        <v>33.84872287</v>
      </c>
      <c r="AK62" s="73">
        <f t="shared" si="11"/>
        <v>15.45069641</v>
      </c>
      <c r="AL62" s="11"/>
      <c r="AM62" s="51">
        <f t="shared" si="12"/>
        <v>1578.87678</v>
      </c>
      <c r="AN62" s="51" t="str">
        <f t="array" ref="AN62">XLOOKUP(D62,RUC!$B$3:$B$565,RUC!$M$3:$M$565)</f>
        <v>Melchor Vera</v>
      </c>
      <c r="AO62" s="131" t="s">
        <v>547</v>
      </c>
      <c r="AP62" s="57" t="s">
        <v>587</v>
      </c>
      <c r="AQ62" s="57" t="s">
        <v>2134</v>
      </c>
    </row>
    <row r="63" ht="15.0" customHeight="1">
      <c r="A63" s="116" t="s">
        <v>2142</v>
      </c>
      <c r="B63" s="182">
        <v>45986.0</v>
      </c>
      <c r="C63" s="182">
        <v>45975.0</v>
      </c>
      <c r="D63" s="57" t="s">
        <v>2122</v>
      </c>
      <c r="E63" s="3">
        <f t="array" ref="E63">XLOOKUP(D63,RUC!$B$3:$B$110,RUC!$D$3:$D$110)</f>
        <v>20614284740</v>
      </c>
      <c r="G63" s="141" t="s">
        <v>735</v>
      </c>
      <c r="H63" s="3" t="s">
        <v>71</v>
      </c>
      <c r="I63" s="6">
        <v>7.99</v>
      </c>
      <c r="J63" s="58">
        <v>1.25</v>
      </c>
      <c r="K63" s="6">
        <f t="shared" si="2"/>
        <v>7.89</v>
      </c>
      <c r="L63" s="3">
        <v>0.251</v>
      </c>
      <c r="M63" s="60">
        <f t="shared" si="30"/>
        <v>0.233</v>
      </c>
      <c r="N63" s="62">
        <f t="shared" si="48"/>
        <v>0.233</v>
      </c>
      <c r="O63" s="60">
        <f t="shared" si="45"/>
        <v>0.233</v>
      </c>
      <c r="P63" s="63">
        <v>90.0</v>
      </c>
      <c r="Q63" s="458">
        <v>98.41</v>
      </c>
      <c r="R63" s="65">
        <v>4071.1</v>
      </c>
      <c r="S63" s="462">
        <v>102.0</v>
      </c>
      <c r="U63" s="67">
        <f t="array" ref="U63">XLOOKUP(D63,RUC!$B$3:$B$110,RUC!$F$3:$F$110)</f>
        <v>120</v>
      </c>
      <c r="V63" s="67">
        <v>1.1023</v>
      </c>
      <c r="Y63" s="57">
        <f t="array" ref="Y63">XLOOKUP(D63,RUC!$B$3:$B$110,RUC!$G$3:$G$110)</f>
        <v>20</v>
      </c>
      <c r="Z63" s="69">
        <f t="array" ref="Z63">XLOOKUP(D63,RUC!$B$3:$B$110,RUC!$H$3:$H$110)</f>
        <v>30</v>
      </c>
      <c r="AA63" s="70">
        <f t="shared" si="4"/>
        <v>50</v>
      </c>
      <c r="AB63" s="71">
        <f t="shared" si="46"/>
        <v>745.756292</v>
      </c>
      <c r="AC63" s="71">
        <f>+(S63-T63)*V63-'data 1'!$F$4</f>
        <v>32.4346</v>
      </c>
      <c r="AD63" s="71">
        <f t="shared" si="5"/>
        <v>91.93641109</v>
      </c>
      <c r="AE63" s="71">
        <f t="shared" si="6"/>
        <v>-14.885</v>
      </c>
      <c r="AF63" s="71">
        <f t="shared" si="7"/>
        <v>77.14886939</v>
      </c>
      <c r="AG63" s="72">
        <f t="shared" ref="AG63:AG65" si="49">AC63+AD63+AE63+AF63+70-53</f>
        <v>203.6348805</v>
      </c>
      <c r="AH63" s="193">
        <f t="shared" si="8"/>
        <v>66.819</v>
      </c>
      <c r="AI63" s="193">
        <f t="shared" si="9"/>
        <v>67.898</v>
      </c>
      <c r="AJ63" s="73">
        <f t="shared" si="10"/>
        <v>67.77002679</v>
      </c>
      <c r="AK63" s="73">
        <f t="shared" si="11"/>
        <v>56.72630595</v>
      </c>
      <c r="AM63" s="51">
        <f t="shared" si="12"/>
        <v>5884.017144</v>
      </c>
      <c r="AN63" s="51" t="str">
        <f t="array" ref="AN63">XLOOKUP(D63,RUC!$B$3:$B$565,RUC!$M$3:$M$565)</f>
        <v>Walter Achulla </v>
      </c>
      <c r="AO63" s="131" t="s">
        <v>547</v>
      </c>
      <c r="AP63" s="57" t="s">
        <v>2143</v>
      </c>
      <c r="AQ63" s="57" t="s">
        <v>2144</v>
      </c>
      <c r="AR63" s="57" t="s">
        <v>2145</v>
      </c>
    </row>
    <row r="64" ht="15.0" customHeight="1">
      <c r="A64" s="116" t="s">
        <v>2146</v>
      </c>
      <c r="B64" s="182">
        <v>45986.0</v>
      </c>
      <c r="C64" s="182">
        <v>45975.0</v>
      </c>
      <c r="D64" s="57" t="s">
        <v>2122</v>
      </c>
      <c r="E64" s="3">
        <f t="array" ref="E64">XLOOKUP(D64,RUC!$B$3:$B$110,RUC!$D$3:$D$110)</f>
        <v>20614284740</v>
      </c>
      <c r="G64" s="141" t="s">
        <v>735</v>
      </c>
      <c r="H64" s="3" t="s">
        <v>71</v>
      </c>
      <c r="I64" s="6">
        <v>8.06</v>
      </c>
      <c r="J64" s="58">
        <v>1.3</v>
      </c>
      <c r="K64" s="6">
        <f t="shared" si="2"/>
        <v>7.955</v>
      </c>
      <c r="L64" s="3">
        <v>0.454</v>
      </c>
      <c r="M64" s="60">
        <f t="shared" si="30"/>
        <v>0.427</v>
      </c>
      <c r="N64" s="75">
        <v>0.478</v>
      </c>
      <c r="O64" s="60">
        <f t="shared" si="45"/>
        <v>0.453</v>
      </c>
      <c r="P64" s="63">
        <v>90.0</v>
      </c>
      <c r="Q64" s="458">
        <v>96.04</v>
      </c>
      <c r="R64" s="65">
        <v>4071.1</v>
      </c>
      <c r="S64" s="462">
        <v>122.0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69">
        <f t="array" ref="Z64">XLOOKUP(D64,RUC!$B$3:$B$110,RUC!$H$3:$H$110)</f>
        <v>30</v>
      </c>
      <c r="AA64" s="70">
        <f t="shared" si="4"/>
        <v>50</v>
      </c>
      <c r="AB64" s="71">
        <f t="shared" si="46"/>
        <v>1586.059203</v>
      </c>
      <c r="AC64" s="71">
        <f>+(S64-T64)*V64-'data 1'!$F$4</f>
        <v>54.4806</v>
      </c>
      <c r="AD64" s="71">
        <f t="shared" si="5"/>
        <v>119.4292267</v>
      </c>
      <c r="AE64" s="71">
        <f t="shared" si="6"/>
        <v>-14.885</v>
      </c>
      <c r="AF64" s="71">
        <f t="shared" si="7"/>
        <v>4.182827748</v>
      </c>
      <c r="AG64" s="72">
        <f t="shared" si="49"/>
        <v>180.2076545</v>
      </c>
      <c r="AH64" s="193">
        <f t="shared" si="8"/>
        <v>118.921</v>
      </c>
      <c r="AI64" s="193">
        <f t="shared" si="9"/>
        <v>123.824</v>
      </c>
      <c r="AJ64" s="73">
        <f t="shared" si="10"/>
        <v>119.6279631</v>
      </c>
      <c r="AK64" s="73">
        <f t="shared" si="11"/>
        <v>111.1962048</v>
      </c>
      <c r="AM64" s="51">
        <f t="shared" si="12"/>
        <v>12617.10096</v>
      </c>
      <c r="AN64" s="51" t="str">
        <f t="array" ref="AN64">XLOOKUP(D64,RUC!$B$3:$B$565,RUC!$M$3:$M$565)</f>
        <v>Walter Achulla </v>
      </c>
      <c r="AO64" s="131" t="s">
        <v>547</v>
      </c>
      <c r="AP64" s="57" t="s">
        <v>2147</v>
      </c>
      <c r="AQ64" s="57" t="s">
        <v>2148</v>
      </c>
      <c r="AR64" s="57" t="s">
        <v>2145</v>
      </c>
    </row>
    <row r="65" ht="15.0" customHeight="1">
      <c r="A65" s="116" t="s">
        <v>2149</v>
      </c>
      <c r="B65" s="182">
        <v>45985.0</v>
      </c>
      <c r="C65" s="182">
        <v>45977.0</v>
      </c>
      <c r="D65" s="57" t="s">
        <v>2150</v>
      </c>
      <c r="E65" s="3">
        <f t="array" ref="E65">XLOOKUP(D65,RUC!$B$3:$B$110,RUC!$D$3:$D$110)</f>
        <v>10304932789</v>
      </c>
      <c r="G65" s="141">
        <v>128.0</v>
      </c>
      <c r="H65" s="3" t="s">
        <v>47</v>
      </c>
      <c r="I65" s="6">
        <v>14.02</v>
      </c>
      <c r="J65" s="58">
        <v>1.2</v>
      </c>
      <c r="K65" s="6">
        <f t="shared" si="2"/>
        <v>13.852</v>
      </c>
      <c r="L65" s="60">
        <v>0.125</v>
      </c>
      <c r="M65" s="60">
        <f t="shared" si="30"/>
        <v>0.107</v>
      </c>
      <c r="N65" s="62">
        <f t="shared" ref="N65:N66" si="50">+M65</f>
        <v>0.107</v>
      </c>
      <c r="O65" s="60">
        <f t="shared" si="45"/>
        <v>0.107</v>
      </c>
      <c r="P65" s="63">
        <v>80.0</v>
      </c>
      <c r="Q65" s="458">
        <v>98.4</v>
      </c>
      <c r="R65" s="65">
        <v>4072.5</v>
      </c>
      <c r="S65" s="66">
        <f t="array" ref="S65">IF((XLOOKUP(D65,RUC!$B$3:$B$106,RUC!$E$3:$E$106)+ROUNDDOWN(O65,1)*100)&lt;95,95,((XLOOKUP(D65,RUC!$B$3:$B$106,RUC!$E$3:$E$106)+ROUNDDOWN(O65,1)*100)))</f>
        <v>100</v>
      </c>
      <c r="U65" s="67">
        <f t="array" ref="U65">XLOOKUP(D65,RUC!$B$3:$B$110,RUC!$F$3:$F$110)</f>
        <v>120</v>
      </c>
      <c r="V65" s="67">
        <v>1.1023</v>
      </c>
      <c r="Y65" s="57">
        <f t="array" ref="Y65">XLOOKUP(D65,RUC!$B$3:$B$110,RUC!$G$3:$G$110)</f>
        <v>0</v>
      </c>
      <c r="Z65" s="69">
        <f t="array" ref="Z65">XLOOKUP(D65,RUC!$B$3:$B$110,RUC!$H$3:$H$110)</f>
        <v>30</v>
      </c>
      <c r="AA65" s="70">
        <f t="shared" si="4"/>
        <v>30</v>
      </c>
      <c r="AB65" s="71">
        <f t="shared" si="46"/>
        <v>229.6465682</v>
      </c>
      <c r="AC65" s="71">
        <f>+(S65-T65)*V65-'data 1'!$F$4</f>
        <v>30.23</v>
      </c>
      <c r="AD65" s="71">
        <f t="shared" si="5"/>
        <v>100.2073373</v>
      </c>
      <c r="AE65" s="71">
        <f t="shared" si="6"/>
        <v>-36.931</v>
      </c>
      <c r="AF65" s="71">
        <f t="shared" si="7"/>
        <v>77.16836336</v>
      </c>
      <c r="AG65" s="72">
        <f t="shared" si="49"/>
        <v>187.6747006</v>
      </c>
      <c r="AH65" s="193">
        <f t="shared" si="8"/>
        <v>58.415</v>
      </c>
      <c r="AI65" s="193">
        <f t="shared" si="9"/>
        <v>59.365</v>
      </c>
      <c r="AJ65" s="73">
        <f t="shared" si="10"/>
        <v>33.55676775</v>
      </c>
      <c r="AK65" s="73">
        <f t="shared" si="11"/>
        <v>40.65325431</v>
      </c>
      <c r="AM65" s="51">
        <f t="shared" si="12"/>
        <v>3181.064263</v>
      </c>
      <c r="AN65" s="51" t="str">
        <f t="array" ref="AN65">XLOOKUP(D65,RUC!$B$3:$B$565,RUC!$M$3:$M$565)</f>
        <v>SIN ACOPIO</v>
      </c>
      <c r="AO65" s="131" t="s">
        <v>549</v>
      </c>
      <c r="AP65" s="57" t="s">
        <v>2151</v>
      </c>
      <c r="AQ65" s="57" t="s">
        <v>2152</v>
      </c>
    </row>
    <row r="66" ht="15.0" customHeight="1">
      <c r="A66" s="116" t="s">
        <v>2153</v>
      </c>
      <c r="B66" s="182">
        <v>45980.0</v>
      </c>
      <c r="C66" s="182">
        <v>45977.0</v>
      </c>
      <c r="D66" s="57" t="s">
        <v>306</v>
      </c>
      <c r="E66" s="3">
        <f t="array" ref="E66">XLOOKUP(D66,RUC!$B$3:$B$110,RUC!$D$3:$D$110)</f>
        <v>20612921866</v>
      </c>
      <c r="G66" s="141" t="s">
        <v>735</v>
      </c>
      <c r="H66" s="3" t="s">
        <v>71</v>
      </c>
      <c r="I66" s="6">
        <v>6.7</v>
      </c>
      <c r="J66" s="58">
        <v>1.35</v>
      </c>
      <c r="K66" s="6">
        <f t="shared" si="2"/>
        <v>6.61</v>
      </c>
      <c r="L66" s="60">
        <v>0.16</v>
      </c>
      <c r="M66" s="60">
        <f t="shared" si="30"/>
        <v>0.142</v>
      </c>
      <c r="N66" s="62">
        <f t="shared" si="50"/>
        <v>0.142</v>
      </c>
      <c r="O66" s="60">
        <f t="shared" si="45"/>
        <v>0.142</v>
      </c>
      <c r="P66" s="63">
        <v>90.0</v>
      </c>
      <c r="Q66" s="458">
        <v>96.25</v>
      </c>
      <c r="R66" s="65">
        <v>4072.5</v>
      </c>
      <c r="S66" s="66">
        <f t="array" ref="S66">IF((XLOOKUP(D66,RUC!$B$3:$B$106,RUC!$E$3:$E$106)+ROUNDDOWN(O66,1)*100)&lt;95,95,((XLOOKUP(D66,RUC!$B$3:$B$106,RUC!$E$3:$E$106)+ROUNDDOWN(O66,1)*100)))</f>
        <v>95</v>
      </c>
      <c r="U66" s="67">
        <f t="array" ref="U66">XLOOKUP(D66,RUC!$B$3:$B$110,RUC!$F$3:$F$110)</f>
        <v>100</v>
      </c>
      <c r="V66" s="67">
        <v>1.1023</v>
      </c>
      <c r="Y66" s="57" t="str">
        <f t="array" ref="Y66">XLOOKUP(D66,RUC!$B$3:$B$110,RUC!$G$3:$G$110)</f>
        <v/>
      </c>
      <c r="Z66" s="69">
        <f t="array" ref="Z66">XLOOKUP(D66,RUC!$B$3:$B$110,RUC!$H$3:$H$110)</f>
        <v>30</v>
      </c>
      <c r="AA66" s="70">
        <f t="shared" si="4"/>
        <v>30</v>
      </c>
      <c r="AB66" s="71">
        <f t="shared" si="46"/>
        <v>421.8342267</v>
      </c>
      <c r="AC66" s="71">
        <f>+(S66-T66)*V66-'data 1'!$F$4</f>
        <v>24.7185</v>
      </c>
      <c r="AD66" s="71">
        <f t="shared" si="5"/>
        <v>43.7888675</v>
      </c>
      <c r="AE66" s="71">
        <f t="shared" si="6"/>
        <v>-36.931</v>
      </c>
      <c r="AF66" s="71">
        <f t="shared" si="7"/>
        <v>75.86421294</v>
      </c>
      <c r="AG66" s="72">
        <f>AC66+AD66+AE66+AF66+70-10</f>
        <v>167.4405804</v>
      </c>
      <c r="AH66" s="193">
        <f t="shared" si="8"/>
        <v>34.9</v>
      </c>
      <c r="AI66" s="193">
        <f t="shared" si="9"/>
        <v>36.26</v>
      </c>
      <c r="AJ66" s="73">
        <f t="shared" si="10"/>
        <v>38.6190805</v>
      </c>
      <c r="AK66" s="73">
        <f t="shared" si="11"/>
        <v>28.96285584</v>
      </c>
      <c r="AM66" s="51">
        <f t="shared" si="12"/>
        <v>2788.324238</v>
      </c>
      <c r="AN66" s="51" t="str">
        <f t="array" ref="AN66">XLOOKUP(D66,RUC!$B$3:$B$565,RUC!$M$3:$M$565)</f>
        <v>Ronald Garibay</v>
      </c>
      <c r="AO66" s="131" t="s">
        <v>547</v>
      </c>
      <c r="AP66" s="57" t="s">
        <v>2154</v>
      </c>
      <c r="AQ66" s="57" t="s">
        <v>733</v>
      </c>
    </row>
    <row r="67" ht="14.25" customHeight="1">
      <c r="A67" s="116" t="s">
        <v>2155</v>
      </c>
      <c r="B67" s="182">
        <v>45981.0</v>
      </c>
      <c r="C67" s="182">
        <v>45977.0</v>
      </c>
      <c r="D67" s="57" t="s">
        <v>225</v>
      </c>
      <c r="E67" s="3">
        <f t="array" ref="E67">XLOOKUP(D67,RUC!$B$3:$B$110,RUC!$D$3:$D$110)</f>
        <v>10761932735</v>
      </c>
      <c r="G67" s="141">
        <v>15.0</v>
      </c>
      <c r="H67" s="3" t="s">
        <v>40</v>
      </c>
      <c r="I67" s="6">
        <v>1.33</v>
      </c>
      <c r="J67" s="58">
        <v>9.0</v>
      </c>
      <c r="K67" s="6">
        <f t="shared" si="2"/>
        <v>1.21</v>
      </c>
      <c r="L67" s="60">
        <v>0.599</v>
      </c>
      <c r="M67" s="60">
        <f t="shared" si="30"/>
        <v>0.563</v>
      </c>
      <c r="N67" s="75">
        <v>0.605</v>
      </c>
      <c r="O67" s="60">
        <f t="shared" si="45"/>
        <v>0.584</v>
      </c>
      <c r="P67" s="63">
        <v>90.0</v>
      </c>
      <c r="Q67" s="458">
        <v>98.5</v>
      </c>
      <c r="R67" s="65">
        <v>4072.5</v>
      </c>
      <c r="S67" s="66">
        <f t="array" ref="S67">IF((XLOOKUP(D67,RUC!$B$3:$B$106,RUC!$E$3:$E$106)+ROUNDDOWN(O67,1)*100)&lt;95,95,((XLOOKUP(D67,RUC!$B$3:$B$106,RUC!$E$3:$E$106)+ROUNDDOWN(O67,1)*100)))</f>
        <v>140</v>
      </c>
      <c r="U67" s="67">
        <f t="array" ref="U67">XLOOKUP(D67,RUC!$B$3:$B$110,RUC!$F$3:$F$110)</f>
        <v>120</v>
      </c>
      <c r="V67" s="67">
        <v>1.1023</v>
      </c>
      <c r="Y67" s="57">
        <f t="array" ref="Y67">XLOOKUP(D67,RUC!$B$3:$B$110,RUC!$G$3:$G$110)</f>
        <v>20</v>
      </c>
      <c r="Z67" s="69">
        <f t="array" ref="Z67">XLOOKUP(D67,RUC!$B$3:$B$110,RUC!$H$3:$H$110)</f>
        <v>30</v>
      </c>
      <c r="AA67" s="70">
        <f t="shared" si="4"/>
        <v>50</v>
      </c>
      <c r="AB67" s="71">
        <f t="shared" si="46"/>
        <v>2080.518498</v>
      </c>
      <c r="AC67" s="71">
        <f>+(S67-T67)*V67-'data 1'!$F$4</f>
        <v>74.322</v>
      </c>
      <c r="AD67" s="71">
        <f t="shared" si="5"/>
        <v>221.8285468</v>
      </c>
      <c r="AE67" s="71">
        <f t="shared" si="6"/>
        <v>-14.885</v>
      </c>
      <c r="AF67" s="71">
        <f t="shared" si="7"/>
        <v>64.37232208</v>
      </c>
      <c r="AG67" s="72">
        <f t="shared" ref="AG67:AG74" si="51">AC67+AD67+AE67+AF67+70-53</f>
        <v>362.6378689</v>
      </c>
      <c r="AH67" s="193">
        <f t="shared" si="8"/>
        <v>24.477</v>
      </c>
      <c r="AI67" s="193">
        <f t="shared" si="9"/>
        <v>24.85</v>
      </c>
      <c r="AJ67" s="73">
        <f t="shared" si="10"/>
        <v>160.9674498</v>
      </c>
      <c r="AK67" s="73">
        <f t="shared" si="11"/>
        <v>21.80468395</v>
      </c>
      <c r="AM67" s="51">
        <f t="shared" si="12"/>
        <v>2517.427383</v>
      </c>
      <c r="AN67" s="51" t="str">
        <f t="array" ref="AN67">XLOOKUP(D67,RUC!$B$3:$B$565,RUC!$M$3:$M$565)</f>
        <v>Richard Sapacayo</v>
      </c>
      <c r="AO67" s="131" t="s">
        <v>558</v>
      </c>
      <c r="AP67" s="57" t="s">
        <v>2156</v>
      </c>
      <c r="AQ67" s="57" t="s">
        <v>2157</v>
      </c>
    </row>
    <row r="68" ht="15.0" customHeight="1">
      <c r="A68" s="116" t="s">
        <v>2158</v>
      </c>
      <c r="B68" s="182">
        <v>45981.0</v>
      </c>
      <c r="C68" s="182">
        <v>45977.0</v>
      </c>
      <c r="D68" s="57" t="s">
        <v>225</v>
      </c>
      <c r="E68" s="3">
        <f t="array" ref="E68">XLOOKUP(D68,RUC!$B$3:$B$110,RUC!$D$3:$D$110)</f>
        <v>10761932735</v>
      </c>
      <c r="G68" s="141">
        <v>54.0</v>
      </c>
      <c r="H68" s="3" t="s">
        <v>40</v>
      </c>
      <c r="I68" s="6">
        <v>4.49</v>
      </c>
      <c r="J68" s="58">
        <v>8.65</v>
      </c>
      <c r="K68" s="6">
        <f t="shared" si="2"/>
        <v>4.102</v>
      </c>
      <c r="L68" s="3">
        <v>0.245</v>
      </c>
      <c r="M68" s="60">
        <f t="shared" si="30"/>
        <v>0.227</v>
      </c>
      <c r="N68" s="62">
        <f t="shared" ref="N68:N69" si="52">+M68</f>
        <v>0.227</v>
      </c>
      <c r="O68" s="60">
        <f t="shared" si="45"/>
        <v>0.227</v>
      </c>
      <c r="P68" s="63">
        <v>90.0</v>
      </c>
      <c r="Q68" s="458">
        <v>93.47</v>
      </c>
      <c r="R68" s="65">
        <v>4072.5</v>
      </c>
      <c r="S68" s="66">
        <f t="array" ref="S68">IF((XLOOKUP(D68,RUC!$B$3:$B$106,RUC!$E$3:$E$106)+ROUNDDOWN(O68,1)*100)&lt;95,95,((XLOOKUP(D68,RUC!$B$3:$B$106,RUC!$E$3:$E$106)+ROUNDDOWN(O68,1)*100)))</f>
        <v>110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4"/>
        <v>50</v>
      </c>
      <c r="AB68" s="71">
        <f t="shared" si="46"/>
        <v>713.7345652</v>
      </c>
      <c r="AC68" s="71">
        <f>+(S68-T68)*V68-'data 1'!$F$4</f>
        <v>41.253</v>
      </c>
      <c r="AD68" s="71">
        <f t="shared" si="5"/>
        <v>37.03968164</v>
      </c>
      <c r="AE68" s="71">
        <f t="shared" si="6"/>
        <v>-14.885</v>
      </c>
      <c r="AF68" s="71">
        <f t="shared" si="7"/>
        <v>73.30210288</v>
      </c>
      <c r="AG68" s="72">
        <f t="shared" si="51"/>
        <v>153.7097845</v>
      </c>
      <c r="AH68" s="193">
        <f t="shared" si="8"/>
        <v>32.206</v>
      </c>
      <c r="AI68" s="193">
        <f t="shared" si="9"/>
        <v>34.456</v>
      </c>
      <c r="AJ68" s="73">
        <f t="shared" si="10"/>
        <v>62.47601748</v>
      </c>
      <c r="AK68" s="73">
        <f t="shared" si="11"/>
        <v>28.7324786</v>
      </c>
      <c r="AM68" s="51">
        <f t="shared" si="12"/>
        <v>2927.739187</v>
      </c>
      <c r="AN68" s="51" t="str">
        <f t="array" ref="AN68">XLOOKUP(D68,RUC!$B$3:$B$565,RUC!$M$3:$M$565)</f>
        <v>Richard Sapacayo</v>
      </c>
      <c r="AO68" s="131" t="s">
        <v>558</v>
      </c>
      <c r="AP68" s="57" t="s">
        <v>2156</v>
      </c>
      <c r="AQ68" s="57" t="s">
        <v>2157</v>
      </c>
    </row>
    <row r="69" ht="15.0" customHeight="1">
      <c r="A69" s="116" t="s">
        <v>2159</v>
      </c>
      <c r="B69" s="182">
        <v>45985.0</v>
      </c>
      <c r="C69" s="182">
        <v>45977.0</v>
      </c>
      <c r="D69" s="57" t="s">
        <v>225</v>
      </c>
      <c r="E69" s="3">
        <f t="array" ref="E69">XLOOKUP(D69,RUC!$B$3:$B$110,RUC!$D$3:$D$110)</f>
        <v>10761932735</v>
      </c>
      <c r="G69" s="141">
        <v>23.0</v>
      </c>
      <c r="H69" s="3" t="s">
        <v>40</v>
      </c>
      <c r="I69" s="6">
        <v>1.9</v>
      </c>
      <c r="J69" s="58">
        <v>7.3</v>
      </c>
      <c r="K69" s="6">
        <f t="shared" si="2"/>
        <v>1.761</v>
      </c>
      <c r="L69" s="3">
        <v>0.185</v>
      </c>
      <c r="M69" s="60">
        <f t="shared" si="30"/>
        <v>0.167</v>
      </c>
      <c r="N69" s="62">
        <f t="shared" si="52"/>
        <v>0.167</v>
      </c>
      <c r="O69" s="60">
        <f t="shared" si="45"/>
        <v>0.167</v>
      </c>
      <c r="P69" s="77">
        <v>87.25</v>
      </c>
      <c r="Q69" s="458">
        <v>94.59</v>
      </c>
      <c r="R69" s="65">
        <v>4072.5</v>
      </c>
      <c r="S69" s="66">
        <f t="array" ref="S69">IF((XLOOKUP(D69,RUC!$B$3:$B$106,RUC!$E$3:$E$106)+ROUNDDOWN(O69,1)*100)&lt;95,95,((XLOOKUP(D69,RUC!$B$3:$B$106,RUC!$E$3:$E$106)+ROUNDDOWN(O69,1)*100)))</f>
        <v>100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4"/>
        <v>50</v>
      </c>
      <c r="AB69" s="71">
        <f t="shared" si="46"/>
        <v>469.4793736</v>
      </c>
      <c r="AC69" s="71">
        <f>+(S69-T69)*V69-'data 1'!$F$4</f>
        <v>30.23</v>
      </c>
      <c r="AD69" s="71">
        <f t="shared" si="5"/>
        <v>59.16154054</v>
      </c>
      <c r="AE69" s="71">
        <f t="shared" si="6"/>
        <v>-14.885</v>
      </c>
      <c r="AF69" s="71">
        <f t="shared" si="7"/>
        <v>74.18044198</v>
      </c>
      <c r="AG69" s="72">
        <f t="shared" si="51"/>
        <v>165.6869825</v>
      </c>
      <c r="AH69" s="193">
        <f t="shared" si="8"/>
        <v>10.565</v>
      </c>
      <c r="AI69" s="193">
        <f t="shared" si="9"/>
        <v>11.17</v>
      </c>
      <c r="AJ69" s="73">
        <f t="shared" si="10"/>
        <v>47.74104979</v>
      </c>
      <c r="AK69" s="73">
        <f t="shared" si="11"/>
        <v>8.797318834</v>
      </c>
      <c r="AM69" s="51">
        <f t="shared" si="12"/>
        <v>826.7531769</v>
      </c>
      <c r="AN69" s="51" t="str">
        <f t="array" ref="AN69">XLOOKUP(D69,RUC!$B$3:$B$565,RUC!$M$3:$M$565)</f>
        <v>Richard Sapacayo</v>
      </c>
      <c r="AO69" s="131" t="s">
        <v>551</v>
      </c>
      <c r="AP69" s="57" t="s">
        <v>2156</v>
      </c>
      <c r="AQ69" s="57" t="s">
        <v>2157</v>
      </c>
    </row>
    <row r="70" ht="15.0" customHeight="1">
      <c r="A70" s="116" t="s">
        <v>2160</v>
      </c>
      <c r="B70" s="182">
        <v>45985.0</v>
      </c>
      <c r="C70" s="182">
        <v>45977.0</v>
      </c>
      <c r="D70" s="57" t="s">
        <v>225</v>
      </c>
      <c r="E70" s="3">
        <f t="array" ref="E70">XLOOKUP(D70,RUC!$B$3:$B$110,RUC!$D$3:$D$110)</f>
        <v>10761932735</v>
      </c>
      <c r="G70" s="141" t="s">
        <v>735</v>
      </c>
      <c r="H70" s="3" t="s">
        <v>47</v>
      </c>
      <c r="I70" s="6">
        <v>10.36</v>
      </c>
      <c r="J70" s="57">
        <v>8.05</v>
      </c>
      <c r="K70" s="6">
        <f t="shared" si="2"/>
        <v>9.526</v>
      </c>
      <c r="L70" s="3">
        <v>0.215</v>
      </c>
      <c r="M70" s="60">
        <f t="shared" si="30"/>
        <v>0.197</v>
      </c>
      <c r="N70" s="75">
        <v>0.238</v>
      </c>
      <c r="O70" s="60">
        <f t="shared" si="45"/>
        <v>0.218</v>
      </c>
      <c r="P70" s="63">
        <v>90.0</v>
      </c>
      <c r="Q70" s="458">
        <v>95.81</v>
      </c>
      <c r="R70" s="65">
        <v>4072.5</v>
      </c>
      <c r="S70" s="463">
        <v>115.0</v>
      </c>
      <c r="U70" s="67">
        <f t="array" ref="U70">XLOOKUP(D70,RUC!$B$3:$B$110,RUC!$F$3:$F$110)</f>
        <v>120</v>
      </c>
      <c r="V70" s="67">
        <v>1.1023</v>
      </c>
      <c r="Y70" s="87">
        <v>35.0</v>
      </c>
      <c r="Z70" s="69">
        <f t="array" ref="Z70">XLOOKUP(D70,RUC!$B$3:$B$110,RUC!$H$3:$H$110)</f>
        <v>30</v>
      </c>
      <c r="AA70" s="70">
        <f t="shared" si="4"/>
        <v>65</v>
      </c>
      <c r="AB70" s="71">
        <f t="shared" si="46"/>
        <v>656.3981552</v>
      </c>
      <c r="AC70" s="71">
        <f>+(S70-T70)*V70-'data 1'!$F$4</f>
        <v>46.7645</v>
      </c>
      <c r="AD70" s="71">
        <f t="shared" si="5"/>
        <v>54.42347623</v>
      </c>
      <c r="AE70" s="71">
        <f t="shared" si="6"/>
        <v>1.6495</v>
      </c>
      <c r="AF70" s="71">
        <f t="shared" si="7"/>
        <v>-12.52286737</v>
      </c>
      <c r="AG70" s="72">
        <f t="shared" si="51"/>
        <v>107.3146089</v>
      </c>
      <c r="AH70" s="193">
        <f t="shared" si="8"/>
        <v>67.277</v>
      </c>
      <c r="AI70" s="193">
        <f t="shared" si="9"/>
        <v>70.22</v>
      </c>
      <c r="AJ70" s="73">
        <f t="shared" si="10"/>
        <v>56.19844654</v>
      </c>
      <c r="AK70" s="73">
        <f t="shared" si="11"/>
        <v>64.07943141</v>
      </c>
      <c r="AM70" s="51">
        <f t="shared" si="12"/>
        <v>6252.848826</v>
      </c>
      <c r="AN70" s="51" t="str">
        <f t="array" ref="AN70">XLOOKUP(D70,RUC!$B$3:$B$565,RUC!$M$3:$M$565)</f>
        <v>Richard Sapacayo</v>
      </c>
      <c r="AO70" s="131" t="s">
        <v>551</v>
      </c>
      <c r="AP70" s="57" t="s">
        <v>2156</v>
      </c>
      <c r="AQ70" s="57" t="s">
        <v>2157</v>
      </c>
    </row>
    <row r="71" ht="15.0" customHeight="1">
      <c r="A71" s="116" t="s">
        <v>2161</v>
      </c>
      <c r="B71" s="182">
        <v>45985.0</v>
      </c>
      <c r="C71" s="182">
        <v>45977.0</v>
      </c>
      <c r="D71" s="57" t="s">
        <v>225</v>
      </c>
      <c r="E71" s="3">
        <f t="array" ref="E71">XLOOKUP(D71,RUC!$B$3:$B$110,RUC!$D$3:$D$110)</f>
        <v>10761932735</v>
      </c>
      <c r="G71" s="141" t="s">
        <v>735</v>
      </c>
      <c r="H71" s="3" t="s">
        <v>47</v>
      </c>
      <c r="I71" s="6">
        <v>18.84</v>
      </c>
      <c r="J71" s="58">
        <v>8.4</v>
      </c>
      <c r="K71" s="6">
        <f t="shared" si="2"/>
        <v>17.257</v>
      </c>
      <c r="L71" s="3">
        <v>0.213</v>
      </c>
      <c r="M71" s="60">
        <f t="shared" si="30"/>
        <v>0.195</v>
      </c>
      <c r="N71" s="75">
        <v>0.27</v>
      </c>
      <c r="O71" s="60">
        <f t="shared" si="45"/>
        <v>0.233</v>
      </c>
      <c r="P71" s="63">
        <v>90.0</v>
      </c>
      <c r="Q71" s="458">
        <v>98.12</v>
      </c>
      <c r="R71" s="65">
        <v>4072.5</v>
      </c>
      <c r="S71" s="463">
        <v>115.0</v>
      </c>
      <c r="U71" s="67">
        <f t="array" ref="U71">XLOOKUP(D71,RUC!$B$3:$B$110,RUC!$F$3:$F$110)</f>
        <v>120</v>
      </c>
      <c r="V71" s="67">
        <v>1.1023</v>
      </c>
      <c r="Y71" s="87">
        <v>38.0</v>
      </c>
      <c r="Z71" s="69">
        <f t="array" ref="Z71">XLOOKUP(D71,RUC!$B$3:$B$110,RUC!$H$3:$H$110)</f>
        <v>30</v>
      </c>
      <c r="AA71" s="70">
        <f t="shared" si="4"/>
        <v>68</v>
      </c>
      <c r="AB71" s="71">
        <f t="shared" si="46"/>
        <v>711.9086053</v>
      </c>
      <c r="AC71" s="71">
        <f>+(S71-T71)*V71-'data 1'!$F$4</f>
        <v>46.7645</v>
      </c>
      <c r="AD71" s="71">
        <f t="shared" si="5"/>
        <v>75.35417488</v>
      </c>
      <c r="AE71" s="71">
        <f t="shared" si="6"/>
        <v>4.9564</v>
      </c>
      <c r="AF71" s="71">
        <f t="shared" si="7"/>
        <v>-85.49864288</v>
      </c>
      <c r="AG71" s="72">
        <f t="shared" si="51"/>
        <v>58.576432</v>
      </c>
      <c r="AH71" s="193">
        <f t="shared" si="8"/>
        <v>123.655</v>
      </c>
      <c r="AI71" s="193">
        <f t="shared" si="9"/>
        <v>126.024</v>
      </c>
      <c r="AJ71" s="73">
        <f t="shared" si="10"/>
        <v>57.01802285</v>
      </c>
      <c r="AK71" s="73">
        <f t="shared" si="11"/>
        <v>124.0717188</v>
      </c>
      <c r="AM71" s="51">
        <f t="shared" si="12"/>
        <v>12285.4068</v>
      </c>
      <c r="AN71" s="51" t="str">
        <f t="array" ref="AN71">XLOOKUP(D71,RUC!$B$3:$B$565,RUC!$M$3:$M$565)</f>
        <v>Richard Sapacayo</v>
      </c>
      <c r="AO71" s="131" t="s">
        <v>551</v>
      </c>
      <c r="AP71" s="57" t="s">
        <v>2156</v>
      </c>
      <c r="AQ71" s="57" t="s">
        <v>2157</v>
      </c>
    </row>
    <row r="72" ht="15.0" customHeight="1">
      <c r="A72" s="116" t="s">
        <v>2162</v>
      </c>
      <c r="B72" s="182">
        <v>45985.0</v>
      </c>
      <c r="C72" s="182">
        <v>45978.0</v>
      </c>
      <c r="D72" s="57" t="s">
        <v>225</v>
      </c>
      <c r="E72" s="3">
        <f t="array" ref="E72">XLOOKUP(D72,RUC!$B$3:$B$110,RUC!$D$3:$D$110)</f>
        <v>10761932735</v>
      </c>
      <c r="G72" s="141">
        <v>55.0</v>
      </c>
      <c r="H72" s="3" t="s">
        <v>47</v>
      </c>
      <c r="I72" s="6">
        <v>5.22</v>
      </c>
      <c r="J72" s="58">
        <v>6.3</v>
      </c>
      <c r="K72" s="6">
        <f t="shared" si="2"/>
        <v>4.891</v>
      </c>
      <c r="L72" s="3">
        <v>0.361</v>
      </c>
      <c r="M72" s="60">
        <f t="shared" si="30"/>
        <v>0.339</v>
      </c>
      <c r="N72" s="62">
        <f>+M72</f>
        <v>0.339</v>
      </c>
      <c r="O72" s="60">
        <f t="shared" si="45"/>
        <v>0.339</v>
      </c>
      <c r="P72" s="63">
        <v>90.0</v>
      </c>
      <c r="Q72" s="458">
        <v>97.51</v>
      </c>
      <c r="R72" s="65">
        <v>4072.5</v>
      </c>
      <c r="S72" s="66">
        <f t="array" ref="S72">IF((XLOOKUP(D72,RUC!$B$3:$B$106,RUC!$E$3:$E$106)+ROUNDDOWN(O72,1)*100)&lt;95,95,((XLOOKUP(D72,RUC!$B$3:$B$106,RUC!$E$3:$E$106)+ROUNDDOWN(O72,1)*100)))</f>
        <v>120</v>
      </c>
      <c r="U72" s="67">
        <f t="array" ref="U72">XLOOKUP(D72,RUC!$B$3:$B$110,RUC!$F$3:$F$110)</f>
        <v>120</v>
      </c>
      <c r="V72" s="67">
        <v>1.1023</v>
      </c>
      <c r="Y72" s="57">
        <f t="array" ref="Y72">XLOOKUP(D72,RUC!$B$3:$B$110,RUC!$G$3:$G$110)</f>
        <v>20</v>
      </c>
      <c r="Z72" s="69">
        <f t="array" ref="Z72">XLOOKUP(D72,RUC!$B$3:$B$110,RUC!$H$3:$H$110)</f>
        <v>30</v>
      </c>
      <c r="AA72" s="70">
        <f t="shared" si="4"/>
        <v>50</v>
      </c>
      <c r="AB72" s="71">
        <f t="shared" si="46"/>
        <v>1141.881113</v>
      </c>
      <c r="AC72" s="71">
        <f>+(S72-T72)*V72-'data 1'!$F$4</f>
        <v>52.276</v>
      </c>
      <c r="AD72" s="71">
        <f t="shared" si="5"/>
        <v>118.1187453</v>
      </c>
      <c r="AE72" s="71">
        <f t="shared" si="6"/>
        <v>-14.885</v>
      </c>
      <c r="AF72" s="71">
        <f t="shared" si="7"/>
        <v>93.46381914</v>
      </c>
      <c r="AG72" s="72">
        <f t="shared" si="51"/>
        <v>265.9735644</v>
      </c>
      <c r="AH72" s="193">
        <f t="shared" si="8"/>
        <v>59.029</v>
      </c>
      <c r="AI72" s="193">
        <f t="shared" si="9"/>
        <v>60.536</v>
      </c>
      <c r="AJ72" s="73">
        <f t="shared" si="10"/>
        <v>96.03540429</v>
      </c>
      <c r="AK72" s="73">
        <f t="shared" si="11"/>
        <v>51.16216803</v>
      </c>
      <c r="AM72" s="51">
        <f t="shared" si="12"/>
        <v>5584.940523</v>
      </c>
      <c r="AN72" s="51" t="str">
        <f t="array" ref="AN72">XLOOKUP(D72,RUC!$B$3:$B$565,RUC!$M$3:$M$565)</f>
        <v>Richard Sapacayo</v>
      </c>
      <c r="AO72" s="131" t="s">
        <v>547</v>
      </c>
      <c r="AP72" s="57" t="s">
        <v>2163</v>
      </c>
      <c r="AQ72" s="57" t="s">
        <v>2164</v>
      </c>
    </row>
    <row r="73" ht="15.0" customHeight="1">
      <c r="A73" s="116" t="s">
        <v>2165</v>
      </c>
      <c r="B73" s="182">
        <v>45985.0</v>
      </c>
      <c r="C73" s="182">
        <v>45978.0</v>
      </c>
      <c r="D73" s="57" t="s">
        <v>2166</v>
      </c>
      <c r="E73" s="3">
        <f t="array" ref="E73">XLOOKUP(D73,RUC!$B$3:$B$110,RUC!$D$3:$D$110)</f>
        <v>10408856049</v>
      </c>
      <c r="G73" s="141">
        <v>170.0</v>
      </c>
      <c r="H73" s="3" t="s">
        <v>47</v>
      </c>
      <c r="I73" s="6">
        <v>15.89</v>
      </c>
      <c r="J73" s="57">
        <v>7.95</v>
      </c>
      <c r="K73" s="6">
        <f t="shared" si="2"/>
        <v>14.627</v>
      </c>
      <c r="L73" s="3">
        <v>0.236</v>
      </c>
      <c r="M73" s="60">
        <f t="shared" si="30"/>
        <v>0.218</v>
      </c>
      <c r="N73" s="62">
        <v>0.218</v>
      </c>
      <c r="O73" s="60">
        <f t="shared" si="45"/>
        <v>0.218</v>
      </c>
      <c r="P73" s="63">
        <v>90.0</v>
      </c>
      <c r="Q73" s="458">
        <v>98.73</v>
      </c>
      <c r="R73" s="65">
        <v>4072.5</v>
      </c>
      <c r="S73" s="66">
        <f t="array" ref="S73">IF((XLOOKUP(D73,RUC!$B$3:$B$106,RUC!$E$3:$E$106)+ROUNDDOWN(O73,1)*100)&lt;95,95,((XLOOKUP(D73,RUC!$B$3:$B$106,RUC!$E$3:$E$106)+ROUNDDOWN(O73,1)*100)))</f>
        <v>110</v>
      </c>
      <c r="U73" s="67">
        <f t="array" ref="U73">XLOOKUP(D73,RUC!$B$3:$B$110,RUC!$F$3:$F$110)</f>
        <v>120</v>
      </c>
      <c r="V73" s="67">
        <v>1.1023</v>
      </c>
      <c r="Y73" s="57">
        <f t="array" ref="Y73">XLOOKUP(D73,RUC!$B$3:$B$110,RUC!$G$3:$G$110)</f>
        <v>20</v>
      </c>
      <c r="Z73" s="69">
        <f t="array" ref="Z73">XLOOKUP(D73,RUC!$B$3:$B$110,RUC!$H$3:$H$110)</f>
        <v>30</v>
      </c>
      <c r="AA73" s="70">
        <f t="shared" si="4"/>
        <v>50</v>
      </c>
      <c r="AB73" s="71">
        <f t="shared" si="46"/>
        <v>678.4441552</v>
      </c>
      <c r="AC73" s="71">
        <f>+(S73-T73)*V73-'data 1'!$F$4</f>
        <v>41.253</v>
      </c>
      <c r="AD73" s="71">
        <f t="shared" si="5"/>
        <v>89.7631186</v>
      </c>
      <c r="AE73" s="71">
        <f t="shared" si="6"/>
        <v>-14.885</v>
      </c>
      <c r="AF73" s="71">
        <f t="shared" si="7"/>
        <v>77.4271597</v>
      </c>
      <c r="AG73" s="72">
        <f t="shared" si="51"/>
        <v>210.5582783</v>
      </c>
      <c r="AH73" s="193">
        <f t="shared" si="8"/>
        <v>116.849</v>
      </c>
      <c r="AI73" s="193">
        <f t="shared" si="9"/>
        <v>118.352</v>
      </c>
      <c r="AJ73" s="73">
        <f t="shared" si="10"/>
        <v>63.56764914</v>
      </c>
      <c r="AK73" s="73">
        <f t="shared" si="11"/>
        <v>98.39280319</v>
      </c>
      <c r="AM73" s="51">
        <f t="shared" si="12"/>
        <v>9923.602657</v>
      </c>
      <c r="AN73" s="51" t="str">
        <f t="array" ref="AN73">XLOOKUP(D73,RUC!$B$3:$B$565,RUC!$M$3:$M$565)</f>
        <v>Richard Sapacayo</v>
      </c>
      <c r="AO73" s="131" t="s">
        <v>549</v>
      </c>
      <c r="AP73" s="57" t="s">
        <v>2167</v>
      </c>
      <c r="AQ73" s="57" t="s">
        <v>2168</v>
      </c>
    </row>
    <row r="74" ht="15.0" customHeight="1">
      <c r="A74" s="116" t="s">
        <v>2169</v>
      </c>
      <c r="B74" s="182">
        <v>45985.0</v>
      </c>
      <c r="C74" s="182">
        <v>45978.0</v>
      </c>
      <c r="D74" s="57" t="s">
        <v>2166</v>
      </c>
      <c r="E74" s="3">
        <f t="array" ref="E74">XLOOKUP(D74,RUC!$B$3:$B$110,RUC!$D$3:$D$110)</f>
        <v>10408856049</v>
      </c>
      <c r="G74" s="141" t="s">
        <v>735</v>
      </c>
      <c r="H74" s="3" t="s">
        <v>47</v>
      </c>
      <c r="I74" s="6">
        <v>20.3</v>
      </c>
      <c r="J74" s="57">
        <v>6.65</v>
      </c>
      <c r="K74" s="6">
        <f t="shared" si="2"/>
        <v>18.95</v>
      </c>
      <c r="L74" s="3">
        <v>0.329</v>
      </c>
      <c r="M74" s="60">
        <f t="shared" si="30"/>
        <v>0.309</v>
      </c>
      <c r="N74" s="75">
        <v>0.37</v>
      </c>
      <c r="O74" s="60">
        <f t="shared" si="45"/>
        <v>0.34</v>
      </c>
      <c r="P74" s="63">
        <v>90.0</v>
      </c>
      <c r="Q74" s="458">
        <v>99.09</v>
      </c>
      <c r="R74" s="65">
        <v>4072.5</v>
      </c>
      <c r="S74" s="66">
        <f t="array" ref="S74">IF((XLOOKUP(D74,RUC!$B$3:$B$106,RUC!$E$3:$E$106)+ROUNDDOWN(O74,1)*100)&lt;95,95,((XLOOKUP(D74,RUC!$B$3:$B$106,RUC!$E$3:$E$106)+ROUNDDOWN(O74,1)*100)))</f>
        <v>120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69">
        <f t="array" ref="Z74">XLOOKUP(D74,RUC!$B$3:$B$110,RUC!$H$3:$H$110)</f>
        <v>30</v>
      </c>
      <c r="AA74" s="70">
        <f t="shared" si="4"/>
        <v>50</v>
      </c>
      <c r="AB74" s="71">
        <f t="shared" si="46"/>
        <v>1145.80227</v>
      </c>
      <c r="AC74" s="71">
        <f>+(S74-T74)*V74-'data 1'!$F$4</f>
        <v>52.276</v>
      </c>
      <c r="AD74" s="71">
        <f t="shared" si="5"/>
        <v>130.2961152</v>
      </c>
      <c r="AE74" s="71">
        <f t="shared" si="6"/>
        <v>-14.885</v>
      </c>
      <c r="AF74" s="71">
        <f t="shared" si="7"/>
        <v>-47.48912849</v>
      </c>
      <c r="AG74" s="72">
        <f t="shared" si="51"/>
        <v>137.1979867</v>
      </c>
      <c r="AH74" s="193">
        <f t="shared" si="8"/>
        <v>211.809</v>
      </c>
      <c r="AI74" s="193">
        <f t="shared" si="9"/>
        <v>213.754</v>
      </c>
      <c r="AJ74" s="73">
        <f t="shared" si="10"/>
        <v>88.9407397</v>
      </c>
      <c r="AK74" s="73">
        <f t="shared" si="11"/>
        <v>198.8106797</v>
      </c>
      <c r="AM74" s="51">
        <f t="shared" si="12"/>
        <v>21712.95301</v>
      </c>
      <c r="AN74" s="51" t="str">
        <f t="array" ref="AN74">XLOOKUP(D74,RUC!$B$3:$B$565,RUC!$M$3:$M$565)</f>
        <v>Richard Sapacayo</v>
      </c>
      <c r="AO74" s="131" t="s">
        <v>549</v>
      </c>
      <c r="AP74" s="57" t="s">
        <v>2167</v>
      </c>
      <c r="AQ74" s="57" t="s">
        <v>2168</v>
      </c>
    </row>
    <row r="75" ht="15.0" customHeight="1">
      <c r="A75" s="116" t="s">
        <v>2170</v>
      </c>
      <c r="B75" s="182">
        <v>45989.0</v>
      </c>
      <c r="C75" s="182">
        <v>45979.0</v>
      </c>
      <c r="D75" s="57" t="s">
        <v>306</v>
      </c>
      <c r="E75" s="3">
        <f t="array" ref="E75">XLOOKUP(D75,RUC!$B$3:$B$110,RUC!$D$3:$D$110)</f>
        <v>20612921866</v>
      </c>
      <c r="G75" s="141" t="s">
        <v>735</v>
      </c>
      <c r="H75" s="3" t="s">
        <v>47</v>
      </c>
      <c r="I75" s="6">
        <v>9.32</v>
      </c>
      <c r="J75" s="58">
        <v>2.7</v>
      </c>
      <c r="K75" s="6">
        <f t="shared" si="2"/>
        <v>9.068</v>
      </c>
      <c r="L75" s="3">
        <v>0.103</v>
      </c>
      <c r="M75" s="60">
        <f t="shared" si="30"/>
        <v>0.085</v>
      </c>
      <c r="N75" s="75">
        <v>0.159</v>
      </c>
      <c r="O75" s="60">
        <f t="shared" si="45"/>
        <v>0.122</v>
      </c>
      <c r="P75" s="63">
        <v>80.0</v>
      </c>
      <c r="Q75" s="458">
        <v>87.38</v>
      </c>
      <c r="R75" s="65">
        <v>4060.85</v>
      </c>
      <c r="S75" s="66">
        <f t="array" ref="S75">IF((XLOOKUP(D75,RUC!$B$3:$B$106,RUC!$E$3:$E$106)+ROUNDDOWN(O75,1)*100)&lt;95,95,((XLOOKUP(D75,RUC!$B$3:$B$106,RUC!$E$3:$E$106)+ROUNDDOWN(O75,1)*100)))</f>
        <v>95</v>
      </c>
      <c r="U75" s="67">
        <f t="array" ref="U75">XLOOKUP(D75,RUC!$B$3:$B$110,RUC!$F$3:$F$110)</f>
        <v>100</v>
      </c>
      <c r="V75" s="67">
        <v>1.1023</v>
      </c>
      <c r="Y75" s="199">
        <v>40.0</v>
      </c>
      <c r="Z75" s="69">
        <f t="array" ref="Z75">XLOOKUP(D75,RUC!$B$3:$B$110,RUC!$H$3:$H$110)</f>
        <v>30</v>
      </c>
      <c r="AA75" s="70">
        <f t="shared" si="4"/>
        <v>70</v>
      </c>
      <c r="AB75" s="71">
        <f t="shared" si="46"/>
        <v>244.2464876</v>
      </c>
      <c r="AC75" s="71">
        <f>+(S75-T75)*V75-'data 1'!$F$4</f>
        <v>24.7185</v>
      </c>
      <c r="AD75" s="71">
        <f t="shared" si="5"/>
        <v>33.18805412</v>
      </c>
      <c r="AE75" s="71">
        <f t="shared" si="6"/>
        <v>7.161</v>
      </c>
      <c r="AF75" s="71">
        <f t="shared" si="7"/>
        <v>-72.48595155</v>
      </c>
      <c r="AG75" s="72">
        <f>AC75+AD75+AE75+AF75+70-10</f>
        <v>52.58160257</v>
      </c>
      <c r="AH75" s="193">
        <f t="shared" si="8"/>
        <v>27.981</v>
      </c>
      <c r="AI75" s="193">
        <f t="shared" si="9"/>
        <v>32.023</v>
      </c>
      <c r="AJ75" s="73">
        <f t="shared" si="10"/>
        <v>23.72572311</v>
      </c>
      <c r="AK75" s="73">
        <f t="shared" si="11"/>
        <v>30.34383013</v>
      </c>
      <c r="AM75" s="51">
        <f t="shared" si="12"/>
        <v>2214.82715</v>
      </c>
      <c r="AN75" s="51" t="str">
        <f t="array" ref="AN75">XLOOKUP(D75,RUC!$B$3:$B$565,RUC!$M$3:$M$565)</f>
        <v>Ronald Garibay</v>
      </c>
      <c r="AO75" s="131" t="s">
        <v>549</v>
      </c>
      <c r="AP75" s="57" t="s">
        <v>2171</v>
      </c>
      <c r="AQ75" s="57" t="s">
        <v>838</v>
      </c>
    </row>
    <row r="76" ht="15.0" customHeight="1">
      <c r="A76" s="116" t="s">
        <v>2172</v>
      </c>
      <c r="B76" s="182">
        <v>45988.0</v>
      </c>
      <c r="C76" s="182">
        <v>45980.0</v>
      </c>
      <c r="D76" s="57" t="s">
        <v>602</v>
      </c>
      <c r="E76" s="3">
        <f t="array" ref="E76">XLOOKUP(D76,RUC!$B$3:$B$110,RUC!$D$3:$D$110)</f>
        <v>20169040231</v>
      </c>
      <c r="G76" s="141">
        <v>130.0</v>
      </c>
      <c r="H76" s="3" t="s">
        <v>47</v>
      </c>
      <c r="I76" s="6">
        <v>10.08</v>
      </c>
      <c r="J76" s="58">
        <v>1.2</v>
      </c>
      <c r="K76" s="6">
        <f t="shared" si="2"/>
        <v>9.959</v>
      </c>
      <c r="L76" s="3">
        <v>0.268</v>
      </c>
      <c r="M76" s="60">
        <f t="shared" si="30"/>
        <v>0.25</v>
      </c>
      <c r="N76" s="62">
        <f t="shared" ref="N76:N80" si="53">+M76</f>
        <v>0.25</v>
      </c>
      <c r="O76" s="60">
        <f t="shared" si="45"/>
        <v>0.25</v>
      </c>
      <c r="P76" s="63">
        <v>84.0</v>
      </c>
      <c r="Q76" s="458">
        <v>84.7</v>
      </c>
      <c r="R76" s="65">
        <v>4126.95</v>
      </c>
      <c r="S76" s="66">
        <f t="array" ref="S76">IF((XLOOKUP(D76,RUC!$B$3:$B$106,RUC!$E$3:$E$106)+ROUNDDOWN(O76,1)*100)&lt;95,95,((XLOOKUP(D76,RUC!$B$3:$B$106,RUC!$E$3:$E$106)+ROUNDDOWN(O76,1)*100)))</f>
        <v>105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140">
        <v>35.0</v>
      </c>
      <c r="AA76" s="70">
        <f t="shared" si="4"/>
        <v>55</v>
      </c>
      <c r="AB76" s="71">
        <f t="shared" si="46"/>
        <v>751.1728069</v>
      </c>
      <c r="AC76" s="71">
        <f>+(S76-T76)*V76-'data 1'!$F$4</f>
        <v>35.7415</v>
      </c>
      <c r="AD76" s="71">
        <f t="shared" si="5"/>
        <v>8.286031208</v>
      </c>
      <c r="AE76" s="71">
        <f t="shared" si="6"/>
        <v>-9.3735</v>
      </c>
      <c r="AF76" s="71">
        <f t="shared" si="7"/>
        <v>67.33946258</v>
      </c>
      <c r="AG76" s="72">
        <f t="shared" ref="AG76:AG83" si="54">AC76+AD76+AE76+AF76+70-53</f>
        <v>118.9934938</v>
      </c>
      <c r="AH76" s="193">
        <f t="shared" si="8"/>
        <v>77.507</v>
      </c>
      <c r="AI76" s="193">
        <f t="shared" si="9"/>
        <v>91.508</v>
      </c>
      <c r="AJ76" s="73">
        <f t="shared" si="10"/>
        <v>48.30452521</v>
      </c>
      <c r="AK76" s="73">
        <f t="shared" si="11"/>
        <v>71.70411771</v>
      </c>
      <c r="AM76" s="51">
        <f t="shared" si="12"/>
        <v>7480.929983</v>
      </c>
      <c r="AN76" s="51" t="str">
        <f t="array" ref="AN76">XLOOKUP(D76,RUC!$B$3:$B$565,RUC!$M$3:$M$565)</f>
        <v>Ronald Miranda</v>
      </c>
      <c r="AO76" s="131" t="s">
        <v>561</v>
      </c>
      <c r="AP76" s="57" t="s">
        <v>2173</v>
      </c>
      <c r="AQ76" s="57" t="s">
        <v>2038</v>
      </c>
    </row>
    <row r="77" ht="15.0" customHeight="1">
      <c r="A77" s="116" t="s">
        <v>2174</v>
      </c>
      <c r="B77" s="182">
        <v>45985.0</v>
      </c>
      <c r="C77" s="182">
        <v>45980.0</v>
      </c>
      <c r="D77" s="57" t="s">
        <v>665</v>
      </c>
      <c r="E77" s="3">
        <f t="array" ref="E77">XLOOKUP(D77,RUC!$B$3:$B$110,RUC!$D$3:$D$110)</f>
        <v>20608774000</v>
      </c>
      <c r="G77" s="141">
        <v>16.0</v>
      </c>
      <c r="H77" s="3" t="s">
        <v>40</v>
      </c>
      <c r="I77" s="6">
        <v>1.4</v>
      </c>
      <c r="J77" s="58">
        <v>22.0</v>
      </c>
      <c r="K77" s="6">
        <f t="shared" si="2"/>
        <v>1.092</v>
      </c>
      <c r="L77" s="60">
        <v>1.532</v>
      </c>
      <c r="M77" s="60">
        <f t="shared" si="30"/>
        <v>1.44</v>
      </c>
      <c r="N77" s="62">
        <f t="shared" si="53"/>
        <v>1.44</v>
      </c>
      <c r="O77" s="60">
        <f t="shared" si="45"/>
        <v>1.44</v>
      </c>
      <c r="P77" s="63">
        <v>90.0</v>
      </c>
      <c r="Q77" s="458">
        <v>93.16</v>
      </c>
      <c r="R77" s="65">
        <v>4126.95</v>
      </c>
      <c r="S77" s="66">
        <f t="array" ref="S77">IF((XLOOKUP(D77,RUC!$B$3:$B$106,RUC!$E$3:$E$106)+ROUNDDOWN(O77,1)*100)&lt;95,95,((XLOOKUP(D77,RUC!$B$3:$B$106,RUC!$E$3:$E$106)+ROUNDDOWN(O77,1)*100)))</f>
        <v>225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140">
        <v>35.0</v>
      </c>
      <c r="AA77" s="70">
        <f t="shared" si="4"/>
        <v>55</v>
      </c>
      <c r="AB77" s="71">
        <f t="shared" si="46"/>
        <v>5415.607837</v>
      </c>
      <c r="AC77" s="71">
        <f>+(S77-T77)*V77-'data 1'!$F$4</f>
        <v>168.0175</v>
      </c>
      <c r="AD77" s="71">
        <f t="shared" si="5"/>
        <v>213.8255405</v>
      </c>
      <c r="AE77" s="71">
        <f t="shared" si="6"/>
        <v>-9.3735</v>
      </c>
      <c r="AF77" s="71">
        <f t="shared" si="7"/>
        <v>378.5567878</v>
      </c>
      <c r="AG77" s="72">
        <f t="shared" si="54"/>
        <v>768.0263283</v>
      </c>
      <c r="AH77" s="193">
        <f t="shared" si="8"/>
        <v>53.434</v>
      </c>
      <c r="AI77" s="193">
        <f t="shared" si="9"/>
        <v>57.358</v>
      </c>
      <c r="AJ77" s="73">
        <f t="shared" si="10"/>
        <v>303.7091376</v>
      </c>
      <c r="AK77" s="73">
        <f t="shared" si="11"/>
        <v>48.5217783</v>
      </c>
      <c r="AM77" s="51">
        <f t="shared" si="12"/>
        <v>5913.843758</v>
      </c>
      <c r="AN77" s="51" t="str">
        <f t="array" ref="AN77">XLOOKUP(D77,RUC!$B$3:$B$565,RUC!$M$3:$M$565)</f>
        <v>Ronald Miranda</v>
      </c>
      <c r="AO77" s="131" t="s">
        <v>561</v>
      </c>
      <c r="AP77" s="57" t="s">
        <v>2175</v>
      </c>
      <c r="AQ77" s="57" t="s">
        <v>2176</v>
      </c>
    </row>
    <row r="78" ht="15.0" customHeight="1">
      <c r="A78" s="116" t="s">
        <v>2177</v>
      </c>
      <c r="B78" s="182">
        <v>45988.0</v>
      </c>
      <c r="C78" s="182">
        <v>45980.0</v>
      </c>
      <c r="D78" s="57" t="s">
        <v>665</v>
      </c>
      <c r="E78" s="3">
        <f t="array" ref="E78">XLOOKUP(D78,RUC!$B$3:$B$110,RUC!$D$3:$D$110)</f>
        <v>20608774000</v>
      </c>
      <c r="G78" s="141">
        <v>6.0</v>
      </c>
      <c r="H78" s="3" t="s">
        <v>40</v>
      </c>
      <c r="I78" s="6">
        <v>0.43</v>
      </c>
      <c r="J78" s="58">
        <v>25.65</v>
      </c>
      <c r="K78" s="6">
        <f t="shared" si="2"/>
        <v>0.32</v>
      </c>
      <c r="L78" s="3">
        <v>3.535</v>
      </c>
      <c r="M78" s="60">
        <f t="shared" si="30"/>
        <v>3.323</v>
      </c>
      <c r="N78" s="62">
        <f t="shared" si="53"/>
        <v>3.323</v>
      </c>
      <c r="O78" s="60">
        <f t="shared" si="45"/>
        <v>3.323</v>
      </c>
      <c r="P78" s="63">
        <v>80.0</v>
      </c>
      <c r="Q78" s="458">
        <v>80.54</v>
      </c>
      <c r="R78" s="65">
        <v>4126.95</v>
      </c>
      <c r="S78" s="66">
        <f t="array" ref="S78">IF((XLOOKUP(D78,RUC!$B$3:$B$106,RUC!$E$3:$E$106)+ROUNDDOWN(O78,1)*100)&lt;95,95,((XLOOKUP(D78,RUC!$B$3:$B$106,RUC!$E$3:$E$106)+ROUNDDOWN(O78,1)*100)))</f>
        <v>415</v>
      </c>
      <c r="U78" s="67">
        <f t="array" ref="U78">XLOOKUP(D78,RUC!$B$3:$B$110,RUC!$F$3:$F$110)</f>
        <v>120</v>
      </c>
      <c r="V78" s="67">
        <v>1.1023</v>
      </c>
      <c r="Y78" s="199">
        <v>40.0</v>
      </c>
      <c r="Z78" s="140">
        <v>35.0</v>
      </c>
      <c r="AA78" s="70">
        <f t="shared" si="4"/>
        <v>75</v>
      </c>
      <c r="AB78" s="71">
        <f t="shared" si="46"/>
        <v>11201.65624</v>
      </c>
      <c r="AC78" s="71">
        <f>+(S78-T78)*V78-'data 1'!$F$4</f>
        <v>377.4545</v>
      </c>
      <c r="AD78" s="71">
        <f t="shared" si="5"/>
        <v>84.31345934</v>
      </c>
      <c r="AE78" s="71">
        <f t="shared" si="6"/>
        <v>12.6725</v>
      </c>
      <c r="AF78" s="71">
        <f t="shared" si="7"/>
        <v>754.1560455</v>
      </c>
      <c r="AG78" s="72">
        <f t="shared" si="54"/>
        <v>1245.596505</v>
      </c>
      <c r="AH78" s="193">
        <f t="shared" si="8"/>
        <v>31.236</v>
      </c>
      <c r="AI78" s="193">
        <f t="shared" si="9"/>
        <v>38.784</v>
      </c>
      <c r="AJ78" s="73">
        <f t="shared" si="10"/>
        <v>605.8577348</v>
      </c>
      <c r="AK78" s="73">
        <f t="shared" si="11"/>
        <v>29.16616819</v>
      </c>
      <c r="AM78" s="51">
        <f t="shared" si="12"/>
        <v>3584.529998</v>
      </c>
      <c r="AN78" s="51" t="str">
        <f t="array" ref="AN78">XLOOKUP(D78,RUC!$B$3:$B$565,RUC!$M$3:$M$565)</f>
        <v>Ronald Miranda</v>
      </c>
      <c r="AO78" s="131" t="s">
        <v>549</v>
      </c>
      <c r="AP78" s="57" t="s">
        <v>2175</v>
      </c>
      <c r="AQ78" s="57" t="s">
        <v>2176</v>
      </c>
    </row>
    <row r="79" ht="15.0" customHeight="1">
      <c r="A79" s="116" t="s">
        <v>2178</v>
      </c>
      <c r="B79" s="182">
        <v>45985.0</v>
      </c>
      <c r="C79" s="182">
        <v>45980.0</v>
      </c>
      <c r="D79" s="57" t="s">
        <v>665</v>
      </c>
      <c r="E79" s="3">
        <f t="array" ref="E79">XLOOKUP(D79,RUC!$B$3:$B$110,RUC!$D$3:$D$110)</f>
        <v>20608774000</v>
      </c>
      <c r="G79" s="141">
        <v>17.0</v>
      </c>
      <c r="H79" s="3" t="s">
        <v>47</v>
      </c>
      <c r="I79" s="6">
        <v>1.22</v>
      </c>
      <c r="J79" s="58">
        <v>6.05</v>
      </c>
      <c r="K79" s="6">
        <f t="shared" si="2"/>
        <v>1.146</v>
      </c>
      <c r="L79" s="3">
        <v>0.612</v>
      </c>
      <c r="M79" s="60">
        <f t="shared" si="30"/>
        <v>0.575</v>
      </c>
      <c r="N79" s="62">
        <f t="shared" si="53"/>
        <v>0.575</v>
      </c>
      <c r="O79" s="60">
        <f t="shared" si="45"/>
        <v>0.575</v>
      </c>
      <c r="P79" s="63">
        <v>90.0</v>
      </c>
      <c r="Q79" s="458">
        <v>91.34</v>
      </c>
      <c r="R79" s="65">
        <v>4126.95</v>
      </c>
      <c r="S79" s="66">
        <f t="array" ref="S79">IF((XLOOKUP(D79,RUC!$B$3:$B$106,RUC!$E$3:$E$106)+ROUNDDOWN(O79,1)*100)&lt;95,95,((XLOOKUP(D79,RUC!$B$3:$B$106,RUC!$E$3:$E$106)+ROUNDDOWN(O79,1)*100)))</f>
        <v>135</v>
      </c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140">
        <v>35.0</v>
      </c>
      <c r="AA79" s="70">
        <f t="shared" si="4"/>
        <v>55</v>
      </c>
      <c r="AB79" s="71">
        <f t="shared" si="46"/>
        <v>2076.28856</v>
      </c>
      <c r="AC79" s="71">
        <f>+(S79-T79)*V79-'data 1'!$F$4</f>
        <v>68.8105</v>
      </c>
      <c r="AD79" s="71">
        <f t="shared" si="5"/>
        <v>36.22179357</v>
      </c>
      <c r="AE79" s="71">
        <f t="shared" si="6"/>
        <v>-9.3735</v>
      </c>
      <c r="AF79" s="71">
        <f t="shared" si="7"/>
        <v>149.2713505</v>
      </c>
      <c r="AG79" s="72">
        <f t="shared" si="54"/>
        <v>261.930144</v>
      </c>
      <c r="AH79" s="193">
        <f t="shared" si="8"/>
        <v>21.964</v>
      </c>
      <c r="AI79" s="193">
        <f t="shared" si="9"/>
        <v>24.046</v>
      </c>
      <c r="AJ79" s="73">
        <f t="shared" si="10"/>
        <v>118.9548196</v>
      </c>
      <c r="AK79" s="73">
        <f t="shared" si="11"/>
        <v>20.33312081</v>
      </c>
      <c r="AM79" s="51">
        <f t="shared" si="12"/>
        <v>2379.426689</v>
      </c>
      <c r="AN79" s="51" t="str">
        <f t="array" ref="AN79">XLOOKUP(D79,RUC!$B$3:$B$565,RUC!$M$3:$M$565)</f>
        <v>Ronald Miranda</v>
      </c>
      <c r="AO79" s="131" t="s">
        <v>547</v>
      </c>
      <c r="AP79" s="57" t="s">
        <v>2175</v>
      </c>
      <c r="AQ79" s="57" t="s">
        <v>2176</v>
      </c>
    </row>
    <row r="80" ht="15.0" customHeight="1">
      <c r="A80" s="116" t="s">
        <v>2179</v>
      </c>
      <c r="B80" s="182">
        <v>45985.0</v>
      </c>
      <c r="C80" s="182">
        <v>45980.0</v>
      </c>
      <c r="D80" s="57" t="s">
        <v>665</v>
      </c>
      <c r="E80" s="3">
        <f t="array" ref="E80">XLOOKUP(D80,RUC!$B$3:$B$110,RUC!$D$3:$D$110)</f>
        <v>20608774000</v>
      </c>
      <c r="G80" s="141">
        <v>67.0</v>
      </c>
      <c r="H80" s="3" t="s">
        <v>40</v>
      </c>
      <c r="I80" s="6">
        <v>5.45</v>
      </c>
      <c r="J80" s="58">
        <v>26.51</v>
      </c>
      <c r="K80" s="6">
        <f t="shared" si="2"/>
        <v>4.005</v>
      </c>
      <c r="L80" s="60">
        <v>0.54</v>
      </c>
      <c r="M80" s="60">
        <f t="shared" si="30"/>
        <v>0.508</v>
      </c>
      <c r="N80" s="62">
        <f t="shared" si="53"/>
        <v>0.508</v>
      </c>
      <c r="O80" s="60">
        <f t="shared" si="45"/>
        <v>0.508</v>
      </c>
      <c r="P80" s="63">
        <v>90.0</v>
      </c>
      <c r="Q80" s="458">
        <v>93.47</v>
      </c>
      <c r="R80" s="65">
        <v>4126.95</v>
      </c>
      <c r="S80" s="66">
        <f t="array" ref="S80">IF((XLOOKUP(D80,RUC!$B$3:$B$106,RUC!$E$3:$E$106)+ROUNDDOWN(O80,1)*100)&lt;95,95,((XLOOKUP(D80,RUC!$B$3:$B$106,RUC!$E$3:$E$106)+ROUNDDOWN(O80,1)*100)))</f>
        <v>135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69">
        <f t="array" ref="Z80">XLOOKUP(D80,RUC!$B$3:$B$110,RUC!$H$3:$H$110)</f>
        <v>30</v>
      </c>
      <c r="AA80" s="70">
        <f t="shared" si="4"/>
        <v>50</v>
      </c>
      <c r="AB80" s="71">
        <f t="shared" si="46"/>
        <v>1815.463342</v>
      </c>
      <c r="AC80" s="71">
        <f>+(S80-T80)*V80-'data 1'!$F$4</f>
        <v>68.8105</v>
      </c>
      <c r="AD80" s="71">
        <f t="shared" si="5"/>
        <v>82.76314114</v>
      </c>
      <c r="AE80" s="71">
        <f t="shared" si="6"/>
        <v>-14.885</v>
      </c>
      <c r="AF80" s="71">
        <f t="shared" si="7"/>
        <v>132.1100788</v>
      </c>
      <c r="AG80" s="72">
        <f t="shared" si="54"/>
        <v>285.7987199</v>
      </c>
      <c r="AH80" s="193">
        <f t="shared" si="8"/>
        <v>69.307</v>
      </c>
      <c r="AI80" s="193">
        <f t="shared" si="9"/>
        <v>74.149</v>
      </c>
      <c r="AJ80" s="73">
        <f t="shared" si="10"/>
        <v>107.4077492</v>
      </c>
      <c r="AK80" s="73">
        <f t="shared" si="11"/>
        <v>62.77949406</v>
      </c>
      <c r="AM80" s="51">
        <f t="shared" si="12"/>
        <v>7270.930686</v>
      </c>
      <c r="AN80" s="51" t="str">
        <f t="array" ref="AN80">XLOOKUP(D80,RUC!$B$3:$B$565,RUC!$M$3:$M$565)</f>
        <v>Ronald Miranda</v>
      </c>
      <c r="AO80" s="131" t="s">
        <v>558</v>
      </c>
      <c r="AP80" s="57" t="s">
        <v>2175</v>
      </c>
      <c r="AQ80" s="57" t="s">
        <v>2176</v>
      </c>
    </row>
    <row r="81" ht="15.0" customHeight="1">
      <c r="A81" s="116" t="s">
        <v>2180</v>
      </c>
      <c r="B81" s="182">
        <v>45989.0</v>
      </c>
      <c r="C81" s="182">
        <v>45980.0</v>
      </c>
      <c r="D81" s="57" t="s">
        <v>730</v>
      </c>
      <c r="E81" s="3">
        <f t="array" ref="E81">XLOOKUP(D81,RUC!$B$3:$B$110,RUC!$D$3:$D$110)</f>
        <v>20613935151</v>
      </c>
      <c r="G81" s="141">
        <v>130.0</v>
      </c>
      <c r="H81" s="3" t="s">
        <v>47</v>
      </c>
      <c r="I81" s="6">
        <v>9.24</v>
      </c>
      <c r="J81" s="58">
        <v>1.2</v>
      </c>
      <c r="K81" s="6">
        <f t="shared" si="2"/>
        <v>9.129</v>
      </c>
      <c r="L81" s="3">
        <v>0.331</v>
      </c>
      <c r="M81" s="60">
        <f t="shared" si="30"/>
        <v>0.311</v>
      </c>
      <c r="N81" s="75">
        <v>0.392</v>
      </c>
      <c r="O81" s="60">
        <f t="shared" si="45"/>
        <v>0.352</v>
      </c>
      <c r="P81" s="63">
        <v>90.0</v>
      </c>
      <c r="Q81" s="458">
        <v>94.56</v>
      </c>
      <c r="R81" s="65">
        <v>4126.95</v>
      </c>
      <c r="S81" s="66">
        <f t="array" ref="S81">IF((XLOOKUP(D81,RUC!$B$3:$B$106,RUC!$E$3:$E$106)+ROUNDDOWN(O81,1)*100)&lt;95,95,((XLOOKUP(D81,RUC!$B$3:$B$106,RUC!$E$3:$E$106)+ROUNDDOWN(O81,1)*100)))</f>
        <v>120</v>
      </c>
      <c r="U81" s="67">
        <f t="array" ref="U81">XLOOKUP(D81,RUC!$B$3:$B$110,RUC!$F$3:$F$110)</f>
        <v>120</v>
      </c>
      <c r="V81" s="67">
        <v>1.1023</v>
      </c>
      <c r="Y81" s="199">
        <v>40.0</v>
      </c>
      <c r="Z81" s="69">
        <f t="array" ref="Z81">XLOOKUP(D81,RUC!$B$3:$B$110,RUC!$H$3:$H$110)</f>
        <v>30</v>
      </c>
      <c r="AA81" s="70">
        <f t="shared" si="4"/>
        <v>70</v>
      </c>
      <c r="AB81" s="71">
        <f t="shared" si="46"/>
        <v>1189.82456</v>
      </c>
      <c r="AC81" s="71">
        <f>+(S81-T81)*V81-'data 1'!$F$4</f>
        <v>52.276</v>
      </c>
      <c r="AD81" s="71">
        <f t="shared" si="5"/>
        <v>66.66633296</v>
      </c>
      <c r="AE81" s="71">
        <f t="shared" si="6"/>
        <v>7.161</v>
      </c>
      <c r="AF81" s="71">
        <f t="shared" si="7"/>
        <v>-87.7082587</v>
      </c>
      <c r="AG81" s="72">
        <f t="shared" si="54"/>
        <v>55.39507427</v>
      </c>
      <c r="AH81" s="193">
        <f t="shared" si="8"/>
        <v>97.964</v>
      </c>
      <c r="AI81" s="193">
        <f t="shared" si="9"/>
        <v>103.6</v>
      </c>
      <c r="AJ81" s="73">
        <f t="shared" si="10"/>
        <v>66.60472978</v>
      </c>
      <c r="AK81" s="73">
        <f t="shared" si="11"/>
        <v>99.15564622</v>
      </c>
      <c r="AM81" s="51">
        <f t="shared" si="12"/>
        <v>10861.90841</v>
      </c>
      <c r="AN81" s="51" t="str">
        <f t="array" ref="AN81">XLOOKUP(D81,RUC!$B$3:$B$565,RUC!$M$3:$M$565)</f>
        <v>Dante </v>
      </c>
      <c r="AO81" s="131" t="s">
        <v>561</v>
      </c>
      <c r="AP81" s="57" t="s">
        <v>2181</v>
      </c>
      <c r="AQ81" s="57" t="s">
        <v>2182</v>
      </c>
    </row>
    <row r="82" ht="15.0" customHeight="1">
      <c r="A82" s="116" t="s">
        <v>2183</v>
      </c>
      <c r="B82" s="182">
        <v>45985.0</v>
      </c>
      <c r="C82" s="182">
        <v>45980.0</v>
      </c>
      <c r="D82" s="57" t="s">
        <v>665</v>
      </c>
      <c r="E82" s="3">
        <f t="array" ref="E82">XLOOKUP(D82,RUC!$B$3:$B$110,RUC!$D$3:$D$110)</f>
        <v>20608774000</v>
      </c>
      <c r="G82" s="141">
        <v>36.0</v>
      </c>
      <c r="H82" s="3" t="s">
        <v>339</v>
      </c>
      <c r="I82" s="6">
        <v>2.72</v>
      </c>
      <c r="J82" s="58">
        <v>20.08</v>
      </c>
      <c r="K82" s="6">
        <f t="shared" si="2"/>
        <v>2.174</v>
      </c>
      <c r="L82" s="3">
        <v>0.379</v>
      </c>
      <c r="M82" s="60">
        <f t="shared" si="30"/>
        <v>0.356</v>
      </c>
      <c r="N82" s="62">
        <f t="shared" ref="N82:N86" si="55">+M82</f>
        <v>0.356</v>
      </c>
      <c r="O82" s="60">
        <f t="shared" si="45"/>
        <v>0.356</v>
      </c>
      <c r="P82" s="63">
        <v>90.0</v>
      </c>
      <c r="Q82" s="458">
        <v>96.05</v>
      </c>
      <c r="R82" s="65">
        <v>4126.95</v>
      </c>
      <c r="S82" s="66">
        <f t="array" ref="S82">IF((XLOOKUP(D82,RUC!$B$3:$B$106,RUC!$E$3:$E$106)+ROUNDDOWN(O82,1)*100)&lt;95,95,((XLOOKUP(D82,RUC!$B$3:$B$106,RUC!$E$3:$E$106)+ROUNDDOWN(O82,1)*100)))</f>
        <v>115</v>
      </c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69">
        <f t="array" ref="Z82">XLOOKUP(D82,RUC!$B$3:$B$110,RUC!$H$3:$H$110)</f>
        <v>30</v>
      </c>
      <c r="AA82" s="70">
        <f t="shared" si="4"/>
        <v>50</v>
      </c>
      <c r="AB82" s="71">
        <f t="shared" si="46"/>
        <v>1233.28276</v>
      </c>
      <c r="AC82" s="71">
        <f>+(S82-T82)*V82-'data 1'!$F$4</f>
        <v>46.7645</v>
      </c>
      <c r="AD82" s="71">
        <f t="shared" si="5"/>
        <v>101.276414</v>
      </c>
      <c r="AE82" s="71">
        <f t="shared" si="6"/>
        <v>-14.885</v>
      </c>
      <c r="AF82" s="71">
        <f t="shared" si="7"/>
        <v>97.57508445</v>
      </c>
      <c r="AG82" s="72">
        <f t="shared" si="54"/>
        <v>247.7309984</v>
      </c>
      <c r="AH82" s="193">
        <f t="shared" si="8"/>
        <v>27.133</v>
      </c>
      <c r="AI82" s="193">
        <f t="shared" si="9"/>
        <v>28.249</v>
      </c>
      <c r="AJ82" s="73">
        <f t="shared" si="10"/>
        <v>77.46511903</v>
      </c>
      <c r="AK82" s="73">
        <f t="shared" si="11"/>
        <v>23.88147333</v>
      </c>
      <c r="AM82" s="51">
        <f t="shared" si="12"/>
        <v>2681.156719</v>
      </c>
      <c r="AN82" s="51" t="str">
        <f t="array" ref="AN82">XLOOKUP(D82,RUC!$B$3:$B$565,RUC!$M$3:$M$565)</f>
        <v>Ronald Miranda</v>
      </c>
      <c r="AO82" s="131" t="s">
        <v>558</v>
      </c>
      <c r="AP82" s="57" t="s">
        <v>2175</v>
      </c>
      <c r="AQ82" s="57" t="s">
        <v>2176</v>
      </c>
    </row>
    <row r="83" ht="15.0" customHeight="1">
      <c r="A83" s="116" t="s">
        <v>2184</v>
      </c>
      <c r="B83" s="182">
        <v>45985.0</v>
      </c>
      <c r="C83" s="182">
        <v>45980.0</v>
      </c>
      <c r="D83" s="57" t="s">
        <v>665</v>
      </c>
      <c r="E83" s="3">
        <f t="array" ref="E83">XLOOKUP(D83,RUC!$B$3:$B$110,RUC!$D$3:$D$110)</f>
        <v>20608774000</v>
      </c>
      <c r="G83" s="141">
        <v>40.0</v>
      </c>
      <c r="H83" s="3" t="s">
        <v>339</v>
      </c>
      <c r="I83" s="6">
        <v>3.04</v>
      </c>
      <c r="J83" s="58">
        <v>18.71</v>
      </c>
      <c r="K83" s="6">
        <f t="shared" si="2"/>
        <v>2.471</v>
      </c>
      <c r="L83" s="3">
        <v>0.408</v>
      </c>
      <c r="M83" s="60">
        <f t="shared" si="30"/>
        <v>0.384</v>
      </c>
      <c r="N83" s="62">
        <f t="shared" si="55"/>
        <v>0.384</v>
      </c>
      <c r="O83" s="60">
        <f t="shared" si="45"/>
        <v>0.384</v>
      </c>
      <c r="P83" s="63">
        <v>90.0</v>
      </c>
      <c r="Q83" s="458">
        <v>94.85</v>
      </c>
      <c r="R83" s="65">
        <v>4126.95</v>
      </c>
      <c r="S83" s="66">
        <f t="array" ref="S83">IF((XLOOKUP(D83,RUC!$B$3:$B$106,RUC!$E$3:$E$106)+ROUNDDOWN(O83,1)*100)&lt;95,95,((XLOOKUP(D83,RUC!$B$3:$B$106,RUC!$E$3:$E$106)+ROUNDDOWN(O83,1)*100)))</f>
        <v>115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4"/>
        <v>50</v>
      </c>
      <c r="AB83" s="71">
        <f t="shared" si="46"/>
        <v>1344.587656</v>
      </c>
      <c r="AC83" s="71">
        <f>+(S83-T83)*V83-'data 1'!$F$4</f>
        <v>46.7645</v>
      </c>
      <c r="AD83" s="71">
        <f t="shared" si="5"/>
        <v>87.40084517</v>
      </c>
      <c r="AE83" s="71">
        <f t="shared" si="6"/>
        <v>-14.885</v>
      </c>
      <c r="AF83" s="71">
        <f t="shared" si="7"/>
        <v>100.5454235</v>
      </c>
      <c r="AG83" s="72">
        <f t="shared" si="54"/>
        <v>236.8257686</v>
      </c>
      <c r="AH83" s="193">
        <f t="shared" si="8"/>
        <v>32.785</v>
      </c>
      <c r="AI83" s="193">
        <f t="shared" si="9"/>
        <v>34.565</v>
      </c>
      <c r="AJ83" s="73">
        <f t="shared" si="10"/>
        <v>82.35066522</v>
      </c>
      <c r="AK83" s="73">
        <f t="shared" si="11"/>
        <v>29.2789534</v>
      </c>
      <c r="AM83" s="51">
        <f t="shared" si="12"/>
        <v>3322.476099</v>
      </c>
      <c r="AN83" s="51" t="str">
        <f t="array" ref="AN83">XLOOKUP(D83,RUC!$B$3:$B$565,RUC!$M$3:$M$565)</f>
        <v>Ronald Miranda</v>
      </c>
      <c r="AO83" s="131" t="s">
        <v>547</v>
      </c>
      <c r="AP83" s="57" t="s">
        <v>2175</v>
      </c>
      <c r="AQ83" s="57" t="s">
        <v>2176</v>
      </c>
    </row>
    <row r="84" ht="15.0" customHeight="1">
      <c r="A84" s="116" t="s">
        <v>2185</v>
      </c>
      <c r="B84" s="182">
        <v>45985.0</v>
      </c>
      <c r="C84" s="182">
        <v>45980.0</v>
      </c>
      <c r="D84" s="57" t="s">
        <v>306</v>
      </c>
      <c r="E84" s="3">
        <f t="array" ref="E84">XLOOKUP(D84,RUC!$B$3:$B$110,RUC!$D$3:$D$110)</f>
        <v>20612921866</v>
      </c>
      <c r="G84" s="141" t="s">
        <v>735</v>
      </c>
      <c r="H84" s="3" t="s">
        <v>47</v>
      </c>
      <c r="I84" s="6">
        <v>10.45</v>
      </c>
      <c r="J84" s="58">
        <v>1.3</v>
      </c>
      <c r="K84" s="6">
        <f t="shared" si="2"/>
        <v>10.314</v>
      </c>
      <c r="L84" s="3">
        <v>0.224</v>
      </c>
      <c r="M84" s="60">
        <f t="shared" si="30"/>
        <v>0.206</v>
      </c>
      <c r="N84" s="62">
        <f t="shared" si="55"/>
        <v>0.206</v>
      </c>
      <c r="O84" s="60">
        <f t="shared" si="45"/>
        <v>0.206</v>
      </c>
      <c r="P84" s="63">
        <v>89.0</v>
      </c>
      <c r="Q84" s="458">
        <v>89.73</v>
      </c>
      <c r="R84" s="65">
        <v>4126.95</v>
      </c>
      <c r="S84" s="66">
        <f t="array" ref="S84">IF((XLOOKUP(D84,RUC!$B$3:$B$106,RUC!$E$3:$E$106)+ROUNDDOWN(O84,1)*100)&lt;95,95,((XLOOKUP(D84,RUC!$B$3:$B$106,RUC!$E$3:$E$106)+ROUNDDOWN(O84,1)*100)))</f>
        <v>100</v>
      </c>
      <c r="U84" s="67">
        <f t="array" ref="U84">XLOOKUP(D84,RUC!$B$3:$B$110,RUC!$F$3:$F$110)</f>
        <v>100</v>
      </c>
      <c r="V84" s="67">
        <v>1.1023</v>
      </c>
      <c r="Y84" s="57" t="str">
        <f t="array" ref="Y84">XLOOKUP(D84,RUC!$B$3:$B$110,RUC!$G$3:$G$110)</f>
        <v/>
      </c>
      <c r="Z84" s="69">
        <f t="array" ref="Z84">XLOOKUP(D84,RUC!$B$3:$B$110,RUC!$H$3:$H$110)</f>
        <v>30</v>
      </c>
      <c r="AA84" s="70">
        <f t="shared" si="4"/>
        <v>30</v>
      </c>
      <c r="AB84" s="71">
        <f t="shared" si="46"/>
        <v>670.5302066</v>
      </c>
      <c r="AC84" s="71">
        <f>+(S84-T84)*V84-'data 1'!$F$4</f>
        <v>30.23</v>
      </c>
      <c r="AD84" s="71">
        <f t="shared" si="5"/>
        <v>7.258500702</v>
      </c>
      <c r="AE84" s="71">
        <f t="shared" si="6"/>
        <v>-36.931</v>
      </c>
      <c r="AF84" s="71">
        <f t="shared" si="7"/>
        <v>71.69456228</v>
      </c>
      <c r="AG84" s="72">
        <f>AC84+AD84+AE84+AF84+70-10</f>
        <v>132.252063</v>
      </c>
      <c r="AH84" s="193">
        <f t="shared" si="8"/>
        <v>71.076</v>
      </c>
      <c r="AI84" s="193">
        <f t="shared" si="9"/>
        <v>79.211</v>
      </c>
      <c r="AJ84" s="73">
        <f t="shared" si="10"/>
        <v>38.3404404</v>
      </c>
      <c r="AK84" s="73">
        <f t="shared" si="11"/>
        <v>64.83259773</v>
      </c>
      <c r="AM84" s="51">
        <f t="shared" si="12"/>
        <v>6915.848551</v>
      </c>
      <c r="AN84" s="51" t="str">
        <f t="array" ref="AN84">XLOOKUP(D84,RUC!$B$3:$B$565,RUC!$M$3:$M$565)</f>
        <v>Ronald Garibay</v>
      </c>
      <c r="AO84" s="131" t="s">
        <v>547</v>
      </c>
      <c r="AP84" s="57" t="s">
        <v>1824</v>
      </c>
      <c r="AQ84" s="57" t="s">
        <v>844</v>
      </c>
    </row>
    <row r="85" ht="15.0" customHeight="1">
      <c r="A85" s="116" t="s">
        <v>2186</v>
      </c>
      <c r="B85" s="182">
        <v>45985.0</v>
      </c>
      <c r="C85" s="182">
        <v>45980.0</v>
      </c>
      <c r="D85" s="57" t="s">
        <v>665</v>
      </c>
      <c r="E85" s="3">
        <f t="array" ref="E85">XLOOKUP(D85,RUC!$B$3:$B$110,RUC!$D$3:$D$110)</f>
        <v>20608774000</v>
      </c>
      <c r="G85" s="141">
        <v>15.0</v>
      </c>
      <c r="H85" s="3" t="s">
        <v>40</v>
      </c>
      <c r="I85" s="6">
        <v>1.17</v>
      </c>
      <c r="J85" s="58">
        <v>24.86</v>
      </c>
      <c r="K85" s="6">
        <f t="shared" si="2"/>
        <v>0.879</v>
      </c>
      <c r="L85" s="60">
        <v>0.55</v>
      </c>
      <c r="M85" s="60">
        <f t="shared" si="30"/>
        <v>0.517</v>
      </c>
      <c r="N85" s="62">
        <f t="shared" si="55"/>
        <v>0.517</v>
      </c>
      <c r="O85" s="60">
        <f t="shared" si="45"/>
        <v>0.517</v>
      </c>
      <c r="P85" s="63">
        <v>90.0</v>
      </c>
      <c r="Q85" s="458">
        <v>96.0</v>
      </c>
      <c r="R85" s="65">
        <v>4126.95</v>
      </c>
      <c r="S85" s="66">
        <f t="array" ref="S85">IF((XLOOKUP(D85,RUC!$B$3:$B$106,RUC!$E$3:$E$106)+ROUNDDOWN(O85,1)*100)&lt;95,95,((XLOOKUP(D85,RUC!$B$3:$B$106,RUC!$E$3:$E$106)+ROUNDDOWN(O85,1)*100)))</f>
        <v>135</v>
      </c>
      <c r="U85" s="67">
        <f t="array" ref="U85">XLOOKUP(D85,RUC!$B$3:$B$110,RUC!$F$3:$F$110)</f>
        <v>120</v>
      </c>
      <c r="V85" s="67">
        <v>1.1023</v>
      </c>
      <c r="Y85" s="57">
        <f t="array" ref="Y85">XLOOKUP(D85,RUC!$B$3:$B$110,RUC!$G$3:$G$110)</f>
        <v>20</v>
      </c>
      <c r="Z85" s="69">
        <f t="array" ref="Z85">XLOOKUP(D85,RUC!$B$3:$B$110,RUC!$H$3:$H$110)</f>
        <v>30</v>
      </c>
      <c r="AA85" s="70">
        <f t="shared" si="4"/>
        <v>50</v>
      </c>
      <c r="AB85" s="71">
        <f t="shared" si="46"/>
        <v>1851.239916</v>
      </c>
      <c r="AC85" s="71">
        <f>+(S85-T85)*V85-'data 1'!$F$4</f>
        <v>68.8105</v>
      </c>
      <c r="AD85" s="71">
        <f t="shared" si="5"/>
        <v>145.7564125</v>
      </c>
      <c r="AE85" s="71">
        <f t="shared" si="6"/>
        <v>-14.885</v>
      </c>
      <c r="AF85" s="71">
        <f t="shared" si="7"/>
        <v>139.926156</v>
      </c>
      <c r="AG85" s="72">
        <f t="shared" ref="AG85:AG86" si="56">AC85+AD85+AE85+AF85+70-53</f>
        <v>356.6080685</v>
      </c>
      <c r="AH85" s="193">
        <f t="shared" si="8"/>
        <v>15.912</v>
      </c>
      <c r="AI85" s="193">
        <f t="shared" si="9"/>
        <v>16.575</v>
      </c>
      <c r="AJ85" s="73">
        <f t="shared" si="10"/>
        <v>112.3578799</v>
      </c>
      <c r="AK85" s="73">
        <f t="shared" si="11"/>
        <v>14.02267914</v>
      </c>
      <c r="AM85" s="51">
        <f t="shared" si="12"/>
        <v>1627.239886</v>
      </c>
      <c r="AN85" s="51" t="str">
        <f t="array" ref="AN85">XLOOKUP(D85,RUC!$B$3:$B$565,RUC!$M$3:$M$565)</f>
        <v>Ronald Miranda</v>
      </c>
      <c r="AO85" s="131" t="s">
        <v>547</v>
      </c>
      <c r="AP85" s="57" t="s">
        <v>2175</v>
      </c>
      <c r="AQ85" s="57" t="s">
        <v>2176</v>
      </c>
    </row>
    <row r="86" ht="15.0" customHeight="1">
      <c r="A86" s="116" t="s">
        <v>2187</v>
      </c>
      <c r="B86" s="182">
        <v>45985.0</v>
      </c>
      <c r="C86" s="182">
        <v>45981.0</v>
      </c>
      <c r="D86" s="57" t="s">
        <v>2122</v>
      </c>
      <c r="E86" s="3">
        <f t="array" ref="E86">XLOOKUP(D86,RUC!$B$3:$B$110,RUC!$D$3:$D$110)</f>
        <v>20614284740</v>
      </c>
      <c r="G86" s="141">
        <v>15.0</v>
      </c>
      <c r="H86" s="3" t="s">
        <v>40</v>
      </c>
      <c r="I86" s="6">
        <v>1.22</v>
      </c>
      <c r="J86" s="58">
        <v>4.2</v>
      </c>
      <c r="K86" s="6">
        <f t="shared" si="2"/>
        <v>1.169</v>
      </c>
      <c r="L86" s="3">
        <v>2.544</v>
      </c>
      <c r="M86" s="60">
        <f t="shared" si="30"/>
        <v>2.391</v>
      </c>
      <c r="N86" s="62">
        <f t="shared" si="55"/>
        <v>2.391</v>
      </c>
      <c r="O86" s="60">
        <f t="shared" si="45"/>
        <v>2.391</v>
      </c>
      <c r="P86" s="63">
        <v>90.0</v>
      </c>
      <c r="Q86" s="464">
        <v>87.78</v>
      </c>
      <c r="R86" s="65">
        <v>4090.6</v>
      </c>
      <c r="S86" s="66">
        <f t="array" ref="S86">IF((XLOOKUP(D86,RUC!$B$3:$B$106,RUC!$E$3:$E$106)+ROUNDDOWN(O86,1)*100)&lt;95,95,((XLOOKUP(D86,RUC!$B$3:$B$106,RUC!$E$3:$E$106)+ROUNDDOWN(O86,1)*100)))</f>
        <v>320</v>
      </c>
      <c r="U86" s="67">
        <f t="array" ref="U86">XLOOKUP(D86,RUC!$B$3:$B$110,RUC!$F$3:$F$110)</f>
        <v>120</v>
      </c>
      <c r="V86" s="67">
        <v>1.1023</v>
      </c>
      <c r="Y86" s="57">
        <f t="array" ref="Y86">XLOOKUP(D86,RUC!$B$3:$B$110,RUC!$G$3:$G$110)</f>
        <v>20</v>
      </c>
      <c r="Z86" s="69">
        <f t="array" ref="Z86">XLOOKUP(D86,RUC!$B$3:$B$110,RUC!$H$3:$H$110)</f>
        <v>30</v>
      </c>
      <c r="AA86" s="70">
        <f t="shared" si="4"/>
        <v>50</v>
      </c>
      <c r="AB86" s="71">
        <f t="shared" si="46"/>
        <v>9010.568523</v>
      </c>
      <c r="AC86" s="71">
        <f>+(S86-T86)*V86-'data 1'!$F$4</f>
        <v>272.736</v>
      </c>
      <c r="AD86" s="71">
        <f t="shared" si="5"/>
        <v>-247.1872279</v>
      </c>
      <c r="AE86" s="71">
        <f t="shared" si="6"/>
        <v>-14.885</v>
      </c>
      <c r="AF86" s="71">
        <f t="shared" si="7"/>
        <v>587.8180977</v>
      </c>
      <c r="AG86" s="72">
        <f t="shared" si="56"/>
        <v>615.4818698</v>
      </c>
      <c r="AH86" s="193">
        <f t="shared" si="8"/>
        <v>89.503</v>
      </c>
      <c r="AI86" s="193">
        <f t="shared" si="9"/>
        <v>101.963</v>
      </c>
      <c r="AJ86" s="73">
        <f t="shared" si="10"/>
        <v>564.6845488</v>
      </c>
      <c r="AK86" s="73">
        <f t="shared" si="11"/>
        <v>86.24733133</v>
      </c>
      <c r="AM86" s="51">
        <f t="shared" si="12"/>
        <v>10533.3546</v>
      </c>
      <c r="AN86" s="51" t="s">
        <v>2188</v>
      </c>
      <c r="AO86" s="131" t="s">
        <v>558</v>
      </c>
      <c r="AP86" s="57" t="s">
        <v>757</v>
      </c>
      <c r="AQ86" s="57" t="s">
        <v>2189</v>
      </c>
    </row>
    <row r="87" ht="15.0" customHeight="1">
      <c r="A87" s="116" t="s">
        <v>2190</v>
      </c>
      <c r="B87" s="182">
        <v>45985.0</v>
      </c>
      <c r="C87" s="182">
        <v>45982.0</v>
      </c>
      <c r="D87" s="57" t="s">
        <v>306</v>
      </c>
      <c r="E87" s="3">
        <f t="array" ref="E87">XLOOKUP(D87,RUC!$B$3:$B$110,RUC!$D$3:$D$110)</f>
        <v>20612921866</v>
      </c>
      <c r="G87" s="141" t="s">
        <v>735</v>
      </c>
      <c r="H87" s="3" t="s">
        <v>47</v>
      </c>
      <c r="I87" s="6">
        <v>21.23</v>
      </c>
      <c r="J87" s="58">
        <v>1.2</v>
      </c>
      <c r="K87" s="6">
        <f t="shared" si="2"/>
        <v>20.975</v>
      </c>
      <c r="L87" s="3">
        <v>0.308</v>
      </c>
      <c r="M87" s="60">
        <f t="shared" si="30"/>
        <v>0.29</v>
      </c>
      <c r="N87" s="75">
        <v>0.336</v>
      </c>
      <c r="O87" s="60">
        <f t="shared" si="45"/>
        <v>0.313</v>
      </c>
      <c r="P87" s="63">
        <v>90.0</v>
      </c>
      <c r="Q87" s="458">
        <v>96.1</v>
      </c>
      <c r="R87" s="65">
        <v>4072.85</v>
      </c>
      <c r="S87" s="66">
        <f t="array" ref="S87">IF((XLOOKUP(D87,RUC!$B$3:$B$106,RUC!$E$3:$E$106)+ROUNDDOWN(O87,1)*100)&lt;95,95,((XLOOKUP(D87,RUC!$B$3:$B$106,RUC!$E$3:$E$106)+ROUNDDOWN(O87,1)*100)))</f>
        <v>110</v>
      </c>
      <c r="U87" s="67">
        <f t="array" ref="U87">XLOOKUP(D87,RUC!$B$3:$B$110,RUC!$F$3:$F$110)</f>
        <v>100</v>
      </c>
      <c r="V87" s="67">
        <v>1.1023</v>
      </c>
      <c r="Y87" s="57" t="str">
        <f t="array" ref="Y87">XLOOKUP(D87,RUC!$B$3:$B$110,RUC!$G$3:$G$110)</f>
        <v/>
      </c>
      <c r="Z87" s="69">
        <f t="array" ref="Z87">XLOOKUP(D87,RUC!$B$3:$B$110,RUC!$H$3:$H$110)</f>
        <v>30</v>
      </c>
      <c r="AA87" s="70">
        <f t="shared" si="4"/>
        <v>30</v>
      </c>
      <c r="AB87" s="71">
        <f t="shared" si="46"/>
        <v>1079.319079</v>
      </c>
      <c r="AC87" s="71">
        <f>+(S87-T87)*V87-'data 1'!$F$4</f>
        <v>41.253</v>
      </c>
      <c r="AD87" s="71">
        <f t="shared" si="5"/>
        <v>82.27777276</v>
      </c>
      <c r="AE87" s="71">
        <f t="shared" si="6"/>
        <v>-36.931</v>
      </c>
      <c r="AF87" s="71">
        <f t="shared" si="7"/>
        <v>-21.04240463</v>
      </c>
      <c r="AG87" s="72">
        <f>AC87+AD87+AE87+AF87+70-10</f>
        <v>125.5573681</v>
      </c>
      <c r="AH87" s="193">
        <f t="shared" si="8"/>
        <v>212.856</v>
      </c>
      <c r="AI87" s="193">
        <f t="shared" si="9"/>
        <v>221.494</v>
      </c>
      <c r="AJ87" s="73">
        <f t="shared" si="10"/>
        <v>74.11167907</v>
      </c>
      <c r="AK87" s="73">
        <f t="shared" si="11"/>
        <v>202.5806152</v>
      </c>
      <c r="AM87" s="51">
        <f t="shared" si="12"/>
        <v>22638.71768</v>
      </c>
      <c r="AN87" s="51" t="str">
        <f t="array" ref="AN87">XLOOKUP(D87,RUC!$B$3:$B$565,RUC!$M$3:$M$565)</f>
        <v>Ronald Garibay</v>
      </c>
      <c r="AO87" s="131" t="s">
        <v>547</v>
      </c>
      <c r="AP87" s="57" t="s">
        <v>2191</v>
      </c>
      <c r="AQ87" s="57" t="s">
        <v>2192</v>
      </c>
    </row>
    <row r="88" ht="15.0" customHeight="1">
      <c r="A88" s="116" t="s">
        <v>2193</v>
      </c>
      <c r="B88" s="182">
        <v>45988.0</v>
      </c>
      <c r="C88" s="182">
        <v>45982.0</v>
      </c>
      <c r="D88" s="57" t="s">
        <v>2166</v>
      </c>
      <c r="E88" s="3">
        <f t="array" ref="E88">XLOOKUP(D88,RUC!$B$3:$B$110,RUC!$D$3:$D$110)</f>
        <v>10408856049</v>
      </c>
      <c r="G88" s="141">
        <v>130.0</v>
      </c>
      <c r="H88" s="3" t="s">
        <v>47</v>
      </c>
      <c r="I88" s="6">
        <v>12.3</v>
      </c>
      <c r="J88" s="58">
        <v>6.95</v>
      </c>
      <c r="K88" s="6">
        <f t="shared" si="2"/>
        <v>11.445</v>
      </c>
      <c r="L88" s="60">
        <v>0.34</v>
      </c>
      <c r="M88" s="60">
        <f t="shared" si="30"/>
        <v>0.32</v>
      </c>
      <c r="N88" s="75">
        <v>0.385</v>
      </c>
      <c r="O88" s="60">
        <f t="shared" si="45"/>
        <v>0.353</v>
      </c>
      <c r="P88" s="63">
        <v>90.0</v>
      </c>
      <c r="Q88" s="458">
        <v>95.59</v>
      </c>
      <c r="R88" s="65">
        <v>4072.85</v>
      </c>
      <c r="S88" s="66">
        <f t="array" ref="S88">IF((XLOOKUP(D88,RUC!$B$3:$B$106,RUC!$E$3:$E$106)+ROUNDDOWN(O88,1)*100)&lt;95,95,((XLOOKUP(D88,RUC!$B$3:$B$106,RUC!$E$3:$E$106)+ROUNDDOWN(O88,1)*100)))</f>
        <v>120</v>
      </c>
      <c r="U88" s="67">
        <f t="array" ref="U88">XLOOKUP(D88,RUC!$B$3:$B$110,RUC!$F$3:$F$110)</f>
        <v>120</v>
      </c>
      <c r="V88" s="67">
        <v>1.1023</v>
      </c>
      <c r="Y88" s="199">
        <v>40.0</v>
      </c>
      <c r="Z88" s="69">
        <f t="array" ref="Z88">XLOOKUP(D88,RUC!$B$3:$B$110,RUC!$H$3:$H$110)</f>
        <v>30</v>
      </c>
      <c r="AA88" s="70">
        <f t="shared" si="4"/>
        <v>70</v>
      </c>
      <c r="AB88" s="71">
        <f t="shared" si="46"/>
        <v>1174.853877</v>
      </c>
      <c r="AC88" s="71">
        <f>+(S88-T88)*V88-'data 1'!$F$4</f>
        <v>52.276</v>
      </c>
      <c r="AD88" s="71">
        <f t="shared" si="5"/>
        <v>82.8134479</v>
      </c>
      <c r="AE88" s="71">
        <f t="shared" si="6"/>
        <v>7.161</v>
      </c>
      <c r="AF88" s="71">
        <f t="shared" si="7"/>
        <v>-54.14594723</v>
      </c>
      <c r="AG88" s="72">
        <f>AC88+AD88+AE88+AF88+70-53</f>
        <v>105.1045007</v>
      </c>
      <c r="AH88" s="193">
        <f t="shared" si="8"/>
        <v>127.531</v>
      </c>
      <c r="AI88" s="193">
        <f t="shared" si="9"/>
        <v>133.415</v>
      </c>
      <c r="AJ88" s="73">
        <f t="shared" si="10"/>
        <v>88.54250423</v>
      </c>
      <c r="AK88" s="73">
        <f t="shared" si="11"/>
        <v>124.6642938</v>
      </c>
      <c r="AM88" s="51">
        <f t="shared" si="12"/>
        <v>13446.20262</v>
      </c>
      <c r="AN88" s="51" t="str">
        <f t="array" ref="AN88">XLOOKUP(D88,RUC!$B$3:$B$565,RUC!$M$3:$M$565)</f>
        <v>Richard Sapacayo</v>
      </c>
      <c r="AO88" s="131" t="s">
        <v>561</v>
      </c>
      <c r="AP88" s="57" t="s">
        <v>2194</v>
      </c>
      <c r="AQ88" s="57" t="s">
        <v>2195</v>
      </c>
    </row>
    <row r="89" ht="15.0" customHeight="1">
      <c r="A89" s="116" t="s">
        <v>2196</v>
      </c>
      <c r="B89" s="182">
        <v>45988.0</v>
      </c>
      <c r="C89" s="182">
        <v>45982.0</v>
      </c>
      <c r="D89" s="57" t="s">
        <v>306</v>
      </c>
      <c r="E89" s="3">
        <f t="array" ref="E89">XLOOKUP(D89,RUC!$B$3:$B$110,RUC!$D$3:$D$110)</f>
        <v>20612921866</v>
      </c>
      <c r="G89" s="141" t="s">
        <v>735</v>
      </c>
      <c r="H89" s="3" t="s">
        <v>47</v>
      </c>
      <c r="I89" s="6">
        <v>20.18</v>
      </c>
      <c r="J89" s="58">
        <v>1.25</v>
      </c>
      <c r="K89" s="6">
        <f t="shared" si="2"/>
        <v>19.928</v>
      </c>
      <c r="L89" s="141">
        <v>0.302</v>
      </c>
      <c r="M89" s="60">
        <f t="shared" si="30"/>
        <v>0.284</v>
      </c>
      <c r="N89" s="75">
        <v>0.323</v>
      </c>
      <c r="O89" s="60">
        <f t="shared" si="45"/>
        <v>0.304</v>
      </c>
      <c r="P89" s="63">
        <v>90.0</v>
      </c>
      <c r="Q89" s="458">
        <v>97.02</v>
      </c>
      <c r="R89" s="65">
        <v>4072.85</v>
      </c>
      <c r="S89" s="66">
        <f t="array" ref="S89">IF((XLOOKUP(D89,RUC!$B$3:$B$106,RUC!$E$3:$E$106)+ROUNDDOWN(O89,1)*100)&lt;95,95,((XLOOKUP(D89,RUC!$B$3:$B$106,RUC!$E$3:$E$106)+ROUNDDOWN(O89,1)*100)))</f>
        <v>110</v>
      </c>
      <c r="U89" s="67">
        <f t="array" ref="U89">XLOOKUP(D89,RUC!$B$3:$B$110,RUC!$F$3:$F$110)</f>
        <v>100</v>
      </c>
      <c r="V89" s="67">
        <v>1.1023</v>
      </c>
      <c r="Y89" s="57" t="str">
        <f t="array" ref="Y89">XLOOKUP(D89,RUC!$B$3:$B$110,RUC!$G$3:$G$110)</f>
        <v/>
      </c>
      <c r="Z89" s="69">
        <f t="array" ref="Z89">XLOOKUP(D89,RUC!$B$3:$B$110,RUC!$H$3:$H$110)</f>
        <v>30</v>
      </c>
      <c r="AA89" s="70">
        <f t="shared" si="4"/>
        <v>30</v>
      </c>
      <c r="AB89" s="71">
        <f t="shared" si="46"/>
        <v>1043.846971</v>
      </c>
      <c r="AC89" s="71">
        <f>+(S89-T89)*V89-'data 1'!$F$4</f>
        <v>41.253</v>
      </c>
      <c r="AD89" s="71">
        <f t="shared" si="5"/>
        <v>92.84232988</v>
      </c>
      <c r="AE89" s="71">
        <f t="shared" si="6"/>
        <v>-36.931</v>
      </c>
      <c r="AF89" s="71">
        <f t="shared" si="7"/>
        <v>-8.497540466</v>
      </c>
      <c r="AG89" s="72">
        <f>AC89+AD89+AE89+AF89+70-10</f>
        <v>148.6667894</v>
      </c>
      <c r="AH89" s="193">
        <f t="shared" si="8"/>
        <v>200.189</v>
      </c>
      <c r="AI89" s="193">
        <f t="shared" si="9"/>
        <v>206.338</v>
      </c>
      <c r="AJ89" s="73">
        <f t="shared" si="10"/>
        <v>73.36362154</v>
      </c>
      <c r="AK89" s="73">
        <f t="shared" si="11"/>
        <v>186.9342487</v>
      </c>
      <c r="AM89" s="51">
        <f t="shared" si="12"/>
        <v>20801.78244</v>
      </c>
      <c r="AN89" s="51" t="str">
        <f t="array" ref="AN89">XLOOKUP(D89,RUC!$B$3:$B$565,RUC!$M$3:$M$565)</f>
        <v>Ronald Garibay</v>
      </c>
      <c r="AO89" s="131" t="s">
        <v>547</v>
      </c>
      <c r="AP89" s="57" t="s">
        <v>2197</v>
      </c>
      <c r="AQ89" s="57" t="s">
        <v>2198</v>
      </c>
    </row>
    <row r="90" ht="15.0" customHeight="1">
      <c r="A90" s="116" t="s">
        <v>2199</v>
      </c>
      <c r="B90" s="182">
        <v>45992.0</v>
      </c>
      <c r="C90" s="182">
        <v>45983.0</v>
      </c>
      <c r="D90" s="57" t="s">
        <v>2166</v>
      </c>
      <c r="E90" s="3">
        <f t="array" ref="E90">XLOOKUP(D90,RUC!$B$3:$B$110,RUC!$D$3:$D$110)</f>
        <v>10408856049</v>
      </c>
      <c r="G90" s="141" t="s">
        <v>735</v>
      </c>
      <c r="H90" s="3" t="s">
        <v>47</v>
      </c>
      <c r="I90" s="6">
        <v>32.36</v>
      </c>
      <c r="J90" s="58">
        <v>4.1</v>
      </c>
      <c r="K90" s="6">
        <f t="shared" si="2"/>
        <v>31.033</v>
      </c>
      <c r="L90" s="141">
        <v>0.121</v>
      </c>
      <c r="M90" s="60">
        <f t="shared" si="30"/>
        <v>0.103</v>
      </c>
      <c r="N90" s="62">
        <f t="shared" ref="N90:N112" si="57">+M90</f>
        <v>0.103</v>
      </c>
      <c r="O90" s="60">
        <f t="shared" si="45"/>
        <v>0.103</v>
      </c>
      <c r="P90" s="63">
        <v>80.0</v>
      </c>
      <c r="Q90" s="458">
        <v>97.52</v>
      </c>
      <c r="R90" s="65">
        <v>4072.85</v>
      </c>
      <c r="S90" s="66">
        <f t="array" ref="S90">IF((XLOOKUP(D90,RUC!$B$3:$B$106,RUC!$E$3:$E$106)+ROUNDDOWN(O90,1)*100)&lt;95,95,((XLOOKUP(D90,RUC!$B$3:$B$106,RUC!$E$3:$E$106)+ROUNDDOWN(O90,1)*100)))</f>
        <v>100</v>
      </c>
      <c r="U90" s="67">
        <f t="array" ref="U90">XLOOKUP(D90,RUC!$B$3:$B$110,RUC!$F$3:$F$110)</f>
        <v>120</v>
      </c>
      <c r="V90" s="67">
        <v>1.1023</v>
      </c>
      <c r="Y90" s="57">
        <f t="array" ref="Y90">XLOOKUP(D90,RUC!$B$3:$B$110,RUC!$G$3:$G$110)</f>
        <v>20</v>
      </c>
      <c r="Z90" s="69">
        <f t="array" ref="Z90">XLOOKUP(D90,RUC!$B$3:$B$110,RUC!$H$3:$H$110)</f>
        <v>30</v>
      </c>
      <c r="AA90" s="70">
        <f t="shared" si="4"/>
        <v>50</v>
      </c>
      <c r="AB90" s="71">
        <f t="shared" si="46"/>
        <v>193.6904681</v>
      </c>
      <c r="AC90" s="71">
        <f>+(S90-T90)*V90-'data 1'!$F$4</f>
        <v>30.23</v>
      </c>
      <c r="AD90" s="71">
        <f t="shared" si="5"/>
        <v>92.36971718</v>
      </c>
      <c r="AE90" s="71">
        <f t="shared" si="6"/>
        <v>-14.885</v>
      </c>
      <c r="AF90" s="71">
        <f t="shared" si="7"/>
        <v>76.48501206</v>
      </c>
      <c r="AG90" s="72">
        <f>AC90+AD90+AE90+AF90+70-53</f>
        <v>201.1997292</v>
      </c>
      <c r="AH90" s="193">
        <f t="shared" si="8"/>
        <v>125.549</v>
      </c>
      <c r="AI90" s="193">
        <f t="shared" si="9"/>
        <v>128.741</v>
      </c>
      <c r="AJ90" s="73">
        <f t="shared" si="10"/>
        <v>32.14692856</v>
      </c>
      <c r="AK90" s="73">
        <f t="shared" si="11"/>
        <v>87.67182406</v>
      </c>
      <c r="AM90" s="51">
        <f t="shared" si="12"/>
        <v>6010.796298</v>
      </c>
      <c r="AN90" s="51" t="str">
        <f t="array" ref="AN90">XLOOKUP(D90,RUC!$B$3:$B$565,RUC!$M$3:$M$565)</f>
        <v>Richard Sapacayo</v>
      </c>
      <c r="AO90" s="131" t="s">
        <v>561</v>
      </c>
      <c r="AP90" s="57" t="s">
        <v>2200</v>
      </c>
      <c r="AQ90" s="57" t="s">
        <v>2201</v>
      </c>
    </row>
    <row r="91" ht="15.0" customHeight="1">
      <c r="A91" s="116" t="s">
        <v>2202</v>
      </c>
      <c r="B91" s="182">
        <v>45988.0</v>
      </c>
      <c r="C91" s="182">
        <v>45983.0</v>
      </c>
      <c r="D91" s="57" t="s">
        <v>306</v>
      </c>
      <c r="E91" s="3">
        <f t="array" ref="E91">XLOOKUP(D91,RUC!$B$3:$B$110,RUC!$D$3:$D$110)</f>
        <v>20612921866</v>
      </c>
      <c r="G91" s="141" t="s">
        <v>735</v>
      </c>
      <c r="H91" s="3" t="s">
        <v>47</v>
      </c>
      <c r="I91" s="6">
        <v>17.57</v>
      </c>
      <c r="J91" s="58">
        <v>1.3</v>
      </c>
      <c r="K91" s="6">
        <f t="shared" si="2"/>
        <v>17.342</v>
      </c>
      <c r="L91" s="141">
        <v>0.325</v>
      </c>
      <c r="M91" s="60">
        <f t="shared" si="30"/>
        <v>0.306</v>
      </c>
      <c r="N91" s="62">
        <f t="shared" si="57"/>
        <v>0.306</v>
      </c>
      <c r="O91" s="60">
        <f t="shared" si="45"/>
        <v>0.306</v>
      </c>
      <c r="P91" s="63">
        <v>90.0</v>
      </c>
      <c r="Q91" s="458">
        <v>96.0</v>
      </c>
      <c r="R91" s="65">
        <v>4072.85</v>
      </c>
      <c r="S91" s="66">
        <f t="array" ref="S91">IF((XLOOKUP(D91,RUC!$B$3:$B$106,RUC!$E$3:$E$106)+ROUNDDOWN(O91,1)*100)&lt;95,95,((XLOOKUP(D91,RUC!$B$3:$B$106,RUC!$E$3:$E$106)+ROUNDDOWN(O91,1)*100)))</f>
        <v>110</v>
      </c>
      <c r="U91" s="67">
        <f t="array" ref="U91">XLOOKUP(D91,RUC!$B$3:$B$110,RUC!$F$3:$F$110)</f>
        <v>100</v>
      </c>
      <c r="V91" s="67">
        <v>1.1023</v>
      </c>
      <c r="Y91" s="57" t="str">
        <f t="array" ref="Y91">XLOOKUP(D91,RUC!$B$3:$B$110,RUC!$G$3:$G$110)</f>
        <v/>
      </c>
      <c r="Z91" s="69">
        <f t="array" ref="Z91">XLOOKUP(D91,RUC!$B$3:$B$110,RUC!$H$3:$H$110)</f>
        <v>30</v>
      </c>
      <c r="AA91" s="70">
        <f t="shared" si="4"/>
        <v>30</v>
      </c>
      <c r="AB91" s="71">
        <f t="shared" si="46"/>
        <v>1051.729662</v>
      </c>
      <c r="AC91" s="71">
        <f>+(S91-T91)*V91-'data 1'!$F$4</f>
        <v>41.253</v>
      </c>
      <c r="AD91" s="71">
        <f t="shared" si="5"/>
        <v>85.39581482</v>
      </c>
      <c r="AE91" s="71">
        <f t="shared" si="6"/>
        <v>-36.931</v>
      </c>
      <c r="AF91" s="71">
        <f t="shared" si="7"/>
        <v>79.8779314</v>
      </c>
      <c r="AG91" s="72">
        <f>AC91+AD91+AE91+AF91+70-10</f>
        <v>229.5957462</v>
      </c>
      <c r="AH91" s="193">
        <f t="shared" si="8"/>
        <v>185.508</v>
      </c>
      <c r="AI91" s="193">
        <f t="shared" si="9"/>
        <v>193.238</v>
      </c>
      <c r="AJ91" s="73">
        <f t="shared" si="10"/>
        <v>78.12088284</v>
      </c>
      <c r="AK91" s="73">
        <f t="shared" si="11"/>
        <v>163.7465608</v>
      </c>
      <c r="AM91" s="51">
        <f t="shared" si="12"/>
        <v>18239.09579</v>
      </c>
      <c r="AN91" s="51" t="str">
        <f t="array" ref="AN91">XLOOKUP(D91,RUC!$B$3:$B$565,RUC!$M$3:$M$565)</f>
        <v>Ronald Garibay</v>
      </c>
      <c r="AO91" s="131" t="s">
        <v>547</v>
      </c>
      <c r="AP91" s="57" t="s">
        <v>1931</v>
      </c>
      <c r="AQ91" s="57" t="s">
        <v>2203</v>
      </c>
    </row>
    <row r="92" ht="15.0" customHeight="1">
      <c r="A92" s="116" t="s">
        <v>2204</v>
      </c>
      <c r="B92" s="182">
        <v>45989.0</v>
      </c>
      <c r="C92" s="182">
        <v>45985.0</v>
      </c>
      <c r="D92" s="57" t="s">
        <v>602</v>
      </c>
      <c r="E92" s="3">
        <f t="array" ref="E92">XLOOKUP(D92,RUC!$B$3:$B$110,RUC!$D$3:$D$110)</f>
        <v>20169040231</v>
      </c>
      <c r="G92" s="141">
        <v>8.0</v>
      </c>
      <c r="H92" s="3" t="s">
        <v>47</v>
      </c>
      <c r="I92" s="6">
        <v>0.78</v>
      </c>
      <c r="J92" s="58">
        <v>1.2</v>
      </c>
      <c r="K92" s="6">
        <f t="shared" si="2"/>
        <v>0.771</v>
      </c>
      <c r="L92" s="141">
        <v>0.456</v>
      </c>
      <c r="M92" s="60">
        <f t="shared" si="30"/>
        <v>0.429</v>
      </c>
      <c r="N92" s="62">
        <f t="shared" si="57"/>
        <v>0.429</v>
      </c>
      <c r="O92" s="60">
        <f t="shared" si="45"/>
        <v>0.429</v>
      </c>
      <c r="P92" s="63">
        <v>90.0</v>
      </c>
      <c r="Q92" s="58">
        <v>91.67</v>
      </c>
      <c r="R92" s="65">
        <v>4082.05</v>
      </c>
      <c r="S92" s="66">
        <f t="array" ref="S92">IF((XLOOKUP(D92,RUC!$B$3:$B$106,RUC!$E$3:$E$106)+ROUNDDOWN(O92,1)*100)&lt;95,95,((XLOOKUP(D92,RUC!$B$3:$B$106,RUC!$E$3:$E$106)+ROUNDDOWN(O92,1)*100)))</f>
        <v>125</v>
      </c>
      <c r="U92" s="67">
        <f t="array" ref="U92">XLOOKUP(D92,RUC!$B$3:$B$110,RUC!$F$3:$F$110)</f>
        <v>120</v>
      </c>
      <c r="V92" s="67">
        <v>1.1023</v>
      </c>
      <c r="Y92" s="57">
        <f t="array" ref="Y92">XLOOKUP(D92,RUC!$B$3:$B$110,RUC!$G$3:$G$110)</f>
        <v>20</v>
      </c>
      <c r="Z92" s="140">
        <v>35.0</v>
      </c>
      <c r="AA92" s="70">
        <f t="shared" si="4"/>
        <v>55</v>
      </c>
      <c r="AB92" s="71">
        <f t="shared" si="46"/>
        <v>1487.826675</v>
      </c>
      <c r="AC92" s="71">
        <f>+(S92-T92)*V92-'data 1'!$F$4</f>
        <v>57.7875</v>
      </c>
      <c r="AD92" s="71">
        <f t="shared" si="5"/>
        <v>33.25837862</v>
      </c>
      <c r="AE92" s="71">
        <f t="shared" si="6"/>
        <v>-9.3735</v>
      </c>
      <c r="AF92" s="71">
        <f t="shared" si="7"/>
        <v>108.0962816</v>
      </c>
      <c r="AG92" s="72">
        <f t="shared" ref="AG92:AG112" si="58">AC92+AD92+AE92+AF92+70-53</f>
        <v>206.7686602</v>
      </c>
      <c r="AH92" s="193">
        <f t="shared" si="8"/>
        <v>11.05</v>
      </c>
      <c r="AI92" s="193">
        <f t="shared" si="9"/>
        <v>12.054</v>
      </c>
      <c r="AJ92" s="73">
        <f t="shared" si="10"/>
        <v>109.642162</v>
      </c>
      <c r="AK92" s="73">
        <f t="shared" si="11"/>
        <v>10.2061806</v>
      </c>
      <c r="AM92" s="51">
        <f t="shared" si="12"/>
        <v>1147.114366</v>
      </c>
      <c r="AN92" s="51" t="str">
        <f t="array" ref="AN92">XLOOKUP(D92,RUC!$B$3:$B$565,RUC!$M$3:$M$565)</f>
        <v>Ronald Miranda</v>
      </c>
      <c r="AO92" s="131" t="s">
        <v>549</v>
      </c>
      <c r="AP92" s="57" t="s">
        <v>2205</v>
      </c>
      <c r="AQ92" s="57" t="s">
        <v>2206</v>
      </c>
    </row>
    <row r="93" ht="15.0" customHeight="1">
      <c r="A93" s="116" t="s">
        <v>2207</v>
      </c>
      <c r="B93" s="182">
        <v>45989.0</v>
      </c>
      <c r="C93" s="182">
        <v>45985.0</v>
      </c>
      <c r="D93" s="57" t="s">
        <v>602</v>
      </c>
      <c r="E93" s="3">
        <f t="array" ref="E93">XLOOKUP(D93,RUC!$B$3:$B$110,RUC!$D$3:$D$110)</f>
        <v>20169040231</v>
      </c>
      <c r="G93" s="141">
        <v>23.0</v>
      </c>
      <c r="H93" s="3" t="s">
        <v>47</v>
      </c>
      <c r="I93" s="6">
        <v>2.21</v>
      </c>
      <c r="J93" s="58">
        <v>1.5</v>
      </c>
      <c r="K93" s="6">
        <f t="shared" si="2"/>
        <v>2.177</v>
      </c>
      <c r="L93" s="141">
        <v>0.273</v>
      </c>
      <c r="M93" s="60">
        <f t="shared" si="30"/>
        <v>0.255</v>
      </c>
      <c r="N93" s="62">
        <f t="shared" si="57"/>
        <v>0.255</v>
      </c>
      <c r="O93" s="60">
        <f t="shared" si="45"/>
        <v>0.255</v>
      </c>
      <c r="P93" s="63">
        <v>90.0</v>
      </c>
      <c r="Q93" s="58">
        <v>96.7</v>
      </c>
      <c r="R93" s="65">
        <v>4082.05</v>
      </c>
      <c r="S93" s="66">
        <f t="array" ref="S93">IF((XLOOKUP(D93,RUC!$B$3:$B$106,RUC!$E$3:$E$106)+ROUNDDOWN(O93,1)*100)&lt;95,95,((XLOOKUP(D93,RUC!$B$3:$B$106,RUC!$E$3:$E$106)+ROUNDDOWN(O93,1)*100)))</f>
        <v>105</v>
      </c>
      <c r="U93" s="67">
        <f t="array" ref="U93">XLOOKUP(D93,RUC!$B$3:$B$110,RUC!$F$3:$F$110)</f>
        <v>120</v>
      </c>
      <c r="V93" s="67">
        <v>1.1023</v>
      </c>
      <c r="Y93" s="57">
        <f t="array" ref="Y93">XLOOKUP(D93,RUC!$B$3:$B$110,RUC!$G$3:$G$110)</f>
        <v>20</v>
      </c>
      <c r="Z93" s="140">
        <v>35.0</v>
      </c>
      <c r="AA93" s="70">
        <f t="shared" si="4"/>
        <v>55</v>
      </c>
      <c r="AB93" s="71">
        <f t="shared" si="46"/>
        <v>825.9428906</v>
      </c>
      <c r="AC93" s="71">
        <f>+(S93-T93)*V93-'data 1'!$F$4</f>
        <v>35.7415</v>
      </c>
      <c r="AD93" s="71">
        <f t="shared" si="5"/>
        <v>79.88352288</v>
      </c>
      <c r="AE93" s="71">
        <f t="shared" si="6"/>
        <v>-9.3735</v>
      </c>
      <c r="AF93" s="71">
        <f t="shared" si="7"/>
        <v>76.01840245</v>
      </c>
      <c r="AG93" s="72">
        <f t="shared" si="58"/>
        <v>199.2699253</v>
      </c>
      <c r="AH93" s="193">
        <f t="shared" si="8"/>
        <v>19.704</v>
      </c>
      <c r="AI93" s="193">
        <f t="shared" si="9"/>
        <v>20.377</v>
      </c>
      <c r="AJ93" s="73">
        <f t="shared" si="10"/>
        <v>69.24280261</v>
      </c>
      <c r="AK93" s="73">
        <f t="shared" si="11"/>
        <v>17.12971701</v>
      </c>
      <c r="AM93" s="51">
        <f t="shared" si="12"/>
        <v>1798.077673</v>
      </c>
      <c r="AN93" s="51" t="str">
        <f t="array" ref="AN93">XLOOKUP(D93,RUC!$B$3:$B$565,RUC!$M$3:$M$565)</f>
        <v>Ronald Miranda</v>
      </c>
      <c r="AO93" s="131" t="s">
        <v>549</v>
      </c>
      <c r="AP93" s="57" t="s">
        <v>2205</v>
      </c>
      <c r="AQ93" s="57" t="s">
        <v>2206</v>
      </c>
    </row>
    <row r="94" ht="15.0" customHeight="1">
      <c r="A94" s="116" t="s">
        <v>2208</v>
      </c>
      <c r="B94" s="182">
        <v>45989.0</v>
      </c>
      <c r="C94" s="182">
        <v>45985.0</v>
      </c>
      <c r="D94" s="57" t="s">
        <v>602</v>
      </c>
      <c r="E94" s="3">
        <f t="array" ref="E94">XLOOKUP(D94,RUC!$B$3:$B$110,RUC!$D$3:$D$110)</f>
        <v>20169040231</v>
      </c>
      <c r="G94" s="141">
        <v>19.0</v>
      </c>
      <c r="H94" s="3" t="s">
        <v>47</v>
      </c>
      <c r="I94" s="6">
        <v>1.78</v>
      </c>
      <c r="J94" s="58">
        <v>4.65</v>
      </c>
      <c r="K94" s="6">
        <f t="shared" si="2"/>
        <v>1.697</v>
      </c>
      <c r="L94" s="141">
        <v>0.137</v>
      </c>
      <c r="M94" s="60">
        <f t="shared" si="30"/>
        <v>0.119</v>
      </c>
      <c r="N94" s="62">
        <f t="shared" si="57"/>
        <v>0.119</v>
      </c>
      <c r="O94" s="60">
        <f t="shared" si="45"/>
        <v>0.119</v>
      </c>
      <c r="P94" s="63">
        <v>80.0</v>
      </c>
      <c r="Q94" s="58">
        <v>97.08</v>
      </c>
      <c r="R94" s="65">
        <v>4082.05</v>
      </c>
      <c r="S94" s="66">
        <f t="array" ref="S94">IF((XLOOKUP(D94,RUC!$B$3:$B$106,RUC!$E$3:$E$106)+ROUNDDOWN(O94,1)*100)&lt;95,95,((XLOOKUP(D94,RUC!$B$3:$B$106,RUC!$E$3:$E$106)+ROUNDDOWN(O94,1)*100)))</f>
        <v>95</v>
      </c>
      <c r="U94" s="67">
        <f t="array" ref="U94">XLOOKUP(D94,RUC!$B$3:$B$110,RUC!$F$3:$F$110)</f>
        <v>120</v>
      </c>
      <c r="V94" s="67">
        <v>1.1023</v>
      </c>
      <c r="Y94" s="57">
        <f t="array" ref="Y94">XLOOKUP(D94,RUC!$B$3:$B$110,RUC!$G$3:$G$110)</f>
        <v>20</v>
      </c>
      <c r="Z94" s="140">
        <v>35.0</v>
      </c>
      <c r="AA94" s="70">
        <f t="shared" si="4"/>
        <v>55</v>
      </c>
      <c r="AB94" s="71">
        <f t="shared" si="46"/>
        <v>250.4284065</v>
      </c>
      <c r="AC94" s="71">
        <f>+(S94-T94)*V94-'data 1'!$F$4</f>
        <v>24.7185</v>
      </c>
      <c r="AD94" s="71">
        <f t="shared" si="5"/>
        <v>102.1946576</v>
      </c>
      <c r="AE94" s="71">
        <f t="shared" si="6"/>
        <v>-9.3735</v>
      </c>
      <c r="AF94" s="71">
        <f t="shared" si="7"/>
        <v>76.3171304</v>
      </c>
      <c r="AG94" s="72">
        <f t="shared" si="58"/>
        <v>210.856788</v>
      </c>
      <c r="AH94" s="193">
        <f t="shared" si="8"/>
        <v>7.738</v>
      </c>
      <c r="AI94" s="193">
        <f t="shared" si="9"/>
        <v>7.971</v>
      </c>
      <c r="AJ94" s="73">
        <f t="shared" si="10"/>
        <v>34.88476899</v>
      </c>
      <c r="AK94" s="73">
        <f t="shared" si="11"/>
        <v>5.538955295</v>
      </c>
      <c r="AM94" s="51">
        <f t="shared" si="12"/>
        <v>424.9770058</v>
      </c>
      <c r="AN94" s="51" t="str">
        <f t="array" ref="AN94">XLOOKUP(D94,RUC!$B$3:$B$565,RUC!$M$3:$M$565)</f>
        <v>Ronald Miranda</v>
      </c>
      <c r="AO94" s="131" t="s">
        <v>549</v>
      </c>
      <c r="AP94" s="57" t="s">
        <v>2205</v>
      </c>
      <c r="AQ94" s="57" t="s">
        <v>2206</v>
      </c>
    </row>
    <row r="95" ht="15.0" customHeight="1">
      <c r="A95" s="116" t="s">
        <v>2209</v>
      </c>
      <c r="B95" s="182">
        <v>45988.0</v>
      </c>
      <c r="C95" s="182">
        <v>45985.0</v>
      </c>
      <c r="D95" s="57" t="s">
        <v>602</v>
      </c>
      <c r="E95" s="3">
        <f t="array" ref="E95">XLOOKUP(D95,RUC!$B$3:$B$110,RUC!$D$3:$D$110)</f>
        <v>20169040231</v>
      </c>
      <c r="G95" s="141">
        <v>61.0</v>
      </c>
      <c r="H95" s="3" t="s">
        <v>47</v>
      </c>
      <c r="I95" s="6">
        <v>5.39</v>
      </c>
      <c r="J95" s="58">
        <v>1.25</v>
      </c>
      <c r="K95" s="6">
        <f t="shared" si="2"/>
        <v>5.323</v>
      </c>
      <c r="L95" s="141">
        <v>0.746</v>
      </c>
      <c r="M95" s="60">
        <f t="shared" si="30"/>
        <v>0.701</v>
      </c>
      <c r="N95" s="62">
        <f t="shared" si="57"/>
        <v>0.701</v>
      </c>
      <c r="O95" s="60">
        <f t="shared" si="45"/>
        <v>0.701</v>
      </c>
      <c r="P95" s="63">
        <v>90.0</v>
      </c>
      <c r="Q95" s="58">
        <v>96.88</v>
      </c>
      <c r="R95" s="65">
        <v>4082.05</v>
      </c>
      <c r="S95" s="66">
        <f t="array" ref="S95">IF((XLOOKUP(D95,RUC!$B$3:$B$106,RUC!$E$3:$E$106)+ROUNDDOWN(O95,1)*100)&lt;95,95,((XLOOKUP(D95,RUC!$B$3:$B$106,RUC!$E$3:$E$106)+ROUNDDOWN(O95,1)*100)))</f>
        <v>155</v>
      </c>
      <c r="U95" s="67">
        <f t="array" ref="U95">XLOOKUP(D95,RUC!$B$3:$B$110,RUC!$F$3:$F$110)</f>
        <v>120</v>
      </c>
      <c r="V95" s="67">
        <v>1.1023</v>
      </c>
      <c r="Y95" s="57">
        <f t="array" ref="Y95">XLOOKUP(D95,RUC!$B$3:$B$110,RUC!$G$3:$G$110)</f>
        <v>20</v>
      </c>
      <c r="Z95" s="140">
        <v>35.0</v>
      </c>
      <c r="AA95" s="70">
        <f t="shared" si="4"/>
        <v>55</v>
      </c>
      <c r="AB95" s="71">
        <f t="shared" si="46"/>
        <v>2523.889291</v>
      </c>
      <c r="AC95" s="71">
        <f>+(S95-T95)*V95-'data 1'!$F$4</f>
        <v>90.8565</v>
      </c>
      <c r="AD95" s="71">
        <f t="shared" si="5"/>
        <v>224.1542745</v>
      </c>
      <c r="AE95" s="71">
        <f t="shared" si="6"/>
        <v>-9.3735</v>
      </c>
      <c r="AF95" s="71">
        <f t="shared" si="7"/>
        <v>190.3997629</v>
      </c>
      <c r="AG95" s="72">
        <f t="shared" si="58"/>
        <v>513.0370374</v>
      </c>
      <c r="AH95" s="193">
        <f t="shared" si="8"/>
        <v>131.898</v>
      </c>
      <c r="AI95" s="193">
        <f t="shared" si="9"/>
        <v>136.146</v>
      </c>
      <c r="AJ95" s="73">
        <f t="shared" si="10"/>
        <v>189.5651392</v>
      </c>
      <c r="AK95" s="73">
        <f t="shared" si="11"/>
        <v>115.139957</v>
      </c>
      <c r="AM95" s="51">
        <f t="shared" si="12"/>
        <v>13434.6627</v>
      </c>
      <c r="AN95" s="51" t="str">
        <f t="array" ref="AN95">XLOOKUP(D95,RUC!$B$3:$B$565,RUC!$M$3:$M$565)</f>
        <v>Ronald Miranda</v>
      </c>
      <c r="AO95" s="131" t="s">
        <v>549</v>
      </c>
      <c r="AP95" s="57" t="s">
        <v>2205</v>
      </c>
      <c r="AQ95" s="57" t="s">
        <v>2206</v>
      </c>
    </row>
    <row r="96" ht="15.0" customHeight="1">
      <c r="A96" s="116" t="s">
        <v>2210</v>
      </c>
      <c r="B96" s="182">
        <v>45992.0</v>
      </c>
      <c r="C96" s="182">
        <v>45985.0</v>
      </c>
      <c r="D96" s="57" t="s">
        <v>602</v>
      </c>
      <c r="E96" s="3">
        <f t="array" ref="E96">XLOOKUP(D96,RUC!$B$3:$B$110,RUC!$D$3:$D$110)</f>
        <v>20169040231</v>
      </c>
      <c r="G96" s="141">
        <v>50.0</v>
      </c>
      <c r="H96" s="3" t="s">
        <v>40</v>
      </c>
      <c r="I96" s="6">
        <v>4.27</v>
      </c>
      <c r="J96" s="58">
        <v>17.13</v>
      </c>
      <c r="K96" s="6">
        <f t="shared" si="2"/>
        <v>3.539</v>
      </c>
      <c r="L96" s="141">
        <v>1.406</v>
      </c>
      <c r="M96" s="60">
        <f t="shared" si="30"/>
        <v>1.322</v>
      </c>
      <c r="N96" s="62">
        <f t="shared" si="57"/>
        <v>1.322</v>
      </c>
      <c r="O96" s="60">
        <f t="shared" si="45"/>
        <v>1.322</v>
      </c>
      <c r="P96" s="63">
        <v>85.0</v>
      </c>
      <c r="Q96" s="58">
        <v>85.78</v>
      </c>
      <c r="R96" s="65">
        <v>4082.05</v>
      </c>
      <c r="S96" s="66">
        <f t="array" ref="S96">IF((XLOOKUP(D96,RUC!$B$3:$B$106,RUC!$E$3:$E$106)+ROUNDDOWN(O96,1)*100)&lt;95,95,((XLOOKUP(D96,RUC!$B$3:$B$106,RUC!$E$3:$E$106)+ROUNDDOWN(O96,1)*100)))</f>
        <v>215</v>
      </c>
      <c r="U96" s="67">
        <f t="array" ref="U96">XLOOKUP(D96,RUC!$B$3:$B$110,RUC!$F$3:$F$110)</f>
        <v>120</v>
      </c>
      <c r="V96" s="67">
        <v>1.1023</v>
      </c>
      <c r="Y96" s="57">
        <f t="array" ref="Y96">XLOOKUP(D96,RUC!$B$3:$B$110,RUC!$G$3:$G$110)</f>
        <v>20</v>
      </c>
      <c r="Z96" s="140">
        <v>35.0</v>
      </c>
      <c r="AA96" s="70">
        <f t="shared" si="4"/>
        <v>55</v>
      </c>
      <c r="AB96" s="71">
        <f t="shared" si="46"/>
        <v>4609.990101</v>
      </c>
      <c r="AC96" s="71">
        <f>+(S96-T96)*V96-'data 1'!$F$4</f>
        <v>156.9945</v>
      </c>
      <c r="AD96" s="71">
        <f t="shared" si="5"/>
        <v>47.89604826</v>
      </c>
      <c r="AE96" s="71">
        <f t="shared" si="6"/>
        <v>-9.3735</v>
      </c>
      <c r="AF96" s="71">
        <f t="shared" si="7"/>
        <v>314.6915542</v>
      </c>
      <c r="AG96" s="72">
        <f t="shared" si="58"/>
        <v>527.2086024</v>
      </c>
      <c r="AH96" s="193">
        <f t="shared" si="8"/>
        <v>146.339</v>
      </c>
      <c r="AI96" s="193">
        <f t="shared" si="9"/>
        <v>170.598</v>
      </c>
      <c r="AJ96" s="73">
        <f t="shared" si="10"/>
        <v>316.3420168</v>
      </c>
      <c r="AK96" s="73">
        <f t="shared" si="11"/>
        <v>136.3452501</v>
      </c>
      <c r="AM96" s="51">
        <f t="shared" si="12"/>
        <v>16314.75497</v>
      </c>
      <c r="AN96" s="51" t="str">
        <f t="array" ref="AN96">XLOOKUP(D96,RUC!$B$3:$B$565,RUC!$M$3:$M$565)</f>
        <v>Ronald Miranda</v>
      </c>
      <c r="AO96" s="131" t="s">
        <v>561</v>
      </c>
      <c r="AP96" s="57" t="s">
        <v>2205</v>
      </c>
      <c r="AQ96" s="57" t="s">
        <v>2206</v>
      </c>
      <c r="AR96" s="57" t="s">
        <v>2211</v>
      </c>
    </row>
    <row r="97" ht="15.0" customHeight="1">
      <c r="A97" s="116" t="s">
        <v>2212</v>
      </c>
      <c r="B97" s="182">
        <v>45992.0</v>
      </c>
      <c r="C97" s="182">
        <v>45985.0</v>
      </c>
      <c r="D97" s="57" t="s">
        <v>602</v>
      </c>
      <c r="E97" s="3">
        <f t="array" ref="E97">XLOOKUP(D97,RUC!$B$3:$B$110,RUC!$D$3:$D$110)</f>
        <v>20169040231</v>
      </c>
      <c r="G97" s="141">
        <v>15.0</v>
      </c>
      <c r="H97" s="3" t="s">
        <v>47</v>
      </c>
      <c r="I97" s="6">
        <v>1.38</v>
      </c>
      <c r="J97" s="58">
        <v>1.2</v>
      </c>
      <c r="K97" s="6">
        <f t="shared" si="2"/>
        <v>1.363</v>
      </c>
      <c r="L97" s="141">
        <v>0.531</v>
      </c>
      <c r="M97" s="60">
        <f t="shared" si="30"/>
        <v>0.499</v>
      </c>
      <c r="N97" s="62">
        <f t="shared" si="57"/>
        <v>0.499</v>
      </c>
      <c r="O97" s="60">
        <f t="shared" si="45"/>
        <v>0.499</v>
      </c>
      <c r="P97" s="63">
        <v>85.0</v>
      </c>
      <c r="Q97" s="58">
        <v>86.25</v>
      </c>
      <c r="R97" s="65">
        <v>4082.05</v>
      </c>
      <c r="S97" s="66">
        <f t="array" ref="S97">IF((XLOOKUP(D97,RUC!$B$3:$B$106,RUC!$E$3:$E$106)+ROUNDDOWN(O97,1)*100)&lt;95,95,((XLOOKUP(D97,RUC!$B$3:$B$106,RUC!$E$3:$E$106)+ROUNDDOWN(O97,1)*100)))</f>
        <v>125</v>
      </c>
      <c r="U97" s="67">
        <f t="array" ref="U97">XLOOKUP(D97,RUC!$B$3:$B$110,RUC!$F$3:$F$110)</f>
        <v>120</v>
      </c>
      <c r="V97" s="67">
        <v>1.1023</v>
      </c>
      <c r="Y97" s="57">
        <f t="array" ref="Y97">XLOOKUP(D97,RUC!$B$3:$B$110,RUC!$G$3:$G$110)</f>
        <v>20</v>
      </c>
      <c r="Z97" s="140">
        <v>35.0</v>
      </c>
      <c r="AA97" s="70">
        <f t="shared" si="4"/>
        <v>55</v>
      </c>
      <c r="AB97" s="71">
        <f t="shared" si="46"/>
        <v>1654.005016</v>
      </c>
      <c r="AC97" s="71">
        <f>+(S97-T97)*V97-'data 1'!$F$4</f>
        <v>57.7875</v>
      </c>
      <c r="AD97" s="71">
        <f t="shared" si="5"/>
        <v>28.98840321</v>
      </c>
      <c r="AE97" s="71">
        <f t="shared" si="6"/>
        <v>-9.3735</v>
      </c>
      <c r="AF97" s="71">
        <f t="shared" si="7"/>
        <v>120.5393489</v>
      </c>
      <c r="AG97" s="72">
        <f t="shared" si="58"/>
        <v>214.9417521</v>
      </c>
      <c r="AH97" s="193">
        <f t="shared" si="8"/>
        <v>21.402</v>
      </c>
      <c r="AI97" s="193">
        <f t="shared" si="9"/>
        <v>24.814</v>
      </c>
      <c r="AJ97" s="73">
        <f t="shared" si="10"/>
        <v>120.1265879</v>
      </c>
      <c r="AK97" s="73">
        <f t="shared" si="11"/>
        <v>19.82094683</v>
      </c>
      <c r="AM97" s="51">
        <f t="shared" si="12"/>
        <v>2254.408837</v>
      </c>
      <c r="AN97" s="51" t="str">
        <f t="array" ref="AN97">XLOOKUP(D97,RUC!$B$3:$B$565,RUC!$M$3:$M$565)</f>
        <v>Ronald Miranda</v>
      </c>
      <c r="AO97" s="131" t="s">
        <v>561</v>
      </c>
      <c r="AP97" s="57" t="s">
        <v>2205</v>
      </c>
      <c r="AQ97" s="57" t="s">
        <v>2206</v>
      </c>
      <c r="AR97" s="57" t="s">
        <v>2211</v>
      </c>
    </row>
    <row r="98" ht="15.0" customHeight="1">
      <c r="A98" s="116" t="s">
        <v>2213</v>
      </c>
      <c r="B98" s="182">
        <v>45991.0</v>
      </c>
      <c r="C98" s="182">
        <v>45986.0</v>
      </c>
      <c r="D98" s="57" t="s">
        <v>665</v>
      </c>
      <c r="E98" s="3">
        <f t="array" ref="E98">XLOOKUP(D98,RUC!$B$3:$B$110,RUC!$D$3:$D$110)</f>
        <v>20608774000</v>
      </c>
      <c r="G98" s="141">
        <v>37.0</v>
      </c>
      <c r="H98" s="3" t="s">
        <v>339</v>
      </c>
      <c r="I98" s="6">
        <v>2.67</v>
      </c>
      <c r="J98" s="58">
        <v>14.3</v>
      </c>
      <c r="K98" s="6">
        <f t="shared" si="2"/>
        <v>2.288</v>
      </c>
      <c r="L98" s="141">
        <v>0.271</v>
      </c>
      <c r="M98" s="60">
        <f t="shared" si="30"/>
        <v>0.253</v>
      </c>
      <c r="N98" s="62">
        <f t="shared" si="57"/>
        <v>0.253</v>
      </c>
      <c r="O98" s="60">
        <f t="shared" si="45"/>
        <v>0.253</v>
      </c>
      <c r="P98" s="63">
        <v>90.0</v>
      </c>
      <c r="Q98" s="58">
        <v>96.68</v>
      </c>
      <c r="R98" s="65">
        <v>4126.45</v>
      </c>
      <c r="S98" s="66">
        <f t="array" ref="S98">IF((XLOOKUP(D98,RUC!$B$3:$B$106,RUC!$E$3:$E$106)+ROUNDDOWN(O98,1)*100)&lt;95,95,((XLOOKUP(D98,RUC!$B$3:$B$106,RUC!$E$3:$E$106)+ROUNDDOWN(O98,1)*100)))</f>
        <v>105</v>
      </c>
      <c r="U98" s="67">
        <f t="array" ref="U98">XLOOKUP(D98,RUC!$B$3:$B$110,RUC!$F$3:$F$110)</f>
        <v>120</v>
      </c>
      <c r="V98" s="67">
        <v>1.1023</v>
      </c>
      <c r="Y98" s="57">
        <f t="array" ref="Y98">XLOOKUP(D98,RUC!$B$3:$B$110,RUC!$G$3:$G$110)</f>
        <v>20</v>
      </c>
      <c r="Z98" s="140">
        <v>35.0</v>
      </c>
      <c r="AA98" s="70">
        <f t="shared" si="4"/>
        <v>55</v>
      </c>
      <c r="AB98" s="71">
        <f t="shared" si="46"/>
        <v>829.2257494</v>
      </c>
      <c r="AC98" s="71">
        <f>+(S98-T98)*V98-'data 1'!$F$4</f>
        <v>35.7415</v>
      </c>
      <c r="AD98" s="71">
        <f t="shared" si="5"/>
        <v>79.94757368</v>
      </c>
      <c r="AE98" s="71">
        <f t="shared" si="6"/>
        <v>-9.3735</v>
      </c>
      <c r="AF98" s="71">
        <f t="shared" si="7"/>
        <v>76.85439027</v>
      </c>
      <c r="AG98" s="72">
        <f t="shared" si="58"/>
        <v>200.169964</v>
      </c>
      <c r="AH98" s="193">
        <f t="shared" si="8"/>
        <v>20.553</v>
      </c>
      <c r="AI98" s="193">
        <f t="shared" si="9"/>
        <v>21.259</v>
      </c>
      <c r="AJ98" s="73">
        <f t="shared" si="10"/>
        <v>55.89834061</v>
      </c>
      <c r="AK98" s="73">
        <f t="shared" si="11"/>
        <v>17.86191918</v>
      </c>
      <c r="AM98" s="51">
        <f t="shared" si="12"/>
        <v>1897.268515</v>
      </c>
      <c r="AN98" s="51" t="str">
        <f t="array" ref="AN98">XLOOKUP(D98,RUC!$B$3:$B$565,RUC!$M$3:$M$565)</f>
        <v>Ronald Miranda</v>
      </c>
      <c r="AO98" s="131" t="s">
        <v>561</v>
      </c>
      <c r="AP98" s="57" t="s">
        <v>2214</v>
      </c>
      <c r="AQ98" s="57" t="s">
        <v>2215</v>
      </c>
    </row>
    <row r="99" ht="15.0" customHeight="1">
      <c r="A99" s="116" t="s">
        <v>2216</v>
      </c>
      <c r="B99" s="182">
        <v>45991.0</v>
      </c>
      <c r="C99" s="182">
        <v>45986.0</v>
      </c>
      <c r="D99" s="57" t="s">
        <v>665</v>
      </c>
      <c r="E99" s="3">
        <f t="array" ref="E99">XLOOKUP(D99,RUC!$B$3:$B$110,RUC!$D$3:$D$110)</f>
        <v>20608774000</v>
      </c>
      <c r="G99" s="141">
        <v>40.0</v>
      </c>
      <c r="H99" s="3" t="s">
        <v>339</v>
      </c>
      <c r="I99" s="6">
        <v>3.16</v>
      </c>
      <c r="J99" s="58">
        <v>6.4</v>
      </c>
      <c r="K99" s="6">
        <f t="shared" si="2"/>
        <v>2.958</v>
      </c>
      <c r="L99" s="139">
        <v>0.235</v>
      </c>
      <c r="M99" s="60">
        <f t="shared" si="30"/>
        <v>0.217</v>
      </c>
      <c r="N99" s="62">
        <f t="shared" si="57"/>
        <v>0.217</v>
      </c>
      <c r="O99" s="60">
        <f t="shared" si="45"/>
        <v>0.217</v>
      </c>
      <c r="P99" s="63">
        <v>90.0</v>
      </c>
      <c r="Q99" s="58">
        <v>93.64</v>
      </c>
      <c r="R99" s="65">
        <v>4126.45</v>
      </c>
      <c r="S99" s="66">
        <f t="array" ref="S99">IF((XLOOKUP(D99,RUC!$B$3:$B$106,RUC!$E$3:$E$106)+ROUNDDOWN(O99,1)*100)&lt;95,95,((XLOOKUP(D99,RUC!$B$3:$B$106,RUC!$E$3:$E$106)+ROUNDDOWN(O99,1)*100)))</f>
        <v>105</v>
      </c>
      <c r="U99" s="67">
        <f t="array" ref="U99">XLOOKUP(D99,RUC!$B$3:$B$110,RUC!$F$3:$F$110)</f>
        <v>120</v>
      </c>
      <c r="V99" s="67">
        <v>1.1023</v>
      </c>
      <c r="Y99" s="57">
        <f t="array" ref="Y99">XLOOKUP(D99,RUC!$B$3:$B$110,RUC!$G$3:$G$110)</f>
        <v>20</v>
      </c>
      <c r="Z99" s="140">
        <v>35.0</v>
      </c>
      <c r="AA99" s="70">
        <f t="shared" si="4"/>
        <v>55</v>
      </c>
      <c r="AB99" s="71">
        <f t="shared" si="46"/>
        <v>686.1373108</v>
      </c>
      <c r="AC99" s="71">
        <f>+(S99-T99)*V99-'data 1'!$F$4</f>
        <v>35.7415</v>
      </c>
      <c r="AD99" s="71">
        <f t="shared" si="5"/>
        <v>37.77711433</v>
      </c>
      <c r="AE99" s="71">
        <f t="shared" si="6"/>
        <v>-9.3735</v>
      </c>
      <c r="AF99" s="71">
        <f t="shared" si="7"/>
        <v>74.43778553</v>
      </c>
      <c r="AG99" s="72">
        <f t="shared" si="58"/>
        <v>155.5828999</v>
      </c>
      <c r="AH99" s="193">
        <f t="shared" si="8"/>
        <v>22.317</v>
      </c>
      <c r="AI99" s="193">
        <f t="shared" si="9"/>
        <v>23.833</v>
      </c>
      <c r="AJ99" s="73">
        <f t="shared" si="10"/>
        <v>46.94855721</v>
      </c>
      <c r="AK99" s="73">
        <f t="shared" si="11"/>
        <v>19.80657953</v>
      </c>
      <c r="AM99" s="51">
        <f t="shared" si="12"/>
        <v>2029.594165</v>
      </c>
      <c r="AN99" s="51" t="str">
        <f t="array" ref="AN99">XLOOKUP(D99,RUC!$B$3:$B$565,RUC!$M$3:$M$565)</f>
        <v>Ronald Miranda</v>
      </c>
      <c r="AO99" s="131" t="s">
        <v>561</v>
      </c>
      <c r="AP99" s="57" t="s">
        <v>2214</v>
      </c>
      <c r="AQ99" s="57" t="s">
        <v>2215</v>
      </c>
    </row>
    <row r="100" ht="15.0" customHeight="1">
      <c r="A100" s="116" t="s">
        <v>2217</v>
      </c>
      <c r="B100" s="182">
        <v>45991.0</v>
      </c>
      <c r="C100" s="182">
        <v>45986.0</v>
      </c>
      <c r="D100" s="57" t="s">
        <v>665</v>
      </c>
      <c r="E100" s="3">
        <f t="array" ref="E100">XLOOKUP(D100,RUC!$B$3:$B$110,RUC!$D$3:$D$110)</f>
        <v>20608774000</v>
      </c>
      <c r="G100" s="141">
        <v>40.0</v>
      </c>
      <c r="H100" s="3" t="s">
        <v>339</v>
      </c>
      <c r="I100" s="6">
        <v>2.99</v>
      </c>
      <c r="J100" s="58">
        <v>13.83</v>
      </c>
      <c r="K100" s="6">
        <f t="shared" si="2"/>
        <v>2.576</v>
      </c>
      <c r="L100" s="141">
        <v>0.483</v>
      </c>
      <c r="M100" s="60">
        <f t="shared" si="30"/>
        <v>0.454</v>
      </c>
      <c r="N100" s="62">
        <f t="shared" si="57"/>
        <v>0.454</v>
      </c>
      <c r="O100" s="60">
        <f t="shared" si="45"/>
        <v>0.454</v>
      </c>
      <c r="P100" s="63">
        <v>90.0</v>
      </c>
      <c r="Q100" s="58">
        <v>94.0</v>
      </c>
      <c r="R100" s="65">
        <v>4126.45</v>
      </c>
      <c r="S100" s="66">
        <f t="array" ref="S100">IF((XLOOKUP(D100,RUC!$B$3:$B$106,RUC!$E$3:$E$106)+ROUNDDOWN(O100,1)*100)&lt;95,95,((XLOOKUP(D100,RUC!$B$3:$B$106,RUC!$E$3:$E$106)+ROUNDDOWN(O100,1)*100)))</f>
        <v>125</v>
      </c>
      <c r="U100" s="67">
        <f t="array" ref="U100">XLOOKUP(D100,RUC!$B$3:$B$110,RUC!$F$3:$F$110)</f>
        <v>120</v>
      </c>
      <c r="V100" s="67">
        <v>1.1023</v>
      </c>
      <c r="Y100" s="57">
        <f t="array" ref="Y100">XLOOKUP(D100,RUC!$B$3:$B$110,RUC!$G$3:$G$110)</f>
        <v>20</v>
      </c>
      <c r="Z100" s="140">
        <v>35.0</v>
      </c>
      <c r="AA100" s="70">
        <f t="shared" si="4"/>
        <v>55</v>
      </c>
      <c r="AB100" s="71">
        <f t="shared" si="46"/>
        <v>1606.090199</v>
      </c>
      <c r="AC100" s="71">
        <f>+(S100-T100)*V100-'data 1'!$F$4</f>
        <v>57.7875</v>
      </c>
      <c r="AD100" s="71">
        <f t="shared" si="5"/>
        <v>85.32310601</v>
      </c>
      <c r="AE100" s="71">
        <f t="shared" si="6"/>
        <v>-9.3735</v>
      </c>
      <c r="AF100" s="71">
        <f t="shared" si="7"/>
        <v>120.3886061</v>
      </c>
      <c r="AG100" s="72">
        <f t="shared" si="58"/>
        <v>271.1257121</v>
      </c>
      <c r="AH100" s="193">
        <f t="shared" si="8"/>
        <v>40.099</v>
      </c>
      <c r="AI100" s="193">
        <f t="shared" si="9"/>
        <v>42.658</v>
      </c>
      <c r="AJ100" s="73">
        <f t="shared" si="10"/>
        <v>96.86524191</v>
      </c>
      <c r="AK100" s="73">
        <f t="shared" si="11"/>
        <v>36.08720862</v>
      </c>
      <c r="AM100" s="51">
        <f t="shared" si="12"/>
        <v>4137.288352</v>
      </c>
      <c r="AN100" s="51" t="str">
        <f t="array" ref="AN100">XLOOKUP(D100,RUC!$B$3:$B$565,RUC!$M$3:$M$565)</f>
        <v>Ronald Miranda</v>
      </c>
      <c r="AO100" s="131" t="s">
        <v>561</v>
      </c>
      <c r="AP100" s="57" t="s">
        <v>2214</v>
      </c>
      <c r="AQ100" s="57" t="s">
        <v>2215</v>
      </c>
    </row>
    <row r="101" ht="15.0" customHeight="1">
      <c r="A101" s="116" t="s">
        <v>2218</v>
      </c>
      <c r="B101" s="182">
        <v>45989.0</v>
      </c>
      <c r="C101" s="182">
        <v>45986.0</v>
      </c>
      <c r="D101" s="57" t="s">
        <v>665</v>
      </c>
      <c r="E101" s="3">
        <f t="array" ref="E101">XLOOKUP(D101,RUC!$B$3:$B$110,RUC!$D$3:$D$110)</f>
        <v>20608774000</v>
      </c>
      <c r="G101" s="141">
        <v>50.0</v>
      </c>
      <c r="H101" s="3" t="s">
        <v>339</v>
      </c>
      <c r="I101" s="6">
        <v>3.45</v>
      </c>
      <c r="J101" s="58">
        <v>21.78</v>
      </c>
      <c r="K101" s="6">
        <f t="shared" si="2"/>
        <v>2.699</v>
      </c>
      <c r="L101" s="141">
        <v>0.251</v>
      </c>
      <c r="M101" s="60">
        <f t="shared" si="30"/>
        <v>0.233</v>
      </c>
      <c r="N101" s="62">
        <f t="shared" si="57"/>
        <v>0.233</v>
      </c>
      <c r="O101" s="60">
        <f t="shared" si="45"/>
        <v>0.233</v>
      </c>
      <c r="P101" s="63">
        <v>90.0</v>
      </c>
      <c r="Q101" s="58">
        <v>92.83</v>
      </c>
      <c r="R101" s="65">
        <v>4126.45</v>
      </c>
      <c r="S101" s="66">
        <f t="array" ref="S101">IF((XLOOKUP(D101,RUC!$B$3:$B$106,RUC!$E$3:$E$106)+ROUNDDOWN(O101,1)*100)&lt;95,95,((XLOOKUP(D101,RUC!$B$3:$B$106,RUC!$E$3:$E$106)+ROUNDDOWN(O101,1)*100)))</f>
        <v>105</v>
      </c>
      <c r="U101" s="67">
        <f t="array" ref="U101">XLOOKUP(D101,RUC!$B$3:$B$110,RUC!$F$3:$F$110)</f>
        <v>120</v>
      </c>
      <c r="V101" s="67">
        <v>1.1023</v>
      </c>
      <c r="Y101" s="57">
        <f t="array" ref="Y101">XLOOKUP(D101,RUC!$B$3:$B$110,RUC!$G$3:$G$110)</f>
        <v>20</v>
      </c>
      <c r="Z101" s="140">
        <v>35.0</v>
      </c>
      <c r="AA101" s="70">
        <f t="shared" si="4"/>
        <v>55</v>
      </c>
      <c r="AB101" s="71">
        <f t="shared" si="46"/>
        <v>749.7321724</v>
      </c>
      <c r="AC101" s="71">
        <f>+(S101-T101)*V101-'data 1'!$F$4</f>
        <v>35.7415</v>
      </c>
      <c r="AD101" s="71">
        <f t="shared" si="5"/>
        <v>31.37037365</v>
      </c>
      <c r="AE101" s="71">
        <f t="shared" si="6"/>
        <v>-9.3735</v>
      </c>
      <c r="AF101" s="71">
        <f t="shared" si="7"/>
        <v>73.79388756</v>
      </c>
      <c r="AG101" s="72">
        <f t="shared" si="58"/>
        <v>148.5322612</v>
      </c>
      <c r="AH101" s="193">
        <f t="shared" si="8"/>
        <v>21.561</v>
      </c>
      <c r="AI101" s="193">
        <f t="shared" si="9"/>
        <v>23.227</v>
      </c>
      <c r="AJ101" s="73">
        <f t="shared" si="10"/>
        <v>49.7112925</v>
      </c>
      <c r="AK101" s="73">
        <f t="shared" si="11"/>
        <v>19.40485421</v>
      </c>
      <c r="AM101" s="51">
        <f t="shared" si="12"/>
        <v>2023.527133</v>
      </c>
      <c r="AN101" s="51" t="str">
        <f t="array" ref="AN101">XLOOKUP(D101,RUC!$B$3:$B$565,RUC!$M$3:$M$565)</f>
        <v>Ronald Miranda</v>
      </c>
      <c r="AO101" s="131" t="s">
        <v>561</v>
      </c>
      <c r="AP101" s="57" t="s">
        <v>2214</v>
      </c>
      <c r="AQ101" s="57" t="s">
        <v>2215</v>
      </c>
    </row>
    <row r="102" ht="15.0" customHeight="1">
      <c r="A102" s="116" t="s">
        <v>2219</v>
      </c>
      <c r="B102" s="182">
        <v>45989.0</v>
      </c>
      <c r="C102" s="182">
        <v>45986.0</v>
      </c>
      <c r="D102" s="57" t="s">
        <v>665</v>
      </c>
      <c r="E102" s="3">
        <f t="array" ref="E102">XLOOKUP(D102,RUC!$B$3:$B$110,RUC!$D$3:$D$110)</f>
        <v>20608774000</v>
      </c>
      <c r="G102" s="141">
        <v>50.0</v>
      </c>
      <c r="H102" s="3" t="s">
        <v>339</v>
      </c>
      <c r="I102" s="6">
        <v>3.45</v>
      </c>
      <c r="J102" s="58">
        <v>20.55</v>
      </c>
      <c r="K102" s="6">
        <f t="shared" si="2"/>
        <v>2.741</v>
      </c>
      <c r="L102" s="141">
        <v>0.238</v>
      </c>
      <c r="M102" s="60">
        <f t="shared" si="30"/>
        <v>0.22</v>
      </c>
      <c r="N102" s="62">
        <f t="shared" si="57"/>
        <v>0.22</v>
      </c>
      <c r="O102" s="60">
        <f t="shared" si="45"/>
        <v>0.22</v>
      </c>
      <c r="P102" s="63">
        <v>90.0</v>
      </c>
      <c r="Q102" s="58">
        <v>94.54</v>
      </c>
      <c r="R102" s="65">
        <v>4126.45</v>
      </c>
      <c r="S102" s="66">
        <f t="array" ref="S102">IF((XLOOKUP(D102,RUC!$B$3:$B$106,RUC!$E$3:$E$106)+ROUNDDOWN(O102,1)*100)&lt;95,95,((XLOOKUP(D102,RUC!$B$3:$B$106,RUC!$E$3:$E$106)+ROUNDDOWN(O102,1)*100)))</f>
        <v>105</v>
      </c>
      <c r="U102" s="67">
        <f t="array" ref="U102">XLOOKUP(D102,RUC!$B$3:$B$110,RUC!$F$3:$F$110)</f>
        <v>120</v>
      </c>
      <c r="V102" s="67">
        <v>1.1023</v>
      </c>
      <c r="Y102" s="57">
        <f t="array" ref="Y102">XLOOKUP(D102,RUC!$B$3:$B$110,RUC!$G$3:$G$110)</f>
        <v>20</v>
      </c>
      <c r="Z102" s="140">
        <v>35.0</v>
      </c>
      <c r="AA102" s="70">
        <f t="shared" si="4"/>
        <v>55</v>
      </c>
      <c r="AB102" s="71">
        <f t="shared" si="46"/>
        <v>698.0613473</v>
      </c>
      <c r="AC102" s="71">
        <f>+(S102-T102)*V102-'data 1'!$F$4</f>
        <v>35.7415</v>
      </c>
      <c r="AD102" s="71">
        <f t="shared" si="5"/>
        <v>47.71911103</v>
      </c>
      <c r="AE102" s="71">
        <f t="shared" si="6"/>
        <v>-9.3735</v>
      </c>
      <c r="AF102" s="71">
        <f t="shared" si="7"/>
        <v>75.15322772</v>
      </c>
      <c r="AG102" s="72">
        <f t="shared" si="58"/>
        <v>166.2403388</v>
      </c>
      <c r="AH102" s="193">
        <f t="shared" si="8"/>
        <v>21.145</v>
      </c>
      <c r="AI102" s="193">
        <f t="shared" si="9"/>
        <v>22.366</v>
      </c>
      <c r="AJ102" s="73">
        <f t="shared" si="10"/>
        <v>48.00489655</v>
      </c>
      <c r="AK102" s="73">
        <f t="shared" si="11"/>
        <v>18.60729723</v>
      </c>
      <c r="AM102" s="51">
        <f t="shared" si="12"/>
        <v>1913.386153</v>
      </c>
      <c r="AN102" s="51" t="str">
        <f t="array" ref="AN102">XLOOKUP(D102,RUC!$B$3:$B$565,RUC!$M$3:$M$565)</f>
        <v>Ronald Miranda</v>
      </c>
      <c r="AO102" s="131" t="s">
        <v>561</v>
      </c>
      <c r="AP102" s="57" t="s">
        <v>2214</v>
      </c>
      <c r="AQ102" s="57" t="s">
        <v>2215</v>
      </c>
    </row>
    <row r="103" ht="15.0" customHeight="1">
      <c r="A103" s="116" t="s">
        <v>2220</v>
      </c>
      <c r="B103" s="182">
        <v>45989.0</v>
      </c>
      <c r="C103" s="182">
        <v>45986.0</v>
      </c>
      <c r="D103" s="57" t="s">
        <v>665</v>
      </c>
      <c r="E103" s="3">
        <f t="array" ref="E103">XLOOKUP(D103,RUC!$B$3:$B$110,RUC!$D$3:$D$110)</f>
        <v>20608774000</v>
      </c>
      <c r="G103" s="141">
        <v>50.0</v>
      </c>
      <c r="H103" s="3" t="s">
        <v>339</v>
      </c>
      <c r="I103" s="6">
        <v>3.55</v>
      </c>
      <c r="J103" s="58">
        <v>20.7</v>
      </c>
      <c r="K103" s="6">
        <f t="shared" si="2"/>
        <v>2.815</v>
      </c>
      <c r="L103" s="141">
        <v>0.205</v>
      </c>
      <c r="M103" s="60">
        <f t="shared" si="30"/>
        <v>0.187</v>
      </c>
      <c r="N103" s="62">
        <f t="shared" si="57"/>
        <v>0.187</v>
      </c>
      <c r="O103" s="60">
        <f t="shared" si="45"/>
        <v>0.187</v>
      </c>
      <c r="P103" s="63">
        <v>90.0</v>
      </c>
      <c r="Q103" s="58">
        <v>92.68</v>
      </c>
      <c r="R103" s="65">
        <v>4126.45</v>
      </c>
      <c r="S103" s="66">
        <f t="array" ref="S103">IF((XLOOKUP(D103,RUC!$B$3:$B$106,RUC!$E$3:$E$106)+ROUNDDOWN(O103,1)*100)&lt;95,95,((XLOOKUP(D103,RUC!$B$3:$B$106,RUC!$E$3:$E$106)+ROUNDDOWN(O103,1)*100)))</f>
        <v>95</v>
      </c>
      <c r="U103" s="67">
        <f t="array" ref="U103">XLOOKUP(D103,RUC!$B$3:$B$110,RUC!$F$3:$F$110)</f>
        <v>120</v>
      </c>
      <c r="V103" s="67">
        <v>1.1023</v>
      </c>
      <c r="Y103" s="57">
        <f t="array" ref="Y103">XLOOKUP(D103,RUC!$B$3:$B$110,RUC!$G$3:$G$110)</f>
        <v>20</v>
      </c>
      <c r="Z103" s="140">
        <v>35.0</v>
      </c>
      <c r="AA103" s="70">
        <f t="shared" si="4"/>
        <v>55</v>
      </c>
      <c r="AB103" s="71">
        <f t="shared" si="46"/>
        <v>577.9199452</v>
      </c>
      <c r="AC103" s="71">
        <f>+(S103-T103)*V103-'data 1'!$F$4</f>
        <v>24.7185</v>
      </c>
      <c r="AD103" s="71">
        <f t="shared" si="5"/>
        <v>24.26320623</v>
      </c>
      <c r="AE103" s="71">
        <f t="shared" si="6"/>
        <v>-9.3735</v>
      </c>
      <c r="AF103" s="71">
        <f t="shared" si="7"/>
        <v>73.67464719</v>
      </c>
      <c r="AG103" s="72">
        <f t="shared" si="58"/>
        <v>130.2828534</v>
      </c>
      <c r="AH103" s="193">
        <f t="shared" si="8"/>
        <v>18.337</v>
      </c>
      <c r="AI103" s="193">
        <f t="shared" si="9"/>
        <v>19.785</v>
      </c>
      <c r="AJ103" s="73">
        <f t="shared" si="10"/>
        <v>40.53525125</v>
      </c>
      <c r="AK103" s="73">
        <f t="shared" si="11"/>
        <v>16.24319973</v>
      </c>
      <c r="AM103" s="51">
        <f t="shared" si="12"/>
        <v>1626.844646</v>
      </c>
      <c r="AN103" s="51" t="str">
        <f t="array" ref="AN103">XLOOKUP(D103,RUC!$B$3:$B$565,RUC!$M$3:$M$565)</f>
        <v>Ronald Miranda</v>
      </c>
      <c r="AO103" s="131" t="s">
        <v>561</v>
      </c>
      <c r="AP103" s="57" t="s">
        <v>2214</v>
      </c>
      <c r="AQ103" s="57" t="s">
        <v>2215</v>
      </c>
    </row>
    <row r="104" ht="15.0" customHeight="1">
      <c r="A104" s="116" t="s">
        <v>2221</v>
      </c>
      <c r="B104" s="182">
        <v>45991.0</v>
      </c>
      <c r="C104" s="182">
        <v>45986.0</v>
      </c>
      <c r="D104" s="57" t="s">
        <v>2222</v>
      </c>
      <c r="E104" s="3" t="str">
        <f t="array" ref="E104">XLOOKUP(D104,RUC!$B$3:$B$110,RUC!$D$3:$D$110)</f>
        <v>20601769396*</v>
      </c>
      <c r="G104" s="141">
        <v>74.0</v>
      </c>
      <c r="H104" s="3" t="s">
        <v>40</v>
      </c>
      <c r="I104" s="6">
        <v>4.04</v>
      </c>
      <c r="J104" s="58">
        <v>4.1</v>
      </c>
      <c r="K104" s="6">
        <f t="shared" si="2"/>
        <v>3.874</v>
      </c>
      <c r="L104" s="141">
        <v>0.752</v>
      </c>
      <c r="M104" s="60">
        <f t="shared" si="30"/>
        <v>0.707</v>
      </c>
      <c r="N104" s="62">
        <f t="shared" si="57"/>
        <v>0.707</v>
      </c>
      <c r="O104" s="60">
        <f t="shared" si="45"/>
        <v>0.707</v>
      </c>
      <c r="P104" s="63">
        <v>90.0</v>
      </c>
      <c r="Q104" s="58">
        <v>98.01</v>
      </c>
      <c r="R104" s="65">
        <v>4126.45</v>
      </c>
      <c r="S104" s="66">
        <f t="array" ref="S104">IF((XLOOKUP(D104,RUC!$B$3:$B$106,RUC!$E$3:$E$106)+ROUNDDOWN(O104,1)*100)&lt;95,95,((XLOOKUP(D104,RUC!$B$3:$B$106,RUC!$E$3:$E$106)+ROUNDDOWN(O104,1)*100)))</f>
        <v>160</v>
      </c>
      <c r="U104" s="67">
        <f t="array" ref="U104">XLOOKUP(D104,RUC!$B$3:$B$110,RUC!$F$3:$F$110)</f>
        <v>120</v>
      </c>
      <c r="V104" s="67">
        <v>1.1023</v>
      </c>
      <c r="Y104" s="57">
        <f t="array" ref="Y104">XLOOKUP(D104,RUC!$B$3:$B$110,RUC!$G$3:$G$110)</f>
        <v>20</v>
      </c>
      <c r="Z104" s="69">
        <f t="array" ref="Z104">XLOOKUP(D104,RUC!$B$3:$B$110,RUC!$H$3:$H$110)</f>
        <v>30</v>
      </c>
      <c r="AA104" s="70">
        <f t="shared" si="4"/>
        <v>50</v>
      </c>
      <c r="AB104" s="71">
        <f t="shared" si="46"/>
        <v>2578.614948</v>
      </c>
      <c r="AC104" s="71">
        <f>+(S104-T104)*V104-'data 1'!$F$4</f>
        <v>96.368</v>
      </c>
      <c r="AD104" s="71">
        <f t="shared" si="5"/>
        <v>266.0173062</v>
      </c>
      <c r="AE104" s="71">
        <f t="shared" si="6"/>
        <v>-14.885</v>
      </c>
      <c r="AF104" s="71">
        <f t="shared" si="7"/>
        <v>194.7791371</v>
      </c>
      <c r="AG104" s="72">
        <f t="shared" si="58"/>
        <v>559.2794433</v>
      </c>
      <c r="AH104" s="193">
        <f t="shared" si="8"/>
        <v>97.894</v>
      </c>
      <c r="AI104" s="193">
        <f t="shared" si="9"/>
        <v>99.882</v>
      </c>
      <c r="AJ104" s="73">
        <f t="shared" si="10"/>
        <v>157.2465815</v>
      </c>
      <c r="AK104" s="73">
        <f t="shared" si="11"/>
        <v>84.51437982</v>
      </c>
      <c r="AM104" s="51">
        <f t="shared" si="12"/>
        <v>9989.554309</v>
      </c>
      <c r="AN104" s="51" t="str">
        <f t="array" ref="AN104">XLOOKUP(D104,RUC!$B$3:$B$565,RUC!$M$3:$M$565)</f>
        <v>Zudaire</v>
      </c>
      <c r="AO104" s="131" t="s">
        <v>549</v>
      </c>
      <c r="AP104" s="2" t="s">
        <v>2223</v>
      </c>
      <c r="AQ104" s="57" t="s">
        <v>2224</v>
      </c>
    </row>
    <row r="105" ht="15.0" customHeight="1">
      <c r="A105" s="116" t="s">
        <v>2225</v>
      </c>
      <c r="B105" s="182">
        <v>45991.0</v>
      </c>
      <c r="C105" s="182">
        <v>45986.0</v>
      </c>
      <c r="D105" s="57" t="s">
        <v>2222</v>
      </c>
      <c r="E105" s="3" t="str">
        <f t="array" ref="E105">XLOOKUP(D105,RUC!$B$3:$B$110,RUC!$D$3:$D$110)</f>
        <v>20601769396*</v>
      </c>
      <c r="G105" s="141">
        <v>75.0</v>
      </c>
      <c r="H105" s="3" t="s">
        <v>40</v>
      </c>
      <c r="I105" s="6">
        <v>3.79</v>
      </c>
      <c r="J105" s="58">
        <v>2.9</v>
      </c>
      <c r="K105" s="6">
        <f t="shared" si="2"/>
        <v>3.68</v>
      </c>
      <c r="L105" s="141">
        <v>0.641</v>
      </c>
      <c r="M105" s="60">
        <f t="shared" si="30"/>
        <v>0.603</v>
      </c>
      <c r="N105" s="62">
        <f t="shared" si="57"/>
        <v>0.603</v>
      </c>
      <c r="O105" s="60">
        <f t="shared" si="45"/>
        <v>0.603</v>
      </c>
      <c r="P105" s="63">
        <v>90.0</v>
      </c>
      <c r="Q105" s="58">
        <v>98.91</v>
      </c>
      <c r="R105" s="65">
        <v>4126.45</v>
      </c>
      <c r="S105" s="66">
        <f t="array" ref="S105">IF((XLOOKUP(D105,RUC!$B$3:$B$106,RUC!$E$3:$E$106)+ROUNDDOWN(O105,1)*100)&lt;95,95,((XLOOKUP(D105,RUC!$B$3:$B$106,RUC!$E$3:$E$106)+ROUNDDOWN(O105,1)*100)))</f>
        <v>150</v>
      </c>
      <c r="U105" s="67">
        <f t="array" ref="U105">XLOOKUP(D105,RUC!$B$3:$B$110,RUC!$F$3:$F$110)</f>
        <v>120</v>
      </c>
      <c r="V105" s="67">
        <v>1.1023</v>
      </c>
      <c r="Y105" s="57">
        <f t="array" ref="Y105">XLOOKUP(D105,RUC!$B$3:$B$110,RUC!$G$3:$G$110)</f>
        <v>20</v>
      </c>
      <c r="Z105" s="69">
        <f t="array" ref="Z105">XLOOKUP(D105,RUC!$B$3:$B$110,RUC!$H$3:$H$110)</f>
        <v>30</v>
      </c>
      <c r="AA105" s="70">
        <f t="shared" si="4"/>
        <v>50</v>
      </c>
      <c r="AB105" s="71">
        <f t="shared" si="46"/>
        <v>2176.271347</v>
      </c>
      <c r="AC105" s="71">
        <f>+(S105-T105)*V105-'data 1'!$F$4</f>
        <v>85.345</v>
      </c>
      <c r="AD105" s="71">
        <f t="shared" si="5"/>
        <v>252.2291452</v>
      </c>
      <c r="AE105" s="71">
        <f t="shared" si="6"/>
        <v>-14.885</v>
      </c>
      <c r="AF105" s="71">
        <f t="shared" si="7"/>
        <v>165.9905382</v>
      </c>
      <c r="AG105" s="72">
        <f t="shared" si="58"/>
        <v>505.6796834</v>
      </c>
      <c r="AH105" s="193">
        <f t="shared" si="8"/>
        <v>79.994</v>
      </c>
      <c r="AI105" s="193">
        <f t="shared" si="9"/>
        <v>80.875</v>
      </c>
      <c r="AJ105" s="73">
        <f t="shared" si="10"/>
        <v>135.2667995</v>
      </c>
      <c r="AK105" s="73">
        <f t="shared" si="11"/>
        <v>68.47258275</v>
      </c>
      <c r="AM105" s="51">
        <f t="shared" si="12"/>
        <v>8008.678559</v>
      </c>
      <c r="AN105" s="51" t="str">
        <f t="array" ref="AN105">XLOOKUP(D105,RUC!$B$3:$B$565,RUC!$M$3:$M$565)</f>
        <v>Zudaire</v>
      </c>
      <c r="AO105" s="131" t="s">
        <v>549</v>
      </c>
      <c r="AP105" s="2" t="s">
        <v>2223</v>
      </c>
      <c r="AQ105" s="57" t="s">
        <v>2224</v>
      </c>
    </row>
    <row r="106" ht="15.0" customHeight="1">
      <c r="A106" s="116" t="s">
        <v>2226</v>
      </c>
      <c r="B106" s="182">
        <v>45991.0</v>
      </c>
      <c r="C106" s="182">
        <v>45986.0</v>
      </c>
      <c r="D106" s="57" t="s">
        <v>2222</v>
      </c>
      <c r="E106" s="3" t="str">
        <f t="array" ref="E106">XLOOKUP(D106,RUC!$B$3:$B$110,RUC!$D$3:$D$110)</f>
        <v>20601769396*</v>
      </c>
      <c r="G106" s="141">
        <v>112.0</v>
      </c>
      <c r="H106" s="3" t="s">
        <v>40</v>
      </c>
      <c r="I106" s="6">
        <v>3.04</v>
      </c>
      <c r="J106" s="58">
        <v>13.86</v>
      </c>
      <c r="K106" s="6">
        <f t="shared" si="2"/>
        <v>2.619</v>
      </c>
      <c r="L106" s="141">
        <v>0.173</v>
      </c>
      <c r="M106" s="60">
        <f t="shared" si="30"/>
        <v>0.155</v>
      </c>
      <c r="N106" s="62">
        <f t="shared" si="57"/>
        <v>0.155</v>
      </c>
      <c r="O106" s="60">
        <f t="shared" si="45"/>
        <v>0.155</v>
      </c>
      <c r="P106" s="63">
        <v>85.0</v>
      </c>
      <c r="Q106" s="58">
        <v>84.97</v>
      </c>
      <c r="R106" s="65">
        <v>4126.45</v>
      </c>
      <c r="S106" s="66">
        <f t="array" ref="S106">IF((XLOOKUP(D106,RUC!$B$3:$B$106,RUC!$E$3:$E$106)+ROUNDDOWN(O106,1)*100)&lt;95,95,((XLOOKUP(D106,RUC!$B$3:$B$106,RUC!$E$3:$E$106)+ROUNDDOWN(O106,1)*100)))</f>
        <v>100</v>
      </c>
      <c r="U106" s="67">
        <f t="array" ref="U106">XLOOKUP(D106,RUC!$B$3:$B$110,RUC!$F$3:$F$110)</f>
        <v>120</v>
      </c>
      <c r="V106" s="67">
        <v>1.1023</v>
      </c>
      <c r="Y106" s="57">
        <f t="array" ref="Y106">XLOOKUP(D106,RUC!$B$3:$B$110,RUC!$G$3:$G$110)</f>
        <v>20</v>
      </c>
      <c r="Z106" s="69">
        <f t="array" ref="Z106">XLOOKUP(D106,RUC!$B$3:$B$110,RUC!$H$3:$H$110)</f>
        <v>30</v>
      </c>
      <c r="AA106" s="70">
        <f t="shared" si="4"/>
        <v>50</v>
      </c>
      <c r="AB106" s="71">
        <f t="shared" si="46"/>
        <v>416.5038208</v>
      </c>
      <c r="AC106" s="71">
        <f>+(S106-T106)*V106-'data 1'!$F$4</f>
        <v>30.23</v>
      </c>
      <c r="AD106" s="71">
        <f t="shared" si="5"/>
        <v>-0.2292064804</v>
      </c>
      <c r="AE106" s="71">
        <f t="shared" si="6"/>
        <v>-14.885</v>
      </c>
      <c r="AF106" s="71">
        <f t="shared" si="7"/>
        <v>67.5456924</v>
      </c>
      <c r="AG106" s="72">
        <f t="shared" si="58"/>
        <v>99.66148592</v>
      </c>
      <c r="AH106" s="193">
        <f t="shared" si="8"/>
        <v>13.199</v>
      </c>
      <c r="AI106" s="193">
        <f t="shared" si="9"/>
        <v>15.534</v>
      </c>
      <c r="AJ106" s="73">
        <f t="shared" si="10"/>
        <v>31.36206889</v>
      </c>
      <c r="AK106" s="73">
        <f t="shared" si="11"/>
        <v>11.83028457</v>
      </c>
      <c r="AM106" s="51">
        <f t="shared" si="12"/>
        <v>1090.823507</v>
      </c>
      <c r="AN106" s="51" t="str">
        <f t="array" ref="AN106">XLOOKUP(D106,RUC!$B$3:$B$565,RUC!$M$3:$M$565)</f>
        <v>Zudaire</v>
      </c>
      <c r="AO106" s="131" t="s">
        <v>549</v>
      </c>
      <c r="AP106" s="2" t="s">
        <v>2223</v>
      </c>
      <c r="AQ106" s="57" t="s">
        <v>2224</v>
      </c>
    </row>
    <row r="107" ht="15.0" customHeight="1">
      <c r="A107" s="116" t="s">
        <v>2227</v>
      </c>
      <c r="B107" s="182">
        <v>45991.0</v>
      </c>
      <c r="C107" s="182">
        <v>45986.0</v>
      </c>
      <c r="D107" s="57" t="s">
        <v>2222</v>
      </c>
      <c r="E107" s="3" t="str">
        <f t="array" ref="E107">XLOOKUP(D107,RUC!$B$3:$B$110,RUC!$D$3:$D$110)</f>
        <v>20601769396*</v>
      </c>
      <c r="G107" s="141">
        <v>74.0</v>
      </c>
      <c r="H107" s="3" t="s">
        <v>40</v>
      </c>
      <c r="I107" s="6">
        <v>1.98</v>
      </c>
      <c r="J107" s="58">
        <v>16.85</v>
      </c>
      <c r="K107" s="6">
        <f t="shared" si="2"/>
        <v>1.646</v>
      </c>
      <c r="L107" s="141">
        <v>0.176</v>
      </c>
      <c r="M107" s="60">
        <f t="shared" si="30"/>
        <v>0.158</v>
      </c>
      <c r="N107" s="62">
        <f t="shared" si="57"/>
        <v>0.158</v>
      </c>
      <c r="O107" s="60">
        <f t="shared" si="45"/>
        <v>0.158</v>
      </c>
      <c r="P107" s="63">
        <v>85.0</v>
      </c>
      <c r="Q107" s="58">
        <v>85.23</v>
      </c>
      <c r="R107" s="65">
        <v>4126.45</v>
      </c>
      <c r="S107" s="66">
        <f t="array" ref="S107">IF((XLOOKUP(D107,RUC!$B$3:$B$106,RUC!$E$3:$E$106)+ROUNDDOWN(O107,1)*100)&lt;95,95,((XLOOKUP(D107,RUC!$B$3:$B$106,RUC!$E$3:$E$106)+ROUNDDOWN(O107,1)*100)))</f>
        <v>100</v>
      </c>
      <c r="U107" s="67">
        <f t="array" ref="U107">XLOOKUP(D107,RUC!$B$3:$B$110,RUC!$F$3:$F$110)</f>
        <v>120</v>
      </c>
      <c r="V107" s="67">
        <v>1.1023</v>
      </c>
      <c r="Y107" s="57">
        <f t="array" ref="Y107">XLOOKUP(D107,RUC!$B$3:$B$110,RUC!$G$3:$G$110)</f>
        <v>20</v>
      </c>
      <c r="Z107" s="69">
        <f t="array" ref="Z107">XLOOKUP(D107,RUC!$B$3:$B$110,RUC!$H$3:$H$110)</f>
        <v>30</v>
      </c>
      <c r="AA107" s="70">
        <f t="shared" si="4"/>
        <v>50</v>
      </c>
      <c r="AB107" s="71">
        <f t="shared" si="46"/>
        <v>427.7654108</v>
      </c>
      <c r="AC107" s="71">
        <f>+(S107-T107)*V107-'data 1'!$F$4</f>
        <v>30.23</v>
      </c>
      <c r="AD107" s="71">
        <f t="shared" si="5"/>
        <v>1.787722221</v>
      </c>
      <c r="AE107" s="71">
        <f t="shared" si="6"/>
        <v>-14.885</v>
      </c>
      <c r="AF107" s="71">
        <f t="shared" si="7"/>
        <v>67.7523757</v>
      </c>
      <c r="AG107" s="72">
        <f t="shared" si="58"/>
        <v>101.8850979</v>
      </c>
      <c r="AH107" s="193">
        <f t="shared" si="8"/>
        <v>8.465</v>
      </c>
      <c r="AI107" s="193">
        <f t="shared" si="9"/>
        <v>9.932</v>
      </c>
      <c r="AJ107" s="73">
        <f t="shared" si="10"/>
        <v>32.00354883</v>
      </c>
      <c r="AK107" s="73">
        <f t="shared" si="11"/>
        <v>7.579052454</v>
      </c>
      <c r="AM107" s="51">
        <f t="shared" si="12"/>
        <v>704.1018662</v>
      </c>
      <c r="AN107" s="51" t="str">
        <f t="array" ref="AN107">XLOOKUP(D107,RUC!$B$3:$B$565,RUC!$M$3:$M$565)</f>
        <v>Zudaire</v>
      </c>
      <c r="AO107" s="131" t="s">
        <v>549</v>
      </c>
      <c r="AP107" s="2" t="s">
        <v>2223</v>
      </c>
      <c r="AQ107" s="57" t="s">
        <v>2224</v>
      </c>
    </row>
    <row r="108" ht="15.0" customHeight="1">
      <c r="A108" s="116" t="s">
        <v>2228</v>
      </c>
      <c r="B108" s="182">
        <v>45991.0</v>
      </c>
      <c r="C108" s="182">
        <v>45986.0</v>
      </c>
      <c r="D108" s="57" t="s">
        <v>2222</v>
      </c>
      <c r="E108" s="3" t="str">
        <f t="array" ref="E108">XLOOKUP(D108,RUC!$B$3:$B$110,RUC!$D$3:$D$110)</f>
        <v>20601769396*</v>
      </c>
      <c r="G108" s="141">
        <v>90.0</v>
      </c>
      <c r="H108" s="3" t="s">
        <v>40</v>
      </c>
      <c r="I108" s="6">
        <v>2.31</v>
      </c>
      <c r="J108" s="58">
        <v>15.45</v>
      </c>
      <c r="K108" s="6">
        <f t="shared" si="2"/>
        <v>1.953</v>
      </c>
      <c r="L108" s="141">
        <v>0.267</v>
      </c>
      <c r="M108" s="60">
        <f t="shared" si="30"/>
        <v>0.249</v>
      </c>
      <c r="N108" s="62">
        <f t="shared" si="57"/>
        <v>0.249</v>
      </c>
      <c r="O108" s="60">
        <f t="shared" si="45"/>
        <v>0.249</v>
      </c>
      <c r="P108" s="63">
        <v>90.0</v>
      </c>
      <c r="Q108" s="58">
        <v>90.64</v>
      </c>
      <c r="R108" s="65">
        <v>4126.45</v>
      </c>
      <c r="S108" s="66">
        <f t="array" ref="S108">IF((XLOOKUP(D108,RUC!$B$3:$B$106,RUC!$E$3:$E$106)+ROUNDDOWN(O108,1)*100)&lt;95,95,((XLOOKUP(D108,RUC!$B$3:$B$106,RUC!$E$3:$E$106)+ROUNDDOWN(O108,1)*100)))</f>
        <v>110</v>
      </c>
      <c r="U108" s="67">
        <f t="array" ref="U108">XLOOKUP(D108,RUC!$B$3:$B$110,RUC!$F$3:$F$110)</f>
        <v>120</v>
      </c>
      <c r="V108" s="67">
        <v>1.1023</v>
      </c>
      <c r="Y108" s="57">
        <f t="array" ref="Y108">XLOOKUP(D108,RUC!$B$3:$B$110,RUC!$G$3:$G$110)</f>
        <v>20</v>
      </c>
      <c r="Z108" s="69">
        <f t="array" ref="Z108">XLOOKUP(D108,RUC!$B$3:$B$110,RUC!$H$3:$H$110)</f>
        <v>30</v>
      </c>
      <c r="AA108" s="70">
        <f t="shared" si="4"/>
        <v>50</v>
      </c>
      <c r="AB108" s="71">
        <f t="shared" si="46"/>
        <v>813.327034</v>
      </c>
      <c r="AC108" s="71">
        <f>+(S108-T108)*V108-'data 1'!$F$4</f>
        <v>41.253</v>
      </c>
      <c r="AD108" s="71">
        <f t="shared" si="5"/>
        <v>7.546590246</v>
      </c>
      <c r="AE108" s="71">
        <f t="shared" si="6"/>
        <v>-14.885</v>
      </c>
      <c r="AF108" s="71">
        <f t="shared" si="7"/>
        <v>72.05297822</v>
      </c>
      <c r="AG108" s="72">
        <f t="shared" si="58"/>
        <v>122.9675685</v>
      </c>
      <c r="AH108" s="193">
        <f t="shared" si="8"/>
        <v>16.205</v>
      </c>
      <c r="AI108" s="193">
        <f t="shared" si="9"/>
        <v>17.878</v>
      </c>
      <c r="AJ108" s="73">
        <f t="shared" si="10"/>
        <v>51.63261741</v>
      </c>
      <c r="AK108" s="73">
        <f t="shared" si="11"/>
        <v>15.00559322</v>
      </c>
      <c r="AM108" s="51">
        <f t="shared" si="12"/>
        <v>1588.427697</v>
      </c>
      <c r="AN108" s="51" t="str">
        <f t="array" ref="AN108">XLOOKUP(D108,RUC!$B$3:$B$565,RUC!$M$3:$M$565)</f>
        <v>Zudaire</v>
      </c>
      <c r="AO108" s="131" t="s">
        <v>549</v>
      </c>
      <c r="AP108" s="2" t="s">
        <v>2223</v>
      </c>
      <c r="AQ108" s="57" t="s">
        <v>2224</v>
      </c>
    </row>
    <row r="109" ht="15.0" customHeight="1">
      <c r="A109" s="116" t="s">
        <v>2229</v>
      </c>
      <c r="B109" s="182">
        <v>45991.0</v>
      </c>
      <c r="C109" s="182">
        <v>45986.0</v>
      </c>
      <c r="D109" s="57" t="s">
        <v>2222</v>
      </c>
      <c r="E109" s="3" t="str">
        <f t="array" ref="E109">XLOOKUP(D109,RUC!$B$3:$B$110,RUC!$D$3:$D$110)</f>
        <v>20601769396*</v>
      </c>
      <c r="G109" s="141">
        <v>74.0</v>
      </c>
      <c r="H109" s="3" t="s">
        <v>40</v>
      </c>
      <c r="I109" s="6">
        <v>1.92</v>
      </c>
      <c r="J109" s="58">
        <v>15.48</v>
      </c>
      <c r="K109" s="6">
        <f t="shared" si="2"/>
        <v>1.623</v>
      </c>
      <c r="L109" s="141">
        <v>1.204</v>
      </c>
      <c r="M109" s="60">
        <f t="shared" si="30"/>
        <v>1.132</v>
      </c>
      <c r="N109" s="62">
        <f t="shared" si="57"/>
        <v>1.132</v>
      </c>
      <c r="O109" s="60">
        <f t="shared" si="45"/>
        <v>1.132</v>
      </c>
      <c r="P109" s="63">
        <v>90.0</v>
      </c>
      <c r="Q109" s="58">
        <v>96.01</v>
      </c>
      <c r="R109" s="65">
        <v>4126.45</v>
      </c>
      <c r="S109" s="66">
        <f t="array" ref="S109">IF((XLOOKUP(D109,RUC!$B$3:$B$106,RUC!$E$3:$E$106)+ROUNDDOWN(O109,1)*100)&lt;95,95,((XLOOKUP(D109,RUC!$B$3:$B$106,RUC!$E$3:$E$106)+ROUNDDOWN(O109,1)*100)))</f>
        <v>200</v>
      </c>
      <c r="U109" s="67">
        <f t="array" ref="U109">XLOOKUP(D109,RUC!$B$3:$B$110,RUC!$F$3:$F$110)</f>
        <v>120</v>
      </c>
      <c r="V109" s="67">
        <v>1.1023</v>
      </c>
      <c r="Y109" s="57">
        <f t="array" ref="Y109">XLOOKUP(D109,RUC!$B$3:$B$110,RUC!$G$3:$G$110)</f>
        <v>20</v>
      </c>
      <c r="Z109" s="69">
        <f t="array" ref="Z109">XLOOKUP(D109,RUC!$B$3:$B$110,RUC!$H$3:$H$110)</f>
        <v>30</v>
      </c>
      <c r="AA109" s="70">
        <f t="shared" si="4"/>
        <v>50</v>
      </c>
      <c r="AB109" s="71">
        <f t="shared" si="46"/>
        <v>4223.76146</v>
      </c>
      <c r="AC109" s="71">
        <f>+(S109-T109)*V109-'data 1'!$F$4</f>
        <v>140.46</v>
      </c>
      <c r="AD109" s="71">
        <f t="shared" si="5"/>
        <v>319.5659462</v>
      </c>
      <c r="AE109" s="71">
        <f t="shared" si="6"/>
        <v>-14.885</v>
      </c>
      <c r="AF109" s="71">
        <f t="shared" si="7"/>
        <v>305.2871332</v>
      </c>
      <c r="AG109" s="72">
        <f t="shared" si="58"/>
        <v>767.4280794</v>
      </c>
      <c r="AH109" s="193">
        <f t="shared" si="8"/>
        <v>64.324</v>
      </c>
      <c r="AI109" s="193">
        <f t="shared" si="9"/>
        <v>66.997</v>
      </c>
      <c r="AJ109" s="73">
        <f t="shared" si="10"/>
        <v>246.6243421</v>
      </c>
      <c r="AK109" s="73">
        <f t="shared" si="11"/>
        <v>56.69131428</v>
      </c>
      <c r="AM109" s="51">
        <f t="shared" si="12"/>
        <v>6855.164849</v>
      </c>
      <c r="AN109" s="51" t="str">
        <f t="array" ref="AN109">XLOOKUP(D109,RUC!$B$3:$B$565,RUC!$M$3:$M$565)</f>
        <v>Zudaire</v>
      </c>
      <c r="AO109" s="131" t="s">
        <v>549</v>
      </c>
      <c r="AP109" s="2" t="s">
        <v>2223</v>
      </c>
      <c r="AQ109" s="57" t="s">
        <v>2224</v>
      </c>
    </row>
    <row r="110" ht="15.0" customHeight="1">
      <c r="A110" s="116" t="s">
        <v>2230</v>
      </c>
      <c r="B110" s="182">
        <v>45991.0</v>
      </c>
      <c r="C110" s="182">
        <v>45986.0</v>
      </c>
      <c r="D110" s="57" t="s">
        <v>2222</v>
      </c>
      <c r="E110" s="3" t="str">
        <f t="array" ref="E110">XLOOKUP(D110,RUC!$B$3:$B$110,RUC!$D$3:$D$110)</f>
        <v>20601769396*</v>
      </c>
      <c r="G110" s="141">
        <v>79.0</v>
      </c>
      <c r="H110" s="3" t="s">
        <v>40</v>
      </c>
      <c r="I110" s="6">
        <v>2.0</v>
      </c>
      <c r="J110" s="58">
        <v>15.75</v>
      </c>
      <c r="K110" s="6">
        <f t="shared" si="2"/>
        <v>1.685</v>
      </c>
      <c r="L110" s="141">
        <v>0.285</v>
      </c>
      <c r="M110" s="60">
        <f t="shared" si="30"/>
        <v>0.267</v>
      </c>
      <c r="N110" s="62">
        <f t="shared" si="57"/>
        <v>0.267</v>
      </c>
      <c r="O110" s="60">
        <f t="shared" si="45"/>
        <v>0.267</v>
      </c>
      <c r="P110" s="63">
        <v>85.0</v>
      </c>
      <c r="Q110" s="58">
        <v>85.61</v>
      </c>
      <c r="R110" s="65">
        <v>4126.45</v>
      </c>
      <c r="S110" s="66">
        <f t="array" ref="S110">IF((XLOOKUP(D110,RUC!$B$3:$B$106,RUC!$E$3:$E$106)+ROUNDDOWN(O110,1)*100)&lt;95,95,((XLOOKUP(D110,RUC!$B$3:$B$106,RUC!$E$3:$E$106)+ROUNDDOWN(O110,1)*100)))</f>
        <v>110</v>
      </c>
      <c r="U110" s="67">
        <f t="array" ref="U110">XLOOKUP(D110,RUC!$B$3:$B$110,RUC!$F$3:$F$110)</f>
        <v>120</v>
      </c>
      <c r="V110" s="67">
        <v>1.1023</v>
      </c>
      <c r="Y110" s="57">
        <f t="array" ref="Y110">XLOOKUP(D110,RUC!$B$3:$B$110,RUC!$G$3:$G$110)</f>
        <v>20</v>
      </c>
      <c r="Z110" s="69">
        <f t="array" ref="Z110">XLOOKUP(D110,RUC!$B$3:$B$110,RUC!$H$3:$H$110)</f>
        <v>30</v>
      </c>
      <c r="AA110" s="70">
        <f t="shared" si="4"/>
        <v>50</v>
      </c>
      <c r="AB110" s="71">
        <f t="shared" si="46"/>
        <v>825.9135171</v>
      </c>
      <c r="AC110" s="71">
        <f>+(S110-T110)*V110-'data 1'!$F$4</f>
        <v>41.253</v>
      </c>
      <c r="AD110" s="71">
        <f t="shared" si="5"/>
        <v>7.677754648</v>
      </c>
      <c r="AE110" s="71">
        <f t="shared" si="6"/>
        <v>-14.885</v>
      </c>
      <c r="AF110" s="71">
        <f t="shared" si="7"/>
        <v>68.0544513</v>
      </c>
      <c r="AG110" s="72">
        <f t="shared" si="58"/>
        <v>119.1002059</v>
      </c>
      <c r="AH110" s="193">
        <f t="shared" si="8"/>
        <v>14.095</v>
      </c>
      <c r="AI110" s="193">
        <f t="shared" si="9"/>
        <v>16.465</v>
      </c>
      <c r="AJ110" s="73">
        <f t="shared" si="10"/>
        <v>52.05498673</v>
      </c>
      <c r="AK110" s="73">
        <f t="shared" si="11"/>
        <v>13.11110096</v>
      </c>
      <c r="AM110" s="51">
        <f t="shared" si="12"/>
        <v>1391.664276</v>
      </c>
      <c r="AN110" s="51" t="str">
        <f t="array" ref="AN110">XLOOKUP(D110,RUC!$B$3:$B$565,RUC!$M$3:$M$565)</f>
        <v>Zudaire</v>
      </c>
      <c r="AO110" s="131" t="s">
        <v>549</v>
      </c>
      <c r="AP110" s="2" t="s">
        <v>2223</v>
      </c>
      <c r="AQ110" s="57" t="s">
        <v>2224</v>
      </c>
    </row>
    <row r="111" ht="15.0" customHeight="1">
      <c r="A111" s="116" t="s">
        <v>2231</v>
      </c>
      <c r="B111" s="182">
        <v>45991.0</v>
      </c>
      <c r="C111" s="182">
        <v>45986.0</v>
      </c>
      <c r="D111" s="57" t="s">
        <v>2222</v>
      </c>
      <c r="E111" s="3" t="str">
        <f t="array" ref="E111">XLOOKUP(D111,RUC!$B$3:$B$110,RUC!$D$3:$D$110)</f>
        <v>20601769396*</v>
      </c>
      <c r="G111" s="141">
        <v>24.0</v>
      </c>
      <c r="H111" s="3" t="s">
        <v>40</v>
      </c>
      <c r="I111" s="6">
        <v>0.62</v>
      </c>
      <c r="J111" s="58">
        <v>12.28</v>
      </c>
      <c r="K111" s="6">
        <f t="shared" si="2"/>
        <v>0.544</v>
      </c>
      <c r="L111" s="141">
        <v>0.375</v>
      </c>
      <c r="M111" s="60">
        <f t="shared" si="30"/>
        <v>0.353</v>
      </c>
      <c r="N111" s="62">
        <f t="shared" si="57"/>
        <v>0.353</v>
      </c>
      <c r="O111" s="60">
        <f t="shared" si="45"/>
        <v>0.353</v>
      </c>
      <c r="P111" s="63">
        <v>88.0</v>
      </c>
      <c r="Q111" s="58">
        <v>87.88</v>
      </c>
      <c r="R111" s="65">
        <v>4126.45</v>
      </c>
      <c r="S111" s="66">
        <f t="array" ref="S111">IF((XLOOKUP(D111,RUC!$B$3:$B$106,RUC!$E$3:$E$106)+ROUNDDOWN(O111,1)*100)&lt;95,95,((XLOOKUP(D111,RUC!$B$3:$B$106,RUC!$E$3:$E$106)+ROUNDDOWN(O111,1)*100)))</f>
        <v>120</v>
      </c>
      <c r="U111" s="67">
        <f t="array" ref="U111">XLOOKUP(D111,RUC!$B$3:$B$110,RUC!$F$3:$F$110)</f>
        <v>120</v>
      </c>
      <c r="V111" s="67">
        <v>1.1023</v>
      </c>
      <c r="Y111" s="57">
        <f t="array" ref="Y111">XLOOKUP(D111,RUC!$B$3:$B$110,RUC!$G$3:$G$110)</f>
        <v>20</v>
      </c>
      <c r="Z111" s="69">
        <f t="array" ref="Z111">XLOOKUP(D111,RUC!$B$3:$B$110,RUC!$H$3:$H$110)</f>
        <v>30</v>
      </c>
      <c r="AA111" s="70">
        <f t="shared" si="4"/>
        <v>50</v>
      </c>
      <c r="AB111" s="71">
        <f t="shared" si="46"/>
        <v>1184.491487</v>
      </c>
      <c r="AC111" s="71">
        <f>+(S111-T111)*V111-'data 1'!$F$4</f>
        <v>52.276</v>
      </c>
      <c r="AD111" s="71">
        <f t="shared" si="5"/>
        <v>-1.987339426</v>
      </c>
      <c r="AE111" s="71">
        <f t="shared" si="6"/>
        <v>-14.885</v>
      </c>
      <c r="AF111" s="71">
        <f t="shared" si="7"/>
        <v>85.38316783</v>
      </c>
      <c r="AG111" s="72">
        <f t="shared" si="58"/>
        <v>137.7868284</v>
      </c>
      <c r="AH111" s="193">
        <f t="shared" si="8"/>
        <v>6.147</v>
      </c>
      <c r="AI111" s="193">
        <f t="shared" si="9"/>
        <v>6.994</v>
      </c>
      <c r="AJ111" s="73">
        <f t="shared" si="10"/>
        <v>70.30954688</v>
      </c>
      <c r="AK111" s="73">
        <f t="shared" si="11"/>
        <v>5.793824641</v>
      </c>
      <c r="AM111" s="51">
        <f t="shared" si="12"/>
        <v>644.363369</v>
      </c>
      <c r="AN111" s="51" t="str">
        <f t="array" ref="AN111">XLOOKUP(D111,RUC!$B$3:$B$565,RUC!$M$3:$M$565)</f>
        <v>Zudaire</v>
      </c>
      <c r="AO111" s="131" t="s">
        <v>549</v>
      </c>
      <c r="AP111" s="2" t="s">
        <v>2223</v>
      </c>
      <c r="AQ111" s="57" t="s">
        <v>2224</v>
      </c>
    </row>
    <row r="112" ht="15.0" customHeight="1">
      <c r="A112" s="116" t="s">
        <v>2232</v>
      </c>
      <c r="B112" s="182">
        <v>45991.0</v>
      </c>
      <c r="C112" s="182">
        <v>45986.0</v>
      </c>
      <c r="D112" s="57" t="s">
        <v>2222</v>
      </c>
      <c r="E112" s="3" t="str">
        <f t="array" ref="E112">XLOOKUP(D112,RUC!$B$3:$B$110,RUC!$D$3:$D$110)</f>
        <v>20601769396*</v>
      </c>
      <c r="G112" s="141">
        <v>52.0</v>
      </c>
      <c r="H112" s="3" t="s">
        <v>40</v>
      </c>
      <c r="I112" s="6">
        <v>1.47</v>
      </c>
      <c r="J112" s="58">
        <v>15.06</v>
      </c>
      <c r="K112" s="6">
        <f t="shared" si="2"/>
        <v>1.249</v>
      </c>
      <c r="L112" s="141">
        <v>0.176</v>
      </c>
      <c r="M112" s="60">
        <f t="shared" si="30"/>
        <v>0.158</v>
      </c>
      <c r="N112" s="62">
        <f t="shared" si="57"/>
        <v>0.158</v>
      </c>
      <c r="O112" s="60">
        <f t="shared" si="45"/>
        <v>0.158</v>
      </c>
      <c r="P112" s="63">
        <v>80.0</v>
      </c>
      <c r="Q112" s="58">
        <v>81.82</v>
      </c>
      <c r="R112" s="65">
        <v>4126.45</v>
      </c>
      <c r="S112" s="66">
        <f t="array" ref="S112">IF((XLOOKUP(D112,RUC!$B$3:$B$106,RUC!$E$3:$E$106)+ROUNDDOWN(O112,1)*100)&lt;95,95,((XLOOKUP(D112,RUC!$B$3:$B$106,RUC!$E$3:$E$106)+ROUNDDOWN(O112,1)*100)))</f>
        <v>100</v>
      </c>
      <c r="U112" s="67">
        <f t="array" ref="U112">XLOOKUP(D112,RUC!$B$3:$B$110,RUC!$F$3:$F$110)</f>
        <v>120</v>
      </c>
      <c r="V112" s="67">
        <v>1.1023</v>
      </c>
      <c r="Y112" s="57">
        <f t="array" ref="Y112">XLOOKUP(D112,RUC!$B$3:$B$110,RUC!$G$3:$G$110)</f>
        <v>20</v>
      </c>
      <c r="Z112" s="69">
        <f t="array" ref="Z112">XLOOKUP(D112,RUC!$B$3:$B$110,RUC!$H$3:$H$110)</f>
        <v>30</v>
      </c>
      <c r="AA112" s="70">
        <f t="shared" si="4"/>
        <v>50</v>
      </c>
      <c r="AB112" s="71">
        <f t="shared" si="46"/>
        <v>392.8765631</v>
      </c>
      <c r="AC112" s="71">
        <f>+(S112-T112)*V112-'data 1'!$F$4</f>
        <v>30.23</v>
      </c>
      <c r="AD112" s="71">
        <f t="shared" si="5"/>
        <v>14.14632366</v>
      </c>
      <c r="AE112" s="71">
        <f t="shared" si="6"/>
        <v>-14.885</v>
      </c>
      <c r="AF112" s="71">
        <f t="shared" si="7"/>
        <v>65.04164473</v>
      </c>
      <c r="AG112" s="72">
        <f t="shared" si="58"/>
        <v>111.5329684</v>
      </c>
      <c r="AH112" s="193">
        <f t="shared" si="8"/>
        <v>6.167</v>
      </c>
      <c r="AI112" s="193">
        <f t="shared" si="9"/>
        <v>7.537</v>
      </c>
      <c r="AJ112" s="73">
        <f t="shared" si="10"/>
        <v>30.72310648</v>
      </c>
      <c r="AK112" s="73">
        <f t="shared" si="11"/>
        <v>5.412757639</v>
      </c>
      <c r="AM112" s="51">
        <f t="shared" si="12"/>
        <v>490.7028274</v>
      </c>
      <c r="AN112" s="51" t="str">
        <f t="array" ref="AN112">XLOOKUP(D112,RUC!$B$3:$B$565,RUC!$M$3:$M$565)</f>
        <v>Zudaire</v>
      </c>
      <c r="AO112" s="131" t="s">
        <v>549</v>
      </c>
      <c r="AP112" s="2" t="s">
        <v>2223</v>
      </c>
      <c r="AQ112" s="57" t="s">
        <v>2224</v>
      </c>
    </row>
    <row r="113" ht="15.0" customHeight="1">
      <c r="B113" s="3"/>
      <c r="C113" s="3"/>
      <c r="G113" s="141"/>
      <c r="H113" s="3"/>
      <c r="R113" s="65"/>
      <c r="AG113" s="91"/>
    </row>
    <row r="114" ht="15.0" customHeight="1">
      <c r="B114" s="3"/>
      <c r="C114" s="3"/>
      <c r="G114" s="141"/>
      <c r="H114" s="3"/>
      <c r="R114" s="65"/>
      <c r="AG114" s="91"/>
    </row>
    <row r="115" ht="15.0" customHeight="1">
      <c r="B115" s="3"/>
      <c r="C115" s="3"/>
      <c r="G115" s="141"/>
      <c r="H115" s="3"/>
      <c r="M115" s="6"/>
      <c r="R115" s="65"/>
      <c r="AG115" s="91"/>
    </row>
    <row r="116" ht="15.0" customHeight="1">
      <c r="B116" s="3"/>
      <c r="C116" s="3"/>
      <c r="G116" s="141"/>
      <c r="H116" s="3"/>
      <c r="R116" s="65"/>
      <c r="AG116" s="91"/>
    </row>
    <row r="117" ht="15.0" customHeight="1">
      <c r="B117" s="3"/>
      <c r="C117" s="3"/>
      <c r="G117" s="141"/>
      <c r="H117" s="3"/>
      <c r="R117" s="65"/>
      <c r="AG117" s="91"/>
    </row>
    <row r="118" ht="15.0" customHeight="1">
      <c r="B118" s="3"/>
      <c r="C118" s="3"/>
      <c r="G118" s="141"/>
      <c r="H118" s="3"/>
      <c r="R118" s="65"/>
      <c r="AG118" s="91"/>
    </row>
    <row r="119" ht="15.0" customHeight="1">
      <c r="B119" s="3"/>
      <c r="C119" s="3"/>
      <c r="G119" s="141"/>
      <c r="H119" s="3"/>
      <c r="R119" s="65"/>
      <c r="AG119" s="91"/>
    </row>
    <row r="120" ht="15.0" customHeight="1">
      <c r="B120" s="3"/>
      <c r="C120" s="3"/>
      <c r="G120" s="141"/>
      <c r="H120" s="3"/>
      <c r="R120" s="65"/>
      <c r="AG120" s="91"/>
    </row>
    <row r="121" ht="15.0" customHeight="1">
      <c r="B121" s="3"/>
      <c r="C121" s="3"/>
      <c r="G121" s="141"/>
      <c r="H121" s="3"/>
      <c r="R121" s="65"/>
      <c r="AG121" s="91"/>
    </row>
    <row r="122" ht="15.0" customHeight="1">
      <c r="B122" s="3"/>
      <c r="C122" s="3"/>
      <c r="G122" s="141"/>
      <c r="H122" s="3"/>
      <c r="R122" s="65"/>
      <c r="AG122" s="91"/>
    </row>
    <row r="123" ht="15.0" customHeight="1">
      <c r="B123" s="3"/>
      <c r="C123" s="3"/>
      <c r="G123" s="141"/>
      <c r="H123" s="3"/>
      <c r="R123" s="65"/>
      <c r="AG123" s="91"/>
    </row>
    <row r="124" ht="15.0" customHeight="1">
      <c r="B124" s="3"/>
      <c r="C124" s="3"/>
      <c r="G124" s="141"/>
      <c r="H124" s="3"/>
      <c r="R124" s="65"/>
      <c r="AG124" s="91"/>
    </row>
    <row r="125" ht="15.0" customHeight="1">
      <c r="B125" s="3"/>
      <c r="C125" s="3"/>
      <c r="G125" s="141"/>
      <c r="H125" s="3"/>
      <c r="R125" s="65"/>
      <c r="AG125" s="91"/>
    </row>
    <row r="126" ht="15.0" customHeight="1">
      <c r="B126" s="3"/>
      <c r="C126" s="3"/>
      <c r="G126" s="141"/>
      <c r="H126" s="3"/>
      <c r="R126" s="65"/>
      <c r="AG126" s="91"/>
    </row>
    <row r="127" ht="15.0" customHeight="1">
      <c r="B127" s="3"/>
      <c r="C127" s="3"/>
      <c r="G127" s="141"/>
      <c r="H127" s="3"/>
      <c r="R127" s="65"/>
      <c r="AG127" s="91"/>
    </row>
    <row r="128" ht="15.0" customHeight="1">
      <c r="B128" s="3"/>
      <c r="C128" s="3"/>
      <c r="G128" s="141"/>
      <c r="H128" s="3"/>
      <c r="R128" s="65"/>
      <c r="AG128" s="91"/>
    </row>
    <row r="129" ht="15.0" customHeight="1">
      <c r="B129" s="3"/>
      <c r="C129" s="3"/>
      <c r="G129" s="141"/>
      <c r="H129" s="3"/>
      <c r="R129" s="65"/>
      <c r="AG129" s="91"/>
    </row>
    <row r="130" ht="15.0" customHeight="1">
      <c r="B130" s="3"/>
      <c r="C130" s="3"/>
      <c r="G130" s="141"/>
      <c r="H130" s="3"/>
      <c r="R130" s="65"/>
      <c r="AG130" s="91"/>
    </row>
    <row r="131" ht="15.0" customHeight="1">
      <c r="B131" s="3"/>
      <c r="C131" s="3"/>
      <c r="G131" s="141"/>
      <c r="H131" s="3"/>
      <c r="R131" s="65"/>
      <c r="AG131" s="91"/>
    </row>
    <row r="132" ht="15.0" customHeight="1">
      <c r="B132" s="3"/>
      <c r="C132" s="3"/>
      <c r="G132" s="141"/>
      <c r="H132" s="3"/>
      <c r="R132" s="65"/>
      <c r="AG132" s="91"/>
    </row>
    <row r="133" ht="15.0" customHeight="1">
      <c r="B133" s="3"/>
      <c r="C133" s="3"/>
      <c r="G133" s="141"/>
      <c r="H133" s="3"/>
      <c r="R133" s="65"/>
      <c r="AG133" s="91"/>
    </row>
    <row r="134" ht="15.0" customHeight="1">
      <c r="B134" s="3"/>
      <c r="C134" s="3"/>
      <c r="G134" s="141"/>
      <c r="H134" s="3"/>
      <c r="R134" s="65"/>
      <c r="AG134" s="91"/>
    </row>
    <row r="135" ht="15.0" customHeight="1">
      <c r="B135" s="3"/>
      <c r="C135" s="3"/>
      <c r="G135" s="141"/>
      <c r="H135" s="3"/>
      <c r="R135" s="65"/>
      <c r="AG135" s="91"/>
    </row>
    <row r="136" ht="15.0" customHeight="1">
      <c r="B136" s="3"/>
      <c r="C136" s="3"/>
      <c r="G136" s="141"/>
      <c r="H136" s="3"/>
      <c r="R136" s="65"/>
      <c r="AG136" s="91"/>
    </row>
    <row r="137" ht="15.0" customHeight="1">
      <c r="B137" s="3"/>
      <c r="C137" s="3"/>
      <c r="G137" s="141"/>
      <c r="H137" s="3"/>
      <c r="R137" s="65"/>
      <c r="AG137" s="91"/>
    </row>
    <row r="138" ht="15.0" customHeight="1">
      <c r="B138" s="3"/>
      <c r="C138" s="3"/>
      <c r="G138" s="141"/>
      <c r="H138" s="3"/>
      <c r="R138" s="65"/>
      <c r="AG138" s="91"/>
    </row>
    <row r="139" ht="15.0" customHeight="1">
      <c r="B139" s="3"/>
      <c r="C139" s="3"/>
      <c r="G139" s="141"/>
      <c r="H139" s="3"/>
      <c r="R139" s="65"/>
      <c r="AG139" s="91"/>
    </row>
    <row r="140" ht="15.0" customHeight="1">
      <c r="B140" s="3"/>
      <c r="C140" s="3"/>
      <c r="G140" s="141"/>
      <c r="H140" s="3"/>
      <c r="R140" s="65"/>
      <c r="AG140" s="91"/>
    </row>
    <row r="141" ht="15.0" customHeight="1">
      <c r="B141" s="3"/>
      <c r="C141" s="3"/>
      <c r="G141" s="141"/>
      <c r="H141" s="3"/>
      <c r="R141" s="65"/>
      <c r="AG141" s="91"/>
    </row>
    <row r="142" ht="15.0" customHeight="1">
      <c r="B142" s="3"/>
      <c r="C142" s="3"/>
      <c r="G142" s="141"/>
      <c r="H142" s="3"/>
      <c r="R142" s="65"/>
      <c r="AG142" s="91"/>
    </row>
    <row r="143" ht="15.0" customHeight="1">
      <c r="B143" s="3"/>
      <c r="C143" s="3"/>
      <c r="G143" s="141"/>
      <c r="H143" s="3"/>
      <c r="R143" s="65"/>
      <c r="AG143" s="91"/>
    </row>
    <row r="144" ht="15.0" customHeight="1">
      <c r="B144" s="3"/>
      <c r="C144" s="3"/>
      <c r="G144" s="141"/>
      <c r="H144" s="3"/>
      <c r="R144" s="65"/>
      <c r="AG144" s="91"/>
    </row>
    <row r="145" ht="15.0" customHeight="1">
      <c r="B145" s="3"/>
      <c r="C145" s="3"/>
      <c r="G145" s="141"/>
      <c r="H145" s="3"/>
      <c r="R145" s="65"/>
      <c r="AG145" s="91"/>
    </row>
    <row r="146" ht="15.0" customHeight="1">
      <c r="B146" s="3"/>
      <c r="C146" s="3"/>
      <c r="G146" s="141"/>
      <c r="H146" s="3"/>
      <c r="R146" s="65"/>
      <c r="AG146" s="91"/>
    </row>
    <row r="147" ht="15.0" customHeight="1">
      <c r="B147" s="3"/>
      <c r="C147" s="3"/>
      <c r="G147" s="141"/>
      <c r="H147" s="3"/>
      <c r="R147" s="65"/>
      <c r="AG147" s="91"/>
    </row>
    <row r="148" ht="15.0" customHeight="1">
      <c r="B148" s="3"/>
      <c r="C148" s="3"/>
      <c r="G148" s="141"/>
      <c r="H148" s="3"/>
      <c r="R148" s="65"/>
      <c r="AG148" s="91"/>
    </row>
    <row r="149" ht="15.0" customHeight="1">
      <c r="B149" s="3"/>
      <c r="C149" s="3"/>
      <c r="G149" s="141"/>
      <c r="H149" s="3"/>
      <c r="R149" s="65"/>
      <c r="AG149" s="91"/>
    </row>
    <row r="150" ht="15.0" customHeight="1">
      <c r="B150" s="3"/>
      <c r="C150" s="3"/>
      <c r="G150" s="141"/>
      <c r="H150" s="3"/>
      <c r="R150" s="65"/>
      <c r="AG150" s="91"/>
    </row>
    <row r="151" ht="15.0" customHeight="1">
      <c r="B151" s="3"/>
      <c r="C151" s="3"/>
      <c r="G151" s="141"/>
      <c r="H151" s="3"/>
      <c r="R151" s="65"/>
      <c r="AG151" s="91"/>
    </row>
    <row r="152" ht="15.0" customHeight="1">
      <c r="B152" s="3"/>
      <c r="C152" s="3"/>
      <c r="G152" s="141"/>
      <c r="H152" s="3"/>
      <c r="R152" s="65"/>
      <c r="AG152" s="91"/>
    </row>
    <row r="153" ht="15.0" customHeight="1">
      <c r="B153" s="3"/>
      <c r="C153" s="3"/>
      <c r="G153" s="141"/>
      <c r="H153" s="3"/>
      <c r="R153" s="65"/>
      <c r="AG153" s="91"/>
    </row>
    <row r="154" ht="15.0" customHeight="1">
      <c r="B154" s="3"/>
      <c r="C154" s="3"/>
      <c r="G154" s="141"/>
      <c r="H154" s="3"/>
      <c r="R154" s="65"/>
      <c r="AG154" s="91"/>
    </row>
    <row r="155" ht="15.0" customHeight="1">
      <c r="B155" s="3"/>
      <c r="C155" s="3"/>
      <c r="G155" s="141"/>
      <c r="H155" s="3"/>
      <c r="R155" s="65"/>
      <c r="AG155" s="91"/>
    </row>
    <row r="156" ht="15.0" customHeight="1">
      <c r="B156" s="3"/>
      <c r="C156" s="3"/>
      <c r="G156" s="141"/>
      <c r="H156" s="3"/>
      <c r="R156" s="65"/>
      <c r="AG156" s="91"/>
    </row>
    <row r="157" ht="15.0" customHeight="1">
      <c r="B157" s="3"/>
      <c r="C157" s="3"/>
      <c r="G157" s="141"/>
      <c r="H157" s="3"/>
      <c r="R157" s="65"/>
      <c r="AG157" s="91"/>
    </row>
    <row r="158" ht="15.0" customHeight="1">
      <c r="B158" s="3"/>
      <c r="C158" s="3"/>
      <c r="G158" s="141"/>
      <c r="H158" s="3"/>
      <c r="R158" s="65"/>
      <c r="AG158" s="91"/>
    </row>
    <row r="159" ht="15.0" customHeight="1">
      <c r="B159" s="3"/>
      <c r="C159" s="3"/>
      <c r="G159" s="141"/>
      <c r="H159" s="3"/>
      <c r="R159" s="65"/>
      <c r="AG159" s="91"/>
    </row>
    <row r="160" ht="15.0" customHeight="1">
      <c r="B160" s="3"/>
      <c r="C160" s="3"/>
      <c r="G160" s="141"/>
      <c r="H160" s="3"/>
      <c r="R160" s="65"/>
      <c r="AG160" s="91"/>
    </row>
    <row r="161" ht="15.0" customHeight="1">
      <c r="B161" s="3"/>
      <c r="C161" s="3"/>
      <c r="G161" s="141"/>
      <c r="H161" s="3"/>
      <c r="R161" s="65"/>
      <c r="AG161" s="91"/>
    </row>
    <row r="162" ht="15.0" customHeight="1">
      <c r="B162" s="3"/>
      <c r="C162" s="3"/>
      <c r="G162" s="141"/>
      <c r="H162" s="3"/>
      <c r="R162" s="65"/>
      <c r="AG162" s="91"/>
    </row>
    <row r="163" ht="15.0" customHeight="1">
      <c r="B163" s="3"/>
      <c r="C163" s="3"/>
      <c r="G163" s="141"/>
      <c r="H163" s="3"/>
      <c r="R163" s="65"/>
      <c r="AG163" s="91"/>
    </row>
    <row r="164" ht="15.0" customHeight="1">
      <c r="B164" s="3"/>
      <c r="C164" s="3"/>
      <c r="G164" s="141"/>
      <c r="H164" s="3"/>
      <c r="R164" s="65"/>
      <c r="AG164" s="91"/>
    </row>
    <row r="165" ht="15.0" customHeight="1">
      <c r="B165" s="3"/>
      <c r="C165" s="3"/>
      <c r="G165" s="141"/>
      <c r="H165" s="3"/>
      <c r="R165" s="65"/>
      <c r="AG165" s="91"/>
    </row>
    <row r="166" ht="15.0" customHeight="1">
      <c r="B166" s="3"/>
      <c r="C166" s="3"/>
      <c r="G166" s="141"/>
      <c r="H166" s="3"/>
      <c r="R166" s="65"/>
      <c r="AG166" s="91"/>
    </row>
    <row r="167" ht="15.0" customHeight="1">
      <c r="B167" s="3"/>
      <c r="C167" s="3"/>
      <c r="G167" s="141"/>
      <c r="H167" s="3"/>
      <c r="R167" s="65"/>
      <c r="AG167" s="91"/>
    </row>
    <row r="168" ht="15.0" customHeight="1">
      <c r="B168" s="3"/>
      <c r="C168" s="3"/>
      <c r="G168" s="141"/>
      <c r="H168" s="3"/>
      <c r="R168" s="65"/>
      <c r="AG168" s="91"/>
    </row>
    <row r="169" ht="15.0" customHeight="1">
      <c r="B169" s="3"/>
      <c r="C169" s="3"/>
      <c r="G169" s="141"/>
      <c r="H169" s="3"/>
      <c r="R169" s="65"/>
      <c r="AG169" s="91"/>
    </row>
    <row r="170" ht="15.0" customHeight="1">
      <c r="B170" s="3"/>
      <c r="C170" s="3"/>
      <c r="G170" s="141"/>
      <c r="H170" s="3"/>
      <c r="R170" s="65"/>
      <c r="AG170" s="91"/>
    </row>
    <row r="171" ht="15.0" customHeight="1">
      <c r="B171" s="3"/>
      <c r="C171" s="3"/>
      <c r="G171" s="141"/>
      <c r="H171" s="3"/>
      <c r="R171" s="65"/>
      <c r="AG171" s="91"/>
    </row>
    <row r="172" ht="15.0" customHeight="1">
      <c r="B172" s="3"/>
      <c r="C172" s="3"/>
      <c r="G172" s="141"/>
      <c r="H172" s="3"/>
      <c r="R172" s="65"/>
      <c r="AG172" s="91"/>
    </row>
    <row r="173" ht="15.0" customHeight="1">
      <c r="B173" s="3"/>
      <c r="C173" s="3"/>
      <c r="G173" s="141"/>
      <c r="H173" s="3"/>
      <c r="R173" s="65"/>
      <c r="AG173" s="91"/>
    </row>
    <row r="174" ht="15.0" customHeight="1">
      <c r="B174" s="3"/>
      <c r="C174" s="3"/>
      <c r="G174" s="141"/>
      <c r="H174" s="3"/>
      <c r="R174" s="65"/>
      <c r="AG174" s="91"/>
    </row>
    <row r="175" ht="15.0" customHeight="1">
      <c r="B175" s="3"/>
      <c r="C175" s="3"/>
      <c r="G175" s="141"/>
      <c r="H175" s="3"/>
      <c r="R175" s="65"/>
      <c r="AG175" s="91"/>
    </row>
    <row r="176" ht="15.0" customHeight="1">
      <c r="B176" s="3"/>
      <c r="C176" s="3"/>
      <c r="G176" s="141"/>
      <c r="H176" s="3"/>
      <c r="R176" s="65"/>
      <c r="AG176" s="91"/>
    </row>
    <row r="177" ht="15.0" customHeight="1">
      <c r="B177" s="3"/>
      <c r="C177" s="3"/>
      <c r="G177" s="141"/>
      <c r="H177" s="3"/>
      <c r="R177" s="65"/>
      <c r="AG177" s="91"/>
    </row>
    <row r="178" ht="15.0" customHeight="1">
      <c r="B178" s="3"/>
      <c r="C178" s="3"/>
      <c r="G178" s="141"/>
      <c r="H178" s="3"/>
      <c r="R178" s="65"/>
      <c r="AG178" s="91"/>
    </row>
    <row r="179" ht="15.0" customHeight="1">
      <c r="B179" s="3"/>
      <c r="C179" s="3"/>
      <c r="G179" s="141"/>
      <c r="H179" s="3"/>
      <c r="R179" s="65"/>
      <c r="AG179" s="91"/>
    </row>
    <row r="180" ht="15.0" customHeight="1">
      <c r="B180" s="3"/>
      <c r="C180" s="3"/>
      <c r="G180" s="141"/>
      <c r="H180" s="3"/>
      <c r="R180" s="65"/>
      <c r="AG180" s="91"/>
    </row>
    <row r="181" ht="15.0" customHeight="1">
      <c r="B181" s="3"/>
      <c r="C181" s="3"/>
      <c r="G181" s="141"/>
      <c r="H181" s="3"/>
      <c r="R181" s="65"/>
      <c r="AG181" s="91"/>
    </row>
    <row r="182" ht="15.0" customHeight="1">
      <c r="B182" s="3"/>
      <c r="C182" s="3"/>
      <c r="G182" s="141"/>
      <c r="H182" s="3"/>
      <c r="R182" s="65"/>
      <c r="AG182" s="91"/>
    </row>
    <row r="183" ht="15.0" customHeight="1">
      <c r="B183" s="3"/>
      <c r="C183" s="3"/>
      <c r="G183" s="141"/>
      <c r="H183" s="3"/>
      <c r="R183" s="65"/>
      <c r="AG183" s="91"/>
    </row>
    <row r="184" ht="15.0" customHeight="1">
      <c r="B184" s="3"/>
      <c r="C184" s="3"/>
      <c r="G184" s="141"/>
      <c r="H184" s="3"/>
      <c r="R184" s="65"/>
      <c r="AG184" s="91"/>
    </row>
    <row r="185" ht="15.0" customHeight="1">
      <c r="B185" s="3"/>
      <c r="C185" s="3"/>
      <c r="G185" s="141"/>
      <c r="H185" s="3"/>
      <c r="R185" s="65"/>
      <c r="AG185" s="91"/>
    </row>
    <row r="186" ht="15.0" customHeight="1">
      <c r="B186" s="3"/>
      <c r="C186" s="3"/>
      <c r="G186" s="141"/>
      <c r="H186" s="3"/>
      <c r="R186" s="65"/>
      <c r="AG186" s="91"/>
    </row>
    <row r="187" ht="15.0" customHeight="1">
      <c r="B187" s="3"/>
      <c r="C187" s="3"/>
      <c r="G187" s="141"/>
      <c r="H187" s="3"/>
      <c r="R187" s="65"/>
      <c r="AG187" s="91"/>
    </row>
    <row r="188" ht="15.0" customHeight="1">
      <c r="B188" s="3"/>
      <c r="C188" s="3"/>
      <c r="G188" s="141"/>
      <c r="H188" s="3"/>
      <c r="R188" s="65"/>
      <c r="AG188" s="91"/>
    </row>
    <row r="189" ht="15.0" customHeight="1">
      <c r="B189" s="3"/>
      <c r="C189" s="3"/>
      <c r="G189" s="141"/>
      <c r="H189" s="3"/>
      <c r="R189" s="65"/>
      <c r="AG189" s="91"/>
    </row>
    <row r="190" ht="15.0" customHeight="1">
      <c r="B190" s="3"/>
      <c r="C190" s="3"/>
      <c r="G190" s="141"/>
      <c r="H190" s="3"/>
      <c r="R190" s="65"/>
      <c r="AG190" s="91"/>
    </row>
    <row r="191" ht="15.0" customHeight="1">
      <c r="B191" s="3"/>
      <c r="C191" s="3"/>
      <c r="G191" s="141"/>
      <c r="H191" s="3"/>
      <c r="R191" s="65"/>
      <c r="AG191" s="91"/>
    </row>
    <row r="192" ht="15.0" customHeight="1">
      <c r="B192" s="3"/>
      <c r="C192" s="3"/>
      <c r="G192" s="141"/>
      <c r="H192" s="3"/>
      <c r="R192" s="65"/>
      <c r="AG192" s="91"/>
    </row>
    <row r="193" ht="15.0" customHeight="1">
      <c r="B193" s="3"/>
      <c r="C193" s="3"/>
      <c r="G193" s="141"/>
      <c r="H193" s="3"/>
      <c r="R193" s="65"/>
      <c r="AG193" s="91"/>
    </row>
    <row r="194" ht="15.0" customHeight="1">
      <c r="B194" s="3"/>
      <c r="C194" s="3"/>
      <c r="G194" s="141"/>
      <c r="H194" s="3"/>
      <c r="R194" s="65"/>
      <c r="AG194" s="91"/>
    </row>
    <row r="195" ht="15.0" customHeight="1">
      <c r="B195" s="3"/>
      <c r="C195" s="3"/>
      <c r="G195" s="141"/>
      <c r="H195" s="3"/>
      <c r="R195" s="65"/>
      <c r="AG195" s="91"/>
    </row>
    <row r="196" ht="15.0" customHeight="1">
      <c r="B196" s="3"/>
      <c r="C196" s="3"/>
      <c r="G196" s="141"/>
      <c r="H196" s="3"/>
      <c r="R196" s="65"/>
      <c r="AG196" s="91"/>
    </row>
    <row r="197" ht="15.0" customHeight="1">
      <c r="B197" s="3"/>
      <c r="C197" s="3"/>
      <c r="G197" s="141"/>
      <c r="H197" s="3"/>
      <c r="R197" s="65"/>
      <c r="AG197" s="91"/>
    </row>
    <row r="198" ht="15.0" customHeight="1">
      <c r="B198" s="3"/>
      <c r="C198" s="3"/>
      <c r="G198" s="141"/>
      <c r="H198" s="3"/>
      <c r="R198" s="65"/>
      <c r="AG198" s="91"/>
    </row>
    <row r="199" ht="15.0" customHeight="1">
      <c r="B199" s="3"/>
      <c r="C199" s="3"/>
      <c r="G199" s="141"/>
      <c r="H199" s="3"/>
      <c r="R199" s="65"/>
      <c r="AG199" s="91"/>
    </row>
    <row r="200" ht="15.0" customHeight="1">
      <c r="B200" s="3"/>
      <c r="C200" s="3"/>
      <c r="G200" s="141"/>
      <c r="H200" s="3"/>
      <c r="R200" s="65"/>
      <c r="AG200" s="91"/>
    </row>
    <row r="201" ht="15.0" customHeight="1">
      <c r="B201" s="3"/>
      <c r="C201" s="3"/>
      <c r="G201" s="141"/>
      <c r="H201" s="3"/>
      <c r="R201" s="65"/>
      <c r="AG201" s="91"/>
    </row>
    <row r="202" ht="15.0" customHeight="1">
      <c r="B202" s="3"/>
      <c r="C202" s="3"/>
      <c r="G202" s="141"/>
      <c r="H202" s="3"/>
      <c r="R202" s="65"/>
      <c r="AG202" s="91"/>
    </row>
    <row r="203" ht="15.0" customHeight="1">
      <c r="B203" s="3"/>
      <c r="C203" s="3"/>
      <c r="G203" s="141"/>
      <c r="H203" s="3"/>
      <c r="R203" s="65"/>
      <c r="AG203" s="91"/>
    </row>
    <row r="204" ht="15.0" customHeight="1">
      <c r="B204" s="3"/>
      <c r="C204" s="3"/>
      <c r="G204" s="141"/>
      <c r="H204" s="3"/>
      <c r="R204" s="65"/>
      <c r="AG204" s="91"/>
    </row>
    <row r="205" ht="15.0" customHeight="1">
      <c r="B205" s="3"/>
      <c r="C205" s="3"/>
      <c r="G205" s="141"/>
      <c r="H205" s="3"/>
      <c r="R205" s="65"/>
      <c r="AG205" s="91"/>
    </row>
    <row r="206" ht="15.0" customHeight="1">
      <c r="B206" s="3"/>
      <c r="C206" s="3"/>
      <c r="G206" s="141"/>
      <c r="H206" s="3"/>
      <c r="R206" s="65"/>
      <c r="AG206" s="91"/>
    </row>
    <row r="207" ht="15.0" customHeight="1">
      <c r="B207" s="3"/>
      <c r="C207" s="3"/>
      <c r="G207" s="141"/>
      <c r="H207" s="3"/>
      <c r="R207" s="65"/>
      <c r="AG207" s="91"/>
    </row>
    <row r="208" ht="15.0" customHeight="1">
      <c r="B208" s="3"/>
      <c r="C208" s="3"/>
      <c r="G208" s="141"/>
      <c r="H208" s="3"/>
      <c r="R208" s="65"/>
      <c r="AG208" s="91"/>
    </row>
    <row r="209" ht="15.0" customHeight="1">
      <c r="B209" s="3"/>
      <c r="C209" s="3"/>
      <c r="G209" s="141"/>
      <c r="H209" s="3"/>
      <c r="R209" s="65"/>
      <c r="AG209" s="91"/>
    </row>
    <row r="210" ht="15.0" customHeight="1">
      <c r="B210" s="3"/>
      <c r="C210" s="3"/>
      <c r="G210" s="141"/>
      <c r="H210" s="3"/>
      <c r="R210" s="65"/>
      <c r="AG210" s="91"/>
    </row>
    <row r="211" ht="15.0" customHeight="1">
      <c r="B211" s="3"/>
      <c r="C211" s="3"/>
      <c r="G211" s="141"/>
      <c r="H211" s="3"/>
      <c r="R211" s="65"/>
      <c r="AG211" s="91"/>
    </row>
    <row r="212" ht="15.0" customHeight="1">
      <c r="B212" s="3"/>
      <c r="C212" s="3"/>
      <c r="G212" s="141"/>
      <c r="H212" s="3"/>
      <c r="R212" s="65"/>
      <c r="AG212" s="91"/>
    </row>
    <row r="213" ht="15.0" customHeight="1">
      <c r="B213" s="3"/>
      <c r="C213" s="3"/>
      <c r="G213" s="141"/>
      <c r="H213" s="3"/>
      <c r="R213" s="65"/>
      <c r="AG213" s="91"/>
    </row>
    <row r="214" ht="15.0" customHeight="1">
      <c r="B214" s="3"/>
      <c r="C214" s="3"/>
      <c r="G214" s="141"/>
      <c r="H214" s="3"/>
      <c r="R214" s="65"/>
      <c r="AG214" s="91"/>
    </row>
    <row r="215" ht="15.0" customHeight="1">
      <c r="B215" s="3"/>
      <c r="C215" s="3"/>
      <c r="G215" s="141"/>
      <c r="H215" s="3"/>
      <c r="R215" s="65"/>
      <c r="AG215" s="91"/>
    </row>
    <row r="216" ht="15.0" customHeight="1">
      <c r="B216" s="3"/>
      <c r="C216" s="3"/>
      <c r="G216" s="141"/>
      <c r="H216" s="3"/>
      <c r="R216" s="65"/>
      <c r="AG216" s="91"/>
    </row>
    <row r="217" ht="15.0" customHeight="1">
      <c r="B217" s="3"/>
      <c r="C217" s="3"/>
      <c r="G217" s="141"/>
      <c r="H217" s="3"/>
      <c r="R217" s="65"/>
      <c r="AG217" s="91"/>
    </row>
    <row r="218" ht="15.0" customHeight="1">
      <c r="B218" s="3"/>
      <c r="C218" s="3"/>
      <c r="G218" s="141"/>
      <c r="H218" s="3"/>
      <c r="R218" s="65"/>
      <c r="AG218" s="91"/>
    </row>
    <row r="219" ht="15.0" customHeight="1">
      <c r="B219" s="3"/>
      <c r="C219" s="3"/>
      <c r="G219" s="141"/>
      <c r="H219" s="3"/>
      <c r="R219" s="65"/>
      <c r="AG219" s="91"/>
    </row>
    <row r="220" ht="15.0" customHeight="1">
      <c r="B220" s="3"/>
      <c r="C220" s="3"/>
      <c r="G220" s="141"/>
      <c r="H220" s="3"/>
      <c r="R220" s="65"/>
      <c r="AG220" s="91"/>
    </row>
    <row r="221" ht="15.0" customHeight="1">
      <c r="B221" s="3"/>
      <c r="C221" s="3"/>
      <c r="G221" s="141"/>
      <c r="H221" s="3"/>
      <c r="R221" s="65"/>
      <c r="AG221" s="91"/>
    </row>
    <row r="222" ht="15.0" customHeight="1">
      <c r="B222" s="3"/>
      <c r="C222" s="3"/>
      <c r="G222" s="141"/>
      <c r="H222" s="3"/>
      <c r="R222" s="65"/>
      <c r="AG222" s="91"/>
    </row>
    <row r="223" ht="15.0" customHeight="1">
      <c r="B223" s="3"/>
      <c r="C223" s="3"/>
      <c r="G223" s="141"/>
      <c r="H223" s="3"/>
      <c r="R223" s="65"/>
      <c r="AG223" s="91"/>
    </row>
    <row r="224" ht="15.0" customHeight="1">
      <c r="B224" s="3"/>
      <c r="C224" s="3"/>
      <c r="G224" s="141"/>
      <c r="H224" s="3"/>
      <c r="R224" s="65"/>
      <c r="AG224" s="91"/>
    </row>
    <row r="225" ht="15.0" customHeight="1">
      <c r="B225" s="3"/>
      <c r="C225" s="3"/>
      <c r="G225" s="141"/>
      <c r="H225" s="3"/>
      <c r="R225" s="65"/>
      <c r="AG225" s="91"/>
    </row>
    <row r="226" ht="15.0" customHeight="1">
      <c r="B226" s="3"/>
      <c r="C226" s="3"/>
      <c r="G226" s="141"/>
      <c r="H226" s="3"/>
      <c r="R226" s="65"/>
      <c r="AG226" s="91"/>
    </row>
    <row r="227" ht="15.0" customHeight="1">
      <c r="B227" s="3"/>
      <c r="C227" s="3"/>
      <c r="G227" s="141"/>
      <c r="H227" s="3"/>
      <c r="R227" s="65"/>
      <c r="AG227" s="91"/>
    </row>
    <row r="228" ht="15.0" customHeight="1">
      <c r="B228" s="3"/>
      <c r="C228" s="3"/>
      <c r="G228" s="141"/>
      <c r="H228" s="3"/>
      <c r="R228" s="65"/>
      <c r="AG228" s="91"/>
    </row>
    <row r="229" ht="15.0" customHeight="1">
      <c r="B229" s="3"/>
      <c r="C229" s="3"/>
      <c r="G229" s="141"/>
      <c r="H229" s="3"/>
      <c r="R229" s="65"/>
      <c r="AG229" s="91"/>
    </row>
    <row r="230" ht="15.0" customHeight="1">
      <c r="B230" s="3"/>
      <c r="C230" s="3"/>
      <c r="G230" s="141"/>
      <c r="H230" s="3"/>
      <c r="R230" s="65"/>
      <c r="AG230" s="91"/>
    </row>
    <row r="231" ht="15.0" customHeight="1">
      <c r="B231" s="3"/>
      <c r="C231" s="3"/>
      <c r="G231" s="141"/>
      <c r="H231" s="3"/>
      <c r="R231" s="65"/>
      <c r="AG231" s="91"/>
    </row>
    <row r="232" ht="15.0" customHeight="1">
      <c r="B232" s="3"/>
      <c r="C232" s="3"/>
      <c r="G232" s="141"/>
      <c r="H232" s="3"/>
      <c r="R232" s="65"/>
      <c r="AG232" s="91"/>
    </row>
    <row r="233" ht="15.0" customHeight="1">
      <c r="B233" s="3"/>
      <c r="C233" s="3"/>
      <c r="G233" s="141"/>
      <c r="H233" s="3"/>
      <c r="R233" s="65"/>
      <c r="AG233" s="91"/>
    </row>
    <row r="234" ht="15.0" customHeight="1">
      <c r="B234" s="3"/>
      <c r="C234" s="3"/>
      <c r="G234" s="141"/>
      <c r="H234" s="3"/>
      <c r="R234" s="65"/>
      <c r="AG234" s="91"/>
    </row>
    <row r="235" ht="15.0" customHeight="1">
      <c r="B235" s="3"/>
      <c r="C235" s="3"/>
      <c r="G235" s="141"/>
      <c r="H235" s="3"/>
      <c r="R235" s="65"/>
      <c r="AG235" s="91"/>
    </row>
    <row r="236" ht="15.0" customHeight="1">
      <c r="B236" s="3"/>
      <c r="C236" s="3"/>
      <c r="G236" s="141"/>
      <c r="H236" s="3"/>
      <c r="R236" s="65"/>
      <c r="AG236" s="91"/>
    </row>
    <row r="237" ht="15.0" customHeight="1">
      <c r="B237" s="3"/>
      <c r="C237" s="3"/>
      <c r="G237" s="141"/>
      <c r="H237" s="3"/>
      <c r="R237" s="65"/>
      <c r="AG237" s="91"/>
    </row>
    <row r="238" ht="15.0" customHeight="1">
      <c r="B238" s="3"/>
      <c r="C238" s="3"/>
      <c r="G238" s="141"/>
      <c r="H238" s="3"/>
      <c r="R238" s="65"/>
      <c r="AG238" s="91"/>
    </row>
    <row r="239" ht="15.0" customHeight="1">
      <c r="B239" s="3"/>
      <c r="C239" s="3"/>
      <c r="G239" s="141"/>
      <c r="H239" s="3"/>
      <c r="R239" s="65"/>
      <c r="AG239" s="91"/>
    </row>
    <row r="240" ht="15.0" customHeight="1">
      <c r="B240" s="3"/>
      <c r="C240" s="3"/>
      <c r="G240" s="141"/>
      <c r="H240" s="3"/>
      <c r="R240" s="65"/>
      <c r="AG240" s="91"/>
    </row>
    <row r="241" ht="15.0" customHeight="1">
      <c r="B241" s="3"/>
      <c r="C241" s="3"/>
      <c r="G241" s="141"/>
      <c r="H241" s="3"/>
      <c r="R241" s="65"/>
      <c r="AG241" s="91"/>
    </row>
    <row r="242" ht="15.0" customHeight="1">
      <c r="B242" s="3"/>
      <c r="C242" s="3"/>
      <c r="G242" s="141"/>
      <c r="H242" s="3"/>
      <c r="R242" s="65"/>
      <c r="AG242" s="91"/>
    </row>
    <row r="243" ht="15.0" customHeight="1">
      <c r="B243" s="3"/>
      <c r="C243" s="3"/>
      <c r="G243" s="141"/>
      <c r="H243" s="3"/>
      <c r="R243" s="65"/>
      <c r="AG243" s="91"/>
    </row>
    <row r="244" ht="15.0" customHeight="1">
      <c r="B244" s="3"/>
      <c r="C244" s="3"/>
      <c r="G244" s="141"/>
      <c r="H244" s="3"/>
      <c r="R244" s="65"/>
      <c r="AG244" s="91"/>
    </row>
    <row r="245" ht="15.0" customHeight="1">
      <c r="B245" s="3"/>
      <c r="C245" s="3"/>
      <c r="G245" s="141"/>
      <c r="H245" s="3"/>
      <c r="R245" s="65"/>
      <c r="AG245" s="91"/>
    </row>
    <row r="246" ht="15.0" customHeight="1">
      <c r="B246" s="3"/>
      <c r="C246" s="3"/>
      <c r="G246" s="141"/>
      <c r="H246" s="3"/>
      <c r="R246" s="65"/>
      <c r="AG246" s="91"/>
    </row>
    <row r="247" ht="15.0" customHeight="1">
      <c r="B247" s="3"/>
      <c r="C247" s="3"/>
      <c r="G247" s="141"/>
      <c r="H247" s="3"/>
      <c r="R247" s="65"/>
      <c r="AG247" s="91"/>
    </row>
    <row r="248" ht="15.0" customHeight="1">
      <c r="B248" s="3"/>
      <c r="C248" s="3"/>
      <c r="G248" s="141"/>
      <c r="H248" s="3"/>
      <c r="R248" s="65"/>
      <c r="AG248" s="91"/>
    </row>
    <row r="249" ht="15.0" customHeight="1">
      <c r="B249" s="3"/>
      <c r="C249" s="3"/>
      <c r="G249" s="141"/>
      <c r="H249" s="3"/>
      <c r="R249" s="65"/>
      <c r="AG249" s="91"/>
    </row>
    <row r="250" ht="15.0" customHeight="1">
      <c r="B250" s="3"/>
      <c r="C250" s="3"/>
      <c r="G250" s="141"/>
      <c r="H250" s="3"/>
      <c r="R250" s="65"/>
      <c r="AG250" s="91"/>
    </row>
    <row r="251" ht="15.0" customHeight="1">
      <c r="B251" s="3"/>
      <c r="C251" s="3"/>
      <c r="G251" s="141"/>
      <c r="H251" s="3"/>
      <c r="R251" s="65"/>
      <c r="AG251" s="91"/>
    </row>
    <row r="252" ht="15.0" customHeight="1">
      <c r="B252" s="3"/>
      <c r="C252" s="3"/>
      <c r="G252" s="141"/>
      <c r="H252" s="3"/>
      <c r="R252" s="65"/>
      <c r="AG252" s="91"/>
    </row>
    <row r="253" ht="15.0" customHeight="1">
      <c r="B253" s="3"/>
      <c r="C253" s="3"/>
      <c r="G253" s="141"/>
      <c r="H253" s="3"/>
      <c r="R253" s="65"/>
      <c r="AG253" s="91"/>
    </row>
    <row r="254" ht="15.0" customHeight="1">
      <c r="B254" s="3"/>
      <c r="C254" s="3"/>
      <c r="G254" s="141"/>
      <c r="H254" s="3"/>
      <c r="R254" s="65"/>
      <c r="AG254" s="91"/>
    </row>
    <row r="255" ht="15.0" customHeight="1">
      <c r="B255" s="3"/>
      <c r="C255" s="3"/>
      <c r="G255" s="141"/>
      <c r="H255" s="3"/>
      <c r="R255" s="65"/>
      <c r="AG255" s="91"/>
    </row>
    <row r="256" ht="15.0" customHeight="1">
      <c r="B256" s="3"/>
      <c r="C256" s="3"/>
      <c r="G256" s="141"/>
      <c r="H256" s="3"/>
      <c r="R256" s="65"/>
      <c r="AG256" s="91"/>
    </row>
    <row r="257" ht="15.0" customHeight="1">
      <c r="B257" s="3"/>
      <c r="C257" s="3"/>
      <c r="G257" s="141"/>
      <c r="H257" s="3"/>
      <c r="R257" s="65"/>
      <c r="AG257" s="91"/>
    </row>
    <row r="258" ht="15.0" customHeight="1">
      <c r="B258" s="3"/>
      <c r="C258" s="3"/>
      <c r="G258" s="141"/>
      <c r="H258" s="3"/>
      <c r="R258" s="65"/>
      <c r="AG258" s="91"/>
    </row>
    <row r="259" ht="15.0" customHeight="1">
      <c r="B259" s="3"/>
      <c r="C259" s="3"/>
      <c r="G259" s="141"/>
      <c r="H259" s="3"/>
      <c r="R259" s="65"/>
      <c r="AG259" s="91"/>
    </row>
    <row r="260" ht="15.0" customHeight="1">
      <c r="B260" s="3"/>
      <c r="C260" s="3"/>
      <c r="G260" s="141"/>
      <c r="H260" s="3"/>
      <c r="R260" s="65"/>
      <c r="AG260" s="91"/>
    </row>
    <row r="261" ht="15.0" customHeight="1">
      <c r="B261" s="3"/>
      <c r="C261" s="3"/>
      <c r="G261" s="141"/>
      <c r="H261" s="3"/>
      <c r="R261" s="65"/>
      <c r="AG261" s="91"/>
    </row>
    <row r="262" ht="15.0" customHeight="1">
      <c r="B262" s="3"/>
      <c r="C262" s="3"/>
      <c r="G262" s="141"/>
      <c r="H262" s="3"/>
      <c r="R262" s="65"/>
      <c r="AG262" s="91"/>
    </row>
    <row r="263" ht="15.0" customHeight="1">
      <c r="B263" s="3"/>
      <c r="C263" s="3"/>
      <c r="G263" s="141"/>
      <c r="H263" s="3"/>
      <c r="R263" s="65"/>
      <c r="AG263" s="91"/>
    </row>
    <row r="264" ht="15.0" customHeight="1">
      <c r="B264" s="3"/>
      <c r="C264" s="3"/>
      <c r="G264" s="141"/>
      <c r="H264" s="3"/>
      <c r="R264" s="65"/>
      <c r="AG264" s="91"/>
    </row>
    <row r="265" ht="15.0" customHeight="1">
      <c r="B265" s="3"/>
      <c r="C265" s="3"/>
      <c r="G265" s="141"/>
      <c r="H265" s="3"/>
      <c r="R265" s="65"/>
      <c r="AG265" s="91"/>
    </row>
    <row r="266" ht="15.0" customHeight="1">
      <c r="B266" s="3"/>
      <c r="C266" s="3"/>
      <c r="G266" s="141"/>
      <c r="H266" s="3"/>
      <c r="R266" s="65"/>
      <c r="AG266" s="91"/>
    </row>
    <row r="267" ht="15.0" customHeight="1">
      <c r="B267" s="3"/>
      <c r="C267" s="3"/>
      <c r="G267" s="141"/>
      <c r="H267" s="3"/>
      <c r="R267" s="65"/>
      <c r="AG267" s="91"/>
    </row>
    <row r="268" ht="15.0" customHeight="1">
      <c r="B268" s="3"/>
      <c r="C268" s="3"/>
      <c r="G268" s="141"/>
      <c r="H268" s="3"/>
      <c r="R268" s="65"/>
      <c r="AG268" s="91"/>
    </row>
    <row r="269" ht="15.0" customHeight="1">
      <c r="B269" s="3"/>
      <c r="C269" s="3"/>
      <c r="G269" s="141"/>
      <c r="H269" s="3"/>
      <c r="R269" s="65"/>
      <c r="AG269" s="91"/>
    </row>
    <row r="270" ht="15.0" customHeight="1">
      <c r="B270" s="3"/>
      <c r="C270" s="3"/>
      <c r="G270" s="141"/>
      <c r="H270" s="3"/>
      <c r="R270" s="65"/>
      <c r="AG270" s="91"/>
    </row>
    <row r="271" ht="15.0" customHeight="1">
      <c r="B271" s="3"/>
      <c r="C271" s="3"/>
      <c r="G271" s="141"/>
      <c r="H271" s="3"/>
      <c r="R271" s="65"/>
      <c r="AG271" s="91"/>
    </row>
    <row r="272" ht="15.0" customHeight="1">
      <c r="B272" s="3"/>
      <c r="C272" s="3"/>
      <c r="G272" s="141"/>
      <c r="H272" s="3"/>
      <c r="R272" s="65"/>
      <c r="AG272" s="91"/>
    </row>
    <row r="273" ht="15.0" customHeight="1">
      <c r="B273" s="3"/>
      <c r="C273" s="3"/>
      <c r="G273" s="141"/>
      <c r="H273" s="3"/>
      <c r="R273" s="65"/>
      <c r="AG273" s="91"/>
    </row>
    <row r="274" ht="15.0" customHeight="1">
      <c r="B274" s="3"/>
      <c r="C274" s="3"/>
      <c r="G274" s="141"/>
      <c r="H274" s="3"/>
      <c r="R274" s="65"/>
      <c r="AG274" s="91"/>
    </row>
    <row r="275" ht="15.0" customHeight="1">
      <c r="B275" s="3"/>
      <c r="C275" s="3"/>
      <c r="G275" s="141"/>
      <c r="H275" s="3"/>
      <c r="R275" s="65"/>
      <c r="AG275" s="91"/>
    </row>
    <row r="276" ht="15.0" customHeight="1">
      <c r="B276" s="3"/>
      <c r="C276" s="3"/>
      <c r="G276" s="141"/>
      <c r="H276" s="3"/>
      <c r="R276" s="65"/>
      <c r="AG276" s="91"/>
    </row>
    <row r="277" ht="15.0" customHeight="1">
      <c r="B277" s="3"/>
      <c r="C277" s="3"/>
      <c r="G277" s="141"/>
      <c r="H277" s="3"/>
      <c r="R277" s="65"/>
      <c r="AG277" s="91"/>
    </row>
    <row r="278" ht="15.0" customHeight="1">
      <c r="B278" s="3"/>
      <c r="C278" s="3"/>
      <c r="G278" s="141"/>
      <c r="H278" s="3"/>
      <c r="R278" s="65"/>
      <c r="AG278" s="91"/>
    </row>
    <row r="279" ht="15.0" customHeight="1">
      <c r="B279" s="3"/>
      <c r="C279" s="3"/>
      <c r="G279" s="141"/>
      <c r="H279" s="3"/>
      <c r="R279" s="65"/>
      <c r="AG279" s="91"/>
    </row>
    <row r="280" ht="15.0" customHeight="1">
      <c r="B280" s="3"/>
      <c r="C280" s="3"/>
      <c r="G280" s="141"/>
      <c r="H280" s="3"/>
      <c r="R280" s="65"/>
      <c r="AG280" s="91"/>
    </row>
    <row r="281" ht="15.0" customHeight="1">
      <c r="B281" s="3"/>
      <c r="C281" s="3"/>
      <c r="G281" s="141"/>
      <c r="H281" s="3"/>
      <c r="R281" s="65"/>
      <c r="AG281" s="91"/>
    </row>
    <row r="282" ht="15.0" customHeight="1">
      <c r="B282" s="3"/>
      <c r="C282" s="3"/>
      <c r="G282" s="141"/>
      <c r="H282" s="3"/>
      <c r="R282" s="65"/>
      <c r="AG282" s="91"/>
    </row>
    <row r="283" ht="15.0" customHeight="1">
      <c r="B283" s="3"/>
      <c r="C283" s="3"/>
      <c r="G283" s="141"/>
      <c r="H283" s="3"/>
      <c r="R283" s="65"/>
      <c r="AG283" s="91"/>
    </row>
    <row r="284" ht="15.0" customHeight="1">
      <c r="B284" s="3"/>
      <c r="C284" s="3"/>
      <c r="G284" s="141"/>
      <c r="H284" s="3"/>
      <c r="R284" s="65"/>
      <c r="AG284" s="91"/>
    </row>
    <row r="285" ht="15.0" customHeight="1">
      <c r="B285" s="3"/>
      <c r="C285" s="3"/>
      <c r="G285" s="141"/>
      <c r="H285" s="3"/>
      <c r="R285" s="65"/>
      <c r="AG285" s="91"/>
    </row>
    <row r="286" ht="15.0" customHeight="1">
      <c r="B286" s="3"/>
      <c r="C286" s="3"/>
      <c r="G286" s="141"/>
      <c r="H286" s="3"/>
      <c r="R286" s="65"/>
      <c r="AG286" s="91"/>
    </row>
    <row r="287" ht="15.0" customHeight="1">
      <c r="B287" s="3"/>
      <c r="C287" s="3"/>
      <c r="G287" s="141"/>
      <c r="H287" s="3"/>
      <c r="R287" s="65"/>
      <c r="AG287" s="91"/>
    </row>
    <row r="288" ht="15.0" customHeight="1">
      <c r="B288" s="3"/>
      <c r="C288" s="3"/>
      <c r="G288" s="141"/>
      <c r="H288" s="3"/>
      <c r="R288" s="65"/>
      <c r="AG288" s="91"/>
    </row>
    <row r="289" ht="15.0" customHeight="1">
      <c r="B289" s="3"/>
      <c r="C289" s="3"/>
      <c r="G289" s="141"/>
      <c r="H289" s="3"/>
      <c r="R289" s="65"/>
      <c r="AG289" s="91"/>
    </row>
    <row r="290" ht="15.0" customHeight="1">
      <c r="B290" s="3"/>
      <c r="C290" s="3"/>
      <c r="G290" s="141"/>
      <c r="H290" s="3"/>
      <c r="R290" s="65"/>
      <c r="AG290" s="91"/>
    </row>
    <row r="291" ht="15.0" customHeight="1">
      <c r="B291" s="3"/>
      <c r="C291" s="3"/>
      <c r="G291" s="141"/>
      <c r="H291" s="3"/>
      <c r="R291" s="65"/>
      <c r="AG291" s="91"/>
    </row>
    <row r="292" ht="15.0" customHeight="1">
      <c r="B292" s="3"/>
      <c r="C292" s="3"/>
      <c r="G292" s="141"/>
      <c r="H292" s="3"/>
      <c r="R292" s="65"/>
      <c r="AG292" s="91"/>
    </row>
    <row r="293" ht="15.0" customHeight="1">
      <c r="B293" s="3"/>
      <c r="C293" s="3"/>
      <c r="G293" s="141"/>
      <c r="H293" s="3"/>
      <c r="R293" s="65"/>
      <c r="AG293" s="91"/>
    </row>
    <row r="294" ht="15.0" customHeight="1">
      <c r="B294" s="3"/>
      <c r="C294" s="3"/>
      <c r="G294" s="141"/>
      <c r="H294" s="3"/>
      <c r="R294" s="65"/>
      <c r="AG294" s="91"/>
    </row>
    <row r="295" ht="15.0" customHeight="1">
      <c r="B295" s="3"/>
      <c r="C295" s="3"/>
      <c r="G295" s="141"/>
      <c r="H295" s="3"/>
      <c r="R295" s="65"/>
      <c r="AG295" s="91"/>
    </row>
    <row r="296" ht="15.0" customHeight="1">
      <c r="B296" s="3"/>
      <c r="C296" s="3"/>
      <c r="G296" s="141"/>
      <c r="H296" s="3"/>
      <c r="R296" s="65"/>
      <c r="AG296" s="91"/>
    </row>
    <row r="297" ht="15.0" customHeight="1">
      <c r="B297" s="3"/>
      <c r="C297" s="3"/>
      <c r="G297" s="141"/>
      <c r="H297" s="3"/>
      <c r="R297" s="65"/>
      <c r="AG297" s="91"/>
    </row>
    <row r="298" ht="15.0" customHeight="1">
      <c r="B298" s="3"/>
      <c r="C298" s="3"/>
      <c r="G298" s="141"/>
      <c r="H298" s="3"/>
      <c r="R298" s="65"/>
      <c r="AG298" s="91"/>
    </row>
    <row r="299" ht="15.0" customHeight="1">
      <c r="B299" s="3"/>
      <c r="C299" s="3"/>
      <c r="G299" s="141"/>
      <c r="H299" s="3"/>
      <c r="R299" s="65"/>
      <c r="AG299" s="91"/>
    </row>
    <row r="300" ht="15.0" customHeight="1">
      <c r="B300" s="3"/>
      <c r="C300" s="3"/>
      <c r="G300" s="141"/>
      <c r="H300" s="3"/>
      <c r="R300" s="65"/>
      <c r="AG300" s="91"/>
    </row>
    <row r="301" ht="15.0" customHeight="1">
      <c r="B301" s="3"/>
      <c r="C301" s="3"/>
      <c r="G301" s="141"/>
      <c r="H301" s="3"/>
      <c r="R301" s="65"/>
      <c r="AG301" s="91"/>
    </row>
    <row r="302" ht="15.0" customHeight="1">
      <c r="B302" s="3"/>
      <c r="C302" s="3"/>
      <c r="G302" s="141"/>
      <c r="H302" s="3"/>
      <c r="R302" s="65"/>
      <c r="AG302" s="91"/>
    </row>
    <row r="303" ht="15.0" customHeight="1">
      <c r="B303" s="3"/>
      <c r="C303" s="3"/>
      <c r="G303" s="141"/>
      <c r="H303" s="3"/>
      <c r="R303" s="65"/>
      <c r="AG303" s="91"/>
    </row>
    <row r="304" ht="15.0" customHeight="1">
      <c r="B304" s="3"/>
      <c r="C304" s="3"/>
      <c r="G304" s="141"/>
      <c r="H304" s="3"/>
      <c r="R304" s="65"/>
      <c r="AG304" s="91"/>
    </row>
    <row r="305" ht="15.0" customHeight="1">
      <c r="B305" s="3"/>
      <c r="C305" s="3"/>
      <c r="G305" s="141"/>
      <c r="H305" s="3"/>
      <c r="R305" s="65"/>
      <c r="AG305" s="91"/>
    </row>
    <row r="306" ht="15.0" customHeight="1">
      <c r="B306" s="3"/>
      <c r="C306" s="3"/>
      <c r="G306" s="141"/>
      <c r="H306" s="3"/>
      <c r="R306" s="65"/>
      <c r="AG306" s="91"/>
    </row>
    <row r="307" ht="15.0" customHeight="1">
      <c r="B307" s="3"/>
      <c r="C307" s="3"/>
      <c r="G307" s="141"/>
      <c r="H307" s="3"/>
      <c r="R307" s="65"/>
      <c r="AG307" s="91"/>
    </row>
    <row r="308" ht="15.0" customHeight="1">
      <c r="B308" s="3"/>
      <c r="C308" s="3"/>
      <c r="G308" s="141"/>
      <c r="H308" s="3"/>
      <c r="R308" s="65"/>
      <c r="AG308" s="91"/>
    </row>
    <row r="309" ht="15.0" customHeight="1">
      <c r="B309" s="3"/>
      <c r="C309" s="3"/>
      <c r="G309" s="141"/>
      <c r="H309" s="3"/>
      <c r="R309" s="65"/>
      <c r="AG309" s="91"/>
    </row>
    <row r="310" ht="15.0" customHeight="1">
      <c r="B310" s="3"/>
      <c r="C310" s="3"/>
      <c r="G310" s="141"/>
      <c r="H310" s="3"/>
      <c r="R310" s="65"/>
      <c r="AG310" s="91"/>
    </row>
    <row r="311" ht="15.0" customHeight="1">
      <c r="B311" s="3"/>
      <c r="C311" s="3"/>
      <c r="G311" s="141"/>
      <c r="H311" s="3"/>
      <c r="R311" s="65"/>
      <c r="AG311" s="91"/>
    </row>
    <row r="312" ht="15.0" customHeight="1">
      <c r="B312" s="3"/>
      <c r="C312" s="3"/>
      <c r="G312" s="141"/>
      <c r="H312" s="3"/>
      <c r="R312" s="65"/>
      <c r="AG312" s="91"/>
    </row>
    <row r="313" ht="15.75" customHeight="1">
      <c r="B313" s="3"/>
      <c r="C313" s="3"/>
      <c r="H313" s="3"/>
      <c r="AG313" s="91"/>
    </row>
    <row r="314" ht="15.75" customHeight="1">
      <c r="B314" s="3"/>
      <c r="C314" s="3"/>
      <c r="H314" s="3"/>
      <c r="AG314" s="91"/>
    </row>
    <row r="315" ht="15.75" customHeight="1">
      <c r="B315" s="3"/>
      <c r="C315" s="3"/>
      <c r="H315" s="3"/>
      <c r="AG315" s="91"/>
    </row>
    <row r="316" ht="15.75" customHeight="1">
      <c r="B316" s="3"/>
      <c r="C316" s="3"/>
      <c r="H316" s="3"/>
      <c r="AG316" s="91"/>
    </row>
    <row r="317" ht="15.75" customHeight="1">
      <c r="B317" s="3"/>
      <c r="C317" s="3"/>
      <c r="H317" s="3"/>
      <c r="AG317" s="91"/>
    </row>
    <row r="318" ht="15.75" customHeight="1">
      <c r="B318" s="3"/>
      <c r="C318" s="3"/>
      <c r="H318" s="3"/>
      <c r="AG318" s="91"/>
    </row>
    <row r="319" ht="15.75" customHeight="1">
      <c r="B319" s="3"/>
      <c r="C319" s="3"/>
      <c r="H319" s="3"/>
      <c r="AG319" s="91"/>
    </row>
    <row r="320" ht="15.75" customHeight="1">
      <c r="B320" s="3"/>
      <c r="C320" s="3"/>
      <c r="H320" s="3"/>
      <c r="AG320" s="91"/>
    </row>
    <row r="321" ht="15.75" customHeight="1">
      <c r="B321" s="3"/>
      <c r="C321" s="3"/>
      <c r="H321" s="3"/>
      <c r="AG321" s="91"/>
    </row>
    <row r="322" ht="15.75" customHeight="1">
      <c r="B322" s="3"/>
      <c r="C322" s="3"/>
      <c r="H322" s="3"/>
      <c r="AG322" s="91"/>
    </row>
    <row r="323" ht="15.75" customHeight="1">
      <c r="B323" s="3"/>
      <c r="C323" s="3"/>
      <c r="H323" s="3"/>
      <c r="AG323" s="91"/>
    </row>
    <row r="324" ht="15.75" customHeight="1">
      <c r="B324" s="3"/>
      <c r="C324" s="3"/>
      <c r="H324" s="3"/>
      <c r="AG324" s="91"/>
    </row>
    <row r="325" ht="15.75" customHeight="1">
      <c r="B325" s="3"/>
      <c r="C325" s="3"/>
      <c r="H325" s="3"/>
      <c r="AG325" s="91"/>
    </row>
    <row r="326" ht="15.75" customHeight="1">
      <c r="B326" s="3"/>
      <c r="C326" s="3"/>
      <c r="H326" s="3"/>
      <c r="AG326" s="91"/>
    </row>
    <row r="327" ht="15.75" customHeight="1">
      <c r="B327" s="3"/>
      <c r="C327" s="3"/>
      <c r="H327" s="3"/>
      <c r="AG327" s="91"/>
    </row>
    <row r="328" ht="15.75" customHeight="1">
      <c r="B328" s="3"/>
      <c r="C328" s="3"/>
      <c r="H328" s="3"/>
      <c r="AG328" s="91"/>
    </row>
    <row r="329" ht="15.75" customHeight="1">
      <c r="B329" s="3"/>
      <c r="C329" s="3"/>
      <c r="H329" s="3"/>
      <c r="AG329" s="91"/>
    </row>
    <row r="330" ht="15.75" customHeight="1">
      <c r="B330" s="3"/>
      <c r="C330" s="3"/>
      <c r="H330" s="3"/>
      <c r="AG330" s="91"/>
    </row>
    <row r="331" ht="15.75" customHeight="1">
      <c r="B331" s="3"/>
      <c r="C331" s="3"/>
      <c r="H331" s="3"/>
      <c r="AG331" s="91"/>
    </row>
    <row r="332" ht="15.75" customHeight="1">
      <c r="B332" s="3"/>
      <c r="C332" s="3"/>
      <c r="H332" s="3"/>
      <c r="AG332" s="91"/>
    </row>
    <row r="333" ht="15.75" customHeight="1">
      <c r="B333" s="3"/>
      <c r="C333" s="3"/>
      <c r="H333" s="3"/>
      <c r="AG333" s="91"/>
    </row>
    <row r="334" ht="15.75" customHeight="1">
      <c r="B334" s="3"/>
      <c r="C334" s="3"/>
      <c r="H334" s="3"/>
      <c r="AG334" s="91"/>
    </row>
    <row r="335" ht="15.75" customHeight="1">
      <c r="B335" s="3"/>
      <c r="C335" s="3"/>
      <c r="H335" s="3"/>
      <c r="AG335" s="91"/>
    </row>
    <row r="336" ht="15.75" customHeight="1">
      <c r="B336" s="3"/>
      <c r="C336" s="3"/>
      <c r="H336" s="3"/>
      <c r="AG336" s="91"/>
    </row>
    <row r="337" ht="15.75" customHeight="1">
      <c r="B337" s="3"/>
      <c r="C337" s="3"/>
      <c r="H337" s="3"/>
      <c r="AG337" s="91"/>
    </row>
    <row r="338" ht="15.75" customHeight="1">
      <c r="B338" s="3"/>
      <c r="C338" s="3"/>
      <c r="H338" s="3"/>
      <c r="AG338" s="91"/>
    </row>
    <row r="339" ht="15.75" customHeight="1">
      <c r="B339" s="3"/>
      <c r="C339" s="3"/>
      <c r="H339" s="3"/>
      <c r="AG339" s="91"/>
    </row>
    <row r="340" ht="15.75" customHeight="1">
      <c r="B340" s="3"/>
      <c r="C340" s="3"/>
      <c r="H340" s="3"/>
      <c r="AG340" s="91"/>
    </row>
    <row r="341" ht="15.75" customHeight="1">
      <c r="B341" s="3"/>
      <c r="C341" s="3"/>
      <c r="H341" s="3"/>
      <c r="AG341" s="91"/>
    </row>
    <row r="342" ht="15.75" customHeight="1">
      <c r="B342" s="3"/>
      <c r="C342" s="3"/>
      <c r="H342" s="3"/>
      <c r="AG342" s="91"/>
    </row>
    <row r="343" ht="15.75" customHeight="1">
      <c r="B343" s="3"/>
      <c r="C343" s="3"/>
      <c r="H343" s="3"/>
      <c r="AG343" s="91"/>
    </row>
    <row r="344" ht="15.75" customHeight="1">
      <c r="B344" s="3"/>
      <c r="C344" s="3"/>
      <c r="H344" s="3"/>
      <c r="AG344" s="91"/>
    </row>
    <row r="345" ht="15.75" customHeight="1">
      <c r="B345" s="3"/>
      <c r="C345" s="3"/>
      <c r="H345" s="3"/>
      <c r="AG345" s="91"/>
    </row>
    <row r="346" ht="15.75" customHeight="1">
      <c r="B346" s="3"/>
      <c r="C346" s="3"/>
      <c r="H346" s="3"/>
      <c r="AG346" s="91"/>
    </row>
    <row r="347" ht="15.75" customHeight="1">
      <c r="B347" s="3"/>
      <c r="C347" s="3"/>
      <c r="H347" s="3"/>
      <c r="AG347" s="91"/>
    </row>
    <row r="348" ht="15.75" customHeight="1">
      <c r="B348" s="3"/>
      <c r="C348" s="3"/>
      <c r="H348" s="3"/>
      <c r="AG348" s="91"/>
    </row>
    <row r="349" ht="15.75" customHeight="1">
      <c r="B349" s="3"/>
      <c r="C349" s="3"/>
      <c r="H349" s="3"/>
      <c r="AG349" s="91"/>
    </row>
    <row r="350" ht="15.75" customHeight="1">
      <c r="B350" s="3"/>
      <c r="C350" s="3"/>
      <c r="H350" s="3"/>
      <c r="AG350" s="91"/>
    </row>
    <row r="351" ht="15.75" customHeight="1">
      <c r="B351" s="3"/>
      <c r="C351" s="3"/>
      <c r="H351" s="3"/>
      <c r="AG351" s="91"/>
    </row>
    <row r="352" ht="15.75" customHeight="1">
      <c r="B352" s="3"/>
      <c r="C352" s="3"/>
      <c r="H352" s="3"/>
      <c r="AG352" s="91"/>
    </row>
    <row r="353" ht="15.75" customHeight="1">
      <c r="B353" s="3"/>
      <c r="C353" s="3"/>
      <c r="H353" s="3"/>
      <c r="AG353" s="91"/>
    </row>
    <row r="354" ht="15.75" customHeight="1">
      <c r="B354" s="3"/>
      <c r="C354" s="3"/>
      <c r="H354" s="3"/>
      <c r="AG354" s="91"/>
    </row>
    <row r="355" ht="15.75" customHeight="1">
      <c r="B355" s="3"/>
      <c r="C355" s="3"/>
      <c r="H355" s="3"/>
      <c r="AG355" s="91"/>
    </row>
    <row r="356" ht="15.75" customHeight="1">
      <c r="B356" s="3"/>
      <c r="C356" s="3"/>
      <c r="H356" s="3"/>
      <c r="AG356" s="91"/>
    </row>
    <row r="357" ht="15.75" customHeight="1">
      <c r="B357" s="3"/>
      <c r="C357" s="3"/>
      <c r="H357" s="3"/>
      <c r="AG357" s="91"/>
    </row>
    <row r="358" ht="15.75" customHeight="1">
      <c r="B358" s="3"/>
      <c r="C358" s="3"/>
      <c r="H358" s="3"/>
      <c r="AG358" s="91"/>
    </row>
    <row r="359" ht="15.75" customHeight="1">
      <c r="B359" s="3"/>
      <c r="C359" s="3"/>
      <c r="H359" s="3"/>
      <c r="AG359" s="91"/>
    </row>
    <row r="360" ht="15.75" customHeight="1">
      <c r="B360" s="3"/>
      <c r="C360" s="3"/>
      <c r="H360" s="3"/>
      <c r="AG360" s="91"/>
    </row>
    <row r="361" ht="15.75" customHeight="1">
      <c r="B361" s="3"/>
      <c r="C361" s="3"/>
      <c r="H361" s="3"/>
      <c r="AG361" s="91"/>
    </row>
    <row r="362" ht="15.75" customHeight="1">
      <c r="B362" s="3"/>
      <c r="C362" s="3"/>
      <c r="H362" s="3"/>
      <c r="AG362" s="91"/>
    </row>
    <row r="363" ht="15.75" customHeight="1">
      <c r="B363" s="3"/>
      <c r="C363" s="3"/>
      <c r="H363" s="3"/>
      <c r="AG363" s="91"/>
    </row>
    <row r="364" ht="15.75" customHeight="1">
      <c r="B364" s="3"/>
      <c r="C364" s="3"/>
      <c r="H364" s="3"/>
      <c r="AG364" s="91"/>
    </row>
    <row r="365" ht="15.75" customHeight="1">
      <c r="B365" s="3"/>
      <c r="C365" s="3"/>
      <c r="H365" s="3"/>
      <c r="AG365" s="91"/>
    </row>
    <row r="366" ht="15.75" customHeight="1">
      <c r="B366" s="3"/>
      <c r="C366" s="3"/>
      <c r="H366" s="3"/>
      <c r="AG366" s="91"/>
    </row>
    <row r="367" ht="15.75" customHeight="1">
      <c r="B367" s="3"/>
      <c r="C367" s="3"/>
      <c r="H367" s="3"/>
      <c r="AG367" s="91"/>
    </row>
    <row r="368" ht="15.75" customHeight="1">
      <c r="B368" s="3"/>
      <c r="C368" s="3"/>
      <c r="H368" s="3"/>
      <c r="AG368" s="91"/>
    </row>
    <row r="369" ht="15.75" customHeight="1">
      <c r="B369" s="3"/>
      <c r="C369" s="3"/>
      <c r="H369" s="3"/>
      <c r="AG369" s="91"/>
    </row>
    <row r="370" ht="15.75" customHeight="1">
      <c r="B370" s="3"/>
      <c r="C370" s="3"/>
      <c r="H370" s="3"/>
      <c r="AG370" s="91"/>
    </row>
    <row r="371" ht="15.75" customHeight="1">
      <c r="B371" s="3"/>
      <c r="C371" s="3"/>
      <c r="H371" s="3"/>
      <c r="AG371" s="91"/>
    </row>
    <row r="372" ht="15.75" customHeight="1">
      <c r="B372" s="3"/>
      <c r="C372" s="3"/>
      <c r="H372" s="3"/>
      <c r="AG372" s="91"/>
    </row>
    <row r="373" ht="15.75" customHeight="1">
      <c r="B373" s="3"/>
      <c r="C373" s="3"/>
      <c r="H373" s="3"/>
      <c r="AG373" s="91"/>
    </row>
    <row r="374" ht="15.75" customHeight="1">
      <c r="B374" s="3"/>
      <c r="C374" s="3"/>
      <c r="H374" s="3"/>
      <c r="AG374" s="91"/>
    </row>
    <row r="375" ht="15.75" customHeight="1">
      <c r="B375" s="3"/>
      <c r="C375" s="3"/>
      <c r="H375" s="3"/>
      <c r="AG375" s="91"/>
    </row>
    <row r="376" ht="15.75" customHeight="1">
      <c r="B376" s="3"/>
      <c r="C376" s="3"/>
      <c r="H376" s="3"/>
      <c r="AG376" s="91"/>
    </row>
    <row r="377" ht="15.75" customHeight="1">
      <c r="B377" s="3"/>
      <c r="C377" s="3"/>
      <c r="H377" s="3"/>
      <c r="AG377" s="91"/>
    </row>
    <row r="378" ht="15.75" customHeight="1">
      <c r="B378" s="3"/>
      <c r="C378" s="3"/>
      <c r="H378" s="3"/>
      <c r="AG378" s="91"/>
    </row>
    <row r="379" ht="15.75" customHeight="1">
      <c r="B379" s="3"/>
      <c r="C379" s="3"/>
      <c r="H379" s="3"/>
      <c r="AG379" s="91"/>
    </row>
    <row r="380" ht="15.75" customHeight="1">
      <c r="B380" s="3"/>
      <c r="C380" s="3"/>
      <c r="H380" s="3"/>
      <c r="AG380" s="91"/>
    </row>
    <row r="381" ht="15.75" customHeight="1">
      <c r="B381" s="3"/>
      <c r="C381" s="3"/>
      <c r="H381" s="3"/>
      <c r="AG381" s="91"/>
    </row>
    <row r="382" ht="15.75" customHeight="1">
      <c r="B382" s="3"/>
      <c r="C382" s="3"/>
      <c r="H382" s="3"/>
      <c r="AG382" s="91"/>
    </row>
    <row r="383" ht="15.75" customHeight="1">
      <c r="B383" s="3"/>
      <c r="C383" s="3"/>
      <c r="H383" s="3"/>
      <c r="AG383" s="91"/>
    </row>
    <row r="384" ht="15.75" customHeight="1">
      <c r="B384" s="3"/>
      <c r="C384" s="3"/>
      <c r="H384" s="3"/>
      <c r="AG384" s="91"/>
    </row>
    <row r="385" ht="15.75" customHeight="1">
      <c r="B385" s="3"/>
      <c r="C385" s="3"/>
      <c r="H385" s="3"/>
      <c r="AG385" s="91"/>
    </row>
    <row r="386" ht="15.75" customHeight="1">
      <c r="B386" s="3"/>
      <c r="C386" s="3"/>
      <c r="H386" s="3"/>
      <c r="AG386" s="91"/>
    </row>
    <row r="387" ht="15.75" customHeight="1">
      <c r="B387" s="3"/>
      <c r="C387" s="3"/>
      <c r="H387" s="3"/>
      <c r="AG387" s="91"/>
    </row>
    <row r="388" ht="15.75" customHeight="1">
      <c r="B388" s="3"/>
      <c r="C388" s="3"/>
      <c r="H388" s="3"/>
      <c r="AG388" s="91"/>
    </row>
    <row r="389" ht="15.75" customHeight="1">
      <c r="B389" s="3"/>
      <c r="C389" s="3"/>
      <c r="H389" s="3"/>
      <c r="AG389" s="91"/>
    </row>
    <row r="390" ht="15.75" customHeight="1">
      <c r="B390" s="3"/>
      <c r="C390" s="3"/>
      <c r="H390" s="3"/>
      <c r="AG390" s="91"/>
    </row>
    <row r="391" ht="15.75" customHeight="1">
      <c r="B391" s="3"/>
      <c r="C391" s="3"/>
      <c r="H391" s="3"/>
      <c r="AG391" s="91"/>
    </row>
    <row r="392" ht="15.75" customHeight="1">
      <c r="B392" s="3"/>
      <c r="C392" s="3"/>
      <c r="H392" s="3"/>
      <c r="AG392" s="91"/>
    </row>
    <row r="393" ht="15.75" customHeight="1">
      <c r="B393" s="3"/>
      <c r="C393" s="3"/>
      <c r="H393" s="3"/>
      <c r="AG393" s="91"/>
    </row>
    <row r="394" ht="15.75" customHeight="1">
      <c r="B394" s="3"/>
      <c r="C394" s="3"/>
      <c r="H394" s="3"/>
      <c r="AG394" s="91"/>
    </row>
    <row r="395" ht="15.75" customHeight="1">
      <c r="B395" s="3"/>
      <c r="C395" s="3"/>
      <c r="H395" s="3"/>
      <c r="AG395" s="91"/>
    </row>
    <row r="396" ht="15.75" customHeight="1">
      <c r="B396" s="3"/>
      <c r="C396" s="3"/>
      <c r="H396" s="3"/>
      <c r="AG396" s="91"/>
    </row>
    <row r="397" ht="15.75" customHeight="1">
      <c r="B397" s="3"/>
      <c r="C397" s="3"/>
      <c r="H397" s="3"/>
      <c r="AG397" s="91"/>
    </row>
    <row r="398" ht="15.75" customHeight="1">
      <c r="B398" s="3"/>
      <c r="C398" s="3"/>
      <c r="H398" s="3"/>
      <c r="AG398" s="91"/>
    </row>
    <row r="399" ht="15.75" customHeight="1">
      <c r="B399" s="3"/>
      <c r="C399" s="3"/>
      <c r="H399" s="3"/>
      <c r="AG399" s="91"/>
    </row>
    <row r="400" ht="15.75" customHeight="1">
      <c r="B400" s="3"/>
      <c r="C400" s="3"/>
      <c r="H400" s="3"/>
      <c r="AG400" s="91"/>
    </row>
    <row r="401" ht="15.75" customHeight="1">
      <c r="B401" s="3"/>
      <c r="C401" s="3"/>
      <c r="H401" s="3"/>
      <c r="AG401" s="91"/>
    </row>
    <row r="402" ht="15.75" customHeight="1">
      <c r="B402" s="3"/>
      <c r="C402" s="3"/>
      <c r="H402" s="3"/>
      <c r="AG402" s="91"/>
    </row>
    <row r="403" ht="15.75" customHeight="1">
      <c r="B403" s="3"/>
      <c r="C403" s="3"/>
      <c r="H403" s="3"/>
      <c r="AG403" s="91"/>
    </row>
    <row r="404" ht="15.75" customHeight="1">
      <c r="B404" s="3"/>
      <c r="C404" s="3"/>
      <c r="H404" s="3"/>
      <c r="AG404" s="91"/>
    </row>
    <row r="405" ht="15.75" customHeight="1">
      <c r="B405" s="3"/>
      <c r="C405" s="3"/>
      <c r="H405" s="3"/>
      <c r="AG405" s="91"/>
    </row>
    <row r="406" ht="15.75" customHeight="1">
      <c r="B406" s="3"/>
      <c r="C406" s="3"/>
      <c r="H406" s="3"/>
      <c r="AG406" s="91"/>
    </row>
    <row r="407" ht="15.75" customHeight="1">
      <c r="B407" s="3"/>
      <c r="C407" s="3"/>
      <c r="H407" s="3"/>
      <c r="AG407" s="91"/>
    </row>
    <row r="408" ht="15.75" customHeight="1">
      <c r="B408" s="3"/>
      <c r="C408" s="3"/>
      <c r="H408" s="3"/>
      <c r="AG408" s="91"/>
    </row>
    <row r="409" ht="15.75" customHeight="1">
      <c r="B409" s="3"/>
      <c r="C409" s="3"/>
      <c r="H409" s="3"/>
      <c r="AG409" s="91"/>
    </row>
    <row r="410" ht="15.75" customHeight="1">
      <c r="B410" s="3"/>
      <c r="C410" s="3"/>
      <c r="H410" s="3"/>
      <c r="AG410" s="91"/>
    </row>
    <row r="411" ht="15.75" customHeight="1">
      <c r="B411" s="3"/>
      <c r="C411" s="3"/>
      <c r="H411" s="3"/>
      <c r="AG411" s="91"/>
    </row>
    <row r="412" ht="15.75" customHeight="1">
      <c r="B412" s="3"/>
      <c r="C412" s="3"/>
      <c r="H412" s="3"/>
      <c r="AG412" s="91"/>
    </row>
    <row r="413" ht="15.75" customHeight="1">
      <c r="B413" s="3"/>
      <c r="C413" s="3"/>
      <c r="H413" s="3"/>
      <c r="AG413" s="91"/>
    </row>
    <row r="414" ht="15.75" customHeight="1">
      <c r="B414" s="3"/>
      <c r="C414" s="3"/>
      <c r="H414" s="3"/>
      <c r="AG414" s="91"/>
    </row>
    <row r="415" ht="15.75" customHeight="1">
      <c r="B415" s="3"/>
      <c r="C415" s="3"/>
      <c r="H415" s="3"/>
      <c r="AG415" s="91"/>
    </row>
    <row r="416" ht="15.75" customHeight="1">
      <c r="B416" s="3"/>
      <c r="C416" s="3"/>
      <c r="H416" s="3"/>
      <c r="AG416" s="91"/>
    </row>
    <row r="417" ht="15.75" customHeight="1">
      <c r="B417" s="3"/>
      <c r="C417" s="3"/>
      <c r="H417" s="3"/>
      <c r="AG417" s="91"/>
    </row>
    <row r="418" ht="15.75" customHeight="1">
      <c r="B418" s="3"/>
      <c r="C418" s="3"/>
      <c r="H418" s="3"/>
      <c r="AG418" s="91"/>
    </row>
    <row r="419" ht="15.75" customHeight="1">
      <c r="B419" s="3"/>
      <c r="C419" s="3"/>
      <c r="H419" s="3"/>
      <c r="AG419" s="91"/>
    </row>
    <row r="420" ht="15.75" customHeight="1">
      <c r="B420" s="3"/>
      <c r="C420" s="3"/>
      <c r="H420" s="3"/>
      <c r="AG420" s="91"/>
    </row>
    <row r="421" ht="15.75" customHeight="1">
      <c r="B421" s="3"/>
      <c r="C421" s="3"/>
      <c r="H421" s="3"/>
      <c r="AG421" s="91"/>
    </row>
    <row r="422" ht="15.75" customHeight="1">
      <c r="B422" s="3"/>
      <c r="C422" s="3"/>
      <c r="H422" s="3"/>
      <c r="AG422" s="91"/>
    </row>
    <row r="423" ht="15.75" customHeight="1">
      <c r="B423" s="3"/>
      <c r="C423" s="3"/>
      <c r="H423" s="3"/>
      <c r="AG423" s="91"/>
    </row>
    <row r="424" ht="15.75" customHeight="1">
      <c r="B424" s="3"/>
      <c r="C424" s="3"/>
      <c r="H424" s="3"/>
      <c r="AG424" s="91"/>
    </row>
    <row r="425" ht="15.75" customHeight="1">
      <c r="B425" s="3"/>
      <c r="C425" s="3"/>
      <c r="H425" s="3"/>
      <c r="AG425" s="91"/>
    </row>
    <row r="426" ht="15.75" customHeight="1">
      <c r="B426" s="3"/>
      <c r="C426" s="3"/>
      <c r="H426" s="3"/>
      <c r="AG426" s="91"/>
    </row>
    <row r="427" ht="15.75" customHeight="1">
      <c r="B427" s="3"/>
      <c r="C427" s="3"/>
      <c r="H427" s="3"/>
      <c r="AG427" s="91"/>
    </row>
    <row r="428" ht="15.75" customHeight="1">
      <c r="B428" s="3"/>
      <c r="C428" s="3"/>
      <c r="H428" s="3"/>
      <c r="AG428" s="91"/>
    </row>
    <row r="429" ht="15.75" customHeight="1">
      <c r="B429" s="3"/>
      <c r="C429" s="3"/>
      <c r="H429" s="3"/>
      <c r="AG429" s="91"/>
    </row>
    <row r="430" ht="15.75" customHeight="1">
      <c r="B430" s="3"/>
      <c r="C430" s="3"/>
      <c r="H430" s="3"/>
      <c r="AG430" s="91"/>
    </row>
    <row r="431" ht="15.75" customHeight="1">
      <c r="B431" s="3"/>
      <c r="C431" s="3"/>
      <c r="H431" s="3"/>
      <c r="AG431" s="91"/>
    </row>
    <row r="432" ht="15.75" customHeight="1">
      <c r="B432" s="3"/>
      <c r="C432" s="3"/>
      <c r="H432" s="3"/>
      <c r="AG432" s="91"/>
    </row>
    <row r="433" ht="15.75" customHeight="1">
      <c r="B433" s="3"/>
      <c r="C433" s="3"/>
      <c r="H433" s="3"/>
      <c r="AG433" s="91"/>
    </row>
    <row r="434" ht="15.75" customHeight="1">
      <c r="B434" s="3"/>
      <c r="C434" s="3"/>
      <c r="H434" s="3"/>
      <c r="AG434" s="91"/>
    </row>
    <row r="435" ht="15.75" customHeight="1">
      <c r="B435" s="3"/>
      <c r="C435" s="3"/>
      <c r="H435" s="3"/>
      <c r="AG435" s="91"/>
    </row>
    <row r="436" ht="15.75" customHeight="1">
      <c r="B436" s="3"/>
      <c r="C436" s="3"/>
      <c r="H436" s="3"/>
      <c r="AG436" s="91"/>
    </row>
    <row r="437" ht="15.75" customHeight="1">
      <c r="B437" s="3"/>
      <c r="C437" s="3"/>
      <c r="H437" s="3"/>
      <c r="AG437" s="91"/>
    </row>
    <row r="438" ht="15.75" customHeight="1">
      <c r="B438" s="3"/>
      <c r="C438" s="3"/>
      <c r="H438" s="3"/>
      <c r="AG438" s="91"/>
    </row>
    <row r="439" ht="15.75" customHeight="1">
      <c r="B439" s="3"/>
      <c r="C439" s="3"/>
      <c r="H439" s="3"/>
      <c r="AG439" s="91"/>
    </row>
    <row r="440" ht="15.75" customHeight="1">
      <c r="B440" s="3"/>
      <c r="C440" s="3"/>
      <c r="H440" s="3"/>
      <c r="AG440" s="91"/>
    </row>
    <row r="441" ht="15.75" customHeight="1">
      <c r="B441" s="3"/>
      <c r="C441" s="3"/>
      <c r="H441" s="3"/>
      <c r="AG441" s="91"/>
    </row>
    <row r="442" ht="15.75" customHeight="1">
      <c r="B442" s="3"/>
      <c r="C442" s="3"/>
      <c r="H442" s="3"/>
      <c r="AG442" s="91"/>
    </row>
    <row r="443" ht="15.75" customHeight="1">
      <c r="B443" s="3"/>
      <c r="C443" s="3"/>
      <c r="H443" s="3"/>
      <c r="AG443" s="91"/>
    </row>
    <row r="444" ht="15.75" customHeight="1">
      <c r="B444" s="3"/>
      <c r="C444" s="3"/>
      <c r="H444" s="3"/>
      <c r="AG444" s="91"/>
    </row>
    <row r="445" ht="15.75" customHeight="1">
      <c r="B445" s="3"/>
      <c r="C445" s="3"/>
      <c r="H445" s="3"/>
      <c r="AG445" s="91"/>
    </row>
    <row r="446" ht="15.75" customHeight="1">
      <c r="B446" s="3"/>
      <c r="C446" s="3"/>
      <c r="H446" s="3"/>
      <c r="AG446" s="91"/>
    </row>
    <row r="447" ht="15.75" customHeight="1">
      <c r="B447" s="3"/>
      <c r="C447" s="3"/>
      <c r="H447" s="3"/>
      <c r="AG447" s="91"/>
    </row>
    <row r="448" ht="15.75" customHeight="1">
      <c r="B448" s="3"/>
      <c r="C448" s="3"/>
      <c r="H448" s="3"/>
      <c r="AG448" s="91"/>
    </row>
    <row r="449" ht="15.75" customHeight="1">
      <c r="B449" s="3"/>
      <c r="C449" s="3"/>
      <c r="H449" s="3"/>
      <c r="AG449" s="91"/>
    </row>
    <row r="450" ht="15.75" customHeight="1">
      <c r="B450" s="3"/>
      <c r="C450" s="3"/>
      <c r="H450" s="3"/>
      <c r="AG450" s="91"/>
    </row>
    <row r="451" ht="15.75" customHeight="1">
      <c r="B451" s="3"/>
      <c r="C451" s="3"/>
      <c r="H451" s="3"/>
      <c r="AG451" s="91"/>
    </row>
    <row r="452" ht="15.75" customHeight="1">
      <c r="B452" s="3"/>
      <c r="C452" s="3"/>
      <c r="H452" s="3"/>
      <c r="AG452" s="91"/>
    </row>
    <row r="453" ht="15.75" customHeight="1">
      <c r="B453" s="3"/>
      <c r="C453" s="3"/>
      <c r="H453" s="3"/>
      <c r="AG453" s="91"/>
    </row>
    <row r="454" ht="15.75" customHeight="1">
      <c r="B454" s="3"/>
      <c r="C454" s="3"/>
      <c r="H454" s="3"/>
      <c r="AG454" s="91"/>
    </row>
    <row r="455" ht="15.75" customHeight="1">
      <c r="B455" s="3"/>
      <c r="C455" s="3"/>
      <c r="H455" s="3"/>
      <c r="AG455" s="91"/>
    </row>
    <row r="456" ht="15.75" customHeight="1">
      <c r="B456" s="3"/>
      <c r="C456" s="3"/>
      <c r="H456" s="3"/>
      <c r="AG456" s="91"/>
    </row>
    <row r="457" ht="15.75" customHeight="1">
      <c r="B457" s="3"/>
      <c r="C457" s="3"/>
      <c r="H457" s="3"/>
      <c r="AG457" s="91"/>
    </row>
    <row r="458" ht="15.75" customHeight="1">
      <c r="B458" s="3"/>
      <c r="C458" s="3"/>
      <c r="H458" s="3"/>
      <c r="AG458" s="91"/>
    </row>
    <row r="459" ht="15.75" customHeight="1">
      <c r="B459" s="3"/>
      <c r="C459" s="3"/>
      <c r="H459" s="3"/>
      <c r="AG459" s="91"/>
    </row>
    <row r="460" ht="15.75" customHeight="1">
      <c r="B460" s="3"/>
      <c r="C460" s="3"/>
      <c r="H460" s="3"/>
      <c r="AG460" s="91"/>
    </row>
    <row r="461" ht="15.75" customHeight="1">
      <c r="B461" s="3"/>
      <c r="C461" s="3"/>
      <c r="H461" s="3"/>
      <c r="AG461" s="91"/>
    </row>
    <row r="462" ht="15.75" customHeight="1">
      <c r="B462" s="3"/>
      <c r="C462" s="3"/>
      <c r="H462" s="3"/>
      <c r="AG462" s="91"/>
    </row>
    <row r="463" ht="15.75" customHeight="1">
      <c r="B463" s="3"/>
      <c r="C463" s="3"/>
      <c r="H463" s="3"/>
      <c r="AG463" s="91"/>
    </row>
    <row r="464" ht="15.75" customHeight="1">
      <c r="B464" s="3"/>
      <c r="C464" s="3"/>
      <c r="H464" s="3"/>
      <c r="AG464" s="91"/>
    </row>
    <row r="465" ht="15.75" customHeight="1">
      <c r="B465" s="3"/>
      <c r="C465" s="3"/>
      <c r="H465" s="3"/>
      <c r="AG465" s="91"/>
    </row>
    <row r="466" ht="15.75" customHeight="1">
      <c r="B466" s="3"/>
      <c r="C466" s="3"/>
      <c r="H466" s="3"/>
      <c r="AG466" s="91"/>
    </row>
    <row r="467" ht="15.75" customHeight="1">
      <c r="B467" s="3"/>
      <c r="C467" s="3"/>
      <c r="H467" s="3"/>
      <c r="AG467" s="91"/>
    </row>
    <row r="468" ht="15.75" customHeight="1">
      <c r="B468" s="3"/>
      <c r="C468" s="3"/>
      <c r="H468" s="3"/>
      <c r="AG468" s="91"/>
    </row>
    <row r="469" ht="15.75" customHeight="1">
      <c r="B469" s="3"/>
      <c r="C469" s="3"/>
      <c r="H469" s="3"/>
      <c r="AG469" s="91"/>
    </row>
    <row r="470" ht="15.75" customHeight="1">
      <c r="B470" s="3"/>
      <c r="C470" s="3"/>
      <c r="H470" s="3"/>
      <c r="AG470" s="91"/>
    </row>
    <row r="471" ht="15.75" customHeight="1">
      <c r="B471" s="3"/>
      <c r="C471" s="3"/>
      <c r="H471" s="3"/>
      <c r="AG471" s="91"/>
    </row>
    <row r="472" ht="15.75" customHeight="1">
      <c r="B472" s="3"/>
      <c r="C472" s="3"/>
      <c r="H472" s="3"/>
      <c r="AG472" s="91"/>
    </row>
    <row r="473" ht="15.75" customHeight="1">
      <c r="B473" s="3"/>
      <c r="C473" s="3"/>
      <c r="H473" s="3"/>
      <c r="AG473" s="91"/>
    </row>
    <row r="474" ht="15.75" customHeight="1">
      <c r="B474" s="3"/>
      <c r="C474" s="3"/>
      <c r="H474" s="3"/>
      <c r="AG474" s="91"/>
    </row>
    <row r="475" ht="15.75" customHeight="1">
      <c r="B475" s="3"/>
      <c r="C475" s="3"/>
      <c r="H475" s="3"/>
      <c r="AG475" s="91"/>
    </row>
    <row r="476" ht="15.75" customHeight="1">
      <c r="B476" s="3"/>
      <c r="C476" s="3"/>
      <c r="H476" s="3"/>
      <c r="AG476" s="91"/>
    </row>
    <row r="477" ht="15.75" customHeight="1">
      <c r="B477" s="3"/>
      <c r="C477" s="3"/>
      <c r="H477" s="3"/>
      <c r="AG477" s="91"/>
    </row>
    <row r="478" ht="15.75" customHeight="1">
      <c r="B478" s="3"/>
      <c r="C478" s="3"/>
      <c r="H478" s="3"/>
      <c r="AG478" s="91"/>
    </row>
    <row r="479" ht="15.75" customHeight="1">
      <c r="B479" s="3"/>
      <c r="C479" s="3"/>
      <c r="H479" s="3"/>
      <c r="AG479" s="91"/>
    </row>
    <row r="480" ht="15.75" customHeight="1">
      <c r="B480" s="3"/>
      <c r="C480" s="3"/>
      <c r="H480" s="3"/>
      <c r="AG480" s="91"/>
    </row>
    <row r="481" ht="15.75" customHeight="1">
      <c r="B481" s="3"/>
      <c r="C481" s="3"/>
      <c r="H481" s="3"/>
      <c r="AG481" s="91"/>
    </row>
    <row r="482" ht="15.75" customHeight="1">
      <c r="B482" s="3"/>
      <c r="C482" s="3"/>
      <c r="H482" s="3"/>
      <c r="AG482" s="91"/>
    </row>
    <row r="483" ht="15.75" customHeight="1">
      <c r="B483" s="3"/>
      <c r="C483" s="3"/>
      <c r="H483" s="3"/>
      <c r="AG483" s="91"/>
    </row>
    <row r="484" ht="15.75" customHeight="1">
      <c r="B484" s="3"/>
      <c r="C484" s="3"/>
      <c r="H484" s="3"/>
      <c r="AG484" s="91"/>
    </row>
    <row r="485" ht="15.75" customHeight="1">
      <c r="B485" s="3"/>
      <c r="C485" s="3"/>
      <c r="H485" s="3"/>
      <c r="AG485" s="91"/>
    </row>
    <row r="486" ht="15.75" customHeight="1">
      <c r="B486" s="3"/>
      <c r="C486" s="3"/>
      <c r="H486" s="3"/>
      <c r="AG486" s="91"/>
    </row>
    <row r="487" ht="15.75" customHeight="1">
      <c r="B487" s="3"/>
      <c r="C487" s="3"/>
      <c r="H487" s="3"/>
      <c r="AG487" s="91"/>
    </row>
    <row r="488" ht="15.75" customHeight="1">
      <c r="B488" s="3"/>
      <c r="C488" s="3"/>
      <c r="H488" s="3"/>
      <c r="AG488" s="91"/>
    </row>
    <row r="489" ht="15.75" customHeight="1">
      <c r="B489" s="3"/>
      <c r="C489" s="3"/>
      <c r="H489" s="3"/>
      <c r="AG489" s="91"/>
    </row>
    <row r="490" ht="15.75" customHeight="1">
      <c r="B490" s="3"/>
      <c r="C490" s="3"/>
      <c r="H490" s="3"/>
      <c r="AG490" s="91"/>
    </row>
    <row r="491" ht="15.75" customHeight="1">
      <c r="B491" s="3"/>
      <c r="C491" s="3"/>
      <c r="H491" s="3"/>
      <c r="AG491" s="91"/>
    </row>
    <row r="492" ht="15.75" customHeight="1">
      <c r="B492" s="3"/>
      <c r="C492" s="3"/>
      <c r="H492" s="3"/>
      <c r="AG492" s="91"/>
    </row>
    <row r="493" ht="15.75" customHeight="1">
      <c r="B493" s="3"/>
      <c r="C493" s="3"/>
      <c r="H493" s="3"/>
      <c r="AG493" s="91"/>
    </row>
    <row r="494" ht="15.75" customHeight="1">
      <c r="B494" s="3"/>
      <c r="C494" s="3"/>
      <c r="H494" s="3"/>
      <c r="AG494" s="91"/>
    </row>
    <row r="495" ht="15.75" customHeight="1">
      <c r="B495" s="3"/>
      <c r="C495" s="3"/>
      <c r="H495" s="3"/>
      <c r="AG495" s="91"/>
    </row>
    <row r="496" ht="15.75" customHeight="1">
      <c r="B496" s="3"/>
      <c r="C496" s="3"/>
      <c r="H496" s="3"/>
      <c r="AG496" s="91"/>
    </row>
    <row r="497" ht="15.75" customHeight="1">
      <c r="B497" s="3"/>
      <c r="C497" s="3"/>
      <c r="H497" s="3"/>
      <c r="AG497" s="91"/>
    </row>
    <row r="498" ht="15.75" customHeight="1">
      <c r="B498" s="3"/>
      <c r="C498" s="3"/>
      <c r="H498" s="3"/>
      <c r="AG498" s="91"/>
    </row>
    <row r="499" ht="15.75" customHeight="1">
      <c r="B499" s="3"/>
      <c r="C499" s="3"/>
      <c r="H499" s="3"/>
      <c r="AG499" s="91"/>
    </row>
    <row r="500" ht="15.75" customHeight="1">
      <c r="B500" s="3"/>
      <c r="C500" s="3"/>
      <c r="H500" s="3"/>
      <c r="AG500" s="91"/>
    </row>
    <row r="501" ht="15.75" customHeight="1">
      <c r="B501" s="3"/>
      <c r="C501" s="3"/>
      <c r="H501" s="3"/>
      <c r="AG501" s="91"/>
    </row>
    <row r="502" ht="15.75" customHeight="1">
      <c r="B502" s="3"/>
      <c r="C502" s="3"/>
      <c r="H502" s="3"/>
      <c r="AG502" s="91"/>
    </row>
    <row r="503" ht="15.75" customHeight="1">
      <c r="B503" s="3"/>
      <c r="C503" s="3"/>
      <c r="H503" s="3"/>
      <c r="AG503" s="91"/>
    </row>
    <row r="504" ht="15.75" customHeight="1">
      <c r="B504" s="3"/>
      <c r="C504" s="3"/>
      <c r="H504" s="3"/>
      <c r="AG504" s="91"/>
    </row>
    <row r="505" ht="15.75" customHeight="1">
      <c r="B505" s="3"/>
      <c r="C505" s="3"/>
      <c r="H505" s="3"/>
      <c r="AG505" s="91"/>
    </row>
    <row r="506" ht="15.75" customHeight="1">
      <c r="B506" s="3"/>
      <c r="C506" s="3"/>
      <c r="H506" s="3"/>
      <c r="AG506" s="91"/>
    </row>
    <row r="507" ht="15.75" customHeight="1">
      <c r="B507" s="3"/>
      <c r="C507" s="3"/>
      <c r="H507" s="3"/>
      <c r="AG507" s="91"/>
    </row>
    <row r="508" ht="15.75" customHeight="1">
      <c r="B508" s="3"/>
      <c r="C508" s="3"/>
      <c r="H508" s="3"/>
      <c r="AG508" s="91"/>
    </row>
    <row r="509" ht="15.75" customHeight="1">
      <c r="B509" s="3"/>
      <c r="C509" s="3"/>
      <c r="H509" s="3"/>
      <c r="AG509" s="91"/>
    </row>
    <row r="510" ht="15.75" customHeight="1">
      <c r="B510" s="3"/>
      <c r="C510" s="3"/>
      <c r="H510" s="3"/>
      <c r="AG510" s="91"/>
    </row>
    <row r="511" ht="15.75" customHeight="1">
      <c r="B511" s="3"/>
      <c r="C511" s="3"/>
      <c r="H511" s="3"/>
      <c r="AG511" s="91"/>
    </row>
    <row r="512" ht="15.75" customHeight="1">
      <c r="B512" s="3"/>
      <c r="C512" s="3"/>
      <c r="H512" s="3"/>
      <c r="AG512" s="91"/>
    </row>
    <row r="513" ht="15.75" customHeight="1">
      <c r="B513" s="3"/>
      <c r="C513" s="3"/>
      <c r="H513" s="3"/>
      <c r="AG513" s="91"/>
    </row>
    <row r="514" ht="15.75" customHeight="1">
      <c r="B514" s="3"/>
      <c r="C514" s="3"/>
      <c r="H514" s="3"/>
      <c r="AG514" s="91"/>
    </row>
    <row r="515" ht="15.75" customHeight="1">
      <c r="B515" s="3"/>
      <c r="C515" s="3"/>
      <c r="H515" s="3"/>
      <c r="AG515" s="91"/>
    </row>
    <row r="516" ht="15.75" customHeight="1">
      <c r="B516" s="3"/>
      <c r="C516" s="3"/>
      <c r="H516" s="3"/>
      <c r="AG516" s="91"/>
    </row>
    <row r="517" ht="15.75" customHeight="1">
      <c r="B517" s="3"/>
      <c r="C517" s="3"/>
      <c r="H517" s="3"/>
      <c r="AG517" s="91"/>
    </row>
    <row r="518" ht="15.75" customHeight="1">
      <c r="B518" s="3"/>
      <c r="C518" s="3"/>
      <c r="H518" s="3"/>
      <c r="AG518" s="91"/>
    </row>
    <row r="519" ht="15.75" customHeight="1">
      <c r="B519" s="3"/>
      <c r="C519" s="3"/>
      <c r="H519" s="3"/>
      <c r="AG519" s="91"/>
    </row>
    <row r="520" ht="15.75" customHeight="1">
      <c r="B520" s="3"/>
      <c r="C520" s="3"/>
      <c r="H520" s="3"/>
      <c r="AG520" s="91"/>
    </row>
    <row r="521" ht="15.75" customHeight="1">
      <c r="B521" s="3"/>
      <c r="C521" s="3"/>
      <c r="H521" s="3"/>
      <c r="AG521" s="91"/>
    </row>
    <row r="522" ht="15.75" customHeight="1">
      <c r="B522" s="3"/>
      <c r="C522" s="3"/>
      <c r="H522" s="3"/>
      <c r="AG522" s="91"/>
    </row>
    <row r="523" ht="15.75" customHeight="1">
      <c r="B523" s="3"/>
      <c r="C523" s="3"/>
      <c r="H523" s="3"/>
      <c r="AG523" s="91"/>
    </row>
    <row r="524" ht="15.75" customHeight="1">
      <c r="B524" s="3"/>
      <c r="C524" s="3"/>
      <c r="H524" s="3"/>
      <c r="AG524" s="91"/>
    </row>
    <row r="525" ht="15.75" customHeight="1">
      <c r="B525" s="3"/>
      <c r="C525" s="3"/>
      <c r="H525" s="3"/>
      <c r="AG525" s="91"/>
    </row>
    <row r="526" ht="15.75" customHeight="1">
      <c r="B526" s="3"/>
      <c r="C526" s="3"/>
      <c r="H526" s="3"/>
      <c r="AG526" s="91"/>
    </row>
    <row r="527" ht="15.75" customHeight="1">
      <c r="B527" s="3"/>
      <c r="C527" s="3"/>
      <c r="H527" s="3"/>
      <c r="AG527" s="91"/>
    </row>
    <row r="528" ht="15.75" customHeight="1">
      <c r="B528" s="3"/>
      <c r="C528" s="3"/>
      <c r="H528" s="3"/>
      <c r="AG528" s="91"/>
    </row>
    <row r="529" ht="15.75" customHeight="1">
      <c r="B529" s="3"/>
      <c r="C529" s="3"/>
      <c r="H529" s="3"/>
      <c r="AG529" s="91"/>
    </row>
    <row r="530" ht="15.75" customHeight="1">
      <c r="B530" s="3"/>
      <c r="C530" s="3"/>
      <c r="H530" s="3"/>
      <c r="AG530" s="91"/>
    </row>
    <row r="531" ht="15.75" customHeight="1">
      <c r="B531" s="3"/>
      <c r="C531" s="3"/>
      <c r="H531" s="3"/>
      <c r="AG531" s="91"/>
    </row>
    <row r="532" ht="15.75" customHeight="1">
      <c r="B532" s="3"/>
      <c r="C532" s="3"/>
      <c r="H532" s="3"/>
      <c r="AG532" s="91"/>
    </row>
    <row r="533" ht="15.75" customHeight="1">
      <c r="B533" s="3"/>
      <c r="C533" s="3"/>
      <c r="H533" s="3"/>
      <c r="AG533" s="91"/>
    </row>
    <row r="534" ht="15.75" customHeight="1">
      <c r="B534" s="3"/>
      <c r="C534" s="3"/>
      <c r="H534" s="3"/>
      <c r="AG534" s="91"/>
    </row>
    <row r="535" ht="15.75" customHeight="1">
      <c r="B535" s="3"/>
      <c r="C535" s="3"/>
      <c r="H535" s="3"/>
      <c r="AG535" s="91"/>
    </row>
    <row r="536" ht="15.75" customHeight="1">
      <c r="B536" s="3"/>
      <c r="C536" s="3"/>
      <c r="H536" s="3"/>
      <c r="AG536" s="91"/>
    </row>
    <row r="537" ht="15.75" customHeight="1">
      <c r="B537" s="3"/>
      <c r="C537" s="3"/>
      <c r="H537" s="3"/>
      <c r="AG537" s="91"/>
    </row>
    <row r="538" ht="15.75" customHeight="1">
      <c r="B538" s="3"/>
      <c r="C538" s="3"/>
      <c r="H538" s="3"/>
      <c r="AG538" s="91"/>
    </row>
    <row r="539" ht="15.75" customHeight="1">
      <c r="B539" s="3"/>
      <c r="C539" s="3"/>
      <c r="H539" s="3"/>
      <c r="AG539" s="91"/>
    </row>
    <row r="540" ht="15.75" customHeight="1">
      <c r="B540" s="3"/>
      <c r="C540" s="3"/>
      <c r="H540" s="3"/>
      <c r="AG540" s="91"/>
    </row>
    <row r="541" ht="15.75" customHeight="1">
      <c r="B541" s="3"/>
      <c r="C541" s="3"/>
      <c r="H541" s="3"/>
      <c r="AG541" s="91"/>
    </row>
    <row r="542" ht="15.75" customHeight="1">
      <c r="B542" s="3"/>
      <c r="C542" s="3"/>
      <c r="H542" s="3"/>
      <c r="AG542" s="91"/>
    </row>
    <row r="543" ht="15.75" customHeight="1">
      <c r="B543" s="3"/>
      <c r="C543" s="3"/>
      <c r="H543" s="3"/>
      <c r="AG543" s="91"/>
    </row>
    <row r="544" ht="15.75" customHeight="1">
      <c r="B544" s="3"/>
      <c r="C544" s="3"/>
      <c r="H544" s="3"/>
      <c r="AG544" s="91"/>
    </row>
    <row r="545" ht="15.75" customHeight="1">
      <c r="B545" s="3"/>
      <c r="C545" s="3"/>
      <c r="H545" s="3"/>
      <c r="AG545" s="91"/>
    </row>
    <row r="546" ht="15.75" customHeight="1">
      <c r="B546" s="3"/>
      <c r="C546" s="3"/>
      <c r="H546" s="3"/>
      <c r="AG546" s="91"/>
    </row>
    <row r="547" ht="15.75" customHeight="1">
      <c r="B547" s="3"/>
      <c r="C547" s="3"/>
      <c r="H547" s="3"/>
      <c r="AG547" s="91"/>
    </row>
    <row r="548" ht="15.75" customHeight="1">
      <c r="B548" s="3"/>
      <c r="C548" s="3"/>
      <c r="H548" s="3"/>
      <c r="AG548" s="91"/>
    </row>
    <row r="549" ht="15.75" customHeight="1">
      <c r="B549" s="3"/>
      <c r="C549" s="3"/>
      <c r="H549" s="3"/>
      <c r="AG549" s="91"/>
    </row>
    <row r="550" ht="15.75" customHeight="1">
      <c r="B550" s="3"/>
      <c r="C550" s="3"/>
      <c r="H550" s="3"/>
      <c r="AG550" s="91"/>
    </row>
    <row r="551" ht="15.75" customHeight="1">
      <c r="B551" s="3"/>
      <c r="C551" s="3"/>
      <c r="H551" s="3"/>
      <c r="AG551" s="91"/>
    </row>
    <row r="552" ht="15.75" customHeight="1">
      <c r="B552" s="3"/>
      <c r="C552" s="3"/>
      <c r="H552" s="3"/>
      <c r="AG552" s="91"/>
    </row>
    <row r="553" ht="15.75" customHeight="1">
      <c r="B553" s="3"/>
      <c r="C553" s="3"/>
      <c r="H553" s="3"/>
      <c r="AG553" s="91"/>
    </row>
    <row r="554" ht="15.75" customHeight="1">
      <c r="B554" s="3"/>
      <c r="C554" s="3"/>
      <c r="H554" s="3"/>
      <c r="AG554" s="91"/>
    </row>
    <row r="555" ht="15.75" customHeight="1">
      <c r="B555" s="3"/>
      <c r="C555" s="3"/>
      <c r="H555" s="3"/>
      <c r="AG555" s="91"/>
    </row>
    <row r="556" ht="15.75" customHeight="1">
      <c r="B556" s="3"/>
      <c r="C556" s="3"/>
      <c r="H556" s="3"/>
      <c r="AG556" s="91"/>
    </row>
    <row r="557" ht="15.75" customHeight="1">
      <c r="B557" s="3"/>
      <c r="C557" s="3"/>
      <c r="H557" s="3"/>
      <c r="AG557" s="91"/>
    </row>
    <row r="558" ht="15.75" customHeight="1">
      <c r="B558" s="3"/>
      <c r="C558" s="3"/>
      <c r="H558" s="3"/>
      <c r="AG558" s="91"/>
    </row>
    <row r="559" ht="15.75" customHeight="1">
      <c r="B559" s="3"/>
      <c r="C559" s="3"/>
      <c r="H559" s="3"/>
      <c r="AG559" s="91"/>
    </row>
    <row r="560" ht="15.75" customHeight="1">
      <c r="B560" s="3"/>
      <c r="C560" s="3"/>
      <c r="H560" s="3"/>
      <c r="AG560" s="91"/>
    </row>
    <row r="561" ht="15.75" customHeight="1">
      <c r="B561" s="3"/>
      <c r="C561" s="3"/>
      <c r="H561" s="3"/>
      <c r="AG561" s="91"/>
    </row>
    <row r="562" ht="15.75" customHeight="1">
      <c r="B562" s="3"/>
      <c r="C562" s="3"/>
      <c r="H562" s="3"/>
      <c r="AG562" s="91"/>
    </row>
    <row r="563" ht="15.75" customHeight="1">
      <c r="B563" s="3"/>
      <c r="C563" s="3"/>
      <c r="H563" s="3"/>
      <c r="AG563" s="91"/>
    </row>
    <row r="564" ht="15.75" customHeight="1">
      <c r="B564" s="3"/>
      <c r="C564" s="3"/>
      <c r="H564" s="3"/>
      <c r="AG564" s="91"/>
    </row>
    <row r="565" ht="15.75" customHeight="1">
      <c r="B565" s="3"/>
      <c r="C565" s="3"/>
      <c r="H565" s="3"/>
      <c r="AG565" s="91"/>
    </row>
    <row r="566" ht="15.75" customHeight="1">
      <c r="B566" s="3"/>
      <c r="C566" s="3"/>
      <c r="H566" s="3"/>
      <c r="AG566" s="91"/>
    </row>
    <row r="567" ht="15.75" customHeight="1">
      <c r="B567" s="3"/>
      <c r="C567" s="3"/>
      <c r="H567" s="3"/>
      <c r="AG567" s="91"/>
    </row>
    <row r="568" ht="15.75" customHeight="1">
      <c r="B568" s="3"/>
      <c r="C568" s="3"/>
      <c r="H568" s="3"/>
      <c r="AG568" s="91"/>
    </row>
    <row r="569" ht="15.75" customHeight="1">
      <c r="B569" s="3"/>
      <c r="C569" s="3"/>
      <c r="H569" s="3"/>
      <c r="AG569" s="91"/>
    </row>
    <row r="570" ht="15.75" customHeight="1">
      <c r="B570" s="3"/>
      <c r="C570" s="3"/>
      <c r="H570" s="3"/>
      <c r="AG570" s="91"/>
    </row>
    <row r="571" ht="15.75" customHeight="1">
      <c r="B571" s="3"/>
      <c r="C571" s="3"/>
      <c r="H571" s="3"/>
      <c r="AG571" s="91"/>
    </row>
    <row r="572" ht="15.75" customHeight="1">
      <c r="B572" s="3"/>
      <c r="C572" s="3"/>
      <c r="H572" s="3"/>
      <c r="AG572" s="91"/>
    </row>
    <row r="573" ht="15.75" customHeight="1">
      <c r="B573" s="3"/>
      <c r="C573" s="3"/>
      <c r="H573" s="3"/>
      <c r="AG573" s="91"/>
    </row>
    <row r="574" ht="15.75" customHeight="1">
      <c r="B574" s="3"/>
      <c r="C574" s="3"/>
      <c r="H574" s="3"/>
      <c r="AG574" s="91"/>
    </row>
    <row r="575" ht="15.75" customHeight="1">
      <c r="B575" s="3"/>
      <c r="C575" s="3"/>
      <c r="H575" s="3"/>
      <c r="AG575" s="91"/>
    </row>
    <row r="576" ht="15.75" customHeight="1">
      <c r="B576" s="3"/>
      <c r="C576" s="3"/>
      <c r="H576" s="3"/>
      <c r="AG576" s="91"/>
    </row>
    <row r="577" ht="15.75" customHeight="1">
      <c r="B577" s="3"/>
      <c r="C577" s="3"/>
      <c r="H577" s="3"/>
      <c r="AG577" s="91"/>
    </row>
    <row r="578" ht="15.75" customHeight="1">
      <c r="B578" s="3"/>
      <c r="C578" s="3"/>
      <c r="H578" s="3"/>
      <c r="AG578" s="91"/>
    </row>
    <row r="579" ht="15.75" customHeight="1">
      <c r="B579" s="3"/>
      <c r="C579" s="3"/>
      <c r="H579" s="3"/>
      <c r="AG579" s="91"/>
    </row>
    <row r="580" ht="15.75" customHeight="1">
      <c r="B580" s="3"/>
      <c r="C580" s="3"/>
      <c r="H580" s="3"/>
      <c r="AG580" s="91"/>
    </row>
    <row r="581" ht="15.75" customHeight="1">
      <c r="B581" s="3"/>
      <c r="C581" s="3"/>
      <c r="H581" s="3"/>
      <c r="AG581" s="91"/>
    </row>
    <row r="582" ht="15.75" customHeight="1">
      <c r="B582" s="3"/>
      <c r="C582" s="3"/>
      <c r="H582" s="3"/>
      <c r="AG582" s="91"/>
    </row>
    <row r="583" ht="15.75" customHeight="1">
      <c r="B583" s="3"/>
      <c r="C583" s="3"/>
      <c r="H583" s="3"/>
      <c r="AG583" s="91"/>
    </row>
    <row r="584" ht="15.75" customHeight="1">
      <c r="B584" s="3"/>
      <c r="C584" s="3"/>
      <c r="H584" s="3"/>
      <c r="AG584" s="91"/>
    </row>
    <row r="585" ht="15.75" customHeight="1">
      <c r="B585" s="3"/>
      <c r="C585" s="3"/>
      <c r="H585" s="3"/>
      <c r="AG585" s="91"/>
    </row>
    <row r="586" ht="15.75" customHeight="1">
      <c r="B586" s="3"/>
      <c r="C586" s="3"/>
      <c r="H586" s="3"/>
      <c r="AG586" s="91"/>
    </row>
    <row r="587" ht="15.75" customHeight="1">
      <c r="B587" s="3"/>
      <c r="C587" s="3"/>
      <c r="H587" s="3"/>
      <c r="AG587" s="91"/>
    </row>
    <row r="588" ht="15.75" customHeight="1">
      <c r="B588" s="3"/>
      <c r="C588" s="3"/>
      <c r="H588" s="3"/>
      <c r="AG588" s="91"/>
    </row>
    <row r="589" ht="15.75" customHeight="1">
      <c r="B589" s="3"/>
      <c r="C589" s="3"/>
      <c r="H589" s="3"/>
      <c r="AG589" s="91"/>
    </row>
    <row r="590" ht="15.75" customHeight="1">
      <c r="B590" s="3"/>
      <c r="C590" s="3"/>
      <c r="H590" s="3"/>
      <c r="AG590" s="91"/>
    </row>
    <row r="591" ht="15.75" customHeight="1">
      <c r="B591" s="3"/>
      <c r="C591" s="3"/>
      <c r="H591" s="3"/>
      <c r="AG591" s="91"/>
    </row>
    <row r="592" ht="15.75" customHeight="1">
      <c r="B592" s="3"/>
      <c r="C592" s="3"/>
      <c r="H592" s="3"/>
      <c r="AG592" s="91"/>
    </row>
    <row r="593" ht="15.75" customHeight="1">
      <c r="B593" s="3"/>
      <c r="C593" s="3"/>
      <c r="H593" s="3"/>
      <c r="AG593" s="91"/>
    </row>
    <row r="594" ht="15.75" customHeight="1">
      <c r="B594" s="3"/>
      <c r="C594" s="3"/>
      <c r="H594" s="3"/>
      <c r="AG594" s="91"/>
    </row>
    <row r="595" ht="15.75" customHeight="1">
      <c r="B595" s="3"/>
      <c r="C595" s="3"/>
      <c r="H595" s="3"/>
      <c r="AG595" s="91"/>
    </row>
    <row r="596" ht="15.75" customHeight="1">
      <c r="B596" s="3"/>
      <c r="C596" s="3"/>
      <c r="H596" s="3"/>
      <c r="AG596" s="91"/>
    </row>
    <row r="597" ht="15.75" customHeight="1">
      <c r="B597" s="3"/>
      <c r="C597" s="3"/>
      <c r="H597" s="3"/>
      <c r="AG597" s="91"/>
    </row>
    <row r="598" ht="15.75" customHeight="1">
      <c r="B598" s="3"/>
      <c r="C598" s="3"/>
      <c r="H598" s="3"/>
      <c r="AG598" s="91"/>
    </row>
    <row r="599" ht="15.75" customHeight="1">
      <c r="B599" s="3"/>
      <c r="C599" s="3"/>
      <c r="H599" s="3"/>
      <c r="AG599" s="91"/>
    </row>
    <row r="600" ht="15.75" customHeight="1">
      <c r="B600" s="3"/>
      <c r="C600" s="3"/>
      <c r="H600" s="3"/>
      <c r="AG600" s="91"/>
    </row>
    <row r="601" ht="15.75" customHeight="1">
      <c r="B601" s="3"/>
      <c r="C601" s="3"/>
      <c r="H601" s="3"/>
      <c r="AG601" s="91"/>
    </row>
    <row r="602" ht="15.75" customHeight="1">
      <c r="B602" s="3"/>
      <c r="C602" s="3"/>
      <c r="H602" s="3"/>
      <c r="AG602" s="91"/>
    </row>
    <row r="603" ht="15.75" customHeight="1">
      <c r="B603" s="3"/>
      <c r="C603" s="3"/>
      <c r="H603" s="3"/>
      <c r="AG603" s="91"/>
    </row>
    <row r="604" ht="15.75" customHeight="1">
      <c r="B604" s="3"/>
      <c r="C604" s="3"/>
      <c r="H604" s="3"/>
      <c r="AG604" s="91"/>
    </row>
    <row r="605" ht="15.75" customHeight="1">
      <c r="B605" s="3"/>
      <c r="C605" s="3"/>
      <c r="H605" s="3"/>
      <c r="AG605" s="91"/>
    </row>
    <row r="606" ht="15.75" customHeight="1">
      <c r="B606" s="3"/>
      <c r="C606" s="3"/>
      <c r="H606" s="3"/>
      <c r="AG606" s="91"/>
    </row>
    <row r="607" ht="15.75" customHeight="1">
      <c r="B607" s="3"/>
      <c r="C607" s="3"/>
      <c r="H607" s="3"/>
      <c r="AG607" s="91"/>
    </row>
    <row r="608" ht="15.75" customHeight="1">
      <c r="B608" s="3"/>
      <c r="C608" s="3"/>
      <c r="H608" s="3"/>
      <c r="AG608" s="91"/>
    </row>
    <row r="609" ht="15.75" customHeight="1">
      <c r="B609" s="3"/>
      <c r="C609" s="3"/>
      <c r="H609" s="3"/>
      <c r="AG609" s="91"/>
    </row>
    <row r="610" ht="15.75" customHeight="1">
      <c r="B610" s="3"/>
      <c r="C610" s="3"/>
      <c r="H610" s="3"/>
      <c r="AG610" s="91"/>
    </row>
    <row r="611" ht="15.75" customHeight="1">
      <c r="B611" s="3"/>
      <c r="C611" s="3"/>
      <c r="H611" s="3"/>
      <c r="AG611" s="91"/>
    </row>
    <row r="612" ht="15.75" customHeight="1">
      <c r="B612" s="3"/>
      <c r="C612" s="3"/>
      <c r="H612" s="3"/>
      <c r="AG612" s="91"/>
    </row>
    <row r="613" ht="15.75" customHeight="1">
      <c r="B613" s="3"/>
      <c r="C613" s="3"/>
      <c r="H613" s="3"/>
      <c r="AG613" s="91"/>
    </row>
    <row r="614" ht="15.75" customHeight="1">
      <c r="B614" s="3"/>
      <c r="C614" s="3"/>
      <c r="H614" s="3"/>
      <c r="AG614" s="91"/>
    </row>
    <row r="615" ht="15.75" customHeight="1">
      <c r="B615" s="3"/>
      <c r="C615" s="3"/>
      <c r="H615" s="3"/>
      <c r="AG615" s="91"/>
    </row>
    <row r="616" ht="15.75" customHeight="1">
      <c r="B616" s="3"/>
      <c r="C616" s="3"/>
      <c r="H616" s="3"/>
      <c r="AG616" s="91"/>
    </row>
    <row r="617" ht="15.75" customHeight="1">
      <c r="B617" s="3"/>
      <c r="C617" s="3"/>
      <c r="H617" s="3"/>
      <c r="AG617" s="91"/>
    </row>
    <row r="618" ht="15.75" customHeight="1">
      <c r="B618" s="3"/>
      <c r="C618" s="3"/>
      <c r="H618" s="3"/>
      <c r="AG618" s="91"/>
    </row>
    <row r="619" ht="15.75" customHeight="1">
      <c r="B619" s="3"/>
      <c r="C619" s="3"/>
      <c r="H619" s="3"/>
      <c r="AG619" s="91"/>
    </row>
    <row r="620" ht="15.75" customHeight="1">
      <c r="B620" s="3"/>
      <c r="C620" s="3"/>
      <c r="H620" s="3"/>
      <c r="AG620" s="91"/>
    </row>
    <row r="621" ht="15.75" customHeight="1">
      <c r="B621" s="3"/>
      <c r="C621" s="3"/>
      <c r="H621" s="3"/>
      <c r="AG621" s="91"/>
    </row>
    <row r="622" ht="15.75" customHeight="1">
      <c r="B622" s="3"/>
      <c r="C622" s="3"/>
      <c r="H622" s="3"/>
      <c r="AG622" s="91"/>
    </row>
    <row r="623" ht="15.75" customHeight="1">
      <c r="B623" s="3"/>
      <c r="C623" s="3"/>
      <c r="H623" s="3"/>
      <c r="AG623" s="91"/>
    </row>
    <row r="624" ht="15.75" customHeight="1">
      <c r="B624" s="3"/>
      <c r="C624" s="3"/>
      <c r="H624" s="3"/>
      <c r="AG624" s="91"/>
    </row>
    <row r="625" ht="15.75" customHeight="1">
      <c r="B625" s="3"/>
      <c r="C625" s="3"/>
      <c r="H625" s="3"/>
      <c r="AG625" s="91"/>
    </row>
    <row r="626" ht="15.75" customHeight="1">
      <c r="B626" s="3"/>
      <c r="C626" s="3"/>
      <c r="H626" s="3"/>
      <c r="AG626" s="91"/>
    </row>
    <row r="627" ht="15.75" customHeight="1">
      <c r="B627" s="3"/>
      <c r="C627" s="3"/>
      <c r="H627" s="3"/>
      <c r="AG627" s="91"/>
    </row>
    <row r="628" ht="15.75" customHeight="1">
      <c r="B628" s="3"/>
      <c r="C628" s="3"/>
      <c r="H628" s="3"/>
      <c r="AG628" s="91"/>
    </row>
    <row r="629" ht="15.75" customHeight="1">
      <c r="B629" s="3"/>
      <c r="C629" s="3"/>
      <c r="H629" s="3"/>
      <c r="AG629" s="91"/>
    </row>
    <row r="630" ht="15.75" customHeight="1">
      <c r="B630" s="3"/>
      <c r="C630" s="3"/>
      <c r="H630" s="3"/>
      <c r="AG630" s="91"/>
    </row>
    <row r="631" ht="15.75" customHeight="1">
      <c r="B631" s="3"/>
      <c r="C631" s="3"/>
      <c r="H631" s="3"/>
      <c r="AG631" s="91"/>
    </row>
    <row r="632" ht="15.75" customHeight="1">
      <c r="B632" s="3"/>
      <c r="C632" s="3"/>
      <c r="H632" s="3"/>
      <c r="AG632" s="91"/>
    </row>
    <row r="633" ht="15.75" customHeight="1">
      <c r="B633" s="3"/>
      <c r="C633" s="3"/>
      <c r="H633" s="3"/>
      <c r="AG633" s="91"/>
    </row>
    <row r="634" ht="15.75" customHeight="1">
      <c r="B634" s="3"/>
      <c r="C634" s="3"/>
      <c r="H634" s="3"/>
      <c r="AG634" s="91"/>
    </row>
    <row r="635" ht="15.75" customHeight="1">
      <c r="B635" s="3"/>
      <c r="C635" s="3"/>
      <c r="H635" s="3"/>
      <c r="AG635" s="91"/>
    </row>
    <row r="636" ht="15.75" customHeight="1">
      <c r="B636" s="3"/>
      <c r="C636" s="3"/>
      <c r="H636" s="3"/>
      <c r="AG636" s="91"/>
    </row>
    <row r="637" ht="15.75" customHeight="1">
      <c r="B637" s="3"/>
      <c r="C637" s="3"/>
      <c r="H637" s="3"/>
      <c r="AG637" s="91"/>
    </row>
    <row r="638" ht="15.75" customHeight="1">
      <c r="B638" s="3"/>
      <c r="C638" s="3"/>
      <c r="H638" s="3"/>
      <c r="AG638" s="91"/>
    </row>
    <row r="639" ht="15.75" customHeight="1">
      <c r="B639" s="3"/>
      <c r="C639" s="3"/>
      <c r="H639" s="3"/>
      <c r="AG639" s="91"/>
    </row>
    <row r="640" ht="15.75" customHeight="1">
      <c r="B640" s="3"/>
      <c r="C640" s="3"/>
      <c r="H640" s="3"/>
      <c r="AG640" s="91"/>
    </row>
    <row r="641" ht="15.75" customHeight="1">
      <c r="B641" s="3"/>
      <c r="C641" s="3"/>
      <c r="H641" s="3"/>
      <c r="AG641" s="91"/>
    </row>
    <row r="642" ht="15.75" customHeight="1">
      <c r="B642" s="3"/>
      <c r="C642" s="3"/>
      <c r="H642" s="3"/>
      <c r="AG642" s="91"/>
    </row>
    <row r="643" ht="15.75" customHeight="1">
      <c r="B643" s="3"/>
      <c r="C643" s="3"/>
      <c r="H643" s="3"/>
      <c r="AG643" s="91"/>
    </row>
    <row r="644" ht="15.75" customHeight="1">
      <c r="B644" s="3"/>
      <c r="C644" s="3"/>
      <c r="H644" s="3"/>
      <c r="AG644" s="91"/>
    </row>
    <row r="645" ht="15.75" customHeight="1">
      <c r="B645" s="3"/>
      <c r="C645" s="3"/>
      <c r="H645" s="3"/>
      <c r="AG645" s="91"/>
    </row>
    <row r="646" ht="15.75" customHeight="1">
      <c r="B646" s="3"/>
      <c r="C646" s="3"/>
      <c r="H646" s="3"/>
      <c r="AG646" s="91"/>
    </row>
    <row r="647" ht="15.75" customHeight="1">
      <c r="B647" s="3"/>
      <c r="C647" s="3"/>
      <c r="H647" s="3"/>
      <c r="AG647" s="91"/>
    </row>
    <row r="648" ht="15.75" customHeight="1">
      <c r="B648" s="3"/>
      <c r="C648" s="3"/>
      <c r="H648" s="3"/>
      <c r="AG648" s="91"/>
    </row>
    <row r="649" ht="15.75" customHeight="1">
      <c r="B649" s="3"/>
      <c r="C649" s="3"/>
      <c r="H649" s="3"/>
      <c r="AG649" s="91"/>
    </row>
    <row r="650" ht="15.75" customHeight="1">
      <c r="B650" s="3"/>
      <c r="C650" s="3"/>
      <c r="H650" s="3"/>
      <c r="AG650" s="91"/>
    </row>
    <row r="651" ht="15.75" customHeight="1">
      <c r="B651" s="3"/>
      <c r="C651" s="3"/>
      <c r="H651" s="3"/>
      <c r="AG651" s="91"/>
    </row>
    <row r="652" ht="15.75" customHeight="1">
      <c r="B652" s="3"/>
      <c r="C652" s="3"/>
      <c r="H652" s="3"/>
      <c r="AG652" s="91"/>
    </row>
    <row r="653" ht="15.75" customHeight="1">
      <c r="B653" s="3"/>
      <c r="C653" s="3"/>
      <c r="H653" s="3"/>
      <c r="AG653" s="91"/>
    </row>
    <row r="654" ht="15.75" customHeight="1">
      <c r="B654" s="3"/>
      <c r="C654" s="3"/>
      <c r="H654" s="3"/>
      <c r="AG654" s="91"/>
    </row>
    <row r="655" ht="15.75" customHeight="1">
      <c r="B655" s="3"/>
      <c r="C655" s="3"/>
      <c r="H655" s="3"/>
      <c r="AG655" s="91"/>
    </row>
    <row r="656" ht="15.75" customHeight="1">
      <c r="B656" s="3"/>
      <c r="C656" s="3"/>
      <c r="H656" s="3"/>
      <c r="AG656" s="91"/>
    </row>
    <row r="657" ht="15.75" customHeight="1">
      <c r="B657" s="3"/>
      <c r="C657" s="3"/>
      <c r="H657" s="3"/>
      <c r="AG657" s="91"/>
    </row>
    <row r="658" ht="15.75" customHeight="1">
      <c r="B658" s="3"/>
      <c r="C658" s="3"/>
      <c r="H658" s="3"/>
      <c r="AG658" s="91"/>
    </row>
    <row r="659" ht="15.75" customHeight="1">
      <c r="B659" s="3"/>
      <c r="C659" s="3"/>
      <c r="H659" s="3"/>
      <c r="AG659" s="91"/>
    </row>
    <row r="660" ht="15.75" customHeight="1">
      <c r="B660" s="3"/>
      <c r="C660" s="3"/>
      <c r="H660" s="3"/>
      <c r="AG660" s="91"/>
    </row>
    <row r="661" ht="15.75" customHeight="1">
      <c r="B661" s="3"/>
      <c r="C661" s="3"/>
      <c r="H661" s="3"/>
      <c r="AG661" s="91"/>
    </row>
    <row r="662" ht="15.75" customHeight="1">
      <c r="B662" s="3"/>
      <c r="C662" s="3"/>
      <c r="H662" s="3"/>
      <c r="AG662" s="91"/>
    </row>
    <row r="663" ht="15.75" customHeight="1">
      <c r="B663" s="3"/>
      <c r="C663" s="3"/>
      <c r="H663" s="3"/>
      <c r="AG663" s="91"/>
    </row>
    <row r="664" ht="15.75" customHeight="1">
      <c r="B664" s="3"/>
      <c r="C664" s="3"/>
      <c r="H664" s="3"/>
      <c r="AG664" s="91"/>
    </row>
    <row r="665" ht="15.75" customHeight="1">
      <c r="B665" s="3"/>
      <c r="C665" s="3"/>
      <c r="H665" s="3"/>
      <c r="AG665" s="91"/>
    </row>
    <row r="666" ht="15.75" customHeight="1">
      <c r="B666" s="3"/>
      <c r="C666" s="3"/>
      <c r="H666" s="3"/>
      <c r="AG666" s="91"/>
    </row>
    <row r="667" ht="15.75" customHeight="1">
      <c r="B667" s="3"/>
      <c r="C667" s="3"/>
      <c r="H667" s="3"/>
      <c r="AG667" s="91"/>
    </row>
    <row r="668" ht="15.75" customHeight="1">
      <c r="B668" s="3"/>
      <c r="C668" s="3"/>
      <c r="H668" s="3"/>
      <c r="AG668" s="91"/>
    </row>
    <row r="669" ht="15.75" customHeight="1">
      <c r="B669" s="3"/>
      <c r="C669" s="3"/>
      <c r="H669" s="3"/>
      <c r="AG669" s="91"/>
    </row>
    <row r="670" ht="15.75" customHeight="1">
      <c r="B670" s="3"/>
      <c r="C670" s="3"/>
      <c r="H670" s="3"/>
      <c r="AG670" s="91"/>
    </row>
    <row r="671" ht="15.75" customHeight="1">
      <c r="B671" s="3"/>
      <c r="C671" s="3"/>
      <c r="H671" s="3"/>
      <c r="AG671" s="91"/>
    </row>
    <row r="672" ht="15.75" customHeight="1">
      <c r="B672" s="3"/>
      <c r="C672" s="3"/>
      <c r="H672" s="3"/>
      <c r="AG672" s="91"/>
    </row>
    <row r="673" ht="15.75" customHeight="1">
      <c r="B673" s="3"/>
      <c r="C673" s="3"/>
      <c r="H673" s="3"/>
      <c r="AG673" s="91"/>
    </row>
    <row r="674" ht="15.75" customHeight="1">
      <c r="B674" s="3"/>
      <c r="C674" s="3"/>
      <c r="H674" s="3"/>
      <c r="AG674" s="91"/>
    </row>
    <row r="675" ht="15.75" customHeight="1">
      <c r="B675" s="3"/>
      <c r="C675" s="3"/>
      <c r="H675" s="3"/>
      <c r="AG675" s="91"/>
    </row>
    <row r="676" ht="15.75" customHeight="1">
      <c r="B676" s="3"/>
      <c r="C676" s="3"/>
      <c r="H676" s="3"/>
      <c r="AG676" s="91"/>
    </row>
    <row r="677" ht="15.75" customHeight="1">
      <c r="B677" s="3"/>
      <c r="C677" s="3"/>
      <c r="H677" s="3"/>
      <c r="AG677" s="91"/>
    </row>
    <row r="678" ht="15.75" customHeight="1">
      <c r="B678" s="3"/>
      <c r="C678" s="3"/>
      <c r="H678" s="3"/>
      <c r="AG678" s="91"/>
    </row>
    <row r="679" ht="15.75" customHeight="1">
      <c r="B679" s="3"/>
      <c r="C679" s="3"/>
      <c r="H679" s="3"/>
      <c r="AG679" s="91"/>
    </row>
    <row r="680" ht="15.75" customHeight="1">
      <c r="B680" s="3"/>
      <c r="C680" s="3"/>
      <c r="H680" s="3"/>
      <c r="AG680" s="91"/>
    </row>
    <row r="681" ht="15.75" customHeight="1">
      <c r="B681" s="3"/>
      <c r="C681" s="3"/>
      <c r="H681" s="3"/>
      <c r="AG681" s="91"/>
    </row>
    <row r="682" ht="15.75" customHeight="1">
      <c r="B682" s="3"/>
      <c r="C682" s="3"/>
      <c r="H682" s="3"/>
      <c r="AG682" s="91"/>
    </row>
    <row r="683" ht="15.75" customHeight="1">
      <c r="B683" s="3"/>
      <c r="C683" s="3"/>
      <c r="H683" s="3"/>
      <c r="AG683" s="91"/>
    </row>
    <row r="684" ht="15.75" customHeight="1">
      <c r="B684" s="3"/>
      <c r="C684" s="3"/>
      <c r="H684" s="3"/>
      <c r="AG684" s="91"/>
    </row>
    <row r="685" ht="15.75" customHeight="1">
      <c r="B685" s="3"/>
      <c r="C685" s="3"/>
      <c r="H685" s="3"/>
      <c r="AG685" s="91"/>
    </row>
    <row r="686" ht="15.75" customHeight="1">
      <c r="B686" s="3"/>
      <c r="C686" s="3"/>
      <c r="H686" s="3"/>
      <c r="AG686" s="91"/>
    </row>
    <row r="687" ht="15.75" customHeight="1">
      <c r="B687" s="3"/>
      <c r="C687" s="3"/>
      <c r="H687" s="3"/>
      <c r="AG687" s="91"/>
    </row>
    <row r="688" ht="15.75" customHeight="1">
      <c r="B688" s="3"/>
      <c r="C688" s="3"/>
      <c r="H688" s="3"/>
      <c r="AG688" s="91"/>
    </row>
    <row r="689" ht="15.75" customHeight="1">
      <c r="B689" s="3"/>
      <c r="C689" s="3"/>
      <c r="H689" s="3"/>
      <c r="AG689" s="91"/>
    </row>
    <row r="690" ht="15.75" customHeight="1">
      <c r="B690" s="3"/>
      <c r="C690" s="3"/>
      <c r="H690" s="3"/>
      <c r="AG690" s="91"/>
    </row>
    <row r="691" ht="15.75" customHeight="1">
      <c r="B691" s="3"/>
      <c r="C691" s="3"/>
      <c r="H691" s="3"/>
      <c r="AG691" s="91"/>
    </row>
    <row r="692" ht="15.75" customHeight="1">
      <c r="B692" s="3"/>
      <c r="C692" s="3"/>
      <c r="H692" s="3"/>
      <c r="AG692" s="91"/>
    </row>
    <row r="693" ht="15.75" customHeight="1">
      <c r="B693" s="3"/>
      <c r="C693" s="3"/>
      <c r="H693" s="3"/>
      <c r="AG693" s="91"/>
    </row>
    <row r="694" ht="15.75" customHeight="1">
      <c r="B694" s="3"/>
      <c r="C694" s="3"/>
      <c r="H694" s="3"/>
      <c r="AG694" s="91"/>
    </row>
    <row r="695" ht="15.75" customHeight="1">
      <c r="B695" s="3"/>
      <c r="C695" s="3"/>
      <c r="H695" s="3"/>
      <c r="AG695" s="91"/>
    </row>
    <row r="696" ht="15.75" customHeight="1">
      <c r="B696" s="3"/>
      <c r="C696" s="3"/>
      <c r="H696" s="3"/>
      <c r="AG696" s="91"/>
    </row>
    <row r="697" ht="15.75" customHeight="1">
      <c r="B697" s="3"/>
      <c r="C697" s="3"/>
      <c r="H697" s="3"/>
      <c r="AG697" s="91"/>
    </row>
    <row r="698" ht="15.75" customHeight="1">
      <c r="B698" s="3"/>
      <c r="C698" s="3"/>
      <c r="H698" s="3"/>
      <c r="AG698" s="91"/>
    </row>
    <row r="699" ht="15.75" customHeight="1">
      <c r="B699" s="3"/>
      <c r="C699" s="3"/>
      <c r="H699" s="3"/>
      <c r="AG699" s="91"/>
    </row>
    <row r="700" ht="15.75" customHeight="1">
      <c r="B700" s="3"/>
      <c r="C700" s="3"/>
      <c r="H700" s="3"/>
      <c r="AG700" s="91"/>
    </row>
    <row r="701" ht="15.75" customHeight="1">
      <c r="B701" s="3"/>
      <c r="C701" s="3"/>
      <c r="H701" s="3"/>
      <c r="AG701" s="91"/>
    </row>
    <row r="702" ht="15.75" customHeight="1">
      <c r="B702" s="3"/>
      <c r="C702" s="3"/>
      <c r="H702" s="3"/>
      <c r="AG702" s="91"/>
    </row>
    <row r="703" ht="15.75" customHeight="1">
      <c r="B703" s="3"/>
      <c r="C703" s="3"/>
      <c r="H703" s="3"/>
      <c r="AG703" s="91"/>
    </row>
    <row r="704" ht="15.75" customHeight="1">
      <c r="B704" s="3"/>
      <c r="C704" s="3"/>
      <c r="H704" s="3"/>
      <c r="AG704" s="91"/>
    </row>
    <row r="705" ht="15.75" customHeight="1">
      <c r="B705" s="3"/>
      <c r="C705" s="3"/>
      <c r="H705" s="3"/>
      <c r="AG705" s="91"/>
    </row>
    <row r="706" ht="15.75" customHeight="1">
      <c r="B706" s="3"/>
      <c r="C706" s="3"/>
      <c r="H706" s="3"/>
      <c r="AG706" s="91"/>
    </row>
    <row r="707" ht="15.75" customHeight="1">
      <c r="B707" s="3"/>
      <c r="C707" s="3"/>
      <c r="H707" s="3"/>
      <c r="AG707" s="91"/>
    </row>
    <row r="708" ht="15.75" customHeight="1">
      <c r="B708" s="3"/>
      <c r="C708" s="3"/>
      <c r="H708" s="3"/>
      <c r="AG708" s="91"/>
    </row>
    <row r="709" ht="15.75" customHeight="1">
      <c r="B709" s="3"/>
      <c r="C709" s="3"/>
      <c r="H709" s="3"/>
      <c r="AG709" s="91"/>
    </row>
    <row r="710" ht="15.75" customHeight="1">
      <c r="B710" s="3"/>
      <c r="C710" s="3"/>
      <c r="H710" s="3"/>
      <c r="AG710" s="91"/>
    </row>
    <row r="711" ht="15.75" customHeight="1">
      <c r="B711" s="3"/>
      <c r="C711" s="3"/>
      <c r="H711" s="3"/>
      <c r="AG711" s="91"/>
    </row>
    <row r="712" ht="15.75" customHeight="1">
      <c r="B712" s="3"/>
      <c r="C712" s="3"/>
      <c r="H712" s="3"/>
      <c r="AG712" s="91"/>
    </row>
    <row r="713" ht="15.75" customHeight="1">
      <c r="B713" s="3"/>
      <c r="C713" s="3"/>
      <c r="H713" s="3"/>
      <c r="AG713" s="91"/>
    </row>
    <row r="714" ht="15.75" customHeight="1">
      <c r="B714" s="3"/>
      <c r="C714" s="3"/>
      <c r="H714" s="3"/>
      <c r="AG714" s="91"/>
    </row>
    <row r="715" ht="15.75" customHeight="1">
      <c r="B715" s="3"/>
      <c r="C715" s="3"/>
      <c r="H715" s="3"/>
      <c r="AG715" s="91"/>
    </row>
    <row r="716" ht="15.75" customHeight="1">
      <c r="B716" s="3"/>
      <c r="C716" s="3"/>
      <c r="H716" s="3"/>
      <c r="AG716" s="91"/>
    </row>
    <row r="717" ht="15.75" customHeight="1">
      <c r="B717" s="3"/>
      <c r="C717" s="3"/>
      <c r="H717" s="3"/>
      <c r="AG717" s="91"/>
    </row>
    <row r="718" ht="15.75" customHeight="1">
      <c r="B718" s="3"/>
      <c r="C718" s="3"/>
      <c r="H718" s="3"/>
      <c r="AG718" s="91"/>
    </row>
    <row r="719" ht="15.75" customHeight="1">
      <c r="B719" s="3"/>
      <c r="C719" s="3"/>
      <c r="H719" s="3"/>
      <c r="AG719" s="91"/>
    </row>
    <row r="720" ht="15.75" customHeight="1">
      <c r="B720" s="3"/>
      <c r="C720" s="3"/>
      <c r="H720" s="3"/>
      <c r="AG720" s="91"/>
    </row>
    <row r="721" ht="15.75" customHeight="1">
      <c r="B721" s="3"/>
      <c r="C721" s="3"/>
      <c r="H721" s="3"/>
      <c r="AG721" s="91"/>
    </row>
    <row r="722" ht="15.75" customHeight="1">
      <c r="B722" s="3"/>
      <c r="C722" s="3"/>
      <c r="H722" s="3"/>
      <c r="AG722" s="91"/>
    </row>
    <row r="723" ht="15.75" customHeight="1">
      <c r="B723" s="3"/>
      <c r="C723" s="3"/>
      <c r="H723" s="3"/>
      <c r="AG723" s="91"/>
    </row>
    <row r="724" ht="15.75" customHeight="1">
      <c r="B724" s="3"/>
      <c r="C724" s="3"/>
      <c r="H724" s="3"/>
      <c r="AG724" s="91"/>
    </row>
    <row r="725" ht="15.75" customHeight="1">
      <c r="B725" s="3"/>
      <c r="C725" s="3"/>
      <c r="H725" s="3"/>
      <c r="AG725" s="91"/>
    </row>
    <row r="726" ht="15.75" customHeight="1">
      <c r="B726" s="3"/>
      <c r="C726" s="3"/>
      <c r="H726" s="3"/>
      <c r="AG726" s="91"/>
    </row>
    <row r="727" ht="15.75" customHeight="1">
      <c r="B727" s="3"/>
      <c r="C727" s="3"/>
      <c r="H727" s="3"/>
      <c r="AG727" s="91"/>
    </row>
    <row r="728" ht="15.75" customHeight="1">
      <c r="B728" s="3"/>
      <c r="C728" s="3"/>
      <c r="H728" s="3"/>
      <c r="AG728" s="91"/>
    </row>
    <row r="729" ht="15.75" customHeight="1">
      <c r="B729" s="3"/>
      <c r="C729" s="3"/>
      <c r="H729" s="3"/>
      <c r="AG729" s="91"/>
    </row>
    <row r="730" ht="15.75" customHeight="1">
      <c r="B730" s="3"/>
      <c r="C730" s="3"/>
      <c r="H730" s="3"/>
      <c r="AG730" s="91"/>
    </row>
    <row r="731" ht="15.75" customHeight="1">
      <c r="B731" s="3"/>
      <c r="C731" s="3"/>
      <c r="H731" s="3"/>
      <c r="AG731" s="91"/>
    </row>
    <row r="732" ht="15.75" customHeight="1">
      <c r="B732" s="3"/>
      <c r="C732" s="3"/>
      <c r="H732" s="3"/>
      <c r="AG732" s="91"/>
    </row>
    <row r="733" ht="15.75" customHeight="1">
      <c r="B733" s="3"/>
      <c r="C733" s="3"/>
      <c r="H733" s="3"/>
      <c r="AG733" s="91"/>
    </row>
    <row r="734" ht="15.75" customHeight="1">
      <c r="B734" s="3"/>
      <c r="C734" s="3"/>
      <c r="H734" s="3"/>
      <c r="AG734" s="91"/>
    </row>
    <row r="735" ht="15.75" customHeight="1">
      <c r="B735" s="3"/>
      <c r="C735" s="3"/>
      <c r="H735" s="3"/>
      <c r="AG735" s="91"/>
    </row>
    <row r="736" ht="15.75" customHeight="1">
      <c r="B736" s="3"/>
      <c r="C736" s="3"/>
      <c r="H736" s="3"/>
      <c r="AG736" s="91"/>
    </row>
    <row r="737" ht="15.75" customHeight="1">
      <c r="B737" s="3"/>
      <c r="C737" s="3"/>
      <c r="H737" s="3"/>
      <c r="AG737" s="91"/>
    </row>
    <row r="738" ht="15.75" customHeight="1">
      <c r="B738" s="3"/>
      <c r="C738" s="3"/>
      <c r="H738" s="3"/>
      <c r="AG738" s="91"/>
    </row>
    <row r="739" ht="15.75" customHeight="1">
      <c r="B739" s="3"/>
      <c r="C739" s="3"/>
      <c r="H739" s="3"/>
      <c r="AG739" s="91"/>
    </row>
    <row r="740" ht="15.75" customHeight="1">
      <c r="B740" s="3"/>
      <c r="C740" s="3"/>
      <c r="H740" s="3"/>
      <c r="AG740" s="91"/>
    </row>
    <row r="741" ht="15.75" customHeight="1">
      <c r="B741" s="3"/>
      <c r="C741" s="3"/>
      <c r="H741" s="3"/>
      <c r="AG741" s="91"/>
    </row>
    <row r="742" ht="15.75" customHeight="1">
      <c r="B742" s="3"/>
      <c r="C742" s="3"/>
      <c r="H742" s="3"/>
      <c r="AG742" s="91"/>
    </row>
    <row r="743" ht="15.75" customHeight="1">
      <c r="B743" s="3"/>
      <c r="C743" s="3"/>
      <c r="H743" s="3"/>
      <c r="AG743" s="91"/>
    </row>
    <row r="744" ht="15.75" customHeight="1">
      <c r="B744" s="3"/>
      <c r="C744" s="3"/>
      <c r="H744" s="3"/>
      <c r="AG744" s="91"/>
    </row>
    <row r="745" ht="15.75" customHeight="1">
      <c r="B745" s="3"/>
      <c r="C745" s="3"/>
      <c r="H745" s="3"/>
      <c r="AG745" s="91"/>
    </row>
    <row r="746" ht="15.75" customHeight="1">
      <c r="B746" s="3"/>
      <c r="C746" s="3"/>
      <c r="H746" s="3"/>
      <c r="AG746" s="91"/>
    </row>
    <row r="747" ht="15.75" customHeight="1">
      <c r="B747" s="3"/>
      <c r="C747" s="3"/>
      <c r="H747" s="3"/>
      <c r="AG747" s="91"/>
    </row>
    <row r="748" ht="15.75" customHeight="1">
      <c r="B748" s="3"/>
      <c r="C748" s="3"/>
      <c r="H748" s="3"/>
      <c r="AG748" s="91"/>
    </row>
    <row r="749" ht="15.75" customHeight="1">
      <c r="B749" s="3"/>
      <c r="C749" s="3"/>
      <c r="H749" s="3"/>
      <c r="AG749" s="91"/>
    </row>
    <row r="750" ht="15.75" customHeight="1">
      <c r="B750" s="3"/>
      <c r="C750" s="3"/>
      <c r="H750" s="3"/>
      <c r="AG750" s="91"/>
    </row>
    <row r="751" ht="15.75" customHeight="1">
      <c r="B751" s="3"/>
      <c r="C751" s="3"/>
      <c r="H751" s="3"/>
      <c r="AG751" s="91"/>
    </row>
    <row r="752" ht="15.75" customHeight="1">
      <c r="B752" s="3"/>
      <c r="C752" s="3"/>
      <c r="H752" s="3"/>
      <c r="AG752" s="91"/>
    </row>
    <row r="753" ht="15.75" customHeight="1">
      <c r="B753" s="3"/>
      <c r="C753" s="3"/>
      <c r="H753" s="3"/>
      <c r="AG753" s="91"/>
    </row>
    <row r="754" ht="15.75" customHeight="1">
      <c r="B754" s="3"/>
      <c r="C754" s="3"/>
      <c r="H754" s="3"/>
      <c r="AG754" s="91"/>
    </row>
    <row r="755" ht="15.75" customHeight="1">
      <c r="B755" s="3"/>
      <c r="C755" s="3"/>
      <c r="H755" s="3"/>
      <c r="AG755" s="91"/>
    </row>
    <row r="756" ht="15.75" customHeight="1">
      <c r="B756" s="3"/>
      <c r="C756" s="3"/>
      <c r="H756" s="3"/>
      <c r="AG756" s="91"/>
    </row>
    <row r="757" ht="15.75" customHeight="1">
      <c r="B757" s="3"/>
      <c r="C757" s="3"/>
      <c r="H757" s="3"/>
      <c r="AG757" s="91"/>
    </row>
    <row r="758" ht="15.75" customHeight="1">
      <c r="B758" s="3"/>
      <c r="C758" s="3"/>
      <c r="H758" s="3"/>
      <c r="AG758" s="91"/>
    </row>
    <row r="759" ht="15.75" customHeight="1">
      <c r="B759" s="3"/>
      <c r="C759" s="3"/>
      <c r="H759" s="3"/>
      <c r="AG759" s="91"/>
    </row>
    <row r="760" ht="15.75" customHeight="1">
      <c r="B760" s="3"/>
      <c r="C760" s="3"/>
      <c r="H760" s="3"/>
      <c r="AG760" s="91"/>
    </row>
    <row r="761" ht="15.75" customHeight="1">
      <c r="B761" s="3"/>
      <c r="C761" s="3"/>
      <c r="H761" s="3"/>
      <c r="AG761" s="91"/>
    </row>
    <row r="762" ht="15.75" customHeight="1">
      <c r="B762" s="3"/>
      <c r="C762" s="3"/>
      <c r="H762" s="3"/>
      <c r="AG762" s="91"/>
    </row>
    <row r="763" ht="15.75" customHeight="1">
      <c r="B763" s="3"/>
      <c r="C763" s="3"/>
      <c r="H763" s="3"/>
      <c r="AG763" s="91"/>
    </row>
    <row r="764" ht="15.75" customHeight="1">
      <c r="B764" s="3"/>
      <c r="C764" s="3"/>
      <c r="H764" s="3"/>
      <c r="AG764" s="91"/>
    </row>
    <row r="765" ht="15.75" customHeight="1">
      <c r="B765" s="3"/>
      <c r="C765" s="3"/>
      <c r="H765" s="3"/>
      <c r="AG765" s="91"/>
    </row>
    <row r="766" ht="15.75" customHeight="1">
      <c r="B766" s="3"/>
      <c r="C766" s="3"/>
      <c r="H766" s="3"/>
      <c r="AG766" s="91"/>
    </row>
    <row r="767" ht="15.75" customHeight="1">
      <c r="B767" s="3"/>
      <c r="C767" s="3"/>
      <c r="H767" s="3"/>
      <c r="AG767" s="91"/>
    </row>
    <row r="768" ht="15.75" customHeight="1">
      <c r="B768" s="3"/>
      <c r="C768" s="3"/>
      <c r="H768" s="3"/>
      <c r="AG768" s="91"/>
    </row>
    <row r="769" ht="15.75" customHeight="1">
      <c r="B769" s="3"/>
      <c r="C769" s="3"/>
      <c r="H769" s="3"/>
      <c r="AG769" s="91"/>
    </row>
    <row r="770" ht="15.75" customHeight="1">
      <c r="B770" s="3"/>
      <c r="C770" s="3"/>
      <c r="H770" s="3"/>
      <c r="AG770" s="91"/>
    </row>
    <row r="771" ht="15.75" customHeight="1">
      <c r="B771" s="3"/>
      <c r="C771" s="3"/>
      <c r="H771" s="3"/>
      <c r="AG771" s="91"/>
    </row>
    <row r="772" ht="15.75" customHeight="1">
      <c r="B772" s="3"/>
      <c r="C772" s="3"/>
      <c r="H772" s="3"/>
      <c r="AG772" s="91"/>
    </row>
    <row r="773" ht="15.75" customHeight="1">
      <c r="B773" s="3"/>
      <c r="C773" s="3"/>
      <c r="H773" s="3"/>
      <c r="AG773" s="91"/>
    </row>
    <row r="774" ht="15.75" customHeight="1">
      <c r="B774" s="3"/>
      <c r="C774" s="3"/>
      <c r="H774" s="3"/>
      <c r="AG774" s="91"/>
    </row>
    <row r="775" ht="15.75" customHeight="1">
      <c r="B775" s="3"/>
      <c r="C775" s="3"/>
      <c r="H775" s="3"/>
      <c r="AG775" s="91"/>
    </row>
    <row r="776" ht="15.75" customHeight="1">
      <c r="B776" s="3"/>
      <c r="C776" s="3"/>
      <c r="H776" s="3"/>
      <c r="AG776" s="91"/>
    </row>
    <row r="777" ht="15.75" customHeight="1">
      <c r="B777" s="3"/>
      <c r="C777" s="3"/>
      <c r="H777" s="3"/>
      <c r="AG777" s="91"/>
    </row>
    <row r="778" ht="15.75" customHeight="1">
      <c r="B778" s="3"/>
      <c r="C778" s="3"/>
      <c r="H778" s="3"/>
      <c r="AG778" s="91"/>
    </row>
    <row r="779" ht="15.75" customHeight="1">
      <c r="B779" s="3"/>
      <c r="C779" s="3"/>
      <c r="H779" s="3"/>
      <c r="AG779" s="91"/>
    </row>
    <row r="780" ht="15.75" customHeight="1">
      <c r="B780" s="3"/>
      <c r="C780" s="3"/>
      <c r="H780" s="3"/>
      <c r="AG780" s="91"/>
    </row>
    <row r="781" ht="15.75" customHeight="1">
      <c r="B781" s="3"/>
      <c r="C781" s="3"/>
      <c r="H781" s="3"/>
      <c r="AG781" s="91"/>
    </row>
    <row r="782" ht="15.75" customHeight="1">
      <c r="B782" s="3"/>
      <c r="C782" s="3"/>
      <c r="H782" s="3"/>
      <c r="AG782" s="91"/>
    </row>
    <row r="783" ht="15.75" customHeight="1">
      <c r="B783" s="3"/>
      <c r="C783" s="3"/>
      <c r="H783" s="3"/>
      <c r="AG783" s="91"/>
    </row>
    <row r="784" ht="15.75" customHeight="1">
      <c r="B784" s="3"/>
      <c r="C784" s="3"/>
      <c r="H784" s="3"/>
      <c r="AG784" s="91"/>
    </row>
    <row r="785" ht="15.75" customHeight="1">
      <c r="B785" s="3"/>
      <c r="C785" s="3"/>
      <c r="H785" s="3"/>
      <c r="AG785" s="91"/>
    </row>
    <row r="786" ht="15.75" customHeight="1">
      <c r="B786" s="3"/>
      <c r="C786" s="3"/>
      <c r="H786" s="3"/>
      <c r="AG786" s="91"/>
    </row>
    <row r="787" ht="15.75" customHeight="1">
      <c r="B787" s="3"/>
      <c r="C787" s="3"/>
      <c r="H787" s="3"/>
      <c r="AG787" s="91"/>
    </row>
    <row r="788" ht="15.75" customHeight="1">
      <c r="B788" s="3"/>
      <c r="C788" s="3"/>
      <c r="H788" s="3"/>
      <c r="AG788" s="91"/>
    </row>
    <row r="789" ht="15.75" customHeight="1">
      <c r="B789" s="3"/>
      <c r="C789" s="3"/>
      <c r="H789" s="3"/>
      <c r="AG789" s="91"/>
    </row>
    <row r="790" ht="15.75" customHeight="1">
      <c r="B790" s="3"/>
      <c r="C790" s="3"/>
      <c r="H790" s="3"/>
      <c r="AG790" s="91"/>
    </row>
    <row r="791" ht="15.75" customHeight="1">
      <c r="B791" s="3"/>
      <c r="C791" s="3"/>
      <c r="H791" s="3"/>
      <c r="AG791" s="91"/>
    </row>
    <row r="792" ht="15.75" customHeight="1">
      <c r="B792" s="3"/>
      <c r="C792" s="3"/>
      <c r="H792" s="3"/>
      <c r="AG792" s="91"/>
    </row>
    <row r="793" ht="15.75" customHeight="1">
      <c r="B793" s="3"/>
      <c r="C793" s="3"/>
      <c r="H793" s="3"/>
      <c r="AG793" s="91"/>
    </row>
    <row r="794" ht="15.75" customHeight="1">
      <c r="B794" s="3"/>
      <c r="C794" s="3"/>
      <c r="H794" s="3"/>
      <c r="AG794" s="91"/>
    </row>
    <row r="795" ht="15.75" customHeight="1">
      <c r="B795" s="3"/>
      <c r="C795" s="3"/>
      <c r="H795" s="3"/>
      <c r="AG795" s="91"/>
    </row>
    <row r="796" ht="15.75" customHeight="1">
      <c r="B796" s="3"/>
      <c r="C796" s="3"/>
      <c r="H796" s="3"/>
      <c r="AG796" s="91"/>
    </row>
    <row r="797" ht="15.75" customHeight="1">
      <c r="B797" s="3"/>
      <c r="C797" s="3"/>
      <c r="H797" s="3"/>
      <c r="AG797" s="91"/>
    </row>
    <row r="798" ht="15.75" customHeight="1">
      <c r="B798" s="3"/>
      <c r="C798" s="3"/>
      <c r="H798" s="3"/>
      <c r="AG798" s="91"/>
    </row>
    <row r="799" ht="15.75" customHeight="1">
      <c r="B799" s="3"/>
      <c r="C799" s="3"/>
      <c r="H799" s="3"/>
      <c r="AG799" s="91"/>
    </row>
    <row r="800" ht="15.75" customHeight="1">
      <c r="B800" s="3"/>
      <c r="C800" s="3"/>
      <c r="H800" s="3"/>
      <c r="AG800" s="91"/>
    </row>
    <row r="801" ht="15.75" customHeight="1">
      <c r="B801" s="3"/>
      <c r="C801" s="3"/>
      <c r="H801" s="3"/>
      <c r="AG801" s="91"/>
    </row>
    <row r="802" ht="15.75" customHeight="1">
      <c r="B802" s="3"/>
      <c r="C802" s="3"/>
      <c r="H802" s="3"/>
      <c r="AG802" s="91"/>
    </row>
    <row r="803" ht="15.75" customHeight="1">
      <c r="B803" s="3"/>
      <c r="C803" s="3"/>
      <c r="H803" s="3"/>
      <c r="AG803" s="91"/>
    </row>
    <row r="804" ht="15.75" customHeight="1">
      <c r="B804" s="3"/>
      <c r="C804" s="3"/>
      <c r="H804" s="3"/>
      <c r="AG804" s="91"/>
    </row>
    <row r="805" ht="15.75" customHeight="1">
      <c r="B805" s="3"/>
      <c r="C805" s="3"/>
      <c r="H805" s="3"/>
      <c r="AG805" s="91"/>
    </row>
    <row r="806" ht="15.75" customHeight="1">
      <c r="B806" s="3"/>
      <c r="C806" s="3"/>
      <c r="H806" s="3"/>
      <c r="AG806" s="91"/>
    </row>
    <row r="807" ht="15.75" customHeight="1">
      <c r="B807" s="3"/>
      <c r="C807" s="3"/>
      <c r="H807" s="3"/>
      <c r="AG807" s="91"/>
    </row>
    <row r="808" ht="15.75" customHeight="1">
      <c r="B808" s="3"/>
      <c r="C808" s="3"/>
      <c r="H808" s="3"/>
      <c r="AG808" s="91"/>
    </row>
    <row r="809" ht="15.75" customHeight="1">
      <c r="B809" s="3"/>
      <c r="C809" s="3"/>
      <c r="H809" s="3"/>
      <c r="AG809" s="91"/>
    </row>
    <row r="810" ht="15.75" customHeight="1">
      <c r="B810" s="3"/>
      <c r="C810" s="3"/>
      <c r="H810" s="3"/>
      <c r="AG810" s="91"/>
    </row>
    <row r="811" ht="15.75" customHeight="1">
      <c r="B811" s="3"/>
      <c r="C811" s="3"/>
      <c r="H811" s="3"/>
      <c r="AG811" s="91"/>
    </row>
    <row r="812" ht="15.75" customHeight="1">
      <c r="B812" s="3"/>
      <c r="C812" s="3"/>
      <c r="H812" s="3"/>
      <c r="AG812" s="91"/>
    </row>
    <row r="813" ht="15.75" customHeight="1">
      <c r="B813" s="3"/>
      <c r="C813" s="3"/>
      <c r="H813" s="3"/>
      <c r="AG813" s="91"/>
    </row>
    <row r="814" ht="15.75" customHeight="1">
      <c r="B814" s="3"/>
      <c r="C814" s="3"/>
      <c r="H814" s="3"/>
      <c r="AG814" s="91"/>
    </row>
    <row r="815" ht="15.75" customHeight="1">
      <c r="B815" s="3"/>
      <c r="C815" s="3"/>
      <c r="H815" s="3"/>
      <c r="AG815" s="91"/>
    </row>
    <row r="816" ht="15.75" customHeight="1">
      <c r="B816" s="3"/>
      <c r="C816" s="3"/>
      <c r="H816" s="3"/>
      <c r="AG816" s="91"/>
    </row>
    <row r="817" ht="15.75" customHeight="1">
      <c r="B817" s="3"/>
      <c r="C817" s="3"/>
      <c r="H817" s="3"/>
      <c r="AG817" s="91"/>
    </row>
    <row r="818" ht="15.75" customHeight="1">
      <c r="B818" s="3"/>
      <c r="C818" s="3"/>
      <c r="H818" s="3"/>
      <c r="AG818" s="91"/>
    </row>
    <row r="819" ht="15.75" customHeight="1">
      <c r="B819" s="3"/>
      <c r="C819" s="3"/>
      <c r="H819" s="3"/>
      <c r="AG819" s="91"/>
    </row>
    <row r="820" ht="15.75" customHeight="1">
      <c r="B820" s="3"/>
      <c r="C820" s="3"/>
      <c r="H820" s="3"/>
      <c r="AG820" s="91"/>
    </row>
    <row r="821" ht="15.75" customHeight="1">
      <c r="B821" s="3"/>
      <c r="C821" s="3"/>
      <c r="H821" s="3"/>
      <c r="AG821" s="91"/>
    </row>
    <row r="822" ht="15.75" customHeight="1">
      <c r="B822" s="3"/>
      <c r="C822" s="3"/>
      <c r="H822" s="3"/>
      <c r="AG822" s="91"/>
    </row>
    <row r="823" ht="15.75" customHeight="1">
      <c r="B823" s="3"/>
      <c r="C823" s="3"/>
      <c r="H823" s="3"/>
      <c r="AG823" s="91"/>
    </row>
    <row r="824" ht="15.75" customHeight="1">
      <c r="B824" s="3"/>
      <c r="C824" s="3"/>
      <c r="H824" s="3"/>
      <c r="AG824" s="91"/>
    </row>
    <row r="825" ht="15.75" customHeight="1">
      <c r="B825" s="3"/>
      <c r="C825" s="3"/>
      <c r="H825" s="3"/>
      <c r="AG825" s="91"/>
    </row>
    <row r="826" ht="15.75" customHeight="1">
      <c r="B826" s="3"/>
      <c r="C826" s="3"/>
      <c r="H826" s="3"/>
      <c r="AG826" s="91"/>
    </row>
    <row r="827" ht="15.75" customHeight="1">
      <c r="B827" s="3"/>
      <c r="C827" s="3"/>
      <c r="H827" s="3"/>
      <c r="AG827" s="91"/>
    </row>
    <row r="828" ht="15.75" customHeight="1">
      <c r="B828" s="3"/>
      <c r="C828" s="3"/>
      <c r="H828" s="3"/>
      <c r="AG828" s="91"/>
    </row>
    <row r="829" ht="15.75" customHeight="1">
      <c r="B829" s="3"/>
      <c r="C829" s="3"/>
      <c r="H829" s="3"/>
      <c r="AG829" s="91"/>
    </row>
    <row r="830" ht="15.75" customHeight="1">
      <c r="B830" s="3"/>
      <c r="C830" s="3"/>
      <c r="H830" s="3"/>
      <c r="AG830" s="91"/>
    </row>
    <row r="831" ht="15.75" customHeight="1">
      <c r="B831" s="3"/>
      <c r="C831" s="3"/>
      <c r="H831" s="3"/>
      <c r="AG831" s="91"/>
    </row>
    <row r="832" ht="15.75" customHeight="1">
      <c r="B832" s="3"/>
      <c r="C832" s="3"/>
      <c r="H832" s="3"/>
      <c r="AG832" s="91"/>
    </row>
    <row r="833" ht="15.75" customHeight="1">
      <c r="B833" s="3"/>
      <c r="C833" s="3"/>
      <c r="H833" s="3"/>
      <c r="AG833" s="91"/>
    </row>
    <row r="834" ht="15.75" customHeight="1">
      <c r="B834" s="3"/>
      <c r="C834" s="3"/>
      <c r="H834" s="3"/>
      <c r="AG834" s="91"/>
    </row>
    <row r="835" ht="15.75" customHeight="1">
      <c r="B835" s="3"/>
      <c r="C835" s="3"/>
      <c r="H835" s="3"/>
      <c r="AG835" s="91"/>
    </row>
    <row r="836" ht="15.75" customHeight="1">
      <c r="B836" s="3"/>
      <c r="C836" s="3"/>
      <c r="H836" s="3"/>
      <c r="AG836" s="91"/>
    </row>
    <row r="837" ht="15.75" customHeight="1">
      <c r="B837" s="3"/>
      <c r="C837" s="3"/>
      <c r="H837" s="3"/>
      <c r="AG837" s="91"/>
    </row>
    <row r="838" ht="15.75" customHeight="1">
      <c r="B838" s="3"/>
      <c r="C838" s="3"/>
      <c r="H838" s="3"/>
      <c r="AG838" s="91"/>
    </row>
    <row r="839" ht="15.75" customHeight="1">
      <c r="B839" s="3"/>
      <c r="C839" s="3"/>
      <c r="H839" s="3"/>
      <c r="AG839" s="91"/>
    </row>
    <row r="840" ht="15.75" customHeight="1">
      <c r="B840" s="3"/>
      <c r="C840" s="3"/>
      <c r="H840" s="3"/>
      <c r="AG840" s="91"/>
    </row>
    <row r="841" ht="15.75" customHeight="1">
      <c r="B841" s="3"/>
      <c r="C841" s="3"/>
      <c r="H841" s="3"/>
      <c r="AG841" s="91"/>
    </row>
    <row r="842" ht="15.75" customHeight="1">
      <c r="B842" s="3"/>
      <c r="C842" s="3"/>
      <c r="H842" s="3"/>
      <c r="AG842" s="91"/>
    </row>
    <row r="843" ht="15.75" customHeight="1">
      <c r="B843" s="3"/>
      <c r="C843" s="3"/>
      <c r="H843" s="3"/>
      <c r="AG843" s="91"/>
    </row>
    <row r="844" ht="15.75" customHeight="1">
      <c r="B844" s="3"/>
      <c r="C844" s="3"/>
      <c r="H844" s="3"/>
      <c r="AG844" s="91"/>
    </row>
    <row r="845" ht="15.75" customHeight="1">
      <c r="B845" s="3"/>
      <c r="C845" s="3"/>
      <c r="H845" s="3"/>
      <c r="AG845" s="91"/>
    </row>
    <row r="846" ht="15.75" customHeight="1">
      <c r="B846" s="3"/>
      <c r="C846" s="3"/>
      <c r="H846" s="3"/>
      <c r="AG846" s="91"/>
    </row>
    <row r="847" ht="15.75" customHeight="1">
      <c r="B847" s="3"/>
      <c r="C847" s="3"/>
      <c r="H847" s="3"/>
      <c r="AG847" s="91"/>
    </row>
    <row r="848" ht="15.75" customHeight="1">
      <c r="B848" s="3"/>
      <c r="C848" s="3"/>
      <c r="H848" s="3"/>
      <c r="AG848" s="91"/>
    </row>
    <row r="849" ht="15.75" customHeight="1">
      <c r="B849" s="3"/>
      <c r="C849" s="3"/>
      <c r="H849" s="3"/>
      <c r="AG849" s="91"/>
    </row>
    <row r="850" ht="15.75" customHeight="1">
      <c r="B850" s="3"/>
      <c r="C850" s="3"/>
      <c r="H850" s="3"/>
      <c r="AG850" s="91"/>
    </row>
    <row r="851" ht="15.75" customHeight="1">
      <c r="B851" s="3"/>
      <c r="C851" s="3"/>
      <c r="H851" s="3"/>
      <c r="AG851" s="91"/>
    </row>
    <row r="852" ht="15.75" customHeight="1">
      <c r="B852" s="3"/>
      <c r="C852" s="3"/>
      <c r="H852" s="3"/>
      <c r="AG852" s="91"/>
    </row>
    <row r="853" ht="15.75" customHeight="1">
      <c r="B853" s="3"/>
      <c r="C853" s="3"/>
      <c r="H853" s="3"/>
      <c r="AG853" s="91"/>
    </row>
    <row r="854" ht="15.75" customHeight="1">
      <c r="B854" s="3"/>
      <c r="C854" s="3"/>
      <c r="H854" s="3"/>
      <c r="AG854" s="91"/>
    </row>
    <row r="855" ht="15.75" customHeight="1">
      <c r="B855" s="3"/>
      <c r="C855" s="3"/>
      <c r="H855" s="3"/>
      <c r="AG855" s="91"/>
    </row>
    <row r="856" ht="15.75" customHeight="1">
      <c r="B856" s="3"/>
      <c r="C856" s="3"/>
      <c r="H856" s="3"/>
      <c r="AG856" s="91"/>
    </row>
    <row r="857" ht="15.75" customHeight="1">
      <c r="B857" s="3"/>
      <c r="C857" s="3"/>
      <c r="H857" s="3"/>
      <c r="AG857" s="91"/>
    </row>
    <row r="858" ht="15.75" customHeight="1">
      <c r="B858" s="3"/>
      <c r="C858" s="3"/>
      <c r="H858" s="3"/>
      <c r="AG858" s="91"/>
    </row>
    <row r="859" ht="15.75" customHeight="1">
      <c r="B859" s="3"/>
      <c r="C859" s="3"/>
      <c r="H859" s="3"/>
      <c r="AG859" s="91"/>
    </row>
    <row r="860" ht="15.75" customHeight="1">
      <c r="B860" s="3"/>
      <c r="C860" s="3"/>
      <c r="H860" s="3"/>
      <c r="AG860" s="91"/>
    </row>
    <row r="861" ht="15.75" customHeight="1">
      <c r="B861" s="3"/>
      <c r="C861" s="3"/>
      <c r="H861" s="3"/>
      <c r="AG861" s="91"/>
    </row>
    <row r="862" ht="15.75" customHeight="1">
      <c r="B862" s="3"/>
      <c r="C862" s="3"/>
      <c r="H862" s="3"/>
      <c r="AG862" s="91"/>
    </row>
    <row r="863" ht="15.75" customHeight="1">
      <c r="B863" s="3"/>
      <c r="C863" s="3"/>
      <c r="H863" s="3"/>
      <c r="AG863" s="91"/>
    </row>
    <row r="864" ht="15.75" customHeight="1">
      <c r="B864" s="3"/>
      <c r="C864" s="3"/>
      <c r="H864" s="3"/>
      <c r="AG864" s="91"/>
    </row>
    <row r="865" ht="15.75" customHeight="1">
      <c r="B865" s="3"/>
      <c r="C865" s="3"/>
      <c r="H865" s="3"/>
      <c r="AG865" s="91"/>
    </row>
    <row r="866" ht="15.75" customHeight="1">
      <c r="B866" s="3"/>
      <c r="C866" s="3"/>
      <c r="H866" s="3"/>
      <c r="AG866" s="91"/>
    </row>
    <row r="867" ht="15.75" customHeight="1">
      <c r="B867" s="3"/>
      <c r="C867" s="3"/>
      <c r="H867" s="3"/>
      <c r="AG867" s="91"/>
    </row>
    <row r="868" ht="15.75" customHeight="1">
      <c r="B868" s="3"/>
      <c r="C868" s="3"/>
      <c r="H868" s="3"/>
      <c r="AG868" s="91"/>
    </row>
    <row r="869" ht="15.75" customHeight="1">
      <c r="B869" s="3"/>
      <c r="C869" s="3"/>
      <c r="H869" s="3"/>
      <c r="AG869" s="91"/>
    </row>
    <row r="870" ht="15.75" customHeight="1">
      <c r="B870" s="3"/>
      <c r="C870" s="3"/>
      <c r="H870" s="3"/>
      <c r="AG870" s="91"/>
    </row>
    <row r="871" ht="15.75" customHeight="1">
      <c r="B871" s="3"/>
      <c r="C871" s="3"/>
      <c r="H871" s="3"/>
      <c r="AG871" s="91"/>
    </row>
    <row r="872" ht="15.75" customHeight="1">
      <c r="B872" s="3"/>
      <c r="C872" s="3"/>
      <c r="H872" s="3"/>
      <c r="AG872" s="91"/>
    </row>
    <row r="873" ht="15.75" customHeight="1">
      <c r="B873" s="3"/>
      <c r="C873" s="3"/>
      <c r="H873" s="3"/>
      <c r="AG873" s="91"/>
    </row>
    <row r="874" ht="15.75" customHeight="1">
      <c r="B874" s="3"/>
      <c r="C874" s="3"/>
      <c r="H874" s="3"/>
      <c r="AG874" s="91"/>
    </row>
    <row r="875" ht="15.75" customHeight="1">
      <c r="B875" s="3"/>
      <c r="C875" s="3"/>
      <c r="H875" s="3"/>
      <c r="AG875" s="91"/>
    </row>
    <row r="876" ht="15.75" customHeight="1">
      <c r="B876" s="3"/>
      <c r="C876" s="3"/>
      <c r="H876" s="3"/>
      <c r="AG876" s="91"/>
    </row>
    <row r="877" ht="15.75" customHeight="1">
      <c r="B877" s="3"/>
      <c r="C877" s="3"/>
      <c r="H877" s="3"/>
      <c r="AG877" s="91"/>
    </row>
    <row r="878" ht="15.75" customHeight="1">
      <c r="B878" s="3"/>
      <c r="C878" s="3"/>
      <c r="H878" s="3"/>
      <c r="AG878" s="91"/>
    </row>
    <row r="879" ht="15.75" customHeight="1">
      <c r="B879" s="3"/>
      <c r="C879" s="3"/>
      <c r="H879" s="3"/>
      <c r="AG879" s="91"/>
    </row>
    <row r="880" ht="15.75" customHeight="1">
      <c r="B880" s="3"/>
      <c r="C880" s="3"/>
      <c r="H880" s="3"/>
      <c r="AG880" s="91"/>
    </row>
    <row r="881" ht="15.75" customHeight="1">
      <c r="B881" s="3"/>
      <c r="C881" s="3"/>
      <c r="H881" s="3"/>
      <c r="AG881" s="91"/>
    </row>
    <row r="882" ht="15.75" customHeight="1">
      <c r="B882" s="3"/>
      <c r="C882" s="3"/>
      <c r="H882" s="3"/>
      <c r="AG882" s="91"/>
    </row>
    <row r="883" ht="15.75" customHeight="1">
      <c r="B883" s="3"/>
      <c r="C883" s="3"/>
      <c r="H883" s="3"/>
      <c r="AG883" s="91"/>
    </row>
    <row r="884" ht="15.75" customHeight="1">
      <c r="B884" s="3"/>
      <c r="C884" s="3"/>
      <c r="H884" s="3"/>
      <c r="AG884" s="91"/>
    </row>
    <row r="885" ht="15.75" customHeight="1">
      <c r="B885" s="3"/>
      <c r="C885" s="3"/>
      <c r="H885" s="3"/>
      <c r="AG885" s="91"/>
    </row>
    <row r="886" ht="15.75" customHeight="1">
      <c r="B886" s="3"/>
      <c r="C886" s="3"/>
      <c r="H886" s="3"/>
      <c r="AG886" s="91"/>
    </row>
    <row r="887" ht="15.75" customHeight="1">
      <c r="B887" s="3"/>
      <c r="C887" s="3"/>
      <c r="H887" s="3"/>
      <c r="AG887" s="91"/>
    </row>
    <row r="888" ht="15.75" customHeight="1">
      <c r="B888" s="3"/>
      <c r="C888" s="3"/>
      <c r="H888" s="3"/>
      <c r="AG888" s="91"/>
    </row>
    <row r="889" ht="15.75" customHeight="1">
      <c r="B889" s="3"/>
      <c r="C889" s="3"/>
      <c r="H889" s="3"/>
      <c r="AG889" s="91"/>
    </row>
    <row r="890" ht="15.75" customHeight="1">
      <c r="B890" s="3"/>
      <c r="C890" s="3"/>
      <c r="H890" s="3"/>
      <c r="AG890" s="91"/>
    </row>
    <row r="891" ht="15.75" customHeight="1">
      <c r="B891" s="3"/>
      <c r="C891" s="3"/>
      <c r="H891" s="3"/>
      <c r="AG891" s="91"/>
    </row>
    <row r="892" ht="15.75" customHeight="1">
      <c r="B892" s="3"/>
      <c r="C892" s="3"/>
      <c r="H892" s="3"/>
      <c r="AG892" s="91"/>
    </row>
    <row r="893" ht="15.75" customHeight="1">
      <c r="B893" s="3"/>
      <c r="C893" s="3"/>
      <c r="H893" s="3"/>
      <c r="AG893" s="91"/>
    </row>
    <row r="894" ht="15.75" customHeight="1">
      <c r="B894" s="3"/>
      <c r="C894" s="3"/>
      <c r="H894" s="3"/>
      <c r="AG894" s="91"/>
    </row>
    <row r="895" ht="15.75" customHeight="1">
      <c r="B895" s="3"/>
      <c r="C895" s="3"/>
      <c r="H895" s="3"/>
      <c r="AG895" s="91"/>
    </row>
    <row r="896" ht="15.75" customHeight="1">
      <c r="B896" s="3"/>
      <c r="C896" s="3"/>
      <c r="H896" s="3"/>
      <c r="AG896" s="91"/>
    </row>
    <row r="897" ht="15.75" customHeight="1">
      <c r="B897" s="3"/>
      <c r="C897" s="3"/>
      <c r="H897" s="3"/>
      <c r="AG897" s="91"/>
    </row>
    <row r="898" ht="15.75" customHeight="1">
      <c r="B898" s="3"/>
      <c r="C898" s="3"/>
      <c r="H898" s="3"/>
      <c r="AG898" s="91"/>
    </row>
    <row r="899" ht="15.75" customHeight="1">
      <c r="B899" s="3"/>
      <c r="C899" s="3"/>
      <c r="H899" s="3"/>
      <c r="AG899" s="91"/>
    </row>
    <row r="900" ht="15.75" customHeight="1">
      <c r="B900" s="3"/>
      <c r="C900" s="3"/>
      <c r="H900" s="3"/>
      <c r="AG900" s="91"/>
    </row>
    <row r="901" ht="15.75" customHeight="1">
      <c r="B901" s="3"/>
      <c r="C901" s="3"/>
      <c r="H901" s="3"/>
      <c r="AG901" s="91"/>
    </row>
    <row r="902" ht="15.75" customHeight="1">
      <c r="B902" s="3"/>
      <c r="C902" s="3"/>
      <c r="H902" s="3"/>
      <c r="AG902" s="91"/>
    </row>
    <row r="903" ht="15.75" customHeight="1">
      <c r="B903" s="3"/>
      <c r="C903" s="3"/>
      <c r="H903" s="3"/>
      <c r="AG903" s="91"/>
    </row>
    <row r="904" ht="15.75" customHeight="1">
      <c r="B904" s="3"/>
      <c r="C904" s="3"/>
      <c r="H904" s="3"/>
      <c r="AG904" s="91"/>
    </row>
    <row r="905" ht="15.75" customHeight="1">
      <c r="B905" s="3"/>
      <c r="C905" s="3"/>
      <c r="H905" s="3"/>
      <c r="AG905" s="91"/>
    </row>
    <row r="906" ht="15.75" customHeight="1">
      <c r="B906" s="3"/>
      <c r="C906" s="3"/>
      <c r="H906" s="3"/>
      <c r="AG906" s="91"/>
    </row>
    <row r="907" ht="15.75" customHeight="1">
      <c r="B907" s="3"/>
      <c r="C907" s="3"/>
      <c r="H907" s="3"/>
      <c r="AG907" s="91"/>
    </row>
    <row r="908" ht="15.75" customHeight="1">
      <c r="B908" s="3"/>
      <c r="C908" s="3"/>
      <c r="H908" s="3"/>
      <c r="AG908" s="91"/>
    </row>
    <row r="909" ht="15.75" customHeight="1">
      <c r="B909" s="3"/>
      <c r="C909" s="3"/>
      <c r="H909" s="3"/>
      <c r="AG909" s="91"/>
    </row>
    <row r="910" ht="15.75" customHeight="1">
      <c r="B910" s="3"/>
      <c r="C910" s="3"/>
      <c r="H910" s="3"/>
      <c r="AG910" s="91"/>
    </row>
    <row r="911" ht="15.75" customHeight="1">
      <c r="B911" s="3"/>
      <c r="C911" s="3"/>
      <c r="H911" s="3"/>
      <c r="AG911" s="91"/>
    </row>
    <row r="912" ht="15.75" customHeight="1">
      <c r="B912" s="3"/>
      <c r="C912" s="3"/>
      <c r="H912" s="3"/>
      <c r="AG912" s="91"/>
    </row>
    <row r="913" ht="15.75" customHeight="1">
      <c r="B913" s="3"/>
      <c r="C913" s="3"/>
      <c r="H913" s="3"/>
      <c r="AG913" s="91"/>
    </row>
    <row r="914" ht="15.75" customHeight="1">
      <c r="B914" s="3"/>
      <c r="C914" s="3"/>
      <c r="H914" s="3"/>
      <c r="AG914" s="91"/>
    </row>
    <row r="915" ht="15.75" customHeight="1">
      <c r="B915" s="3"/>
      <c r="C915" s="3"/>
      <c r="H915" s="3"/>
      <c r="AG915" s="91"/>
    </row>
    <row r="916" ht="15.75" customHeight="1">
      <c r="B916" s="3"/>
      <c r="C916" s="3"/>
      <c r="H916" s="3"/>
      <c r="AG916" s="91"/>
    </row>
    <row r="917" ht="15.75" customHeight="1">
      <c r="B917" s="3"/>
      <c r="C917" s="3"/>
      <c r="H917" s="3"/>
      <c r="AG917" s="91"/>
    </row>
    <row r="918" ht="15.75" customHeight="1">
      <c r="B918" s="3"/>
      <c r="C918" s="3"/>
      <c r="H918" s="3"/>
      <c r="AG918" s="91"/>
    </row>
    <row r="919" ht="15.75" customHeight="1">
      <c r="B919" s="3"/>
      <c r="C919" s="3"/>
      <c r="H919" s="3"/>
      <c r="AG919" s="91"/>
    </row>
    <row r="920" ht="15.75" customHeight="1">
      <c r="B920" s="3"/>
      <c r="C920" s="3"/>
      <c r="H920" s="3"/>
      <c r="AG920" s="91"/>
    </row>
    <row r="921" ht="15.75" customHeight="1">
      <c r="B921" s="3"/>
      <c r="C921" s="3"/>
      <c r="H921" s="3"/>
      <c r="AG921" s="91"/>
    </row>
    <row r="922" ht="15.75" customHeight="1">
      <c r="B922" s="3"/>
      <c r="C922" s="3"/>
      <c r="H922" s="3"/>
      <c r="AG922" s="91"/>
    </row>
    <row r="923" ht="15.75" customHeight="1">
      <c r="B923" s="3"/>
      <c r="C923" s="3"/>
      <c r="H923" s="3"/>
      <c r="AG923" s="91"/>
    </row>
    <row r="924" ht="15.75" customHeight="1">
      <c r="B924" s="3"/>
      <c r="C924" s="3"/>
      <c r="H924" s="3"/>
      <c r="AG924" s="91"/>
    </row>
    <row r="925" ht="15.75" customHeight="1">
      <c r="B925" s="3"/>
      <c r="C925" s="3"/>
      <c r="H925" s="3"/>
      <c r="AG925" s="91"/>
    </row>
    <row r="926" ht="15.75" customHeight="1">
      <c r="B926" s="3"/>
      <c r="C926" s="3"/>
      <c r="H926" s="3"/>
      <c r="AG926" s="91"/>
    </row>
    <row r="927" ht="15.75" customHeight="1">
      <c r="B927" s="3"/>
      <c r="C927" s="3"/>
      <c r="H927" s="3"/>
      <c r="AG927" s="91"/>
    </row>
    <row r="928" ht="15.75" customHeight="1">
      <c r="B928" s="3"/>
      <c r="C928" s="3"/>
      <c r="H928" s="3"/>
      <c r="AG928" s="91"/>
    </row>
    <row r="929" ht="15.75" customHeight="1">
      <c r="B929" s="3"/>
      <c r="C929" s="3"/>
      <c r="H929" s="3"/>
      <c r="AG929" s="91"/>
    </row>
    <row r="930" ht="15.75" customHeight="1">
      <c r="B930" s="3"/>
      <c r="C930" s="3"/>
      <c r="H930" s="3"/>
      <c r="AG930" s="91"/>
    </row>
    <row r="931" ht="15.75" customHeight="1">
      <c r="B931" s="3"/>
      <c r="C931" s="3"/>
      <c r="H931" s="3"/>
      <c r="AG931" s="91"/>
    </row>
    <row r="932" ht="15.75" customHeight="1">
      <c r="B932" s="3"/>
      <c r="C932" s="3"/>
      <c r="H932" s="3"/>
      <c r="AG932" s="91"/>
    </row>
    <row r="933" ht="15.75" customHeight="1">
      <c r="B933" s="3"/>
      <c r="C933" s="3"/>
      <c r="H933" s="3"/>
      <c r="AG933" s="91"/>
    </row>
    <row r="934" ht="15.75" customHeight="1">
      <c r="B934" s="3"/>
      <c r="C934" s="3"/>
      <c r="H934" s="3"/>
      <c r="AG934" s="91"/>
    </row>
    <row r="935" ht="15.75" customHeight="1">
      <c r="B935" s="3"/>
      <c r="C935" s="3"/>
      <c r="H935" s="3"/>
      <c r="AG935" s="91"/>
    </row>
    <row r="936" ht="15.75" customHeight="1">
      <c r="B936" s="3"/>
      <c r="C936" s="3"/>
      <c r="H936" s="3"/>
      <c r="AG936" s="91"/>
    </row>
    <row r="937" ht="15.75" customHeight="1">
      <c r="B937" s="3"/>
      <c r="C937" s="3"/>
      <c r="H937" s="3"/>
      <c r="AG937" s="91"/>
    </row>
    <row r="938" ht="15.75" customHeight="1">
      <c r="B938" s="3"/>
      <c r="C938" s="3"/>
      <c r="H938" s="3"/>
      <c r="AG938" s="91"/>
    </row>
    <row r="939" ht="15.75" customHeight="1">
      <c r="B939" s="3"/>
      <c r="C939" s="3"/>
      <c r="H939" s="3"/>
      <c r="AG939" s="91"/>
    </row>
    <row r="940" ht="15.75" customHeight="1">
      <c r="B940" s="3"/>
      <c r="C940" s="3"/>
      <c r="H940" s="3"/>
      <c r="AG940" s="91"/>
    </row>
    <row r="941" ht="15.75" customHeight="1">
      <c r="B941" s="3"/>
      <c r="C941" s="3"/>
      <c r="H941" s="3"/>
      <c r="AG941" s="91"/>
    </row>
    <row r="942" ht="15.75" customHeight="1">
      <c r="B942" s="3"/>
      <c r="C942" s="3"/>
      <c r="H942" s="3"/>
      <c r="AG942" s="91"/>
    </row>
    <row r="943" ht="15.75" customHeight="1">
      <c r="B943" s="3"/>
      <c r="C943" s="3"/>
      <c r="H943" s="3"/>
      <c r="AG943" s="91"/>
    </row>
    <row r="944" ht="15.75" customHeight="1">
      <c r="B944" s="3"/>
      <c r="C944" s="3"/>
      <c r="H944" s="3"/>
      <c r="AG944" s="91"/>
    </row>
    <row r="945" ht="15.75" customHeight="1">
      <c r="B945" s="3"/>
      <c r="C945" s="3"/>
      <c r="H945" s="3"/>
      <c r="AG945" s="91"/>
    </row>
    <row r="946" ht="15.75" customHeight="1">
      <c r="B946" s="3"/>
      <c r="C946" s="3"/>
      <c r="H946" s="3"/>
      <c r="AG946" s="91"/>
    </row>
    <row r="947" ht="15.75" customHeight="1">
      <c r="B947" s="3"/>
      <c r="C947" s="3"/>
      <c r="H947" s="3"/>
      <c r="AG947" s="91"/>
    </row>
    <row r="948" ht="15.75" customHeight="1">
      <c r="B948" s="3"/>
      <c r="C948" s="3"/>
      <c r="H948" s="3"/>
      <c r="AG948" s="91"/>
    </row>
    <row r="949" ht="15.75" customHeight="1">
      <c r="B949" s="3"/>
      <c r="C949" s="3"/>
      <c r="H949" s="3"/>
      <c r="AG949" s="91"/>
    </row>
    <row r="950" ht="15.75" customHeight="1">
      <c r="B950" s="3"/>
      <c r="C950" s="3"/>
      <c r="H950" s="3"/>
      <c r="AG950" s="91"/>
    </row>
    <row r="951" ht="15.75" customHeight="1">
      <c r="B951" s="3"/>
      <c r="C951" s="3"/>
      <c r="H951" s="3"/>
      <c r="AG951" s="91"/>
    </row>
    <row r="952" ht="15.75" customHeight="1">
      <c r="B952" s="3"/>
      <c r="C952" s="3"/>
      <c r="H952" s="3"/>
      <c r="AG952" s="91"/>
    </row>
    <row r="953" ht="15.75" customHeight="1">
      <c r="B953" s="3"/>
      <c r="C953" s="3"/>
      <c r="H953" s="3"/>
      <c r="AG953" s="91"/>
    </row>
    <row r="954" ht="15.75" customHeight="1">
      <c r="B954" s="3"/>
      <c r="C954" s="3"/>
      <c r="H954" s="3"/>
      <c r="AG954" s="91"/>
    </row>
    <row r="955" ht="15.75" customHeight="1">
      <c r="B955" s="3"/>
      <c r="C955" s="3"/>
      <c r="H955" s="3"/>
      <c r="AG955" s="91"/>
    </row>
    <row r="956" ht="15.75" customHeight="1">
      <c r="B956" s="3"/>
      <c r="C956" s="3"/>
      <c r="H956" s="3"/>
      <c r="AG956" s="91"/>
    </row>
    <row r="957" ht="15.75" customHeight="1">
      <c r="B957" s="3"/>
      <c r="C957" s="3"/>
      <c r="H957" s="3"/>
      <c r="AG957" s="91"/>
    </row>
    <row r="958" ht="15.75" customHeight="1">
      <c r="B958" s="3"/>
      <c r="C958" s="3"/>
      <c r="H958" s="3"/>
      <c r="AG958" s="91"/>
    </row>
    <row r="959" ht="15.75" customHeight="1">
      <c r="B959" s="3"/>
      <c r="C959" s="3"/>
      <c r="H959" s="3"/>
      <c r="AG959" s="91"/>
    </row>
    <row r="960" ht="15.75" customHeight="1">
      <c r="B960" s="3"/>
      <c r="C960" s="3"/>
      <c r="H960" s="3"/>
      <c r="AG960" s="91"/>
    </row>
    <row r="961" ht="15.75" customHeight="1">
      <c r="B961" s="3"/>
      <c r="C961" s="3"/>
      <c r="H961" s="3"/>
      <c r="AG961" s="91"/>
    </row>
    <row r="962" ht="15.75" customHeight="1">
      <c r="B962" s="3"/>
      <c r="C962" s="3"/>
      <c r="H962" s="3"/>
      <c r="AG962" s="91"/>
    </row>
    <row r="963" ht="15.75" customHeight="1">
      <c r="B963" s="3"/>
      <c r="C963" s="3"/>
      <c r="H963" s="3"/>
      <c r="AG963" s="91"/>
    </row>
    <row r="964" ht="15.75" customHeight="1">
      <c r="B964" s="3"/>
      <c r="C964" s="3"/>
      <c r="H964" s="3"/>
      <c r="AG964" s="91"/>
    </row>
    <row r="965" ht="15.75" customHeight="1">
      <c r="B965" s="3"/>
      <c r="C965" s="3"/>
      <c r="H965" s="3"/>
      <c r="AG965" s="91"/>
    </row>
    <row r="966" ht="15.75" customHeight="1">
      <c r="B966" s="3"/>
      <c r="C966" s="3"/>
      <c r="H966" s="3"/>
      <c r="AG966" s="91"/>
    </row>
    <row r="967" ht="15.75" customHeight="1">
      <c r="B967" s="3"/>
      <c r="C967" s="3"/>
      <c r="H967" s="3"/>
      <c r="AG967" s="91"/>
    </row>
    <row r="968" ht="15.75" customHeight="1">
      <c r="B968" s="3"/>
      <c r="C968" s="3"/>
      <c r="H968" s="3"/>
      <c r="AG968" s="91"/>
    </row>
    <row r="969" ht="15.75" customHeight="1">
      <c r="B969" s="3"/>
      <c r="C969" s="3"/>
      <c r="H969" s="3"/>
      <c r="AG969" s="91"/>
    </row>
    <row r="970" ht="15.75" customHeight="1">
      <c r="B970" s="3"/>
      <c r="C970" s="3"/>
      <c r="H970" s="3"/>
      <c r="AG970" s="91"/>
    </row>
    <row r="971" ht="15.75" customHeight="1">
      <c r="B971" s="3"/>
      <c r="C971" s="3"/>
      <c r="H971" s="3"/>
      <c r="AG971" s="91"/>
    </row>
    <row r="972" ht="15.75" customHeight="1">
      <c r="B972" s="3"/>
      <c r="C972" s="3"/>
      <c r="H972" s="3"/>
      <c r="AG972" s="91"/>
    </row>
    <row r="973" ht="15.75" customHeight="1">
      <c r="B973" s="3"/>
      <c r="C973" s="3"/>
      <c r="H973" s="3"/>
      <c r="AG973" s="91"/>
    </row>
    <row r="974" ht="15.75" customHeight="1">
      <c r="B974" s="3"/>
      <c r="C974" s="3"/>
      <c r="H974" s="3"/>
      <c r="AG974" s="91"/>
    </row>
    <row r="975" ht="15.75" customHeight="1">
      <c r="B975" s="3"/>
      <c r="C975" s="3"/>
      <c r="H975" s="3"/>
      <c r="AG975" s="91"/>
    </row>
    <row r="976" ht="15.75" customHeight="1">
      <c r="B976" s="3"/>
      <c r="C976" s="3"/>
      <c r="H976" s="3"/>
      <c r="AG976" s="91"/>
    </row>
    <row r="977" ht="15.75" customHeight="1">
      <c r="B977" s="3"/>
      <c r="C977" s="3"/>
      <c r="H977" s="3"/>
      <c r="AG977" s="91"/>
    </row>
    <row r="978" ht="15.75" customHeight="1">
      <c r="B978" s="3"/>
      <c r="C978" s="3"/>
      <c r="H978" s="3"/>
      <c r="AG978" s="91"/>
    </row>
    <row r="979" ht="15.75" customHeight="1">
      <c r="B979" s="3"/>
      <c r="C979" s="3"/>
      <c r="H979" s="3"/>
      <c r="AG979" s="91"/>
    </row>
    <row r="980" ht="15.75" customHeight="1">
      <c r="B980" s="3"/>
      <c r="C980" s="3"/>
      <c r="H980" s="3"/>
      <c r="AG980" s="91"/>
    </row>
    <row r="981" ht="15.75" customHeight="1">
      <c r="B981" s="3"/>
      <c r="C981" s="3"/>
      <c r="H981" s="3"/>
      <c r="AG981" s="91"/>
    </row>
    <row r="982" ht="15.75" customHeight="1">
      <c r="B982" s="3"/>
      <c r="C982" s="3"/>
      <c r="H982" s="3"/>
      <c r="AG982" s="91"/>
    </row>
    <row r="983" ht="15.75" customHeight="1">
      <c r="B983" s="3"/>
      <c r="C983" s="3"/>
      <c r="H983" s="3"/>
      <c r="AG983" s="91"/>
    </row>
    <row r="984" ht="15.75" customHeight="1">
      <c r="B984" s="3"/>
      <c r="C984" s="3"/>
      <c r="H984" s="3"/>
      <c r="AG984" s="91"/>
    </row>
    <row r="985" ht="15.75" customHeight="1">
      <c r="B985" s="3"/>
      <c r="C985" s="3"/>
      <c r="H985" s="3"/>
      <c r="AG985" s="91"/>
    </row>
    <row r="986" ht="15.75" customHeight="1">
      <c r="B986" s="3"/>
      <c r="C986" s="3"/>
      <c r="H986" s="3"/>
      <c r="AG986" s="91"/>
    </row>
    <row r="987" ht="15.75" customHeight="1">
      <c r="B987" s="3"/>
      <c r="C987" s="3"/>
      <c r="H987" s="3"/>
      <c r="AG987" s="91"/>
    </row>
    <row r="988" ht="15.75" customHeight="1">
      <c r="B988" s="3"/>
      <c r="C988" s="3"/>
      <c r="H988" s="3"/>
      <c r="AG988" s="91"/>
    </row>
    <row r="989" ht="15.75" customHeight="1">
      <c r="B989" s="3"/>
      <c r="C989" s="3"/>
      <c r="H989" s="3"/>
      <c r="AG989" s="91"/>
    </row>
    <row r="990" ht="15.75" customHeight="1">
      <c r="B990" s="3"/>
      <c r="C990" s="3"/>
      <c r="H990" s="3"/>
      <c r="AG990" s="91"/>
    </row>
    <row r="991" ht="15.75" customHeight="1">
      <c r="B991" s="3"/>
      <c r="C991" s="3"/>
      <c r="H991" s="3"/>
      <c r="AG991" s="91"/>
    </row>
    <row r="992" ht="15.75" customHeight="1">
      <c r="B992" s="3"/>
      <c r="C992" s="3"/>
      <c r="H992" s="3"/>
      <c r="AG992" s="91"/>
    </row>
    <row r="993" ht="15.75" customHeight="1">
      <c r="B993" s="3"/>
      <c r="C993" s="3"/>
      <c r="H993" s="3"/>
      <c r="AG993" s="91"/>
    </row>
    <row r="994" ht="15.75" customHeight="1">
      <c r="B994" s="3"/>
      <c r="C994" s="3"/>
      <c r="H994" s="3"/>
      <c r="AG994" s="91"/>
    </row>
    <row r="995" ht="15.75" customHeight="1">
      <c r="B995" s="3"/>
      <c r="C995" s="3"/>
      <c r="H995" s="3"/>
      <c r="AG995" s="91"/>
    </row>
    <row r="996" ht="15.75" customHeight="1">
      <c r="B996" s="3"/>
      <c r="C996" s="3"/>
      <c r="H996" s="3"/>
      <c r="AG996" s="91"/>
    </row>
    <row r="997" ht="15.75" customHeight="1">
      <c r="B997" s="3"/>
      <c r="C997" s="3"/>
      <c r="H997" s="3"/>
      <c r="AG997" s="91"/>
    </row>
    <row r="998" ht="15.75" customHeight="1">
      <c r="B998" s="3"/>
      <c r="C998" s="3"/>
      <c r="H998" s="3"/>
      <c r="AG998" s="91"/>
    </row>
    <row r="999" ht="15.75" customHeight="1">
      <c r="B999" s="3"/>
      <c r="C999" s="3"/>
      <c r="H999" s="3"/>
      <c r="AG999" s="91"/>
    </row>
    <row r="1000" ht="15.75" customHeight="1">
      <c r="B1000" s="3"/>
      <c r="C1000" s="3"/>
      <c r="H1000" s="3"/>
      <c r="AG1000" s="91"/>
    </row>
  </sheetData>
  <autoFilter ref="$A$3:$AO$112"/>
  <mergeCells count="2">
    <mergeCell ref="AV5:BD5"/>
    <mergeCell ref="AV20:BA20"/>
  </mergeCells>
  <printOptions/>
  <pageMargins bottom="0.75" footer="0.0" header="0.0" left="0.7" right="0.7" top="0.75"/>
  <pageSetup fitToHeight="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43"/>
    <col customWidth="1" min="3" max="3" width="11.71"/>
    <col customWidth="1" min="4" max="4" width="42.57"/>
    <col customWidth="1" min="5" max="5" width="13.14"/>
    <col customWidth="1" min="6" max="6" width="17.29"/>
    <col customWidth="1" min="7" max="7" width="11.71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3"/>
      <c r="C1" s="3"/>
      <c r="D1" s="97" t="s">
        <v>540</v>
      </c>
      <c r="E1" s="98">
        <f>+AI3</f>
        <v>5636.921</v>
      </c>
      <c r="F1" s="97" t="s">
        <v>241</v>
      </c>
      <c r="G1" s="98">
        <f>+$AM3</f>
        <v>510556.5685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22"/>
      <c r="C2" s="3"/>
      <c r="D2" s="97" t="s">
        <v>242</v>
      </c>
      <c r="E2" s="98">
        <f>+AH3</f>
        <v>5082.384</v>
      </c>
      <c r="F2" s="99" t="s">
        <v>243</v>
      </c>
      <c r="G2" s="100">
        <f>+Q2</f>
        <v>90.90871499</v>
      </c>
      <c r="H2" s="13"/>
      <c r="I2" s="184">
        <f>SUBTOTAL(9,I4:I1237)</f>
        <v>568.4</v>
      </c>
      <c r="J2" s="4"/>
      <c r="K2" s="14">
        <f>SUBTOTAL(9,K4:K1237)</f>
        <v>529.264</v>
      </c>
      <c r="L2" s="126">
        <f>+SUMPRODUCT(L5:L1237,K5:K1237)/K2</f>
        <v>0.3106421143</v>
      </c>
      <c r="M2" s="2"/>
      <c r="O2" s="6"/>
      <c r="P2" s="16">
        <f>+SUMPRODUCT(P4:P1237,AH4:AH1237)/SUM(AH4:AH1237)</f>
        <v>86.48874721</v>
      </c>
      <c r="Q2" s="16">
        <f>+SUMPRODUCT(Q4:Q1237,AH4:AH1237)/SUM(AH4:AH1237)</f>
        <v>90.90871499</v>
      </c>
      <c r="R2" s="12">
        <f>+SUMPRODUCT(R4:R1237,AH4:AH1237)/SUM(AH4:AH1237)</f>
        <v>4174.264834</v>
      </c>
      <c r="S2" s="2"/>
      <c r="AB2" s="7"/>
      <c r="AC2" s="7"/>
      <c r="AD2" s="7"/>
      <c r="AE2" s="7"/>
      <c r="AF2" s="7"/>
      <c r="AG2" s="17">
        <f>SUMPRODUCT($AG4:$AG1237,$K4:$K1237)/SUM($K4:$K1237)</f>
        <v>174.014328</v>
      </c>
      <c r="AH2" s="18"/>
      <c r="AI2" s="2"/>
      <c r="AJ2" s="19">
        <v>4360.0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3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SUBTOTAL(9,AH4:AH1237)</f>
        <v>5082.384</v>
      </c>
      <c r="AI3" s="186">
        <f t="shared" si="1"/>
        <v>5636.921</v>
      </c>
      <c r="AJ3" s="187">
        <f>SUMPRODUCT(K4:K1237,AJ4:AJ1237)/K2</f>
        <v>92.81245435</v>
      </c>
      <c r="AK3" s="39">
        <f>SUBTOTAL(9,AK4:AK1237)</f>
        <v>4666.420633</v>
      </c>
      <c r="AL3" s="11"/>
      <c r="AM3" s="39">
        <f>SUBTOTAL(9,AM4:AM1237)</f>
        <v>510556.5685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3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92" t="s">
        <v>2233</v>
      </c>
      <c r="B5" s="116"/>
      <c r="C5" s="182">
        <v>45947.0</v>
      </c>
      <c r="D5" s="57" t="s">
        <v>306</v>
      </c>
      <c r="E5" s="3">
        <f t="array" ref="E5">XLOOKUP(D5,RUC!$B$3:$B$110,RUC!$D$3:$D$110)</f>
        <v>20612921866</v>
      </c>
      <c r="G5" s="141" t="s">
        <v>735</v>
      </c>
      <c r="H5" s="3" t="s">
        <v>71</v>
      </c>
      <c r="I5" s="6">
        <v>5.52</v>
      </c>
      <c r="J5" s="58">
        <v>1.3</v>
      </c>
      <c r="K5" s="6">
        <f t="shared" ref="K5:K87" si="2">ROUND(+I5-(I5*(J5/100)),3)</f>
        <v>5.448</v>
      </c>
      <c r="L5" s="3">
        <v>0.057</v>
      </c>
      <c r="M5" s="60">
        <v>0.042</v>
      </c>
      <c r="N5" s="62">
        <f t="shared" ref="N5:N15" si="3">+M5</f>
        <v>0.042</v>
      </c>
      <c r="O5" s="60">
        <f t="shared" ref="O5:O19" si="4">+ROUND((M5+N5)/2,3)</f>
        <v>0.042</v>
      </c>
      <c r="P5" s="63">
        <v>90.0</v>
      </c>
      <c r="Q5" s="58">
        <v>92.98</v>
      </c>
      <c r="R5" s="65">
        <v>4224.75</v>
      </c>
      <c r="S5" s="66">
        <f t="array" ref="S5">IF((XLOOKUP(D5,RUC!$B$3:$B$106,RUC!$E$3:$E$106)+ROUNDDOWN(O5,1)*100)&lt;95,95,((XLOOKUP(D5,RUC!$B$3:$B$106,RUC!$E$3:$E$106)+ROUNDDOWN(O5,1)*100)))</f>
        <v>95</v>
      </c>
      <c r="U5" s="67">
        <f t="array" ref="U5">XLOOKUP(D5,RUC!$B$3:$B$110,RUC!$F$3:$F$110)</f>
        <v>100</v>
      </c>
      <c r="V5" s="67">
        <v>1.1023</v>
      </c>
      <c r="Y5" s="57" t="str">
        <f t="array" ref="Y5">XLOOKUP(D5,RUC!$B$3:$B$110,RUC!$G$3:$G$110)</f>
        <v/>
      </c>
      <c r="Z5" s="69">
        <f t="array" ref="Z5">XLOOKUP(D5,RUC!$B$3:$B$110,RUC!$H$3:$H$110)</f>
        <v>30</v>
      </c>
      <c r="AA5" s="70">
        <f t="shared" ref="AA5:AA87" si="5">+Y5+Z5</f>
        <v>30</v>
      </c>
      <c r="AB5" s="71">
        <v>0.0</v>
      </c>
      <c r="AC5" s="71">
        <f>+(S5-T5)*V5-'data 1'!$F$4</f>
        <v>24.7185</v>
      </c>
      <c r="AD5" s="71">
        <f t="shared" ref="AD5:AD87" si="6">+(Q5-P5)*(R5-U5)*L5*V5/100</f>
        <v>7.723044876</v>
      </c>
      <c r="AE5" s="71">
        <f t="shared" ref="AE5:AE87" si="7">+(Y5*V5-70)+V5*(Z5-IF(D5="UNTUCA",IF(+((W5-3)*2.5+(X5-3)*3.1)&gt;0,+((W5-3)*1.5+(X5-3)*3.1),0),IF(+((W5-3)*1.5+(X5-3)*3.1)&gt;0,+((W5-3)*1.5+(X5-3)*3.1),0)))</f>
        <v>-36.931</v>
      </c>
      <c r="AF5" s="71">
        <f t="shared" ref="AF5:AF87" si="8">(L5-O5)*(R5-U5)*Q5*V5/100</f>
        <v>63.41299122</v>
      </c>
      <c r="AG5" s="72">
        <f>AC5+AD5+AE5+AF5+70-10+34.08</f>
        <v>153.0035361</v>
      </c>
      <c r="AH5" s="193">
        <f t="shared" ref="AH5:AH87" si="9">ROUND((31.1035*L5*Q5*1.1023*K5/100),3)</f>
        <v>9.899</v>
      </c>
      <c r="AI5" s="193">
        <f t="shared" ref="AI5:AI87" si="10">ROUND((31.1035*L5*1.1023*K5),3)</f>
        <v>10.647</v>
      </c>
      <c r="AJ5" s="73">
        <f t="shared" ref="AJ5:AJ87" si="11">+((+$AJ$2-R5+U5)*L5*Q5*V5)/100</f>
        <v>13.74338893</v>
      </c>
      <c r="AK5" s="73">
        <f t="shared" ref="AK5:AK87" si="12">31.1035*1.1023*K5*P5*O5/100</f>
        <v>7.060540817</v>
      </c>
      <c r="AL5" s="11"/>
      <c r="AM5" s="51">
        <f t="shared" ref="AM5:AM87" si="13">+IF(AB5*K5&gt;0,AB5*K5,0)</f>
        <v>0</v>
      </c>
      <c r="AN5" s="51" t="str">
        <f t="array" ref="AN5">XLOOKUP(D5,RUC!$B$3:$B$565,RUC!$M$3:$M$565)</f>
        <v>Ronald Garibay</v>
      </c>
      <c r="AO5" s="131" t="s">
        <v>558</v>
      </c>
      <c r="AP5" s="2" t="s">
        <v>2234</v>
      </c>
      <c r="AQ5" s="2" t="s">
        <v>2235</v>
      </c>
      <c r="AV5" s="149" t="s">
        <v>2236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92" t="s">
        <v>2237</v>
      </c>
      <c r="B6" s="3"/>
      <c r="C6" s="182">
        <v>45953.0</v>
      </c>
      <c r="D6" s="57" t="s">
        <v>622</v>
      </c>
      <c r="E6" s="3">
        <f t="array" ref="E6">XLOOKUP(D6,RUC!$B$3:$B$110,RUC!$D$3:$D$110)</f>
        <v>20612719757</v>
      </c>
      <c r="G6" s="141">
        <v>132.0</v>
      </c>
      <c r="H6" s="3" t="s">
        <v>40</v>
      </c>
      <c r="I6" s="6">
        <v>8.8</v>
      </c>
      <c r="J6" s="58">
        <v>19.03</v>
      </c>
      <c r="K6" s="6">
        <f t="shared" si="2"/>
        <v>7.125</v>
      </c>
      <c r="L6" s="3">
        <v>0.074</v>
      </c>
      <c r="M6" s="3">
        <v>0.059</v>
      </c>
      <c r="N6" s="62">
        <f t="shared" si="3"/>
        <v>0.059</v>
      </c>
      <c r="O6" s="60">
        <f t="shared" si="4"/>
        <v>0.059</v>
      </c>
      <c r="P6" s="63">
        <v>80.0</v>
      </c>
      <c r="Q6" s="58">
        <v>94.59</v>
      </c>
      <c r="R6" s="65">
        <v>4143.75</v>
      </c>
      <c r="S6" s="66">
        <f t="array" ref="S6">IF((XLOOKUP(D6,RUC!$B$3:$B$106,RUC!$E$3:$E$106)+ROUNDDOWN(O6,1)*100)&lt;95,95,((XLOOKUP(D6,RUC!$B$3:$B$106,RUC!$E$3:$E$106)+ROUNDDOWN(O6,1)*100)))</f>
        <v>95</v>
      </c>
      <c r="U6" s="67">
        <f t="array" ref="U6">XLOOKUP(D6,RUC!$B$3:$B$110,RUC!$F$3:$F$110)</f>
        <v>120</v>
      </c>
      <c r="V6" s="67">
        <v>1.1023</v>
      </c>
      <c r="Y6" s="57">
        <f t="array" ref="Y6">XLOOKUP(D6,RUC!$B$3:$B$110,RUC!$G$3:$G$110)</f>
        <v>20</v>
      </c>
      <c r="Z6" s="69">
        <f t="array" ref="Z6">XLOOKUP(D6,RUC!$B$3:$B$110,RUC!$H$3:$H$110)</f>
        <v>30</v>
      </c>
      <c r="AA6" s="70">
        <f t="shared" si="5"/>
        <v>50</v>
      </c>
      <c r="AB6" s="71">
        <f>+((O6*P6*(R6-U6)/100)-S6-AA6+T6)*V6</f>
        <v>49.5164183</v>
      </c>
      <c r="AC6" s="71">
        <f>+(S6-T6)*V6-'data 1'!$F$4</f>
        <v>24.7185</v>
      </c>
      <c r="AD6" s="71">
        <f t="shared" si="6"/>
        <v>47.88701966</v>
      </c>
      <c r="AE6" s="71">
        <f t="shared" si="7"/>
        <v>-14.885</v>
      </c>
      <c r="AF6" s="71">
        <f t="shared" si="8"/>
        <v>62.93138381</v>
      </c>
      <c r="AG6" s="72">
        <f>AC6+AD6+AE6+AF6+70-53</f>
        <v>137.6519035</v>
      </c>
      <c r="AH6" s="193">
        <f t="shared" si="9"/>
        <v>17.099</v>
      </c>
      <c r="AI6" s="193">
        <f t="shared" si="10"/>
        <v>18.077</v>
      </c>
      <c r="AJ6" s="73">
        <f t="shared" si="11"/>
        <v>25.94412605</v>
      </c>
      <c r="AK6" s="73">
        <f t="shared" si="12"/>
        <v>11.530176</v>
      </c>
      <c r="AL6" s="11"/>
      <c r="AM6" s="51">
        <f t="shared" si="13"/>
        <v>352.8044804</v>
      </c>
      <c r="AN6" s="51" t="str">
        <f t="array" ref="AN6">XLOOKUP(D6,RUC!$B$3:$B$565,RUC!$M$3:$M$565)</f>
        <v>Walter Achulla </v>
      </c>
      <c r="AO6" s="131" t="s">
        <v>551</v>
      </c>
      <c r="AP6" s="57" t="s">
        <v>1835</v>
      </c>
      <c r="AQ6" s="57" t="s">
        <v>1881</v>
      </c>
      <c r="AW6" s="195">
        <f>SUM(AW8:AW17)</f>
        <v>529.264</v>
      </c>
      <c r="AX6" s="196">
        <f>SUMPRODUCT(AW8:AW17,AX8:AX17)/SUM(AW8:AW17)</f>
        <v>0.3106421143</v>
      </c>
      <c r="AY6" s="197"/>
      <c r="AZ6" s="198">
        <f>SUMPRODUCT(AZ8:AZ17,$BB8:$BB17)/SUM($BB8:$BB17)/100</f>
        <v>0.9090871499</v>
      </c>
      <c r="BA6" s="82">
        <f t="shared" ref="BA6:BB6" si="14">SUM(BA8:BA17)</f>
        <v>5636.918523</v>
      </c>
      <c r="BB6" s="82">
        <f t="shared" si="14"/>
        <v>5082.384</v>
      </c>
    </row>
    <row r="7" ht="15.0" customHeight="1">
      <c r="A7" s="192" t="s">
        <v>2238</v>
      </c>
      <c r="B7" s="182">
        <v>45965.0</v>
      </c>
      <c r="C7" s="182">
        <v>45956.0</v>
      </c>
      <c r="D7" s="57" t="s">
        <v>146</v>
      </c>
      <c r="E7" s="3">
        <f t="array" ref="E7">XLOOKUP(D7,RUC!$B$3:$B$110,RUC!$D$3:$D$110)</f>
        <v>20517242919</v>
      </c>
      <c r="G7" s="141">
        <v>43.0</v>
      </c>
      <c r="H7" s="3" t="s">
        <v>47</v>
      </c>
      <c r="I7" s="6">
        <v>3.7</v>
      </c>
      <c r="J7" s="58">
        <v>1.1</v>
      </c>
      <c r="K7" s="6">
        <f t="shared" si="2"/>
        <v>3.659</v>
      </c>
      <c r="L7" s="3">
        <v>0.058</v>
      </c>
      <c r="M7" s="3">
        <v>0.043</v>
      </c>
      <c r="N7" s="62">
        <f t="shared" si="3"/>
        <v>0.043</v>
      </c>
      <c r="O7" s="60">
        <f t="shared" si="4"/>
        <v>0.043</v>
      </c>
      <c r="P7" s="63">
        <v>85.0</v>
      </c>
      <c r="Q7" s="58">
        <v>94.83</v>
      </c>
      <c r="R7" s="65">
        <v>3970.8</v>
      </c>
      <c r="S7" s="133">
        <v>95.0</v>
      </c>
      <c r="U7" s="67">
        <f t="array" ref="U7">XLOOKUP(D7,RUC!$B$3:$B$110,RUC!$F$3:$F$110)</f>
        <v>80</v>
      </c>
      <c r="V7" s="67">
        <v>1.1023</v>
      </c>
      <c r="Y7" s="57" t="str">
        <f t="array" ref="Y7">XLOOKUP(D7,RUC!$B$3:$B$110,RUC!$G$3:$G$110)</f>
        <v/>
      </c>
      <c r="Z7" s="69">
        <f t="array" ref="Z7">XLOOKUP(D7,RUC!$B$3:$B$110,RUC!$H$3:$H$110)</f>
        <v>10</v>
      </c>
      <c r="AA7" s="70">
        <f t="shared" si="5"/>
        <v>10</v>
      </c>
      <c r="AB7" s="71">
        <v>0.001</v>
      </c>
      <c r="AC7" s="71">
        <f>+(S7-T7)*V7-'data 1'!$F$4</f>
        <v>24.7185</v>
      </c>
      <c r="AD7" s="71">
        <f t="shared" si="6"/>
        <v>24.45232875</v>
      </c>
      <c r="AE7" s="71">
        <f t="shared" si="7"/>
        <v>-58.977</v>
      </c>
      <c r="AF7" s="71">
        <f t="shared" si="8"/>
        <v>61.00644583</v>
      </c>
      <c r="AG7" s="72">
        <f>AC7+AD7+AE7+AF7+70+41.02</f>
        <v>162.2202746</v>
      </c>
      <c r="AH7" s="193">
        <f t="shared" si="9"/>
        <v>6.9</v>
      </c>
      <c r="AI7" s="193">
        <f t="shared" si="10"/>
        <v>7.276</v>
      </c>
      <c r="AJ7" s="73">
        <f t="shared" si="11"/>
        <v>28.44667788</v>
      </c>
      <c r="AK7" s="73">
        <f t="shared" si="12"/>
        <v>4.585206085</v>
      </c>
      <c r="AL7" s="11"/>
      <c r="AM7" s="51">
        <f t="shared" si="13"/>
        <v>0.003659</v>
      </c>
      <c r="AN7" s="51" t="str">
        <f t="array" ref="AN7">XLOOKUP(D7,RUC!$B$3:$B$565,RUC!$M$3:$M$565)</f>
        <v>Melchor Vera</v>
      </c>
      <c r="AO7" s="131" t="s">
        <v>558</v>
      </c>
      <c r="AP7" s="57" t="s">
        <v>1902</v>
      </c>
      <c r="AQ7" s="57" t="s">
        <v>1903</v>
      </c>
      <c r="AV7" s="3"/>
      <c r="AW7" s="3" t="s">
        <v>14</v>
      </c>
      <c r="AX7" s="3" t="s">
        <v>683</v>
      </c>
      <c r="AY7" s="143" t="s">
        <v>683</v>
      </c>
      <c r="AZ7" s="3" t="s">
        <v>685</v>
      </c>
      <c r="BA7" s="3" t="s">
        <v>686</v>
      </c>
      <c r="BB7" s="3" t="s">
        <v>687</v>
      </c>
      <c r="BC7" s="3" t="s">
        <v>698</v>
      </c>
      <c r="BD7" s="65" t="s">
        <v>699</v>
      </c>
    </row>
    <row r="8" ht="15.75" customHeight="1">
      <c r="A8" s="192" t="s">
        <v>2239</v>
      </c>
      <c r="B8" s="182">
        <v>45969.0</v>
      </c>
      <c r="C8" s="182">
        <v>45959.0</v>
      </c>
      <c r="D8" s="57" t="s">
        <v>225</v>
      </c>
      <c r="E8" s="3">
        <f t="array" ref="E8">XLOOKUP(D8,RUC!$B$3:$B$110,RUC!$D$3:$D$110)</f>
        <v>10761932735</v>
      </c>
      <c r="G8" s="141" t="s">
        <v>735</v>
      </c>
      <c r="H8" s="3" t="s">
        <v>47</v>
      </c>
      <c r="I8" s="6">
        <v>18.97</v>
      </c>
      <c r="J8" s="58">
        <v>7.75</v>
      </c>
      <c r="K8" s="6">
        <f t="shared" si="2"/>
        <v>17.5</v>
      </c>
      <c r="L8" s="3">
        <v>0.098</v>
      </c>
      <c r="M8" s="3">
        <v>0.083</v>
      </c>
      <c r="N8" s="62">
        <f t="shared" si="3"/>
        <v>0.083</v>
      </c>
      <c r="O8" s="60">
        <f t="shared" si="4"/>
        <v>0.083</v>
      </c>
      <c r="P8" s="63">
        <v>80.0</v>
      </c>
      <c r="Q8" s="58">
        <v>95.92</v>
      </c>
      <c r="R8" s="65">
        <v>4006.7</v>
      </c>
      <c r="S8" s="66">
        <f t="array" ref="S8">IF((XLOOKUP(D8,RUC!$B$3:$B$106,RUC!$E$3:$E$106)+ROUNDDOWN(O8,1)*100)&lt;95,95,((XLOOKUP(D8,RUC!$B$3:$B$106,RUC!$E$3:$E$106)+ROUNDDOWN(O8,1)*100)))</f>
        <v>95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69">
        <f t="array" ref="Z8">XLOOKUP(D8,RUC!$B$3:$B$110,RUC!$H$3:$H$110)</f>
        <v>30</v>
      </c>
      <c r="AA8" s="70">
        <f t="shared" si="5"/>
        <v>50</v>
      </c>
      <c r="AB8" s="71">
        <v>0.001</v>
      </c>
      <c r="AC8" s="71">
        <f>+(S8-T8)*V8-'data 1'!$F$4</f>
        <v>24.7185</v>
      </c>
      <c r="AD8" s="71">
        <f t="shared" si="6"/>
        <v>66.84208169</v>
      </c>
      <c r="AE8" s="71">
        <f t="shared" si="7"/>
        <v>-14.885</v>
      </c>
      <c r="AF8" s="71">
        <f t="shared" si="8"/>
        <v>61.64264379</v>
      </c>
      <c r="AG8" s="72">
        <f>AC8+AD8+AE8+AF8+70-53+124.64</f>
        <v>279.9582255</v>
      </c>
      <c r="AH8" s="193">
        <f t="shared" si="9"/>
        <v>56.4</v>
      </c>
      <c r="AI8" s="193">
        <f t="shared" si="10"/>
        <v>58.799</v>
      </c>
      <c r="AJ8" s="73">
        <f t="shared" si="11"/>
        <v>49.04238221</v>
      </c>
      <c r="AK8" s="73">
        <f t="shared" si="12"/>
        <v>39.83962091</v>
      </c>
      <c r="AL8" s="11"/>
      <c r="AM8" s="51">
        <f t="shared" si="13"/>
        <v>0.0175</v>
      </c>
      <c r="AN8" s="51" t="str">
        <f t="array" ref="AN8">XLOOKUP(D8,RUC!$B$3:$B$565,RUC!$M$3:$M$565)</f>
        <v>Richard Sapacayo</v>
      </c>
      <c r="AO8" s="131" t="s">
        <v>558</v>
      </c>
      <c r="AP8" s="57" t="s">
        <v>1980</v>
      </c>
      <c r="AQ8" s="57" t="s">
        <v>1981</v>
      </c>
      <c r="AV8" s="152" t="s">
        <v>558</v>
      </c>
      <c r="AW8" s="154">
        <f t="shared" ref="AW8:AW17" si="15">SUMIF($AO$4:$AO$1345,AV8,$K$4:$K$1345)</f>
        <v>155.019</v>
      </c>
      <c r="AX8" s="154">
        <f t="array" ref="AX8">+SUMPRODUCT(IF($AO$4:$AO$1345=AV8,$L$4:$L$1345*$K$4:$K$1345/AW8))</f>
        <v>0.3071188177</v>
      </c>
      <c r="AY8" s="155">
        <f t="shared" ref="AY8:AY17" si="16">31.1035*1.1023*AX8*(100-AZ8)/100</f>
        <v>1.184264901</v>
      </c>
      <c r="AZ8" s="157">
        <f t="array" ref="AZ8">+SUMPRODUCT(IF($AO$4:$AO$1345=AV8,($Q$4:$Q$1345*$AH$4:$AH$1345)/SUMIF($AO$4:$AO$1345,$AV8,$AH$4:$AH$1345)))</f>
        <v>88.75308634</v>
      </c>
      <c r="BA8" s="200">
        <f t="shared" ref="BA8:BA17" si="17">+AX8*31.1035*1.1023*AW8</f>
        <v>1632.30168</v>
      </c>
      <c r="BB8" s="156">
        <f t="shared" ref="BB8:BB17" si="18">SUMIF($AO$4:$AO$445,$AV8,$AH$4:$AH$445)</f>
        <v>1441.071</v>
      </c>
      <c r="BC8" s="157">
        <f>+BA8-BB8</f>
        <v>191.2306796</v>
      </c>
      <c r="BD8" s="158">
        <f>+AW8</f>
        <v>155.019</v>
      </c>
    </row>
    <row r="9" ht="15.0" customHeight="1">
      <c r="A9" s="192" t="s">
        <v>2240</v>
      </c>
      <c r="B9" s="182">
        <v>45967.0</v>
      </c>
      <c r="C9" s="182">
        <v>45962.0</v>
      </c>
      <c r="D9" s="57" t="s">
        <v>146</v>
      </c>
      <c r="E9" s="3">
        <f t="array" ref="E9">XLOOKUP(D9,RUC!$B$3:$B$110,RUC!$D$3:$D$110)</f>
        <v>20517242919</v>
      </c>
      <c r="G9" s="141">
        <v>34.0</v>
      </c>
      <c r="H9" s="3" t="s">
        <v>47</v>
      </c>
      <c r="I9" s="6">
        <v>2.91</v>
      </c>
      <c r="J9" s="58">
        <v>1.65</v>
      </c>
      <c r="K9" s="6">
        <f t="shared" si="2"/>
        <v>2.862</v>
      </c>
      <c r="L9" s="139">
        <v>0.078</v>
      </c>
      <c r="M9" s="3">
        <v>0.071</v>
      </c>
      <c r="N9" s="62">
        <f t="shared" si="3"/>
        <v>0.071</v>
      </c>
      <c r="O9" s="60">
        <f t="shared" si="4"/>
        <v>0.071</v>
      </c>
      <c r="P9" s="63">
        <v>85.0</v>
      </c>
      <c r="Q9" s="58">
        <v>97.44</v>
      </c>
      <c r="R9" s="65">
        <v>4013.2</v>
      </c>
      <c r="S9" s="66">
        <f t="array" ref="S9">IF((XLOOKUP(D9,RUC!$B$3:$B$106,RUC!$E$3:$E$106)+ROUNDDOWN(O9,1)*100)&lt;95,95,((XLOOKUP(D9,RUC!$B$3:$B$106,RUC!$E$3:$E$106)+ROUNDDOWN(O9,1)*100)))</f>
        <v>95</v>
      </c>
      <c r="U9" s="67">
        <f t="array" ref="U9">XLOOKUP(D9,RUC!$B$3:$B$110,RUC!$F$3:$F$110)</f>
        <v>80</v>
      </c>
      <c r="V9" s="67">
        <v>1.1023</v>
      </c>
      <c r="Y9" s="57" t="str">
        <f t="array" ref="Y9">XLOOKUP(D9,RUC!$B$3:$B$110,RUC!$G$3:$G$110)</f>
        <v/>
      </c>
      <c r="Z9" s="69">
        <f t="array" ref="Z9">XLOOKUP(D9,RUC!$B$3:$B$110,RUC!$H$3:$H$110)</f>
        <v>10</v>
      </c>
      <c r="AA9" s="70">
        <f t="shared" si="5"/>
        <v>10</v>
      </c>
      <c r="AB9" s="71">
        <v>0.001</v>
      </c>
      <c r="AC9" s="71">
        <f>+(S9-T9)*V9-'data 1'!$F$4</f>
        <v>24.7185</v>
      </c>
      <c r="AD9" s="71">
        <f t="shared" si="6"/>
        <v>42.0688675</v>
      </c>
      <c r="AE9" s="71">
        <f t="shared" si="7"/>
        <v>-58.977</v>
      </c>
      <c r="AF9" s="71">
        <f t="shared" si="8"/>
        <v>29.57203103</v>
      </c>
      <c r="AG9" s="72">
        <f>AC9+AD9+AE9+AF9+70+161.3</f>
        <v>268.6823985</v>
      </c>
      <c r="AH9" s="193">
        <f t="shared" si="9"/>
        <v>7.458</v>
      </c>
      <c r="AI9" s="193">
        <f t="shared" si="10"/>
        <v>7.654</v>
      </c>
      <c r="AJ9" s="73">
        <f t="shared" si="11"/>
        <v>35.75659012</v>
      </c>
      <c r="AK9" s="73">
        <f t="shared" si="12"/>
        <v>5.921830509</v>
      </c>
      <c r="AL9" s="11"/>
      <c r="AM9" s="51">
        <f t="shared" si="13"/>
        <v>0.002862</v>
      </c>
      <c r="AN9" s="51" t="str">
        <f t="array" ref="AN9">XLOOKUP(D9,RUC!$B$3:$B$565,RUC!$M$3:$M$565)</f>
        <v>Melchor Vera</v>
      </c>
      <c r="AO9" s="131" t="s">
        <v>558</v>
      </c>
      <c r="AP9" s="57" t="s">
        <v>1988</v>
      </c>
      <c r="AQ9" s="57" t="s">
        <v>1989</v>
      </c>
      <c r="AV9" s="160" t="s">
        <v>551</v>
      </c>
      <c r="AW9" s="6">
        <f t="shared" si="15"/>
        <v>92.528</v>
      </c>
      <c r="AX9" s="6">
        <f t="array" ref="AX9">+SUMPRODUCT(IF($AO$4:$AO$1345=AV9,$L$4:$L$1345*$K$4:$K$1345/AW9))</f>
        <v>0.3006902451</v>
      </c>
      <c r="AY9" s="145">
        <f t="shared" si="16"/>
        <v>1.188581185</v>
      </c>
      <c r="AZ9" s="58">
        <f t="array" ref="AZ9">+SUMPRODUCT(IF($AO$4:$AO$1345=AV9,($Q$4:$Q$1345*$AH$4:$AH$1345)/SUMIF($AO$4:$AO$1345,$AV9,$AH$4:$AH$1345)))</f>
        <v>88.47076629</v>
      </c>
      <c r="BA9" s="5">
        <f t="shared" si="17"/>
        <v>953.8972205</v>
      </c>
      <c r="BB9" s="65">
        <f t="shared" si="18"/>
        <v>837.003</v>
      </c>
      <c r="BC9" s="58">
        <f t="shared" ref="BC9:BC17" si="19">+BC8+BA9-BB9</f>
        <v>308.1249001</v>
      </c>
      <c r="BD9" s="161">
        <f t="shared" ref="BD9:BD17" si="20">+BD8+AW9</f>
        <v>247.547</v>
      </c>
    </row>
    <row r="10" ht="15.0" customHeight="1">
      <c r="A10" s="192" t="s">
        <v>2241</v>
      </c>
      <c r="B10" s="182">
        <v>45967.0</v>
      </c>
      <c r="C10" s="182">
        <v>45962.0</v>
      </c>
      <c r="D10" s="57" t="s">
        <v>146</v>
      </c>
      <c r="E10" s="3">
        <f t="array" ref="E10">XLOOKUP(D10,RUC!$B$3:$B$110,RUC!$D$3:$D$110)</f>
        <v>20517242919</v>
      </c>
      <c r="G10" s="141">
        <v>61.0</v>
      </c>
      <c r="H10" s="3" t="s">
        <v>47</v>
      </c>
      <c r="I10" s="6">
        <v>5.63</v>
      </c>
      <c r="J10" s="58">
        <v>1.7</v>
      </c>
      <c r="K10" s="6">
        <f t="shared" si="2"/>
        <v>5.534</v>
      </c>
      <c r="L10" s="139">
        <v>0.075</v>
      </c>
      <c r="M10" s="3">
        <v>0.068</v>
      </c>
      <c r="N10" s="62">
        <f t="shared" si="3"/>
        <v>0.068</v>
      </c>
      <c r="O10" s="60">
        <f t="shared" si="4"/>
        <v>0.068</v>
      </c>
      <c r="P10" s="63">
        <v>85.0</v>
      </c>
      <c r="Q10" s="58">
        <v>94.67</v>
      </c>
      <c r="R10" s="65">
        <v>4013.2</v>
      </c>
      <c r="S10" s="66">
        <f t="array" ref="S10">IF((XLOOKUP(D10,RUC!$B$3:$B$106,RUC!$E$3:$E$106)+ROUNDDOWN(O10,1)*100)&lt;95,95,((XLOOKUP(D10,RUC!$B$3:$B$106,RUC!$E$3:$E$106)+ROUNDDOWN(O10,1)*100)))</f>
        <v>95</v>
      </c>
      <c r="U10" s="67">
        <f t="array" ref="U10">XLOOKUP(D10,RUC!$B$3:$B$110,RUC!$F$3:$F$110)</f>
        <v>80</v>
      </c>
      <c r="V10" s="67">
        <v>1.1023</v>
      </c>
      <c r="Y10" s="57" t="str">
        <f t="array" ref="Y10">XLOOKUP(D10,RUC!$B$3:$B$110,RUC!$G$3:$G$110)</f>
        <v/>
      </c>
      <c r="Z10" s="69">
        <f t="array" ref="Z10">XLOOKUP(D10,RUC!$B$3:$B$110,RUC!$H$3:$H$110)</f>
        <v>10</v>
      </c>
      <c r="AA10" s="70">
        <f t="shared" si="5"/>
        <v>10</v>
      </c>
      <c r="AB10" s="71">
        <v>0.001</v>
      </c>
      <c r="AC10" s="71">
        <f>+(S10-T10)*V10-'data 1'!$F$4</f>
        <v>24.7185</v>
      </c>
      <c r="AD10" s="71">
        <f t="shared" si="6"/>
        <v>31.44369503</v>
      </c>
      <c r="AE10" s="71">
        <f t="shared" si="7"/>
        <v>-58.977</v>
      </c>
      <c r="AF10" s="71">
        <f t="shared" si="8"/>
        <v>28.73136471</v>
      </c>
      <c r="AG10" s="72">
        <f>AC10+AD10+AE10+AF10+70+134</f>
        <v>229.9165597</v>
      </c>
      <c r="AH10" s="193">
        <f t="shared" si="9"/>
        <v>13.472</v>
      </c>
      <c r="AI10" s="193">
        <f t="shared" si="10"/>
        <v>14.23</v>
      </c>
      <c r="AJ10" s="73">
        <f t="shared" si="11"/>
        <v>33.40395259</v>
      </c>
      <c r="AK10" s="73">
        <f t="shared" si="12"/>
        <v>10.96670251</v>
      </c>
      <c r="AL10" s="11"/>
      <c r="AM10" s="51">
        <f t="shared" si="13"/>
        <v>0.005534</v>
      </c>
      <c r="AN10" s="51" t="str">
        <f t="array" ref="AN10">XLOOKUP(D10,RUC!$B$3:$B$565,RUC!$M$3:$M$565)</f>
        <v>Melchor Vera</v>
      </c>
      <c r="AO10" s="131" t="s">
        <v>558</v>
      </c>
      <c r="AP10" s="57" t="s">
        <v>1988</v>
      </c>
      <c r="AQ10" s="57" t="s">
        <v>1989</v>
      </c>
      <c r="AV10" s="160" t="s">
        <v>547</v>
      </c>
      <c r="AW10" s="6">
        <f t="shared" si="15"/>
        <v>113.645</v>
      </c>
      <c r="AX10" s="6">
        <f t="array" ref="AX10">+SUMPRODUCT(IF($AO$4:$AO$1345=AV10,$L$4:$L$1345*$K$4:$K$1345/AW10))</f>
        <v>0.3010488099</v>
      </c>
      <c r="AY10" s="145">
        <f t="shared" si="16"/>
        <v>0.5377191152</v>
      </c>
      <c r="AZ10" s="58">
        <f t="array" ref="AZ10">+SUMPRODUCT(IF($AO$4:$AO$1345=AV10,($Q$4:$Q$1345*$AH$4:$AH$1345)/SUMIF($AO$4:$AO$1345,$AV10,$AH$4:$AH$1345)))</f>
        <v>94.79033867</v>
      </c>
      <c r="BA10" s="65">
        <f t="shared" si="17"/>
        <v>1172.995421</v>
      </c>
      <c r="BB10" s="65">
        <f t="shared" si="18"/>
        <v>1110.866</v>
      </c>
      <c r="BC10" s="58">
        <f t="shared" si="19"/>
        <v>370.2543216</v>
      </c>
      <c r="BD10" s="161">
        <f t="shared" si="20"/>
        <v>361.192</v>
      </c>
    </row>
    <row r="11" ht="15.0" customHeight="1">
      <c r="A11" s="192" t="s">
        <v>2242</v>
      </c>
      <c r="B11" s="182">
        <v>45980.0</v>
      </c>
      <c r="C11" s="182">
        <v>45969.0</v>
      </c>
      <c r="D11" s="57" t="s">
        <v>225</v>
      </c>
      <c r="E11" s="3">
        <f t="array" ref="E11">XLOOKUP(D11,RUC!$B$3:$B$110,RUC!$D$3:$D$110)</f>
        <v>10761932735</v>
      </c>
      <c r="G11" s="141" t="s">
        <v>735</v>
      </c>
      <c r="H11" s="3" t="s">
        <v>47</v>
      </c>
      <c r="I11" s="6">
        <v>16.95</v>
      </c>
      <c r="J11" s="58">
        <v>12.88</v>
      </c>
      <c r="K11" s="6">
        <f t="shared" si="2"/>
        <v>14.767</v>
      </c>
      <c r="L11" s="3">
        <v>0.072</v>
      </c>
      <c r="M11" s="60">
        <f t="shared" ref="M11:M19" si="21">ROUND(+IF(AN11="Melchor Vera",IF(L11&gt;0.467,L11*0.985,(L11-0.007)),IF(L11&gt;0.3,L11*0.94,(L11-0.018))),3)</f>
        <v>0.054</v>
      </c>
      <c r="N11" s="62">
        <f t="shared" si="3"/>
        <v>0.054</v>
      </c>
      <c r="O11" s="60">
        <f t="shared" si="4"/>
        <v>0.054</v>
      </c>
      <c r="P11" s="63">
        <v>80.0</v>
      </c>
      <c r="Q11" s="57">
        <v>97.22</v>
      </c>
      <c r="R11" s="65">
        <v>3994.1</v>
      </c>
      <c r="S11" s="66">
        <f t="array" ref="S11">IF((XLOOKUP(D11,RUC!$B$3:$B$106,RUC!$E$3:$E$106)+ROUNDDOWN(O11,1)*100)&lt;95,95,((XLOOKUP(D11,RUC!$B$3:$B$106,RUC!$E$3:$E$106)+ROUNDDOWN(O11,1)*100)))</f>
        <v>95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5"/>
        <v>50</v>
      </c>
      <c r="AB11" s="71">
        <v>0.001</v>
      </c>
      <c r="AC11" s="71">
        <f>+(S11-T11)*V11-'data 1'!$F$4</f>
        <v>24.7185</v>
      </c>
      <c r="AD11" s="71">
        <f t="shared" si="6"/>
        <v>52.94638066</v>
      </c>
      <c r="AE11" s="71">
        <f t="shared" si="7"/>
        <v>-14.885</v>
      </c>
      <c r="AF11" s="71">
        <f t="shared" si="8"/>
        <v>74.73064936</v>
      </c>
      <c r="AG11" s="72">
        <f>AC11+AD11+AE11+AF11+70-53+24.65</f>
        <v>179.16053</v>
      </c>
      <c r="AH11" s="193">
        <f t="shared" si="9"/>
        <v>35.44</v>
      </c>
      <c r="AI11" s="193">
        <f t="shared" si="10"/>
        <v>36.453</v>
      </c>
      <c r="AJ11" s="73">
        <f t="shared" si="11"/>
        <v>37.49167293</v>
      </c>
      <c r="AK11" s="73">
        <f t="shared" si="12"/>
        <v>21.87182845</v>
      </c>
      <c r="AM11" s="51">
        <f t="shared" si="13"/>
        <v>0.014767</v>
      </c>
      <c r="AN11" s="51" t="str">
        <f t="array" ref="AN11">XLOOKUP(D11,RUC!$B$3:$B$565,RUC!$M$3:$M$565)</f>
        <v>Richard Sapacayo</v>
      </c>
      <c r="AO11" s="131" t="s">
        <v>551</v>
      </c>
      <c r="AP11" s="57" t="s">
        <v>1420</v>
      </c>
      <c r="AQ11" s="57" t="s">
        <v>2079</v>
      </c>
      <c r="AV11" s="160" t="s">
        <v>549</v>
      </c>
      <c r="AW11" s="6">
        <f t="shared" si="15"/>
        <v>104.905</v>
      </c>
      <c r="AX11" s="6">
        <f t="array" ref="AX11">+SUMPRODUCT(IF($AO$4:$AO$1345=AV11,$L$4:$L$1345*$K$4:$K$1345/AW11))</f>
        <v>0.3390080644</v>
      </c>
      <c r="AY11" s="145">
        <f t="shared" si="16"/>
        <v>0.5833644671</v>
      </c>
      <c r="AZ11" s="58">
        <f t="array" ref="AZ11">+SUMPRODUCT(IF($AO$4:$AO$1345=AV11,($Q$4:$Q$1345*$AH$4:$AH$1345)/SUMIF($AO$4:$AO$1345,$AV11,$AH$4:$AH$1345)))</f>
        <v>94.98095749</v>
      </c>
      <c r="BA11" s="65">
        <f t="shared" si="17"/>
        <v>1219.313232</v>
      </c>
      <c r="BB11" s="65">
        <f t="shared" si="18"/>
        <v>1157.816</v>
      </c>
      <c r="BC11" s="58">
        <f t="shared" si="19"/>
        <v>431.7515537</v>
      </c>
      <c r="BD11" s="161">
        <f t="shared" si="20"/>
        <v>466.097</v>
      </c>
    </row>
    <row r="12" ht="15.0" customHeight="1">
      <c r="A12" s="192" t="s">
        <v>2243</v>
      </c>
      <c r="B12" s="182"/>
      <c r="C12" s="182">
        <v>45973.0</v>
      </c>
      <c r="D12" s="57" t="s">
        <v>306</v>
      </c>
      <c r="E12" s="3">
        <f t="array" ref="E12">XLOOKUP(D12,RUC!$B$3:$B$110,RUC!$D$3:$D$110)</f>
        <v>20612921866</v>
      </c>
      <c r="G12" s="141" t="s">
        <v>735</v>
      </c>
      <c r="H12" s="3" t="s">
        <v>47</v>
      </c>
      <c r="I12" s="6">
        <v>14.33</v>
      </c>
      <c r="J12" s="58">
        <v>2.05</v>
      </c>
      <c r="K12" s="6">
        <f t="shared" si="2"/>
        <v>14.036</v>
      </c>
      <c r="L12" s="3">
        <v>0.077</v>
      </c>
      <c r="M12" s="60">
        <f t="shared" si="21"/>
        <v>0.059</v>
      </c>
      <c r="N12" s="62">
        <f t="shared" si="3"/>
        <v>0.059</v>
      </c>
      <c r="O12" s="60">
        <f t="shared" si="4"/>
        <v>0.059</v>
      </c>
      <c r="P12" s="63">
        <v>90.0</v>
      </c>
      <c r="Q12" s="458">
        <v>96.1</v>
      </c>
      <c r="R12" s="65">
        <v>4136.75</v>
      </c>
      <c r="S12" s="66">
        <f t="array" ref="S12">IF((XLOOKUP(D12,RUC!$B$3:$B$106,RUC!$E$3:$E$106)+ROUNDDOWN(O12,1)*100)&lt;95,95,((XLOOKUP(D12,RUC!$B$3:$B$106,RUC!$E$3:$E$106)+ROUNDDOWN(O12,1)*100)))</f>
        <v>95</v>
      </c>
      <c r="U12" s="67">
        <f t="array" ref="U12">XLOOKUP(D12,RUC!$B$3:$B$110,RUC!$F$3:$F$110)</f>
        <v>100</v>
      </c>
      <c r="V12" s="67">
        <v>1.1023</v>
      </c>
      <c r="Y12" s="57" t="str">
        <f t="array" ref="Y12">XLOOKUP(D12,RUC!$B$3:$B$110,RUC!$G$3:$G$110)</f>
        <v/>
      </c>
      <c r="Z12" s="69">
        <f t="array" ref="Z12">XLOOKUP(D12,RUC!$B$3:$B$110,RUC!$H$3:$H$110)</f>
        <v>30</v>
      </c>
      <c r="AA12" s="70">
        <f t="shared" si="5"/>
        <v>30</v>
      </c>
      <c r="AB12" s="71">
        <v>0.001</v>
      </c>
      <c r="AC12" s="71">
        <f>+(S12-T12)*V12-'data 1'!$F$4</f>
        <v>24.7185</v>
      </c>
      <c r="AD12" s="71">
        <f t="shared" si="6"/>
        <v>20.90028564</v>
      </c>
      <c r="AE12" s="71">
        <f t="shared" si="7"/>
        <v>-36.931</v>
      </c>
      <c r="AF12" s="71">
        <f t="shared" si="8"/>
        <v>76.97107536</v>
      </c>
      <c r="AG12" s="72">
        <f>AC12+AD12+AE12+AF12+70-10+98.49</f>
        <v>244.148861</v>
      </c>
      <c r="AH12" s="193">
        <f t="shared" si="9"/>
        <v>35.61</v>
      </c>
      <c r="AI12" s="193">
        <f t="shared" si="10"/>
        <v>37.055</v>
      </c>
      <c r="AJ12" s="73">
        <f t="shared" si="11"/>
        <v>26.36649819</v>
      </c>
      <c r="AK12" s="73">
        <f t="shared" si="12"/>
        <v>25.55329742</v>
      </c>
      <c r="AL12" s="11"/>
      <c r="AM12" s="51">
        <f t="shared" si="13"/>
        <v>0.014036</v>
      </c>
      <c r="AN12" s="51" t="str">
        <f t="array" ref="AN12">XLOOKUP(D12,RUC!$B$3:$B$565,RUC!$M$3:$M$565)</f>
        <v>Ronald Garibay</v>
      </c>
      <c r="AO12" s="131" t="s">
        <v>551</v>
      </c>
      <c r="AP12" s="57" t="s">
        <v>2244</v>
      </c>
      <c r="AQ12" s="57" t="s">
        <v>2245</v>
      </c>
      <c r="AV12" s="160" t="s">
        <v>561</v>
      </c>
      <c r="AW12" s="6">
        <f t="shared" si="15"/>
        <v>63.167</v>
      </c>
      <c r="AX12" s="6">
        <f t="array" ref="AX12">+SUMPRODUCT(IF($AO$4:$AO$1345=AV12,$L$4:$L$1345*$K$4:$K$1345/AW12))</f>
        <v>0.3040169076</v>
      </c>
      <c r="AY12" s="145">
        <f t="shared" si="16"/>
        <v>1.702642559</v>
      </c>
      <c r="AZ12" s="58">
        <f t="array" ref="AZ12">+SUMPRODUCT(IF($AO$4:$AO$1345=AV12,($Q$4:$Q$1345*$AH$4:$AH$1345)/SUMIF($AO$4:$AO$1345,$AV12,$AH$4:$AH$1345)))</f>
        <v>83.66509255</v>
      </c>
      <c r="BA12" s="65">
        <f t="shared" si="17"/>
        <v>658.4109693</v>
      </c>
      <c r="BB12" s="65">
        <f t="shared" si="18"/>
        <v>535.628</v>
      </c>
      <c r="BC12" s="58">
        <f t="shared" si="19"/>
        <v>554.534523</v>
      </c>
      <c r="BD12" s="161">
        <f t="shared" si="20"/>
        <v>529.264</v>
      </c>
    </row>
    <row r="13" ht="15.0" customHeight="1">
      <c r="A13" s="116" t="s">
        <v>2246</v>
      </c>
      <c r="B13" s="182">
        <v>45985.0</v>
      </c>
      <c r="C13" s="182">
        <v>45977.0</v>
      </c>
      <c r="D13" s="57" t="s">
        <v>2150</v>
      </c>
      <c r="E13" s="3">
        <f t="array" ref="E13">XLOOKUP(D13,RUC!$B$3:$B$110,RUC!$D$3:$D$110)</f>
        <v>10304932789</v>
      </c>
      <c r="G13" s="141">
        <v>128.0</v>
      </c>
      <c r="H13" s="3" t="s">
        <v>47</v>
      </c>
      <c r="I13" s="6">
        <v>13.23</v>
      </c>
      <c r="J13" s="58">
        <v>1.3</v>
      </c>
      <c r="K13" s="6">
        <f t="shared" si="2"/>
        <v>13.058</v>
      </c>
      <c r="L13" s="60">
        <v>0.123</v>
      </c>
      <c r="M13" s="60">
        <f t="shared" si="21"/>
        <v>0.105</v>
      </c>
      <c r="N13" s="62">
        <f t="shared" si="3"/>
        <v>0.105</v>
      </c>
      <c r="O13" s="60">
        <f t="shared" si="4"/>
        <v>0.105</v>
      </c>
      <c r="P13" s="63">
        <v>80.0</v>
      </c>
      <c r="Q13" s="458">
        <v>97.56</v>
      </c>
      <c r="R13" s="65">
        <v>4072.5</v>
      </c>
      <c r="S13" s="66">
        <f t="array" ref="S13">IF((XLOOKUP(D13,RUC!$B$3:$B$106,RUC!$E$3:$E$106)+ROUNDDOWN(O13,1)*100)&lt;95,95,((XLOOKUP(D13,RUC!$B$3:$B$106,RUC!$E$3:$E$106)+ROUNDDOWN(O13,1)*100)))</f>
        <v>100</v>
      </c>
      <c r="U13" s="67">
        <f t="array" ref="U13">XLOOKUP(D13,RUC!$B$3:$B$110,RUC!$F$3:$F$110)</f>
        <v>120</v>
      </c>
      <c r="V13" s="67">
        <v>1.1023</v>
      </c>
      <c r="Y13" s="57">
        <f t="array" ref="Y13">XLOOKUP(D13,RUC!$B$3:$B$110,RUC!$G$3:$G$110)</f>
        <v>0</v>
      </c>
      <c r="Z13" s="69">
        <f t="array" ref="Z13">XLOOKUP(D13,RUC!$B$3:$B$110,RUC!$H$3:$H$110)</f>
        <v>30</v>
      </c>
      <c r="AA13" s="70">
        <f t="shared" si="5"/>
        <v>30</v>
      </c>
      <c r="AB13" s="71">
        <f>+((O13*P13*(R13-U13)/100)-S13-AA13+T13)*V13</f>
        <v>222.675623</v>
      </c>
      <c r="AC13" s="71">
        <f>+(S13-T13)*V13-'data 1'!$F$4</f>
        <v>30.23</v>
      </c>
      <c r="AD13" s="71">
        <f t="shared" si="6"/>
        <v>94.10253199</v>
      </c>
      <c r="AE13" s="71">
        <f t="shared" si="7"/>
        <v>-36.931</v>
      </c>
      <c r="AF13" s="71">
        <f t="shared" si="8"/>
        <v>76.50960904</v>
      </c>
      <c r="AG13" s="72">
        <f>AC13+AD13+AE13+AF13+70-53</f>
        <v>180.911141</v>
      </c>
      <c r="AH13" s="193">
        <f t="shared" si="9"/>
        <v>53.723</v>
      </c>
      <c r="AI13" s="193">
        <f t="shared" si="10"/>
        <v>55.067</v>
      </c>
      <c r="AJ13" s="73">
        <f t="shared" si="11"/>
        <v>53.90193098</v>
      </c>
      <c r="AK13" s="73">
        <f t="shared" si="12"/>
        <v>37.60668216</v>
      </c>
      <c r="AM13" s="51">
        <f t="shared" si="13"/>
        <v>2907.698285</v>
      </c>
      <c r="AN13" s="51" t="str">
        <f t="array" ref="AN13">XLOOKUP(D13,RUC!$B$3:$B$565,RUC!$M$3:$M$565)</f>
        <v>SIN ACOPIO</v>
      </c>
      <c r="AO13" s="131" t="s">
        <v>558</v>
      </c>
      <c r="AP13" s="57" t="s">
        <v>2151</v>
      </c>
      <c r="AQ13" s="57" t="s">
        <v>2152</v>
      </c>
      <c r="AV13" s="160" t="s">
        <v>689</v>
      </c>
      <c r="AW13" s="6">
        <f t="shared" si="15"/>
        <v>0</v>
      </c>
      <c r="AX13" s="6">
        <f t="array" ref="AX13">+SUMPRODUCT(IF($AO$4:$AO$1345=AV13,$L$4:$L$1345*$K$4:$K$1345/AW13))</f>
        <v>0</v>
      </c>
      <c r="AY13" s="145">
        <f t="shared" si="16"/>
        <v>0</v>
      </c>
      <c r="AZ13" s="58">
        <f t="array" ref="AZ13">+SUMPRODUCT(IF('33'!$AO$4:$AO$1237=AV13,('33'!$Q$4:$Q$1237*'33'!$AH$4:$AH$1237)/SUMIF('33'!$AO$4:$AO$1237,#REF!,'33'!$AH$4:$AH$1237)))</f>
        <v>0</v>
      </c>
      <c r="BA13" s="65">
        <f t="shared" si="17"/>
        <v>0</v>
      </c>
      <c r="BB13" s="65">
        <f t="shared" si="18"/>
        <v>0</v>
      </c>
      <c r="BC13" s="58">
        <f t="shared" si="19"/>
        <v>554.534523</v>
      </c>
      <c r="BD13" s="161">
        <f t="shared" si="20"/>
        <v>529.264</v>
      </c>
    </row>
    <row r="14" ht="15.0" customHeight="1">
      <c r="A14" s="192" t="s">
        <v>2247</v>
      </c>
      <c r="B14" s="194">
        <v>45985.0</v>
      </c>
      <c r="C14" s="182">
        <v>45977.0</v>
      </c>
      <c r="D14" s="57" t="s">
        <v>225</v>
      </c>
      <c r="E14" s="3">
        <f t="array" ref="E14">XLOOKUP(D14,RUC!$B$3:$B$110,RUC!$D$3:$D$110)</f>
        <v>10761932735</v>
      </c>
      <c r="G14" s="141">
        <v>12.0</v>
      </c>
      <c r="H14" s="3" t="s">
        <v>40</v>
      </c>
      <c r="I14" s="6">
        <v>1.07</v>
      </c>
      <c r="J14" s="58">
        <v>8.5</v>
      </c>
      <c r="K14" s="6">
        <f t="shared" si="2"/>
        <v>0.979</v>
      </c>
      <c r="L14" s="3">
        <v>0.067</v>
      </c>
      <c r="M14" s="60">
        <f t="shared" si="21"/>
        <v>0.049</v>
      </c>
      <c r="N14" s="62">
        <f t="shared" si="3"/>
        <v>0.049</v>
      </c>
      <c r="O14" s="60">
        <f t="shared" si="4"/>
        <v>0.049</v>
      </c>
      <c r="P14" s="63">
        <v>80.0</v>
      </c>
      <c r="Q14" s="458">
        <v>95.52</v>
      </c>
      <c r="R14" s="65">
        <v>4072.5</v>
      </c>
      <c r="S14" s="66">
        <f t="array" ref="S14">IF((XLOOKUP(D14,RUC!$B$3:$B$106,RUC!$E$3:$E$106)+ROUNDDOWN(O14,1)*100)&lt;95,95,((XLOOKUP(D14,RUC!$B$3:$B$106,RUC!$E$3:$E$106)+ROUNDDOWN(O14,1)*100)))</f>
        <v>95</v>
      </c>
      <c r="U14" s="67">
        <f t="array" ref="U14">XLOOKUP(D14,RUC!$B$3:$B$110,RUC!$F$3:$F$110)</f>
        <v>120</v>
      </c>
      <c r="V14" s="67">
        <v>1.1023</v>
      </c>
      <c r="Y14" s="57">
        <f t="array" ref="Y14">XLOOKUP(D14,RUC!$B$3:$B$110,RUC!$G$3:$G$110)</f>
        <v>20</v>
      </c>
      <c r="Z14" s="69">
        <f t="array" ref="Z14">XLOOKUP(D14,RUC!$B$3:$B$110,RUC!$H$3:$H$110)</f>
        <v>30</v>
      </c>
      <c r="AA14" s="70">
        <f t="shared" si="5"/>
        <v>50</v>
      </c>
      <c r="AB14" s="71">
        <v>0.001</v>
      </c>
      <c r="AC14" s="71">
        <f>+(S14-T14)*V14-'data 1'!$F$4</f>
        <v>24.7185</v>
      </c>
      <c r="AD14" s="71">
        <f t="shared" si="6"/>
        <v>45.30417285</v>
      </c>
      <c r="AE14" s="71">
        <f t="shared" si="7"/>
        <v>-14.885</v>
      </c>
      <c r="AF14" s="71">
        <f t="shared" si="8"/>
        <v>74.90977712</v>
      </c>
      <c r="AG14" s="72">
        <f>AC14+AD14+AE14+AF14+70-53+10.95</f>
        <v>157.99745</v>
      </c>
      <c r="AH14" s="193">
        <f t="shared" si="9"/>
        <v>2.148</v>
      </c>
      <c r="AI14" s="193">
        <f t="shared" si="10"/>
        <v>2.249</v>
      </c>
      <c r="AJ14" s="73">
        <f t="shared" si="11"/>
        <v>28.7472653</v>
      </c>
      <c r="AK14" s="73">
        <f t="shared" si="12"/>
        <v>1.31576348</v>
      </c>
      <c r="AM14" s="51">
        <f t="shared" si="13"/>
        <v>0.000979</v>
      </c>
      <c r="AN14" s="51" t="str">
        <f t="array" ref="AN14">XLOOKUP(D14,RUC!$B$3:$B$565,RUC!$M$3:$M$565)</f>
        <v>Richard Sapacayo</v>
      </c>
      <c r="AO14" s="131" t="s">
        <v>558</v>
      </c>
      <c r="AP14" s="57" t="s">
        <v>2156</v>
      </c>
      <c r="AQ14" s="57" t="s">
        <v>2157</v>
      </c>
      <c r="AV14" s="160" t="s">
        <v>690</v>
      </c>
      <c r="AW14" s="6">
        <f t="shared" si="15"/>
        <v>0</v>
      </c>
      <c r="AX14" s="6">
        <f t="array" ref="AX14">+SUMPRODUCT(IF($AO$4:$AO$1345=AV14,$L$4:$L$1345*$K$4:$K$1345/AW14))</f>
        <v>0</v>
      </c>
      <c r="AY14" s="145">
        <f t="shared" si="16"/>
        <v>0</v>
      </c>
      <c r="AZ14" s="58">
        <f t="array" ref="AZ14">+SUMPRODUCT(IF('33'!$AO$4:$AO$1237=AV14,('33'!$Q$4:$Q$1237*'33'!$AH$4:$AH$1237)/SUMIF('33'!$AO$4:$AO$1237,#REF!,'33'!$AH$4:$AH$1237)))</f>
        <v>0</v>
      </c>
      <c r="BA14" s="65">
        <f t="shared" si="17"/>
        <v>0</v>
      </c>
      <c r="BB14" s="65">
        <f t="shared" si="18"/>
        <v>0</v>
      </c>
      <c r="BC14" s="58">
        <f t="shared" si="19"/>
        <v>554.534523</v>
      </c>
      <c r="BD14" s="161">
        <f t="shared" si="20"/>
        <v>529.264</v>
      </c>
    </row>
    <row r="15" ht="15.0" customHeight="1">
      <c r="A15" s="192" t="s">
        <v>2248</v>
      </c>
      <c r="B15" s="194">
        <v>45985.0</v>
      </c>
      <c r="C15" s="182">
        <v>45978.0</v>
      </c>
      <c r="D15" s="57" t="s">
        <v>225</v>
      </c>
      <c r="E15" s="3">
        <f t="array" ref="E15">XLOOKUP(D15,RUC!$B$3:$B$110,RUC!$D$3:$D$110)</f>
        <v>10761932735</v>
      </c>
      <c r="G15" s="141" t="s">
        <v>735</v>
      </c>
      <c r="H15" s="3" t="s">
        <v>47</v>
      </c>
      <c r="I15" s="6">
        <v>17.12</v>
      </c>
      <c r="J15" s="58">
        <v>2.95</v>
      </c>
      <c r="K15" s="6">
        <f t="shared" si="2"/>
        <v>16.615</v>
      </c>
      <c r="L15" s="3">
        <v>0.077</v>
      </c>
      <c r="M15" s="60">
        <f t="shared" si="21"/>
        <v>0.059</v>
      </c>
      <c r="N15" s="62">
        <f t="shared" si="3"/>
        <v>0.059</v>
      </c>
      <c r="O15" s="60">
        <f t="shared" si="4"/>
        <v>0.059</v>
      </c>
      <c r="P15" s="63">
        <v>80.0</v>
      </c>
      <c r="Q15" s="458">
        <v>96.1</v>
      </c>
      <c r="R15" s="65">
        <v>4072.5</v>
      </c>
      <c r="S15" s="66">
        <f t="array" ref="S15">IF((XLOOKUP(D15,RUC!$B$3:$B$106,RUC!$E$3:$E$106)+ROUNDDOWN(O15,1)*100)&lt;95,95,((XLOOKUP(D15,RUC!$B$3:$B$106,RUC!$E$3:$E$106)+ROUNDDOWN(O15,1)*100)))</f>
        <v>95</v>
      </c>
      <c r="U15" s="67">
        <f t="array" ref="U15">XLOOKUP(D15,RUC!$B$3:$B$110,RUC!$F$3:$F$110)</f>
        <v>120</v>
      </c>
      <c r="V15" s="67">
        <v>1.1023</v>
      </c>
      <c r="Y15" s="57">
        <f t="array" ref="Y15">XLOOKUP(D15,RUC!$B$3:$B$110,RUC!$G$3:$G$110)</f>
        <v>20</v>
      </c>
      <c r="Z15" s="69">
        <f t="array" ref="Z15">XLOOKUP(D15,RUC!$B$3:$B$110,RUC!$H$3:$H$110)</f>
        <v>30</v>
      </c>
      <c r="AA15" s="70">
        <f t="shared" si="5"/>
        <v>50</v>
      </c>
      <c r="AB15" s="71">
        <v>0.001</v>
      </c>
      <c r="AC15" s="71">
        <f>+(S15-T15)*V15-'data 1'!$F$4</f>
        <v>24.7185</v>
      </c>
      <c r="AD15" s="71">
        <f t="shared" si="6"/>
        <v>54.01175478</v>
      </c>
      <c r="AE15" s="71">
        <f t="shared" si="7"/>
        <v>-14.885</v>
      </c>
      <c r="AF15" s="71">
        <f t="shared" si="8"/>
        <v>75.36463129</v>
      </c>
      <c r="AG15" s="72">
        <f>AC15+AD15+AE15+AF15+70-53+71.51</f>
        <v>227.7198861</v>
      </c>
      <c r="AH15" s="193">
        <f t="shared" si="9"/>
        <v>42.153</v>
      </c>
      <c r="AI15" s="193">
        <f t="shared" si="10"/>
        <v>43.863</v>
      </c>
      <c r="AJ15" s="73">
        <f t="shared" si="11"/>
        <v>33.23850894</v>
      </c>
      <c r="AK15" s="73">
        <f t="shared" si="12"/>
        <v>26.8875613</v>
      </c>
      <c r="AM15" s="51">
        <f t="shared" si="13"/>
        <v>0.016615</v>
      </c>
      <c r="AN15" s="51" t="str">
        <f t="array" ref="AN15">XLOOKUP(D15,RUC!$B$3:$B$565,RUC!$M$3:$M$565)</f>
        <v>Richard Sapacayo</v>
      </c>
      <c r="AO15" s="131" t="s">
        <v>551</v>
      </c>
      <c r="AP15" s="57" t="s">
        <v>2163</v>
      </c>
      <c r="AQ15" s="57" t="s">
        <v>2164</v>
      </c>
      <c r="AV15" s="160" t="s">
        <v>691</v>
      </c>
      <c r="AW15" s="6">
        <f t="shared" si="15"/>
        <v>0</v>
      </c>
      <c r="AX15" s="6">
        <f t="array" ref="AX15">+SUMPRODUCT(IF($AO$4:$AO$1345=AV15,$L$4:$L$1345*$K$4:$K$1345/AW15))</f>
        <v>0</v>
      </c>
      <c r="AY15" s="145">
        <f t="shared" si="16"/>
        <v>0</v>
      </c>
      <c r="AZ15" s="58">
        <f t="array" ref="AZ15">+SUMPRODUCT(IF('33'!$AO$4:$AO$1237=AV15,('33'!$Q$4:$Q$1237*'33'!$AH$4:$AH$1237)/SUMIF('33'!$AO$4:$AO$1237,#REF!,'33'!$AH$4:$AH$1237)))</f>
        <v>0</v>
      </c>
      <c r="BA15" s="65">
        <f t="shared" si="17"/>
        <v>0</v>
      </c>
      <c r="BB15" s="65">
        <f t="shared" si="18"/>
        <v>0</v>
      </c>
      <c r="BC15" s="58">
        <f t="shared" si="19"/>
        <v>554.534523</v>
      </c>
      <c r="BD15" s="161">
        <f t="shared" si="20"/>
        <v>529.264</v>
      </c>
    </row>
    <row r="16" ht="15.0" customHeight="1">
      <c r="A16" s="116" t="s">
        <v>2249</v>
      </c>
      <c r="B16" s="182">
        <v>45989.0</v>
      </c>
      <c r="C16" s="182">
        <v>45980.0</v>
      </c>
      <c r="D16" s="57" t="s">
        <v>730</v>
      </c>
      <c r="E16" s="3">
        <f t="array" ref="E16">XLOOKUP(D16,RUC!$B$3:$B$110,RUC!$D$3:$D$110)</f>
        <v>20613935151</v>
      </c>
      <c r="G16" s="141" t="s">
        <v>735</v>
      </c>
      <c r="H16" s="3" t="s">
        <v>47</v>
      </c>
      <c r="I16" s="6">
        <v>6.66</v>
      </c>
      <c r="J16" s="58">
        <v>1.3</v>
      </c>
      <c r="K16" s="6">
        <f t="shared" si="2"/>
        <v>6.573</v>
      </c>
      <c r="L16" s="3">
        <v>0.111</v>
      </c>
      <c r="M16" s="60">
        <f t="shared" si="21"/>
        <v>0.093</v>
      </c>
      <c r="N16" s="75">
        <v>0.152</v>
      </c>
      <c r="O16" s="60">
        <f t="shared" si="4"/>
        <v>0.123</v>
      </c>
      <c r="P16" s="63">
        <v>80.0</v>
      </c>
      <c r="Q16" s="458">
        <v>91.89</v>
      </c>
      <c r="R16" s="65">
        <v>4126.95</v>
      </c>
      <c r="S16" s="66">
        <f t="array" ref="S16">IF((XLOOKUP(D16,RUC!$B$3:$B$106,RUC!$E$3:$E$106)+ROUNDDOWN(O16,1)*100)&lt;95,95,((XLOOKUP(D16,RUC!$B$3:$B$106,RUC!$E$3:$E$106)+ROUNDDOWN(O16,1)*100)))</f>
        <v>100</v>
      </c>
      <c r="U16" s="67">
        <f t="array" ref="U16">XLOOKUP(D16,RUC!$B$3:$B$110,RUC!$F$3:$F$110)</f>
        <v>120</v>
      </c>
      <c r="V16" s="67">
        <v>1.1023</v>
      </c>
      <c r="Y16" s="57">
        <f t="array" ref="Y16">XLOOKUP(D16,RUC!$B$3:$B$110,RUC!$G$3:$G$110)</f>
        <v>20</v>
      </c>
      <c r="Z16" s="69">
        <f t="array" ref="Z16">XLOOKUP(D16,RUC!$B$3:$B$110,RUC!$H$3:$H$110)</f>
        <v>30</v>
      </c>
      <c r="AA16" s="70">
        <f t="shared" si="5"/>
        <v>50</v>
      </c>
      <c r="AB16" s="71">
        <f t="shared" ref="AB16:AB25" si="22">+((O16*P16*(R16-U16)/100)-S16-AA16+T16)*V16</f>
        <v>269.2741209</v>
      </c>
      <c r="AC16" s="71">
        <f>+(S16-T16)*V16-'data 1'!$F$4</f>
        <v>30.23</v>
      </c>
      <c r="AD16" s="71">
        <f t="shared" si="6"/>
        <v>58.29328959</v>
      </c>
      <c r="AE16" s="71">
        <f t="shared" si="7"/>
        <v>-14.885</v>
      </c>
      <c r="AF16" s="71">
        <f t="shared" si="8"/>
        <v>-48.70384271</v>
      </c>
      <c r="AG16" s="72">
        <f t="shared" ref="AG16:AG22" si="23">AC16+AD16+AE16+AF16+70-53</f>
        <v>41.93444688</v>
      </c>
      <c r="AH16" s="193">
        <f t="shared" si="9"/>
        <v>22.986</v>
      </c>
      <c r="AI16" s="193">
        <f t="shared" si="10"/>
        <v>25.015</v>
      </c>
      <c r="AJ16" s="73">
        <f t="shared" si="11"/>
        <v>39.69421828</v>
      </c>
      <c r="AK16" s="73">
        <f t="shared" si="12"/>
        <v>22.175213</v>
      </c>
      <c r="AM16" s="51">
        <f t="shared" si="13"/>
        <v>1769.938797</v>
      </c>
      <c r="AN16" s="51" t="str">
        <f t="array" ref="AN16">XLOOKUP(D16,RUC!$B$3:$B$565,RUC!$M$3:$M$565)</f>
        <v>Dante </v>
      </c>
      <c r="AO16" s="131" t="s">
        <v>558</v>
      </c>
      <c r="AP16" s="57" t="s">
        <v>2181</v>
      </c>
      <c r="AQ16" s="57" t="s">
        <v>2182</v>
      </c>
      <c r="AV16" s="160" t="s">
        <v>692</v>
      </c>
      <c r="AW16" s="6">
        <f t="shared" si="15"/>
        <v>0</v>
      </c>
      <c r="AX16" s="6">
        <f t="array" ref="AX16">+SUMPRODUCT(IF($AO$4:$AO$1345=AV16,$L$4:$L$1345*$K$4:$K$1345/AW16))</f>
        <v>0</v>
      </c>
      <c r="AY16" s="145">
        <f t="shared" si="16"/>
        <v>0</v>
      </c>
      <c r="AZ16" s="58">
        <f t="array" ref="AZ16">+SUMPRODUCT(IF('33'!$AO$4:$AO$1237=AV16,('33'!$Q$4:$Q$1237*'33'!$AH$4:$AH$1237)/SUMIF('33'!$AO$4:$AO$1237,#REF!,'33'!$AH$4:$AH$1237)))</f>
        <v>0</v>
      </c>
      <c r="BA16" s="65">
        <f t="shared" si="17"/>
        <v>0</v>
      </c>
      <c r="BB16" s="65">
        <f t="shared" si="18"/>
        <v>0</v>
      </c>
      <c r="BC16" s="58">
        <f t="shared" si="19"/>
        <v>554.534523</v>
      </c>
      <c r="BD16" s="161">
        <f t="shared" si="20"/>
        <v>529.264</v>
      </c>
    </row>
    <row r="17" ht="15.0" customHeight="1">
      <c r="A17" s="116" t="s">
        <v>2250</v>
      </c>
      <c r="B17" s="182">
        <v>45985.0</v>
      </c>
      <c r="C17" s="182">
        <v>45981.0</v>
      </c>
      <c r="D17" s="57" t="s">
        <v>730</v>
      </c>
      <c r="E17" s="3">
        <f t="array" ref="E17">XLOOKUP(D17,RUC!$B$3:$B$110,RUC!$D$3:$D$110)</f>
        <v>20613935151</v>
      </c>
      <c r="G17" s="141" t="s">
        <v>735</v>
      </c>
      <c r="H17" s="3" t="s">
        <v>40</v>
      </c>
      <c r="I17" s="6">
        <v>23.52</v>
      </c>
      <c r="J17" s="58">
        <v>14.92</v>
      </c>
      <c r="K17" s="6">
        <f t="shared" si="2"/>
        <v>20.011</v>
      </c>
      <c r="L17" s="3">
        <v>0.185</v>
      </c>
      <c r="M17" s="60">
        <f t="shared" si="21"/>
        <v>0.167</v>
      </c>
      <c r="N17" s="75">
        <v>0.238</v>
      </c>
      <c r="O17" s="60">
        <f t="shared" si="4"/>
        <v>0.203</v>
      </c>
      <c r="P17" s="63">
        <v>90.0</v>
      </c>
      <c r="Q17" s="458">
        <v>94.59</v>
      </c>
      <c r="R17" s="65">
        <v>4090.6</v>
      </c>
      <c r="S17" s="66">
        <f t="array" ref="S17">IF((XLOOKUP(D17,RUC!$B$3:$B$106,RUC!$E$3:$E$106)+ROUNDDOWN(O17,1)*100)&lt;95,95,((XLOOKUP(D17,RUC!$B$3:$B$106,RUC!$E$3:$E$106)+ROUNDDOWN(O17,1)*100)))</f>
        <v>110</v>
      </c>
      <c r="U17" s="67">
        <f t="array" ref="U17">XLOOKUP(D17,RUC!$B$3:$B$110,RUC!$F$3:$F$110)</f>
        <v>120</v>
      </c>
      <c r="V17" s="67">
        <v>1.1023</v>
      </c>
      <c r="Y17" s="199">
        <v>40.0</v>
      </c>
      <c r="Z17" s="69">
        <f t="array" ref="Z17">XLOOKUP(D17,RUC!$B$3:$B$110,RUC!$H$3:$H$110)</f>
        <v>30</v>
      </c>
      <c r="AA17" s="70">
        <f t="shared" si="5"/>
        <v>70</v>
      </c>
      <c r="AB17" s="71">
        <f t="shared" si="22"/>
        <v>601.2259678</v>
      </c>
      <c r="AC17" s="71">
        <f>+(S17-T17)*V17-'data 1'!$F$4</f>
        <v>41.253</v>
      </c>
      <c r="AD17" s="71">
        <f t="shared" si="6"/>
        <v>37.16553249</v>
      </c>
      <c r="AE17" s="71">
        <f t="shared" si="7"/>
        <v>7.161</v>
      </c>
      <c r="AF17" s="71">
        <f t="shared" si="8"/>
        <v>-74.52014242</v>
      </c>
      <c r="AG17" s="72">
        <f t="shared" si="23"/>
        <v>28.05939007</v>
      </c>
      <c r="AH17" s="193">
        <f t="shared" si="9"/>
        <v>120.059</v>
      </c>
      <c r="AI17" s="193">
        <f t="shared" si="10"/>
        <v>126.926</v>
      </c>
      <c r="AJ17" s="73">
        <f t="shared" si="11"/>
        <v>75.112585</v>
      </c>
      <c r="AK17" s="73">
        <f t="shared" si="12"/>
        <v>125.3477113</v>
      </c>
      <c r="AM17" s="51">
        <f t="shared" si="13"/>
        <v>12031.13284</v>
      </c>
      <c r="AN17" s="51" t="str">
        <f t="array" ref="AN17">XLOOKUP(D17,RUC!$B$3:$B$565,RUC!$M$3:$M$565)</f>
        <v>Dante </v>
      </c>
      <c r="AO17" s="131" t="s">
        <v>558</v>
      </c>
      <c r="AP17" s="57" t="s">
        <v>2251</v>
      </c>
      <c r="AQ17" s="57" t="s">
        <v>2252</v>
      </c>
      <c r="AV17" s="163" t="s">
        <v>693</v>
      </c>
      <c r="AW17" s="165">
        <f t="shared" si="15"/>
        <v>0</v>
      </c>
      <c r="AX17" s="165">
        <f t="array" ref="AX17">+SUMPRODUCT(IF('33'!$AO$4:$AO$1237=AV17,'33'!$L$4:$L$1237*'33'!$K$4:$K$1237/AW17))</f>
        <v>0</v>
      </c>
      <c r="AY17" s="166">
        <f t="shared" si="16"/>
        <v>0</v>
      </c>
      <c r="AZ17" s="168">
        <f t="array" ref="AZ17">+SUMPRODUCT(IF('33'!$AO$4:$AO$1237=AV17,('33'!$Q$4:$Q$1237*'33'!$AH$4:$AH$1237)/SUMIF('33'!$AO$4:$AO$1237,#REF!,'33'!$AH$4:$AH$1237)))</f>
        <v>0</v>
      </c>
      <c r="BA17" s="167">
        <f t="shared" si="17"/>
        <v>0</v>
      </c>
      <c r="BB17" s="167">
        <f t="shared" si="18"/>
        <v>0</v>
      </c>
      <c r="BC17" s="168">
        <f t="shared" si="19"/>
        <v>554.534523</v>
      </c>
      <c r="BD17" s="169">
        <f t="shared" si="20"/>
        <v>529.264</v>
      </c>
    </row>
    <row r="18" ht="15.0" customHeight="1">
      <c r="A18" s="116" t="s">
        <v>2253</v>
      </c>
      <c r="B18" s="182">
        <v>45988.0</v>
      </c>
      <c r="C18" s="182">
        <v>45982.0</v>
      </c>
      <c r="D18" s="57" t="s">
        <v>2166</v>
      </c>
      <c r="E18" s="3">
        <f t="array" ref="E18">XLOOKUP(D18,RUC!$B$3:$B$110,RUC!$D$3:$D$110)</f>
        <v>10408856049</v>
      </c>
      <c r="G18" s="141" t="s">
        <v>735</v>
      </c>
      <c r="H18" s="3" t="s">
        <v>47</v>
      </c>
      <c r="I18" s="6">
        <v>24.33</v>
      </c>
      <c r="J18" s="58">
        <v>3.95</v>
      </c>
      <c r="K18" s="6">
        <f t="shared" si="2"/>
        <v>23.369</v>
      </c>
      <c r="L18" s="141">
        <v>0.123</v>
      </c>
      <c r="M18" s="60">
        <f t="shared" si="21"/>
        <v>0.105</v>
      </c>
      <c r="N18" s="75">
        <v>0.157</v>
      </c>
      <c r="O18" s="60">
        <f t="shared" si="4"/>
        <v>0.131</v>
      </c>
      <c r="P18" s="63">
        <v>85.0</v>
      </c>
      <c r="Q18" s="458">
        <v>97.56</v>
      </c>
      <c r="R18" s="65">
        <v>4072.85</v>
      </c>
      <c r="S18" s="66">
        <f t="array" ref="S18">IF((XLOOKUP(D18,RUC!$B$3:$B$106,RUC!$E$3:$E$106)+ROUNDDOWN(O18,1)*100)&lt;95,95,((XLOOKUP(D18,RUC!$B$3:$B$106,RUC!$E$3:$E$106)+ROUNDDOWN(O18,1)*100)))</f>
        <v>100</v>
      </c>
      <c r="U18" s="67">
        <f t="array" ref="U18">XLOOKUP(D18,RUC!$B$3:$B$110,RUC!$F$3:$F$110)</f>
        <v>120</v>
      </c>
      <c r="V18" s="67">
        <v>1.1023</v>
      </c>
      <c r="Y18" s="199">
        <v>40.0</v>
      </c>
      <c r="Z18" s="69">
        <f t="array" ref="Z18">XLOOKUP(D18,RUC!$B$3:$B$110,RUC!$H$3:$H$110)</f>
        <v>30</v>
      </c>
      <c r="AA18" s="70">
        <f t="shared" si="5"/>
        <v>70</v>
      </c>
      <c r="AB18" s="71">
        <f t="shared" si="22"/>
        <v>297.7861769</v>
      </c>
      <c r="AC18" s="71">
        <f>+(S18-T18)*V18-'data 1'!$F$4</f>
        <v>30.23</v>
      </c>
      <c r="AD18" s="71">
        <f t="shared" si="6"/>
        <v>67.3139216</v>
      </c>
      <c r="AE18" s="71">
        <f t="shared" si="7"/>
        <v>7.161</v>
      </c>
      <c r="AF18" s="71">
        <f t="shared" si="8"/>
        <v>-34.00728182</v>
      </c>
      <c r="AG18" s="72">
        <f t="shared" si="23"/>
        <v>87.69763979</v>
      </c>
      <c r="AH18" s="193">
        <f t="shared" si="9"/>
        <v>96.145</v>
      </c>
      <c r="AI18" s="193">
        <f t="shared" si="10"/>
        <v>98.549</v>
      </c>
      <c r="AJ18" s="73">
        <f t="shared" si="11"/>
        <v>53.85563484</v>
      </c>
      <c r="AK18" s="73">
        <f t="shared" si="12"/>
        <v>89.21531623</v>
      </c>
      <c r="AM18" s="51">
        <f t="shared" si="13"/>
        <v>6958.965168</v>
      </c>
      <c r="AN18" s="51" t="str">
        <f t="array" ref="AN18">XLOOKUP(D18,RUC!$B$3:$B$565,RUC!$M$3:$M$565)</f>
        <v>Richard Sapacayo</v>
      </c>
      <c r="AO18" s="131" t="s">
        <v>558</v>
      </c>
      <c r="AP18" s="57" t="s">
        <v>2194</v>
      </c>
      <c r="AQ18" s="57" t="s">
        <v>2195</v>
      </c>
    </row>
    <row r="19" ht="15.0" customHeight="1">
      <c r="A19" s="192" t="s">
        <v>2254</v>
      </c>
      <c r="B19" s="3"/>
      <c r="C19" s="182">
        <v>45985.0</v>
      </c>
      <c r="D19" s="57" t="s">
        <v>602</v>
      </c>
      <c r="E19" s="3">
        <f t="array" ref="E19">XLOOKUP(D19,RUC!$B$3:$B$110,RUC!$D$3:$D$110)</f>
        <v>20169040231</v>
      </c>
      <c r="G19" s="141">
        <v>90.0</v>
      </c>
      <c r="H19" s="3" t="s">
        <v>47</v>
      </c>
      <c r="I19" s="6">
        <v>9.41</v>
      </c>
      <c r="J19" s="58">
        <v>2.75</v>
      </c>
      <c r="K19" s="6">
        <f t="shared" si="2"/>
        <v>9.151</v>
      </c>
      <c r="L19" s="141">
        <v>0.072</v>
      </c>
      <c r="M19" s="60">
        <f t="shared" si="21"/>
        <v>0.054</v>
      </c>
      <c r="N19" s="62">
        <f t="shared" ref="N19:N20" si="24">+M19</f>
        <v>0.054</v>
      </c>
      <c r="O19" s="60">
        <f t="shared" si="4"/>
        <v>0.054</v>
      </c>
      <c r="P19" s="63">
        <v>90.0</v>
      </c>
      <c r="Q19" s="58">
        <v>95.83</v>
      </c>
      <c r="R19" s="65">
        <v>4082.05</v>
      </c>
      <c r="S19" s="66">
        <f t="array" ref="S19">IF((XLOOKUP(D19,RUC!$B$3:$B$106,RUC!$E$3:$E$106)+ROUNDDOWN(O19,1)*100)&lt;95,95,((XLOOKUP(D19,RUC!$B$3:$B$106,RUC!$E$3:$E$106)+ROUNDDOWN(O19,1)*100)))</f>
        <v>95</v>
      </c>
      <c r="U19" s="67">
        <f t="array" ref="U19">XLOOKUP(D19,RUC!$B$3:$B$110,RUC!$F$3:$F$110)</f>
        <v>120</v>
      </c>
      <c r="V19" s="67">
        <v>1.1023</v>
      </c>
      <c r="Y19" s="57">
        <f t="array" ref="Y19">XLOOKUP(D19,RUC!$B$3:$B$110,RUC!$G$3:$G$110)</f>
        <v>20</v>
      </c>
      <c r="Z19" s="140">
        <v>35.0</v>
      </c>
      <c r="AA19" s="70">
        <f t="shared" si="5"/>
        <v>55</v>
      </c>
      <c r="AB19" s="71">
        <f t="shared" si="22"/>
        <v>46.90907095</v>
      </c>
      <c r="AC19" s="71">
        <f>+(S19-T19)*V19-'data 1'!$F$4</f>
        <v>24.7185</v>
      </c>
      <c r="AD19" s="71">
        <f t="shared" si="6"/>
        <v>18.33246272</v>
      </c>
      <c r="AE19" s="71">
        <f t="shared" si="7"/>
        <v>-9.3735</v>
      </c>
      <c r="AF19" s="71">
        <f t="shared" si="8"/>
        <v>75.33447266</v>
      </c>
      <c r="AG19" s="72">
        <f t="shared" si="23"/>
        <v>126.0119354</v>
      </c>
      <c r="AH19" s="193">
        <f t="shared" si="9"/>
        <v>21.648</v>
      </c>
      <c r="AI19" s="193">
        <f t="shared" si="10"/>
        <v>22.59</v>
      </c>
      <c r="AJ19" s="73">
        <f t="shared" si="11"/>
        <v>30.26650688</v>
      </c>
      <c r="AK19" s="73">
        <f t="shared" si="12"/>
        <v>15.24803548</v>
      </c>
      <c r="AM19" s="51">
        <f t="shared" si="13"/>
        <v>429.2649083</v>
      </c>
      <c r="AN19" s="51" t="str">
        <f t="array" ref="AN19">XLOOKUP(D19,RUC!$B$3:$B$565,RUC!$M$3:$M$565)</f>
        <v>Ronald Miranda</v>
      </c>
      <c r="AO19" s="131" t="s">
        <v>549</v>
      </c>
      <c r="AP19" s="57" t="s">
        <v>2205</v>
      </c>
      <c r="AQ19" s="57" t="s">
        <v>2206</v>
      </c>
    </row>
    <row r="20" ht="15.0" customHeight="1">
      <c r="A20" s="116" t="s">
        <v>2255</v>
      </c>
      <c r="B20" s="182">
        <v>45994.0</v>
      </c>
      <c r="C20" s="182">
        <v>45985.0</v>
      </c>
      <c r="D20" s="57" t="s">
        <v>665</v>
      </c>
      <c r="E20" s="3">
        <f t="array" ref="E20">XLOOKUP(D20,RUC!$B$3:$B$110,RUC!$D$3:$D$110)</f>
        <v>20608774000</v>
      </c>
      <c r="G20" s="141">
        <v>42.0</v>
      </c>
      <c r="H20" s="3" t="s">
        <v>40</v>
      </c>
      <c r="I20" s="6">
        <v>3.09</v>
      </c>
      <c r="J20" s="58">
        <v>29.71</v>
      </c>
      <c r="K20" s="6">
        <f t="shared" si="2"/>
        <v>2.172</v>
      </c>
      <c r="L20" s="141">
        <v>11.622</v>
      </c>
      <c r="M20" s="79">
        <v>10.721</v>
      </c>
      <c r="N20" s="62">
        <f t="shared" si="24"/>
        <v>10.721</v>
      </c>
      <c r="O20" s="61">
        <v>11.695</v>
      </c>
      <c r="P20" s="201">
        <v>85.0</v>
      </c>
      <c r="Q20" s="58">
        <v>82.56</v>
      </c>
      <c r="R20" s="65">
        <v>4082.05</v>
      </c>
      <c r="S20" s="66">
        <f t="array" ref="S20">IF((XLOOKUP(D20,RUC!$B$3:$B$106,RUC!$E$3:$E$106)+ROUNDDOWN(O20,1)*100)&lt;95,95,((XLOOKUP(D20,RUC!$B$3:$B$106,RUC!$E$3:$E$106)+ROUNDDOWN(O20,1)*100)))</f>
        <v>1245</v>
      </c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140">
        <v>35.0</v>
      </c>
      <c r="AA20" s="70">
        <f t="shared" si="5"/>
        <v>55</v>
      </c>
      <c r="AB20" s="71">
        <f t="shared" si="22"/>
        <v>41981.92061</v>
      </c>
      <c r="AC20" s="71">
        <f>+(S20-T20)*V20-'data 1'!$F$4</f>
        <v>1292.3635</v>
      </c>
      <c r="AD20" s="71">
        <f t="shared" si="6"/>
        <v>-1238.484161</v>
      </c>
      <c r="AE20" s="71">
        <f t="shared" si="7"/>
        <v>-9.3735</v>
      </c>
      <c r="AF20" s="71">
        <f t="shared" si="8"/>
        <v>-263.2160113</v>
      </c>
      <c r="AG20" s="72">
        <f t="shared" si="23"/>
        <v>-201.7101724</v>
      </c>
      <c r="AH20" s="193">
        <f t="shared" si="9"/>
        <v>714.528</v>
      </c>
      <c r="AI20" s="193">
        <f t="shared" si="10"/>
        <v>865.466</v>
      </c>
      <c r="AJ20" s="73">
        <f t="shared" si="11"/>
        <v>4208.999478</v>
      </c>
      <c r="AK20" s="73">
        <f t="shared" si="12"/>
        <v>740.2664076</v>
      </c>
      <c r="AM20" s="51">
        <f t="shared" si="13"/>
        <v>91184.73157</v>
      </c>
      <c r="AN20" s="51" t="str">
        <f t="array" ref="AN20">XLOOKUP(D20,RUC!$B$3:$B$565,RUC!$M$3:$M$565)</f>
        <v>Ronald Miranda</v>
      </c>
      <c r="AO20" s="131" t="s">
        <v>558</v>
      </c>
      <c r="AP20" s="57" t="s">
        <v>2256</v>
      </c>
      <c r="AQ20" s="57" t="s">
        <v>2257</v>
      </c>
      <c r="AR20" s="2" t="s">
        <v>2258</v>
      </c>
      <c r="AV20" s="149" t="s">
        <v>2081</v>
      </c>
      <c r="AW20" s="150"/>
      <c r="AX20" s="150"/>
      <c r="AY20" s="150"/>
      <c r="AZ20" s="150"/>
      <c r="BA20" s="151"/>
    </row>
    <row r="21" ht="15.0" customHeight="1">
      <c r="A21" s="116" t="s">
        <v>2259</v>
      </c>
      <c r="B21" s="182">
        <v>45994.0</v>
      </c>
      <c r="C21" s="182">
        <v>45985.0</v>
      </c>
      <c r="D21" s="57" t="s">
        <v>665</v>
      </c>
      <c r="E21" s="3">
        <f t="array" ref="E21">XLOOKUP(D21,RUC!$B$3:$B$110,RUC!$D$3:$D$110)</f>
        <v>20608774000</v>
      </c>
      <c r="G21" s="141">
        <v>51.0</v>
      </c>
      <c r="H21" s="3" t="s">
        <v>40</v>
      </c>
      <c r="I21" s="6">
        <v>3.5</v>
      </c>
      <c r="J21" s="58">
        <v>32.85</v>
      </c>
      <c r="K21" s="6">
        <f t="shared" si="2"/>
        <v>2.35</v>
      </c>
      <c r="L21" s="141">
        <v>3.139</v>
      </c>
      <c r="M21" s="60">
        <f t="shared" ref="M21:M87" si="25">ROUND(+IF(AN21="Melchor Vera",IF(L21&gt;0.467,L21*0.985,(L21-0.007)),IF(L21&gt;0.3,L21*0.94,(L21-0.018))),3)</f>
        <v>2.951</v>
      </c>
      <c r="N21" s="75">
        <v>3.169</v>
      </c>
      <c r="O21" s="60">
        <f t="shared" ref="O21:O87" si="26">+ROUND((M21+N21)/2,3)</f>
        <v>3.06</v>
      </c>
      <c r="P21" s="201">
        <v>81.0</v>
      </c>
      <c r="Q21" s="58">
        <v>77.32</v>
      </c>
      <c r="R21" s="65">
        <v>4082.05</v>
      </c>
      <c r="S21" s="66">
        <f t="array" ref="S21">IF((XLOOKUP(D21,RUC!$B$3:$B$106,RUC!$E$3:$E$106)+ROUNDDOWN(O21,1)*100)&lt;95,95,((XLOOKUP(D21,RUC!$B$3:$B$106,RUC!$E$3:$E$106)+ROUNDDOWN(O21,1)*100)))</f>
        <v>385</v>
      </c>
      <c r="U21" s="67">
        <f t="array" ref="U21">XLOOKUP(D21,RUC!$B$3:$B$110,RUC!$F$3:$F$110)</f>
        <v>120</v>
      </c>
      <c r="V21" s="67">
        <v>1.1023</v>
      </c>
      <c r="Y21" s="57">
        <f t="array" ref="Y21">XLOOKUP(D21,RUC!$B$3:$B$110,RUC!$G$3:$G$110)</f>
        <v>20</v>
      </c>
      <c r="Z21" s="140">
        <v>35.0</v>
      </c>
      <c r="AA21" s="70">
        <f t="shared" si="5"/>
        <v>55</v>
      </c>
      <c r="AB21" s="71">
        <f t="shared" si="22"/>
        <v>10339.94562</v>
      </c>
      <c r="AC21" s="71">
        <f>+(S21-T21)*V21-'data 1'!$F$4</f>
        <v>344.3855</v>
      </c>
      <c r="AD21" s="71">
        <f t="shared" si="6"/>
        <v>-504.4973551</v>
      </c>
      <c r="AE21" s="71">
        <f t="shared" si="7"/>
        <v>-9.3735</v>
      </c>
      <c r="AF21" s="71">
        <f t="shared" si="8"/>
        <v>266.7710487</v>
      </c>
      <c r="AG21" s="72">
        <f t="shared" si="23"/>
        <v>114.2856936</v>
      </c>
      <c r="AH21" s="193">
        <f t="shared" si="9"/>
        <v>195.551</v>
      </c>
      <c r="AI21" s="193">
        <f t="shared" si="10"/>
        <v>252.911</v>
      </c>
      <c r="AJ21" s="73">
        <f t="shared" si="11"/>
        <v>1064.661323</v>
      </c>
      <c r="AK21" s="73">
        <f t="shared" si="12"/>
        <v>199.7024426</v>
      </c>
      <c r="AM21" s="51">
        <f t="shared" si="13"/>
        <v>24298.8722</v>
      </c>
      <c r="AN21" s="51" t="str">
        <f t="array" ref="AN21">XLOOKUP(D21,RUC!$B$3:$B$565,RUC!$M$3:$M$565)</f>
        <v>Ronald Miranda</v>
      </c>
      <c r="AO21" s="131" t="s">
        <v>551</v>
      </c>
      <c r="AP21" s="57" t="s">
        <v>2256</v>
      </c>
      <c r="AQ21" s="57" t="s">
        <v>2257</v>
      </c>
      <c r="AR21" s="57" t="s">
        <v>2211</v>
      </c>
      <c r="BA21" s="203">
        <f>SUM(BA23:BA32)</f>
        <v>0</v>
      </c>
    </row>
    <row r="22" ht="15.0" customHeight="1">
      <c r="A22" s="116" t="s">
        <v>2260</v>
      </c>
      <c r="B22" s="182">
        <v>45994.0</v>
      </c>
      <c r="C22" s="182">
        <v>45985.0</v>
      </c>
      <c r="D22" s="57" t="s">
        <v>665</v>
      </c>
      <c r="E22" s="3">
        <f t="array" ref="E22">XLOOKUP(D22,RUC!$B$3:$B$110,RUC!$D$3:$D$110)</f>
        <v>20608774000</v>
      </c>
      <c r="G22" s="141">
        <v>29.0</v>
      </c>
      <c r="H22" s="3" t="s">
        <v>40</v>
      </c>
      <c r="I22" s="6">
        <v>2.0</v>
      </c>
      <c r="J22" s="58">
        <v>29.6</v>
      </c>
      <c r="K22" s="6">
        <f t="shared" si="2"/>
        <v>1.408</v>
      </c>
      <c r="L22" s="141">
        <v>2.613</v>
      </c>
      <c r="M22" s="60">
        <f t="shared" si="25"/>
        <v>2.456</v>
      </c>
      <c r="N22" s="75">
        <v>2.64</v>
      </c>
      <c r="O22" s="60">
        <f t="shared" si="26"/>
        <v>2.548</v>
      </c>
      <c r="P22" s="201">
        <v>80.0</v>
      </c>
      <c r="Q22" s="58">
        <v>80.66</v>
      </c>
      <c r="R22" s="65">
        <v>4082.05</v>
      </c>
      <c r="S22" s="66">
        <f t="array" ref="S22">IF((XLOOKUP(D22,RUC!$B$3:$B$106,RUC!$E$3:$E$106)+ROUNDDOWN(O22,1)*100)&lt;95,95,((XLOOKUP(D22,RUC!$B$3:$B$106,RUC!$E$3:$E$106)+ROUNDDOWN(O22,1)*100)))</f>
        <v>335</v>
      </c>
      <c r="U22" s="67">
        <f t="array" ref="U22">XLOOKUP(D22,RUC!$B$3:$B$110,RUC!$F$3:$F$110)</f>
        <v>120</v>
      </c>
      <c r="V22" s="67">
        <v>1.1023</v>
      </c>
      <c r="Y22" s="57">
        <f t="array" ref="Y22">XLOOKUP(D22,RUC!$B$3:$B$110,RUC!$G$3:$G$110)</f>
        <v>20</v>
      </c>
      <c r="Z22" s="140">
        <v>35.0</v>
      </c>
      <c r="AA22" s="70">
        <f t="shared" si="5"/>
        <v>55</v>
      </c>
      <c r="AB22" s="71">
        <f t="shared" si="22"/>
        <v>8472.54535</v>
      </c>
      <c r="AC22" s="71">
        <f>+(S22-T22)*V22-'data 1'!$F$4</f>
        <v>289.2705</v>
      </c>
      <c r="AD22" s="71">
        <f t="shared" si="6"/>
        <v>75.31875014</v>
      </c>
      <c r="AE22" s="71">
        <f t="shared" si="7"/>
        <v>-9.3735</v>
      </c>
      <c r="AF22" s="71">
        <f t="shared" si="8"/>
        <v>228.9767219</v>
      </c>
      <c r="AG22" s="72">
        <f t="shared" si="23"/>
        <v>601.1924721</v>
      </c>
      <c r="AH22" s="193">
        <f t="shared" si="9"/>
        <v>101.744</v>
      </c>
      <c r="AI22" s="193">
        <f t="shared" si="10"/>
        <v>126.14</v>
      </c>
      <c r="AJ22" s="73">
        <f t="shared" si="11"/>
        <v>924.5405073</v>
      </c>
      <c r="AK22" s="73">
        <f t="shared" si="12"/>
        <v>98.40136768</v>
      </c>
      <c r="AM22" s="51">
        <f t="shared" si="13"/>
        <v>11929.34385</v>
      </c>
      <c r="AN22" s="51" t="str">
        <f t="array" ref="AN22">XLOOKUP(D22,RUC!$B$3:$B$565,RUC!$M$3:$M$565)</f>
        <v>Ronald Miranda</v>
      </c>
      <c r="AO22" s="131" t="s">
        <v>551</v>
      </c>
      <c r="AP22" s="57" t="s">
        <v>2256</v>
      </c>
      <c r="AQ22" s="57" t="s">
        <v>2257</v>
      </c>
      <c r="AR22" s="57" t="s">
        <v>2211</v>
      </c>
      <c r="AV22" s="3"/>
      <c r="AW22" s="3" t="s">
        <v>14</v>
      </c>
      <c r="AX22" s="3" t="s">
        <v>683</v>
      </c>
      <c r="AY22" s="3" t="s">
        <v>686</v>
      </c>
      <c r="AZ22" s="204" t="s">
        <v>700</v>
      </c>
      <c r="BA22" s="3" t="s">
        <v>687</v>
      </c>
    </row>
    <row r="23" ht="15.0" customHeight="1">
      <c r="A23" s="116" t="s">
        <v>2261</v>
      </c>
      <c r="B23" s="182">
        <v>45992.0</v>
      </c>
      <c r="C23" s="182">
        <v>45986.0</v>
      </c>
      <c r="D23" s="57" t="s">
        <v>306</v>
      </c>
      <c r="E23" s="3">
        <f t="array" ref="E23">XLOOKUP(D23,RUC!$B$3:$B$110,RUC!$D$3:$D$110)</f>
        <v>20612921866</v>
      </c>
      <c r="G23" s="141" t="s">
        <v>735</v>
      </c>
      <c r="H23" s="3" t="s">
        <v>47</v>
      </c>
      <c r="I23" s="6">
        <v>10.17</v>
      </c>
      <c r="J23" s="58">
        <v>1.25</v>
      </c>
      <c r="K23" s="6">
        <f t="shared" si="2"/>
        <v>10.043</v>
      </c>
      <c r="L23" s="141">
        <v>0.158</v>
      </c>
      <c r="M23" s="60">
        <f t="shared" si="25"/>
        <v>0.14</v>
      </c>
      <c r="N23" s="62">
        <f t="shared" ref="N23:N31" si="27">+M23</f>
        <v>0.14</v>
      </c>
      <c r="O23" s="60">
        <f t="shared" si="26"/>
        <v>0.14</v>
      </c>
      <c r="P23" s="63">
        <v>85.0</v>
      </c>
      <c r="Q23" s="58">
        <v>94.3</v>
      </c>
      <c r="R23" s="65">
        <v>4126.45</v>
      </c>
      <c r="S23" s="66">
        <f t="array" ref="S23">IF((XLOOKUP(D23,RUC!$B$3:$B$106,RUC!$E$3:$E$106)+ROUNDDOWN(O23,1)*100)&lt;95,95,((XLOOKUP(D23,RUC!$B$3:$B$106,RUC!$E$3:$E$106)+ROUNDDOWN(O23,1)*100)))</f>
        <v>95</v>
      </c>
      <c r="U23" s="67">
        <f t="array" ref="U23">XLOOKUP(D23,RUC!$B$3:$B$110,RUC!$F$3:$F$110)</f>
        <v>100</v>
      </c>
      <c r="V23" s="67">
        <v>1.1023</v>
      </c>
      <c r="Y23" s="57" t="str">
        <f t="array" ref="Y23">XLOOKUP(D23,RUC!$B$3:$B$110,RUC!$G$3:$G$110)</f>
        <v/>
      </c>
      <c r="Z23" s="69">
        <f t="array" ref="Z23">XLOOKUP(D23,RUC!$B$3:$B$110,RUC!$H$3:$H$110)</f>
        <v>30</v>
      </c>
      <c r="AA23" s="70">
        <f t="shared" si="5"/>
        <v>30</v>
      </c>
      <c r="AB23" s="71">
        <f t="shared" si="22"/>
        <v>390.3768444</v>
      </c>
      <c r="AC23" s="71">
        <f>+(S23-T23)*V23-'data 1'!$F$4</f>
        <v>24.7185</v>
      </c>
      <c r="AD23" s="71">
        <f t="shared" si="6"/>
        <v>65.21720064</v>
      </c>
      <c r="AE23" s="71">
        <f t="shared" si="7"/>
        <v>-36.931</v>
      </c>
      <c r="AF23" s="71">
        <f t="shared" si="8"/>
        <v>75.33665194</v>
      </c>
      <c r="AG23" s="72">
        <f>AC23+AD23+AE23+AF23+70-10</f>
        <v>188.3413526</v>
      </c>
      <c r="AH23" s="193">
        <f t="shared" si="9"/>
        <v>51.303</v>
      </c>
      <c r="AI23" s="193">
        <f t="shared" si="10"/>
        <v>54.404</v>
      </c>
      <c r="AJ23" s="73">
        <f t="shared" si="11"/>
        <v>54.78094655</v>
      </c>
      <c r="AK23" s="73">
        <f t="shared" si="12"/>
        <v>40.97505011</v>
      </c>
      <c r="AL23" s="11"/>
      <c r="AM23" s="51">
        <f t="shared" si="13"/>
        <v>3920.554648</v>
      </c>
      <c r="AN23" s="51" t="str">
        <f t="array" ref="AN23">XLOOKUP(D23,RUC!$B$3:$B$565,RUC!$M$3:$M$565)</f>
        <v>Ronald Garibay</v>
      </c>
      <c r="AO23" s="131" t="s">
        <v>551</v>
      </c>
      <c r="AP23" s="57" t="s">
        <v>2262</v>
      </c>
      <c r="AQ23" s="57" t="s">
        <v>2263</v>
      </c>
      <c r="AV23" s="152" t="s">
        <v>558</v>
      </c>
      <c r="AW23" s="154">
        <f t="shared" ref="AW23:AW32" si="28">SUMIF($AO$4:$AO$1345,AV23,$K$4:$K$1345)</f>
        <v>155.019</v>
      </c>
      <c r="AX23" s="154">
        <v>0.264</v>
      </c>
      <c r="AY23" s="157">
        <f t="shared" ref="AY23:AY32" si="29">AW23*AX23*31.1035*1.1023</f>
        <v>1403.130055</v>
      </c>
      <c r="AZ23" s="58"/>
      <c r="BA23" s="159">
        <f t="shared" ref="BA23:BA32" si="30">AY23*AZ23/100</f>
        <v>0</v>
      </c>
      <c r="BB23" s="449" t="s">
        <v>2264</v>
      </c>
      <c r="BC23" s="450">
        <f>+BB6</f>
        <v>5082.384</v>
      </c>
    </row>
    <row r="24" ht="15.0" customHeight="1">
      <c r="A24" s="116" t="s">
        <v>2265</v>
      </c>
      <c r="B24" s="182">
        <v>45992.0</v>
      </c>
      <c r="C24" s="182">
        <v>45986.0</v>
      </c>
      <c r="D24" s="57" t="s">
        <v>602</v>
      </c>
      <c r="E24" s="3">
        <f t="array" ref="E24">XLOOKUP(D24,RUC!$B$3:$B$110,RUC!$D$3:$D$110)</f>
        <v>20169040231</v>
      </c>
      <c r="G24" s="141">
        <v>26.0</v>
      </c>
      <c r="H24" s="3" t="s">
        <v>47</v>
      </c>
      <c r="I24" s="6">
        <v>2.31</v>
      </c>
      <c r="J24" s="58">
        <v>1.2</v>
      </c>
      <c r="K24" s="6">
        <f t="shared" si="2"/>
        <v>2.282</v>
      </c>
      <c r="L24" s="141">
        <v>0.784</v>
      </c>
      <c r="M24" s="60">
        <f t="shared" si="25"/>
        <v>0.737</v>
      </c>
      <c r="N24" s="62">
        <f t="shared" si="27"/>
        <v>0.737</v>
      </c>
      <c r="O24" s="60">
        <f t="shared" si="26"/>
        <v>0.737</v>
      </c>
      <c r="P24" s="63">
        <v>90.0</v>
      </c>
      <c r="Q24" s="58">
        <v>94.01</v>
      </c>
      <c r="R24" s="65">
        <v>4126.45</v>
      </c>
      <c r="S24" s="66">
        <f t="array" ref="S24">IF((XLOOKUP(D24,RUC!$B$3:$B$106,RUC!$E$3:$E$106)+ROUNDDOWN(O24,1)*100)&lt;95,95,((XLOOKUP(D24,RUC!$B$3:$B$106,RUC!$E$3:$E$106)+ROUNDDOWN(O24,1)*100)))</f>
        <v>155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140">
        <v>35.0</v>
      </c>
      <c r="AA24" s="70">
        <f t="shared" si="5"/>
        <v>55</v>
      </c>
      <c r="AB24" s="71">
        <f t="shared" si="22"/>
        <v>2697.855314</v>
      </c>
      <c r="AC24" s="71">
        <f>+(S24-T24)*V24-'data 1'!$F$4</f>
        <v>90.8565</v>
      </c>
      <c r="AD24" s="71">
        <f t="shared" si="6"/>
        <v>138.8417151</v>
      </c>
      <c r="AE24" s="71">
        <f t="shared" si="7"/>
        <v>-9.3735</v>
      </c>
      <c r="AF24" s="71">
        <f t="shared" si="8"/>
        <v>195.1333252</v>
      </c>
      <c r="AG24" s="72">
        <f t="shared" ref="AG24:AG25" si="31">AC24+AD24+AE24+AF24+70-53</f>
        <v>432.4580403</v>
      </c>
      <c r="AH24" s="193">
        <f t="shared" si="9"/>
        <v>57.665</v>
      </c>
      <c r="AI24" s="193">
        <f t="shared" si="10"/>
        <v>61.34</v>
      </c>
      <c r="AJ24" s="73">
        <f t="shared" si="11"/>
        <v>287.2372528</v>
      </c>
      <c r="AK24" s="73">
        <f t="shared" si="12"/>
        <v>51.89609819</v>
      </c>
      <c r="AM24" s="51">
        <f t="shared" si="13"/>
        <v>6156.505826</v>
      </c>
      <c r="AN24" s="51" t="str">
        <f t="array" ref="AN24">XLOOKUP(D24,RUC!$B$3:$B$565,RUC!$M$3:$M$565)</f>
        <v>Ronald Miranda</v>
      </c>
      <c r="AO24" s="131" t="s">
        <v>551</v>
      </c>
      <c r="AP24" s="57" t="s">
        <v>2266</v>
      </c>
      <c r="AQ24" s="57" t="s">
        <v>2267</v>
      </c>
      <c r="AV24" s="160" t="s">
        <v>551</v>
      </c>
      <c r="AW24" s="6">
        <f t="shared" si="28"/>
        <v>92.528</v>
      </c>
      <c r="AX24" s="6">
        <v>0.216</v>
      </c>
      <c r="AY24" s="58">
        <f t="shared" si="29"/>
        <v>685.2294113</v>
      </c>
      <c r="AZ24" s="58"/>
      <c r="BA24" s="162">
        <f t="shared" si="30"/>
        <v>0</v>
      </c>
      <c r="BB24" s="451" t="s">
        <v>2268</v>
      </c>
      <c r="BC24" s="452">
        <f>+'32'!BC26+'32'!BC27</f>
        <v>1126.339</v>
      </c>
    </row>
    <row r="25" ht="15.0" customHeight="1">
      <c r="A25" s="116" t="s">
        <v>2269</v>
      </c>
      <c r="B25" s="182">
        <v>45991.0</v>
      </c>
      <c r="C25" s="182">
        <v>45986.0</v>
      </c>
      <c r="D25" s="57" t="s">
        <v>602</v>
      </c>
      <c r="E25" s="3">
        <f t="array" ref="E25">XLOOKUP(D25,RUC!$B$3:$B$110,RUC!$D$3:$D$110)</f>
        <v>20169040231</v>
      </c>
      <c r="G25" s="141">
        <v>22.0</v>
      </c>
      <c r="H25" s="3" t="s">
        <v>47</v>
      </c>
      <c r="I25" s="6">
        <v>1.95</v>
      </c>
      <c r="J25" s="58">
        <v>1.15</v>
      </c>
      <c r="K25" s="6">
        <f t="shared" si="2"/>
        <v>1.928</v>
      </c>
      <c r="L25" s="141">
        <v>0.266</v>
      </c>
      <c r="M25" s="60">
        <f t="shared" si="25"/>
        <v>0.248</v>
      </c>
      <c r="N25" s="62">
        <f t="shared" si="27"/>
        <v>0.248</v>
      </c>
      <c r="O25" s="60">
        <f t="shared" si="26"/>
        <v>0.248</v>
      </c>
      <c r="P25" s="63">
        <v>90.0</v>
      </c>
      <c r="Q25" s="58">
        <v>91.35</v>
      </c>
      <c r="R25" s="65">
        <v>4126.45</v>
      </c>
      <c r="S25" s="66">
        <f t="array" ref="S25">IF((XLOOKUP(D25,RUC!$B$3:$B$106,RUC!$E$3:$E$106)+ROUNDDOWN(O25,1)*100)&lt;95,95,((XLOOKUP(D25,RUC!$B$3:$B$106,RUC!$E$3:$E$106)+ROUNDDOWN(O25,1)*100)))</f>
        <v>105</v>
      </c>
      <c r="U25" s="67">
        <f t="array" ref="U25">XLOOKUP(D25,RUC!$B$3:$B$110,RUC!$F$3:$F$110)</f>
        <v>120</v>
      </c>
      <c r="V25" s="67">
        <v>1.1023</v>
      </c>
      <c r="Y25" s="57">
        <f t="array" ref="Y25">XLOOKUP(D25,RUC!$B$3:$B$110,RUC!$G$3:$G$110)</f>
        <v>20</v>
      </c>
      <c r="Z25" s="140">
        <v>35.0</v>
      </c>
      <c r="AA25" s="70">
        <f t="shared" si="5"/>
        <v>55</v>
      </c>
      <c r="AB25" s="71">
        <f t="shared" si="22"/>
        <v>809.3523552</v>
      </c>
      <c r="AC25" s="71">
        <f>+(S25-T25)*V25-'data 1'!$F$4</f>
        <v>35.7415</v>
      </c>
      <c r="AD25" s="71">
        <f t="shared" si="6"/>
        <v>15.85896862</v>
      </c>
      <c r="AE25" s="71">
        <f t="shared" si="7"/>
        <v>-9.3735</v>
      </c>
      <c r="AF25" s="71">
        <f t="shared" si="8"/>
        <v>72.61738262</v>
      </c>
      <c r="AG25" s="72">
        <f t="shared" si="31"/>
        <v>131.8443512</v>
      </c>
      <c r="AH25" s="193">
        <f t="shared" si="9"/>
        <v>16.062</v>
      </c>
      <c r="AI25" s="193">
        <f t="shared" si="10"/>
        <v>17.583</v>
      </c>
      <c r="AJ25" s="73">
        <f t="shared" si="11"/>
        <v>94.69800663</v>
      </c>
      <c r="AK25" s="73">
        <f t="shared" si="12"/>
        <v>14.75401733</v>
      </c>
      <c r="AM25" s="51">
        <f t="shared" si="13"/>
        <v>1560.431341</v>
      </c>
      <c r="AN25" s="51" t="str">
        <f t="array" ref="AN25">XLOOKUP(D25,RUC!$B$3:$B$565,RUC!$M$3:$M$565)</f>
        <v>Ronald Miranda</v>
      </c>
      <c r="AO25" s="131" t="s">
        <v>561</v>
      </c>
      <c r="AP25" s="57" t="s">
        <v>2266</v>
      </c>
      <c r="AQ25" s="57" t="s">
        <v>2267</v>
      </c>
      <c r="AV25" s="160" t="s">
        <v>547</v>
      </c>
      <c r="AW25" s="6">
        <f t="shared" si="28"/>
        <v>113.645</v>
      </c>
      <c r="AX25" s="6">
        <v>0.181</v>
      </c>
      <c r="AY25" s="58">
        <f t="shared" si="29"/>
        <v>705.2416894</v>
      </c>
      <c r="AZ25" s="58"/>
      <c r="BA25" s="162">
        <f t="shared" si="30"/>
        <v>0</v>
      </c>
      <c r="BB25" s="454" t="s">
        <v>2270</v>
      </c>
      <c r="BC25" s="459">
        <v>5116.38</v>
      </c>
    </row>
    <row r="26" ht="15.0" customHeight="1">
      <c r="A26" s="192" t="s">
        <v>2271</v>
      </c>
      <c r="B26" s="194">
        <v>45991.0</v>
      </c>
      <c r="C26" s="182">
        <v>45986.0</v>
      </c>
      <c r="D26" s="57" t="s">
        <v>2222</v>
      </c>
      <c r="E26" s="3" t="str">
        <f t="array" ref="E26">XLOOKUP(D26,RUC!$B$3:$B$110,RUC!$D$3:$D$110)</f>
        <v>20601769396*</v>
      </c>
      <c r="G26" s="141">
        <v>32.0</v>
      </c>
      <c r="H26" s="3" t="s">
        <v>40</v>
      </c>
      <c r="I26" s="6">
        <v>0.77</v>
      </c>
      <c r="J26" s="58">
        <v>17.81</v>
      </c>
      <c r="K26" s="6">
        <f t="shared" si="2"/>
        <v>0.633</v>
      </c>
      <c r="L26" s="141">
        <v>0.109</v>
      </c>
      <c r="M26" s="60">
        <f t="shared" si="25"/>
        <v>0.091</v>
      </c>
      <c r="N26" s="62">
        <f t="shared" si="27"/>
        <v>0.091</v>
      </c>
      <c r="O26" s="60">
        <f t="shared" si="26"/>
        <v>0.091</v>
      </c>
      <c r="P26" s="63">
        <v>80.0</v>
      </c>
      <c r="Q26" s="58">
        <v>80.39</v>
      </c>
      <c r="R26" s="65">
        <v>4126.45</v>
      </c>
      <c r="S26" s="66">
        <f t="array" ref="S26">IF((XLOOKUP(D26,RUC!$B$3:$B$106,RUC!$E$3:$E$106)+ROUNDDOWN(O26,1)*100)&lt;95,95,((XLOOKUP(D26,RUC!$B$3:$B$106,RUC!$E$3:$E$106)+ROUNDDOWN(O26,1)*100)))</f>
        <v>95</v>
      </c>
      <c r="U26" s="67">
        <f t="array" ref="U26">XLOOKUP(D26,RUC!$B$3:$B$110,RUC!$F$3:$F$110)</f>
        <v>120</v>
      </c>
      <c r="V26" s="67">
        <v>1.1023</v>
      </c>
      <c r="Y26" s="57">
        <f t="array" ref="Y26">XLOOKUP(D26,RUC!$B$3:$B$110,RUC!$G$3:$G$110)</f>
        <v>20</v>
      </c>
      <c r="Z26" s="69">
        <f t="array" ref="Z26">XLOOKUP(D26,RUC!$B$3:$B$110,RUC!$H$3:$H$110)</f>
        <v>30</v>
      </c>
      <c r="AA26" s="70">
        <f t="shared" si="5"/>
        <v>50</v>
      </c>
      <c r="AB26" s="71">
        <v>0.001</v>
      </c>
      <c r="AC26" s="71">
        <f>+(S26-T26)*V26-'data 1'!$F$4</f>
        <v>24.7185</v>
      </c>
      <c r="AD26" s="71">
        <f t="shared" si="6"/>
        <v>1.877373311</v>
      </c>
      <c r="AE26" s="71">
        <f t="shared" si="7"/>
        <v>-14.885</v>
      </c>
      <c r="AF26" s="71">
        <f t="shared" si="8"/>
        <v>63.90488657</v>
      </c>
      <c r="AG26" s="72">
        <f>AC26+AD26+AE26+AF26+70-53+161.67</f>
        <v>254.2857599</v>
      </c>
      <c r="AH26" s="193">
        <f t="shared" si="9"/>
        <v>1.902</v>
      </c>
      <c r="AI26" s="193">
        <f t="shared" si="10"/>
        <v>2.366</v>
      </c>
      <c r="AJ26" s="73">
        <f t="shared" si="11"/>
        <v>34.14909318</v>
      </c>
      <c r="AK26" s="73">
        <f t="shared" si="12"/>
        <v>1.579952966</v>
      </c>
      <c r="AM26" s="51">
        <f t="shared" si="13"/>
        <v>0.000633</v>
      </c>
      <c r="AN26" s="51" t="str">
        <f t="array" ref="AN26">XLOOKUP(D26,RUC!$B$3:$B$565,RUC!$M$3:$M$565)</f>
        <v>Zudaire</v>
      </c>
      <c r="AO26" s="131" t="s">
        <v>558</v>
      </c>
      <c r="AP26" s="2" t="s">
        <v>2223</v>
      </c>
      <c r="AQ26" s="57" t="s">
        <v>2224</v>
      </c>
      <c r="AV26" s="160" t="s">
        <v>549</v>
      </c>
      <c r="AW26" s="6">
        <f t="shared" si="28"/>
        <v>104.905</v>
      </c>
      <c r="AX26" s="6">
        <v>0.162</v>
      </c>
      <c r="AY26" s="58">
        <f t="shared" si="29"/>
        <v>582.6667986</v>
      </c>
      <c r="AZ26" s="58"/>
      <c r="BA26" s="162">
        <f t="shared" si="30"/>
        <v>0</v>
      </c>
      <c r="BB26" s="454" t="s">
        <v>2272</v>
      </c>
      <c r="BC26" s="459">
        <v>1009.085</v>
      </c>
    </row>
    <row r="27" ht="15.0" customHeight="1">
      <c r="A27" s="116" t="s">
        <v>2273</v>
      </c>
      <c r="B27" s="182">
        <v>45991.0</v>
      </c>
      <c r="C27" s="182">
        <v>45988.0</v>
      </c>
      <c r="D27" s="57" t="s">
        <v>306</v>
      </c>
      <c r="E27" s="3">
        <f t="array" ref="E27">XLOOKUP(D27,RUC!$B$3:$B$110,RUC!$D$3:$D$110)</f>
        <v>20612921866</v>
      </c>
      <c r="G27" s="141">
        <v>50.0</v>
      </c>
      <c r="H27" s="3" t="s">
        <v>47</v>
      </c>
      <c r="I27" s="6">
        <v>5.33</v>
      </c>
      <c r="J27" s="58">
        <v>1.5</v>
      </c>
      <c r="K27" s="6">
        <f t="shared" si="2"/>
        <v>5.25</v>
      </c>
      <c r="L27" s="141">
        <v>0.314</v>
      </c>
      <c r="M27" s="60">
        <f t="shared" si="25"/>
        <v>0.295</v>
      </c>
      <c r="N27" s="62">
        <f t="shared" si="27"/>
        <v>0.295</v>
      </c>
      <c r="O27" s="60">
        <f t="shared" si="26"/>
        <v>0.295</v>
      </c>
      <c r="P27" s="63">
        <v>90.0</v>
      </c>
      <c r="Q27" s="58">
        <v>94.9</v>
      </c>
      <c r="R27" s="65">
        <v>4153.95</v>
      </c>
      <c r="S27" s="66">
        <f t="array" ref="S27">IF((XLOOKUP(D27,RUC!$B$3:$B$106,RUC!$E$3:$E$106)+ROUNDDOWN(O27,1)*100)&lt;95,95,((XLOOKUP(D27,RUC!$B$3:$B$106,RUC!$E$3:$E$106)+ROUNDDOWN(O27,1)*100)))</f>
        <v>100</v>
      </c>
      <c r="U27" s="67">
        <f t="array" ref="U27">XLOOKUP(D27,RUC!$B$3:$B$110,RUC!$F$3:$F$110)</f>
        <v>100</v>
      </c>
      <c r="V27" s="67">
        <v>1.1023</v>
      </c>
      <c r="Y27" s="57" t="str">
        <f t="array" ref="Y27">XLOOKUP(D27,RUC!$B$3:$B$110,RUC!$G$3:$G$110)</f>
        <v/>
      </c>
      <c r="Z27" s="69">
        <f t="array" ref="Z27">XLOOKUP(D27,RUC!$B$3:$B$110,RUC!$H$3:$H$110)</f>
        <v>30</v>
      </c>
      <c r="AA27" s="70">
        <f t="shared" si="5"/>
        <v>30</v>
      </c>
      <c r="AB27" s="71">
        <f t="shared" ref="AB27:AB44" si="32">+((O27*P27*(R27-U27)/100)-S27-AA27+T27)*V27</f>
        <v>1043.132642</v>
      </c>
      <c r="AC27" s="71">
        <f>+(S27-T27)*V27-'data 1'!$F$4</f>
        <v>30.23</v>
      </c>
      <c r="AD27" s="71">
        <f t="shared" si="6"/>
        <v>68.75494254</v>
      </c>
      <c r="AE27" s="71">
        <f t="shared" si="7"/>
        <v>-36.931</v>
      </c>
      <c r="AF27" s="71">
        <f t="shared" si="8"/>
        <v>80.57457227</v>
      </c>
      <c r="AG27" s="72">
        <f t="shared" ref="AG27:AG30" si="33">AC27+AD27+AE27+AF27+70-10</f>
        <v>202.6285148</v>
      </c>
      <c r="AH27" s="193">
        <f t="shared" si="9"/>
        <v>53.637</v>
      </c>
      <c r="AI27" s="193">
        <f t="shared" si="10"/>
        <v>56.519</v>
      </c>
      <c r="AJ27" s="73">
        <f t="shared" si="11"/>
        <v>100.5282336</v>
      </c>
      <c r="AK27" s="73">
        <f t="shared" si="12"/>
        <v>47.78954527</v>
      </c>
      <c r="AL27" s="11"/>
      <c r="AM27" s="51">
        <f t="shared" si="13"/>
        <v>5476.446371</v>
      </c>
      <c r="AN27" s="51" t="str">
        <f t="array" ref="AN27">XLOOKUP(D27,RUC!$B$3:$B$565,RUC!$M$3:$M$565)</f>
        <v>Ronald Garibay</v>
      </c>
      <c r="AO27" s="131" t="s">
        <v>551</v>
      </c>
      <c r="AP27" s="2" t="s">
        <v>2274</v>
      </c>
      <c r="AQ27" s="2" t="s">
        <v>2275</v>
      </c>
      <c r="AV27" s="160" t="s">
        <v>561</v>
      </c>
      <c r="AW27" s="6">
        <f t="shared" si="28"/>
        <v>63.167</v>
      </c>
      <c r="AX27" s="6"/>
      <c r="AY27" s="58">
        <f t="shared" si="29"/>
        <v>0</v>
      </c>
      <c r="AZ27" s="58"/>
      <c r="BA27" s="162">
        <f t="shared" si="30"/>
        <v>0</v>
      </c>
      <c r="BB27" s="454" t="s">
        <v>2276</v>
      </c>
      <c r="BC27" s="459">
        <v>178.324</v>
      </c>
    </row>
    <row r="28" ht="15.0" customHeight="1">
      <c r="A28" s="116" t="s">
        <v>2277</v>
      </c>
      <c r="B28" s="182">
        <v>45991.0</v>
      </c>
      <c r="C28" s="182">
        <v>45988.0</v>
      </c>
      <c r="D28" s="57" t="s">
        <v>306</v>
      </c>
      <c r="E28" s="3">
        <f t="array" ref="E28">XLOOKUP(D28,RUC!$B$3:$B$110,RUC!$D$3:$D$110)</f>
        <v>20612921866</v>
      </c>
      <c r="G28" s="141">
        <v>50.0</v>
      </c>
      <c r="H28" s="3" t="s">
        <v>47</v>
      </c>
      <c r="I28" s="6">
        <v>5.31</v>
      </c>
      <c r="J28" s="58">
        <v>1.45</v>
      </c>
      <c r="K28" s="6">
        <f t="shared" si="2"/>
        <v>5.233</v>
      </c>
      <c r="L28" s="141">
        <v>0.423</v>
      </c>
      <c r="M28" s="60">
        <f t="shared" si="25"/>
        <v>0.398</v>
      </c>
      <c r="N28" s="62">
        <f t="shared" si="27"/>
        <v>0.398</v>
      </c>
      <c r="O28" s="60">
        <f t="shared" si="26"/>
        <v>0.398</v>
      </c>
      <c r="P28" s="63">
        <v>90.0</v>
      </c>
      <c r="Q28" s="58">
        <v>94.8</v>
      </c>
      <c r="R28" s="65">
        <v>4153.95</v>
      </c>
      <c r="S28" s="66">
        <f t="array" ref="S28">IF((XLOOKUP(D28,RUC!$B$3:$B$106,RUC!$E$3:$E$106)+ROUNDDOWN(O28,1)*100)&lt;95,95,((XLOOKUP(D28,RUC!$B$3:$B$106,RUC!$E$3:$E$106)+ROUNDDOWN(O28,1)*100)))</f>
        <v>110</v>
      </c>
      <c r="U28" s="67">
        <f t="array" ref="U28">XLOOKUP(D28,RUC!$B$3:$B$110,RUC!$F$3:$F$110)</f>
        <v>100</v>
      </c>
      <c r="V28" s="67">
        <v>1.1023</v>
      </c>
      <c r="Y28" s="57" t="str">
        <f t="array" ref="Y28">XLOOKUP(D28,RUC!$B$3:$B$110,RUC!$G$3:$G$110)</f>
        <v/>
      </c>
      <c r="Z28" s="69">
        <f t="array" ref="Z28">XLOOKUP(D28,RUC!$B$3:$B$110,RUC!$H$3:$H$110)</f>
        <v>30</v>
      </c>
      <c r="AA28" s="70">
        <f t="shared" si="5"/>
        <v>30</v>
      </c>
      <c r="AB28" s="71">
        <f t="shared" si="32"/>
        <v>1446.355266</v>
      </c>
      <c r="AC28" s="71">
        <f>+(S28-T28)*V28-'data 1'!$F$4</f>
        <v>41.253</v>
      </c>
      <c r="AD28" s="71">
        <f t="shared" si="6"/>
        <v>90.7318571</v>
      </c>
      <c r="AE28" s="71">
        <f t="shared" si="7"/>
        <v>-36.931</v>
      </c>
      <c r="AF28" s="71">
        <f t="shared" si="8"/>
        <v>105.9074573</v>
      </c>
      <c r="AG28" s="72">
        <f t="shared" si="33"/>
        <v>260.9613144</v>
      </c>
      <c r="AH28" s="193">
        <f t="shared" si="9"/>
        <v>71.946</v>
      </c>
      <c r="AI28" s="193">
        <f t="shared" si="10"/>
        <v>75.893</v>
      </c>
      <c r="AJ28" s="73">
        <f t="shared" si="11"/>
        <v>135.2822744</v>
      </c>
      <c r="AK28" s="73">
        <f t="shared" si="12"/>
        <v>64.26660906</v>
      </c>
      <c r="AL28" s="11"/>
      <c r="AM28" s="51">
        <f t="shared" si="13"/>
        <v>7568.777108</v>
      </c>
      <c r="AN28" s="51" t="str">
        <f t="array" ref="AN28">XLOOKUP(D28,RUC!$B$3:$B$565,RUC!$M$3:$M$565)</f>
        <v>Ronald Garibay</v>
      </c>
      <c r="AO28" s="131" t="s">
        <v>551</v>
      </c>
      <c r="AP28" s="2" t="s">
        <v>2274</v>
      </c>
      <c r="AQ28" s="2" t="s">
        <v>2275</v>
      </c>
      <c r="AV28" s="160" t="s">
        <v>689</v>
      </c>
      <c r="AW28" s="6">
        <f t="shared" si="28"/>
        <v>0</v>
      </c>
      <c r="AY28" s="58">
        <f t="shared" si="29"/>
        <v>0</v>
      </c>
      <c r="BA28" s="162">
        <f t="shared" si="30"/>
        <v>0</v>
      </c>
      <c r="BB28" s="456" t="s">
        <v>1206</v>
      </c>
      <c r="BC28" s="457">
        <f>-BC23-BC24+BC25+BC26+BC27</f>
        <v>95.066</v>
      </c>
    </row>
    <row r="29" ht="15.0" customHeight="1">
      <c r="A29" s="116" t="s">
        <v>2278</v>
      </c>
      <c r="B29" s="182">
        <v>45991.0</v>
      </c>
      <c r="C29" s="182">
        <v>45988.0</v>
      </c>
      <c r="D29" s="57" t="s">
        <v>306</v>
      </c>
      <c r="E29" s="3">
        <f t="array" ref="E29">XLOOKUP(D29,RUC!$B$3:$B$110,RUC!$D$3:$D$110)</f>
        <v>20612921866</v>
      </c>
      <c r="G29" s="141" t="s">
        <v>735</v>
      </c>
      <c r="H29" s="3" t="s">
        <v>47</v>
      </c>
      <c r="I29" s="6">
        <v>18.93</v>
      </c>
      <c r="J29" s="58">
        <v>3.5</v>
      </c>
      <c r="K29" s="6">
        <f t="shared" si="2"/>
        <v>18.267</v>
      </c>
      <c r="L29" s="141">
        <v>0.182</v>
      </c>
      <c r="M29" s="60">
        <f t="shared" si="25"/>
        <v>0.164</v>
      </c>
      <c r="N29" s="62">
        <f t="shared" si="27"/>
        <v>0.164</v>
      </c>
      <c r="O29" s="60">
        <f t="shared" si="26"/>
        <v>0.164</v>
      </c>
      <c r="P29" s="63">
        <v>90.0</v>
      </c>
      <c r="Q29" s="58">
        <v>96.7</v>
      </c>
      <c r="R29" s="65">
        <v>4153.95</v>
      </c>
      <c r="S29" s="66">
        <f t="array" ref="S29">IF((XLOOKUP(D29,RUC!$B$3:$B$106,RUC!$E$3:$E$106)+ROUNDDOWN(O29,1)*100)&lt;95,95,((XLOOKUP(D29,RUC!$B$3:$B$106,RUC!$E$3:$E$106)+ROUNDDOWN(O29,1)*100)))</f>
        <v>95</v>
      </c>
      <c r="U29" s="67">
        <f t="array" ref="U29">XLOOKUP(D29,RUC!$B$3:$B$110,RUC!$F$3:$F$110)</f>
        <v>100</v>
      </c>
      <c r="V29" s="67">
        <v>1.1023</v>
      </c>
      <c r="Y29" s="57" t="str">
        <f t="array" ref="Y29">XLOOKUP(D29,RUC!$B$3:$B$110,RUC!$G$3:$G$110)</f>
        <v/>
      </c>
      <c r="Z29" s="69">
        <f t="array" ref="Z29">XLOOKUP(D29,RUC!$B$3:$B$110,RUC!$H$3:$H$110)</f>
        <v>30</v>
      </c>
      <c r="AA29" s="70">
        <f t="shared" si="5"/>
        <v>30</v>
      </c>
      <c r="AB29" s="71">
        <f t="shared" si="32"/>
        <v>521.7880569</v>
      </c>
      <c r="AC29" s="71">
        <f>+(S29-T29)*V29-'data 1'!$F$4</f>
        <v>24.7185</v>
      </c>
      <c r="AD29" s="71">
        <f t="shared" si="6"/>
        <v>54.49095082</v>
      </c>
      <c r="AE29" s="71">
        <f t="shared" si="7"/>
        <v>-36.931</v>
      </c>
      <c r="AF29" s="71">
        <f t="shared" si="8"/>
        <v>77.78165409</v>
      </c>
      <c r="AG29" s="72">
        <f t="shared" si="33"/>
        <v>180.0601049</v>
      </c>
      <c r="AH29" s="193">
        <f t="shared" si="9"/>
        <v>110.223</v>
      </c>
      <c r="AI29" s="193">
        <f t="shared" si="10"/>
        <v>113.985</v>
      </c>
      <c r="AJ29" s="73">
        <f t="shared" si="11"/>
        <v>59.37314489</v>
      </c>
      <c r="AK29" s="73">
        <f t="shared" si="12"/>
        <v>92.44057869</v>
      </c>
      <c r="AL29" s="11"/>
      <c r="AM29" s="51">
        <f t="shared" si="13"/>
        <v>9531.502436</v>
      </c>
      <c r="AN29" s="51" t="str">
        <f t="array" ref="AN29">XLOOKUP(D29,RUC!$B$3:$B$565,RUC!$M$3:$M$565)</f>
        <v>Ronald Garibay</v>
      </c>
      <c r="AO29" s="131" t="s">
        <v>558</v>
      </c>
      <c r="AP29" s="2" t="s">
        <v>710</v>
      </c>
      <c r="AQ29" s="2" t="s">
        <v>2279</v>
      </c>
      <c r="AV29" s="160" t="s">
        <v>690</v>
      </c>
      <c r="AW29" s="6">
        <f t="shared" si="28"/>
        <v>0</v>
      </c>
      <c r="AY29" s="58">
        <f t="shared" si="29"/>
        <v>0</v>
      </c>
      <c r="BA29" s="162">
        <f t="shared" si="30"/>
        <v>0</v>
      </c>
    </row>
    <row r="30" ht="15.0" customHeight="1">
      <c r="A30" s="116" t="s">
        <v>2280</v>
      </c>
      <c r="B30" s="182">
        <v>45994.0</v>
      </c>
      <c r="C30" s="182">
        <v>45988.0</v>
      </c>
      <c r="D30" s="57" t="s">
        <v>306</v>
      </c>
      <c r="E30" s="3">
        <f t="array" ref="E30">XLOOKUP(D30,RUC!$B$3:$B$110,RUC!$D$3:$D$110)</f>
        <v>20612921866</v>
      </c>
      <c r="G30" s="141" t="s">
        <v>735</v>
      </c>
      <c r="H30" s="3" t="s">
        <v>47</v>
      </c>
      <c r="I30" s="6">
        <v>9.9</v>
      </c>
      <c r="J30" s="58">
        <v>1.5</v>
      </c>
      <c r="K30" s="6">
        <f t="shared" si="2"/>
        <v>9.752</v>
      </c>
      <c r="L30" s="141">
        <v>0.198</v>
      </c>
      <c r="M30" s="60">
        <f t="shared" si="25"/>
        <v>0.18</v>
      </c>
      <c r="N30" s="62">
        <f t="shared" si="27"/>
        <v>0.18</v>
      </c>
      <c r="O30" s="60">
        <f t="shared" si="26"/>
        <v>0.18</v>
      </c>
      <c r="P30" s="63">
        <v>89.0</v>
      </c>
      <c r="Q30" s="58">
        <v>89.9</v>
      </c>
      <c r="R30" s="65">
        <v>4153.95</v>
      </c>
      <c r="S30" s="66">
        <f t="array" ref="S30">IF((XLOOKUP(D30,RUC!$B$3:$B$106,RUC!$E$3:$E$106)+ROUNDDOWN(O30,1)*100)&lt;95,95,((XLOOKUP(D30,RUC!$B$3:$B$106,RUC!$E$3:$E$106)+ROUNDDOWN(O30,1)*100)))</f>
        <v>95</v>
      </c>
      <c r="U30" s="67">
        <f t="array" ref="U30">XLOOKUP(D30,RUC!$B$3:$B$110,RUC!$F$3:$F$110)</f>
        <v>100</v>
      </c>
      <c r="V30" s="67">
        <v>1.1023</v>
      </c>
      <c r="Y30" s="57" t="str">
        <f t="array" ref="Y30">XLOOKUP(D30,RUC!$B$3:$B$110,RUC!$G$3:$G$110)</f>
        <v/>
      </c>
      <c r="Z30" s="69">
        <f t="array" ref="Z30">XLOOKUP(D30,RUC!$B$3:$B$110,RUC!$H$3:$H$110)</f>
        <v>30</v>
      </c>
      <c r="AA30" s="70">
        <f t="shared" si="5"/>
        <v>30</v>
      </c>
      <c r="AB30" s="71">
        <f t="shared" si="32"/>
        <v>578.0932874</v>
      </c>
      <c r="AC30" s="71">
        <f>+(S30-T30)*V30-'data 1'!$F$4</f>
        <v>24.7185</v>
      </c>
      <c r="AD30" s="71">
        <f t="shared" si="6"/>
        <v>7.963168309</v>
      </c>
      <c r="AE30" s="71">
        <f t="shared" si="7"/>
        <v>-36.931</v>
      </c>
      <c r="AF30" s="71">
        <f t="shared" si="8"/>
        <v>72.31200313</v>
      </c>
      <c r="AG30" s="72">
        <f t="shared" si="33"/>
        <v>128.0626714</v>
      </c>
      <c r="AH30" s="193">
        <f t="shared" si="9"/>
        <v>59.515</v>
      </c>
      <c r="AI30" s="193">
        <f t="shared" si="10"/>
        <v>66.202</v>
      </c>
      <c r="AJ30" s="73">
        <f t="shared" si="11"/>
        <v>60.05056159</v>
      </c>
      <c r="AK30" s="73">
        <f t="shared" si="12"/>
        <v>53.5630469</v>
      </c>
      <c r="AL30" s="11"/>
      <c r="AM30" s="51">
        <f t="shared" si="13"/>
        <v>5637.565739</v>
      </c>
      <c r="AN30" s="51" t="str">
        <f t="array" ref="AN30">XLOOKUP(D30,RUC!$B$3:$B$565,RUC!$M$3:$M$565)</f>
        <v>Ronald Garibay</v>
      </c>
      <c r="AO30" s="131" t="s">
        <v>558</v>
      </c>
      <c r="AP30" s="57" t="s">
        <v>2281</v>
      </c>
      <c r="AQ30" s="57" t="s">
        <v>850</v>
      </c>
      <c r="AV30" s="160" t="s">
        <v>691</v>
      </c>
      <c r="AW30" s="6">
        <f t="shared" si="28"/>
        <v>0</v>
      </c>
      <c r="AY30" s="58">
        <f t="shared" si="29"/>
        <v>0</v>
      </c>
      <c r="BA30" s="162">
        <f t="shared" si="30"/>
        <v>0</v>
      </c>
    </row>
    <row r="31" ht="15.0" customHeight="1">
      <c r="A31" s="116" t="s">
        <v>2282</v>
      </c>
      <c r="B31" s="182">
        <v>45995.0</v>
      </c>
      <c r="C31" s="182">
        <v>45990.0</v>
      </c>
      <c r="D31" s="57" t="s">
        <v>146</v>
      </c>
      <c r="E31" s="3">
        <f t="array" ref="E31">XLOOKUP(D31,RUC!$B$3:$B$110,RUC!$D$3:$D$110)</f>
        <v>20517242919</v>
      </c>
      <c r="G31" s="141">
        <v>57.0</v>
      </c>
      <c r="H31" s="3" t="s">
        <v>47</v>
      </c>
      <c r="I31" s="6">
        <v>5.59</v>
      </c>
      <c r="J31" s="58">
        <v>1.8</v>
      </c>
      <c r="K31" s="6">
        <f t="shared" si="2"/>
        <v>5.489</v>
      </c>
      <c r="L31" s="141">
        <v>0.348</v>
      </c>
      <c r="M31" s="60">
        <f t="shared" si="25"/>
        <v>0.341</v>
      </c>
      <c r="N31" s="62">
        <f t="shared" si="27"/>
        <v>0.341</v>
      </c>
      <c r="O31" s="60">
        <f t="shared" si="26"/>
        <v>0.341</v>
      </c>
      <c r="P31" s="201">
        <v>90.0</v>
      </c>
      <c r="Q31" s="58">
        <v>88.79</v>
      </c>
      <c r="R31" s="65">
        <v>4191.05</v>
      </c>
      <c r="S31" s="3">
        <v>110.0</v>
      </c>
      <c r="U31" s="67">
        <f t="array" ref="U31">XLOOKUP(D31,RUC!$B$3:$B$110,RUC!$F$3:$F$110)</f>
        <v>80</v>
      </c>
      <c r="V31" s="67">
        <v>1.1023</v>
      </c>
      <c r="Y31" s="57" t="str">
        <f t="array" ref="Y31">XLOOKUP(D31,RUC!$B$3:$B$110,RUC!$G$3:$G$110)</f>
        <v/>
      </c>
      <c r="Z31" s="69">
        <f t="array" ref="Z31">XLOOKUP(D31,RUC!$B$3:$B$110,RUC!$H$3:$H$110)</f>
        <v>10</v>
      </c>
      <c r="AA31" s="70">
        <f t="shared" si="5"/>
        <v>10</v>
      </c>
      <c r="AB31" s="71">
        <f t="shared" si="32"/>
        <v>1258.475236</v>
      </c>
      <c r="AC31" s="71">
        <f>+(S31-T31)*V31-'data 1'!$F$4</f>
        <v>41.253</v>
      </c>
      <c r="AD31" s="71">
        <f t="shared" si="6"/>
        <v>-19.08170514</v>
      </c>
      <c r="AE31" s="71">
        <f t="shared" si="7"/>
        <v>-58.977</v>
      </c>
      <c r="AF31" s="71">
        <f t="shared" si="8"/>
        <v>28.16531821</v>
      </c>
      <c r="AG31" s="72">
        <f t="shared" ref="AG31:AG38" si="34">AC31+AD31+AE31+AF31+70</f>
        <v>61.35961308</v>
      </c>
      <c r="AH31" s="193">
        <f t="shared" si="9"/>
        <v>58.149</v>
      </c>
      <c r="AI31" s="193">
        <f t="shared" si="10"/>
        <v>65.491</v>
      </c>
      <c r="AJ31" s="73">
        <f t="shared" si="11"/>
        <v>84.79207006</v>
      </c>
      <c r="AK31" s="73">
        <f t="shared" si="12"/>
        <v>57.75627672</v>
      </c>
      <c r="AL31" s="11"/>
      <c r="AM31" s="51">
        <f t="shared" si="13"/>
        <v>6907.770572</v>
      </c>
      <c r="AN31" s="51" t="str">
        <f t="array" ref="AN31">XLOOKUP(D31,RUC!$B$3:$B$565,RUC!$M$3:$M$565)</f>
        <v>Melchor Vera</v>
      </c>
      <c r="AO31" s="131" t="s">
        <v>558</v>
      </c>
      <c r="AP31" s="57" t="s">
        <v>653</v>
      </c>
      <c r="AQ31" s="57" t="s">
        <v>2283</v>
      </c>
      <c r="AV31" s="160" t="s">
        <v>692</v>
      </c>
      <c r="AW31" s="6">
        <f t="shared" si="28"/>
        <v>0</v>
      </c>
      <c r="AY31" s="58">
        <f t="shared" si="29"/>
        <v>0</v>
      </c>
      <c r="BA31" s="162">
        <f t="shared" si="30"/>
        <v>0</v>
      </c>
    </row>
    <row r="32" ht="15.0" customHeight="1">
      <c r="A32" s="116" t="s">
        <v>2284</v>
      </c>
      <c r="B32" s="182">
        <v>45995.0</v>
      </c>
      <c r="C32" s="182">
        <v>45990.0</v>
      </c>
      <c r="D32" s="57" t="s">
        <v>146</v>
      </c>
      <c r="E32" s="3">
        <f t="array" ref="E32">XLOOKUP(D32,RUC!$B$3:$B$110,RUC!$D$3:$D$110)</f>
        <v>20517242919</v>
      </c>
      <c r="G32" s="141">
        <v>58.0</v>
      </c>
      <c r="H32" s="3" t="s">
        <v>47</v>
      </c>
      <c r="I32" s="6">
        <v>4.58</v>
      </c>
      <c r="J32" s="58">
        <v>1.65</v>
      </c>
      <c r="K32" s="6">
        <f t="shared" si="2"/>
        <v>4.504</v>
      </c>
      <c r="L32" s="141">
        <v>0.231</v>
      </c>
      <c r="M32" s="60">
        <f t="shared" si="25"/>
        <v>0.224</v>
      </c>
      <c r="N32" s="75">
        <v>0.254</v>
      </c>
      <c r="O32" s="60">
        <f t="shared" si="26"/>
        <v>0.239</v>
      </c>
      <c r="P32" s="63">
        <v>85.0</v>
      </c>
      <c r="Q32" s="58">
        <v>94.37</v>
      </c>
      <c r="R32" s="65">
        <v>4191.05</v>
      </c>
      <c r="S32" s="3">
        <v>105.0</v>
      </c>
      <c r="U32" s="67">
        <f t="array" ref="U32">XLOOKUP(D32,RUC!$B$3:$B$110,RUC!$F$3:$F$110)</f>
        <v>80</v>
      </c>
      <c r="V32" s="67">
        <v>1.1023</v>
      </c>
      <c r="Y32" s="57" t="str">
        <f t="array" ref="Y32">XLOOKUP(D32,RUC!$B$3:$B$110,RUC!$G$3:$G$110)</f>
        <v/>
      </c>
      <c r="Z32" s="69">
        <f t="array" ref="Z32">XLOOKUP(D32,RUC!$B$3:$B$110,RUC!$H$3:$H$110)</f>
        <v>10</v>
      </c>
      <c r="AA32" s="70">
        <f t="shared" si="5"/>
        <v>10</v>
      </c>
      <c r="AB32" s="71">
        <f t="shared" si="32"/>
        <v>793.8321558</v>
      </c>
      <c r="AC32" s="71">
        <f>+(S32-T32)*V32-'data 1'!$F$4</f>
        <v>35.7415</v>
      </c>
      <c r="AD32" s="71">
        <f t="shared" si="6"/>
        <v>98.08534795</v>
      </c>
      <c r="AE32" s="71">
        <f t="shared" si="7"/>
        <v>-58.977</v>
      </c>
      <c r="AF32" s="71">
        <f t="shared" si="8"/>
        <v>-34.21184599</v>
      </c>
      <c r="AG32" s="72">
        <f t="shared" si="34"/>
        <v>110.638002</v>
      </c>
      <c r="AH32" s="193">
        <f t="shared" si="9"/>
        <v>33.663</v>
      </c>
      <c r="AI32" s="193">
        <f t="shared" si="10"/>
        <v>35.671</v>
      </c>
      <c r="AJ32" s="73">
        <f t="shared" si="11"/>
        <v>59.82157912</v>
      </c>
      <c r="AK32" s="73">
        <f t="shared" si="12"/>
        <v>31.37070493</v>
      </c>
      <c r="AL32" s="11"/>
      <c r="AM32" s="51">
        <f t="shared" si="13"/>
        <v>3575.42003</v>
      </c>
      <c r="AN32" s="51" t="str">
        <f t="array" ref="AN32">XLOOKUP(D32,RUC!$B$3:$B$565,RUC!$M$3:$M$565)</f>
        <v>Melchor Vera</v>
      </c>
      <c r="AO32" s="131" t="s">
        <v>558</v>
      </c>
      <c r="AP32" s="57" t="s">
        <v>653</v>
      </c>
      <c r="AQ32" s="57" t="s">
        <v>2283</v>
      </c>
      <c r="AV32" s="163" t="s">
        <v>693</v>
      </c>
      <c r="AW32" s="165">
        <f t="shared" si="28"/>
        <v>0</v>
      </c>
      <c r="AX32" s="170"/>
      <c r="AY32" s="168">
        <f t="shared" si="29"/>
        <v>0</v>
      </c>
      <c r="AZ32" s="170"/>
      <c r="BA32" s="171">
        <f t="shared" si="30"/>
        <v>0</v>
      </c>
    </row>
    <row r="33" ht="15.0" customHeight="1">
      <c r="A33" s="116" t="s">
        <v>2285</v>
      </c>
      <c r="B33" s="182">
        <v>45995.0</v>
      </c>
      <c r="C33" s="182">
        <v>45990.0</v>
      </c>
      <c r="D33" s="57" t="s">
        <v>146</v>
      </c>
      <c r="E33" s="3">
        <f t="array" ref="E33">XLOOKUP(D33,RUC!$B$3:$B$110,RUC!$D$3:$D$110)</f>
        <v>20517242919</v>
      </c>
      <c r="G33" s="141">
        <v>58.0</v>
      </c>
      <c r="H33" s="3" t="s">
        <v>47</v>
      </c>
      <c r="I33" s="6">
        <v>4.55</v>
      </c>
      <c r="J33" s="58">
        <v>1.7</v>
      </c>
      <c r="K33" s="6">
        <f t="shared" si="2"/>
        <v>4.473</v>
      </c>
      <c r="L33" s="141">
        <v>0.159</v>
      </c>
      <c r="M33" s="60">
        <f t="shared" si="25"/>
        <v>0.152</v>
      </c>
      <c r="N33" s="62">
        <f>+M33</f>
        <v>0.152</v>
      </c>
      <c r="O33" s="60">
        <f t="shared" si="26"/>
        <v>0.152</v>
      </c>
      <c r="P33" s="63">
        <v>85.0</v>
      </c>
      <c r="Q33" s="58">
        <v>98.11</v>
      </c>
      <c r="R33" s="65">
        <v>4191.05</v>
      </c>
      <c r="S33" s="3">
        <v>95.0</v>
      </c>
      <c r="U33" s="67">
        <f t="array" ref="U33">XLOOKUP(D33,RUC!$B$3:$B$110,RUC!$F$3:$F$110)</f>
        <v>80</v>
      </c>
      <c r="V33" s="67">
        <v>1.1023</v>
      </c>
      <c r="Y33" s="57" t="str">
        <f t="array" ref="Y33">XLOOKUP(D33,RUC!$B$3:$B$110,RUC!$G$3:$G$110)</f>
        <v/>
      </c>
      <c r="Z33" s="69">
        <f t="array" ref="Z33">XLOOKUP(D33,RUC!$B$3:$B$110,RUC!$H$3:$H$110)</f>
        <v>10</v>
      </c>
      <c r="AA33" s="70">
        <f t="shared" si="5"/>
        <v>10</v>
      </c>
      <c r="AB33" s="71">
        <f t="shared" si="32"/>
        <v>469.7425656</v>
      </c>
      <c r="AC33" s="71">
        <f>+(S33-T33)*V33-'data 1'!$F$4</f>
        <v>24.7185</v>
      </c>
      <c r="AD33" s="71">
        <f t="shared" si="6"/>
        <v>94.46096594</v>
      </c>
      <c r="AE33" s="71">
        <f t="shared" si="7"/>
        <v>-58.977</v>
      </c>
      <c r="AF33" s="71">
        <f t="shared" si="8"/>
        <v>31.12174085</v>
      </c>
      <c r="AG33" s="72">
        <f t="shared" si="34"/>
        <v>161.3242068</v>
      </c>
      <c r="AH33" s="193">
        <f t="shared" si="9"/>
        <v>23.923</v>
      </c>
      <c r="AI33" s="193">
        <f t="shared" si="10"/>
        <v>24.384</v>
      </c>
      <c r="AJ33" s="73">
        <f t="shared" si="11"/>
        <v>42.80774373</v>
      </c>
      <c r="AK33" s="73">
        <f t="shared" si="12"/>
        <v>19.81392346</v>
      </c>
      <c r="AL33" s="11"/>
      <c r="AM33" s="51">
        <f t="shared" si="13"/>
        <v>2101.158496</v>
      </c>
      <c r="AN33" s="51" t="str">
        <f t="array" ref="AN33">XLOOKUP(D33,RUC!$B$3:$B$565,RUC!$M$3:$M$565)</f>
        <v>Melchor Vera</v>
      </c>
      <c r="AO33" s="131" t="s">
        <v>558</v>
      </c>
      <c r="AP33" s="57" t="s">
        <v>653</v>
      </c>
      <c r="AQ33" s="57" t="s">
        <v>2283</v>
      </c>
    </row>
    <row r="34" ht="15.0" customHeight="1">
      <c r="A34" s="116" t="s">
        <v>2286</v>
      </c>
      <c r="B34" s="182">
        <v>45995.0</v>
      </c>
      <c r="C34" s="182">
        <v>45990.0</v>
      </c>
      <c r="D34" s="57" t="s">
        <v>146</v>
      </c>
      <c r="E34" s="3">
        <f t="array" ref="E34">XLOOKUP(D34,RUC!$B$3:$B$110,RUC!$D$3:$D$110)</f>
        <v>20517242919</v>
      </c>
      <c r="G34" s="141">
        <v>61.0</v>
      </c>
      <c r="H34" s="3" t="s">
        <v>47</v>
      </c>
      <c r="I34" s="6">
        <v>6.41</v>
      </c>
      <c r="J34" s="58">
        <v>5.0</v>
      </c>
      <c r="K34" s="6">
        <f t="shared" si="2"/>
        <v>6.09</v>
      </c>
      <c r="L34" s="141">
        <v>0.536</v>
      </c>
      <c r="M34" s="60">
        <f t="shared" si="25"/>
        <v>0.528</v>
      </c>
      <c r="N34" s="75">
        <v>0.581</v>
      </c>
      <c r="O34" s="60">
        <f t="shared" si="26"/>
        <v>0.555</v>
      </c>
      <c r="P34" s="201">
        <v>90.0</v>
      </c>
      <c r="Q34" s="58">
        <v>88.06</v>
      </c>
      <c r="R34" s="65">
        <v>4191.05</v>
      </c>
      <c r="S34" s="3">
        <v>120.0</v>
      </c>
      <c r="U34" s="67">
        <f t="array" ref="U34">XLOOKUP(D34,RUC!$B$3:$B$110,RUC!$F$3:$F$110)</f>
        <v>80</v>
      </c>
      <c r="V34" s="67">
        <v>1.1023</v>
      </c>
      <c r="Y34" s="57" t="str">
        <f t="array" ref="Y34">XLOOKUP(D34,RUC!$B$3:$B$110,RUC!$G$3:$G$110)</f>
        <v/>
      </c>
      <c r="Z34" s="69">
        <f t="array" ref="Z34">XLOOKUP(D34,RUC!$B$3:$B$110,RUC!$H$3:$H$110)</f>
        <v>10</v>
      </c>
      <c r="AA34" s="70">
        <f t="shared" si="5"/>
        <v>10</v>
      </c>
      <c r="AB34" s="71">
        <f t="shared" si="32"/>
        <v>2120.240402</v>
      </c>
      <c r="AC34" s="71">
        <f>+(S34-T34)*V34-'data 1'!$F$4</f>
        <v>52.276</v>
      </c>
      <c r="AD34" s="71">
        <f t="shared" si="6"/>
        <v>-47.12149774</v>
      </c>
      <c r="AE34" s="71">
        <f t="shared" si="7"/>
        <v>-58.977</v>
      </c>
      <c r="AF34" s="71">
        <f t="shared" si="8"/>
        <v>-75.8201865</v>
      </c>
      <c r="AG34" s="72">
        <f t="shared" si="34"/>
        <v>-59.64268424</v>
      </c>
      <c r="AH34" s="193">
        <f t="shared" si="9"/>
        <v>98.553</v>
      </c>
      <c r="AI34" s="193">
        <f t="shared" si="10"/>
        <v>111.916</v>
      </c>
      <c r="AJ34" s="73">
        <f t="shared" si="11"/>
        <v>129.5255392</v>
      </c>
      <c r="AK34" s="73">
        <f t="shared" si="12"/>
        <v>104.2946076</v>
      </c>
      <c r="AL34" s="11"/>
      <c r="AM34" s="51">
        <f t="shared" si="13"/>
        <v>12912.26405</v>
      </c>
      <c r="AN34" s="51" t="str">
        <f t="array" ref="AN34">XLOOKUP(D34,RUC!$B$3:$B$565,RUC!$M$3:$M$565)</f>
        <v>Melchor Vera</v>
      </c>
      <c r="AO34" s="131" t="s">
        <v>551</v>
      </c>
      <c r="AP34" s="57" t="s">
        <v>653</v>
      </c>
      <c r="AQ34" s="57" t="s">
        <v>2283</v>
      </c>
    </row>
    <row r="35" ht="15.0" customHeight="1">
      <c r="A35" s="116" t="s">
        <v>2287</v>
      </c>
      <c r="B35" s="182">
        <v>46000.0</v>
      </c>
      <c r="C35" s="182">
        <v>45990.0</v>
      </c>
      <c r="D35" s="57" t="s">
        <v>146</v>
      </c>
      <c r="E35" s="3">
        <f t="array" ref="E35">XLOOKUP(D35,RUC!$B$3:$B$110,RUC!$D$3:$D$110)</f>
        <v>20517242919</v>
      </c>
      <c r="G35" s="141">
        <v>57.0</v>
      </c>
      <c r="H35" s="3" t="s">
        <v>47</v>
      </c>
      <c r="I35" s="6">
        <v>5.24</v>
      </c>
      <c r="J35" s="58">
        <v>1.3</v>
      </c>
      <c r="K35" s="6">
        <f t="shared" si="2"/>
        <v>5.172</v>
      </c>
      <c r="L35" s="141">
        <v>0.353</v>
      </c>
      <c r="M35" s="60">
        <f t="shared" si="25"/>
        <v>0.346</v>
      </c>
      <c r="N35" s="62">
        <f t="shared" ref="N35:N36" si="35">+M35</f>
        <v>0.346</v>
      </c>
      <c r="O35" s="60">
        <f t="shared" si="26"/>
        <v>0.346</v>
      </c>
      <c r="P35" s="63">
        <v>87.0</v>
      </c>
      <c r="Q35" s="58">
        <v>87.54</v>
      </c>
      <c r="R35" s="65">
        <v>4191.05</v>
      </c>
      <c r="S35" s="3">
        <v>110.0</v>
      </c>
      <c r="U35" s="67">
        <f t="array" ref="U35">XLOOKUP(D35,RUC!$B$3:$B$110,RUC!$F$3:$F$110)</f>
        <v>80</v>
      </c>
      <c r="V35" s="67">
        <v>1.1023</v>
      </c>
      <c r="Y35" s="57" t="str">
        <f t="array" ref="Y35">XLOOKUP(D35,RUC!$B$3:$B$110,RUC!$G$3:$G$110)</f>
        <v/>
      </c>
      <c r="Z35" s="69">
        <f t="array" ref="Z35">XLOOKUP(D35,RUC!$B$3:$B$110,RUC!$H$3:$H$110)</f>
        <v>10</v>
      </c>
      <c r="AA35" s="70">
        <f t="shared" si="5"/>
        <v>10</v>
      </c>
      <c r="AB35" s="71">
        <f t="shared" si="32"/>
        <v>1231.829367</v>
      </c>
      <c r="AC35" s="71">
        <f>+(S35-T35)*V35-'data 1'!$F$4</f>
        <v>41.253</v>
      </c>
      <c r="AD35" s="71">
        <f t="shared" si="6"/>
        <v>8.638155773</v>
      </c>
      <c r="AE35" s="71">
        <f t="shared" si="7"/>
        <v>-58.977</v>
      </c>
      <c r="AF35" s="71">
        <f t="shared" si="8"/>
        <v>27.7688023</v>
      </c>
      <c r="AG35" s="72">
        <f t="shared" si="34"/>
        <v>88.68295807</v>
      </c>
      <c r="AH35" s="193">
        <f t="shared" si="9"/>
        <v>54.796</v>
      </c>
      <c r="AI35" s="193">
        <f t="shared" si="10"/>
        <v>62.595</v>
      </c>
      <c r="AJ35" s="73">
        <f t="shared" si="11"/>
        <v>84.79947933</v>
      </c>
      <c r="AK35" s="73">
        <f t="shared" si="12"/>
        <v>53.37807861</v>
      </c>
      <c r="AL35" s="11"/>
      <c r="AM35" s="51">
        <f t="shared" si="13"/>
        <v>6371.021487</v>
      </c>
      <c r="AN35" s="51" t="str">
        <f t="array" ref="AN35">XLOOKUP(D35,RUC!$B$3:$B$565,RUC!$M$3:$M$565)</f>
        <v>Melchor Vera</v>
      </c>
      <c r="AO35" s="131" t="s">
        <v>547</v>
      </c>
      <c r="AP35" s="57" t="s">
        <v>653</v>
      </c>
      <c r="AQ35" s="57" t="s">
        <v>2283</v>
      </c>
    </row>
    <row r="36" ht="15.0" customHeight="1">
      <c r="A36" s="116" t="s">
        <v>2288</v>
      </c>
      <c r="B36" s="182">
        <v>45995.0</v>
      </c>
      <c r="C36" s="182">
        <v>45990.0</v>
      </c>
      <c r="D36" s="57" t="s">
        <v>146</v>
      </c>
      <c r="E36" s="3">
        <f t="array" ref="E36">XLOOKUP(D36,RUC!$B$3:$B$110,RUC!$D$3:$D$110)</f>
        <v>20517242919</v>
      </c>
      <c r="G36" s="141">
        <v>20.0</v>
      </c>
      <c r="H36" s="3" t="s">
        <v>47</v>
      </c>
      <c r="I36" s="6">
        <v>1.84</v>
      </c>
      <c r="J36" s="58">
        <v>1.0</v>
      </c>
      <c r="K36" s="6">
        <f t="shared" si="2"/>
        <v>1.822</v>
      </c>
      <c r="L36" s="141">
        <v>0.223</v>
      </c>
      <c r="M36" s="60">
        <f t="shared" si="25"/>
        <v>0.216</v>
      </c>
      <c r="N36" s="62">
        <f t="shared" si="35"/>
        <v>0.216</v>
      </c>
      <c r="O36" s="60">
        <f t="shared" si="26"/>
        <v>0.216</v>
      </c>
      <c r="P36" s="63">
        <v>85.0</v>
      </c>
      <c r="Q36" s="58">
        <v>91.03</v>
      </c>
      <c r="R36" s="65">
        <v>4191.05</v>
      </c>
      <c r="S36" s="3">
        <v>105.0</v>
      </c>
      <c r="U36" s="67">
        <f t="array" ref="U36">XLOOKUP(D36,RUC!$B$3:$B$110,RUC!$F$3:$F$110)</f>
        <v>80</v>
      </c>
      <c r="V36" s="67">
        <v>1.1023</v>
      </c>
      <c r="Y36" s="57" t="str">
        <f t="array" ref="Y36">XLOOKUP(D36,RUC!$B$3:$B$110,RUC!$G$3:$G$110)</f>
        <v/>
      </c>
      <c r="Z36" s="69">
        <f t="array" ref="Z36">XLOOKUP(D36,RUC!$B$3:$B$110,RUC!$H$3:$H$110)</f>
        <v>10</v>
      </c>
      <c r="AA36" s="70">
        <f t="shared" si="5"/>
        <v>10</v>
      </c>
      <c r="AB36" s="71">
        <f t="shared" si="32"/>
        <v>705.2391722</v>
      </c>
      <c r="AC36" s="71">
        <f>+(S36-T36)*V36-'data 1'!$F$4</f>
        <v>35.7415</v>
      </c>
      <c r="AD36" s="71">
        <f t="shared" si="6"/>
        <v>60.93611209</v>
      </c>
      <c r="AE36" s="71">
        <f t="shared" si="7"/>
        <v>-58.977</v>
      </c>
      <c r="AF36" s="71">
        <f t="shared" si="8"/>
        <v>28.87587473</v>
      </c>
      <c r="AG36" s="72">
        <f t="shared" si="34"/>
        <v>136.5764868</v>
      </c>
      <c r="AH36" s="193">
        <f t="shared" si="9"/>
        <v>12.681</v>
      </c>
      <c r="AI36" s="193">
        <f t="shared" si="10"/>
        <v>13.93</v>
      </c>
      <c r="AJ36" s="73">
        <f t="shared" si="11"/>
        <v>55.70591906</v>
      </c>
      <c r="AK36" s="73">
        <f t="shared" si="12"/>
        <v>11.46912058</v>
      </c>
      <c r="AL36" s="11"/>
      <c r="AM36" s="51">
        <f t="shared" si="13"/>
        <v>1284.945772</v>
      </c>
      <c r="AN36" s="51" t="str">
        <f t="array" ref="AN36">XLOOKUP(D36,RUC!$B$3:$B$565,RUC!$M$3:$M$565)</f>
        <v>Melchor Vera</v>
      </c>
      <c r="AO36" s="131" t="s">
        <v>558</v>
      </c>
      <c r="AP36" s="57" t="s">
        <v>653</v>
      </c>
      <c r="AQ36" s="57" t="s">
        <v>2283</v>
      </c>
    </row>
    <row r="37" ht="15.0" customHeight="1">
      <c r="A37" s="116" t="s">
        <v>2289</v>
      </c>
      <c r="B37" s="182">
        <v>45995.0</v>
      </c>
      <c r="C37" s="182">
        <v>45990.0</v>
      </c>
      <c r="D37" s="57" t="s">
        <v>146</v>
      </c>
      <c r="E37" s="3">
        <f t="array" ref="E37">XLOOKUP(D37,RUC!$B$3:$B$110,RUC!$D$3:$D$110)</f>
        <v>20517242919</v>
      </c>
      <c r="G37" s="141">
        <v>42.0</v>
      </c>
      <c r="H37" s="3" t="s">
        <v>47</v>
      </c>
      <c r="I37" s="6">
        <v>3.65</v>
      </c>
      <c r="J37" s="58">
        <v>1.2</v>
      </c>
      <c r="K37" s="6">
        <f t="shared" si="2"/>
        <v>3.606</v>
      </c>
      <c r="L37" s="141">
        <v>0.156</v>
      </c>
      <c r="M37" s="60">
        <f t="shared" si="25"/>
        <v>0.149</v>
      </c>
      <c r="N37" s="75">
        <v>0.172</v>
      </c>
      <c r="O37" s="60">
        <f t="shared" si="26"/>
        <v>0.161</v>
      </c>
      <c r="P37" s="63">
        <v>85.0</v>
      </c>
      <c r="Q37" s="58">
        <v>98.08</v>
      </c>
      <c r="R37" s="65">
        <v>4191.05</v>
      </c>
      <c r="S37" s="3">
        <v>95.0</v>
      </c>
      <c r="U37" s="67">
        <f t="array" ref="U37">XLOOKUP(D37,RUC!$B$3:$B$110,RUC!$F$3:$F$110)</f>
        <v>80</v>
      </c>
      <c r="V37" s="67">
        <v>1.1023</v>
      </c>
      <c r="Y37" s="57" t="str">
        <f t="array" ref="Y37">XLOOKUP(D37,RUC!$B$3:$B$110,RUC!$G$3:$G$110)</f>
        <v/>
      </c>
      <c r="Z37" s="69">
        <f t="array" ref="Z37">XLOOKUP(D37,RUC!$B$3:$B$110,RUC!$H$3:$H$110)</f>
        <v>10</v>
      </c>
      <c r="AA37" s="70">
        <f t="shared" si="5"/>
        <v>10</v>
      </c>
      <c r="AB37" s="71">
        <f t="shared" si="32"/>
        <v>504.4093853</v>
      </c>
      <c r="AC37" s="71">
        <f>+(S37-T37)*V37-'data 1'!$F$4</f>
        <v>24.7185</v>
      </c>
      <c r="AD37" s="71">
        <f t="shared" si="6"/>
        <v>92.4666042</v>
      </c>
      <c r="AE37" s="71">
        <f t="shared" si="7"/>
        <v>-58.977</v>
      </c>
      <c r="AF37" s="71">
        <f t="shared" si="8"/>
        <v>-22.22301748</v>
      </c>
      <c r="AG37" s="72">
        <f t="shared" si="34"/>
        <v>105.9850867</v>
      </c>
      <c r="AH37" s="193">
        <f t="shared" si="9"/>
        <v>18.916</v>
      </c>
      <c r="AI37" s="193">
        <f t="shared" si="10"/>
        <v>19.287</v>
      </c>
      <c r="AJ37" s="73">
        <f t="shared" si="11"/>
        <v>41.98720771</v>
      </c>
      <c r="AK37" s="73">
        <f t="shared" si="12"/>
        <v>16.91919101</v>
      </c>
      <c r="AL37" s="11"/>
      <c r="AM37" s="51">
        <f t="shared" si="13"/>
        <v>1818.900243</v>
      </c>
      <c r="AN37" s="51" t="str">
        <f t="array" ref="AN37">XLOOKUP(D37,RUC!$B$3:$B$565,RUC!$M$3:$M$565)</f>
        <v>Melchor Vera</v>
      </c>
      <c r="AO37" s="131" t="s">
        <v>558</v>
      </c>
      <c r="AP37" s="57" t="s">
        <v>653</v>
      </c>
      <c r="AQ37" s="57" t="s">
        <v>2283</v>
      </c>
    </row>
    <row r="38" ht="15.0" customHeight="1">
      <c r="A38" s="116" t="s">
        <v>2290</v>
      </c>
      <c r="B38" s="182">
        <v>45995.0</v>
      </c>
      <c r="C38" s="182">
        <v>45990.0</v>
      </c>
      <c r="D38" s="57" t="s">
        <v>146</v>
      </c>
      <c r="E38" s="3">
        <f t="array" ref="E38">XLOOKUP(D38,RUC!$B$3:$B$110,RUC!$D$3:$D$110)</f>
        <v>20517242919</v>
      </c>
      <c r="G38" s="141">
        <v>60.0</v>
      </c>
      <c r="H38" s="3" t="s">
        <v>47</v>
      </c>
      <c r="I38" s="6">
        <v>5.37</v>
      </c>
      <c r="J38" s="58">
        <v>1.15</v>
      </c>
      <c r="K38" s="6">
        <f t="shared" si="2"/>
        <v>5.308</v>
      </c>
      <c r="L38" s="141">
        <v>0.105</v>
      </c>
      <c r="M38" s="60">
        <f t="shared" si="25"/>
        <v>0.098</v>
      </c>
      <c r="N38" s="75">
        <v>0.129</v>
      </c>
      <c r="O38" s="60">
        <f t="shared" si="26"/>
        <v>0.114</v>
      </c>
      <c r="P38" s="63">
        <v>85.0</v>
      </c>
      <c r="Q38" s="58">
        <v>96.19</v>
      </c>
      <c r="R38" s="65">
        <v>4191.05</v>
      </c>
      <c r="S38" s="3">
        <v>95.0</v>
      </c>
      <c r="U38" s="67">
        <f t="array" ref="U38">XLOOKUP(D38,RUC!$B$3:$B$110,RUC!$F$3:$F$110)</f>
        <v>80</v>
      </c>
      <c r="V38" s="67">
        <v>1.1023</v>
      </c>
      <c r="Y38" s="57" t="str">
        <f t="array" ref="Y38">XLOOKUP(D38,RUC!$B$3:$B$110,RUC!$G$3:$G$110)</f>
        <v/>
      </c>
      <c r="Z38" s="69">
        <f t="array" ref="Z38">XLOOKUP(D38,RUC!$B$3:$B$110,RUC!$H$3:$H$110)</f>
        <v>10</v>
      </c>
      <c r="AA38" s="70">
        <f t="shared" si="5"/>
        <v>10</v>
      </c>
      <c r="AB38" s="71">
        <f t="shared" si="32"/>
        <v>323.3715492</v>
      </c>
      <c r="AC38" s="71">
        <f>+(S38-T38)*V38-'data 1'!$F$4</f>
        <v>24.7185</v>
      </c>
      <c r="AD38" s="71">
        <f t="shared" si="6"/>
        <v>53.24415657</v>
      </c>
      <c r="AE38" s="71">
        <f t="shared" si="7"/>
        <v>-58.977</v>
      </c>
      <c r="AF38" s="71">
        <f t="shared" si="8"/>
        <v>-39.23060452</v>
      </c>
      <c r="AG38" s="72">
        <f t="shared" si="34"/>
        <v>49.75505205</v>
      </c>
      <c r="AH38" s="193">
        <f t="shared" si="9"/>
        <v>18.381</v>
      </c>
      <c r="AI38" s="193">
        <f t="shared" si="10"/>
        <v>19.109</v>
      </c>
      <c r="AJ38" s="73">
        <f t="shared" si="11"/>
        <v>27.71603888</v>
      </c>
      <c r="AK38" s="73">
        <f t="shared" si="12"/>
        <v>17.63452477</v>
      </c>
      <c r="AL38" s="11"/>
      <c r="AM38" s="51">
        <f t="shared" si="13"/>
        <v>1716.456183</v>
      </c>
      <c r="AN38" s="51" t="str">
        <f t="array" ref="AN38">XLOOKUP(D38,RUC!$B$3:$B$565,RUC!$M$3:$M$565)</f>
        <v>Melchor Vera</v>
      </c>
      <c r="AO38" s="131" t="s">
        <v>558</v>
      </c>
      <c r="AP38" s="57" t="s">
        <v>653</v>
      </c>
      <c r="AQ38" s="57" t="s">
        <v>2283</v>
      </c>
    </row>
    <row r="39" ht="15.0" customHeight="1">
      <c r="A39" s="116" t="s">
        <v>2291</v>
      </c>
      <c r="B39" s="182">
        <v>45994.0</v>
      </c>
      <c r="C39" s="182">
        <v>45990.0</v>
      </c>
      <c r="D39" s="57" t="s">
        <v>602</v>
      </c>
      <c r="E39" s="3">
        <f t="array" ref="E39">XLOOKUP(D39,RUC!$B$3:$B$110,RUC!$D$3:$D$110)</f>
        <v>20169040231</v>
      </c>
      <c r="G39" s="141">
        <v>70.0</v>
      </c>
      <c r="H39" s="3" t="s">
        <v>47</v>
      </c>
      <c r="I39" s="6">
        <v>6.52</v>
      </c>
      <c r="J39" s="58">
        <v>4.55</v>
      </c>
      <c r="K39" s="6">
        <f t="shared" si="2"/>
        <v>6.223</v>
      </c>
      <c r="L39" s="141">
        <v>0.225</v>
      </c>
      <c r="M39" s="60">
        <f t="shared" si="25"/>
        <v>0.207</v>
      </c>
      <c r="N39" s="62">
        <f t="shared" ref="N39:N42" si="36">+M39</f>
        <v>0.207</v>
      </c>
      <c r="O39" s="60">
        <f t="shared" si="26"/>
        <v>0.207</v>
      </c>
      <c r="P39" s="63">
        <v>90.0</v>
      </c>
      <c r="Q39" s="58">
        <v>96.7</v>
      </c>
      <c r="R39" s="65">
        <v>4191.05</v>
      </c>
      <c r="S39" s="66">
        <f t="array" ref="S39">IF((XLOOKUP(D39,RUC!$B$3:$B$106,RUC!$E$3:$E$106)+ROUNDDOWN(O39,1)*100)&lt;95,95,((XLOOKUP(D39,RUC!$B$3:$B$106,RUC!$E$3:$E$106)+ROUNDDOWN(O39,1)*100)))</f>
        <v>105</v>
      </c>
      <c r="U39" s="67">
        <f t="array" ref="U39">XLOOKUP(D39,RUC!$B$3:$B$110,RUC!$F$3:$F$110)</f>
        <v>120</v>
      </c>
      <c r="V39" s="67">
        <v>1.1023</v>
      </c>
      <c r="Y39" s="57">
        <f t="array" ref="Y39">XLOOKUP(D39,RUC!$B$3:$B$110,RUC!$G$3:$G$110)</f>
        <v>20</v>
      </c>
      <c r="Z39" s="140">
        <v>35.0</v>
      </c>
      <c r="AA39" s="70">
        <f t="shared" si="5"/>
        <v>55</v>
      </c>
      <c r="AB39" s="71">
        <f t="shared" si="32"/>
        <v>659.6566807</v>
      </c>
      <c r="AC39" s="71">
        <f>+(S39-T39)*V39-'data 1'!$F$4</f>
        <v>35.7415</v>
      </c>
      <c r="AD39" s="71">
        <f t="shared" si="6"/>
        <v>67.64934011</v>
      </c>
      <c r="AE39" s="71">
        <f t="shared" si="7"/>
        <v>-9.3735</v>
      </c>
      <c r="AF39" s="71">
        <f t="shared" si="8"/>
        <v>78.10974553</v>
      </c>
      <c r="AG39" s="72">
        <f t="shared" ref="AG39:AG42" si="37">AC39+AD39+AE39+AF39+70-53</f>
        <v>189.1270856</v>
      </c>
      <c r="AH39" s="193">
        <f t="shared" si="9"/>
        <v>46.421</v>
      </c>
      <c r="AI39" s="193">
        <f t="shared" si="10"/>
        <v>48.006</v>
      </c>
      <c r="AJ39" s="73">
        <f t="shared" si="11"/>
        <v>69.29972296</v>
      </c>
      <c r="AK39" s="73">
        <f t="shared" si="12"/>
        <v>39.74858978</v>
      </c>
      <c r="AM39" s="51">
        <f t="shared" si="13"/>
        <v>4105.043524</v>
      </c>
      <c r="AN39" s="51" t="str">
        <f t="array" ref="AN39">XLOOKUP(D39,RUC!$B$3:$B$565,RUC!$M$3:$M$565)</f>
        <v>Ronald Miranda</v>
      </c>
      <c r="AO39" s="131" t="s">
        <v>551</v>
      </c>
      <c r="AP39" s="57" t="s">
        <v>2292</v>
      </c>
      <c r="AQ39" s="57" t="s">
        <v>2293</v>
      </c>
    </row>
    <row r="40" ht="15.0" customHeight="1">
      <c r="A40" s="116" t="s">
        <v>2294</v>
      </c>
      <c r="B40" s="182">
        <v>46003.0</v>
      </c>
      <c r="C40" s="182">
        <v>45990.0</v>
      </c>
      <c r="D40" s="57" t="s">
        <v>602</v>
      </c>
      <c r="E40" s="3">
        <f t="array" ref="E40">XLOOKUP(D40,RUC!$B$3:$B$110,RUC!$D$3:$D$110)</f>
        <v>20169040231</v>
      </c>
      <c r="G40" s="141">
        <v>88.0</v>
      </c>
      <c r="H40" s="3" t="s">
        <v>47</v>
      </c>
      <c r="I40" s="6">
        <v>7.96</v>
      </c>
      <c r="J40" s="58">
        <v>1.1</v>
      </c>
      <c r="K40" s="6">
        <f t="shared" si="2"/>
        <v>7.872</v>
      </c>
      <c r="L40" s="141">
        <v>0.366</v>
      </c>
      <c r="M40" s="60">
        <f t="shared" si="25"/>
        <v>0.344</v>
      </c>
      <c r="N40" s="62">
        <f t="shared" si="36"/>
        <v>0.344</v>
      </c>
      <c r="O40" s="60">
        <f t="shared" si="26"/>
        <v>0.344</v>
      </c>
      <c r="P40" s="63">
        <v>64.0</v>
      </c>
      <c r="Q40" s="130">
        <v>63.11</v>
      </c>
      <c r="R40" s="65">
        <v>4191.05</v>
      </c>
      <c r="S40" s="66">
        <f t="array" ref="S40">IF((XLOOKUP(D40,RUC!$B$3:$B$106,RUC!$E$3:$E$106)+ROUNDDOWN(O40,1)*100)&lt;95,95,((XLOOKUP(D40,RUC!$B$3:$B$106,RUC!$E$3:$E$106)+ROUNDDOWN(O40,1)*100)))</f>
        <v>115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140">
        <v>35.0</v>
      </c>
      <c r="AA40" s="70">
        <f t="shared" si="5"/>
        <v>55</v>
      </c>
      <c r="AB40" s="71">
        <f t="shared" si="32"/>
        <v>800.5810542</v>
      </c>
      <c r="AC40" s="71">
        <f>+(S40-T40)*V40-'data 1'!$F$4</f>
        <v>46.7645</v>
      </c>
      <c r="AD40" s="71">
        <f t="shared" si="6"/>
        <v>-14.61764249</v>
      </c>
      <c r="AE40" s="71">
        <f t="shared" si="7"/>
        <v>-9.3735</v>
      </c>
      <c r="AF40" s="71">
        <f t="shared" si="8"/>
        <v>62.30560318</v>
      </c>
      <c r="AG40" s="72">
        <f t="shared" si="37"/>
        <v>102.0789607</v>
      </c>
      <c r="AH40" s="193">
        <f t="shared" si="9"/>
        <v>62.341</v>
      </c>
      <c r="AI40" s="193">
        <f t="shared" si="10"/>
        <v>98.781</v>
      </c>
      <c r="AJ40" s="73">
        <f t="shared" si="11"/>
        <v>73.57017207</v>
      </c>
      <c r="AK40" s="73">
        <f t="shared" si="12"/>
        <v>59.41998957</v>
      </c>
      <c r="AM40" s="51">
        <f t="shared" si="13"/>
        <v>6302.174059</v>
      </c>
      <c r="AN40" s="51" t="str">
        <f t="array" ref="AN40">XLOOKUP(D40,RUC!$B$3:$B$565,RUC!$M$3:$M$565)</f>
        <v>Ronald Miranda</v>
      </c>
      <c r="AO40" s="131" t="s">
        <v>561</v>
      </c>
      <c r="AP40" s="57" t="s">
        <v>2292</v>
      </c>
      <c r="AQ40" s="57" t="s">
        <v>2293</v>
      </c>
    </row>
    <row r="41" ht="15.0" customHeight="1">
      <c r="A41" s="116" t="s">
        <v>2295</v>
      </c>
      <c r="B41" s="182">
        <v>46003.0</v>
      </c>
      <c r="C41" s="182">
        <v>45990.0</v>
      </c>
      <c r="D41" s="57" t="s">
        <v>602</v>
      </c>
      <c r="E41" s="3">
        <f t="array" ref="E41">XLOOKUP(D41,RUC!$B$3:$B$110,RUC!$D$3:$D$110)</f>
        <v>20169040231</v>
      </c>
      <c r="G41" s="141">
        <v>80.0</v>
      </c>
      <c r="H41" s="3" t="s">
        <v>47</v>
      </c>
      <c r="I41" s="6">
        <v>7.05</v>
      </c>
      <c r="J41" s="58">
        <v>1.2</v>
      </c>
      <c r="K41" s="6">
        <f t="shared" si="2"/>
        <v>6.965</v>
      </c>
      <c r="L41" s="141">
        <v>0.355</v>
      </c>
      <c r="M41" s="60">
        <f t="shared" si="25"/>
        <v>0.334</v>
      </c>
      <c r="N41" s="62">
        <f t="shared" si="36"/>
        <v>0.334</v>
      </c>
      <c r="O41" s="60">
        <f t="shared" si="26"/>
        <v>0.334</v>
      </c>
      <c r="P41" s="63">
        <v>65.0</v>
      </c>
      <c r="Q41" s="130">
        <v>64.79</v>
      </c>
      <c r="R41" s="65">
        <v>4191.05</v>
      </c>
      <c r="S41" s="66">
        <f t="array" ref="S41">IF((XLOOKUP(D41,RUC!$B$3:$B$106,RUC!$E$3:$E$106)+ROUNDDOWN(O41,1)*100)&lt;95,95,((XLOOKUP(D41,RUC!$B$3:$B$106,RUC!$E$3:$E$106)+ROUNDDOWN(O41,1)*100)))</f>
        <v>115</v>
      </c>
      <c r="U41" s="67">
        <f t="array" ref="U41">XLOOKUP(D41,RUC!$B$3:$B$110,RUC!$F$3:$F$110)</f>
        <v>120</v>
      </c>
      <c r="V41" s="67">
        <v>1.1023</v>
      </c>
      <c r="Y41" s="57">
        <f t="array" ref="Y41">XLOOKUP(D41,RUC!$B$3:$B$110,RUC!$G$3:$G$110)</f>
        <v>20</v>
      </c>
      <c r="Z41" s="140">
        <v>35.0</v>
      </c>
      <c r="AA41" s="70">
        <f t="shared" si="5"/>
        <v>55</v>
      </c>
      <c r="AB41" s="71">
        <f t="shared" si="32"/>
        <v>786.8492479</v>
      </c>
      <c r="AC41" s="71">
        <f>+(S41-T41)*V41-'data 1'!$F$4</f>
        <v>46.7645</v>
      </c>
      <c r="AD41" s="71">
        <f t="shared" si="6"/>
        <v>-3.345444978</v>
      </c>
      <c r="AE41" s="71">
        <f t="shared" si="7"/>
        <v>-9.3735</v>
      </c>
      <c r="AF41" s="71">
        <f t="shared" si="8"/>
        <v>61.0567268</v>
      </c>
      <c r="AG41" s="72">
        <f t="shared" si="37"/>
        <v>112.1022818</v>
      </c>
      <c r="AH41" s="193">
        <f t="shared" si="9"/>
        <v>54.925</v>
      </c>
      <c r="AI41" s="193">
        <f t="shared" si="10"/>
        <v>84.773</v>
      </c>
      <c r="AJ41" s="73">
        <f t="shared" si="11"/>
        <v>73.25863784</v>
      </c>
      <c r="AK41" s="73">
        <f t="shared" si="12"/>
        <v>51.8429867</v>
      </c>
      <c r="AM41" s="51">
        <f t="shared" si="13"/>
        <v>5480.405012</v>
      </c>
      <c r="AN41" s="51" t="str">
        <f t="array" ref="AN41">XLOOKUP(D41,RUC!$B$3:$B$565,RUC!$M$3:$M$565)</f>
        <v>Ronald Miranda</v>
      </c>
      <c r="AO41" s="131" t="s">
        <v>561</v>
      </c>
      <c r="AP41" s="57" t="s">
        <v>2292</v>
      </c>
      <c r="AQ41" s="57" t="s">
        <v>2293</v>
      </c>
    </row>
    <row r="42" ht="15.0" customHeight="1">
      <c r="A42" s="116" t="s">
        <v>2296</v>
      </c>
      <c r="B42" s="182">
        <v>46003.0</v>
      </c>
      <c r="C42" s="182">
        <v>45990.0</v>
      </c>
      <c r="D42" s="57" t="s">
        <v>602</v>
      </c>
      <c r="E42" s="3">
        <f t="array" ref="E42">XLOOKUP(D42,RUC!$B$3:$B$110,RUC!$D$3:$D$110)</f>
        <v>20169040231</v>
      </c>
      <c r="G42" s="141">
        <v>80.0</v>
      </c>
      <c r="H42" s="3" t="s">
        <v>47</v>
      </c>
      <c r="I42" s="6">
        <v>7.57</v>
      </c>
      <c r="J42" s="58">
        <v>1.75</v>
      </c>
      <c r="K42" s="6">
        <f t="shared" si="2"/>
        <v>7.438</v>
      </c>
      <c r="L42" s="141">
        <v>0.273</v>
      </c>
      <c r="M42" s="60">
        <f t="shared" si="25"/>
        <v>0.255</v>
      </c>
      <c r="N42" s="62">
        <f t="shared" si="36"/>
        <v>0.255</v>
      </c>
      <c r="O42" s="60">
        <f t="shared" si="26"/>
        <v>0.255</v>
      </c>
      <c r="P42" s="63">
        <v>66.0</v>
      </c>
      <c r="Q42" s="130">
        <v>66.67</v>
      </c>
      <c r="R42" s="65">
        <v>4191.05</v>
      </c>
      <c r="S42" s="66">
        <f t="array" ref="S42">IF((XLOOKUP(D42,RUC!$B$3:$B$106,RUC!$E$3:$E$106)+ROUNDDOWN(O42,1)*100)&lt;95,95,((XLOOKUP(D42,RUC!$B$3:$B$106,RUC!$E$3:$E$106)+ROUNDDOWN(O42,1)*100)))</f>
        <v>105</v>
      </c>
      <c r="U42" s="67">
        <f t="array" ref="U42">XLOOKUP(D42,RUC!$B$3:$B$110,RUC!$F$3:$F$110)</f>
        <v>120</v>
      </c>
      <c r="V42" s="67">
        <v>1.1023</v>
      </c>
      <c r="Y42" s="57">
        <f t="array" ref="Y42">XLOOKUP(D42,RUC!$B$3:$B$110,RUC!$G$3:$G$110)</f>
        <v>20</v>
      </c>
      <c r="Z42" s="140">
        <v>35.0</v>
      </c>
      <c r="AA42" s="70">
        <f t="shared" si="5"/>
        <v>55</v>
      </c>
      <c r="AB42" s="71">
        <f t="shared" si="32"/>
        <v>578.8813492</v>
      </c>
      <c r="AC42" s="71">
        <f>+(S42-T42)*V42-'data 1'!$F$4</f>
        <v>35.7415</v>
      </c>
      <c r="AD42" s="71">
        <f t="shared" si="6"/>
        <v>8.208119933</v>
      </c>
      <c r="AE42" s="71">
        <f t="shared" si="7"/>
        <v>-9.3735</v>
      </c>
      <c r="AF42" s="71">
        <f t="shared" si="8"/>
        <v>53.85291349</v>
      </c>
      <c r="AG42" s="72">
        <f t="shared" si="37"/>
        <v>105.4290334</v>
      </c>
      <c r="AH42" s="193">
        <f t="shared" si="9"/>
        <v>46.415</v>
      </c>
      <c r="AI42" s="193">
        <f t="shared" si="10"/>
        <v>69.619</v>
      </c>
      <c r="AJ42" s="73">
        <f t="shared" si="11"/>
        <v>57.97164291</v>
      </c>
      <c r="AK42" s="73">
        <f t="shared" si="12"/>
        <v>42.91897676</v>
      </c>
      <c r="AM42" s="51">
        <f t="shared" si="13"/>
        <v>4305.719476</v>
      </c>
      <c r="AN42" s="51" t="str">
        <f t="array" ref="AN42">XLOOKUP(D42,RUC!$B$3:$B$565,RUC!$M$3:$M$565)</f>
        <v>Ronald Miranda</v>
      </c>
      <c r="AO42" s="131" t="s">
        <v>561</v>
      </c>
      <c r="AP42" s="57" t="s">
        <v>2292</v>
      </c>
      <c r="AQ42" s="57" t="s">
        <v>2293</v>
      </c>
    </row>
    <row r="43" ht="15.0" customHeight="1">
      <c r="A43" s="116" t="s">
        <v>2297</v>
      </c>
      <c r="B43" s="182">
        <v>45934.0</v>
      </c>
      <c r="C43" s="182">
        <v>45991.0</v>
      </c>
      <c r="D43" s="57" t="s">
        <v>306</v>
      </c>
      <c r="E43" s="3">
        <f t="array" ref="E43">XLOOKUP(D43,RUC!$B$3:$B$110,RUC!$D$3:$D$110)</f>
        <v>20612921866</v>
      </c>
      <c r="G43" s="141">
        <v>10.0</v>
      </c>
      <c r="H43" s="3" t="s">
        <v>47</v>
      </c>
      <c r="I43" s="6">
        <v>1.12</v>
      </c>
      <c r="J43" s="57">
        <v>1.25</v>
      </c>
      <c r="K43" s="6">
        <f t="shared" si="2"/>
        <v>1.106</v>
      </c>
      <c r="L43" s="141">
        <v>0.826</v>
      </c>
      <c r="M43" s="60">
        <f t="shared" si="25"/>
        <v>0.776</v>
      </c>
      <c r="N43" s="75">
        <v>0.848</v>
      </c>
      <c r="O43" s="60">
        <f t="shared" si="26"/>
        <v>0.812</v>
      </c>
      <c r="P43" s="63">
        <v>90.0</v>
      </c>
      <c r="Q43" s="58">
        <v>95.4</v>
      </c>
      <c r="R43" s="65">
        <v>4238.85</v>
      </c>
      <c r="S43" s="66">
        <f t="array" ref="S43">IF((XLOOKUP(D43,RUC!$B$3:$B$106,RUC!$E$3:$E$106)+ROUNDDOWN(O43,1)*100)&lt;95,95,((XLOOKUP(D43,RUC!$B$3:$B$106,RUC!$E$3:$E$106)+ROUNDDOWN(O43,1)*100)))</f>
        <v>160</v>
      </c>
      <c r="U43" s="67">
        <f t="array" ref="U43">XLOOKUP(D43,RUC!$B$3:$B$110,RUC!$F$3:$F$110)</f>
        <v>100</v>
      </c>
      <c r="V43" s="67">
        <v>1.1023</v>
      </c>
      <c r="Y43" s="57" t="str">
        <f t="array" ref="Y43">XLOOKUP(D43,RUC!$B$3:$B$110,RUC!$G$3:$G$110)</f>
        <v/>
      </c>
      <c r="Z43" s="69">
        <f t="array" ref="Z43">XLOOKUP(D43,RUC!$B$3:$B$110,RUC!$H$3:$H$110)</f>
        <v>30</v>
      </c>
      <c r="AA43" s="70">
        <f t="shared" si="5"/>
        <v>30</v>
      </c>
      <c r="AB43" s="71">
        <f t="shared" si="32"/>
        <v>3124.658483</v>
      </c>
      <c r="AC43" s="71">
        <f>+(S43-T43)*V43-'data 1'!$F$4</f>
        <v>96.368</v>
      </c>
      <c r="AD43" s="71">
        <f t="shared" si="6"/>
        <v>203.4947933</v>
      </c>
      <c r="AE43" s="71">
        <f t="shared" si="7"/>
        <v>-36.931</v>
      </c>
      <c r="AF43" s="71">
        <f t="shared" si="8"/>
        <v>60.93346917</v>
      </c>
      <c r="AG43" s="72">
        <f>AC43+AD43+AE43+AF43+70-10</f>
        <v>383.8652624</v>
      </c>
      <c r="AH43" s="193">
        <f t="shared" si="9"/>
        <v>29.881</v>
      </c>
      <c r="AI43" s="193">
        <f t="shared" si="10"/>
        <v>31.322</v>
      </c>
      <c r="AJ43" s="73">
        <f t="shared" si="11"/>
        <v>192.0946074</v>
      </c>
      <c r="AK43" s="73">
        <f t="shared" si="12"/>
        <v>27.71167232</v>
      </c>
      <c r="AL43" s="11"/>
      <c r="AM43" s="51">
        <f t="shared" si="13"/>
        <v>3455.872282</v>
      </c>
      <c r="AN43" s="51" t="str">
        <f t="array" ref="AN43">XLOOKUP(D43,RUC!$B$3:$B$565,RUC!$M$3:$M$565)</f>
        <v>Ronald Garibay</v>
      </c>
      <c r="AO43" s="131" t="s">
        <v>551</v>
      </c>
      <c r="AP43" s="57" t="s">
        <v>2298</v>
      </c>
      <c r="AQ43" s="57" t="s">
        <v>2299</v>
      </c>
    </row>
    <row r="44" ht="15.0" customHeight="1">
      <c r="A44" s="116" t="s">
        <v>2300</v>
      </c>
      <c r="B44" s="182">
        <v>45996.0</v>
      </c>
      <c r="C44" s="182">
        <v>45991.0</v>
      </c>
      <c r="D44" s="57" t="s">
        <v>225</v>
      </c>
      <c r="E44" s="3">
        <f t="array" ref="E44">XLOOKUP(D44,RUC!$B$3:$B$110,RUC!$D$3:$D$110)</f>
        <v>10761932735</v>
      </c>
      <c r="G44" s="141">
        <v>193.0</v>
      </c>
      <c r="H44" s="3" t="s">
        <v>47</v>
      </c>
      <c r="I44" s="6">
        <v>15.56</v>
      </c>
      <c r="J44" s="57">
        <v>16.05</v>
      </c>
      <c r="K44" s="6">
        <f t="shared" si="2"/>
        <v>13.063</v>
      </c>
      <c r="L44" s="141">
        <v>0.145</v>
      </c>
      <c r="M44" s="60">
        <f t="shared" si="25"/>
        <v>0.127</v>
      </c>
      <c r="N44" s="62">
        <f t="shared" ref="N44:N45" si="38">+M44</f>
        <v>0.127</v>
      </c>
      <c r="O44" s="60">
        <f t="shared" si="26"/>
        <v>0.127</v>
      </c>
      <c r="P44" s="63">
        <v>80.0</v>
      </c>
      <c r="Q44" s="58">
        <v>95.17</v>
      </c>
      <c r="R44" s="65">
        <v>4238.85</v>
      </c>
      <c r="S44" s="66">
        <f t="array" ref="S44">IF((XLOOKUP(D44,RUC!$B$3:$B$106,RUC!$E$3:$E$106)+ROUNDDOWN(O44,1)*100)&lt;95,95,((XLOOKUP(D44,RUC!$B$3:$B$106,RUC!$E$3:$E$106)+ROUNDDOWN(O44,1)*100)))</f>
        <v>100</v>
      </c>
      <c r="U44" s="67">
        <f t="array" ref="U44">XLOOKUP(D44,RUC!$B$3:$B$110,RUC!$F$3:$F$110)</f>
        <v>120</v>
      </c>
      <c r="V44" s="67">
        <v>1.1023</v>
      </c>
      <c r="Y44" s="57">
        <f t="array" ref="Y44">XLOOKUP(D44,RUC!$B$3:$B$110,RUC!$G$3:$G$110)</f>
        <v>20</v>
      </c>
      <c r="Z44" s="69">
        <f t="array" ref="Z44">XLOOKUP(D44,RUC!$B$3:$B$110,RUC!$H$3:$H$110)</f>
        <v>30</v>
      </c>
      <c r="AA44" s="70">
        <f t="shared" si="5"/>
        <v>50</v>
      </c>
      <c r="AB44" s="71">
        <f t="shared" si="32"/>
        <v>295.9401689</v>
      </c>
      <c r="AC44" s="71">
        <f>+(S44-T44)*V44-'data 1'!$F$4</f>
        <v>30.23</v>
      </c>
      <c r="AD44" s="71">
        <f t="shared" si="6"/>
        <v>99.86869308</v>
      </c>
      <c r="AE44" s="71">
        <f t="shared" si="7"/>
        <v>-14.885</v>
      </c>
      <c r="AF44" s="71">
        <f t="shared" si="8"/>
        <v>77.77649325</v>
      </c>
      <c r="AG44" s="72">
        <f>AC44+AD44+AE44+AF44+70-53</f>
        <v>209.9901863</v>
      </c>
      <c r="AH44" s="193">
        <f t="shared" si="9"/>
        <v>61.804</v>
      </c>
      <c r="AI44" s="193">
        <f t="shared" si="10"/>
        <v>64.941</v>
      </c>
      <c r="AJ44" s="73">
        <f t="shared" si="11"/>
        <v>36.68218064</v>
      </c>
      <c r="AK44" s="73">
        <f t="shared" si="12"/>
        <v>45.50359445</v>
      </c>
      <c r="AM44" s="51">
        <f t="shared" si="13"/>
        <v>3865.866426</v>
      </c>
      <c r="AN44" s="51" t="str">
        <f t="array" ref="AN44">XLOOKUP(D44,RUC!$B$3:$B$565,RUC!$M$3:$M$565)</f>
        <v>Richard Sapacayo</v>
      </c>
      <c r="AO44" s="131" t="s">
        <v>547</v>
      </c>
      <c r="AP44" s="57" t="s">
        <v>1570</v>
      </c>
      <c r="AQ44" s="57" t="s">
        <v>2301</v>
      </c>
    </row>
    <row r="45" ht="15.0" customHeight="1">
      <c r="A45" s="192" t="s">
        <v>2302</v>
      </c>
      <c r="B45" s="194">
        <v>45996.0</v>
      </c>
      <c r="C45" s="182">
        <v>45991.0</v>
      </c>
      <c r="D45" s="57" t="s">
        <v>225</v>
      </c>
      <c r="E45" s="3">
        <f t="array" ref="E45">XLOOKUP(D45,RUC!$B$3:$B$110,RUC!$D$3:$D$110)</f>
        <v>10761932735</v>
      </c>
      <c r="G45" s="141">
        <v>20.0</v>
      </c>
      <c r="H45" s="3" t="s">
        <v>47</v>
      </c>
      <c r="I45" s="6">
        <v>1.78</v>
      </c>
      <c r="J45" s="57">
        <v>15.51</v>
      </c>
      <c r="K45" s="6">
        <f t="shared" si="2"/>
        <v>1.504</v>
      </c>
      <c r="L45" s="141">
        <v>0.079</v>
      </c>
      <c r="M45" s="60">
        <f t="shared" si="25"/>
        <v>0.061</v>
      </c>
      <c r="N45" s="62">
        <f t="shared" si="38"/>
        <v>0.061</v>
      </c>
      <c r="O45" s="60">
        <f t="shared" si="26"/>
        <v>0.061</v>
      </c>
      <c r="P45" s="63">
        <v>80.0</v>
      </c>
      <c r="Q45" s="58">
        <v>94.94</v>
      </c>
      <c r="R45" s="65">
        <v>4238.85</v>
      </c>
      <c r="S45" s="66">
        <f t="array" ref="S45">IF((XLOOKUP(D45,RUC!$B$3:$B$106,RUC!$E$3:$E$106)+ROUNDDOWN(O45,1)*100)&lt;95,95,((XLOOKUP(D45,RUC!$B$3:$B$106,RUC!$E$3:$E$106)+ROUNDDOWN(O45,1)*100)))</f>
        <v>95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si="5"/>
        <v>50</v>
      </c>
      <c r="AB45" s="71">
        <v>0.0</v>
      </c>
      <c r="AC45" s="71">
        <f>+(S45-T45)*V45-'data 1'!$F$4</f>
        <v>24.7185</v>
      </c>
      <c r="AD45" s="71">
        <f t="shared" si="6"/>
        <v>53.58626313</v>
      </c>
      <c r="AE45" s="71">
        <f t="shared" si="7"/>
        <v>-14.885</v>
      </c>
      <c r="AF45" s="71">
        <f t="shared" si="8"/>
        <v>77.58852862</v>
      </c>
      <c r="AG45" s="72">
        <f>AC45+AD45+AE45+AF45+70-53+61.73</f>
        <v>219.7382918</v>
      </c>
      <c r="AH45" s="193">
        <f t="shared" si="9"/>
        <v>3.868</v>
      </c>
      <c r="AI45" s="193">
        <f t="shared" si="10"/>
        <v>4.074</v>
      </c>
      <c r="AJ45" s="73">
        <f t="shared" si="11"/>
        <v>19.93716451</v>
      </c>
      <c r="AK45" s="73">
        <f t="shared" si="12"/>
        <v>2.516382913</v>
      </c>
      <c r="AM45" s="51">
        <f t="shared" si="13"/>
        <v>0</v>
      </c>
      <c r="AN45" s="51" t="str">
        <f t="array" ref="AN45">XLOOKUP(D45,RUC!$B$3:$B$565,RUC!$M$3:$M$565)</f>
        <v>Richard Sapacayo</v>
      </c>
      <c r="AO45" s="131" t="s">
        <v>549</v>
      </c>
      <c r="AP45" s="57" t="s">
        <v>1570</v>
      </c>
      <c r="AQ45" s="57" t="s">
        <v>2301</v>
      </c>
    </row>
    <row r="46" ht="15.0" customHeight="1">
      <c r="A46" s="116" t="s">
        <v>2303</v>
      </c>
      <c r="B46" s="182">
        <v>45996.0</v>
      </c>
      <c r="C46" s="182">
        <v>45991.0</v>
      </c>
      <c r="D46" s="57" t="s">
        <v>225</v>
      </c>
      <c r="E46" s="3">
        <f t="array" ref="E46">XLOOKUP(D46,RUC!$B$3:$B$110,RUC!$D$3:$D$110)</f>
        <v>10761932735</v>
      </c>
      <c r="G46" s="141">
        <v>25.0</v>
      </c>
      <c r="H46" s="3" t="s">
        <v>47</v>
      </c>
      <c r="I46" s="6">
        <v>2.1</v>
      </c>
      <c r="J46" s="57">
        <v>11.38</v>
      </c>
      <c r="K46" s="6">
        <f t="shared" si="2"/>
        <v>1.861</v>
      </c>
      <c r="L46" s="141">
        <v>0.872</v>
      </c>
      <c r="M46" s="60">
        <f t="shared" si="25"/>
        <v>0.82</v>
      </c>
      <c r="N46" s="75">
        <v>0.869</v>
      </c>
      <c r="O46" s="60">
        <f t="shared" si="26"/>
        <v>0.845</v>
      </c>
      <c r="P46" s="63">
        <v>90.0</v>
      </c>
      <c r="Q46" s="58">
        <v>94.95</v>
      </c>
      <c r="R46" s="65">
        <v>4238.85</v>
      </c>
      <c r="S46" s="66">
        <f t="array" ref="S46">IF((XLOOKUP(D46,RUC!$B$3:$B$106,RUC!$E$3:$E$106)+ROUNDDOWN(O46,1)*100)&lt;95,95,((XLOOKUP(D46,RUC!$B$3:$B$106,RUC!$E$3:$E$106)+ROUNDDOWN(O46,1)*100)))</f>
        <v>170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5"/>
        <v>50</v>
      </c>
      <c r="AB46" s="71">
        <f t="shared" ref="AB46:AB57" si="39">+((O46*P46*(R46-U46)/100)-S46-AA46+T46)*V46</f>
        <v>3210.322454</v>
      </c>
      <c r="AC46" s="71">
        <f>+(S46-T46)*V46-'data 1'!$F$4</f>
        <v>107.391</v>
      </c>
      <c r="AD46" s="71">
        <f t="shared" si="6"/>
        <v>195.9735534</v>
      </c>
      <c r="AE46" s="71">
        <f t="shared" si="7"/>
        <v>-14.885</v>
      </c>
      <c r="AF46" s="71">
        <f t="shared" si="8"/>
        <v>116.3950515</v>
      </c>
      <c r="AG46" s="72">
        <f t="shared" ref="AG46:AG55" si="40">AC46+AD46+AE46+AF46+70-53</f>
        <v>421.8746049</v>
      </c>
      <c r="AH46" s="193">
        <f t="shared" si="9"/>
        <v>52.828</v>
      </c>
      <c r="AI46" s="193">
        <f t="shared" si="10"/>
        <v>55.638</v>
      </c>
      <c r="AJ46" s="73">
        <f t="shared" si="11"/>
        <v>220.0890966</v>
      </c>
      <c r="AK46" s="73">
        <f t="shared" si="12"/>
        <v>48.523784</v>
      </c>
      <c r="AM46" s="51">
        <f t="shared" si="13"/>
        <v>5974.410087</v>
      </c>
      <c r="AN46" s="51" t="str">
        <f t="array" ref="AN46">XLOOKUP(D46,RUC!$B$3:$B$565,RUC!$M$3:$M$565)</f>
        <v>Richard Sapacayo</v>
      </c>
      <c r="AO46" s="131" t="s">
        <v>547</v>
      </c>
      <c r="AP46" s="57" t="s">
        <v>1570</v>
      </c>
      <c r="AQ46" s="57" t="s">
        <v>2301</v>
      </c>
    </row>
    <row r="47" ht="15.0" customHeight="1">
      <c r="A47" s="116" t="s">
        <v>2304</v>
      </c>
      <c r="B47" s="182">
        <v>45996.0</v>
      </c>
      <c r="C47" s="182">
        <v>45991.0</v>
      </c>
      <c r="D47" s="57" t="s">
        <v>225</v>
      </c>
      <c r="E47" s="3">
        <f t="array" ref="E47">XLOOKUP(D47,RUC!$B$3:$B$110,RUC!$D$3:$D$110)</f>
        <v>10761932735</v>
      </c>
      <c r="G47" s="141" t="s">
        <v>735</v>
      </c>
      <c r="H47" s="3" t="s">
        <v>47</v>
      </c>
      <c r="I47" s="6">
        <v>15.26</v>
      </c>
      <c r="J47" s="57">
        <v>17.51</v>
      </c>
      <c r="K47" s="6">
        <f t="shared" si="2"/>
        <v>12.588</v>
      </c>
      <c r="L47" s="141">
        <v>0.256</v>
      </c>
      <c r="M47" s="60">
        <f t="shared" si="25"/>
        <v>0.238</v>
      </c>
      <c r="N47" s="75">
        <v>0.294</v>
      </c>
      <c r="O47" s="60">
        <f t="shared" si="26"/>
        <v>0.266</v>
      </c>
      <c r="P47" s="63">
        <v>90.0</v>
      </c>
      <c r="Q47" s="58">
        <v>96.48</v>
      </c>
      <c r="R47" s="65">
        <v>4238.85</v>
      </c>
      <c r="S47" s="66">
        <f t="array" ref="S47">IF((XLOOKUP(D47,RUC!$B$3:$B$106,RUC!$E$3:$E$106)+ROUNDDOWN(O47,1)*100)&lt;95,95,((XLOOKUP(D47,RUC!$B$3:$B$106,RUC!$E$3:$E$106)+ROUNDDOWN(O47,1)*100)))</f>
        <v>110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5"/>
        <v>50</v>
      </c>
      <c r="AB47" s="71">
        <f t="shared" si="39"/>
        <v>910.5578802</v>
      </c>
      <c r="AC47" s="71">
        <f>+(S47-T47)*V47-'data 1'!$F$4</f>
        <v>41.253</v>
      </c>
      <c r="AD47" s="71">
        <f t="shared" si="6"/>
        <v>75.31660836</v>
      </c>
      <c r="AE47" s="71">
        <f t="shared" si="7"/>
        <v>-14.885</v>
      </c>
      <c r="AF47" s="71">
        <f t="shared" si="8"/>
        <v>-43.80393021</v>
      </c>
      <c r="AG47" s="72">
        <f t="shared" si="40"/>
        <v>74.88067815</v>
      </c>
      <c r="AH47" s="193">
        <f t="shared" si="9"/>
        <v>106.597</v>
      </c>
      <c r="AI47" s="193">
        <f t="shared" si="10"/>
        <v>110.486</v>
      </c>
      <c r="AJ47" s="73">
        <f t="shared" si="11"/>
        <v>65.65447513</v>
      </c>
      <c r="AK47" s="73">
        <f t="shared" si="12"/>
        <v>103.3213209</v>
      </c>
      <c r="AM47" s="51">
        <f t="shared" si="13"/>
        <v>11462.1026</v>
      </c>
      <c r="AN47" s="51" t="str">
        <f t="array" ref="AN47">XLOOKUP(D47,RUC!$B$3:$B$565,RUC!$M$3:$M$565)</f>
        <v>Richard Sapacayo</v>
      </c>
      <c r="AO47" s="131" t="s">
        <v>547</v>
      </c>
      <c r="AP47" s="57" t="s">
        <v>1570</v>
      </c>
      <c r="AQ47" s="57" t="s">
        <v>2301</v>
      </c>
    </row>
    <row r="48" ht="15.0" customHeight="1">
      <c r="A48" s="116" t="s">
        <v>2305</v>
      </c>
      <c r="B48" s="182">
        <v>46002.0</v>
      </c>
      <c r="C48" s="182">
        <v>45993.0</v>
      </c>
      <c r="D48" s="57" t="s">
        <v>225</v>
      </c>
      <c r="E48" s="3">
        <f t="array" ref="E48">XLOOKUP(D48,RUC!$B$3:$B$110,RUC!$D$3:$D$110)</f>
        <v>10761932735</v>
      </c>
      <c r="G48" s="141">
        <v>100.0</v>
      </c>
      <c r="H48" s="3" t="s">
        <v>47</v>
      </c>
      <c r="I48" s="6">
        <v>8.47</v>
      </c>
      <c r="J48" s="57">
        <v>4.05</v>
      </c>
      <c r="K48" s="6">
        <f t="shared" si="2"/>
        <v>8.127</v>
      </c>
      <c r="L48" s="141">
        <v>0.131</v>
      </c>
      <c r="M48" s="60">
        <f t="shared" si="25"/>
        <v>0.113</v>
      </c>
      <c r="N48" s="75">
        <v>0.164</v>
      </c>
      <c r="O48" s="60">
        <f t="shared" si="26"/>
        <v>0.139</v>
      </c>
      <c r="P48" s="63">
        <v>85.0</v>
      </c>
      <c r="Q48" s="58">
        <v>97.71</v>
      </c>
      <c r="R48" s="65">
        <v>4214.75</v>
      </c>
      <c r="S48" s="66">
        <f t="array" ref="S48">IF((XLOOKUP(D48,RUC!$B$3:$B$106,RUC!$E$3:$E$106)+ROUNDDOWN(O48,1)*100)&lt;95,95,((XLOOKUP(D48,RUC!$B$3:$B$106,RUC!$E$3:$E$106)+ROUNDDOWN(O48,1)*100)))</f>
        <v>100</v>
      </c>
      <c r="U48" s="67">
        <f t="array" ref="U48">XLOOKUP(D48,RUC!$B$3:$B$110,RUC!$F$3:$F$110)</f>
        <v>120</v>
      </c>
      <c r="V48" s="67">
        <v>1.1023</v>
      </c>
      <c r="Z48" s="69">
        <f t="array" ref="Z48">XLOOKUP(D48,RUC!$B$3:$B$110,RUC!$H$3:$H$110)</f>
        <v>30</v>
      </c>
      <c r="AA48" s="70">
        <f t="shared" si="5"/>
        <v>30</v>
      </c>
      <c r="AB48" s="71">
        <f t="shared" si="39"/>
        <v>389.9879116</v>
      </c>
      <c r="AC48" s="71">
        <f>+(S48-T48)*V48-'data 1'!$F$4</f>
        <v>30.23</v>
      </c>
      <c r="AD48" s="71">
        <f t="shared" si="6"/>
        <v>75.15260607</v>
      </c>
      <c r="AE48" s="71">
        <f t="shared" si="7"/>
        <v>-36.931</v>
      </c>
      <c r="AF48" s="71">
        <f t="shared" si="8"/>
        <v>-35.28224402</v>
      </c>
      <c r="AG48" s="72">
        <f t="shared" si="40"/>
        <v>50.16936205</v>
      </c>
      <c r="AH48" s="193">
        <f t="shared" si="9"/>
        <v>35.666</v>
      </c>
      <c r="AI48" s="193">
        <f t="shared" si="10"/>
        <v>36.501</v>
      </c>
      <c r="AJ48" s="73">
        <f t="shared" si="11"/>
        <v>37.42531884</v>
      </c>
      <c r="AK48" s="73">
        <f t="shared" si="12"/>
        <v>32.92100275</v>
      </c>
      <c r="AM48" s="51">
        <f t="shared" si="13"/>
        <v>3169.431757</v>
      </c>
      <c r="AN48" s="51" t="str">
        <f t="array" ref="AN48">XLOOKUP(D48,RUC!$B$3:$B$565,RUC!$M$3:$M$565)</f>
        <v>Richard Sapacayo</v>
      </c>
      <c r="AO48" s="131" t="s">
        <v>549</v>
      </c>
      <c r="AP48" s="57" t="s">
        <v>2123</v>
      </c>
      <c r="AQ48" s="57" t="s">
        <v>2306</v>
      </c>
    </row>
    <row r="49" ht="15.0" customHeight="1">
      <c r="A49" s="116" t="s">
        <v>2307</v>
      </c>
      <c r="B49" s="182">
        <v>46002.0</v>
      </c>
      <c r="C49" s="182">
        <v>45993.0</v>
      </c>
      <c r="D49" s="57" t="s">
        <v>225</v>
      </c>
      <c r="E49" s="3">
        <f t="array" ref="E49">XLOOKUP(D49,RUC!$B$3:$B$110,RUC!$D$3:$D$110)</f>
        <v>10761932735</v>
      </c>
      <c r="G49" s="141">
        <v>100.0</v>
      </c>
      <c r="H49" s="3" t="s">
        <v>47</v>
      </c>
      <c r="I49" s="6">
        <v>8.62</v>
      </c>
      <c r="J49" s="57">
        <v>4.45</v>
      </c>
      <c r="K49" s="6">
        <f t="shared" si="2"/>
        <v>8.236</v>
      </c>
      <c r="L49" s="141">
        <v>0.227</v>
      </c>
      <c r="M49" s="60">
        <f t="shared" si="25"/>
        <v>0.209</v>
      </c>
      <c r="N49" s="75">
        <v>0.252</v>
      </c>
      <c r="O49" s="60">
        <f t="shared" si="26"/>
        <v>0.231</v>
      </c>
      <c r="P49" s="63">
        <v>90.0</v>
      </c>
      <c r="Q49" s="58">
        <v>98.68</v>
      </c>
      <c r="R49" s="65">
        <v>4214.75</v>
      </c>
      <c r="S49" s="66">
        <f t="array" ref="S49">IF((XLOOKUP(D49,RUC!$B$3:$B$106,RUC!$E$3:$E$106)+ROUNDDOWN(O49,1)*100)&lt;95,95,((XLOOKUP(D49,RUC!$B$3:$B$106,RUC!$E$3:$E$106)+ROUNDDOWN(O49,1)*100)))</f>
        <v>110</v>
      </c>
      <c r="U49" s="67">
        <f t="array" ref="U49">XLOOKUP(D49,RUC!$B$3:$B$110,RUC!$F$3:$F$110)</f>
        <v>120</v>
      </c>
      <c r="V49" s="67">
        <v>1.1023</v>
      </c>
      <c r="Z49" s="69">
        <f t="array" ref="Z49">XLOOKUP(D49,RUC!$B$3:$B$110,RUC!$H$3:$H$110)</f>
        <v>30</v>
      </c>
      <c r="AA49" s="70">
        <f t="shared" si="5"/>
        <v>30</v>
      </c>
      <c r="AB49" s="71">
        <f t="shared" si="39"/>
        <v>784.0643641</v>
      </c>
      <c r="AC49" s="71">
        <f>+(S49-T49)*V49-'data 1'!$F$4</f>
        <v>41.253</v>
      </c>
      <c r="AD49" s="71">
        <f t="shared" si="6"/>
        <v>88.93501474</v>
      </c>
      <c r="AE49" s="71">
        <f t="shared" si="7"/>
        <v>-36.931</v>
      </c>
      <c r="AF49" s="71">
        <f t="shared" si="8"/>
        <v>-17.81625135</v>
      </c>
      <c r="AG49" s="72">
        <f t="shared" si="40"/>
        <v>92.44076338</v>
      </c>
      <c r="AH49" s="193">
        <f t="shared" si="9"/>
        <v>63.253</v>
      </c>
      <c r="AI49" s="193">
        <f t="shared" si="10"/>
        <v>64.099</v>
      </c>
      <c r="AJ49" s="73">
        <f t="shared" si="11"/>
        <v>65.49530939</v>
      </c>
      <c r="AK49" s="73">
        <f t="shared" si="12"/>
        <v>58.7056494</v>
      </c>
      <c r="AM49" s="51">
        <f t="shared" si="13"/>
        <v>6457.554103</v>
      </c>
      <c r="AN49" s="51" t="str">
        <f t="array" ref="AN49">XLOOKUP(D49,RUC!$B$3:$B$565,RUC!$M$3:$M$565)</f>
        <v>Richard Sapacayo</v>
      </c>
      <c r="AO49" s="131" t="s">
        <v>549</v>
      </c>
      <c r="AP49" s="57" t="s">
        <v>2123</v>
      </c>
      <c r="AQ49" s="57" t="s">
        <v>2306</v>
      </c>
    </row>
    <row r="50" ht="15.0" customHeight="1">
      <c r="A50" s="116" t="s">
        <v>2308</v>
      </c>
      <c r="B50" s="182">
        <v>46000.0</v>
      </c>
      <c r="C50" s="182">
        <v>45993.0</v>
      </c>
      <c r="D50" s="57" t="s">
        <v>225</v>
      </c>
      <c r="E50" s="3">
        <f t="array" ref="E50">XLOOKUP(D50,RUC!$B$3:$B$110,RUC!$D$3:$D$110)</f>
        <v>10761932735</v>
      </c>
      <c r="G50" s="141">
        <v>7.0</v>
      </c>
      <c r="H50" s="3" t="s">
        <v>47</v>
      </c>
      <c r="I50" s="6">
        <v>0.66</v>
      </c>
      <c r="J50" s="57">
        <v>11.65</v>
      </c>
      <c r="K50" s="6">
        <f t="shared" si="2"/>
        <v>0.583</v>
      </c>
      <c r="L50" s="141">
        <v>0.975</v>
      </c>
      <c r="M50" s="60">
        <f t="shared" si="25"/>
        <v>0.917</v>
      </c>
      <c r="N50" s="123">
        <v>1.027</v>
      </c>
      <c r="O50" s="60">
        <f t="shared" si="26"/>
        <v>0.972</v>
      </c>
      <c r="P50" s="63">
        <v>90.0</v>
      </c>
      <c r="Q50" s="58">
        <v>96.62</v>
      </c>
      <c r="R50" s="65">
        <v>4214.75</v>
      </c>
      <c r="S50" s="66">
        <f t="array" ref="S50">IF((XLOOKUP(D50,RUC!$B$3:$B$106,RUC!$E$3:$E$106)+ROUNDDOWN(O50,1)*100)&lt;95,95,((XLOOKUP(D50,RUC!$B$3:$B$106,RUC!$E$3:$E$106)+ROUNDDOWN(O50,1)*100)))</f>
        <v>180</v>
      </c>
      <c r="U50" s="67">
        <f t="array" ref="U50">XLOOKUP(D50,RUC!$B$3:$B$110,RUC!$F$3:$F$110)</f>
        <v>120</v>
      </c>
      <c r="V50" s="67">
        <v>1.1023</v>
      </c>
      <c r="Y50" s="57">
        <f t="array" ref="Y50">XLOOKUP(D50,RUC!$B$3:$B$110,RUC!$G$3:$G$110)</f>
        <v>20</v>
      </c>
      <c r="Z50" s="69">
        <f t="array" ref="Z50">XLOOKUP(D50,RUC!$B$3:$B$110,RUC!$H$3:$H$110)</f>
        <v>30</v>
      </c>
      <c r="AA50" s="70">
        <f t="shared" si="5"/>
        <v>50</v>
      </c>
      <c r="AB50" s="71">
        <f t="shared" si="39"/>
        <v>3695.005831</v>
      </c>
      <c r="AC50" s="71">
        <f>+(S50-T50)*V50-'data 1'!$F$4</f>
        <v>118.414</v>
      </c>
      <c r="AD50" s="71">
        <f t="shared" si="6"/>
        <v>291.3330826</v>
      </c>
      <c r="AE50" s="71">
        <f t="shared" si="7"/>
        <v>-14.885</v>
      </c>
      <c r="AF50" s="71">
        <f t="shared" si="8"/>
        <v>13.08324538</v>
      </c>
      <c r="AG50" s="72">
        <f t="shared" si="40"/>
        <v>424.945328</v>
      </c>
      <c r="AH50" s="193">
        <f t="shared" si="9"/>
        <v>18.83</v>
      </c>
      <c r="AI50" s="193">
        <f t="shared" si="10"/>
        <v>19.489</v>
      </c>
      <c r="AJ50" s="73">
        <f t="shared" si="11"/>
        <v>275.439898</v>
      </c>
      <c r="AK50" s="73">
        <f t="shared" si="12"/>
        <v>17.4858359</v>
      </c>
      <c r="AM50" s="51">
        <f t="shared" si="13"/>
        <v>2154.188399</v>
      </c>
      <c r="AN50" s="51" t="str">
        <f t="array" ref="AN50">XLOOKUP(D50,RUC!$B$3:$B$565,RUC!$M$3:$M$565)</f>
        <v>Richard Sapacayo</v>
      </c>
      <c r="AO50" s="131" t="s">
        <v>547</v>
      </c>
      <c r="AP50" s="57" t="s">
        <v>2309</v>
      </c>
      <c r="AQ50" s="57" t="s">
        <v>2310</v>
      </c>
    </row>
    <row r="51" ht="15.0" customHeight="1">
      <c r="A51" s="116" t="s">
        <v>2311</v>
      </c>
      <c r="B51" s="182">
        <v>46000.0</v>
      </c>
      <c r="C51" s="182">
        <v>45993.0</v>
      </c>
      <c r="D51" s="57" t="s">
        <v>225</v>
      </c>
      <c r="E51" s="3">
        <f t="array" ref="E51">XLOOKUP(D51,RUC!$B$3:$B$110,RUC!$D$3:$D$110)</f>
        <v>10761932735</v>
      </c>
      <c r="G51" s="141">
        <v>126.0</v>
      </c>
      <c r="H51" s="3" t="s">
        <v>339</v>
      </c>
      <c r="I51" s="6">
        <v>10.37</v>
      </c>
      <c r="J51" s="57">
        <v>16.78</v>
      </c>
      <c r="K51" s="6">
        <f t="shared" si="2"/>
        <v>8.63</v>
      </c>
      <c r="L51" s="141">
        <v>0.332</v>
      </c>
      <c r="M51" s="60">
        <f t="shared" si="25"/>
        <v>0.312</v>
      </c>
      <c r="N51" s="62">
        <f t="shared" ref="N51:N52" si="41">+M51</f>
        <v>0.312</v>
      </c>
      <c r="O51" s="60">
        <f t="shared" si="26"/>
        <v>0.312</v>
      </c>
      <c r="P51" s="63">
        <v>90.0</v>
      </c>
      <c r="Q51" s="58">
        <v>94.28</v>
      </c>
      <c r="R51" s="65">
        <v>4214.75</v>
      </c>
      <c r="S51" s="66">
        <f t="array" ref="S51">IF((XLOOKUP(D51,RUC!$B$3:$B$106,RUC!$E$3:$E$106)+ROUNDDOWN(O51,1)*100)&lt;95,95,((XLOOKUP(D51,RUC!$B$3:$B$106,RUC!$E$3:$E$106)+ROUNDDOWN(O51,1)*100)))</f>
        <v>120</v>
      </c>
      <c r="U51" s="67">
        <f t="array" ref="U51">XLOOKUP(D51,RUC!$B$3:$B$110,RUC!$F$3:$F$110)</f>
        <v>120</v>
      </c>
      <c r="V51" s="67">
        <v>1.1023</v>
      </c>
      <c r="Y51" s="57">
        <f t="array" ref="Y51">XLOOKUP(D51,RUC!$B$3:$B$110,RUC!$G$3:$G$110)</f>
        <v>20</v>
      </c>
      <c r="Z51" s="69">
        <f t="array" ref="Z51">XLOOKUP(D51,RUC!$B$3:$B$110,RUC!$H$3:$H$110)</f>
        <v>30</v>
      </c>
      <c r="AA51" s="70">
        <f t="shared" si="5"/>
        <v>50</v>
      </c>
      <c r="AB51" s="71">
        <f t="shared" si="39"/>
        <v>1080.039933</v>
      </c>
      <c r="AC51" s="71">
        <f>+(S51-T51)*V51-'data 1'!$F$4</f>
        <v>52.276</v>
      </c>
      <c r="AD51" s="71">
        <f t="shared" si="6"/>
        <v>64.13706051</v>
      </c>
      <c r="AE51" s="71">
        <f t="shared" si="7"/>
        <v>-14.885</v>
      </c>
      <c r="AF51" s="71">
        <f t="shared" si="8"/>
        <v>85.10925099</v>
      </c>
      <c r="AG51" s="72">
        <f t="shared" si="40"/>
        <v>203.6373115</v>
      </c>
      <c r="AH51" s="193">
        <f t="shared" si="9"/>
        <v>92.614</v>
      </c>
      <c r="AI51" s="193">
        <f t="shared" si="10"/>
        <v>98.233</v>
      </c>
      <c r="AJ51" s="73">
        <f t="shared" si="11"/>
        <v>91.51933537</v>
      </c>
      <c r="AK51" s="73">
        <f t="shared" si="12"/>
        <v>83.083918</v>
      </c>
      <c r="AM51" s="51">
        <f t="shared" si="13"/>
        <v>9320.744625</v>
      </c>
      <c r="AN51" s="51" t="str">
        <f t="array" ref="AN51">XLOOKUP(D51,RUC!$B$3:$B$565,RUC!$M$3:$M$565)</f>
        <v>Richard Sapacayo</v>
      </c>
      <c r="AO51" s="131" t="s">
        <v>547</v>
      </c>
      <c r="AP51" s="57" t="s">
        <v>2309</v>
      </c>
      <c r="AQ51" s="57" t="s">
        <v>2310</v>
      </c>
    </row>
    <row r="52" ht="15.0" customHeight="1">
      <c r="A52" s="116" t="s">
        <v>2312</v>
      </c>
      <c r="B52" s="182">
        <v>46000.0</v>
      </c>
      <c r="C52" s="182">
        <v>45993.0</v>
      </c>
      <c r="D52" s="57" t="s">
        <v>225</v>
      </c>
      <c r="E52" s="3">
        <f t="array" ref="E52">XLOOKUP(D52,RUC!$B$3:$B$110,RUC!$D$3:$D$110)</f>
        <v>10761932735</v>
      </c>
      <c r="G52" s="141">
        <v>25.0</v>
      </c>
      <c r="H52" s="3" t="s">
        <v>339</v>
      </c>
      <c r="I52" s="6">
        <v>2.02</v>
      </c>
      <c r="J52" s="57">
        <v>14.71</v>
      </c>
      <c r="K52" s="6">
        <f t="shared" si="2"/>
        <v>1.723</v>
      </c>
      <c r="L52" s="141">
        <v>0.474</v>
      </c>
      <c r="M52" s="60">
        <f t="shared" si="25"/>
        <v>0.446</v>
      </c>
      <c r="N52" s="62">
        <f t="shared" si="41"/>
        <v>0.446</v>
      </c>
      <c r="O52" s="60">
        <f t="shared" si="26"/>
        <v>0.446</v>
      </c>
      <c r="P52" s="63">
        <v>90.0</v>
      </c>
      <c r="Q52" s="58">
        <v>92.83</v>
      </c>
      <c r="R52" s="65">
        <v>4214.75</v>
      </c>
      <c r="S52" s="66">
        <f t="array" ref="S52">IF((XLOOKUP(D52,RUC!$B$3:$B$106,RUC!$E$3:$E$106)+ROUNDDOWN(O52,1)*100)&lt;95,95,((XLOOKUP(D52,RUC!$B$3:$B$106,RUC!$E$3:$E$106)+ROUNDDOWN(O52,1)*100)))</f>
        <v>130</v>
      </c>
      <c r="U52" s="67">
        <f t="array" ref="U52">XLOOKUP(D52,RUC!$B$3:$B$110,RUC!$F$3:$F$110)</f>
        <v>120</v>
      </c>
      <c r="V52" s="67">
        <v>1.1023</v>
      </c>
      <c r="Y52" s="57">
        <f t="array" ref="Y52">XLOOKUP(D52,RUC!$B$3:$B$110,RUC!$G$3:$G$110)</f>
        <v>20</v>
      </c>
      <c r="Z52" s="69">
        <f t="array" ref="Z52">XLOOKUP(D52,RUC!$B$3:$B$110,RUC!$H$3:$H$110)</f>
        <v>30</v>
      </c>
      <c r="AA52" s="70">
        <f t="shared" si="5"/>
        <v>50</v>
      </c>
      <c r="AB52" s="71">
        <f t="shared" si="39"/>
        <v>1613.36227</v>
      </c>
      <c r="AC52" s="71">
        <f>+(S52-T52)*V52-'data 1'!$F$4</f>
        <v>63.299</v>
      </c>
      <c r="AD52" s="71">
        <f t="shared" si="6"/>
        <v>60.54690892</v>
      </c>
      <c r="AE52" s="71">
        <f t="shared" si="7"/>
        <v>-14.885</v>
      </c>
      <c r="AF52" s="71">
        <f t="shared" si="8"/>
        <v>117.3204124</v>
      </c>
      <c r="AG52" s="72">
        <f t="shared" si="40"/>
        <v>243.2813213</v>
      </c>
      <c r="AH52" s="193">
        <f t="shared" si="9"/>
        <v>25.993</v>
      </c>
      <c r="AI52" s="193">
        <f t="shared" si="10"/>
        <v>28.001</v>
      </c>
      <c r="AJ52" s="73">
        <f t="shared" si="11"/>
        <v>128.6535849</v>
      </c>
      <c r="AK52" s="73">
        <f t="shared" si="12"/>
        <v>23.71219266</v>
      </c>
      <c r="AM52" s="51">
        <f t="shared" si="13"/>
        <v>2779.823191</v>
      </c>
      <c r="AN52" s="51" t="str">
        <f t="array" ref="AN52">XLOOKUP(D52,RUC!$B$3:$B$565,RUC!$M$3:$M$565)</f>
        <v>Richard Sapacayo</v>
      </c>
      <c r="AO52" s="131" t="s">
        <v>547</v>
      </c>
      <c r="AP52" s="57" t="s">
        <v>2309</v>
      </c>
      <c r="AQ52" s="57" t="s">
        <v>2310</v>
      </c>
    </row>
    <row r="53" ht="15.0" customHeight="1">
      <c r="A53" s="116" t="s">
        <v>2313</v>
      </c>
      <c r="B53" s="182">
        <v>46000.0</v>
      </c>
      <c r="C53" s="182">
        <v>45993.0</v>
      </c>
      <c r="D53" s="57" t="s">
        <v>225</v>
      </c>
      <c r="E53" s="3">
        <f t="array" ref="E53">XLOOKUP(D53,RUC!$B$3:$B$110,RUC!$D$3:$D$110)</f>
        <v>10761932735</v>
      </c>
      <c r="G53" s="141">
        <v>19.0</v>
      </c>
      <c r="H53" s="3" t="s">
        <v>339</v>
      </c>
      <c r="I53" s="6">
        <v>1.57</v>
      </c>
      <c r="J53" s="57">
        <v>14.15</v>
      </c>
      <c r="K53" s="6">
        <f t="shared" si="2"/>
        <v>1.348</v>
      </c>
      <c r="L53" s="141">
        <v>0.462</v>
      </c>
      <c r="M53" s="60">
        <f t="shared" si="25"/>
        <v>0.434</v>
      </c>
      <c r="N53" s="75">
        <v>0.484</v>
      </c>
      <c r="O53" s="60">
        <f t="shared" si="26"/>
        <v>0.459</v>
      </c>
      <c r="P53" s="63">
        <v>90.0</v>
      </c>
      <c r="Q53" s="58">
        <v>94.81</v>
      </c>
      <c r="R53" s="65">
        <v>4214.75</v>
      </c>
      <c r="S53" s="66">
        <f t="array" ref="S53">IF((XLOOKUP(D53,RUC!$B$3:$B$106,RUC!$E$3:$E$106)+ROUNDDOWN(O53,1)*100)&lt;95,95,((XLOOKUP(D53,RUC!$B$3:$B$106,RUC!$E$3:$E$106)+ROUNDDOWN(O53,1)*100)))</f>
        <v>130</v>
      </c>
      <c r="U53" s="67">
        <f t="array" ref="U53">XLOOKUP(D53,RUC!$B$3:$B$110,RUC!$F$3:$F$110)</f>
        <v>120</v>
      </c>
      <c r="V53" s="67">
        <v>1.1023</v>
      </c>
      <c r="Y53" s="57">
        <f t="array" ref="Y53">XLOOKUP(D53,RUC!$B$3:$B$110,RUC!$G$3:$G$110)</f>
        <v>20</v>
      </c>
      <c r="Z53" s="69">
        <f t="array" ref="Z53">XLOOKUP(D53,RUC!$B$3:$B$110,RUC!$H$3:$H$110)</f>
        <v>30</v>
      </c>
      <c r="AA53" s="70">
        <f t="shared" si="5"/>
        <v>50</v>
      </c>
      <c r="AB53" s="71">
        <f t="shared" si="39"/>
        <v>1666.171892</v>
      </c>
      <c r="AC53" s="71">
        <f>+(S53-T53)*V53-'data 1'!$F$4</f>
        <v>63.299</v>
      </c>
      <c r="AD53" s="71">
        <f t="shared" si="6"/>
        <v>100.3030758</v>
      </c>
      <c r="AE53" s="71">
        <f t="shared" si="7"/>
        <v>-14.885</v>
      </c>
      <c r="AF53" s="71">
        <f t="shared" si="8"/>
        <v>12.83815457</v>
      </c>
      <c r="AG53" s="72">
        <f t="shared" si="40"/>
        <v>178.5552304</v>
      </c>
      <c r="AH53" s="193">
        <f t="shared" si="9"/>
        <v>20.244</v>
      </c>
      <c r="AI53" s="193">
        <f t="shared" si="10"/>
        <v>21.352</v>
      </c>
      <c r="AJ53" s="73">
        <f t="shared" si="11"/>
        <v>128.0711538</v>
      </c>
      <c r="AK53" s="73">
        <f t="shared" si="12"/>
        <v>19.09212005</v>
      </c>
      <c r="AM53" s="51">
        <f t="shared" si="13"/>
        <v>2245.999711</v>
      </c>
      <c r="AN53" s="51" t="str">
        <f t="array" ref="AN53">XLOOKUP(D53,RUC!$B$3:$B$565,RUC!$M$3:$M$565)</f>
        <v>Richard Sapacayo</v>
      </c>
      <c r="AO53" s="131" t="s">
        <v>547</v>
      </c>
      <c r="AP53" s="57" t="s">
        <v>2309</v>
      </c>
      <c r="AQ53" s="57" t="s">
        <v>2310</v>
      </c>
    </row>
    <row r="54" ht="15.0" customHeight="1">
      <c r="A54" s="116" t="s">
        <v>2314</v>
      </c>
      <c r="B54" s="182">
        <v>46000.0</v>
      </c>
      <c r="C54" s="182">
        <v>45993.0</v>
      </c>
      <c r="D54" s="57" t="s">
        <v>225</v>
      </c>
      <c r="E54" s="3">
        <f t="array" ref="E54">XLOOKUP(D54,RUC!$B$3:$B$110,RUC!$D$3:$D$110)</f>
        <v>10761932735</v>
      </c>
      <c r="G54" s="141">
        <v>13.0</v>
      </c>
      <c r="H54" s="3" t="s">
        <v>339</v>
      </c>
      <c r="I54" s="6">
        <v>0.97</v>
      </c>
      <c r="J54" s="57">
        <v>7.05</v>
      </c>
      <c r="K54" s="6">
        <f t="shared" si="2"/>
        <v>0.902</v>
      </c>
      <c r="L54" s="141">
        <v>1.181</v>
      </c>
      <c r="M54" s="60">
        <f t="shared" si="25"/>
        <v>1.11</v>
      </c>
      <c r="N54" s="75">
        <v>1.185</v>
      </c>
      <c r="O54" s="60">
        <f t="shared" si="26"/>
        <v>1.148</v>
      </c>
      <c r="P54" s="63">
        <v>90.0</v>
      </c>
      <c r="Q54" s="58">
        <v>94.75</v>
      </c>
      <c r="R54" s="65">
        <v>4214.75</v>
      </c>
      <c r="S54" s="66">
        <f t="array" ref="S54">IF((XLOOKUP(D54,RUC!$B$3:$B$106,RUC!$E$3:$E$106)+ROUNDDOWN(O54,1)*100)&lt;95,95,((XLOOKUP(D54,RUC!$B$3:$B$106,RUC!$E$3:$E$106)+ROUNDDOWN(O54,1)*100)))</f>
        <v>200</v>
      </c>
      <c r="U54" s="67">
        <f t="array" ref="U54">XLOOKUP(D54,RUC!$B$3:$B$110,RUC!$F$3:$F$110)</f>
        <v>120</v>
      </c>
      <c r="V54" s="67">
        <v>1.1023</v>
      </c>
      <c r="Y54" s="57">
        <f t="array" ref="Y54">XLOOKUP(D54,RUC!$B$3:$B$110,RUC!$G$3:$G$110)</f>
        <v>20</v>
      </c>
      <c r="Z54" s="69">
        <f t="array" ref="Z54">XLOOKUP(D54,RUC!$B$3:$B$110,RUC!$H$3:$H$110)</f>
        <v>30</v>
      </c>
      <c r="AA54" s="70">
        <f t="shared" si="5"/>
        <v>50</v>
      </c>
      <c r="AB54" s="71">
        <f t="shared" si="39"/>
        <v>4387.92087</v>
      </c>
      <c r="AC54" s="71">
        <f>+(S54-T54)*V54-'data 1'!$F$4</f>
        <v>140.46</v>
      </c>
      <c r="AD54" s="71">
        <f t="shared" si="6"/>
        <v>253.204084</v>
      </c>
      <c r="AE54" s="71">
        <f t="shared" si="7"/>
        <v>-14.885</v>
      </c>
      <c r="AF54" s="71">
        <f t="shared" si="8"/>
        <v>141.1303302</v>
      </c>
      <c r="AG54" s="72">
        <f t="shared" si="40"/>
        <v>536.9094141</v>
      </c>
      <c r="AH54" s="193">
        <f t="shared" si="9"/>
        <v>34.605</v>
      </c>
      <c r="AI54" s="193">
        <f t="shared" si="10"/>
        <v>36.523</v>
      </c>
      <c r="AJ54" s="73">
        <f t="shared" si="11"/>
        <v>327.178168</v>
      </c>
      <c r="AK54" s="73">
        <f t="shared" si="12"/>
        <v>31.95214397</v>
      </c>
      <c r="AM54" s="51">
        <f t="shared" si="13"/>
        <v>3957.904625</v>
      </c>
      <c r="AN54" s="51" t="str">
        <f t="array" ref="AN54">XLOOKUP(D54,RUC!$B$3:$B$565,RUC!$M$3:$M$565)</f>
        <v>Richard Sapacayo</v>
      </c>
      <c r="AO54" s="131" t="s">
        <v>547</v>
      </c>
      <c r="AP54" s="57" t="s">
        <v>2309</v>
      </c>
      <c r="AQ54" s="57" t="s">
        <v>2310</v>
      </c>
    </row>
    <row r="55" ht="15.0" customHeight="1">
      <c r="A55" s="116" t="s">
        <v>2315</v>
      </c>
      <c r="B55" s="182">
        <v>46000.0</v>
      </c>
      <c r="C55" s="182">
        <v>45993.0</v>
      </c>
      <c r="D55" s="57" t="s">
        <v>225</v>
      </c>
      <c r="E55" s="3">
        <f t="array" ref="E55">XLOOKUP(D55,RUC!$B$3:$B$110,RUC!$D$3:$D$110)</f>
        <v>10761932735</v>
      </c>
      <c r="G55" s="141">
        <v>42.0</v>
      </c>
      <c r="H55" s="3" t="s">
        <v>339</v>
      </c>
      <c r="I55" s="6">
        <v>3.58</v>
      </c>
      <c r="J55" s="57">
        <v>12.93</v>
      </c>
      <c r="K55" s="6">
        <f t="shared" si="2"/>
        <v>3.117</v>
      </c>
      <c r="L55" s="141">
        <v>0.557</v>
      </c>
      <c r="M55" s="60">
        <f t="shared" si="25"/>
        <v>0.524</v>
      </c>
      <c r="N55" s="75">
        <v>0.577</v>
      </c>
      <c r="O55" s="60">
        <f t="shared" si="26"/>
        <v>0.551</v>
      </c>
      <c r="P55" s="63">
        <v>90.0</v>
      </c>
      <c r="Q55" s="58">
        <v>96.95</v>
      </c>
      <c r="R55" s="65">
        <v>4214.75</v>
      </c>
      <c r="S55" s="66">
        <f t="array" ref="S55">IF((XLOOKUP(D55,RUC!$B$3:$B$106,RUC!$E$3:$E$106)+ROUNDDOWN(O55,1)*100)&lt;95,95,((XLOOKUP(D55,RUC!$B$3:$B$106,RUC!$E$3:$E$106)+ROUNDDOWN(O55,1)*100)))</f>
        <v>140</v>
      </c>
      <c r="U55" s="67">
        <f t="array" ref="U55">XLOOKUP(D55,RUC!$B$3:$B$110,RUC!$F$3:$F$110)</f>
        <v>120</v>
      </c>
      <c r="V55" s="67">
        <v>1.1023</v>
      </c>
      <c r="Y55" s="57">
        <f t="array" ref="Y55">XLOOKUP(D55,RUC!$B$3:$B$110,RUC!$G$3:$G$110)</f>
        <v>20</v>
      </c>
      <c r="Z55" s="69">
        <f t="array" ref="Z55">XLOOKUP(D55,RUC!$B$3:$B$110,RUC!$H$3:$H$110)</f>
        <v>30</v>
      </c>
      <c r="AA55" s="70">
        <f t="shared" si="5"/>
        <v>50</v>
      </c>
      <c r="AB55" s="71">
        <f t="shared" si="39"/>
        <v>2028.878527</v>
      </c>
      <c r="AC55" s="71">
        <f>+(S55-T55)*V55-'data 1'!$F$4</f>
        <v>74.322</v>
      </c>
      <c r="AD55" s="71">
        <f t="shared" si="6"/>
        <v>174.7298881</v>
      </c>
      <c r="AE55" s="71">
        <f t="shared" si="7"/>
        <v>-14.885</v>
      </c>
      <c r="AF55" s="71">
        <f t="shared" si="8"/>
        <v>26.25586089</v>
      </c>
      <c r="AG55" s="72">
        <f t="shared" si="40"/>
        <v>277.422749</v>
      </c>
      <c r="AH55" s="193">
        <f t="shared" si="9"/>
        <v>57.71</v>
      </c>
      <c r="AI55" s="193">
        <f t="shared" si="10"/>
        <v>59.525</v>
      </c>
      <c r="AJ55" s="73">
        <f t="shared" si="11"/>
        <v>157.8913029</v>
      </c>
      <c r="AK55" s="73">
        <f t="shared" si="12"/>
        <v>52.9956203</v>
      </c>
      <c r="AM55" s="51">
        <f t="shared" si="13"/>
        <v>6324.014367</v>
      </c>
      <c r="AN55" s="51" t="str">
        <f t="array" ref="AN55">XLOOKUP(D55,RUC!$B$3:$B$565,RUC!$M$3:$M$565)</f>
        <v>Richard Sapacayo</v>
      </c>
      <c r="AO55" s="131" t="s">
        <v>547</v>
      </c>
      <c r="AP55" s="57" t="s">
        <v>2309</v>
      </c>
      <c r="AQ55" s="57" t="s">
        <v>2310</v>
      </c>
    </row>
    <row r="56" ht="15.0" customHeight="1">
      <c r="A56" s="116" t="s">
        <v>2316</v>
      </c>
      <c r="B56" s="182">
        <v>46000.0</v>
      </c>
      <c r="C56" s="182">
        <v>45994.0</v>
      </c>
      <c r="D56" s="57" t="s">
        <v>306</v>
      </c>
      <c r="E56" s="3">
        <f t="array" ref="E56">XLOOKUP(D56,RUC!$B$3:$B$110,RUC!$D$3:$D$110)</f>
        <v>20612921866</v>
      </c>
      <c r="G56" s="141">
        <v>50.0</v>
      </c>
      <c r="H56" s="3" t="s">
        <v>47</v>
      </c>
      <c r="I56" s="6">
        <v>5.55</v>
      </c>
      <c r="J56" s="57">
        <v>1.3</v>
      </c>
      <c r="K56" s="6">
        <f t="shared" si="2"/>
        <v>5.478</v>
      </c>
      <c r="L56" s="141">
        <v>0.238</v>
      </c>
      <c r="M56" s="60">
        <f t="shared" si="25"/>
        <v>0.22</v>
      </c>
      <c r="N56" s="75">
        <v>0.261</v>
      </c>
      <c r="O56" s="60">
        <f t="shared" si="26"/>
        <v>0.241</v>
      </c>
      <c r="P56" s="63">
        <v>90.0</v>
      </c>
      <c r="Q56" s="58">
        <v>97.48</v>
      </c>
      <c r="R56" s="65">
        <v>4210.3</v>
      </c>
      <c r="S56" s="66">
        <f t="array" ref="S56">IF((XLOOKUP(D56,RUC!$B$3:$B$106,RUC!$E$3:$E$106)+ROUNDDOWN(O56,1)*100)&lt;95,95,((XLOOKUP(D56,RUC!$B$3:$B$106,RUC!$E$3:$E$106)+ROUNDDOWN(O56,1)*100)))</f>
        <v>100</v>
      </c>
      <c r="U56" s="67">
        <f t="array" ref="U56">XLOOKUP(D56,RUC!$B$3:$B$110,RUC!$F$3:$F$110)</f>
        <v>100</v>
      </c>
      <c r="V56" s="67">
        <v>1.1023</v>
      </c>
      <c r="Y56" s="57" t="str">
        <f t="array" ref="Y56">XLOOKUP(D56,RUC!$B$3:$B$110,RUC!$G$3:$G$110)</f>
        <v/>
      </c>
      <c r="Z56" s="69">
        <f t="array" ref="Z56">XLOOKUP(D56,RUC!$B$3:$B$110,RUC!$H$3:$H$110)</f>
        <v>30</v>
      </c>
      <c r="AA56" s="70">
        <f t="shared" si="5"/>
        <v>30</v>
      </c>
      <c r="AB56" s="71">
        <f t="shared" si="39"/>
        <v>839.4279824</v>
      </c>
      <c r="AC56" s="71">
        <f>+(S56-T56)*V56-'data 1'!$F$4</f>
        <v>30.23</v>
      </c>
      <c r="AD56" s="71">
        <f t="shared" si="6"/>
        <v>80.65882356</v>
      </c>
      <c r="AE56" s="71">
        <f t="shared" si="7"/>
        <v>-36.931</v>
      </c>
      <c r="AF56" s="71">
        <f t="shared" si="8"/>
        <v>-13.24982382</v>
      </c>
      <c r="AG56" s="72">
        <f t="shared" ref="AG56:AG57" si="42">AC56+AD56+AE56+AF56+70-10</f>
        <v>120.7079997</v>
      </c>
      <c r="AH56" s="193">
        <f t="shared" si="9"/>
        <v>43.574</v>
      </c>
      <c r="AI56" s="193">
        <f t="shared" si="10"/>
        <v>44.7</v>
      </c>
      <c r="AJ56" s="73">
        <f t="shared" si="11"/>
        <v>63.85734051</v>
      </c>
      <c r="AK56" s="73">
        <f t="shared" si="12"/>
        <v>40.73715066</v>
      </c>
      <c r="AL56" s="11"/>
      <c r="AM56" s="51">
        <f t="shared" si="13"/>
        <v>4598.386487</v>
      </c>
      <c r="AN56" s="51" t="str">
        <f t="array" ref="AN56">XLOOKUP(D56,RUC!$B$3:$B$565,RUC!$M$3:$M$565)</f>
        <v>Ronald Garibay</v>
      </c>
      <c r="AO56" s="131" t="s">
        <v>547</v>
      </c>
      <c r="AP56" s="57" t="s">
        <v>719</v>
      </c>
      <c r="AQ56" s="57" t="s">
        <v>2317</v>
      </c>
    </row>
    <row r="57" ht="15.0" customHeight="1">
      <c r="A57" s="116" t="s">
        <v>2318</v>
      </c>
      <c r="B57" s="182">
        <v>46000.0</v>
      </c>
      <c r="C57" s="182">
        <v>45994.0</v>
      </c>
      <c r="D57" s="57" t="s">
        <v>306</v>
      </c>
      <c r="E57" s="3">
        <f t="array" ref="E57">XLOOKUP(D57,RUC!$B$3:$B$110,RUC!$D$3:$D$110)</f>
        <v>20612921866</v>
      </c>
      <c r="G57" s="141">
        <v>50.0</v>
      </c>
      <c r="H57" s="3" t="s">
        <v>47</v>
      </c>
      <c r="I57" s="6">
        <v>5.18</v>
      </c>
      <c r="J57" s="57">
        <v>1.35</v>
      </c>
      <c r="K57" s="6">
        <f t="shared" si="2"/>
        <v>5.11</v>
      </c>
      <c r="L57" s="141">
        <v>0.212</v>
      </c>
      <c r="M57" s="60">
        <f t="shared" si="25"/>
        <v>0.194</v>
      </c>
      <c r="N57" s="62">
        <f t="shared" ref="N57:N60" si="43">+M57</f>
        <v>0.194</v>
      </c>
      <c r="O57" s="60">
        <f t="shared" si="26"/>
        <v>0.194</v>
      </c>
      <c r="P57" s="63">
        <v>90.0</v>
      </c>
      <c r="Q57" s="58">
        <v>97.17</v>
      </c>
      <c r="R57" s="65">
        <v>4210.3</v>
      </c>
      <c r="S57" s="66">
        <f t="array" ref="S57">IF((XLOOKUP(D57,RUC!$B$3:$B$106,RUC!$E$3:$E$106)+ROUNDDOWN(O57,1)*100)&lt;95,95,((XLOOKUP(D57,RUC!$B$3:$B$106,RUC!$E$3:$E$106)+ROUNDDOWN(O57,1)*100)))</f>
        <v>95</v>
      </c>
      <c r="U57" s="67">
        <f t="array" ref="U57">XLOOKUP(D57,RUC!$B$3:$B$110,RUC!$F$3:$F$110)</f>
        <v>100</v>
      </c>
      <c r="V57" s="67">
        <v>1.1023</v>
      </c>
      <c r="Y57" s="57" t="str">
        <f t="array" ref="Y57">XLOOKUP(D57,RUC!$B$3:$B$110,RUC!$G$3:$G$110)</f>
        <v/>
      </c>
      <c r="Z57" s="69">
        <f t="array" ref="Z57">XLOOKUP(D57,RUC!$B$3:$B$110,RUC!$H$3:$H$110)</f>
        <v>30</v>
      </c>
      <c r="AA57" s="70">
        <f t="shared" si="5"/>
        <v>30</v>
      </c>
      <c r="AB57" s="71">
        <f t="shared" si="39"/>
        <v>653.2873323</v>
      </c>
      <c r="AC57" s="71">
        <f>+(S57-T57)*V57-'data 1'!$F$4</f>
        <v>24.7185</v>
      </c>
      <c r="AD57" s="71">
        <f t="shared" si="6"/>
        <v>68.8697244</v>
      </c>
      <c r="AE57" s="71">
        <f t="shared" si="7"/>
        <v>-36.931</v>
      </c>
      <c r="AF57" s="71">
        <f t="shared" si="8"/>
        <v>79.24612521</v>
      </c>
      <c r="AG57" s="72">
        <f t="shared" si="42"/>
        <v>195.9033496</v>
      </c>
      <c r="AH57" s="193">
        <f t="shared" si="9"/>
        <v>36.091</v>
      </c>
      <c r="AI57" s="193">
        <f t="shared" si="10"/>
        <v>37.142</v>
      </c>
      <c r="AJ57" s="73">
        <f t="shared" si="11"/>
        <v>56.70043796</v>
      </c>
      <c r="AK57" s="73">
        <f t="shared" si="12"/>
        <v>30.58962893</v>
      </c>
      <c r="AL57" s="11"/>
      <c r="AM57" s="51">
        <f t="shared" si="13"/>
        <v>3338.298268</v>
      </c>
      <c r="AN57" s="51" t="str">
        <f t="array" ref="AN57">XLOOKUP(D57,RUC!$B$3:$B$565,RUC!$M$3:$M$565)</f>
        <v>Ronald Garibay</v>
      </c>
      <c r="AO57" s="131" t="s">
        <v>547</v>
      </c>
      <c r="AP57" s="57" t="s">
        <v>719</v>
      </c>
      <c r="AQ57" s="57" t="s">
        <v>2317</v>
      </c>
    </row>
    <row r="58" ht="15.0" customHeight="1">
      <c r="A58" s="192" t="s">
        <v>2319</v>
      </c>
      <c r="B58" s="194">
        <v>46000.0</v>
      </c>
      <c r="C58" s="182">
        <v>45995.0</v>
      </c>
      <c r="D58" s="57" t="s">
        <v>225</v>
      </c>
      <c r="E58" s="3">
        <f t="array" ref="E58">XLOOKUP(D58,RUC!$B$3:$B$110,RUC!$D$3:$D$110)</f>
        <v>10761932735</v>
      </c>
      <c r="G58" s="141">
        <v>44.0</v>
      </c>
      <c r="H58" s="3" t="s">
        <v>47</v>
      </c>
      <c r="I58" s="6">
        <v>3.81</v>
      </c>
      <c r="J58" s="57">
        <v>7.65</v>
      </c>
      <c r="K58" s="6">
        <f t="shared" si="2"/>
        <v>3.519</v>
      </c>
      <c r="L58" s="139">
        <v>0.05</v>
      </c>
      <c r="M58" s="60">
        <f t="shared" si="25"/>
        <v>0.032</v>
      </c>
      <c r="N58" s="62">
        <f t="shared" si="43"/>
        <v>0.032</v>
      </c>
      <c r="O58" s="60">
        <f t="shared" si="26"/>
        <v>0.032</v>
      </c>
      <c r="P58" s="63">
        <v>80.0</v>
      </c>
      <c r="Q58" s="58">
        <v>96.0</v>
      </c>
      <c r="R58" s="65">
        <v>4200.6</v>
      </c>
      <c r="S58" s="66">
        <f t="array" ref="S58">IF((XLOOKUP(D58,RUC!$B$3:$B$106,RUC!$E$3:$E$106)+ROUNDDOWN(O58,1)*100)&lt;95,95,((XLOOKUP(D58,RUC!$B$3:$B$106,RUC!$E$3:$E$106)+ROUNDDOWN(O58,1)*100)))</f>
        <v>95</v>
      </c>
      <c r="U58" s="67">
        <f t="array" ref="U58">XLOOKUP(D58,RUC!$B$3:$B$110,RUC!$F$3:$F$110)</f>
        <v>120</v>
      </c>
      <c r="V58" s="67">
        <v>1.1023</v>
      </c>
      <c r="Y58" s="57">
        <f t="array" ref="Y58">XLOOKUP(D58,RUC!$B$3:$B$110,RUC!$G$3:$G$110)</f>
        <v>20</v>
      </c>
      <c r="Z58" s="69">
        <f t="array" ref="Z58">XLOOKUP(D58,RUC!$B$3:$B$110,RUC!$H$3:$H$110)</f>
        <v>30</v>
      </c>
      <c r="AA58" s="70">
        <f t="shared" si="5"/>
        <v>50</v>
      </c>
      <c r="AB58" s="71">
        <v>0.0</v>
      </c>
      <c r="AC58" s="71">
        <f>+(S58-T58)*V58-'data 1'!$F$4</f>
        <v>24.7185</v>
      </c>
      <c r="AD58" s="71">
        <f t="shared" si="6"/>
        <v>35.98436304</v>
      </c>
      <c r="AE58" s="71">
        <f t="shared" si="7"/>
        <v>-14.885</v>
      </c>
      <c r="AF58" s="71">
        <f t="shared" si="8"/>
        <v>77.72622417</v>
      </c>
      <c r="AG58" s="72">
        <f t="shared" ref="AG58:AG64" si="44">AC58+AD58+AE58+AF58+70-53</f>
        <v>140.5440872</v>
      </c>
      <c r="AH58" s="193">
        <f t="shared" si="9"/>
        <v>5.791</v>
      </c>
      <c r="AI58" s="193">
        <f t="shared" si="10"/>
        <v>6.033</v>
      </c>
      <c r="AJ58" s="73">
        <f t="shared" si="11"/>
        <v>14.78316576</v>
      </c>
      <c r="AK58" s="73">
        <f t="shared" si="12"/>
        <v>3.088647182</v>
      </c>
      <c r="AM58" s="51">
        <f t="shared" si="13"/>
        <v>0</v>
      </c>
      <c r="AN58" s="51" t="str">
        <f t="array" ref="AN58">XLOOKUP(D58,RUC!$B$3:$B$565,RUC!$M$3:$M$565)</f>
        <v>Richard Sapacayo</v>
      </c>
      <c r="AO58" s="131" t="s">
        <v>549</v>
      </c>
      <c r="AP58" s="57" t="s">
        <v>2320</v>
      </c>
      <c r="AQ58" s="57" t="s">
        <v>2321</v>
      </c>
    </row>
    <row r="59" ht="15.0" customHeight="1">
      <c r="A59" s="116" t="s">
        <v>2322</v>
      </c>
      <c r="B59" s="182">
        <v>46000.0</v>
      </c>
      <c r="C59" s="182">
        <v>45995.0</v>
      </c>
      <c r="D59" s="57" t="s">
        <v>225</v>
      </c>
      <c r="E59" s="3">
        <f t="array" ref="E59">XLOOKUP(D59,RUC!$B$3:$B$110,RUC!$D$3:$D$110)</f>
        <v>10761932735</v>
      </c>
      <c r="G59" s="141">
        <v>57.0</v>
      </c>
      <c r="H59" s="3" t="s">
        <v>47</v>
      </c>
      <c r="I59" s="6">
        <v>5.07</v>
      </c>
      <c r="J59" s="57">
        <v>7.25</v>
      </c>
      <c r="K59" s="6">
        <f t="shared" si="2"/>
        <v>4.702</v>
      </c>
      <c r="L59" s="141">
        <v>0.156</v>
      </c>
      <c r="M59" s="60">
        <f t="shared" si="25"/>
        <v>0.138</v>
      </c>
      <c r="N59" s="62">
        <f t="shared" si="43"/>
        <v>0.138</v>
      </c>
      <c r="O59" s="60">
        <f t="shared" si="26"/>
        <v>0.138</v>
      </c>
      <c r="P59" s="63">
        <v>85.0</v>
      </c>
      <c r="Q59" s="58">
        <v>97.44</v>
      </c>
      <c r="R59" s="65">
        <v>4200.6</v>
      </c>
      <c r="S59" s="66">
        <f t="array" ref="S59">IF((XLOOKUP(D59,RUC!$B$3:$B$106,RUC!$E$3:$E$106)+ROUNDDOWN(O59,1)*100)&lt;95,95,((XLOOKUP(D59,RUC!$B$3:$B$106,RUC!$E$3:$E$106)+ROUNDDOWN(O59,1)*100)))</f>
        <v>100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69">
        <f t="array" ref="Z59">XLOOKUP(D59,RUC!$B$3:$B$110,RUC!$H$3:$H$110)</f>
        <v>30</v>
      </c>
      <c r="AA59" s="70">
        <f t="shared" si="5"/>
        <v>50</v>
      </c>
      <c r="AB59" s="71">
        <f t="shared" ref="AB59:AB87" si="45">+((O59*P59*(R59-U59)/100)-S59-AA59+T59)*V59</f>
        <v>362.2757231</v>
      </c>
      <c r="AC59" s="71">
        <f>+(S59-T59)*V59-'data 1'!$F$4</f>
        <v>30.23</v>
      </c>
      <c r="AD59" s="71">
        <f t="shared" si="6"/>
        <v>87.29086786</v>
      </c>
      <c r="AE59" s="71">
        <f t="shared" si="7"/>
        <v>-14.885</v>
      </c>
      <c r="AF59" s="71">
        <f t="shared" si="8"/>
        <v>78.89211753</v>
      </c>
      <c r="AG59" s="72">
        <f t="shared" si="44"/>
        <v>198.5279854</v>
      </c>
      <c r="AH59" s="193">
        <f t="shared" si="9"/>
        <v>24.505</v>
      </c>
      <c r="AI59" s="193">
        <f t="shared" si="10"/>
        <v>25.149</v>
      </c>
      <c r="AJ59" s="73">
        <f t="shared" si="11"/>
        <v>46.81532933</v>
      </c>
      <c r="AK59" s="73">
        <f t="shared" si="12"/>
        <v>18.90992064</v>
      </c>
      <c r="AM59" s="51">
        <f t="shared" si="13"/>
        <v>1703.42045</v>
      </c>
      <c r="AN59" s="51" t="str">
        <f t="array" ref="AN59">XLOOKUP(D59,RUC!$B$3:$B$565,RUC!$M$3:$M$565)</f>
        <v>Richard Sapacayo</v>
      </c>
      <c r="AO59" s="131" t="s">
        <v>547</v>
      </c>
      <c r="AP59" s="57" t="s">
        <v>2320</v>
      </c>
      <c r="AQ59" s="57" t="s">
        <v>2321</v>
      </c>
    </row>
    <row r="60" ht="15.0" customHeight="1">
      <c r="A60" s="116" t="s">
        <v>2323</v>
      </c>
      <c r="B60" s="182">
        <v>46000.0</v>
      </c>
      <c r="C60" s="182">
        <v>45995.0</v>
      </c>
      <c r="D60" s="57" t="s">
        <v>225</v>
      </c>
      <c r="E60" s="3">
        <f t="array" ref="E60">XLOOKUP(D60,RUC!$B$3:$B$110,RUC!$D$3:$D$110)</f>
        <v>10761932735</v>
      </c>
      <c r="G60" s="141">
        <v>51.0</v>
      </c>
      <c r="H60" s="3" t="s">
        <v>47</v>
      </c>
      <c r="I60" s="6">
        <v>4.12</v>
      </c>
      <c r="J60" s="57">
        <v>11.55</v>
      </c>
      <c r="K60" s="6">
        <f t="shared" si="2"/>
        <v>3.644</v>
      </c>
      <c r="L60" s="141">
        <v>0.157</v>
      </c>
      <c r="M60" s="60">
        <f t="shared" si="25"/>
        <v>0.139</v>
      </c>
      <c r="N60" s="62">
        <f t="shared" si="43"/>
        <v>0.139</v>
      </c>
      <c r="O60" s="60">
        <f t="shared" si="26"/>
        <v>0.139</v>
      </c>
      <c r="P60" s="63">
        <v>85.0</v>
      </c>
      <c r="Q60" s="58">
        <v>96.82</v>
      </c>
      <c r="R60" s="65">
        <v>4200.6</v>
      </c>
      <c r="S60" s="66">
        <f t="array" ref="S60">IF((XLOOKUP(D60,RUC!$B$3:$B$106,RUC!$E$3:$E$106)+ROUNDDOWN(O60,1)*100)&lt;95,95,((XLOOKUP(D60,RUC!$B$3:$B$106,RUC!$E$3:$E$106)+ROUNDDOWN(O60,1)*100)))</f>
        <v>100</v>
      </c>
      <c r="U60" s="67">
        <f t="array" ref="U60">XLOOKUP(D60,RUC!$B$3:$B$110,RUC!$F$3:$F$110)</f>
        <v>120</v>
      </c>
      <c r="V60" s="67">
        <v>1.1023</v>
      </c>
      <c r="Y60" s="57">
        <f t="array" ref="Y60">XLOOKUP(D60,RUC!$B$3:$B$110,RUC!$G$3:$G$110)</f>
        <v>20</v>
      </c>
      <c r="Z60" s="69">
        <f t="array" ref="Z60">XLOOKUP(D60,RUC!$B$3:$B$110,RUC!$H$3:$H$110)</f>
        <v>30</v>
      </c>
      <c r="AA60" s="70">
        <f t="shared" si="5"/>
        <v>50</v>
      </c>
      <c r="AB60" s="71">
        <f t="shared" si="45"/>
        <v>366.0990616</v>
      </c>
      <c r="AC60" s="71">
        <f>+(S60-T60)*V60-'data 1'!$F$4</f>
        <v>30.23</v>
      </c>
      <c r="AD60" s="71">
        <f t="shared" si="6"/>
        <v>83.47202733</v>
      </c>
      <c r="AE60" s="71">
        <f t="shared" si="7"/>
        <v>-14.885</v>
      </c>
      <c r="AF60" s="71">
        <f t="shared" si="8"/>
        <v>78.39013566</v>
      </c>
      <c r="AG60" s="72">
        <f t="shared" si="44"/>
        <v>194.207163</v>
      </c>
      <c r="AH60" s="193">
        <f t="shared" si="9"/>
        <v>18.991</v>
      </c>
      <c r="AI60" s="193">
        <f t="shared" si="10"/>
        <v>19.615</v>
      </c>
      <c r="AJ60" s="73">
        <f t="shared" si="11"/>
        <v>46.81563731</v>
      </c>
      <c r="AK60" s="73">
        <f t="shared" si="12"/>
        <v>14.76118297</v>
      </c>
      <c r="AM60" s="51">
        <f t="shared" si="13"/>
        <v>1334.064981</v>
      </c>
      <c r="AN60" s="51" t="str">
        <f t="array" ref="AN60">XLOOKUP(D60,RUC!$B$3:$B$565,RUC!$M$3:$M$565)</f>
        <v>Richard Sapacayo</v>
      </c>
      <c r="AO60" s="131" t="s">
        <v>549</v>
      </c>
      <c r="AP60" s="57" t="s">
        <v>2320</v>
      </c>
      <c r="AQ60" s="57" t="s">
        <v>2321</v>
      </c>
    </row>
    <row r="61" ht="15.0" customHeight="1">
      <c r="A61" s="116" t="s">
        <v>2324</v>
      </c>
      <c r="B61" s="182">
        <v>46000.0</v>
      </c>
      <c r="C61" s="182">
        <v>45995.0</v>
      </c>
      <c r="D61" s="57" t="s">
        <v>225</v>
      </c>
      <c r="E61" s="3">
        <f t="array" ref="E61">XLOOKUP(D61,RUC!$B$3:$B$110,RUC!$D$3:$D$110)</f>
        <v>10761932735</v>
      </c>
      <c r="G61" s="141">
        <v>8.0</v>
      </c>
      <c r="H61" s="3" t="s">
        <v>47</v>
      </c>
      <c r="I61" s="6">
        <v>0.56</v>
      </c>
      <c r="J61" s="57">
        <v>5.75</v>
      </c>
      <c r="K61" s="6">
        <f t="shared" si="2"/>
        <v>0.528</v>
      </c>
      <c r="L61" s="141">
        <v>0.409</v>
      </c>
      <c r="M61" s="60">
        <f t="shared" si="25"/>
        <v>0.384</v>
      </c>
      <c r="N61" s="75">
        <v>0.457</v>
      </c>
      <c r="O61" s="60">
        <f t="shared" si="26"/>
        <v>0.421</v>
      </c>
      <c r="P61" s="63">
        <v>90.0</v>
      </c>
      <c r="Q61" s="58">
        <v>98.04</v>
      </c>
      <c r="R61" s="65">
        <v>4200.6</v>
      </c>
      <c r="S61" s="66">
        <f t="array" ref="S61">IF((XLOOKUP(D61,RUC!$B$3:$B$106,RUC!$E$3:$E$106)+ROUNDDOWN(O61,1)*100)&lt;95,95,((XLOOKUP(D61,RUC!$B$3:$B$106,RUC!$E$3:$E$106)+ROUNDDOWN(O61,1)*100)))</f>
        <v>130</v>
      </c>
      <c r="U61" s="67">
        <f t="array" ref="U61">XLOOKUP(D61,RUC!$B$3:$B$110,RUC!$F$3:$F$110)</f>
        <v>120</v>
      </c>
      <c r="V61" s="67">
        <v>1.1023</v>
      </c>
      <c r="Y61" s="57">
        <f t="array" ref="Y61">XLOOKUP(D61,RUC!$B$3:$B$110,RUC!$G$3:$G$110)</f>
        <v>20</v>
      </c>
      <c r="Z61" s="69">
        <f t="array" ref="Z61">XLOOKUP(D61,RUC!$B$3:$B$110,RUC!$H$3:$H$110)</f>
        <v>30</v>
      </c>
      <c r="AA61" s="70">
        <f t="shared" si="5"/>
        <v>50</v>
      </c>
      <c r="AB61" s="71">
        <f t="shared" si="45"/>
        <v>1505.895394</v>
      </c>
      <c r="AC61" s="71">
        <f>+(S61-T61)*V61-'data 1'!$F$4</f>
        <v>63.299</v>
      </c>
      <c r="AD61" s="71">
        <f t="shared" si="6"/>
        <v>147.9119251</v>
      </c>
      <c r="AE61" s="71">
        <f t="shared" si="7"/>
        <v>-14.885</v>
      </c>
      <c r="AF61" s="71">
        <f t="shared" si="8"/>
        <v>-52.91860429</v>
      </c>
      <c r="AG61" s="72">
        <f t="shared" si="44"/>
        <v>160.4073208</v>
      </c>
      <c r="AH61" s="193">
        <f t="shared" si="9"/>
        <v>7.259</v>
      </c>
      <c r="AI61" s="193">
        <f t="shared" si="10"/>
        <v>7.404</v>
      </c>
      <c r="AJ61" s="73">
        <f t="shared" si="11"/>
        <v>123.4959797</v>
      </c>
      <c r="AK61" s="73">
        <f t="shared" si="12"/>
        <v>6.859107305</v>
      </c>
      <c r="AM61" s="51">
        <f t="shared" si="13"/>
        <v>795.1127683</v>
      </c>
      <c r="AN61" s="51" t="str">
        <f t="array" ref="AN61">XLOOKUP(D61,RUC!$B$3:$B$565,RUC!$M$3:$M$565)</f>
        <v>Richard Sapacayo</v>
      </c>
      <c r="AO61" s="131" t="s">
        <v>547</v>
      </c>
      <c r="AP61" s="57" t="s">
        <v>2320</v>
      </c>
      <c r="AQ61" s="57" t="s">
        <v>2321</v>
      </c>
    </row>
    <row r="62" ht="15.0" customHeight="1">
      <c r="A62" s="116" t="s">
        <v>2325</v>
      </c>
      <c r="B62" s="182">
        <v>46000.0</v>
      </c>
      <c r="C62" s="182">
        <v>45995.0</v>
      </c>
      <c r="D62" s="57" t="s">
        <v>225</v>
      </c>
      <c r="E62" s="3">
        <f t="array" ref="E62">XLOOKUP(D62,RUC!$B$3:$B$110,RUC!$D$3:$D$110)</f>
        <v>10761932735</v>
      </c>
      <c r="G62" s="141">
        <v>104.0</v>
      </c>
      <c r="H62" s="3" t="s">
        <v>47</v>
      </c>
      <c r="I62" s="6">
        <v>7.85</v>
      </c>
      <c r="J62" s="57">
        <v>7.95</v>
      </c>
      <c r="K62" s="6">
        <f t="shared" si="2"/>
        <v>7.226</v>
      </c>
      <c r="L62" s="141">
        <v>0.165</v>
      </c>
      <c r="M62" s="60">
        <f t="shared" si="25"/>
        <v>0.147</v>
      </c>
      <c r="N62" s="75">
        <v>0.187</v>
      </c>
      <c r="O62" s="60">
        <f t="shared" si="26"/>
        <v>0.167</v>
      </c>
      <c r="P62" s="63">
        <v>90.0</v>
      </c>
      <c r="Q62" s="58">
        <v>98.18</v>
      </c>
      <c r="R62" s="65">
        <v>4200.6</v>
      </c>
      <c r="S62" s="66">
        <f t="array" ref="S62">IF((XLOOKUP(D62,RUC!$B$3:$B$106,RUC!$E$3:$E$106)+ROUNDDOWN(O62,1)*100)&lt;95,95,((XLOOKUP(D62,RUC!$B$3:$B$106,RUC!$E$3:$E$106)+ROUNDDOWN(O62,1)*100)))</f>
        <v>100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69">
        <f t="array" ref="Z62">XLOOKUP(D62,RUC!$B$3:$B$110,RUC!$H$3:$H$110)</f>
        <v>30</v>
      </c>
      <c r="AA62" s="70">
        <f t="shared" si="5"/>
        <v>50</v>
      </c>
      <c r="AB62" s="71">
        <f t="shared" si="45"/>
        <v>510.7112206</v>
      </c>
      <c r="AC62" s="71">
        <f>+(S62-T62)*V62-'data 1'!$F$4</f>
        <v>30.23</v>
      </c>
      <c r="AD62" s="71">
        <f t="shared" si="6"/>
        <v>60.71011849</v>
      </c>
      <c r="AE62" s="71">
        <f t="shared" si="7"/>
        <v>-14.885</v>
      </c>
      <c r="AF62" s="71">
        <f t="shared" si="8"/>
        <v>-8.832361908</v>
      </c>
      <c r="AG62" s="72">
        <f t="shared" si="44"/>
        <v>84.22275659</v>
      </c>
      <c r="AH62" s="193">
        <f t="shared" si="9"/>
        <v>40.134</v>
      </c>
      <c r="AI62" s="193">
        <f t="shared" si="10"/>
        <v>40.878</v>
      </c>
      <c r="AJ62" s="73">
        <f t="shared" si="11"/>
        <v>49.89226049</v>
      </c>
      <c r="AK62" s="73">
        <f t="shared" si="12"/>
        <v>37.23625597</v>
      </c>
      <c r="AM62" s="51">
        <f t="shared" si="13"/>
        <v>3690.39928</v>
      </c>
      <c r="AN62" s="51" t="str">
        <f t="array" ref="AN62">XLOOKUP(D62,RUC!$B$3:$B$565,RUC!$M$3:$M$565)</f>
        <v>Richard Sapacayo</v>
      </c>
      <c r="AO62" s="131" t="s">
        <v>547</v>
      </c>
      <c r="AP62" s="57" t="s">
        <v>2320</v>
      </c>
      <c r="AQ62" s="57" t="s">
        <v>2321</v>
      </c>
    </row>
    <row r="63" ht="15.0" customHeight="1">
      <c r="A63" s="116" t="s">
        <v>2326</v>
      </c>
      <c r="B63" s="182">
        <v>46000.0</v>
      </c>
      <c r="C63" s="182">
        <v>45995.0</v>
      </c>
      <c r="D63" s="57" t="s">
        <v>225</v>
      </c>
      <c r="E63" s="3">
        <f t="array" ref="E63">XLOOKUP(D63,RUC!$B$3:$B$110,RUC!$D$3:$D$110)</f>
        <v>10761932735</v>
      </c>
      <c r="G63" s="141">
        <v>14.0</v>
      </c>
      <c r="H63" s="3" t="s">
        <v>47</v>
      </c>
      <c r="I63" s="6">
        <v>1.0</v>
      </c>
      <c r="J63" s="57">
        <v>3.4</v>
      </c>
      <c r="K63" s="6">
        <f t="shared" si="2"/>
        <v>0.966</v>
      </c>
      <c r="L63" s="141">
        <v>0.574</v>
      </c>
      <c r="M63" s="60">
        <f t="shared" si="25"/>
        <v>0.54</v>
      </c>
      <c r="N63" s="62">
        <f t="shared" ref="N63:N65" si="46">+M63</f>
        <v>0.54</v>
      </c>
      <c r="O63" s="60">
        <f t="shared" si="26"/>
        <v>0.54</v>
      </c>
      <c r="P63" s="63">
        <v>90.0</v>
      </c>
      <c r="Q63" s="58">
        <v>99.48</v>
      </c>
      <c r="R63" s="65">
        <v>4200.6</v>
      </c>
      <c r="S63" s="66">
        <f t="array" ref="S63">IF((XLOOKUP(D63,RUC!$B$3:$B$106,RUC!$E$3:$E$106)+ROUNDDOWN(O63,1)*100)&lt;95,95,((XLOOKUP(D63,RUC!$B$3:$B$106,RUC!$E$3:$E$106)+ROUNDDOWN(O63,1)*100)))</f>
        <v>140</v>
      </c>
      <c r="U63" s="67">
        <f t="array" ref="U63">XLOOKUP(D63,RUC!$B$3:$B$110,RUC!$F$3:$F$110)</f>
        <v>120</v>
      </c>
      <c r="V63" s="67">
        <v>1.1023</v>
      </c>
      <c r="Y63" s="57">
        <f t="array" ref="Y63">XLOOKUP(D63,RUC!$B$3:$B$110,RUC!$G$3:$G$110)</f>
        <v>20</v>
      </c>
      <c r="Z63" s="69">
        <f t="array" ref="Z63">XLOOKUP(D63,RUC!$B$3:$B$110,RUC!$H$3:$H$110)</f>
        <v>30</v>
      </c>
      <c r="AA63" s="70">
        <f t="shared" si="5"/>
        <v>50</v>
      </c>
      <c r="AB63" s="71">
        <f t="shared" si="45"/>
        <v>1976.613055</v>
      </c>
      <c r="AC63" s="71">
        <f>+(S63-T63)*V63-'data 1'!$F$4</f>
        <v>74.322</v>
      </c>
      <c r="AD63" s="71">
        <f t="shared" si="6"/>
        <v>244.762039</v>
      </c>
      <c r="AE63" s="71">
        <f t="shared" si="7"/>
        <v>-14.885</v>
      </c>
      <c r="AF63" s="71">
        <f t="shared" si="8"/>
        <v>152.1382885</v>
      </c>
      <c r="AG63" s="72">
        <f t="shared" si="44"/>
        <v>473.3373275</v>
      </c>
      <c r="AH63" s="193">
        <f t="shared" si="9"/>
        <v>18.912</v>
      </c>
      <c r="AI63" s="193">
        <f t="shared" si="10"/>
        <v>19.011</v>
      </c>
      <c r="AJ63" s="73">
        <f t="shared" si="11"/>
        <v>175.8627574</v>
      </c>
      <c r="AK63" s="73">
        <f t="shared" si="12"/>
        <v>16.09616684</v>
      </c>
      <c r="AM63" s="51">
        <f t="shared" si="13"/>
        <v>1909.408211</v>
      </c>
      <c r="AN63" s="51" t="str">
        <f t="array" ref="AN63">XLOOKUP(D63,RUC!$B$3:$B$565,RUC!$M$3:$M$565)</f>
        <v>Richard Sapacayo</v>
      </c>
      <c r="AO63" s="131" t="s">
        <v>547</v>
      </c>
      <c r="AP63" s="57" t="s">
        <v>2320</v>
      </c>
      <c r="AQ63" s="57" t="s">
        <v>2321</v>
      </c>
    </row>
    <row r="64" ht="15.0" customHeight="1">
      <c r="A64" s="116" t="s">
        <v>2327</v>
      </c>
      <c r="B64" s="182">
        <v>46000.0</v>
      </c>
      <c r="C64" s="182">
        <v>45995.0</v>
      </c>
      <c r="D64" s="57" t="s">
        <v>225</v>
      </c>
      <c r="E64" s="3">
        <f t="array" ref="E64">XLOOKUP(D64,RUC!$B$3:$B$110,RUC!$D$3:$D$110)</f>
        <v>10761932735</v>
      </c>
      <c r="G64" s="141">
        <v>107.0</v>
      </c>
      <c r="H64" s="3" t="s">
        <v>47</v>
      </c>
      <c r="I64" s="6">
        <v>9.86</v>
      </c>
      <c r="J64" s="57">
        <v>12.45</v>
      </c>
      <c r="K64" s="6">
        <f t="shared" si="2"/>
        <v>8.632</v>
      </c>
      <c r="L64" s="141">
        <v>0.123</v>
      </c>
      <c r="M64" s="60">
        <f t="shared" si="25"/>
        <v>0.105</v>
      </c>
      <c r="N64" s="62">
        <f t="shared" si="46"/>
        <v>0.105</v>
      </c>
      <c r="O64" s="60">
        <f t="shared" si="26"/>
        <v>0.105</v>
      </c>
      <c r="P64" s="63">
        <v>80.0</v>
      </c>
      <c r="Q64" s="58">
        <v>96.75</v>
      </c>
      <c r="R64" s="65">
        <v>4200.6</v>
      </c>
      <c r="S64" s="66">
        <f t="array" ref="S64">IF((XLOOKUP(D64,RUC!$B$3:$B$106,RUC!$E$3:$E$106)+ROUNDDOWN(O64,1)*100)&lt;95,95,((XLOOKUP(D64,RUC!$B$3:$B$106,RUC!$E$3:$E$106)+ROUNDDOWN(O64,1)*100)))</f>
        <v>100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69">
        <f t="array" ref="Z64">XLOOKUP(D64,RUC!$B$3:$B$110,RUC!$H$3:$H$110)</f>
        <v>30</v>
      </c>
      <c r="AA64" s="70">
        <f t="shared" si="5"/>
        <v>50</v>
      </c>
      <c r="AB64" s="71">
        <f t="shared" si="45"/>
        <v>212.4908119</v>
      </c>
      <c r="AC64" s="71">
        <f>+(S64-T64)*V64-'data 1'!$F$4</f>
        <v>30.23</v>
      </c>
      <c r="AD64" s="71">
        <f t="shared" si="6"/>
        <v>92.67097994</v>
      </c>
      <c r="AE64" s="71">
        <f t="shared" si="7"/>
        <v>-14.885</v>
      </c>
      <c r="AF64" s="71">
        <f t="shared" si="8"/>
        <v>78.33346029</v>
      </c>
      <c r="AG64" s="72">
        <f t="shared" si="44"/>
        <v>203.3494402</v>
      </c>
      <c r="AH64" s="193">
        <f t="shared" si="9"/>
        <v>35.219</v>
      </c>
      <c r="AI64" s="193">
        <f t="shared" si="10"/>
        <v>36.402</v>
      </c>
      <c r="AJ64" s="73">
        <f t="shared" si="11"/>
        <v>36.65070174</v>
      </c>
      <c r="AK64" s="73">
        <f t="shared" si="12"/>
        <v>24.85992345</v>
      </c>
      <c r="AM64" s="51">
        <f t="shared" si="13"/>
        <v>1834.220688</v>
      </c>
      <c r="AN64" s="51" t="str">
        <f t="array" ref="AN64">XLOOKUP(D64,RUC!$B$3:$B$565,RUC!$M$3:$M$565)</f>
        <v>Richard Sapacayo</v>
      </c>
      <c r="AO64" s="131" t="s">
        <v>547</v>
      </c>
      <c r="AP64" s="57" t="s">
        <v>2320</v>
      </c>
      <c r="AQ64" s="57" t="s">
        <v>2321</v>
      </c>
    </row>
    <row r="65" ht="15.0" customHeight="1">
      <c r="A65" s="116" t="s">
        <v>2328</v>
      </c>
      <c r="B65" s="182">
        <v>46000.0</v>
      </c>
      <c r="C65" s="182">
        <v>45996.0</v>
      </c>
      <c r="D65" s="57" t="s">
        <v>306</v>
      </c>
      <c r="E65" s="3">
        <f t="array" ref="E65">XLOOKUP(D65,RUC!$B$3:$B$110,RUC!$D$3:$D$110)</f>
        <v>20612921866</v>
      </c>
      <c r="G65" s="141" t="s">
        <v>735</v>
      </c>
      <c r="H65" s="3" t="s">
        <v>47</v>
      </c>
      <c r="I65" s="6">
        <v>9.87</v>
      </c>
      <c r="J65" s="58">
        <v>2.3</v>
      </c>
      <c r="K65" s="6">
        <f t="shared" si="2"/>
        <v>9.643</v>
      </c>
      <c r="L65" s="139">
        <v>0.22</v>
      </c>
      <c r="M65" s="60">
        <f t="shared" si="25"/>
        <v>0.202</v>
      </c>
      <c r="N65" s="62">
        <f t="shared" si="46"/>
        <v>0.202</v>
      </c>
      <c r="O65" s="60">
        <f t="shared" si="26"/>
        <v>0.202</v>
      </c>
      <c r="P65" s="63">
        <v>90.0</v>
      </c>
      <c r="Q65" s="58">
        <v>96.82</v>
      </c>
      <c r="R65" s="65">
        <v>4243.0</v>
      </c>
      <c r="S65" s="66">
        <f t="array" ref="S65">IF((XLOOKUP(D65,RUC!$B$3:$B$106,RUC!$E$3:$E$106)+ROUNDDOWN(O65,1)*100)&lt;95,95,((XLOOKUP(D65,RUC!$B$3:$B$106,RUC!$E$3:$E$106)+ROUNDDOWN(O65,1)*100)))</f>
        <v>100</v>
      </c>
      <c r="U65" s="67">
        <f t="array" ref="U65">XLOOKUP(D65,RUC!$B$3:$B$110,RUC!$F$3:$F$110)</f>
        <v>100</v>
      </c>
      <c r="V65" s="67">
        <v>1.1023</v>
      </c>
      <c r="Y65" s="57" t="str">
        <f t="array" ref="Y65">XLOOKUP(D65,RUC!$B$3:$B$110,RUC!$G$3:$G$110)</f>
        <v/>
      </c>
      <c r="Z65" s="69">
        <f t="array" ref="Z65">XLOOKUP(D65,RUC!$B$3:$B$110,RUC!$H$3:$H$110)</f>
        <v>30</v>
      </c>
      <c r="AA65" s="70">
        <f t="shared" si="5"/>
        <v>30</v>
      </c>
      <c r="AB65" s="71">
        <f t="shared" si="45"/>
        <v>686.950494</v>
      </c>
      <c r="AC65" s="71">
        <f>+(S65-T65)*V65-'data 1'!$F$4</f>
        <v>30.23</v>
      </c>
      <c r="AD65" s="71">
        <f t="shared" si="6"/>
        <v>68.52070082</v>
      </c>
      <c r="AE65" s="71">
        <f t="shared" si="7"/>
        <v>-36.931</v>
      </c>
      <c r="AF65" s="71">
        <f t="shared" si="8"/>
        <v>79.58886734</v>
      </c>
      <c r="AG65" s="72">
        <f t="shared" ref="AG65:AG66" si="47">AC65+AD65+AE65+AF65+70-10</f>
        <v>201.4085682</v>
      </c>
      <c r="AH65" s="193">
        <f t="shared" si="9"/>
        <v>70.422</v>
      </c>
      <c r="AI65" s="193">
        <f t="shared" si="10"/>
        <v>72.735</v>
      </c>
      <c r="AJ65" s="73">
        <f t="shared" si="11"/>
        <v>50.9503651</v>
      </c>
      <c r="AK65" s="73">
        <f t="shared" si="12"/>
        <v>60.10562465</v>
      </c>
      <c r="AL65" s="11"/>
      <c r="AM65" s="51">
        <f t="shared" si="13"/>
        <v>6624.263614</v>
      </c>
      <c r="AN65" s="51" t="str">
        <f t="array" ref="AN65">XLOOKUP(D65,RUC!$B$3:$B$565,RUC!$M$3:$M$565)</f>
        <v>Ronald Garibay</v>
      </c>
      <c r="AO65" s="131" t="s">
        <v>547</v>
      </c>
      <c r="AP65" s="57" t="s">
        <v>2329</v>
      </c>
      <c r="AQ65" s="57" t="s">
        <v>737</v>
      </c>
    </row>
    <row r="66" ht="15.0" customHeight="1">
      <c r="A66" s="116" t="s">
        <v>2330</v>
      </c>
      <c r="B66" s="182">
        <v>46003.0</v>
      </c>
      <c r="C66" s="182">
        <v>45996.0</v>
      </c>
      <c r="D66" s="57" t="s">
        <v>306</v>
      </c>
      <c r="E66" s="3">
        <f t="array" ref="E66">XLOOKUP(D66,RUC!$B$3:$B$110,RUC!$D$3:$D$110)</f>
        <v>20612921866</v>
      </c>
      <c r="G66" s="141" t="s">
        <v>735</v>
      </c>
      <c r="H66" s="3" t="s">
        <v>47</v>
      </c>
      <c r="I66" s="6">
        <v>10.91</v>
      </c>
      <c r="J66" s="58">
        <v>3.55</v>
      </c>
      <c r="K66" s="6">
        <f t="shared" si="2"/>
        <v>10.523</v>
      </c>
      <c r="L66" s="141">
        <v>0.095</v>
      </c>
      <c r="M66" s="60">
        <f t="shared" si="25"/>
        <v>0.077</v>
      </c>
      <c r="N66" s="75">
        <v>0.162</v>
      </c>
      <c r="O66" s="60">
        <f t="shared" si="26"/>
        <v>0.12</v>
      </c>
      <c r="P66" s="63">
        <v>90.0</v>
      </c>
      <c r="Q66" s="58">
        <v>97.89</v>
      </c>
      <c r="R66" s="65">
        <v>4243.0</v>
      </c>
      <c r="S66" s="66">
        <f t="array" ref="S66">IF((XLOOKUP(D66,RUC!$B$3:$B$106,RUC!$E$3:$E$106)+ROUNDDOWN(O66,1)*100)&lt;95,95,((XLOOKUP(D66,RUC!$B$3:$B$106,RUC!$E$3:$E$106)+ROUNDDOWN(O66,1)*100)))</f>
        <v>95</v>
      </c>
      <c r="U66" s="67">
        <f t="array" ref="U66">XLOOKUP(D66,RUC!$B$3:$B$110,RUC!$F$3:$F$110)</f>
        <v>100</v>
      </c>
      <c r="V66" s="67">
        <v>1.1023</v>
      </c>
      <c r="Y66" s="57" t="str">
        <f t="array" ref="Y66">XLOOKUP(D66,RUC!$B$3:$B$110,RUC!$G$3:$G$110)</f>
        <v/>
      </c>
      <c r="Z66" s="69">
        <f t="array" ref="Z66">XLOOKUP(D66,RUC!$B$3:$B$110,RUC!$H$3:$H$110)</f>
        <v>30</v>
      </c>
      <c r="AA66" s="70">
        <f t="shared" si="5"/>
        <v>30</v>
      </c>
      <c r="AB66" s="71">
        <f t="shared" si="45"/>
        <v>355.4300212</v>
      </c>
      <c r="AC66" s="71">
        <f>+(S66-T66)*V66-'data 1'!$F$4</f>
        <v>24.7185</v>
      </c>
      <c r="AD66" s="71">
        <f t="shared" si="6"/>
        <v>34.23066602</v>
      </c>
      <c r="AE66" s="71">
        <f t="shared" si="7"/>
        <v>-36.931</v>
      </c>
      <c r="AF66" s="71">
        <f t="shared" si="8"/>
        <v>-111.7617203</v>
      </c>
      <c r="AG66" s="72">
        <f t="shared" si="47"/>
        <v>-29.74355424</v>
      </c>
      <c r="AH66" s="193">
        <f t="shared" si="9"/>
        <v>33.551</v>
      </c>
      <c r="AI66" s="193">
        <f t="shared" si="10"/>
        <v>34.275</v>
      </c>
      <c r="AJ66" s="73">
        <f t="shared" si="11"/>
        <v>22.2444399</v>
      </c>
      <c r="AK66" s="73">
        <f t="shared" si="12"/>
        <v>38.96479495</v>
      </c>
      <c r="AL66" s="11"/>
      <c r="AM66" s="51">
        <f t="shared" si="13"/>
        <v>3740.190113</v>
      </c>
      <c r="AN66" s="51" t="str">
        <f t="array" ref="AN66">XLOOKUP(D66,RUC!$B$3:$B$565,RUC!$M$3:$M$565)</f>
        <v>Ronald Garibay</v>
      </c>
      <c r="AO66" s="131" t="s">
        <v>549</v>
      </c>
      <c r="AP66" s="57" t="s">
        <v>2066</v>
      </c>
      <c r="AQ66" s="57" t="s">
        <v>2331</v>
      </c>
    </row>
    <row r="67" ht="15.0" customHeight="1">
      <c r="A67" s="116" t="s">
        <v>2332</v>
      </c>
      <c r="B67" s="182">
        <v>46000.0</v>
      </c>
      <c r="C67" s="182">
        <v>45996.0</v>
      </c>
      <c r="D67" s="57" t="s">
        <v>665</v>
      </c>
      <c r="E67" s="3">
        <f t="array" ref="E67">XLOOKUP(D67,RUC!$B$3:$B$110,RUC!$D$3:$D$110)</f>
        <v>20608774000</v>
      </c>
      <c r="G67" s="141">
        <v>50.0</v>
      </c>
      <c r="H67" s="3" t="s">
        <v>339</v>
      </c>
      <c r="I67" s="6">
        <v>3.49</v>
      </c>
      <c r="J67" s="58">
        <v>22.9</v>
      </c>
      <c r="K67" s="6">
        <f t="shared" si="2"/>
        <v>2.691</v>
      </c>
      <c r="L67" s="141">
        <v>0.399</v>
      </c>
      <c r="M67" s="60">
        <f t="shared" si="25"/>
        <v>0.375</v>
      </c>
      <c r="N67" s="62">
        <f t="shared" ref="N67:N84" si="48">+M67</f>
        <v>0.375</v>
      </c>
      <c r="O67" s="60">
        <f t="shared" si="26"/>
        <v>0.375</v>
      </c>
      <c r="P67" s="63">
        <v>90.0</v>
      </c>
      <c r="Q67" s="58">
        <v>96.24</v>
      </c>
      <c r="R67" s="65">
        <v>4243.0</v>
      </c>
      <c r="S67" s="66">
        <f t="array" ref="S67">IF((XLOOKUP(D67,RUC!$B$3:$B$106,RUC!$E$3:$E$106)+ROUNDDOWN(O67,1)*100)&lt;95,95,((XLOOKUP(D67,RUC!$B$3:$B$106,RUC!$E$3:$E$106)+ROUNDDOWN(O67,1)*100)))</f>
        <v>115</v>
      </c>
      <c r="U67" s="67">
        <f t="array" ref="U67">XLOOKUP(D67,RUC!$B$3:$B$110,RUC!$F$3:$F$110)</f>
        <v>120</v>
      </c>
      <c r="V67" s="67">
        <v>1.1023</v>
      </c>
      <c r="Y67" s="57">
        <f t="array" ref="Y67">XLOOKUP(D67,RUC!$B$3:$B$110,RUC!$G$3:$G$110)</f>
        <v>20</v>
      </c>
      <c r="Z67" s="140">
        <v>35.0</v>
      </c>
      <c r="AA67" s="70">
        <f t="shared" si="5"/>
        <v>55</v>
      </c>
      <c r="AB67" s="71">
        <f t="shared" si="45"/>
        <v>1346.473229</v>
      </c>
      <c r="AC67" s="71">
        <f>+(S67-T67)*V67-'data 1'!$F$4</f>
        <v>46.7645</v>
      </c>
      <c r="AD67" s="71">
        <f t="shared" si="6"/>
        <v>113.1541867</v>
      </c>
      <c r="AE67" s="71">
        <f t="shared" si="7"/>
        <v>-9.3735</v>
      </c>
      <c r="AF67" s="71">
        <f t="shared" si="8"/>
        <v>104.9735775</v>
      </c>
      <c r="AG67" s="72">
        <f t="shared" ref="AG67:AG87" si="49">AC67+AD67+AE67+AF67+70-53</f>
        <v>272.5187642</v>
      </c>
      <c r="AH67" s="193">
        <f t="shared" si="9"/>
        <v>35.428</v>
      </c>
      <c r="AI67" s="193">
        <f t="shared" si="10"/>
        <v>36.813</v>
      </c>
      <c r="AJ67" s="73">
        <f t="shared" si="11"/>
        <v>100.3174914</v>
      </c>
      <c r="AK67" s="73">
        <f t="shared" si="12"/>
        <v>31.13841799</v>
      </c>
      <c r="AM67" s="51">
        <f t="shared" si="13"/>
        <v>3623.359459</v>
      </c>
      <c r="AN67" s="51" t="str">
        <f t="array" ref="AN67">XLOOKUP(D67,RUC!$B$3:$B$565,RUC!$M$3:$M$565)</f>
        <v>Ronald Miranda</v>
      </c>
      <c r="AO67" s="131" t="s">
        <v>547</v>
      </c>
      <c r="AP67" s="57" t="s">
        <v>2333</v>
      </c>
      <c r="AQ67" s="57" t="s">
        <v>2334</v>
      </c>
    </row>
    <row r="68" ht="15.0" customHeight="1">
      <c r="A68" s="116" t="s">
        <v>2335</v>
      </c>
      <c r="B68" s="182">
        <v>46000.0</v>
      </c>
      <c r="C68" s="182">
        <v>45996.0</v>
      </c>
      <c r="D68" s="57" t="s">
        <v>665</v>
      </c>
      <c r="E68" s="3">
        <f t="array" ref="E68">XLOOKUP(D68,RUC!$B$3:$B$110,RUC!$D$3:$D$110)</f>
        <v>20608774000</v>
      </c>
      <c r="G68" s="141">
        <v>50.0</v>
      </c>
      <c r="H68" s="3" t="s">
        <v>339</v>
      </c>
      <c r="I68" s="6">
        <v>3.4</v>
      </c>
      <c r="J68" s="58">
        <v>21.33</v>
      </c>
      <c r="K68" s="6">
        <f t="shared" si="2"/>
        <v>2.675</v>
      </c>
      <c r="L68" s="141">
        <v>0.243</v>
      </c>
      <c r="M68" s="60">
        <f t="shared" si="25"/>
        <v>0.225</v>
      </c>
      <c r="N68" s="62">
        <f t="shared" si="48"/>
        <v>0.225</v>
      </c>
      <c r="O68" s="60">
        <f t="shared" si="26"/>
        <v>0.225</v>
      </c>
      <c r="P68" s="63">
        <v>90.0</v>
      </c>
      <c r="Q68" s="58">
        <v>93.42</v>
      </c>
      <c r="R68" s="65">
        <v>4243.0</v>
      </c>
      <c r="S68" s="66">
        <f t="array" ref="S68">IF((XLOOKUP(D68,RUC!$B$3:$B$106,RUC!$E$3:$E$106)+ROUNDDOWN(O68,1)*100)&lt;95,95,((XLOOKUP(D68,RUC!$B$3:$B$106,RUC!$E$3:$E$106)+ROUNDDOWN(O68,1)*100)))</f>
        <v>105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140">
        <v>35.0</v>
      </c>
      <c r="AA68" s="70">
        <f t="shared" si="5"/>
        <v>55</v>
      </c>
      <c r="AB68" s="71">
        <f t="shared" si="45"/>
        <v>743.9505373</v>
      </c>
      <c r="AC68" s="71">
        <f>+(S68-T68)*V68-'data 1'!$F$4</f>
        <v>35.7415</v>
      </c>
      <c r="AD68" s="71">
        <f t="shared" si="6"/>
        <v>37.76987277</v>
      </c>
      <c r="AE68" s="71">
        <f t="shared" si="7"/>
        <v>-9.3735</v>
      </c>
      <c r="AF68" s="71">
        <f t="shared" si="8"/>
        <v>76.42325133</v>
      </c>
      <c r="AG68" s="72">
        <f t="shared" si="49"/>
        <v>157.5611241</v>
      </c>
      <c r="AH68" s="193">
        <f t="shared" si="9"/>
        <v>20.82</v>
      </c>
      <c r="AI68" s="193">
        <f t="shared" si="10"/>
        <v>22.286</v>
      </c>
      <c r="AJ68" s="73">
        <f t="shared" si="11"/>
        <v>59.3054069</v>
      </c>
      <c r="AK68" s="73">
        <f t="shared" si="12"/>
        <v>18.57196614</v>
      </c>
      <c r="AM68" s="51">
        <f t="shared" si="13"/>
        <v>1990.067687</v>
      </c>
      <c r="AN68" s="51" t="str">
        <f t="array" ref="AN68">XLOOKUP(D68,RUC!$B$3:$B$565,RUC!$M$3:$M$565)</f>
        <v>Ronald Miranda</v>
      </c>
      <c r="AO68" s="131" t="s">
        <v>547</v>
      </c>
      <c r="AP68" s="57" t="s">
        <v>2333</v>
      </c>
      <c r="AQ68" s="57" t="s">
        <v>2334</v>
      </c>
    </row>
    <row r="69" ht="15.0" customHeight="1">
      <c r="A69" s="116" t="s">
        <v>2336</v>
      </c>
      <c r="B69" s="182">
        <v>46000.0</v>
      </c>
      <c r="C69" s="182">
        <v>45996.0</v>
      </c>
      <c r="D69" s="57" t="s">
        <v>665</v>
      </c>
      <c r="E69" s="3">
        <f t="array" ref="E69">XLOOKUP(D69,RUC!$B$3:$B$110,RUC!$D$3:$D$110)</f>
        <v>20608774000</v>
      </c>
      <c r="G69" s="141">
        <v>50.0</v>
      </c>
      <c r="H69" s="3" t="s">
        <v>339</v>
      </c>
      <c r="I69" s="6">
        <v>3.33</v>
      </c>
      <c r="J69" s="58">
        <v>21.65</v>
      </c>
      <c r="K69" s="6">
        <f t="shared" si="2"/>
        <v>2.609</v>
      </c>
      <c r="L69" s="141">
        <v>0.211</v>
      </c>
      <c r="M69" s="60">
        <f t="shared" si="25"/>
        <v>0.193</v>
      </c>
      <c r="N69" s="62">
        <f t="shared" si="48"/>
        <v>0.193</v>
      </c>
      <c r="O69" s="60">
        <f t="shared" si="26"/>
        <v>0.193</v>
      </c>
      <c r="P69" s="63">
        <v>90.0</v>
      </c>
      <c r="Q69" s="58">
        <v>94.31</v>
      </c>
      <c r="R69" s="65">
        <v>4243.0</v>
      </c>
      <c r="S69" s="66">
        <f t="array" ref="S69">IF((XLOOKUP(D69,RUC!$B$3:$B$106,RUC!$E$3:$E$106)+ROUNDDOWN(O69,1)*100)&lt;95,95,((XLOOKUP(D69,RUC!$B$3:$B$106,RUC!$E$3:$E$106)+ROUNDDOWN(O69,1)*100)))</f>
        <v>95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140">
        <v>35.0</v>
      </c>
      <c r="AA69" s="70">
        <f t="shared" si="5"/>
        <v>55</v>
      </c>
      <c r="AB69" s="71">
        <f t="shared" si="45"/>
        <v>624.0837897</v>
      </c>
      <c r="AC69" s="71">
        <f>+(S69-T69)*V69-'data 1'!$F$4</f>
        <v>24.7185</v>
      </c>
      <c r="AD69" s="71">
        <f t="shared" si="6"/>
        <v>41.33071017</v>
      </c>
      <c r="AE69" s="71">
        <f t="shared" si="7"/>
        <v>-9.3735</v>
      </c>
      <c r="AF69" s="71">
        <f t="shared" si="8"/>
        <v>77.15132555</v>
      </c>
      <c r="AG69" s="72">
        <f t="shared" si="49"/>
        <v>150.8270357</v>
      </c>
      <c r="AH69" s="193">
        <f t="shared" si="9"/>
        <v>17.8</v>
      </c>
      <c r="AI69" s="193">
        <f t="shared" si="10"/>
        <v>18.874</v>
      </c>
      <c r="AJ69" s="73">
        <f t="shared" si="11"/>
        <v>51.98623355</v>
      </c>
      <c r="AK69" s="73">
        <f t="shared" si="12"/>
        <v>15.5375653</v>
      </c>
      <c r="AM69" s="51">
        <f t="shared" si="13"/>
        <v>1628.234607</v>
      </c>
      <c r="AN69" s="51" t="str">
        <f t="array" ref="AN69">XLOOKUP(D69,RUC!$B$3:$B$565,RUC!$M$3:$M$565)</f>
        <v>Ronald Miranda</v>
      </c>
      <c r="AO69" s="131" t="s">
        <v>547</v>
      </c>
      <c r="AP69" s="57" t="s">
        <v>2333</v>
      </c>
      <c r="AQ69" s="57" t="s">
        <v>2334</v>
      </c>
    </row>
    <row r="70" ht="15.0" customHeight="1">
      <c r="A70" s="116" t="s">
        <v>2337</v>
      </c>
      <c r="B70" s="182">
        <v>46000.0</v>
      </c>
      <c r="C70" s="182">
        <v>45996.0</v>
      </c>
      <c r="D70" s="57" t="s">
        <v>602</v>
      </c>
      <c r="E70" s="3">
        <f t="array" ref="E70">XLOOKUP(D70,RUC!$B$3:$B$110,RUC!$D$3:$D$110)</f>
        <v>20169040231</v>
      </c>
      <c r="G70" s="141">
        <v>58.0</v>
      </c>
      <c r="H70" s="3" t="s">
        <v>47</v>
      </c>
      <c r="I70" s="6">
        <v>5.47</v>
      </c>
      <c r="J70" s="58">
        <v>1.75</v>
      </c>
      <c r="K70" s="6">
        <f t="shared" si="2"/>
        <v>5.374</v>
      </c>
      <c r="L70" s="139">
        <v>0.38</v>
      </c>
      <c r="M70" s="60">
        <f t="shared" si="25"/>
        <v>0.357</v>
      </c>
      <c r="N70" s="62">
        <f t="shared" si="48"/>
        <v>0.357</v>
      </c>
      <c r="O70" s="60">
        <f t="shared" si="26"/>
        <v>0.357</v>
      </c>
      <c r="P70" s="63">
        <v>90.0</v>
      </c>
      <c r="Q70" s="58">
        <v>96.0</v>
      </c>
      <c r="R70" s="65">
        <v>4243.0</v>
      </c>
      <c r="S70" s="66">
        <f t="array" ref="S70">IF((XLOOKUP(D70,RUC!$B$3:$B$106,RUC!$E$3:$E$106)+ROUNDDOWN(O70,1)*100)&lt;95,95,((XLOOKUP(D70,RUC!$B$3:$B$106,RUC!$E$3:$E$106)+ROUNDDOWN(O70,1)*100)))</f>
        <v>115</v>
      </c>
      <c r="U70" s="67">
        <f t="array" ref="U70">XLOOKUP(D70,RUC!$B$3:$B$110,RUC!$F$3:$F$110)</f>
        <v>120</v>
      </c>
      <c r="V70" s="67">
        <v>1.1023</v>
      </c>
      <c r="Y70" s="57">
        <f t="array" ref="Y70">XLOOKUP(D70,RUC!$B$3:$B$110,RUC!$G$3:$G$110)</f>
        <v>20</v>
      </c>
      <c r="Z70" s="140">
        <v>35.0</v>
      </c>
      <c r="AA70" s="70">
        <f t="shared" si="5"/>
        <v>55</v>
      </c>
      <c r="AB70" s="71">
        <f t="shared" si="45"/>
        <v>1272.847746</v>
      </c>
      <c r="AC70" s="71">
        <f>+(S70-T70)*V70-'data 1'!$F$4</f>
        <v>46.7645</v>
      </c>
      <c r="AD70" s="71">
        <f t="shared" si="6"/>
        <v>103.6210501</v>
      </c>
      <c r="AE70" s="71">
        <f t="shared" si="7"/>
        <v>-9.3735</v>
      </c>
      <c r="AF70" s="71">
        <f t="shared" si="8"/>
        <v>100.3488064</v>
      </c>
      <c r="AG70" s="72">
        <f t="shared" si="49"/>
        <v>258.3608566</v>
      </c>
      <c r="AH70" s="193">
        <f t="shared" si="9"/>
        <v>67.214</v>
      </c>
      <c r="AI70" s="193">
        <f t="shared" si="10"/>
        <v>70.015</v>
      </c>
      <c r="AJ70" s="73">
        <f t="shared" si="11"/>
        <v>95.30221248</v>
      </c>
      <c r="AK70" s="73">
        <f t="shared" si="12"/>
        <v>59.1994207</v>
      </c>
      <c r="AM70" s="51">
        <f t="shared" si="13"/>
        <v>6840.283786</v>
      </c>
      <c r="AN70" s="51" t="str">
        <f t="array" ref="AN70">XLOOKUP(D70,RUC!$B$3:$B$565,RUC!$M$3:$M$565)</f>
        <v>Ronald Miranda</v>
      </c>
      <c r="AO70" s="131" t="s">
        <v>547</v>
      </c>
      <c r="AP70" s="57" t="s">
        <v>2338</v>
      </c>
      <c r="AQ70" s="57" t="s">
        <v>2339</v>
      </c>
    </row>
    <row r="71" ht="15.0" customHeight="1">
      <c r="A71" s="116" t="s">
        <v>2340</v>
      </c>
      <c r="B71" s="182">
        <v>46002.0</v>
      </c>
      <c r="C71" s="182">
        <v>45996.0</v>
      </c>
      <c r="D71" s="57" t="s">
        <v>295</v>
      </c>
      <c r="E71" s="3">
        <f t="array" ref="E71">XLOOKUP(D71,RUC!$B$3:$B$110,RUC!$D$3:$D$110)</f>
        <v>20601769396</v>
      </c>
      <c r="G71" s="141">
        <v>68.0</v>
      </c>
      <c r="H71" s="3" t="s">
        <v>40</v>
      </c>
      <c r="I71" s="6">
        <v>3.95</v>
      </c>
      <c r="J71" s="58">
        <v>3.6</v>
      </c>
      <c r="K71" s="6">
        <f t="shared" si="2"/>
        <v>3.808</v>
      </c>
      <c r="L71" s="139">
        <v>0.74</v>
      </c>
      <c r="M71" s="60">
        <f t="shared" si="25"/>
        <v>0.696</v>
      </c>
      <c r="N71" s="62">
        <f t="shared" si="48"/>
        <v>0.696</v>
      </c>
      <c r="O71" s="60">
        <f t="shared" si="26"/>
        <v>0.696</v>
      </c>
      <c r="P71" s="63">
        <v>90.0</v>
      </c>
      <c r="Q71" s="58">
        <v>98.38</v>
      </c>
      <c r="R71" s="65">
        <v>4243.0</v>
      </c>
      <c r="S71" s="66">
        <f t="array" ref="S71">IF((XLOOKUP(D71,RUC!$B$3:$B$106,RUC!$E$3:$E$106)+ROUNDDOWN(O71,1)*100)&lt;95,95,((XLOOKUP(D71,RUC!$B$3:$B$106,RUC!$E$3:$E$106)+ROUNDDOWN(O71,1)*100)))</f>
        <v>150</v>
      </c>
      <c r="U71" s="67">
        <f t="array" ref="U71">XLOOKUP(D71,RUC!$B$3:$B$110,RUC!$F$3:$F$110)</f>
        <v>120</v>
      </c>
      <c r="V71" s="67">
        <v>1.1023</v>
      </c>
      <c r="Y71" s="57">
        <f t="array" ref="Y71">XLOOKUP(D71,RUC!$B$3:$B$110,RUC!$G$3:$G$110)</f>
        <v>20</v>
      </c>
      <c r="Z71" s="69">
        <f t="array" ref="Z71">XLOOKUP(D71,RUC!$B$3:$B$110,RUC!$H$3:$H$110)</f>
        <v>30</v>
      </c>
      <c r="AA71" s="70">
        <f t="shared" si="5"/>
        <v>50</v>
      </c>
      <c r="AB71" s="71">
        <f t="shared" si="45"/>
        <v>2626.392009</v>
      </c>
      <c r="AC71" s="71">
        <f>+(S71-T71)*V71-'data 1'!$F$4</f>
        <v>85.345</v>
      </c>
      <c r="AD71" s="71">
        <f t="shared" si="6"/>
        <v>281.8310772</v>
      </c>
      <c r="AE71" s="71">
        <f t="shared" si="7"/>
        <v>-14.885</v>
      </c>
      <c r="AF71" s="71">
        <f t="shared" si="8"/>
        <v>196.7309263</v>
      </c>
      <c r="AG71" s="72">
        <f t="shared" si="49"/>
        <v>566.0220035</v>
      </c>
      <c r="AH71" s="193">
        <f t="shared" si="9"/>
        <v>95.048</v>
      </c>
      <c r="AI71" s="193">
        <f t="shared" si="10"/>
        <v>96.613</v>
      </c>
      <c r="AJ71" s="73">
        <f t="shared" si="11"/>
        <v>190.1895677</v>
      </c>
      <c r="AK71" s="73">
        <f t="shared" si="12"/>
        <v>81.78200582</v>
      </c>
      <c r="AM71" s="51">
        <f t="shared" si="13"/>
        <v>10001.30077</v>
      </c>
      <c r="AN71" s="51" t="str">
        <f t="array" ref="AN71">XLOOKUP(D71,RUC!$B$3:$B$565,RUC!$M$3:$M$565)</f>
        <v>Evelyn</v>
      </c>
      <c r="AO71" s="131" t="s">
        <v>561</v>
      </c>
      <c r="AP71" s="57" t="s">
        <v>2341</v>
      </c>
      <c r="AQ71" s="57" t="s">
        <v>2342</v>
      </c>
    </row>
    <row r="72" ht="15.0" customHeight="1">
      <c r="A72" s="116" t="s">
        <v>2343</v>
      </c>
      <c r="B72" s="182">
        <v>46001.0</v>
      </c>
      <c r="C72" s="182">
        <v>45996.0</v>
      </c>
      <c r="D72" s="57" t="s">
        <v>665</v>
      </c>
      <c r="E72" s="3">
        <f t="array" ref="E72">XLOOKUP(D72,RUC!$B$3:$B$110,RUC!$D$3:$D$110)</f>
        <v>20608774000</v>
      </c>
      <c r="G72" s="141">
        <v>21.0</v>
      </c>
      <c r="H72" s="3" t="s">
        <v>47</v>
      </c>
      <c r="I72" s="6">
        <v>1.76</v>
      </c>
      <c r="J72" s="58">
        <v>2.35</v>
      </c>
      <c r="K72" s="6">
        <f t="shared" si="2"/>
        <v>1.719</v>
      </c>
      <c r="L72" s="141">
        <v>0.326</v>
      </c>
      <c r="M72" s="60">
        <f t="shared" si="25"/>
        <v>0.306</v>
      </c>
      <c r="N72" s="62">
        <f t="shared" si="48"/>
        <v>0.306</v>
      </c>
      <c r="O72" s="60">
        <f t="shared" si="26"/>
        <v>0.306</v>
      </c>
      <c r="P72" s="63">
        <v>90.0</v>
      </c>
      <c r="Q72" s="58">
        <v>96.32</v>
      </c>
      <c r="R72" s="65">
        <v>4243.0</v>
      </c>
      <c r="S72" s="66">
        <f t="array" ref="S72">IF((XLOOKUP(D72,RUC!$B$3:$B$106,RUC!$E$3:$E$106)+ROUNDDOWN(O72,1)*100)&lt;95,95,((XLOOKUP(D72,RUC!$B$3:$B$106,RUC!$E$3:$E$106)+ROUNDDOWN(O72,1)*100)))</f>
        <v>115</v>
      </c>
      <c r="U72" s="67">
        <f t="array" ref="U72">XLOOKUP(D72,RUC!$B$3:$B$110,RUC!$F$3:$F$110)</f>
        <v>120</v>
      </c>
      <c r="V72" s="67">
        <v>1.1023</v>
      </c>
      <c r="Y72" s="57">
        <f t="array" ref="Y72">XLOOKUP(D72,RUC!$B$3:$B$110,RUC!$G$3:$G$110)</f>
        <v>20</v>
      </c>
      <c r="Z72" s="140">
        <v>35.0</v>
      </c>
      <c r="AA72" s="70">
        <f t="shared" si="5"/>
        <v>55</v>
      </c>
      <c r="AB72" s="71">
        <f t="shared" si="45"/>
        <v>1064.242211</v>
      </c>
      <c r="AC72" s="71">
        <f>+(S72-T72)*V72-'data 1'!$F$4</f>
        <v>46.7645</v>
      </c>
      <c r="AD72" s="71">
        <f t="shared" si="6"/>
        <v>93.63707105</v>
      </c>
      <c r="AE72" s="71">
        <f t="shared" si="7"/>
        <v>-9.3735</v>
      </c>
      <c r="AF72" s="71">
        <f t="shared" si="8"/>
        <v>87.55069779</v>
      </c>
      <c r="AG72" s="72">
        <f t="shared" si="49"/>
        <v>235.5787688</v>
      </c>
      <c r="AH72" s="193">
        <f t="shared" si="9"/>
        <v>18.506</v>
      </c>
      <c r="AI72" s="193">
        <f t="shared" si="10"/>
        <v>19.213</v>
      </c>
      <c r="AJ72" s="73">
        <f t="shared" si="11"/>
        <v>82.03179738</v>
      </c>
      <c r="AK72" s="73">
        <f t="shared" si="12"/>
        <v>16.2311347</v>
      </c>
      <c r="AM72" s="51">
        <f t="shared" si="13"/>
        <v>1829.43236</v>
      </c>
      <c r="AN72" s="51" t="str">
        <f t="array" ref="AN72">XLOOKUP(D72,RUC!$B$3:$B$565,RUC!$M$3:$M$565)</f>
        <v>Ronald Miranda</v>
      </c>
      <c r="AO72" s="131" t="s">
        <v>561</v>
      </c>
      <c r="AP72" s="57" t="s">
        <v>2333</v>
      </c>
      <c r="AQ72" s="57" t="s">
        <v>2334</v>
      </c>
    </row>
    <row r="73" ht="15.0" customHeight="1">
      <c r="A73" s="116" t="s">
        <v>2344</v>
      </c>
      <c r="B73" s="182">
        <v>46000.0</v>
      </c>
      <c r="C73" s="182">
        <v>45996.0</v>
      </c>
      <c r="D73" s="57" t="s">
        <v>225</v>
      </c>
      <c r="E73" s="3">
        <f t="array" ref="E73">XLOOKUP(D73,RUC!$B$3:$B$110,RUC!$D$3:$D$110)</f>
        <v>10761932735</v>
      </c>
      <c r="G73" s="141">
        <v>65.0</v>
      </c>
      <c r="H73" s="3" t="s">
        <v>47</v>
      </c>
      <c r="I73" s="6">
        <v>6.46</v>
      </c>
      <c r="J73" s="58">
        <v>6.7</v>
      </c>
      <c r="K73" s="6">
        <f t="shared" si="2"/>
        <v>6.027</v>
      </c>
      <c r="L73" s="141">
        <v>0.119</v>
      </c>
      <c r="M73" s="60">
        <f t="shared" si="25"/>
        <v>0.101</v>
      </c>
      <c r="N73" s="62">
        <f t="shared" si="48"/>
        <v>0.101</v>
      </c>
      <c r="O73" s="60">
        <f t="shared" si="26"/>
        <v>0.101</v>
      </c>
      <c r="P73" s="63">
        <v>80.0</v>
      </c>
      <c r="Q73" s="58">
        <v>98.32</v>
      </c>
      <c r="R73" s="65">
        <v>4243.0</v>
      </c>
      <c r="S73" s="66">
        <f t="array" ref="S73">IF((XLOOKUP(D73,RUC!$B$3:$B$106,RUC!$E$3:$E$106)+ROUNDDOWN(O73,1)*100)&lt;95,95,((XLOOKUP(D73,RUC!$B$3:$B$106,RUC!$E$3:$E$106)+ROUNDDOWN(O73,1)*100)))</f>
        <v>100</v>
      </c>
      <c r="U73" s="67">
        <f t="array" ref="U73">XLOOKUP(D73,RUC!$B$3:$B$110,RUC!$F$3:$F$110)</f>
        <v>120</v>
      </c>
      <c r="V73" s="67">
        <v>1.1023</v>
      </c>
      <c r="Y73" s="57">
        <f t="array" ref="Y73">XLOOKUP(D73,RUC!$B$3:$B$110,RUC!$G$3:$G$110)</f>
        <v>20</v>
      </c>
      <c r="Z73" s="69">
        <f t="array" ref="Z73">XLOOKUP(D73,RUC!$B$3:$B$110,RUC!$H$3:$H$110)</f>
        <v>30</v>
      </c>
      <c r="AA73" s="70">
        <f t="shared" si="5"/>
        <v>50</v>
      </c>
      <c r="AB73" s="71">
        <f t="shared" si="45"/>
        <v>201.8734583</v>
      </c>
      <c r="AC73" s="71">
        <f>+(S73-T73)*V73-'data 1'!$F$4</f>
        <v>30.23</v>
      </c>
      <c r="AD73" s="71">
        <f t="shared" si="6"/>
        <v>99.07990305</v>
      </c>
      <c r="AE73" s="71">
        <f t="shared" si="7"/>
        <v>-14.885</v>
      </c>
      <c r="AF73" s="71">
        <f t="shared" si="8"/>
        <v>80.43174985</v>
      </c>
      <c r="AG73" s="72">
        <f t="shared" si="49"/>
        <v>211.8566529</v>
      </c>
      <c r="AH73" s="193">
        <f t="shared" si="9"/>
        <v>24.177</v>
      </c>
      <c r="AI73" s="193">
        <f t="shared" si="10"/>
        <v>24.59</v>
      </c>
      <c r="AJ73" s="73">
        <f t="shared" si="11"/>
        <v>30.5658857</v>
      </c>
      <c r="AK73" s="73">
        <f t="shared" si="12"/>
        <v>16.69635313</v>
      </c>
      <c r="AM73" s="51">
        <f t="shared" si="13"/>
        <v>1216.691333</v>
      </c>
      <c r="AN73" s="51" t="str">
        <f t="array" ref="AN73">XLOOKUP(D73,RUC!$B$3:$B$565,RUC!$M$3:$M$565)</f>
        <v>Richard Sapacayo</v>
      </c>
      <c r="AO73" s="131" t="s">
        <v>549</v>
      </c>
      <c r="AP73" s="57" t="s">
        <v>2143</v>
      </c>
      <c r="AQ73" s="57" t="s">
        <v>2345</v>
      </c>
    </row>
    <row r="74" ht="15.0" customHeight="1">
      <c r="A74" s="116" t="s">
        <v>2346</v>
      </c>
      <c r="B74" s="182">
        <v>46000.0</v>
      </c>
      <c r="C74" s="182">
        <v>45996.0</v>
      </c>
      <c r="D74" s="57" t="s">
        <v>225</v>
      </c>
      <c r="E74" s="3">
        <f t="array" ref="E74">XLOOKUP(D74,RUC!$B$3:$B$110,RUC!$D$3:$D$110)</f>
        <v>10761932735</v>
      </c>
      <c r="G74" s="141">
        <v>179.0</v>
      </c>
      <c r="H74" s="3" t="s">
        <v>47</v>
      </c>
      <c r="I74" s="6">
        <v>16.98</v>
      </c>
      <c r="J74" s="58">
        <v>8.4</v>
      </c>
      <c r="K74" s="6">
        <f t="shared" si="2"/>
        <v>15.554</v>
      </c>
      <c r="L74" s="141">
        <v>0.138</v>
      </c>
      <c r="M74" s="60">
        <f t="shared" si="25"/>
        <v>0.12</v>
      </c>
      <c r="N74" s="62">
        <f t="shared" si="48"/>
        <v>0.12</v>
      </c>
      <c r="O74" s="60">
        <f t="shared" si="26"/>
        <v>0.12</v>
      </c>
      <c r="P74" s="63">
        <v>80.0</v>
      </c>
      <c r="Q74" s="58">
        <v>96.38</v>
      </c>
      <c r="R74" s="65">
        <v>4243.0</v>
      </c>
      <c r="S74" s="66">
        <f t="array" ref="S74">IF((XLOOKUP(D74,RUC!$B$3:$B$106,RUC!$E$3:$E$106)+ROUNDDOWN(O74,1)*100)&lt;95,95,((XLOOKUP(D74,RUC!$B$3:$B$106,RUC!$E$3:$E$106)+ROUNDDOWN(O74,1)*100)))</f>
        <v>100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69">
        <f t="array" ref="Z74">XLOOKUP(D74,RUC!$B$3:$B$110,RUC!$H$3:$H$110)</f>
        <v>30</v>
      </c>
      <c r="AA74" s="70">
        <f t="shared" si="5"/>
        <v>50</v>
      </c>
      <c r="AB74" s="71">
        <f t="shared" si="45"/>
        <v>270.9541584</v>
      </c>
      <c r="AC74" s="71">
        <f>+(S74-T74)*V74-'data 1'!$F$4</f>
        <v>30.23</v>
      </c>
      <c r="AD74" s="71">
        <f t="shared" si="6"/>
        <v>102.7320906</v>
      </c>
      <c r="AE74" s="71">
        <f t="shared" si="7"/>
        <v>-14.885</v>
      </c>
      <c r="AF74" s="71">
        <f t="shared" si="8"/>
        <v>78.84471166</v>
      </c>
      <c r="AG74" s="72">
        <f t="shared" si="49"/>
        <v>213.9218022</v>
      </c>
      <c r="AH74" s="193">
        <f t="shared" si="9"/>
        <v>70.928</v>
      </c>
      <c r="AI74" s="193">
        <f t="shared" si="10"/>
        <v>73.592</v>
      </c>
      <c r="AJ74" s="73">
        <f t="shared" si="11"/>
        <v>34.74674778</v>
      </c>
      <c r="AK74" s="73">
        <f t="shared" si="12"/>
        <v>51.19439287</v>
      </c>
      <c r="AM74" s="51">
        <f t="shared" si="13"/>
        <v>4214.42098</v>
      </c>
      <c r="AN74" s="51" t="str">
        <f t="array" ref="AN74">XLOOKUP(D74,RUC!$B$3:$B$565,RUC!$M$3:$M$565)</f>
        <v>Richard Sapacayo</v>
      </c>
      <c r="AO74" s="131" t="s">
        <v>549</v>
      </c>
      <c r="AP74" s="57" t="s">
        <v>2143</v>
      </c>
      <c r="AQ74" s="57" t="s">
        <v>2345</v>
      </c>
    </row>
    <row r="75" ht="15.0" customHeight="1">
      <c r="A75" s="116" t="s">
        <v>2347</v>
      </c>
      <c r="B75" s="182">
        <v>46002.0</v>
      </c>
      <c r="C75" s="182">
        <v>45997.0</v>
      </c>
      <c r="D75" s="57" t="s">
        <v>602</v>
      </c>
      <c r="E75" s="3">
        <f t="array" ref="E75">XLOOKUP(D75,RUC!$B$3:$B$110,RUC!$D$3:$D$110)</f>
        <v>20169040231</v>
      </c>
      <c r="G75" s="141">
        <v>65.0</v>
      </c>
      <c r="H75" s="3" t="s">
        <v>47</v>
      </c>
      <c r="I75" s="6">
        <v>5.32</v>
      </c>
      <c r="J75" s="58">
        <v>1.3</v>
      </c>
      <c r="K75" s="6">
        <f t="shared" si="2"/>
        <v>5.251</v>
      </c>
      <c r="L75" s="139">
        <v>0.31</v>
      </c>
      <c r="M75" s="60">
        <f t="shared" si="25"/>
        <v>0.291</v>
      </c>
      <c r="N75" s="62">
        <f t="shared" si="48"/>
        <v>0.291</v>
      </c>
      <c r="O75" s="60">
        <f t="shared" si="26"/>
        <v>0.291</v>
      </c>
      <c r="P75" s="63">
        <v>88.0</v>
      </c>
      <c r="Q75" s="58">
        <v>91.29</v>
      </c>
      <c r="R75" s="65">
        <v>4243.0</v>
      </c>
      <c r="S75" s="66">
        <f t="array" ref="S75">IF((XLOOKUP(D75,RUC!$B$3:$B$106,RUC!$E$3:$E$106)+ROUNDDOWN(O75,1)*100)&lt;95,95,((XLOOKUP(D75,RUC!$B$3:$B$106,RUC!$E$3:$E$106)+ROUNDDOWN(O75,1)*100)))</f>
        <v>105</v>
      </c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140">
        <v>35.0</v>
      </c>
      <c r="AA75" s="70">
        <f t="shared" si="5"/>
        <v>55</v>
      </c>
      <c r="AB75" s="71">
        <f t="shared" si="45"/>
        <v>987.460005</v>
      </c>
      <c r="AC75" s="71">
        <f>+(S75-T75)*V75-'data 1'!$F$4</f>
        <v>35.7415</v>
      </c>
      <c r="AD75" s="71">
        <f t="shared" si="6"/>
        <v>46.3522408</v>
      </c>
      <c r="AE75" s="71">
        <f t="shared" si="7"/>
        <v>-9.3735</v>
      </c>
      <c r="AF75" s="71">
        <f t="shared" si="8"/>
        <v>78.82971388</v>
      </c>
      <c r="AG75" s="72">
        <f t="shared" si="49"/>
        <v>168.5499547</v>
      </c>
      <c r="AH75" s="193">
        <f t="shared" si="9"/>
        <v>50.949</v>
      </c>
      <c r="AI75" s="193">
        <f t="shared" si="10"/>
        <v>55.81</v>
      </c>
      <c r="AJ75" s="73">
        <f t="shared" si="11"/>
        <v>73.93210205</v>
      </c>
      <c r="AK75" s="73">
        <f t="shared" si="12"/>
        <v>46.1027412</v>
      </c>
      <c r="AM75" s="51">
        <f t="shared" si="13"/>
        <v>5185.152486</v>
      </c>
      <c r="AN75" s="51" t="str">
        <f t="array" ref="AN75">XLOOKUP(D75,RUC!$B$3:$B$565,RUC!$M$3:$M$565)</f>
        <v>Ronald Miranda</v>
      </c>
      <c r="AO75" s="131" t="s">
        <v>561</v>
      </c>
      <c r="AP75" s="57" t="s">
        <v>2348</v>
      </c>
      <c r="AQ75" s="57" t="s">
        <v>2349</v>
      </c>
      <c r="AR75" s="57" t="s">
        <v>2211</v>
      </c>
    </row>
    <row r="76" ht="15.0" customHeight="1">
      <c r="A76" s="116" t="s">
        <v>2350</v>
      </c>
      <c r="B76" s="182">
        <v>46002.0</v>
      </c>
      <c r="C76" s="182">
        <v>45997.0</v>
      </c>
      <c r="D76" s="57" t="s">
        <v>602</v>
      </c>
      <c r="E76" s="3">
        <f t="array" ref="E76">XLOOKUP(D76,RUC!$B$3:$B$110,RUC!$D$3:$D$110)</f>
        <v>20169040231</v>
      </c>
      <c r="G76" s="141">
        <v>65.0</v>
      </c>
      <c r="H76" s="3" t="s">
        <v>47</v>
      </c>
      <c r="I76" s="6">
        <v>5.08</v>
      </c>
      <c r="J76" s="58">
        <v>1.2</v>
      </c>
      <c r="K76" s="6">
        <f t="shared" si="2"/>
        <v>5.019</v>
      </c>
      <c r="L76" s="139">
        <v>0.283</v>
      </c>
      <c r="M76" s="60">
        <f t="shared" si="25"/>
        <v>0.265</v>
      </c>
      <c r="N76" s="62">
        <f t="shared" si="48"/>
        <v>0.265</v>
      </c>
      <c r="O76" s="60">
        <f t="shared" si="26"/>
        <v>0.265</v>
      </c>
      <c r="P76" s="63">
        <v>88.0</v>
      </c>
      <c r="Q76" s="58">
        <v>89.4</v>
      </c>
      <c r="R76" s="65">
        <v>4243.0</v>
      </c>
      <c r="S76" s="66">
        <f t="array" ref="S76">IF((XLOOKUP(D76,RUC!$B$3:$B$106,RUC!$E$3:$E$106)+ROUNDDOWN(O76,1)*100)&lt;95,95,((XLOOKUP(D76,RUC!$B$3:$B$106,RUC!$E$3:$E$106)+ROUNDDOWN(O76,1)*100)))</f>
        <v>105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140">
        <v>35.0</v>
      </c>
      <c r="AA76" s="70">
        <f t="shared" si="5"/>
        <v>55</v>
      </c>
      <c r="AB76" s="71">
        <f t="shared" si="45"/>
        <v>883.4753723</v>
      </c>
      <c r="AC76" s="71">
        <f>+(S76-T76)*V76-'data 1'!$F$4</f>
        <v>35.7415</v>
      </c>
      <c r="AD76" s="71">
        <f t="shared" si="6"/>
        <v>18.00642985</v>
      </c>
      <c r="AE76" s="71">
        <f t="shared" si="7"/>
        <v>-9.3735</v>
      </c>
      <c r="AF76" s="71">
        <f t="shared" si="8"/>
        <v>73.13464643</v>
      </c>
      <c r="AG76" s="72">
        <f t="shared" si="49"/>
        <v>134.5090763</v>
      </c>
      <c r="AH76" s="193">
        <f t="shared" si="9"/>
        <v>43.536</v>
      </c>
      <c r="AI76" s="193">
        <f t="shared" si="10"/>
        <v>48.698</v>
      </c>
      <c r="AJ76" s="73">
        <f t="shared" si="11"/>
        <v>66.09553279</v>
      </c>
      <c r="AK76" s="73">
        <f t="shared" si="12"/>
        <v>40.12867416</v>
      </c>
      <c r="AM76" s="51">
        <f t="shared" si="13"/>
        <v>4434.162893</v>
      </c>
      <c r="AN76" s="51" t="str">
        <f t="array" ref="AN76">XLOOKUP(D76,RUC!$B$3:$B$565,RUC!$M$3:$M$565)</f>
        <v>Ronald Miranda</v>
      </c>
      <c r="AO76" s="131" t="s">
        <v>561</v>
      </c>
      <c r="AP76" s="57" t="s">
        <v>2348</v>
      </c>
      <c r="AQ76" s="57" t="s">
        <v>2349</v>
      </c>
      <c r="AR76" s="57" t="s">
        <v>2211</v>
      </c>
    </row>
    <row r="77" ht="15.0" customHeight="1">
      <c r="A77" s="116" t="s">
        <v>2351</v>
      </c>
      <c r="B77" s="182">
        <v>46002.0</v>
      </c>
      <c r="C77" s="182">
        <v>45997.0</v>
      </c>
      <c r="D77" s="57" t="s">
        <v>602</v>
      </c>
      <c r="E77" s="3">
        <f t="array" ref="E77">XLOOKUP(D77,RUC!$B$3:$B$110,RUC!$D$3:$D$110)</f>
        <v>20169040231</v>
      </c>
      <c r="G77" s="141">
        <v>65.0</v>
      </c>
      <c r="H77" s="3" t="s">
        <v>47</v>
      </c>
      <c r="I77" s="6">
        <v>5.08</v>
      </c>
      <c r="J77" s="58">
        <v>1.2</v>
      </c>
      <c r="K77" s="6">
        <f t="shared" si="2"/>
        <v>5.019</v>
      </c>
      <c r="L77" s="139">
        <v>0.205</v>
      </c>
      <c r="M77" s="60">
        <f t="shared" si="25"/>
        <v>0.187</v>
      </c>
      <c r="N77" s="62">
        <f t="shared" si="48"/>
        <v>0.187</v>
      </c>
      <c r="O77" s="60">
        <f t="shared" si="26"/>
        <v>0.187</v>
      </c>
      <c r="P77" s="63">
        <v>85.0</v>
      </c>
      <c r="Q77" s="58">
        <v>91.22</v>
      </c>
      <c r="R77" s="65">
        <v>4243.0</v>
      </c>
      <c r="S77" s="66">
        <f t="array" ref="S77">IF((XLOOKUP(D77,RUC!$B$3:$B$106,RUC!$E$3:$E$106)+ROUNDDOWN(O77,1)*100)&lt;95,95,((XLOOKUP(D77,RUC!$B$3:$B$106,RUC!$E$3:$E$106)+ROUNDDOWN(O77,1)*100)))</f>
        <v>95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140">
        <v>35.0</v>
      </c>
      <c r="AA77" s="70">
        <f t="shared" si="5"/>
        <v>55</v>
      </c>
      <c r="AB77" s="71">
        <f t="shared" si="45"/>
        <v>557.048242</v>
      </c>
      <c r="AC77" s="71">
        <f>+(S77-T77)*V77-'data 1'!$F$4</f>
        <v>24.7185</v>
      </c>
      <c r="AD77" s="71">
        <f t="shared" si="6"/>
        <v>57.95052676</v>
      </c>
      <c r="AE77" s="71">
        <f t="shared" si="7"/>
        <v>-9.3735</v>
      </c>
      <c r="AF77" s="71">
        <f t="shared" si="8"/>
        <v>74.6235173</v>
      </c>
      <c r="AG77" s="72">
        <f t="shared" si="49"/>
        <v>164.9190441</v>
      </c>
      <c r="AH77" s="193">
        <f t="shared" si="9"/>
        <v>32.179</v>
      </c>
      <c r="AI77" s="193">
        <f t="shared" si="10"/>
        <v>35.276</v>
      </c>
      <c r="AJ77" s="73">
        <f t="shared" si="11"/>
        <v>48.85309495</v>
      </c>
      <c r="AK77" s="73">
        <f t="shared" si="12"/>
        <v>27.35185574</v>
      </c>
      <c r="AM77" s="51">
        <f t="shared" si="13"/>
        <v>2795.825126</v>
      </c>
      <c r="AN77" s="51" t="str">
        <f t="array" ref="AN77">XLOOKUP(D77,RUC!$B$3:$B$565,RUC!$M$3:$M$565)</f>
        <v>Ronald Miranda</v>
      </c>
      <c r="AO77" s="131" t="s">
        <v>561</v>
      </c>
      <c r="AP77" s="57" t="s">
        <v>2348</v>
      </c>
      <c r="AQ77" s="57" t="s">
        <v>2349</v>
      </c>
    </row>
    <row r="78" ht="15.0" customHeight="1">
      <c r="A78" s="116" t="s">
        <v>2352</v>
      </c>
      <c r="B78" s="182">
        <v>46002.0</v>
      </c>
      <c r="C78" s="182">
        <v>45997.0</v>
      </c>
      <c r="D78" s="57" t="s">
        <v>602</v>
      </c>
      <c r="E78" s="3">
        <f t="array" ref="E78">XLOOKUP(D78,RUC!$B$3:$B$110,RUC!$D$3:$D$110)</f>
        <v>20169040231</v>
      </c>
      <c r="G78" s="141">
        <v>65.0</v>
      </c>
      <c r="H78" s="3" t="s">
        <v>47</v>
      </c>
      <c r="I78" s="6">
        <v>5.03</v>
      </c>
      <c r="J78" s="58">
        <v>1.3</v>
      </c>
      <c r="K78" s="6">
        <f t="shared" si="2"/>
        <v>4.965</v>
      </c>
      <c r="L78" s="141">
        <v>0.168</v>
      </c>
      <c r="M78" s="60">
        <f t="shared" si="25"/>
        <v>0.15</v>
      </c>
      <c r="N78" s="62">
        <f t="shared" si="48"/>
        <v>0.15</v>
      </c>
      <c r="O78" s="60">
        <f t="shared" si="26"/>
        <v>0.15</v>
      </c>
      <c r="P78" s="63">
        <v>85.0</v>
      </c>
      <c r="Q78" s="58">
        <v>89.88</v>
      </c>
      <c r="R78" s="65">
        <v>4243.0</v>
      </c>
      <c r="S78" s="66">
        <f t="array" ref="S78">IF((XLOOKUP(D78,RUC!$B$3:$B$106,RUC!$E$3:$E$106)+ROUNDDOWN(O78,1)*100)&lt;95,95,((XLOOKUP(D78,RUC!$B$3:$B$106,RUC!$E$3:$E$106)+ROUNDDOWN(O78,1)*100)))</f>
        <v>95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140">
        <v>35.0</v>
      </c>
      <c r="AA78" s="70">
        <f t="shared" si="5"/>
        <v>55</v>
      </c>
      <c r="AB78" s="71">
        <f t="shared" si="45"/>
        <v>414.1148198</v>
      </c>
      <c r="AC78" s="71">
        <f>+(S78-T78)*V78-'data 1'!$F$4</f>
        <v>24.7185</v>
      </c>
      <c r="AD78" s="71">
        <f t="shared" si="6"/>
        <v>37.25994813</v>
      </c>
      <c r="AE78" s="71">
        <f t="shared" si="7"/>
        <v>-9.3735</v>
      </c>
      <c r="AF78" s="71">
        <f t="shared" si="8"/>
        <v>73.52731567</v>
      </c>
      <c r="AG78" s="72">
        <f t="shared" si="49"/>
        <v>143.1322638</v>
      </c>
      <c r="AH78" s="193">
        <f t="shared" si="9"/>
        <v>25.704</v>
      </c>
      <c r="AI78" s="193">
        <f t="shared" si="10"/>
        <v>28.598</v>
      </c>
      <c r="AJ78" s="73">
        <f t="shared" si="11"/>
        <v>39.44759211</v>
      </c>
      <c r="AK78" s="73">
        <f t="shared" si="12"/>
        <v>21.70393634</v>
      </c>
      <c r="AM78" s="51">
        <f t="shared" si="13"/>
        <v>2056.08008</v>
      </c>
      <c r="AN78" s="51" t="str">
        <f t="array" ref="AN78">XLOOKUP(D78,RUC!$B$3:$B$565,RUC!$M$3:$M$565)</f>
        <v>Ronald Miranda</v>
      </c>
      <c r="AO78" s="131" t="s">
        <v>561</v>
      </c>
      <c r="AP78" s="57" t="s">
        <v>2348</v>
      </c>
      <c r="AQ78" s="57" t="s">
        <v>2349</v>
      </c>
    </row>
    <row r="79" ht="15.0" customHeight="1">
      <c r="A79" s="116" t="s">
        <v>2353</v>
      </c>
      <c r="B79" s="182">
        <v>46002.0</v>
      </c>
      <c r="C79" s="182">
        <v>45997.0</v>
      </c>
      <c r="D79" s="57" t="s">
        <v>602</v>
      </c>
      <c r="E79" s="3">
        <f t="array" ref="E79">XLOOKUP(D79,RUC!$B$3:$B$110,RUC!$D$3:$D$110)</f>
        <v>20169040231</v>
      </c>
      <c r="G79" s="141">
        <v>56.0</v>
      </c>
      <c r="H79" s="3" t="s">
        <v>47</v>
      </c>
      <c r="I79" s="6">
        <v>4.58</v>
      </c>
      <c r="J79" s="58">
        <v>1.2</v>
      </c>
      <c r="K79" s="6">
        <f t="shared" si="2"/>
        <v>4.525</v>
      </c>
      <c r="L79" s="141">
        <v>0.201</v>
      </c>
      <c r="M79" s="60">
        <f t="shared" si="25"/>
        <v>0.183</v>
      </c>
      <c r="N79" s="62">
        <f t="shared" si="48"/>
        <v>0.183</v>
      </c>
      <c r="O79" s="60">
        <f t="shared" si="26"/>
        <v>0.183</v>
      </c>
      <c r="P79" s="63">
        <v>85.0</v>
      </c>
      <c r="Q79" s="130">
        <v>82.09</v>
      </c>
      <c r="R79" s="65">
        <v>4243.0</v>
      </c>
      <c r="S79" s="66">
        <f t="array" ref="S79">IF((XLOOKUP(D79,RUC!$B$3:$B$106,RUC!$E$3:$E$106)+ROUNDDOWN(O79,1)*100)&lt;95,95,((XLOOKUP(D79,RUC!$B$3:$B$106,RUC!$E$3:$E$106)+ROUNDDOWN(O79,1)*100)))</f>
        <v>95</v>
      </c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140">
        <v>35.0</v>
      </c>
      <c r="AA79" s="70">
        <f t="shared" si="5"/>
        <v>55</v>
      </c>
      <c r="AB79" s="71">
        <f t="shared" si="45"/>
        <v>541.5959801</v>
      </c>
      <c r="AC79" s="71">
        <f>+(S79-T79)*V79-'data 1'!$F$4</f>
        <v>24.7185</v>
      </c>
      <c r="AD79" s="71">
        <f t="shared" si="6"/>
        <v>-26.58288966</v>
      </c>
      <c r="AE79" s="71">
        <f t="shared" si="7"/>
        <v>-9.3735</v>
      </c>
      <c r="AF79" s="71">
        <f t="shared" si="8"/>
        <v>67.15462109</v>
      </c>
      <c r="AG79" s="72">
        <f t="shared" si="49"/>
        <v>72.91673143</v>
      </c>
      <c r="AH79" s="193">
        <f t="shared" si="9"/>
        <v>25.598</v>
      </c>
      <c r="AI79" s="193">
        <f t="shared" si="10"/>
        <v>31.183</v>
      </c>
      <c r="AJ79" s="73">
        <f t="shared" si="11"/>
        <v>43.10567662</v>
      </c>
      <c r="AK79" s="73">
        <f t="shared" si="12"/>
        <v>24.1322418</v>
      </c>
      <c r="AM79" s="51">
        <f t="shared" si="13"/>
        <v>2450.72181</v>
      </c>
      <c r="AN79" s="51" t="str">
        <f t="array" ref="AN79">XLOOKUP(D79,RUC!$B$3:$B$565,RUC!$M$3:$M$565)</f>
        <v>Ronald Miranda</v>
      </c>
      <c r="AO79" s="131" t="s">
        <v>561</v>
      </c>
      <c r="AP79" s="57" t="s">
        <v>2348</v>
      </c>
      <c r="AQ79" s="57" t="s">
        <v>2349</v>
      </c>
    </row>
    <row r="80" ht="15.0" customHeight="1">
      <c r="A80" s="116" t="s">
        <v>2354</v>
      </c>
      <c r="B80" s="182">
        <v>46002.0</v>
      </c>
      <c r="C80" s="182">
        <v>45997.0</v>
      </c>
      <c r="D80" s="57" t="s">
        <v>602</v>
      </c>
      <c r="E80" s="3">
        <f t="array" ref="E80">XLOOKUP(D80,RUC!$B$3:$B$110,RUC!$D$3:$D$110)</f>
        <v>20169040231</v>
      </c>
      <c r="G80" s="141">
        <v>54.0</v>
      </c>
      <c r="H80" s="3" t="s">
        <v>47</v>
      </c>
      <c r="I80" s="6">
        <v>4.46</v>
      </c>
      <c r="J80" s="58">
        <v>1.3</v>
      </c>
      <c r="K80" s="6">
        <f t="shared" si="2"/>
        <v>4.402</v>
      </c>
      <c r="L80" s="141">
        <v>0.327</v>
      </c>
      <c r="M80" s="60">
        <f t="shared" si="25"/>
        <v>0.307</v>
      </c>
      <c r="N80" s="62">
        <f t="shared" si="48"/>
        <v>0.307</v>
      </c>
      <c r="O80" s="60">
        <f t="shared" si="26"/>
        <v>0.307</v>
      </c>
      <c r="P80" s="63">
        <v>83.0</v>
      </c>
      <c r="Q80" s="58">
        <v>90.21</v>
      </c>
      <c r="R80" s="65">
        <v>4243.0</v>
      </c>
      <c r="S80" s="66">
        <f t="array" ref="S80">IF((XLOOKUP(D80,RUC!$B$3:$B$106,RUC!$E$3:$E$106)+ROUNDDOWN(O80,1)*100)&lt;95,95,((XLOOKUP(D80,RUC!$B$3:$B$106,RUC!$E$3:$E$106)+ROUNDDOWN(O80,1)*100)))</f>
        <v>115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140">
        <v>35.0</v>
      </c>
      <c r="AA80" s="70">
        <f t="shared" si="5"/>
        <v>55</v>
      </c>
      <c r="AB80" s="71">
        <f t="shared" si="45"/>
        <v>970.6651307</v>
      </c>
      <c r="AC80" s="71">
        <f>+(S80-T80)*V80-'data 1'!$F$4</f>
        <v>46.7645</v>
      </c>
      <c r="AD80" s="71">
        <f t="shared" si="6"/>
        <v>107.150983</v>
      </c>
      <c r="AE80" s="71">
        <f t="shared" si="7"/>
        <v>-9.3735</v>
      </c>
      <c r="AF80" s="71">
        <f t="shared" si="8"/>
        <v>81.99697308</v>
      </c>
      <c r="AG80" s="72">
        <f t="shared" si="49"/>
        <v>243.5389561</v>
      </c>
      <c r="AH80" s="193">
        <f t="shared" si="9"/>
        <v>44.521</v>
      </c>
      <c r="AI80" s="193">
        <f t="shared" si="10"/>
        <v>49.352</v>
      </c>
      <c r="AJ80" s="73">
        <f t="shared" si="11"/>
        <v>77.06382994</v>
      </c>
      <c r="AK80" s="73">
        <f t="shared" si="12"/>
        <v>38.45701533</v>
      </c>
      <c r="AM80" s="51">
        <f t="shared" si="13"/>
        <v>4272.867906</v>
      </c>
      <c r="AN80" s="51" t="str">
        <f t="array" ref="AN80">XLOOKUP(D80,RUC!$B$3:$B$565,RUC!$M$3:$M$565)</f>
        <v>Ronald Miranda</v>
      </c>
      <c r="AO80" s="131" t="s">
        <v>561</v>
      </c>
      <c r="AP80" s="57" t="s">
        <v>2348</v>
      </c>
      <c r="AQ80" s="57" t="s">
        <v>2349</v>
      </c>
      <c r="AR80" s="57" t="s">
        <v>2211</v>
      </c>
    </row>
    <row r="81" ht="15.0" customHeight="1">
      <c r="A81" s="116" t="s">
        <v>2355</v>
      </c>
      <c r="B81" s="182">
        <v>46002.0</v>
      </c>
      <c r="C81" s="182">
        <v>45997.0</v>
      </c>
      <c r="D81" s="57" t="s">
        <v>602</v>
      </c>
      <c r="E81" s="3">
        <f t="array" ref="E81">XLOOKUP(D81,RUC!$B$3:$B$110,RUC!$D$3:$D$110)</f>
        <v>20169040231</v>
      </c>
      <c r="G81" s="141">
        <v>54.0</v>
      </c>
      <c r="H81" s="3" t="s">
        <v>47</v>
      </c>
      <c r="I81" s="6">
        <v>4.31</v>
      </c>
      <c r="J81" s="58">
        <v>1.25</v>
      </c>
      <c r="K81" s="6">
        <f t="shared" si="2"/>
        <v>4.256</v>
      </c>
      <c r="L81" s="141">
        <v>0.157</v>
      </c>
      <c r="M81" s="60">
        <f t="shared" si="25"/>
        <v>0.139</v>
      </c>
      <c r="N81" s="62">
        <f t="shared" si="48"/>
        <v>0.139</v>
      </c>
      <c r="O81" s="60">
        <f t="shared" si="26"/>
        <v>0.139</v>
      </c>
      <c r="P81" s="63">
        <v>85.0</v>
      </c>
      <c r="Q81" s="58">
        <v>86.62</v>
      </c>
      <c r="R81" s="65">
        <v>4243.0</v>
      </c>
      <c r="S81" s="66">
        <f t="array" ref="S81">IF((XLOOKUP(D81,RUC!$B$3:$B$106,RUC!$E$3:$E$106)+ROUNDDOWN(O81,1)*100)&lt;95,95,((XLOOKUP(D81,RUC!$B$3:$B$106,RUC!$E$3:$E$106)+ROUNDDOWN(O81,1)*100)))</f>
        <v>95</v>
      </c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140">
        <v>35.0</v>
      </c>
      <c r="AA81" s="70">
        <f t="shared" si="5"/>
        <v>55</v>
      </c>
      <c r="AB81" s="71">
        <f t="shared" si="45"/>
        <v>371.6210996</v>
      </c>
      <c r="AC81" s="71">
        <f>+(S81-T81)*V81-'data 1'!$F$4</f>
        <v>24.7185</v>
      </c>
      <c r="AD81" s="71">
        <f t="shared" si="6"/>
        <v>11.55920083</v>
      </c>
      <c r="AE81" s="71">
        <f t="shared" si="7"/>
        <v>-9.3735</v>
      </c>
      <c r="AF81" s="71">
        <f t="shared" si="8"/>
        <v>70.86043706</v>
      </c>
      <c r="AG81" s="72">
        <f t="shared" si="49"/>
        <v>114.7646379</v>
      </c>
      <c r="AH81" s="193">
        <f t="shared" si="9"/>
        <v>19.844</v>
      </c>
      <c r="AI81" s="193">
        <f t="shared" si="10"/>
        <v>22.909</v>
      </c>
      <c r="AJ81" s="73">
        <f t="shared" si="11"/>
        <v>35.52760938</v>
      </c>
      <c r="AK81" s="73">
        <f t="shared" si="12"/>
        <v>17.24028395</v>
      </c>
      <c r="AM81" s="51">
        <f t="shared" si="13"/>
        <v>1581.6194</v>
      </c>
      <c r="AN81" s="51" t="str">
        <f t="array" ref="AN81">XLOOKUP(D81,RUC!$B$3:$B$565,RUC!$M$3:$M$565)</f>
        <v>Ronald Miranda</v>
      </c>
      <c r="AO81" s="131" t="s">
        <v>561</v>
      </c>
      <c r="AP81" s="57" t="s">
        <v>2348</v>
      </c>
      <c r="AQ81" s="57" t="s">
        <v>2349</v>
      </c>
    </row>
    <row r="82" ht="15.0" customHeight="1">
      <c r="A82" s="116" t="s">
        <v>2356</v>
      </c>
      <c r="B82" s="182">
        <v>46003.0</v>
      </c>
      <c r="C82" s="182">
        <v>45997.0</v>
      </c>
      <c r="D82" s="57" t="s">
        <v>602</v>
      </c>
      <c r="E82" s="3">
        <f t="array" ref="E82">XLOOKUP(D82,RUC!$B$3:$B$110,RUC!$D$3:$D$110)</f>
        <v>20169040231</v>
      </c>
      <c r="G82" s="141">
        <v>85.0</v>
      </c>
      <c r="H82" s="3" t="s">
        <v>47</v>
      </c>
      <c r="I82" s="6">
        <v>7.5</v>
      </c>
      <c r="J82" s="58">
        <v>1.4</v>
      </c>
      <c r="K82" s="6">
        <f t="shared" si="2"/>
        <v>7.395</v>
      </c>
      <c r="L82" s="141">
        <v>0.264</v>
      </c>
      <c r="M82" s="60">
        <f t="shared" si="25"/>
        <v>0.246</v>
      </c>
      <c r="N82" s="62">
        <f t="shared" si="48"/>
        <v>0.246</v>
      </c>
      <c r="O82" s="60">
        <f t="shared" si="26"/>
        <v>0.246</v>
      </c>
      <c r="P82" s="63">
        <v>90.0</v>
      </c>
      <c r="Q82" s="58">
        <v>94.78</v>
      </c>
      <c r="R82" s="65">
        <v>4243.0</v>
      </c>
      <c r="S82" s="66">
        <f t="array" ref="S82">IF((XLOOKUP(D82,RUC!$B$3:$B$106,RUC!$E$3:$E$106)+ROUNDDOWN(O82,1)*100)&lt;95,95,((XLOOKUP(D82,RUC!$B$3:$B$106,RUC!$E$3:$E$106)+ROUNDDOWN(O82,1)*100)))</f>
        <v>105</v>
      </c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140">
        <v>35.0</v>
      </c>
      <c r="AA82" s="70">
        <f t="shared" si="5"/>
        <v>55</v>
      </c>
      <c r="AB82" s="71">
        <f t="shared" si="45"/>
        <v>829.8469341</v>
      </c>
      <c r="AC82" s="71">
        <f>+(S82-T82)*V82-'data 1'!$F$4</f>
        <v>35.7415</v>
      </c>
      <c r="AD82" s="71">
        <f t="shared" si="6"/>
        <v>57.35152437</v>
      </c>
      <c r="AE82" s="71">
        <f t="shared" si="7"/>
        <v>-9.3735</v>
      </c>
      <c r="AF82" s="71">
        <f t="shared" si="8"/>
        <v>77.53581419</v>
      </c>
      <c r="AG82" s="72">
        <f t="shared" si="49"/>
        <v>178.2553386</v>
      </c>
      <c r="AH82" s="193">
        <f t="shared" si="9"/>
        <v>63.441</v>
      </c>
      <c r="AI82" s="193">
        <f t="shared" si="10"/>
        <v>66.935</v>
      </c>
      <c r="AJ82" s="73">
        <f t="shared" si="11"/>
        <v>65.36853993</v>
      </c>
      <c r="AK82" s="73">
        <f t="shared" si="12"/>
        <v>56.13385444</v>
      </c>
      <c r="AM82" s="51">
        <f t="shared" si="13"/>
        <v>6136.718077</v>
      </c>
      <c r="AN82" s="51" t="str">
        <f t="array" ref="AN82">XLOOKUP(D82,RUC!$B$3:$B$565,RUC!$M$3:$M$565)</f>
        <v>Ronald Miranda</v>
      </c>
      <c r="AO82" s="131" t="s">
        <v>549</v>
      </c>
      <c r="AP82" s="57" t="s">
        <v>2357</v>
      </c>
      <c r="AQ82" s="57" t="s">
        <v>2358</v>
      </c>
    </row>
    <row r="83" ht="15.0" customHeight="1">
      <c r="A83" s="116" t="s">
        <v>2359</v>
      </c>
      <c r="B83" s="182">
        <v>46003.0</v>
      </c>
      <c r="C83" s="182">
        <v>45997.0</v>
      </c>
      <c r="D83" s="57" t="s">
        <v>602</v>
      </c>
      <c r="E83" s="3">
        <f t="array" ref="E83">XLOOKUP(D83,RUC!$B$3:$B$110,RUC!$D$3:$D$110)</f>
        <v>20169040231</v>
      </c>
      <c r="G83" s="141">
        <v>11.0</v>
      </c>
      <c r="H83" s="3" t="s">
        <v>40</v>
      </c>
      <c r="I83" s="6">
        <v>1.1</v>
      </c>
      <c r="J83" s="58">
        <v>21.0</v>
      </c>
      <c r="K83" s="6">
        <f t="shared" si="2"/>
        <v>0.869</v>
      </c>
      <c r="L83" s="141">
        <v>0.371</v>
      </c>
      <c r="M83" s="60">
        <f t="shared" si="25"/>
        <v>0.349</v>
      </c>
      <c r="N83" s="62">
        <f t="shared" si="48"/>
        <v>0.349</v>
      </c>
      <c r="O83" s="60">
        <f t="shared" si="26"/>
        <v>0.349</v>
      </c>
      <c r="P83" s="63">
        <v>90.0</v>
      </c>
      <c r="Q83" s="58">
        <v>91.6</v>
      </c>
      <c r="R83" s="65">
        <v>4243.0</v>
      </c>
      <c r="S83" s="66">
        <f t="array" ref="S83">IF((XLOOKUP(D83,RUC!$B$3:$B$106,RUC!$E$3:$E$106)+ROUNDDOWN(O83,1)*100)&lt;95,95,((XLOOKUP(D83,RUC!$B$3:$B$106,RUC!$E$3:$E$106)+ROUNDDOWN(O83,1)*100)))</f>
        <v>115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140">
        <v>35.0</v>
      </c>
      <c r="AA83" s="70">
        <f t="shared" si="5"/>
        <v>55</v>
      </c>
      <c r="AB83" s="71">
        <f t="shared" si="45"/>
        <v>1240.125309</v>
      </c>
      <c r="AC83" s="71">
        <f>+(S83-T83)*V83-'data 1'!$F$4</f>
        <v>46.7645</v>
      </c>
      <c r="AD83" s="71">
        <f t="shared" si="6"/>
        <v>26.97783129</v>
      </c>
      <c r="AE83" s="71">
        <f t="shared" si="7"/>
        <v>-9.3735</v>
      </c>
      <c r="AF83" s="71">
        <f t="shared" si="8"/>
        <v>91.586465</v>
      </c>
      <c r="AG83" s="72">
        <f t="shared" si="49"/>
        <v>172.9552963</v>
      </c>
      <c r="AH83" s="193">
        <f t="shared" si="9"/>
        <v>10.125</v>
      </c>
      <c r="AI83" s="193">
        <f t="shared" si="10"/>
        <v>11.054</v>
      </c>
      <c r="AJ83" s="73">
        <f t="shared" si="11"/>
        <v>88.7804898</v>
      </c>
      <c r="AK83" s="73">
        <f t="shared" si="12"/>
        <v>9.358296096</v>
      </c>
      <c r="AM83" s="51">
        <f t="shared" si="13"/>
        <v>1077.668893</v>
      </c>
      <c r="AN83" s="51" t="str">
        <f t="array" ref="AN83">XLOOKUP(D83,RUC!$B$3:$B$565,RUC!$M$3:$M$565)</f>
        <v>Ronald Miranda</v>
      </c>
      <c r="AO83" s="131" t="s">
        <v>549</v>
      </c>
      <c r="AP83" s="57" t="s">
        <v>2357</v>
      </c>
      <c r="AQ83" s="57" t="s">
        <v>2358</v>
      </c>
    </row>
    <row r="84" ht="15.0" customHeight="1">
      <c r="A84" s="116" t="s">
        <v>2360</v>
      </c>
      <c r="B84" s="182">
        <v>46001.0</v>
      </c>
      <c r="C84" s="182">
        <v>45997.0</v>
      </c>
      <c r="D84" s="57" t="s">
        <v>602</v>
      </c>
      <c r="E84" s="3">
        <f t="array" ref="E84">XLOOKUP(D84,RUC!$B$3:$B$110,RUC!$D$3:$D$110)</f>
        <v>20169040231</v>
      </c>
      <c r="G84" s="141">
        <v>51.0</v>
      </c>
      <c r="H84" s="3" t="s">
        <v>47</v>
      </c>
      <c r="I84" s="6">
        <v>4.56</v>
      </c>
      <c r="J84" s="58">
        <v>1.35</v>
      </c>
      <c r="K84" s="6">
        <f t="shared" si="2"/>
        <v>4.498</v>
      </c>
      <c r="L84" s="141">
        <v>0.496</v>
      </c>
      <c r="M84" s="60">
        <f t="shared" si="25"/>
        <v>0.466</v>
      </c>
      <c r="N84" s="62">
        <f t="shared" si="48"/>
        <v>0.466</v>
      </c>
      <c r="O84" s="60">
        <f t="shared" si="26"/>
        <v>0.466</v>
      </c>
      <c r="P84" s="63">
        <v>90.0</v>
      </c>
      <c r="Q84" s="58">
        <v>90.32</v>
      </c>
      <c r="R84" s="65">
        <v>4243.0</v>
      </c>
      <c r="S84" s="66">
        <f t="array" ref="S84">IF((XLOOKUP(D84,RUC!$B$3:$B$106,RUC!$E$3:$E$106)+ROUNDDOWN(O84,1)*100)&lt;95,95,((XLOOKUP(D84,RUC!$B$3:$B$106,RUC!$E$3:$E$106)+ROUNDDOWN(O84,1)*100)))</f>
        <v>125</v>
      </c>
      <c r="U84" s="67">
        <f t="array" ref="U84">XLOOKUP(D84,RUC!$B$3:$B$110,RUC!$F$3:$F$110)</f>
        <v>120</v>
      </c>
      <c r="V84" s="67">
        <v>1.1023</v>
      </c>
      <c r="Y84" s="57">
        <f t="array" ref="Y84">XLOOKUP(D84,RUC!$B$3:$B$110,RUC!$G$3:$G$110)</f>
        <v>20</v>
      </c>
      <c r="Z84" s="140">
        <v>35.0</v>
      </c>
      <c r="AA84" s="70">
        <f t="shared" si="5"/>
        <v>55</v>
      </c>
      <c r="AB84" s="71">
        <f t="shared" si="45"/>
        <v>1707.667948</v>
      </c>
      <c r="AC84" s="71">
        <f>+(S84-T84)*V84-'data 1'!$F$4</f>
        <v>57.7875</v>
      </c>
      <c r="AD84" s="71">
        <f t="shared" si="6"/>
        <v>7.213479419</v>
      </c>
      <c r="AE84" s="71">
        <f t="shared" si="7"/>
        <v>-9.3735</v>
      </c>
      <c r="AF84" s="71">
        <f t="shared" si="8"/>
        <v>123.1454375</v>
      </c>
      <c r="AG84" s="72">
        <f t="shared" si="49"/>
        <v>195.7729169</v>
      </c>
      <c r="AH84" s="193">
        <f t="shared" si="9"/>
        <v>69.087</v>
      </c>
      <c r="AI84" s="193">
        <f t="shared" si="10"/>
        <v>76.491</v>
      </c>
      <c r="AJ84" s="73">
        <f t="shared" si="11"/>
        <v>117.0344609</v>
      </c>
      <c r="AK84" s="73">
        <f t="shared" si="12"/>
        <v>64.67805428</v>
      </c>
      <c r="AM84" s="51">
        <f t="shared" si="13"/>
        <v>7681.090431</v>
      </c>
      <c r="AN84" s="51" t="str">
        <f t="array" ref="AN84">XLOOKUP(D84,RUC!$B$3:$B$565,RUC!$M$3:$M$565)</f>
        <v>Ronald Miranda</v>
      </c>
      <c r="AO84" s="131" t="s">
        <v>547</v>
      </c>
      <c r="AP84" s="57" t="s">
        <v>2357</v>
      </c>
      <c r="AQ84" s="57" t="s">
        <v>2358</v>
      </c>
    </row>
    <row r="85" ht="15.0" customHeight="1">
      <c r="A85" s="116" t="s">
        <v>2361</v>
      </c>
      <c r="B85" s="182">
        <v>46001.0</v>
      </c>
      <c r="C85" s="182">
        <v>45997.0</v>
      </c>
      <c r="D85" s="57" t="s">
        <v>602</v>
      </c>
      <c r="E85" s="3">
        <f t="array" ref="E85">XLOOKUP(D85,RUC!$B$3:$B$110,RUC!$D$3:$D$110)</f>
        <v>20169040231</v>
      </c>
      <c r="G85" s="141">
        <v>52.0</v>
      </c>
      <c r="H85" s="3" t="s">
        <v>47</v>
      </c>
      <c r="I85" s="6">
        <v>4.59</v>
      </c>
      <c r="J85" s="58">
        <v>1.4</v>
      </c>
      <c r="K85" s="6">
        <f t="shared" si="2"/>
        <v>4.526</v>
      </c>
      <c r="L85" s="141">
        <v>0.698</v>
      </c>
      <c r="M85" s="60">
        <f t="shared" si="25"/>
        <v>0.656</v>
      </c>
      <c r="N85" s="75">
        <v>0.729</v>
      </c>
      <c r="O85" s="60">
        <f t="shared" si="26"/>
        <v>0.693</v>
      </c>
      <c r="P85" s="63">
        <v>90.0</v>
      </c>
      <c r="Q85" s="58">
        <v>90.83</v>
      </c>
      <c r="R85" s="65">
        <v>4243.0</v>
      </c>
      <c r="S85" s="66">
        <f t="array" ref="S85">IF((XLOOKUP(D85,RUC!$B$3:$B$106,RUC!$E$3:$E$106)+ROUNDDOWN(O85,1)*100)&lt;95,95,((XLOOKUP(D85,RUC!$B$3:$B$106,RUC!$E$3:$E$106)+ROUNDDOWN(O85,1)*100)))</f>
        <v>145</v>
      </c>
      <c r="U85" s="67">
        <f t="array" ref="U85">XLOOKUP(D85,RUC!$B$3:$B$110,RUC!$F$3:$F$110)</f>
        <v>120</v>
      </c>
      <c r="V85" s="67">
        <v>1.1023</v>
      </c>
      <c r="Y85" s="57">
        <f t="array" ref="Y85">XLOOKUP(D85,RUC!$B$3:$B$110,RUC!$G$3:$G$110)</f>
        <v>20</v>
      </c>
      <c r="Z85" s="140">
        <v>35.0</v>
      </c>
      <c r="AA85" s="70">
        <f t="shared" si="5"/>
        <v>55</v>
      </c>
      <c r="AB85" s="71">
        <f t="shared" si="45"/>
        <v>2614.121095</v>
      </c>
      <c r="AC85" s="71">
        <f>+(S85-T85)*V85-'data 1'!$F$4</f>
        <v>79.8335</v>
      </c>
      <c r="AD85" s="71">
        <f t="shared" si="6"/>
        <v>26.32974525</v>
      </c>
      <c r="AE85" s="71">
        <f t="shared" si="7"/>
        <v>-9.3735</v>
      </c>
      <c r="AF85" s="71">
        <f t="shared" si="8"/>
        <v>20.64013154</v>
      </c>
      <c r="AG85" s="72">
        <f t="shared" si="49"/>
        <v>134.4298768</v>
      </c>
      <c r="AH85" s="193">
        <f t="shared" si="9"/>
        <v>98.38</v>
      </c>
      <c r="AI85" s="193">
        <f t="shared" si="10"/>
        <v>108.313</v>
      </c>
      <c r="AJ85" s="73">
        <f t="shared" si="11"/>
        <v>165.6276692</v>
      </c>
      <c r="AK85" s="73">
        <f t="shared" si="12"/>
        <v>96.78306308</v>
      </c>
      <c r="AM85" s="51">
        <f t="shared" si="13"/>
        <v>11831.51207</v>
      </c>
      <c r="AN85" s="51" t="str">
        <f t="array" ref="AN85">XLOOKUP(D85,RUC!$B$3:$B$565,RUC!$M$3:$M$565)</f>
        <v>Ronald Miranda</v>
      </c>
      <c r="AO85" s="131" t="s">
        <v>547</v>
      </c>
      <c r="AP85" s="57" t="s">
        <v>2357</v>
      </c>
      <c r="AQ85" s="57" t="s">
        <v>2358</v>
      </c>
    </row>
    <row r="86" ht="15.0" customHeight="1">
      <c r="A86" s="116" t="s">
        <v>2362</v>
      </c>
      <c r="B86" s="182">
        <v>46001.0</v>
      </c>
      <c r="C86" s="182">
        <v>45997.0</v>
      </c>
      <c r="D86" s="57" t="s">
        <v>602</v>
      </c>
      <c r="E86" s="3">
        <f t="array" ref="E86">XLOOKUP(D86,RUC!$B$3:$B$110,RUC!$D$3:$D$110)</f>
        <v>20169040231</v>
      </c>
      <c r="G86" s="141">
        <v>100.0</v>
      </c>
      <c r="H86" s="3" t="s">
        <v>47</v>
      </c>
      <c r="I86" s="6">
        <v>9.97</v>
      </c>
      <c r="J86" s="58">
        <v>1.35</v>
      </c>
      <c r="K86" s="6">
        <f t="shared" si="2"/>
        <v>9.835</v>
      </c>
      <c r="L86" s="139">
        <v>2.19</v>
      </c>
      <c r="M86" s="60">
        <f t="shared" si="25"/>
        <v>2.059</v>
      </c>
      <c r="N86" s="62">
        <f>+M86</f>
        <v>2.059</v>
      </c>
      <c r="O86" s="60">
        <f t="shared" si="26"/>
        <v>2.059</v>
      </c>
      <c r="P86" s="63">
        <v>90.0</v>
      </c>
      <c r="Q86" s="58">
        <v>94.43</v>
      </c>
      <c r="R86" s="65">
        <v>4243.0</v>
      </c>
      <c r="S86" s="66">
        <f t="array" ref="S86">IF((XLOOKUP(D86,RUC!$B$3:$B$106,RUC!$E$3:$E$106)+ROUNDDOWN(O86,1)*100)&lt;95,95,((XLOOKUP(D86,RUC!$B$3:$B$106,RUC!$E$3:$E$106)+ROUNDDOWN(O86,1)*100)))</f>
        <v>285</v>
      </c>
      <c r="U86" s="67">
        <f t="array" ref="U86">XLOOKUP(D86,RUC!$B$3:$B$110,RUC!$F$3:$F$110)</f>
        <v>120</v>
      </c>
      <c r="V86" s="67">
        <v>1.1023</v>
      </c>
      <c r="Y86" s="57">
        <f t="array" ref="Y86">XLOOKUP(D86,RUC!$B$3:$B$110,RUC!$G$3:$G$110)</f>
        <v>20</v>
      </c>
      <c r="Z86" s="140">
        <v>38.0</v>
      </c>
      <c r="AA86" s="70">
        <f t="shared" si="5"/>
        <v>58</v>
      </c>
      <c r="AB86" s="71">
        <f t="shared" si="45"/>
        <v>8043.848292</v>
      </c>
      <c r="AC86" s="71">
        <f>+(S86-T86)*V86-'data 1'!$F$4</f>
        <v>234.1555</v>
      </c>
      <c r="AD86" s="71">
        <f t="shared" si="6"/>
        <v>440.9212026</v>
      </c>
      <c r="AE86" s="71">
        <f t="shared" si="7"/>
        <v>-6.0666</v>
      </c>
      <c r="AF86" s="71">
        <f t="shared" si="8"/>
        <v>562.2046425</v>
      </c>
      <c r="AG86" s="72">
        <f t="shared" si="49"/>
        <v>1248.214745</v>
      </c>
      <c r="AH86" s="193">
        <f t="shared" si="9"/>
        <v>697.329</v>
      </c>
      <c r="AI86" s="193">
        <f t="shared" si="10"/>
        <v>738.461</v>
      </c>
      <c r="AJ86" s="73">
        <f t="shared" si="11"/>
        <v>540.259308</v>
      </c>
      <c r="AK86" s="73">
        <f t="shared" si="12"/>
        <v>624.8593743</v>
      </c>
      <c r="AM86" s="51">
        <f t="shared" si="13"/>
        <v>79111.24795</v>
      </c>
      <c r="AN86" s="51" t="str">
        <f t="array" ref="AN86">XLOOKUP(D86,RUC!$B$3:$B$565,RUC!$M$3:$M$565)</f>
        <v>Ronald Miranda</v>
      </c>
      <c r="AO86" s="131" t="s">
        <v>549</v>
      </c>
      <c r="AP86" s="57" t="s">
        <v>2357</v>
      </c>
      <c r="AQ86" s="57" t="s">
        <v>2358</v>
      </c>
    </row>
    <row r="87" ht="15.0" customHeight="1">
      <c r="A87" s="116" t="s">
        <v>2363</v>
      </c>
      <c r="B87" s="182">
        <v>46002.0</v>
      </c>
      <c r="C87" s="182">
        <v>45998.0</v>
      </c>
      <c r="D87" s="57" t="s">
        <v>225</v>
      </c>
      <c r="E87" s="3">
        <f t="array" ref="E87">XLOOKUP(D87,RUC!$B$3:$B$110,RUC!$D$3:$D$110)</f>
        <v>10761932735</v>
      </c>
      <c r="G87" s="141" t="s">
        <v>735</v>
      </c>
      <c r="H87" s="3" t="s">
        <v>47</v>
      </c>
      <c r="I87" s="6">
        <v>24.38</v>
      </c>
      <c r="J87" s="58">
        <v>15.83</v>
      </c>
      <c r="K87" s="6">
        <f t="shared" si="2"/>
        <v>20.521</v>
      </c>
      <c r="L87" s="141">
        <v>0.167</v>
      </c>
      <c r="M87" s="60">
        <f t="shared" si="25"/>
        <v>0.149</v>
      </c>
      <c r="N87" s="75">
        <v>0.204</v>
      </c>
      <c r="O87" s="60">
        <f t="shared" si="26"/>
        <v>0.177</v>
      </c>
      <c r="P87" s="63">
        <v>90.0</v>
      </c>
      <c r="Q87" s="58">
        <v>92.81</v>
      </c>
      <c r="R87" s="65">
        <v>4188.25</v>
      </c>
      <c r="S87" s="66">
        <f t="array" ref="S87">IF((XLOOKUP(D87,RUC!$B$3:$B$106,RUC!$E$3:$E$106)+ROUNDDOWN(O87,1)*100)&lt;95,95,((XLOOKUP(D87,RUC!$B$3:$B$106,RUC!$E$3:$E$106)+ROUNDDOWN(O87,1)*100)))</f>
        <v>100</v>
      </c>
      <c r="U87" s="67">
        <f t="array" ref="U87">XLOOKUP(D87,RUC!$B$3:$B$110,RUC!$F$3:$F$110)</f>
        <v>120</v>
      </c>
      <c r="V87" s="67">
        <v>1.1023</v>
      </c>
      <c r="Y87" s="57">
        <f t="array" ref="Y87">XLOOKUP(D87,RUC!$B$3:$B$110,RUC!$G$3:$G$110)</f>
        <v>20</v>
      </c>
      <c r="Z87" s="69">
        <f t="array" ref="Z87">XLOOKUP(D87,RUC!$B$3:$B$110,RUC!$H$3:$H$110)</f>
        <v>30</v>
      </c>
      <c r="AA87" s="70">
        <f t="shared" si="5"/>
        <v>50</v>
      </c>
      <c r="AB87" s="71">
        <f t="shared" si="45"/>
        <v>549.0250136</v>
      </c>
      <c r="AC87" s="71">
        <f>+(S87-T87)*V87-'data 1'!$F$4</f>
        <v>30.23</v>
      </c>
      <c r="AD87" s="71">
        <f t="shared" si="6"/>
        <v>21.04409393</v>
      </c>
      <c r="AE87" s="71">
        <f t="shared" si="7"/>
        <v>-14.885</v>
      </c>
      <c r="AF87" s="71">
        <f t="shared" si="8"/>
        <v>-41.62001316</v>
      </c>
      <c r="AG87" s="72">
        <f t="shared" si="49"/>
        <v>11.76908077</v>
      </c>
      <c r="AH87" s="193">
        <f t="shared" si="9"/>
        <v>109.048</v>
      </c>
      <c r="AI87" s="193">
        <f t="shared" si="10"/>
        <v>117.496</v>
      </c>
      <c r="AJ87" s="73">
        <f t="shared" si="11"/>
        <v>49.84503622</v>
      </c>
      <c r="AK87" s="73">
        <f t="shared" si="12"/>
        <v>112.0787724</v>
      </c>
      <c r="AM87" s="51">
        <f t="shared" si="13"/>
        <v>11266.5423</v>
      </c>
      <c r="AN87" s="51" t="str">
        <f t="array" ref="AN87">XLOOKUP(D87,RUC!$B$3:$B$565,RUC!$M$3:$M$565)</f>
        <v>Richard Sapacayo</v>
      </c>
      <c r="AO87" s="131" t="s">
        <v>549</v>
      </c>
      <c r="AP87" s="57" t="s">
        <v>2364</v>
      </c>
      <c r="AQ87" s="57" t="s">
        <v>2365</v>
      </c>
    </row>
    <row r="88" ht="15.0" customHeight="1">
      <c r="A88" s="465"/>
      <c r="B88" s="3"/>
      <c r="C88" s="3"/>
      <c r="G88" s="141"/>
      <c r="H88" s="3"/>
      <c r="R88" s="65"/>
      <c r="AG88" s="91"/>
    </row>
    <row r="89" ht="15.0" customHeight="1">
      <c r="A89" s="465"/>
      <c r="B89" s="3"/>
      <c r="C89" s="3"/>
      <c r="G89" s="141"/>
      <c r="H89" s="3"/>
      <c r="R89" s="65"/>
      <c r="AG89" s="91"/>
    </row>
    <row r="90" ht="15.0" customHeight="1">
      <c r="A90" s="465"/>
      <c r="B90" s="3"/>
      <c r="C90" s="3"/>
      <c r="G90" s="141"/>
      <c r="H90" s="3"/>
      <c r="R90" s="65"/>
      <c r="AG90" s="91"/>
    </row>
    <row r="91" ht="15.0" customHeight="1">
      <c r="A91" s="465"/>
      <c r="B91" s="3"/>
      <c r="C91" s="3"/>
      <c r="G91" s="141"/>
      <c r="H91" s="3"/>
      <c r="R91" s="65"/>
      <c r="AG91" s="91"/>
    </row>
    <row r="92" ht="15.0" customHeight="1">
      <c r="A92" s="465"/>
      <c r="B92" s="3"/>
      <c r="C92" s="3"/>
      <c r="G92" s="141"/>
      <c r="H92" s="3"/>
      <c r="R92" s="65"/>
      <c r="AG92" s="91"/>
    </row>
    <row r="93" ht="15.0" customHeight="1">
      <c r="A93" s="465"/>
      <c r="B93" s="3"/>
      <c r="C93" s="3"/>
      <c r="G93" s="141"/>
      <c r="H93" s="3"/>
      <c r="R93" s="65"/>
      <c r="AG93" s="91"/>
    </row>
    <row r="94" ht="15.0" customHeight="1">
      <c r="A94" s="465"/>
      <c r="B94" s="3"/>
      <c r="C94" s="3"/>
      <c r="G94" s="141"/>
      <c r="H94" s="3"/>
      <c r="R94" s="65"/>
      <c r="AG94" s="91"/>
    </row>
    <row r="95" ht="15.0" customHeight="1">
      <c r="A95" s="465"/>
      <c r="B95" s="3"/>
      <c r="C95" s="3"/>
      <c r="G95" s="141"/>
      <c r="H95" s="3"/>
      <c r="R95" s="65"/>
      <c r="AG95" s="91"/>
    </row>
    <row r="96" ht="15.0" customHeight="1">
      <c r="A96" s="465"/>
      <c r="B96" s="3"/>
      <c r="C96" s="3"/>
      <c r="G96" s="141"/>
      <c r="H96" s="3"/>
      <c r="R96" s="65"/>
      <c r="AG96" s="91"/>
    </row>
    <row r="97" ht="15.0" customHeight="1">
      <c r="A97" s="465"/>
      <c r="B97" s="3"/>
      <c r="C97" s="3"/>
      <c r="G97" s="141"/>
      <c r="H97" s="3"/>
      <c r="R97" s="65"/>
      <c r="AG97" s="91"/>
    </row>
    <row r="98" ht="15.0" customHeight="1">
      <c r="A98" s="465"/>
      <c r="B98" s="3"/>
      <c r="C98" s="3"/>
      <c r="G98" s="141"/>
      <c r="H98" s="3"/>
      <c r="R98" s="65"/>
      <c r="AG98" s="91"/>
    </row>
    <row r="99" ht="15.0" customHeight="1">
      <c r="A99" s="465"/>
      <c r="B99" s="3"/>
      <c r="C99" s="3"/>
      <c r="G99" s="141"/>
      <c r="H99" s="3"/>
      <c r="R99" s="65"/>
      <c r="AG99" s="91"/>
    </row>
    <row r="100" ht="15.0" customHeight="1">
      <c r="A100" s="465"/>
      <c r="B100" s="3"/>
      <c r="C100" s="3"/>
      <c r="G100" s="141"/>
      <c r="H100" s="3"/>
      <c r="R100" s="65"/>
      <c r="AG100" s="91"/>
    </row>
    <row r="101" ht="15.0" customHeight="1">
      <c r="A101" s="465"/>
      <c r="B101" s="3"/>
      <c r="C101" s="3"/>
      <c r="G101" s="141"/>
      <c r="H101" s="3"/>
      <c r="R101" s="65"/>
      <c r="AG101" s="91"/>
    </row>
    <row r="102" ht="15.0" customHeight="1">
      <c r="A102" s="465"/>
      <c r="B102" s="3"/>
      <c r="C102" s="3"/>
      <c r="G102" s="141"/>
      <c r="H102" s="3"/>
      <c r="R102" s="65"/>
      <c r="AG102" s="91"/>
    </row>
    <row r="103" ht="15.0" customHeight="1">
      <c r="A103" s="465"/>
      <c r="B103" s="3"/>
      <c r="C103" s="3"/>
      <c r="G103" s="141"/>
      <c r="H103" s="3"/>
      <c r="R103" s="65"/>
      <c r="AG103" s="91"/>
    </row>
    <row r="104" ht="15.0" customHeight="1">
      <c r="A104" s="465"/>
      <c r="B104" s="3"/>
      <c r="C104" s="3"/>
      <c r="G104" s="141"/>
      <c r="H104" s="3"/>
      <c r="R104" s="65"/>
      <c r="AG104" s="91"/>
    </row>
    <row r="105" ht="15.0" customHeight="1">
      <c r="A105" s="465"/>
      <c r="B105" s="3"/>
      <c r="C105" s="3"/>
      <c r="G105" s="141"/>
      <c r="H105" s="3"/>
      <c r="R105" s="65"/>
      <c r="AG105" s="91"/>
    </row>
    <row r="106" ht="15.0" customHeight="1">
      <c r="A106" s="465"/>
      <c r="B106" s="3"/>
      <c r="C106" s="3"/>
      <c r="G106" s="141"/>
      <c r="H106" s="3"/>
      <c r="R106" s="65"/>
      <c r="AG106" s="91"/>
    </row>
    <row r="107" ht="15.0" customHeight="1">
      <c r="A107" s="465"/>
      <c r="B107" s="3"/>
      <c r="C107" s="3"/>
      <c r="G107" s="141"/>
      <c r="H107" s="3"/>
      <c r="R107" s="65"/>
      <c r="AG107" s="91"/>
    </row>
    <row r="108" ht="15.0" customHeight="1">
      <c r="A108" s="465"/>
      <c r="B108" s="3"/>
      <c r="C108" s="3"/>
      <c r="G108" s="141"/>
      <c r="H108" s="3"/>
      <c r="R108" s="65"/>
      <c r="AG108" s="91"/>
    </row>
    <row r="109" ht="15.0" customHeight="1">
      <c r="A109" s="465"/>
      <c r="B109" s="3"/>
      <c r="C109" s="3"/>
      <c r="G109" s="141"/>
      <c r="H109" s="3"/>
      <c r="R109" s="65"/>
      <c r="AG109" s="91"/>
    </row>
    <row r="110" ht="15.0" customHeight="1">
      <c r="A110" s="465"/>
      <c r="B110" s="3"/>
      <c r="C110" s="3"/>
      <c r="G110" s="141"/>
      <c r="H110" s="3"/>
      <c r="R110" s="65"/>
      <c r="AG110" s="91"/>
    </row>
    <row r="111" ht="15.0" customHeight="1">
      <c r="A111" s="465"/>
      <c r="B111" s="3"/>
      <c r="C111" s="3"/>
      <c r="G111" s="141"/>
      <c r="H111" s="3"/>
      <c r="R111" s="65"/>
      <c r="AG111" s="91"/>
    </row>
    <row r="112" ht="15.0" customHeight="1">
      <c r="A112" s="465"/>
      <c r="B112" s="3"/>
      <c r="C112" s="3"/>
      <c r="G112" s="141"/>
      <c r="H112" s="3"/>
      <c r="R112" s="65"/>
      <c r="AG112" s="91"/>
    </row>
    <row r="113" ht="15.0" customHeight="1">
      <c r="A113" s="465"/>
      <c r="B113" s="3"/>
      <c r="C113" s="3"/>
      <c r="G113" s="141"/>
      <c r="H113" s="3"/>
      <c r="R113" s="65"/>
      <c r="AG113" s="91"/>
    </row>
    <row r="114" ht="15.0" customHeight="1">
      <c r="B114" s="3"/>
      <c r="C114" s="3"/>
      <c r="G114" s="141"/>
      <c r="H114" s="3"/>
      <c r="R114" s="65"/>
      <c r="AG114" s="91"/>
    </row>
    <row r="115" ht="15.0" customHeight="1">
      <c r="B115" s="3"/>
      <c r="C115" s="3"/>
      <c r="G115" s="141"/>
      <c r="H115" s="3"/>
      <c r="R115" s="65"/>
      <c r="AG115" s="91"/>
    </row>
    <row r="116" ht="15.0" customHeight="1">
      <c r="B116" s="3"/>
      <c r="C116" s="3"/>
      <c r="G116" s="141"/>
      <c r="H116" s="3"/>
      <c r="R116" s="65"/>
      <c r="AG116" s="91"/>
    </row>
    <row r="117" ht="15.0" customHeight="1">
      <c r="B117" s="3"/>
      <c r="C117" s="3"/>
      <c r="G117" s="141"/>
      <c r="H117" s="3"/>
      <c r="R117" s="65"/>
      <c r="AG117" s="91"/>
    </row>
    <row r="118" ht="15.0" customHeight="1">
      <c r="B118" s="3"/>
      <c r="C118" s="3"/>
      <c r="G118" s="141"/>
      <c r="H118" s="3"/>
      <c r="R118" s="65"/>
      <c r="AG118" s="91"/>
    </row>
    <row r="119" ht="15.0" customHeight="1">
      <c r="B119" s="3"/>
      <c r="C119" s="3"/>
      <c r="G119" s="141"/>
      <c r="H119" s="3"/>
      <c r="R119" s="65"/>
      <c r="AG119" s="91"/>
    </row>
    <row r="120" ht="15.0" customHeight="1">
      <c r="B120" s="3"/>
      <c r="C120" s="3"/>
      <c r="G120" s="141"/>
      <c r="H120" s="3"/>
      <c r="R120" s="65"/>
      <c r="AG120" s="91"/>
    </row>
    <row r="121" ht="15.0" customHeight="1">
      <c r="B121" s="3"/>
      <c r="C121" s="3"/>
      <c r="G121" s="141"/>
      <c r="H121" s="3"/>
      <c r="R121" s="65"/>
      <c r="AG121" s="91"/>
    </row>
    <row r="122" ht="15.0" customHeight="1">
      <c r="B122" s="3"/>
      <c r="C122" s="3"/>
      <c r="G122" s="141"/>
      <c r="H122" s="3"/>
      <c r="R122" s="65"/>
      <c r="AG122" s="91"/>
    </row>
    <row r="123" ht="15.0" customHeight="1">
      <c r="B123" s="3"/>
      <c r="C123" s="3"/>
      <c r="G123" s="141"/>
      <c r="H123" s="3"/>
      <c r="R123" s="65"/>
      <c r="AG123" s="91"/>
    </row>
    <row r="124" ht="15.0" customHeight="1">
      <c r="B124" s="3"/>
      <c r="C124" s="3"/>
      <c r="G124" s="141"/>
      <c r="H124" s="3"/>
      <c r="R124" s="65"/>
      <c r="AG124" s="91"/>
    </row>
    <row r="125" ht="15.0" customHeight="1">
      <c r="B125" s="3"/>
      <c r="C125" s="3"/>
      <c r="G125" s="141"/>
      <c r="H125" s="3"/>
      <c r="R125" s="65"/>
      <c r="AG125" s="91"/>
    </row>
    <row r="126" ht="15.0" customHeight="1">
      <c r="B126" s="3"/>
      <c r="C126" s="3"/>
      <c r="G126" s="141"/>
      <c r="H126" s="3"/>
      <c r="R126" s="65"/>
      <c r="AG126" s="91"/>
    </row>
    <row r="127" ht="15.0" customHeight="1">
      <c r="B127" s="3"/>
      <c r="C127" s="3"/>
      <c r="G127" s="141"/>
      <c r="H127" s="3"/>
      <c r="R127" s="65"/>
      <c r="AG127" s="91"/>
    </row>
    <row r="128" ht="15.0" customHeight="1">
      <c r="B128" s="3"/>
      <c r="C128" s="3"/>
      <c r="G128" s="141"/>
      <c r="H128" s="3"/>
      <c r="R128" s="65"/>
      <c r="AG128" s="91"/>
    </row>
    <row r="129" ht="15.0" customHeight="1">
      <c r="B129" s="3"/>
      <c r="C129" s="3"/>
      <c r="G129" s="141"/>
      <c r="H129" s="3"/>
      <c r="R129" s="65"/>
      <c r="AG129" s="91"/>
    </row>
    <row r="130" ht="15.0" customHeight="1">
      <c r="B130" s="3"/>
      <c r="C130" s="3"/>
      <c r="G130" s="141"/>
      <c r="H130" s="3"/>
      <c r="R130" s="65"/>
      <c r="AG130" s="91"/>
    </row>
    <row r="131" ht="15.0" customHeight="1">
      <c r="B131" s="3"/>
      <c r="C131" s="3"/>
      <c r="G131" s="141"/>
      <c r="H131" s="3"/>
      <c r="R131" s="65"/>
      <c r="AG131" s="91"/>
    </row>
    <row r="132" ht="15.0" customHeight="1">
      <c r="B132" s="3"/>
      <c r="C132" s="3"/>
      <c r="G132" s="141"/>
      <c r="H132" s="3"/>
      <c r="R132" s="65"/>
      <c r="AG132" s="91"/>
    </row>
    <row r="133" ht="15.0" customHeight="1">
      <c r="B133" s="3"/>
      <c r="C133" s="3"/>
      <c r="G133" s="141"/>
      <c r="H133" s="3"/>
      <c r="R133" s="65"/>
      <c r="AG133" s="91"/>
    </row>
    <row r="134" ht="15.0" customHeight="1">
      <c r="B134" s="3"/>
      <c r="C134" s="3"/>
      <c r="G134" s="141"/>
      <c r="H134" s="3"/>
      <c r="R134" s="65"/>
      <c r="AG134" s="91"/>
    </row>
    <row r="135" ht="15.0" customHeight="1">
      <c r="B135" s="3"/>
      <c r="C135" s="3"/>
      <c r="G135" s="141"/>
      <c r="H135" s="3"/>
      <c r="R135" s="65"/>
      <c r="AG135" s="91"/>
    </row>
    <row r="136" ht="15.0" customHeight="1">
      <c r="B136" s="3"/>
      <c r="C136" s="3"/>
      <c r="G136" s="141"/>
      <c r="H136" s="3"/>
      <c r="R136" s="65"/>
      <c r="AG136" s="91"/>
    </row>
    <row r="137" ht="15.0" customHeight="1">
      <c r="B137" s="3"/>
      <c r="C137" s="3"/>
      <c r="G137" s="141"/>
      <c r="H137" s="3"/>
      <c r="R137" s="65"/>
      <c r="AG137" s="91"/>
    </row>
    <row r="138" ht="15.0" customHeight="1">
      <c r="B138" s="3"/>
      <c r="C138" s="3"/>
      <c r="G138" s="141"/>
      <c r="H138" s="3"/>
      <c r="R138" s="65"/>
      <c r="AG138" s="91"/>
    </row>
    <row r="139" ht="15.0" customHeight="1">
      <c r="B139" s="3"/>
      <c r="C139" s="3"/>
      <c r="G139" s="141"/>
      <c r="H139" s="3"/>
      <c r="R139" s="65"/>
      <c r="AG139" s="91"/>
    </row>
    <row r="140" ht="15.0" customHeight="1">
      <c r="B140" s="3"/>
      <c r="C140" s="3"/>
      <c r="G140" s="141"/>
      <c r="H140" s="3"/>
      <c r="R140" s="65"/>
      <c r="AG140" s="91"/>
    </row>
    <row r="141" ht="15.0" customHeight="1">
      <c r="B141" s="3"/>
      <c r="C141" s="3"/>
      <c r="G141" s="141"/>
      <c r="H141" s="3"/>
      <c r="R141" s="65"/>
      <c r="AG141" s="91"/>
    </row>
    <row r="142" ht="15.0" customHeight="1">
      <c r="B142" s="3"/>
      <c r="C142" s="3"/>
      <c r="G142" s="141"/>
      <c r="H142" s="3"/>
      <c r="R142" s="65"/>
      <c r="AG142" s="91"/>
    </row>
    <row r="143" ht="15.0" customHeight="1">
      <c r="B143" s="3"/>
      <c r="C143" s="3"/>
      <c r="G143" s="141"/>
      <c r="H143" s="3"/>
      <c r="R143" s="65"/>
      <c r="AG143" s="91"/>
    </row>
    <row r="144" ht="15.0" customHeight="1">
      <c r="B144" s="3"/>
      <c r="C144" s="3"/>
      <c r="G144" s="141"/>
      <c r="H144" s="3"/>
      <c r="R144" s="65"/>
      <c r="AG144" s="91"/>
    </row>
    <row r="145" ht="15.0" customHeight="1">
      <c r="B145" s="3"/>
      <c r="C145" s="3"/>
      <c r="G145" s="141"/>
      <c r="H145" s="3"/>
      <c r="R145" s="65"/>
      <c r="AG145" s="91"/>
    </row>
    <row r="146" ht="15.0" customHeight="1">
      <c r="B146" s="3"/>
      <c r="C146" s="3"/>
      <c r="G146" s="141"/>
      <c r="H146" s="3"/>
      <c r="R146" s="65"/>
      <c r="AG146" s="91"/>
    </row>
    <row r="147" ht="15.0" customHeight="1">
      <c r="B147" s="3"/>
      <c r="C147" s="3"/>
      <c r="G147" s="141"/>
      <c r="H147" s="3"/>
      <c r="R147" s="65"/>
      <c r="AG147" s="91"/>
    </row>
    <row r="148" ht="15.0" customHeight="1">
      <c r="B148" s="3"/>
      <c r="C148" s="3"/>
      <c r="G148" s="141"/>
      <c r="H148" s="3"/>
      <c r="R148" s="65"/>
      <c r="AG148" s="91"/>
    </row>
    <row r="149" ht="15.0" customHeight="1">
      <c r="B149" s="3"/>
      <c r="C149" s="3"/>
      <c r="G149" s="141"/>
      <c r="H149" s="3"/>
      <c r="R149" s="65"/>
      <c r="AG149" s="91"/>
    </row>
    <row r="150" ht="15.0" customHeight="1">
      <c r="B150" s="3"/>
      <c r="C150" s="3"/>
      <c r="G150" s="141"/>
      <c r="H150" s="3"/>
      <c r="R150" s="65"/>
      <c r="AG150" s="91"/>
    </row>
    <row r="151" ht="15.0" customHeight="1">
      <c r="B151" s="3"/>
      <c r="C151" s="3"/>
      <c r="G151" s="141"/>
      <c r="H151" s="3"/>
      <c r="R151" s="65"/>
      <c r="AG151" s="91"/>
    </row>
    <row r="152" ht="15.0" customHeight="1">
      <c r="B152" s="3"/>
      <c r="C152" s="3"/>
      <c r="G152" s="141"/>
      <c r="H152" s="3"/>
      <c r="R152" s="65"/>
      <c r="AG152" s="91"/>
    </row>
    <row r="153" ht="15.0" customHeight="1">
      <c r="B153" s="3"/>
      <c r="C153" s="3"/>
      <c r="G153" s="141"/>
      <c r="H153" s="3"/>
      <c r="R153" s="65"/>
      <c r="AG153" s="91"/>
    </row>
    <row r="154" ht="15.0" customHeight="1">
      <c r="B154" s="3"/>
      <c r="C154" s="3"/>
      <c r="G154" s="141"/>
      <c r="H154" s="3"/>
      <c r="R154" s="65"/>
      <c r="AG154" s="91"/>
    </row>
    <row r="155" ht="15.0" customHeight="1">
      <c r="B155" s="3"/>
      <c r="C155" s="3"/>
      <c r="G155" s="141"/>
      <c r="H155" s="3"/>
      <c r="R155" s="65"/>
      <c r="AG155" s="91"/>
    </row>
    <row r="156" ht="15.0" customHeight="1">
      <c r="B156" s="3"/>
      <c r="C156" s="3"/>
      <c r="G156" s="141"/>
      <c r="H156" s="3"/>
      <c r="R156" s="65"/>
      <c r="AG156" s="91"/>
    </row>
    <row r="157" ht="15.0" customHeight="1">
      <c r="B157" s="3"/>
      <c r="C157" s="3"/>
      <c r="G157" s="141"/>
      <c r="H157" s="3"/>
      <c r="R157" s="65"/>
      <c r="AG157" s="91"/>
    </row>
    <row r="158" ht="15.0" customHeight="1">
      <c r="B158" s="3"/>
      <c r="C158" s="3"/>
      <c r="G158" s="141"/>
      <c r="H158" s="3"/>
      <c r="R158" s="65"/>
      <c r="AG158" s="91"/>
    </row>
    <row r="159" ht="15.0" customHeight="1">
      <c r="B159" s="3"/>
      <c r="C159" s="3"/>
      <c r="G159" s="141"/>
      <c r="H159" s="3"/>
      <c r="R159" s="65"/>
      <c r="AG159" s="91"/>
    </row>
    <row r="160" ht="15.0" customHeight="1">
      <c r="B160" s="3"/>
      <c r="C160" s="3"/>
      <c r="G160" s="141"/>
      <c r="H160" s="3"/>
      <c r="R160" s="65"/>
      <c r="AG160" s="91"/>
    </row>
    <row r="161" ht="15.0" customHeight="1">
      <c r="B161" s="3"/>
      <c r="C161" s="3"/>
      <c r="G161" s="141"/>
      <c r="H161" s="3"/>
      <c r="R161" s="65"/>
      <c r="AG161" s="91"/>
    </row>
    <row r="162" ht="15.0" customHeight="1">
      <c r="B162" s="3"/>
      <c r="C162" s="3"/>
      <c r="G162" s="141"/>
      <c r="H162" s="3"/>
      <c r="R162" s="65"/>
      <c r="AG162" s="91"/>
    </row>
    <row r="163" ht="15.0" customHeight="1">
      <c r="B163" s="3"/>
      <c r="C163" s="3"/>
      <c r="G163" s="141"/>
      <c r="H163" s="3"/>
      <c r="R163" s="65"/>
      <c r="AG163" s="91"/>
    </row>
    <row r="164" ht="15.0" customHeight="1">
      <c r="B164" s="3"/>
      <c r="C164" s="3"/>
      <c r="G164" s="141"/>
      <c r="H164" s="3"/>
      <c r="R164" s="65"/>
      <c r="AG164" s="91"/>
    </row>
    <row r="165" ht="15.0" customHeight="1">
      <c r="B165" s="3"/>
      <c r="C165" s="3"/>
      <c r="G165" s="141"/>
      <c r="H165" s="3"/>
      <c r="R165" s="65"/>
      <c r="AG165" s="91"/>
    </row>
    <row r="166" ht="15.0" customHeight="1">
      <c r="B166" s="3"/>
      <c r="C166" s="3"/>
      <c r="G166" s="141"/>
      <c r="H166" s="3"/>
      <c r="R166" s="65"/>
      <c r="AG166" s="91"/>
    </row>
    <row r="167" ht="15.0" customHeight="1">
      <c r="B167" s="3"/>
      <c r="C167" s="3"/>
      <c r="G167" s="141"/>
      <c r="H167" s="3"/>
      <c r="R167" s="65"/>
      <c r="AG167" s="91"/>
    </row>
    <row r="168" ht="15.0" customHeight="1">
      <c r="B168" s="3"/>
      <c r="C168" s="3"/>
      <c r="G168" s="141"/>
      <c r="H168" s="3"/>
      <c r="R168" s="65"/>
      <c r="AG168" s="91"/>
    </row>
    <row r="169" ht="15.0" customHeight="1">
      <c r="B169" s="3"/>
      <c r="C169" s="3"/>
      <c r="G169" s="141"/>
      <c r="H169" s="3"/>
      <c r="R169" s="65"/>
      <c r="AG169" s="91"/>
    </row>
    <row r="170" ht="15.0" customHeight="1">
      <c r="B170" s="3"/>
      <c r="C170" s="3"/>
      <c r="G170" s="141"/>
      <c r="H170" s="3"/>
      <c r="R170" s="65"/>
      <c r="AG170" s="91"/>
    </row>
    <row r="171" ht="15.0" customHeight="1">
      <c r="B171" s="3"/>
      <c r="C171" s="3"/>
      <c r="G171" s="141"/>
      <c r="H171" s="3"/>
      <c r="R171" s="65"/>
      <c r="AG171" s="91"/>
    </row>
    <row r="172" ht="15.0" customHeight="1">
      <c r="B172" s="3"/>
      <c r="C172" s="3"/>
      <c r="G172" s="141"/>
      <c r="H172" s="3"/>
      <c r="R172" s="65"/>
      <c r="AG172" s="91"/>
    </row>
    <row r="173" ht="15.0" customHeight="1">
      <c r="B173" s="3"/>
      <c r="C173" s="3"/>
      <c r="G173" s="141"/>
      <c r="H173" s="3"/>
      <c r="R173" s="65"/>
      <c r="AG173" s="91"/>
    </row>
    <row r="174" ht="15.0" customHeight="1">
      <c r="B174" s="3"/>
      <c r="C174" s="3"/>
      <c r="G174" s="141"/>
      <c r="H174" s="3"/>
      <c r="R174" s="65"/>
      <c r="AG174" s="91"/>
    </row>
    <row r="175" ht="15.0" customHeight="1">
      <c r="B175" s="3"/>
      <c r="C175" s="3"/>
      <c r="G175" s="141"/>
      <c r="H175" s="3"/>
      <c r="R175" s="65"/>
      <c r="AG175" s="91"/>
    </row>
    <row r="176" ht="15.0" customHeight="1">
      <c r="B176" s="3"/>
      <c r="C176" s="3"/>
      <c r="G176" s="141"/>
      <c r="H176" s="3"/>
      <c r="R176" s="65"/>
      <c r="AG176" s="91"/>
    </row>
    <row r="177" ht="15.0" customHeight="1">
      <c r="B177" s="3"/>
      <c r="C177" s="3"/>
      <c r="G177" s="141"/>
      <c r="H177" s="3"/>
      <c r="R177" s="65"/>
      <c r="AG177" s="91"/>
    </row>
    <row r="178" ht="15.0" customHeight="1">
      <c r="B178" s="3"/>
      <c r="C178" s="3"/>
      <c r="G178" s="141"/>
      <c r="H178" s="3"/>
      <c r="R178" s="65"/>
      <c r="AG178" s="91"/>
    </row>
    <row r="179" ht="15.0" customHeight="1">
      <c r="B179" s="3"/>
      <c r="C179" s="3"/>
      <c r="G179" s="141"/>
      <c r="H179" s="3"/>
      <c r="R179" s="65"/>
      <c r="AG179" s="91"/>
    </row>
    <row r="180" ht="15.0" customHeight="1">
      <c r="B180" s="3"/>
      <c r="C180" s="3"/>
      <c r="G180" s="141"/>
      <c r="H180" s="3"/>
      <c r="R180" s="65"/>
      <c r="AG180" s="91"/>
    </row>
    <row r="181" ht="15.0" customHeight="1">
      <c r="B181" s="3"/>
      <c r="C181" s="3"/>
      <c r="G181" s="141"/>
      <c r="H181" s="3"/>
      <c r="R181" s="65"/>
      <c r="AG181" s="91"/>
    </row>
    <row r="182" ht="15.0" customHeight="1">
      <c r="B182" s="3"/>
      <c r="C182" s="3"/>
      <c r="G182" s="141"/>
      <c r="H182" s="3"/>
      <c r="R182" s="65"/>
      <c r="AG182" s="91"/>
    </row>
    <row r="183" ht="15.0" customHeight="1">
      <c r="B183" s="3"/>
      <c r="C183" s="3"/>
      <c r="G183" s="141"/>
      <c r="H183" s="3"/>
      <c r="R183" s="65"/>
      <c r="AG183" s="91"/>
    </row>
    <row r="184" ht="15.0" customHeight="1">
      <c r="B184" s="3"/>
      <c r="C184" s="3"/>
      <c r="G184" s="141"/>
      <c r="H184" s="3"/>
      <c r="R184" s="65"/>
      <c r="AG184" s="91"/>
    </row>
    <row r="185" ht="15.0" customHeight="1">
      <c r="B185" s="3"/>
      <c r="C185" s="3"/>
      <c r="G185" s="141"/>
      <c r="H185" s="3"/>
      <c r="R185" s="65"/>
      <c r="AG185" s="91"/>
    </row>
    <row r="186" ht="15.0" customHeight="1">
      <c r="B186" s="3"/>
      <c r="C186" s="3"/>
      <c r="G186" s="141"/>
      <c r="H186" s="3"/>
      <c r="R186" s="65"/>
      <c r="AG186" s="91"/>
    </row>
    <row r="187" ht="15.0" customHeight="1">
      <c r="B187" s="3"/>
      <c r="C187" s="3"/>
      <c r="G187" s="141"/>
      <c r="H187" s="3"/>
      <c r="R187" s="65"/>
      <c r="AG187" s="91"/>
    </row>
    <row r="188" ht="15.0" customHeight="1">
      <c r="B188" s="3"/>
      <c r="C188" s="3"/>
      <c r="G188" s="141"/>
      <c r="H188" s="3"/>
      <c r="R188" s="65"/>
      <c r="AG188" s="91"/>
    </row>
    <row r="189" ht="15.0" customHeight="1">
      <c r="B189" s="3"/>
      <c r="C189" s="3"/>
      <c r="G189" s="141"/>
      <c r="H189" s="3"/>
      <c r="R189" s="65"/>
      <c r="AG189" s="91"/>
    </row>
    <row r="190" ht="15.0" customHeight="1">
      <c r="B190" s="3"/>
      <c r="C190" s="3"/>
      <c r="G190" s="141"/>
      <c r="H190" s="3"/>
      <c r="R190" s="65"/>
      <c r="AG190" s="91"/>
    </row>
    <row r="191" ht="15.0" customHeight="1">
      <c r="B191" s="3"/>
      <c r="C191" s="3"/>
      <c r="G191" s="141"/>
      <c r="H191" s="3"/>
      <c r="R191" s="65"/>
      <c r="AG191" s="91"/>
    </row>
    <row r="192" ht="15.0" customHeight="1">
      <c r="B192" s="3"/>
      <c r="C192" s="3"/>
      <c r="G192" s="141"/>
      <c r="H192" s="3"/>
      <c r="R192" s="65"/>
      <c r="AG192" s="91"/>
    </row>
    <row r="193" ht="15.0" customHeight="1">
      <c r="B193" s="3"/>
      <c r="C193" s="3"/>
      <c r="G193" s="141"/>
      <c r="H193" s="3"/>
      <c r="R193" s="65"/>
      <c r="AG193" s="91"/>
    </row>
    <row r="194" ht="15.0" customHeight="1">
      <c r="B194" s="3"/>
      <c r="C194" s="3"/>
      <c r="G194" s="141"/>
      <c r="H194" s="3"/>
      <c r="R194" s="65"/>
      <c r="AG194" s="91"/>
    </row>
    <row r="195" ht="15.0" customHeight="1">
      <c r="B195" s="3"/>
      <c r="C195" s="3"/>
      <c r="G195" s="141"/>
      <c r="H195" s="3"/>
      <c r="R195" s="65"/>
      <c r="AG195" s="91"/>
    </row>
    <row r="196" ht="15.0" customHeight="1">
      <c r="B196" s="3"/>
      <c r="C196" s="3"/>
      <c r="G196" s="141"/>
      <c r="H196" s="3"/>
      <c r="R196" s="65"/>
      <c r="AG196" s="91"/>
    </row>
    <row r="197" ht="15.0" customHeight="1">
      <c r="B197" s="3"/>
      <c r="C197" s="3"/>
      <c r="G197" s="141"/>
      <c r="H197" s="3"/>
      <c r="R197" s="65"/>
      <c r="AG197" s="91"/>
    </row>
    <row r="198" ht="15.0" customHeight="1">
      <c r="B198" s="3"/>
      <c r="C198" s="3"/>
      <c r="G198" s="141"/>
      <c r="H198" s="3"/>
      <c r="R198" s="65"/>
      <c r="AG198" s="91"/>
    </row>
    <row r="199" ht="15.0" customHeight="1">
      <c r="B199" s="3"/>
      <c r="C199" s="3"/>
      <c r="G199" s="141"/>
      <c r="H199" s="3"/>
      <c r="R199" s="65"/>
      <c r="AG199" s="91"/>
    </row>
    <row r="200" ht="15.0" customHeight="1">
      <c r="B200" s="3"/>
      <c r="C200" s="3"/>
      <c r="G200" s="141"/>
      <c r="H200" s="3"/>
      <c r="R200" s="65"/>
      <c r="AG200" s="91"/>
    </row>
    <row r="201" ht="15.0" customHeight="1">
      <c r="B201" s="3"/>
      <c r="C201" s="3"/>
      <c r="G201" s="141"/>
      <c r="H201" s="3"/>
      <c r="R201" s="65"/>
      <c r="AG201" s="91"/>
    </row>
    <row r="202" ht="15.0" customHeight="1">
      <c r="B202" s="3"/>
      <c r="C202" s="3"/>
      <c r="G202" s="141"/>
      <c r="H202" s="3"/>
      <c r="R202" s="65"/>
      <c r="AG202" s="91"/>
    </row>
    <row r="203" ht="15.0" customHeight="1">
      <c r="B203" s="3"/>
      <c r="C203" s="3"/>
      <c r="G203" s="141"/>
      <c r="H203" s="3"/>
      <c r="R203" s="65"/>
      <c r="AG203" s="91"/>
    </row>
    <row r="204" ht="15.0" customHeight="1">
      <c r="B204" s="3"/>
      <c r="C204" s="3"/>
      <c r="G204" s="141"/>
      <c r="H204" s="3"/>
      <c r="R204" s="65"/>
      <c r="AG204" s="91"/>
    </row>
    <row r="205" ht="15.0" customHeight="1">
      <c r="B205" s="3"/>
      <c r="C205" s="3"/>
      <c r="G205" s="141"/>
      <c r="H205" s="3"/>
      <c r="R205" s="65"/>
      <c r="AG205" s="91"/>
    </row>
    <row r="206" ht="15.0" customHeight="1">
      <c r="B206" s="3"/>
      <c r="C206" s="3"/>
      <c r="G206" s="141"/>
      <c r="H206" s="3"/>
      <c r="R206" s="65"/>
      <c r="AG206" s="91"/>
    </row>
    <row r="207" ht="15.0" customHeight="1">
      <c r="B207" s="3"/>
      <c r="C207" s="3"/>
      <c r="G207" s="141"/>
      <c r="H207" s="3"/>
      <c r="R207" s="65"/>
      <c r="AG207" s="91"/>
    </row>
    <row r="208" ht="15.0" customHeight="1">
      <c r="B208" s="3"/>
      <c r="C208" s="3"/>
      <c r="G208" s="141"/>
      <c r="H208" s="3"/>
      <c r="R208" s="65"/>
      <c r="AG208" s="91"/>
    </row>
    <row r="209" ht="15.0" customHeight="1">
      <c r="B209" s="3"/>
      <c r="C209" s="3"/>
      <c r="G209" s="141"/>
      <c r="H209" s="3"/>
      <c r="R209" s="65"/>
      <c r="AG209" s="91"/>
    </row>
    <row r="210" ht="15.0" customHeight="1">
      <c r="B210" s="3"/>
      <c r="C210" s="3"/>
      <c r="G210" s="141"/>
      <c r="H210" s="3"/>
      <c r="R210" s="65"/>
      <c r="AG210" s="91"/>
    </row>
    <row r="211" ht="15.0" customHeight="1">
      <c r="B211" s="3"/>
      <c r="C211" s="3"/>
      <c r="G211" s="141"/>
      <c r="H211" s="3"/>
      <c r="R211" s="65"/>
      <c r="AG211" s="91"/>
    </row>
    <row r="212" ht="15.0" customHeight="1">
      <c r="B212" s="3"/>
      <c r="C212" s="3"/>
      <c r="G212" s="141"/>
      <c r="H212" s="3"/>
      <c r="R212" s="65"/>
      <c r="AG212" s="91"/>
    </row>
    <row r="213" ht="15.0" customHeight="1">
      <c r="B213" s="3"/>
      <c r="C213" s="3"/>
      <c r="G213" s="141"/>
      <c r="H213" s="3"/>
      <c r="R213" s="65"/>
      <c r="AG213" s="91"/>
    </row>
    <row r="214" ht="15.0" customHeight="1">
      <c r="B214" s="3"/>
      <c r="C214" s="3"/>
      <c r="G214" s="141"/>
      <c r="H214" s="3"/>
      <c r="R214" s="65"/>
      <c r="AG214" s="91"/>
    </row>
    <row r="215" ht="15.0" customHeight="1">
      <c r="B215" s="3"/>
      <c r="C215" s="3"/>
      <c r="G215" s="141"/>
      <c r="H215" s="3"/>
      <c r="R215" s="65"/>
      <c r="AG215" s="91"/>
    </row>
    <row r="216" ht="15.0" customHeight="1">
      <c r="B216" s="3"/>
      <c r="C216" s="3"/>
      <c r="G216" s="141"/>
      <c r="H216" s="3"/>
      <c r="R216" s="65"/>
      <c r="AG216" s="91"/>
    </row>
    <row r="217" ht="15.0" customHeight="1">
      <c r="B217" s="3"/>
      <c r="C217" s="3"/>
      <c r="G217" s="141"/>
      <c r="H217" s="3"/>
      <c r="R217" s="65"/>
      <c r="AG217" s="91"/>
    </row>
    <row r="218" ht="15.0" customHeight="1">
      <c r="B218" s="3"/>
      <c r="C218" s="3"/>
      <c r="G218" s="141"/>
      <c r="H218" s="3"/>
      <c r="R218" s="65"/>
      <c r="AG218" s="91"/>
    </row>
    <row r="219" ht="15.0" customHeight="1">
      <c r="B219" s="3"/>
      <c r="C219" s="3"/>
      <c r="G219" s="141"/>
      <c r="H219" s="3"/>
      <c r="R219" s="65"/>
      <c r="AG219" s="91"/>
    </row>
    <row r="220" ht="15.0" customHeight="1">
      <c r="B220" s="3"/>
      <c r="C220" s="3"/>
      <c r="G220" s="141"/>
      <c r="H220" s="3"/>
      <c r="R220" s="65"/>
      <c r="AG220" s="91"/>
    </row>
    <row r="221" ht="15.0" customHeight="1">
      <c r="B221" s="3"/>
      <c r="C221" s="3"/>
      <c r="G221" s="141"/>
      <c r="H221" s="3"/>
      <c r="R221" s="65"/>
      <c r="AG221" s="91"/>
    </row>
    <row r="222" ht="15.0" customHeight="1">
      <c r="B222" s="3"/>
      <c r="C222" s="3"/>
      <c r="G222" s="141"/>
      <c r="H222" s="3"/>
      <c r="R222" s="65"/>
      <c r="AG222" s="91"/>
    </row>
    <row r="223" ht="15.0" customHeight="1">
      <c r="B223" s="3"/>
      <c r="C223" s="3"/>
      <c r="G223" s="141"/>
      <c r="H223" s="3"/>
      <c r="R223" s="65"/>
      <c r="AG223" s="91"/>
    </row>
    <row r="224" ht="15.0" customHeight="1">
      <c r="B224" s="3"/>
      <c r="C224" s="3"/>
      <c r="G224" s="141"/>
      <c r="H224" s="3"/>
      <c r="R224" s="65"/>
      <c r="AG224" s="91"/>
    </row>
    <row r="225" ht="15.0" customHeight="1">
      <c r="B225" s="3"/>
      <c r="C225" s="3"/>
      <c r="G225" s="141"/>
      <c r="H225" s="3"/>
      <c r="R225" s="65"/>
      <c r="AG225" s="91"/>
    </row>
    <row r="226" ht="15.0" customHeight="1">
      <c r="B226" s="3"/>
      <c r="C226" s="3"/>
      <c r="G226" s="141"/>
      <c r="H226" s="3"/>
      <c r="R226" s="65"/>
      <c r="AG226" s="91"/>
    </row>
    <row r="227" ht="15.0" customHeight="1">
      <c r="B227" s="3"/>
      <c r="C227" s="3"/>
      <c r="G227" s="141"/>
      <c r="H227" s="3"/>
      <c r="R227" s="65"/>
      <c r="AG227" s="91"/>
    </row>
    <row r="228" ht="15.0" customHeight="1">
      <c r="B228" s="3"/>
      <c r="C228" s="3"/>
      <c r="G228" s="141"/>
      <c r="H228" s="3"/>
      <c r="R228" s="65"/>
      <c r="AG228" s="91"/>
    </row>
    <row r="229" ht="15.0" customHeight="1">
      <c r="B229" s="3"/>
      <c r="C229" s="3"/>
      <c r="G229" s="141"/>
      <c r="H229" s="3"/>
      <c r="R229" s="65"/>
      <c r="AG229" s="91"/>
    </row>
    <row r="230" ht="15.0" customHeight="1">
      <c r="B230" s="3"/>
      <c r="C230" s="3"/>
      <c r="G230" s="141"/>
      <c r="H230" s="3"/>
      <c r="R230" s="65"/>
      <c r="AG230" s="91"/>
    </row>
    <row r="231" ht="15.0" customHeight="1">
      <c r="B231" s="3"/>
      <c r="C231" s="3"/>
      <c r="G231" s="141"/>
      <c r="H231" s="3"/>
      <c r="R231" s="65"/>
      <c r="AG231" s="91"/>
    </row>
    <row r="232" ht="15.0" customHeight="1">
      <c r="B232" s="3"/>
      <c r="C232" s="3"/>
      <c r="G232" s="141"/>
      <c r="H232" s="3"/>
      <c r="R232" s="65"/>
      <c r="AG232" s="91"/>
    </row>
    <row r="233" ht="15.0" customHeight="1">
      <c r="B233" s="3"/>
      <c r="C233" s="3"/>
      <c r="G233" s="141"/>
      <c r="H233" s="3"/>
      <c r="R233" s="65"/>
      <c r="AG233" s="91"/>
    </row>
    <row r="234" ht="15.0" customHeight="1">
      <c r="B234" s="3"/>
      <c r="C234" s="3"/>
      <c r="G234" s="141"/>
      <c r="H234" s="3"/>
      <c r="R234" s="65"/>
      <c r="AG234" s="91"/>
    </row>
    <row r="235" ht="15.0" customHeight="1">
      <c r="B235" s="3"/>
      <c r="C235" s="3"/>
      <c r="G235" s="141"/>
      <c r="H235" s="3"/>
      <c r="R235" s="65"/>
      <c r="AG235" s="91"/>
    </row>
    <row r="236" ht="15.0" customHeight="1">
      <c r="B236" s="3"/>
      <c r="C236" s="3"/>
      <c r="G236" s="141"/>
      <c r="H236" s="3"/>
      <c r="R236" s="65"/>
      <c r="AG236" s="91"/>
    </row>
    <row r="237" ht="15.0" customHeight="1">
      <c r="B237" s="3"/>
      <c r="C237" s="3"/>
      <c r="G237" s="141"/>
      <c r="H237" s="3"/>
      <c r="R237" s="65"/>
      <c r="AG237" s="91"/>
    </row>
    <row r="238" ht="15.0" customHeight="1">
      <c r="B238" s="3"/>
      <c r="C238" s="3"/>
      <c r="G238" s="141"/>
      <c r="H238" s="3"/>
      <c r="R238" s="65"/>
      <c r="AG238" s="91"/>
    </row>
    <row r="239" ht="15.0" customHeight="1">
      <c r="B239" s="3"/>
      <c r="C239" s="3"/>
      <c r="G239" s="141"/>
      <c r="H239" s="3"/>
      <c r="R239" s="65"/>
      <c r="AG239" s="91"/>
    </row>
    <row r="240" ht="15.0" customHeight="1">
      <c r="B240" s="3"/>
      <c r="C240" s="3"/>
      <c r="G240" s="141"/>
      <c r="H240" s="3"/>
      <c r="R240" s="65"/>
      <c r="AG240" s="91"/>
    </row>
    <row r="241" ht="15.0" customHeight="1">
      <c r="B241" s="3"/>
      <c r="C241" s="3"/>
      <c r="G241" s="141"/>
      <c r="H241" s="3"/>
      <c r="R241" s="65"/>
      <c r="AG241" s="91"/>
    </row>
    <row r="242" ht="15.0" customHeight="1">
      <c r="B242" s="3"/>
      <c r="C242" s="3"/>
      <c r="G242" s="141"/>
      <c r="H242" s="3"/>
      <c r="R242" s="65"/>
      <c r="AG242" s="91"/>
    </row>
    <row r="243" ht="15.0" customHeight="1">
      <c r="B243" s="3"/>
      <c r="C243" s="3"/>
      <c r="G243" s="141"/>
      <c r="H243" s="3"/>
      <c r="R243" s="65"/>
      <c r="AG243" s="91"/>
    </row>
    <row r="244" ht="15.0" customHeight="1">
      <c r="B244" s="3"/>
      <c r="C244" s="3"/>
      <c r="G244" s="141"/>
      <c r="H244" s="3"/>
      <c r="R244" s="65"/>
      <c r="AG244" s="91"/>
    </row>
    <row r="245" ht="15.0" customHeight="1">
      <c r="B245" s="3"/>
      <c r="C245" s="3"/>
      <c r="G245" s="141"/>
      <c r="H245" s="3"/>
      <c r="R245" s="65"/>
      <c r="AG245" s="91"/>
    </row>
    <row r="246" ht="15.0" customHeight="1">
      <c r="B246" s="3"/>
      <c r="C246" s="3"/>
      <c r="G246" s="141"/>
      <c r="H246" s="3"/>
      <c r="R246" s="65"/>
      <c r="AG246" s="91"/>
    </row>
    <row r="247" ht="15.0" customHeight="1">
      <c r="B247" s="3"/>
      <c r="C247" s="3"/>
      <c r="G247" s="141"/>
      <c r="H247" s="3"/>
      <c r="R247" s="65"/>
      <c r="AG247" s="91"/>
    </row>
    <row r="248" ht="15.0" customHeight="1">
      <c r="B248" s="3"/>
      <c r="C248" s="3"/>
      <c r="G248" s="141"/>
      <c r="H248" s="3"/>
      <c r="R248" s="65"/>
      <c r="AG248" s="91"/>
    </row>
    <row r="249" ht="15.0" customHeight="1">
      <c r="B249" s="3"/>
      <c r="C249" s="3"/>
      <c r="G249" s="141"/>
      <c r="H249" s="3"/>
      <c r="R249" s="65"/>
      <c r="AG249" s="91"/>
    </row>
    <row r="250" ht="15.0" customHeight="1">
      <c r="B250" s="3"/>
      <c r="C250" s="3"/>
      <c r="G250" s="141"/>
      <c r="H250" s="3"/>
      <c r="R250" s="65"/>
      <c r="AG250" s="91"/>
    </row>
    <row r="251" ht="15.0" customHeight="1">
      <c r="B251" s="3"/>
      <c r="C251" s="3"/>
      <c r="G251" s="141"/>
      <c r="H251" s="3"/>
      <c r="R251" s="65"/>
      <c r="AG251" s="91"/>
    </row>
    <row r="252" ht="15.0" customHeight="1">
      <c r="B252" s="3"/>
      <c r="C252" s="3"/>
      <c r="G252" s="141"/>
      <c r="H252" s="3"/>
      <c r="R252" s="65"/>
      <c r="AG252" s="91"/>
    </row>
    <row r="253" ht="15.0" customHeight="1">
      <c r="B253" s="3"/>
      <c r="C253" s="3"/>
      <c r="G253" s="141"/>
      <c r="H253" s="3"/>
      <c r="R253" s="65"/>
      <c r="AG253" s="91"/>
    </row>
    <row r="254" ht="15.0" customHeight="1">
      <c r="B254" s="3"/>
      <c r="C254" s="3"/>
      <c r="G254" s="141"/>
      <c r="H254" s="3"/>
      <c r="R254" s="65"/>
      <c r="AG254" s="91"/>
    </row>
    <row r="255" ht="15.0" customHeight="1">
      <c r="B255" s="3"/>
      <c r="C255" s="3"/>
      <c r="G255" s="141"/>
      <c r="H255" s="3"/>
      <c r="R255" s="65"/>
      <c r="AG255" s="91"/>
    </row>
    <row r="256" ht="15.0" customHeight="1">
      <c r="B256" s="3"/>
      <c r="C256" s="3"/>
      <c r="G256" s="141"/>
      <c r="H256" s="3"/>
      <c r="R256" s="65"/>
      <c r="AG256" s="91"/>
    </row>
    <row r="257" ht="15.0" customHeight="1">
      <c r="B257" s="3"/>
      <c r="C257" s="3"/>
      <c r="G257" s="141"/>
      <c r="H257" s="3"/>
      <c r="R257" s="65"/>
      <c r="AG257" s="91"/>
    </row>
    <row r="258" ht="15.0" customHeight="1">
      <c r="B258" s="3"/>
      <c r="C258" s="3"/>
      <c r="G258" s="141"/>
      <c r="H258" s="3"/>
      <c r="R258" s="65"/>
      <c r="AG258" s="91"/>
    </row>
    <row r="259" ht="15.0" customHeight="1">
      <c r="B259" s="3"/>
      <c r="C259" s="3"/>
      <c r="G259" s="141"/>
      <c r="H259" s="3"/>
      <c r="R259" s="65"/>
      <c r="AG259" s="91"/>
    </row>
    <row r="260" ht="15.0" customHeight="1">
      <c r="B260" s="3"/>
      <c r="C260" s="3"/>
      <c r="G260" s="141"/>
      <c r="H260" s="3"/>
      <c r="R260" s="65"/>
      <c r="AG260" s="91"/>
    </row>
    <row r="261" ht="15.0" customHeight="1">
      <c r="B261" s="3"/>
      <c r="C261" s="3"/>
      <c r="G261" s="141"/>
      <c r="H261" s="3"/>
      <c r="R261" s="65"/>
      <c r="AG261" s="91"/>
    </row>
    <row r="262" ht="15.0" customHeight="1">
      <c r="B262" s="3"/>
      <c r="C262" s="3"/>
      <c r="G262" s="141"/>
      <c r="H262" s="3"/>
      <c r="R262" s="65"/>
      <c r="AG262" s="91"/>
    </row>
    <row r="263" ht="15.0" customHeight="1">
      <c r="B263" s="3"/>
      <c r="C263" s="3"/>
      <c r="G263" s="141"/>
      <c r="H263" s="3"/>
      <c r="R263" s="65"/>
      <c r="AG263" s="91"/>
    </row>
    <row r="264" ht="15.0" customHeight="1">
      <c r="B264" s="3"/>
      <c r="C264" s="3"/>
      <c r="G264" s="141"/>
      <c r="H264" s="3"/>
      <c r="R264" s="65"/>
      <c r="AG264" s="91"/>
    </row>
    <row r="265" ht="15.0" customHeight="1">
      <c r="B265" s="3"/>
      <c r="C265" s="3"/>
      <c r="G265" s="141"/>
      <c r="H265" s="3"/>
      <c r="R265" s="65"/>
      <c r="AG265" s="91"/>
    </row>
    <row r="266" ht="15.0" customHeight="1">
      <c r="B266" s="3"/>
      <c r="C266" s="3"/>
      <c r="G266" s="141"/>
      <c r="H266" s="3"/>
      <c r="R266" s="65"/>
      <c r="AG266" s="91"/>
    </row>
    <row r="267" ht="15.0" customHeight="1">
      <c r="B267" s="3"/>
      <c r="C267" s="3"/>
      <c r="G267" s="141"/>
      <c r="H267" s="3"/>
      <c r="R267" s="65"/>
      <c r="AG267" s="91"/>
    </row>
    <row r="268" ht="15.0" customHeight="1">
      <c r="B268" s="3"/>
      <c r="C268" s="3"/>
      <c r="G268" s="141"/>
      <c r="H268" s="3"/>
      <c r="R268" s="65"/>
      <c r="AG268" s="91"/>
    </row>
    <row r="269" ht="15.0" customHeight="1">
      <c r="B269" s="3"/>
      <c r="C269" s="3"/>
      <c r="G269" s="141"/>
      <c r="H269" s="3"/>
      <c r="R269" s="65"/>
      <c r="AG269" s="91"/>
    </row>
    <row r="270" ht="15.0" customHeight="1">
      <c r="B270" s="3"/>
      <c r="C270" s="3"/>
      <c r="G270" s="141"/>
      <c r="H270" s="3"/>
      <c r="R270" s="65"/>
      <c r="AG270" s="91"/>
    </row>
    <row r="271" ht="15.0" customHeight="1">
      <c r="B271" s="3"/>
      <c r="C271" s="3"/>
      <c r="G271" s="141"/>
      <c r="H271" s="3"/>
      <c r="R271" s="65"/>
      <c r="AG271" s="91"/>
    </row>
    <row r="272" ht="15.0" customHeight="1">
      <c r="B272" s="3"/>
      <c r="C272" s="3"/>
      <c r="G272" s="141"/>
      <c r="H272" s="3"/>
      <c r="R272" s="65"/>
      <c r="AG272" s="91"/>
    </row>
    <row r="273" ht="15.0" customHeight="1">
      <c r="B273" s="3"/>
      <c r="C273" s="3"/>
      <c r="G273" s="141"/>
      <c r="H273" s="3"/>
      <c r="R273" s="65"/>
      <c r="AG273" s="91"/>
    </row>
    <row r="274" ht="15.0" customHeight="1">
      <c r="B274" s="3"/>
      <c r="C274" s="3"/>
      <c r="G274" s="141"/>
      <c r="H274" s="3"/>
      <c r="R274" s="65"/>
      <c r="AG274" s="91"/>
    </row>
    <row r="275" ht="15.0" customHeight="1">
      <c r="B275" s="3"/>
      <c r="C275" s="3"/>
      <c r="G275" s="141"/>
      <c r="H275" s="3"/>
      <c r="R275" s="65"/>
      <c r="AG275" s="91"/>
    </row>
    <row r="276" ht="15.0" customHeight="1">
      <c r="B276" s="3"/>
      <c r="C276" s="3"/>
      <c r="G276" s="141"/>
      <c r="H276" s="3"/>
      <c r="R276" s="65"/>
      <c r="AG276" s="91"/>
    </row>
    <row r="277" ht="15.0" customHeight="1">
      <c r="B277" s="3"/>
      <c r="C277" s="3"/>
      <c r="G277" s="141"/>
      <c r="H277" s="3"/>
      <c r="R277" s="65"/>
      <c r="AG277" s="91"/>
    </row>
    <row r="278" ht="15.0" customHeight="1">
      <c r="B278" s="3"/>
      <c r="C278" s="3"/>
      <c r="G278" s="141"/>
      <c r="H278" s="3"/>
      <c r="R278" s="65"/>
      <c r="AG278" s="91"/>
    </row>
    <row r="279" ht="15.0" customHeight="1">
      <c r="B279" s="3"/>
      <c r="C279" s="3"/>
      <c r="G279" s="141"/>
      <c r="H279" s="3"/>
      <c r="R279" s="65"/>
      <c r="AG279" s="91"/>
    </row>
    <row r="280" ht="15.0" customHeight="1">
      <c r="B280" s="3"/>
      <c r="C280" s="3"/>
      <c r="G280" s="141"/>
      <c r="H280" s="3"/>
      <c r="R280" s="65"/>
      <c r="AG280" s="91"/>
    </row>
    <row r="281" ht="15.0" customHeight="1">
      <c r="B281" s="3"/>
      <c r="C281" s="3"/>
      <c r="G281" s="141"/>
      <c r="H281" s="3"/>
      <c r="R281" s="65"/>
      <c r="AG281" s="91"/>
    </row>
    <row r="282" ht="15.0" customHeight="1">
      <c r="B282" s="3"/>
      <c r="C282" s="3"/>
      <c r="G282" s="141"/>
      <c r="H282" s="3"/>
      <c r="R282" s="65"/>
      <c r="AG282" s="91"/>
    </row>
    <row r="283" ht="15.0" customHeight="1">
      <c r="B283" s="3"/>
      <c r="C283" s="3"/>
      <c r="G283" s="141"/>
      <c r="H283" s="3"/>
      <c r="R283" s="65"/>
      <c r="AG283" s="91"/>
    </row>
    <row r="284" ht="15.0" customHeight="1">
      <c r="B284" s="3"/>
      <c r="C284" s="3"/>
      <c r="G284" s="141"/>
      <c r="H284" s="3"/>
      <c r="R284" s="65"/>
      <c r="AG284" s="91"/>
    </row>
    <row r="285" ht="15.0" customHeight="1">
      <c r="B285" s="3"/>
      <c r="C285" s="3"/>
      <c r="G285" s="141"/>
      <c r="H285" s="3"/>
      <c r="R285" s="65"/>
      <c r="AG285" s="91"/>
    </row>
    <row r="286" ht="15.0" customHeight="1">
      <c r="B286" s="3"/>
      <c r="C286" s="3"/>
      <c r="G286" s="141"/>
      <c r="H286" s="3"/>
      <c r="R286" s="65"/>
      <c r="AG286" s="91"/>
    </row>
    <row r="287" ht="15.0" customHeight="1">
      <c r="B287" s="3"/>
      <c r="C287" s="3"/>
      <c r="G287" s="141"/>
      <c r="H287" s="3"/>
      <c r="R287" s="65"/>
      <c r="AG287" s="91"/>
    </row>
    <row r="288" ht="15.75" customHeight="1">
      <c r="B288" s="3"/>
      <c r="C288" s="3"/>
      <c r="H288" s="3"/>
      <c r="AG288" s="91"/>
    </row>
    <row r="289" ht="15.75" customHeight="1">
      <c r="B289" s="3"/>
      <c r="C289" s="3"/>
      <c r="H289" s="3"/>
      <c r="AG289" s="91"/>
    </row>
    <row r="290" ht="15.75" customHeight="1">
      <c r="B290" s="3"/>
      <c r="C290" s="3"/>
      <c r="H290" s="3"/>
      <c r="AG290" s="91"/>
    </row>
    <row r="291" ht="15.75" customHeight="1">
      <c r="B291" s="3"/>
      <c r="C291" s="3"/>
      <c r="H291" s="3"/>
      <c r="AG291" s="91"/>
    </row>
    <row r="292" ht="15.75" customHeight="1">
      <c r="B292" s="3"/>
      <c r="C292" s="3"/>
      <c r="H292" s="3"/>
      <c r="AG292" s="91"/>
    </row>
    <row r="293" ht="15.75" customHeight="1">
      <c r="B293" s="3"/>
      <c r="C293" s="3"/>
      <c r="H293" s="3"/>
      <c r="AG293" s="91"/>
    </row>
    <row r="294" ht="15.75" customHeight="1">
      <c r="B294" s="3"/>
      <c r="C294" s="3"/>
      <c r="H294" s="3"/>
      <c r="AG294" s="91"/>
    </row>
    <row r="295" ht="15.75" customHeight="1">
      <c r="B295" s="3"/>
      <c r="C295" s="3"/>
      <c r="H295" s="3"/>
      <c r="AG295" s="91"/>
    </row>
    <row r="296" ht="15.75" customHeight="1">
      <c r="B296" s="3"/>
      <c r="C296" s="3"/>
      <c r="H296" s="3"/>
      <c r="AG296" s="91"/>
    </row>
    <row r="297" ht="15.75" customHeight="1">
      <c r="B297" s="3"/>
      <c r="C297" s="3"/>
      <c r="H297" s="3"/>
      <c r="AG297" s="91"/>
    </row>
    <row r="298" ht="15.75" customHeight="1">
      <c r="B298" s="3"/>
      <c r="C298" s="3"/>
      <c r="H298" s="3"/>
      <c r="AG298" s="91"/>
    </row>
    <row r="299" ht="15.75" customHeight="1">
      <c r="B299" s="3"/>
      <c r="C299" s="3"/>
      <c r="H299" s="3"/>
      <c r="AG299" s="91"/>
    </row>
    <row r="300" ht="15.75" customHeight="1">
      <c r="B300" s="3"/>
      <c r="C300" s="3"/>
      <c r="H300" s="3"/>
      <c r="AG300" s="91"/>
    </row>
    <row r="301" ht="15.75" customHeight="1">
      <c r="B301" s="3"/>
      <c r="C301" s="3"/>
      <c r="H301" s="3"/>
      <c r="AG301" s="91"/>
    </row>
    <row r="302" ht="15.75" customHeight="1">
      <c r="B302" s="3"/>
      <c r="C302" s="3"/>
      <c r="H302" s="3"/>
      <c r="AG302" s="91"/>
    </row>
    <row r="303" ht="15.75" customHeight="1">
      <c r="B303" s="3"/>
      <c r="C303" s="3"/>
      <c r="H303" s="3"/>
      <c r="AG303" s="91"/>
    </row>
    <row r="304" ht="15.75" customHeight="1">
      <c r="B304" s="3"/>
      <c r="C304" s="3"/>
      <c r="H304" s="3"/>
      <c r="AG304" s="91"/>
    </row>
    <row r="305" ht="15.75" customHeight="1">
      <c r="B305" s="3"/>
      <c r="C305" s="3"/>
      <c r="H305" s="3"/>
      <c r="AG305" s="91"/>
    </row>
    <row r="306" ht="15.75" customHeight="1">
      <c r="B306" s="3"/>
      <c r="C306" s="3"/>
      <c r="H306" s="3"/>
      <c r="AG306" s="91"/>
    </row>
    <row r="307" ht="15.75" customHeight="1">
      <c r="B307" s="3"/>
      <c r="C307" s="3"/>
      <c r="H307" s="3"/>
      <c r="AG307" s="91"/>
    </row>
    <row r="308" ht="15.75" customHeight="1">
      <c r="B308" s="3"/>
      <c r="C308" s="3"/>
      <c r="H308" s="3"/>
      <c r="AG308" s="91"/>
    </row>
    <row r="309" ht="15.75" customHeight="1">
      <c r="B309" s="3"/>
      <c r="C309" s="3"/>
      <c r="H309" s="3"/>
      <c r="AG309" s="91"/>
    </row>
    <row r="310" ht="15.75" customHeight="1">
      <c r="B310" s="3"/>
      <c r="C310" s="3"/>
      <c r="H310" s="3"/>
      <c r="AG310" s="91"/>
    </row>
    <row r="311" ht="15.75" customHeight="1">
      <c r="B311" s="3"/>
      <c r="C311" s="3"/>
      <c r="H311" s="3"/>
      <c r="AG311" s="91"/>
    </row>
    <row r="312" ht="15.75" customHeight="1">
      <c r="B312" s="3"/>
      <c r="C312" s="3"/>
      <c r="H312" s="3"/>
      <c r="AG312" s="91"/>
    </row>
    <row r="313" ht="15.75" customHeight="1">
      <c r="B313" s="3"/>
      <c r="C313" s="3"/>
      <c r="H313" s="3"/>
      <c r="AG313" s="91"/>
    </row>
    <row r="314" ht="15.75" customHeight="1">
      <c r="B314" s="3"/>
      <c r="C314" s="3"/>
      <c r="H314" s="3"/>
      <c r="AG314" s="91"/>
    </row>
    <row r="315" ht="15.75" customHeight="1">
      <c r="B315" s="3"/>
      <c r="C315" s="3"/>
      <c r="H315" s="3"/>
      <c r="AG315" s="91"/>
    </row>
    <row r="316" ht="15.75" customHeight="1">
      <c r="B316" s="3"/>
      <c r="C316" s="3"/>
      <c r="H316" s="3"/>
      <c r="AG316" s="91"/>
    </row>
    <row r="317" ht="15.75" customHeight="1">
      <c r="B317" s="3"/>
      <c r="C317" s="3"/>
      <c r="H317" s="3"/>
      <c r="AG317" s="91"/>
    </row>
    <row r="318" ht="15.75" customHeight="1">
      <c r="B318" s="3"/>
      <c r="C318" s="3"/>
      <c r="H318" s="3"/>
      <c r="AG318" s="91"/>
    </row>
    <row r="319" ht="15.75" customHeight="1">
      <c r="B319" s="3"/>
      <c r="C319" s="3"/>
      <c r="H319" s="3"/>
      <c r="AG319" s="91"/>
    </row>
    <row r="320" ht="15.75" customHeight="1">
      <c r="B320" s="3"/>
      <c r="C320" s="3"/>
      <c r="H320" s="3"/>
      <c r="AG320" s="91"/>
    </row>
    <row r="321" ht="15.75" customHeight="1">
      <c r="B321" s="3"/>
      <c r="C321" s="3"/>
      <c r="H321" s="3"/>
      <c r="AG321" s="91"/>
    </row>
    <row r="322" ht="15.75" customHeight="1">
      <c r="B322" s="3"/>
      <c r="C322" s="3"/>
      <c r="H322" s="3"/>
      <c r="AG322" s="91"/>
    </row>
    <row r="323" ht="15.75" customHeight="1">
      <c r="B323" s="3"/>
      <c r="C323" s="3"/>
      <c r="H323" s="3"/>
      <c r="AG323" s="91"/>
    </row>
    <row r="324" ht="15.75" customHeight="1">
      <c r="B324" s="3"/>
      <c r="C324" s="3"/>
      <c r="H324" s="3"/>
      <c r="AG324" s="91"/>
    </row>
    <row r="325" ht="15.75" customHeight="1">
      <c r="B325" s="3"/>
      <c r="C325" s="3"/>
      <c r="H325" s="3"/>
      <c r="AG325" s="91"/>
    </row>
    <row r="326" ht="15.75" customHeight="1">
      <c r="B326" s="3"/>
      <c r="C326" s="3"/>
      <c r="H326" s="3"/>
      <c r="AG326" s="91"/>
    </row>
    <row r="327" ht="15.75" customHeight="1">
      <c r="B327" s="3"/>
      <c r="C327" s="3"/>
      <c r="H327" s="3"/>
      <c r="AG327" s="91"/>
    </row>
    <row r="328" ht="15.75" customHeight="1">
      <c r="B328" s="3"/>
      <c r="C328" s="3"/>
      <c r="H328" s="3"/>
      <c r="AG328" s="91"/>
    </row>
    <row r="329" ht="15.75" customHeight="1">
      <c r="B329" s="3"/>
      <c r="C329" s="3"/>
      <c r="H329" s="3"/>
      <c r="AG329" s="91"/>
    </row>
    <row r="330" ht="15.75" customHeight="1">
      <c r="B330" s="3"/>
      <c r="C330" s="3"/>
      <c r="H330" s="3"/>
      <c r="AG330" s="91"/>
    </row>
    <row r="331" ht="15.75" customHeight="1">
      <c r="B331" s="3"/>
      <c r="C331" s="3"/>
      <c r="H331" s="3"/>
      <c r="AG331" s="91"/>
    </row>
    <row r="332" ht="15.75" customHeight="1">
      <c r="B332" s="3"/>
      <c r="C332" s="3"/>
      <c r="H332" s="3"/>
      <c r="AG332" s="91"/>
    </row>
    <row r="333" ht="15.75" customHeight="1">
      <c r="B333" s="3"/>
      <c r="C333" s="3"/>
      <c r="H333" s="3"/>
      <c r="AG333" s="91"/>
    </row>
    <row r="334" ht="15.75" customHeight="1">
      <c r="B334" s="3"/>
      <c r="C334" s="3"/>
      <c r="H334" s="3"/>
      <c r="AG334" s="91"/>
    </row>
    <row r="335" ht="15.75" customHeight="1">
      <c r="B335" s="3"/>
      <c r="C335" s="3"/>
      <c r="H335" s="3"/>
      <c r="AG335" s="91"/>
    </row>
    <row r="336" ht="15.75" customHeight="1">
      <c r="B336" s="3"/>
      <c r="C336" s="3"/>
      <c r="H336" s="3"/>
      <c r="AG336" s="91"/>
    </row>
    <row r="337" ht="15.75" customHeight="1">
      <c r="B337" s="3"/>
      <c r="C337" s="3"/>
      <c r="H337" s="3"/>
      <c r="AG337" s="91"/>
    </row>
    <row r="338" ht="15.75" customHeight="1">
      <c r="B338" s="3"/>
      <c r="C338" s="3"/>
      <c r="H338" s="3"/>
      <c r="AG338" s="91"/>
    </row>
    <row r="339" ht="15.75" customHeight="1">
      <c r="B339" s="3"/>
      <c r="C339" s="3"/>
      <c r="H339" s="3"/>
      <c r="AG339" s="91"/>
    </row>
    <row r="340" ht="15.75" customHeight="1">
      <c r="B340" s="3"/>
      <c r="C340" s="3"/>
      <c r="H340" s="3"/>
      <c r="AG340" s="91"/>
    </row>
    <row r="341" ht="15.75" customHeight="1">
      <c r="B341" s="3"/>
      <c r="C341" s="3"/>
      <c r="H341" s="3"/>
      <c r="AG341" s="91"/>
    </row>
    <row r="342" ht="15.75" customHeight="1">
      <c r="B342" s="3"/>
      <c r="C342" s="3"/>
      <c r="H342" s="3"/>
      <c r="AG342" s="91"/>
    </row>
    <row r="343" ht="15.75" customHeight="1">
      <c r="B343" s="3"/>
      <c r="C343" s="3"/>
      <c r="H343" s="3"/>
      <c r="AG343" s="91"/>
    </row>
    <row r="344" ht="15.75" customHeight="1">
      <c r="B344" s="3"/>
      <c r="C344" s="3"/>
      <c r="H344" s="3"/>
      <c r="AG344" s="91"/>
    </row>
    <row r="345" ht="15.75" customHeight="1">
      <c r="B345" s="3"/>
      <c r="C345" s="3"/>
      <c r="H345" s="3"/>
      <c r="AG345" s="91"/>
    </row>
    <row r="346" ht="15.75" customHeight="1">
      <c r="B346" s="3"/>
      <c r="C346" s="3"/>
      <c r="H346" s="3"/>
      <c r="AG346" s="91"/>
    </row>
    <row r="347" ht="15.75" customHeight="1">
      <c r="B347" s="3"/>
      <c r="C347" s="3"/>
      <c r="H347" s="3"/>
      <c r="AG347" s="91"/>
    </row>
    <row r="348" ht="15.75" customHeight="1">
      <c r="B348" s="3"/>
      <c r="C348" s="3"/>
      <c r="H348" s="3"/>
      <c r="AG348" s="91"/>
    </row>
    <row r="349" ht="15.75" customHeight="1">
      <c r="B349" s="3"/>
      <c r="C349" s="3"/>
      <c r="H349" s="3"/>
      <c r="AG349" s="91"/>
    </row>
    <row r="350" ht="15.75" customHeight="1">
      <c r="B350" s="3"/>
      <c r="C350" s="3"/>
      <c r="H350" s="3"/>
      <c r="AG350" s="91"/>
    </row>
    <row r="351" ht="15.75" customHeight="1">
      <c r="B351" s="3"/>
      <c r="C351" s="3"/>
      <c r="H351" s="3"/>
      <c r="AG351" s="91"/>
    </row>
    <row r="352" ht="15.75" customHeight="1">
      <c r="B352" s="3"/>
      <c r="C352" s="3"/>
      <c r="H352" s="3"/>
      <c r="AG352" s="91"/>
    </row>
    <row r="353" ht="15.75" customHeight="1">
      <c r="B353" s="3"/>
      <c r="C353" s="3"/>
      <c r="H353" s="3"/>
      <c r="AG353" s="91"/>
    </row>
    <row r="354" ht="15.75" customHeight="1">
      <c r="B354" s="3"/>
      <c r="C354" s="3"/>
      <c r="H354" s="3"/>
      <c r="AG354" s="91"/>
    </row>
    <row r="355" ht="15.75" customHeight="1">
      <c r="B355" s="3"/>
      <c r="C355" s="3"/>
      <c r="H355" s="3"/>
      <c r="AG355" s="91"/>
    </row>
    <row r="356" ht="15.75" customHeight="1">
      <c r="B356" s="3"/>
      <c r="C356" s="3"/>
      <c r="H356" s="3"/>
      <c r="AG356" s="91"/>
    </row>
    <row r="357" ht="15.75" customHeight="1">
      <c r="B357" s="3"/>
      <c r="C357" s="3"/>
      <c r="H357" s="3"/>
      <c r="AG357" s="91"/>
    </row>
    <row r="358" ht="15.75" customHeight="1">
      <c r="B358" s="3"/>
      <c r="C358" s="3"/>
      <c r="H358" s="3"/>
      <c r="AG358" s="91"/>
    </row>
    <row r="359" ht="15.75" customHeight="1">
      <c r="B359" s="3"/>
      <c r="C359" s="3"/>
      <c r="H359" s="3"/>
      <c r="AG359" s="91"/>
    </row>
    <row r="360" ht="15.75" customHeight="1">
      <c r="B360" s="3"/>
      <c r="C360" s="3"/>
      <c r="H360" s="3"/>
      <c r="AG360" s="91"/>
    </row>
    <row r="361" ht="15.75" customHeight="1">
      <c r="B361" s="3"/>
      <c r="C361" s="3"/>
      <c r="H361" s="3"/>
      <c r="AG361" s="91"/>
    </row>
    <row r="362" ht="15.75" customHeight="1">
      <c r="B362" s="3"/>
      <c r="C362" s="3"/>
      <c r="H362" s="3"/>
      <c r="AG362" s="91"/>
    </row>
    <row r="363" ht="15.75" customHeight="1">
      <c r="B363" s="3"/>
      <c r="C363" s="3"/>
      <c r="H363" s="3"/>
      <c r="AG363" s="91"/>
    </row>
    <row r="364" ht="15.75" customHeight="1">
      <c r="B364" s="3"/>
      <c r="C364" s="3"/>
      <c r="H364" s="3"/>
      <c r="AG364" s="91"/>
    </row>
    <row r="365" ht="15.75" customHeight="1">
      <c r="B365" s="3"/>
      <c r="C365" s="3"/>
      <c r="H365" s="3"/>
      <c r="AG365" s="91"/>
    </row>
    <row r="366" ht="15.75" customHeight="1">
      <c r="B366" s="3"/>
      <c r="C366" s="3"/>
      <c r="H366" s="3"/>
      <c r="AG366" s="91"/>
    </row>
    <row r="367" ht="15.75" customHeight="1">
      <c r="B367" s="3"/>
      <c r="C367" s="3"/>
      <c r="H367" s="3"/>
      <c r="AG367" s="91"/>
    </row>
    <row r="368" ht="15.75" customHeight="1">
      <c r="B368" s="3"/>
      <c r="C368" s="3"/>
      <c r="H368" s="3"/>
      <c r="AG368" s="91"/>
    </row>
    <row r="369" ht="15.75" customHeight="1">
      <c r="B369" s="3"/>
      <c r="C369" s="3"/>
      <c r="H369" s="3"/>
      <c r="AG369" s="91"/>
    </row>
    <row r="370" ht="15.75" customHeight="1">
      <c r="B370" s="3"/>
      <c r="C370" s="3"/>
      <c r="H370" s="3"/>
      <c r="AG370" s="91"/>
    </row>
    <row r="371" ht="15.75" customHeight="1">
      <c r="B371" s="3"/>
      <c r="C371" s="3"/>
      <c r="H371" s="3"/>
      <c r="AG371" s="91"/>
    </row>
    <row r="372" ht="15.75" customHeight="1">
      <c r="B372" s="3"/>
      <c r="C372" s="3"/>
      <c r="H372" s="3"/>
      <c r="AG372" s="91"/>
    </row>
    <row r="373" ht="15.75" customHeight="1">
      <c r="B373" s="3"/>
      <c r="C373" s="3"/>
      <c r="H373" s="3"/>
      <c r="AG373" s="91"/>
    </row>
    <row r="374" ht="15.75" customHeight="1">
      <c r="B374" s="3"/>
      <c r="C374" s="3"/>
      <c r="H374" s="3"/>
      <c r="AG374" s="91"/>
    </row>
    <row r="375" ht="15.75" customHeight="1">
      <c r="B375" s="3"/>
      <c r="C375" s="3"/>
      <c r="H375" s="3"/>
      <c r="AG375" s="91"/>
    </row>
    <row r="376" ht="15.75" customHeight="1">
      <c r="B376" s="3"/>
      <c r="C376" s="3"/>
      <c r="H376" s="3"/>
      <c r="AG376" s="91"/>
    </row>
    <row r="377" ht="15.75" customHeight="1">
      <c r="B377" s="3"/>
      <c r="C377" s="3"/>
      <c r="H377" s="3"/>
      <c r="AG377" s="91"/>
    </row>
    <row r="378" ht="15.75" customHeight="1">
      <c r="B378" s="3"/>
      <c r="C378" s="3"/>
      <c r="H378" s="3"/>
      <c r="AG378" s="91"/>
    </row>
    <row r="379" ht="15.75" customHeight="1">
      <c r="B379" s="3"/>
      <c r="C379" s="3"/>
      <c r="H379" s="3"/>
      <c r="AG379" s="91"/>
    </row>
    <row r="380" ht="15.75" customHeight="1">
      <c r="B380" s="3"/>
      <c r="C380" s="3"/>
      <c r="H380" s="3"/>
      <c r="AG380" s="91"/>
    </row>
    <row r="381" ht="15.75" customHeight="1">
      <c r="B381" s="3"/>
      <c r="C381" s="3"/>
      <c r="H381" s="3"/>
      <c r="AG381" s="91"/>
    </row>
    <row r="382" ht="15.75" customHeight="1">
      <c r="B382" s="3"/>
      <c r="C382" s="3"/>
      <c r="H382" s="3"/>
      <c r="AG382" s="91"/>
    </row>
    <row r="383" ht="15.75" customHeight="1">
      <c r="B383" s="3"/>
      <c r="C383" s="3"/>
      <c r="H383" s="3"/>
      <c r="AG383" s="91"/>
    </row>
    <row r="384" ht="15.75" customHeight="1">
      <c r="B384" s="3"/>
      <c r="C384" s="3"/>
      <c r="H384" s="3"/>
      <c r="AG384" s="91"/>
    </row>
    <row r="385" ht="15.75" customHeight="1">
      <c r="B385" s="3"/>
      <c r="C385" s="3"/>
      <c r="H385" s="3"/>
      <c r="AG385" s="91"/>
    </row>
    <row r="386" ht="15.75" customHeight="1">
      <c r="B386" s="3"/>
      <c r="C386" s="3"/>
      <c r="H386" s="3"/>
      <c r="AG386" s="91"/>
    </row>
    <row r="387" ht="15.75" customHeight="1">
      <c r="B387" s="3"/>
      <c r="C387" s="3"/>
      <c r="H387" s="3"/>
      <c r="AG387" s="91"/>
    </row>
    <row r="388" ht="15.75" customHeight="1">
      <c r="B388" s="3"/>
      <c r="C388" s="3"/>
      <c r="H388" s="3"/>
      <c r="AG388" s="91"/>
    </row>
    <row r="389" ht="15.75" customHeight="1">
      <c r="B389" s="3"/>
      <c r="C389" s="3"/>
      <c r="H389" s="3"/>
      <c r="AG389" s="91"/>
    </row>
    <row r="390" ht="15.75" customHeight="1">
      <c r="B390" s="3"/>
      <c r="C390" s="3"/>
      <c r="H390" s="3"/>
      <c r="AG390" s="91"/>
    </row>
    <row r="391" ht="15.75" customHeight="1">
      <c r="B391" s="3"/>
      <c r="C391" s="3"/>
      <c r="H391" s="3"/>
      <c r="AG391" s="91"/>
    </row>
    <row r="392" ht="15.75" customHeight="1">
      <c r="B392" s="3"/>
      <c r="C392" s="3"/>
      <c r="H392" s="3"/>
      <c r="AG392" s="91"/>
    </row>
    <row r="393" ht="15.75" customHeight="1">
      <c r="B393" s="3"/>
      <c r="C393" s="3"/>
      <c r="H393" s="3"/>
      <c r="AG393" s="91"/>
    </row>
    <row r="394" ht="15.75" customHeight="1">
      <c r="B394" s="3"/>
      <c r="C394" s="3"/>
      <c r="H394" s="3"/>
      <c r="AG394" s="91"/>
    </row>
    <row r="395" ht="15.75" customHeight="1">
      <c r="B395" s="3"/>
      <c r="C395" s="3"/>
      <c r="H395" s="3"/>
      <c r="AG395" s="91"/>
    </row>
    <row r="396" ht="15.75" customHeight="1">
      <c r="B396" s="3"/>
      <c r="C396" s="3"/>
      <c r="H396" s="3"/>
      <c r="AG396" s="91"/>
    </row>
    <row r="397" ht="15.75" customHeight="1">
      <c r="B397" s="3"/>
      <c r="C397" s="3"/>
      <c r="H397" s="3"/>
      <c r="AG397" s="91"/>
    </row>
    <row r="398" ht="15.75" customHeight="1">
      <c r="B398" s="3"/>
      <c r="C398" s="3"/>
      <c r="H398" s="3"/>
      <c r="AG398" s="91"/>
    </row>
    <row r="399" ht="15.75" customHeight="1">
      <c r="B399" s="3"/>
      <c r="C399" s="3"/>
      <c r="H399" s="3"/>
      <c r="AG399" s="91"/>
    </row>
    <row r="400" ht="15.75" customHeight="1">
      <c r="B400" s="3"/>
      <c r="C400" s="3"/>
      <c r="H400" s="3"/>
      <c r="AG400" s="91"/>
    </row>
    <row r="401" ht="15.75" customHeight="1">
      <c r="B401" s="3"/>
      <c r="C401" s="3"/>
      <c r="H401" s="3"/>
      <c r="AG401" s="91"/>
    </row>
    <row r="402" ht="15.75" customHeight="1">
      <c r="B402" s="3"/>
      <c r="C402" s="3"/>
      <c r="H402" s="3"/>
      <c r="AG402" s="91"/>
    </row>
    <row r="403" ht="15.75" customHeight="1">
      <c r="B403" s="3"/>
      <c r="C403" s="3"/>
      <c r="H403" s="3"/>
      <c r="AG403" s="91"/>
    </row>
    <row r="404" ht="15.75" customHeight="1">
      <c r="B404" s="3"/>
      <c r="C404" s="3"/>
      <c r="H404" s="3"/>
      <c r="AG404" s="91"/>
    </row>
    <row r="405" ht="15.75" customHeight="1">
      <c r="B405" s="3"/>
      <c r="C405" s="3"/>
      <c r="H405" s="3"/>
      <c r="AG405" s="91"/>
    </row>
    <row r="406" ht="15.75" customHeight="1">
      <c r="B406" s="3"/>
      <c r="C406" s="3"/>
      <c r="H406" s="3"/>
      <c r="AG406" s="91"/>
    </row>
    <row r="407" ht="15.75" customHeight="1">
      <c r="B407" s="3"/>
      <c r="C407" s="3"/>
      <c r="H407" s="3"/>
      <c r="AG407" s="91"/>
    </row>
    <row r="408" ht="15.75" customHeight="1">
      <c r="B408" s="3"/>
      <c r="C408" s="3"/>
      <c r="H408" s="3"/>
      <c r="AG408" s="91"/>
    </row>
    <row r="409" ht="15.75" customHeight="1">
      <c r="B409" s="3"/>
      <c r="C409" s="3"/>
      <c r="H409" s="3"/>
      <c r="AG409" s="91"/>
    </row>
    <row r="410" ht="15.75" customHeight="1">
      <c r="B410" s="3"/>
      <c r="C410" s="3"/>
      <c r="H410" s="3"/>
      <c r="AG410" s="91"/>
    </row>
    <row r="411" ht="15.75" customHeight="1">
      <c r="B411" s="3"/>
      <c r="C411" s="3"/>
      <c r="H411" s="3"/>
      <c r="AG411" s="91"/>
    </row>
    <row r="412" ht="15.75" customHeight="1">
      <c r="B412" s="3"/>
      <c r="C412" s="3"/>
      <c r="H412" s="3"/>
      <c r="AG412" s="91"/>
    </row>
    <row r="413" ht="15.75" customHeight="1">
      <c r="B413" s="3"/>
      <c r="C413" s="3"/>
      <c r="H413" s="3"/>
      <c r="AG413" s="91"/>
    </row>
    <row r="414" ht="15.75" customHeight="1">
      <c r="B414" s="3"/>
      <c r="C414" s="3"/>
      <c r="H414" s="3"/>
      <c r="AG414" s="91"/>
    </row>
    <row r="415" ht="15.75" customHeight="1">
      <c r="B415" s="3"/>
      <c r="C415" s="3"/>
      <c r="H415" s="3"/>
      <c r="AG415" s="91"/>
    </row>
    <row r="416" ht="15.75" customHeight="1">
      <c r="B416" s="3"/>
      <c r="C416" s="3"/>
      <c r="H416" s="3"/>
      <c r="AG416" s="91"/>
    </row>
    <row r="417" ht="15.75" customHeight="1">
      <c r="B417" s="3"/>
      <c r="C417" s="3"/>
      <c r="H417" s="3"/>
      <c r="AG417" s="91"/>
    </row>
    <row r="418" ht="15.75" customHeight="1">
      <c r="B418" s="3"/>
      <c r="C418" s="3"/>
      <c r="H418" s="3"/>
      <c r="AG418" s="91"/>
    </row>
    <row r="419" ht="15.75" customHeight="1">
      <c r="B419" s="3"/>
      <c r="C419" s="3"/>
      <c r="H419" s="3"/>
      <c r="AG419" s="91"/>
    </row>
    <row r="420" ht="15.75" customHeight="1">
      <c r="B420" s="3"/>
      <c r="C420" s="3"/>
      <c r="H420" s="3"/>
      <c r="AG420" s="91"/>
    </row>
    <row r="421" ht="15.75" customHeight="1">
      <c r="B421" s="3"/>
      <c r="C421" s="3"/>
      <c r="H421" s="3"/>
      <c r="AG421" s="91"/>
    </row>
    <row r="422" ht="15.75" customHeight="1">
      <c r="B422" s="3"/>
      <c r="C422" s="3"/>
      <c r="H422" s="3"/>
      <c r="AG422" s="91"/>
    </row>
    <row r="423" ht="15.75" customHeight="1">
      <c r="B423" s="3"/>
      <c r="C423" s="3"/>
      <c r="H423" s="3"/>
      <c r="AG423" s="91"/>
    </row>
    <row r="424" ht="15.75" customHeight="1">
      <c r="B424" s="3"/>
      <c r="C424" s="3"/>
      <c r="H424" s="3"/>
      <c r="AG424" s="91"/>
    </row>
    <row r="425" ht="15.75" customHeight="1">
      <c r="B425" s="3"/>
      <c r="C425" s="3"/>
      <c r="H425" s="3"/>
      <c r="AG425" s="91"/>
    </row>
    <row r="426" ht="15.75" customHeight="1">
      <c r="B426" s="3"/>
      <c r="C426" s="3"/>
      <c r="H426" s="3"/>
      <c r="AG426" s="91"/>
    </row>
    <row r="427" ht="15.75" customHeight="1">
      <c r="B427" s="3"/>
      <c r="C427" s="3"/>
      <c r="H427" s="3"/>
      <c r="AG427" s="91"/>
    </row>
    <row r="428" ht="15.75" customHeight="1">
      <c r="B428" s="3"/>
      <c r="C428" s="3"/>
      <c r="H428" s="3"/>
      <c r="AG428" s="91"/>
    </row>
    <row r="429" ht="15.75" customHeight="1">
      <c r="B429" s="3"/>
      <c r="C429" s="3"/>
      <c r="H429" s="3"/>
      <c r="AG429" s="91"/>
    </row>
    <row r="430" ht="15.75" customHeight="1">
      <c r="B430" s="3"/>
      <c r="C430" s="3"/>
      <c r="H430" s="3"/>
      <c r="AG430" s="91"/>
    </row>
    <row r="431" ht="15.75" customHeight="1">
      <c r="B431" s="3"/>
      <c r="C431" s="3"/>
      <c r="H431" s="3"/>
      <c r="AG431" s="91"/>
    </row>
    <row r="432" ht="15.75" customHeight="1">
      <c r="B432" s="3"/>
      <c r="C432" s="3"/>
      <c r="H432" s="3"/>
      <c r="AG432" s="91"/>
    </row>
    <row r="433" ht="15.75" customHeight="1">
      <c r="B433" s="3"/>
      <c r="C433" s="3"/>
      <c r="H433" s="3"/>
      <c r="AG433" s="91"/>
    </row>
    <row r="434" ht="15.75" customHeight="1">
      <c r="B434" s="3"/>
      <c r="C434" s="3"/>
      <c r="H434" s="3"/>
      <c r="AG434" s="91"/>
    </row>
    <row r="435" ht="15.75" customHeight="1">
      <c r="B435" s="3"/>
      <c r="C435" s="3"/>
      <c r="H435" s="3"/>
      <c r="AG435" s="91"/>
    </row>
    <row r="436" ht="15.75" customHeight="1">
      <c r="B436" s="3"/>
      <c r="C436" s="3"/>
      <c r="H436" s="3"/>
      <c r="AG436" s="91"/>
    </row>
    <row r="437" ht="15.75" customHeight="1">
      <c r="B437" s="3"/>
      <c r="C437" s="3"/>
      <c r="H437" s="3"/>
      <c r="AG437" s="91"/>
    </row>
    <row r="438" ht="15.75" customHeight="1">
      <c r="B438" s="3"/>
      <c r="C438" s="3"/>
      <c r="H438" s="3"/>
      <c r="AG438" s="91"/>
    </row>
    <row r="439" ht="15.75" customHeight="1">
      <c r="B439" s="3"/>
      <c r="C439" s="3"/>
      <c r="H439" s="3"/>
      <c r="AG439" s="91"/>
    </row>
    <row r="440" ht="15.75" customHeight="1">
      <c r="B440" s="3"/>
      <c r="C440" s="3"/>
      <c r="H440" s="3"/>
      <c r="AG440" s="91"/>
    </row>
    <row r="441" ht="15.75" customHeight="1">
      <c r="B441" s="3"/>
      <c r="C441" s="3"/>
      <c r="H441" s="3"/>
      <c r="AG441" s="91"/>
    </row>
    <row r="442" ht="15.75" customHeight="1">
      <c r="B442" s="3"/>
      <c r="C442" s="3"/>
      <c r="H442" s="3"/>
      <c r="AG442" s="91"/>
    </row>
    <row r="443" ht="15.75" customHeight="1">
      <c r="B443" s="3"/>
      <c r="C443" s="3"/>
      <c r="H443" s="3"/>
      <c r="AG443" s="91"/>
    </row>
    <row r="444" ht="15.75" customHeight="1">
      <c r="B444" s="3"/>
      <c r="C444" s="3"/>
      <c r="H444" s="3"/>
      <c r="AG444" s="91"/>
    </row>
    <row r="445" ht="15.75" customHeight="1">
      <c r="B445" s="3"/>
      <c r="C445" s="3"/>
      <c r="H445" s="3"/>
      <c r="AG445" s="91"/>
    </row>
    <row r="446" ht="15.75" customHeight="1">
      <c r="B446" s="3"/>
      <c r="C446" s="3"/>
      <c r="H446" s="3"/>
      <c r="AG446" s="91"/>
    </row>
    <row r="447" ht="15.75" customHeight="1">
      <c r="B447" s="3"/>
      <c r="C447" s="3"/>
      <c r="H447" s="3"/>
      <c r="AG447" s="91"/>
    </row>
    <row r="448" ht="15.75" customHeight="1">
      <c r="B448" s="3"/>
      <c r="C448" s="3"/>
      <c r="H448" s="3"/>
      <c r="AG448" s="91"/>
    </row>
    <row r="449" ht="15.75" customHeight="1">
      <c r="B449" s="3"/>
      <c r="C449" s="3"/>
      <c r="H449" s="3"/>
      <c r="AG449" s="91"/>
    </row>
    <row r="450" ht="15.75" customHeight="1">
      <c r="B450" s="3"/>
      <c r="C450" s="3"/>
      <c r="H450" s="3"/>
      <c r="AG450" s="91"/>
    </row>
    <row r="451" ht="15.75" customHeight="1">
      <c r="B451" s="3"/>
      <c r="C451" s="3"/>
      <c r="H451" s="3"/>
      <c r="AG451" s="91"/>
    </row>
    <row r="452" ht="15.75" customHeight="1">
      <c r="B452" s="3"/>
      <c r="C452" s="3"/>
      <c r="H452" s="3"/>
      <c r="AG452" s="91"/>
    </row>
    <row r="453" ht="15.75" customHeight="1">
      <c r="B453" s="3"/>
      <c r="C453" s="3"/>
      <c r="H453" s="3"/>
      <c r="AG453" s="91"/>
    </row>
    <row r="454" ht="15.75" customHeight="1">
      <c r="B454" s="3"/>
      <c r="C454" s="3"/>
      <c r="H454" s="3"/>
      <c r="AG454" s="91"/>
    </row>
    <row r="455" ht="15.75" customHeight="1">
      <c r="B455" s="3"/>
      <c r="C455" s="3"/>
      <c r="H455" s="3"/>
      <c r="AG455" s="91"/>
    </row>
    <row r="456" ht="15.75" customHeight="1">
      <c r="B456" s="3"/>
      <c r="C456" s="3"/>
      <c r="H456" s="3"/>
      <c r="AG456" s="91"/>
    </row>
    <row r="457" ht="15.75" customHeight="1">
      <c r="B457" s="3"/>
      <c r="C457" s="3"/>
      <c r="H457" s="3"/>
      <c r="AG457" s="91"/>
    </row>
    <row r="458" ht="15.75" customHeight="1">
      <c r="B458" s="3"/>
      <c r="C458" s="3"/>
      <c r="H458" s="3"/>
      <c r="AG458" s="91"/>
    </row>
    <row r="459" ht="15.75" customHeight="1">
      <c r="B459" s="3"/>
      <c r="C459" s="3"/>
      <c r="H459" s="3"/>
      <c r="AG459" s="91"/>
    </row>
    <row r="460" ht="15.75" customHeight="1">
      <c r="B460" s="3"/>
      <c r="C460" s="3"/>
      <c r="H460" s="3"/>
      <c r="AG460" s="91"/>
    </row>
    <row r="461" ht="15.75" customHeight="1">
      <c r="B461" s="3"/>
      <c r="C461" s="3"/>
      <c r="H461" s="3"/>
      <c r="AG461" s="91"/>
    </row>
    <row r="462" ht="15.75" customHeight="1">
      <c r="B462" s="3"/>
      <c r="C462" s="3"/>
      <c r="H462" s="3"/>
      <c r="AG462" s="91"/>
    </row>
    <row r="463" ht="15.75" customHeight="1">
      <c r="B463" s="3"/>
      <c r="C463" s="3"/>
      <c r="H463" s="3"/>
      <c r="AG463" s="91"/>
    </row>
    <row r="464" ht="15.75" customHeight="1">
      <c r="B464" s="3"/>
      <c r="C464" s="3"/>
      <c r="H464" s="3"/>
      <c r="AG464" s="91"/>
    </row>
    <row r="465" ht="15.75" customHeight="1">
      <c r="B465" s="3"/>
      <c r="C465" s="3"/>
      <c r="H465" s="3"/>
      <c r="AG465" s="91"/>
    </row>
    <row r="466" ht="15.75" customHeight="1">
      <c r="B466" s="3"/>
      <c r="C466" s="3"/>
      <c r="H466" s="3"/>
      <c r="AG466" s="91"/>
    </row>
    <row r="467" ht="15.75" customHeight="1">
      <c r="B467" s="3"/>
      <c r="C467" s="3"/>
      <c r="H467" s="3"/>
      <c r="AG467" s="91"/>
    </row>
    <row r="468" ht="15.75" customHeight="1">
      <c r="B468" s="3"/>
      <c r="C468" s="3"/>
      <c r="H468" s="3"/>
      <c r="AG468" s="91"/>
    </row>
    <row r="469" ht="15.75" customHeight="1">
      <c r="B469" s="3"/>
      <c r="C469" s="3"/>
      <c r="H469" s="3"/>
      <c r="AG469" s="91"/>
    </row>
    <row r="470" ht="15.75" customHeight="1">
      <c r="B470" s="3"/>
      <c r="C470" s="3"/>
      <c r="H470" s="3"/>
      <c r="AG470" s="91"/>
    </row>
    <row r="471" ht="15.75" customHeight="1">
      <c r="B471" s="3"/>
      <c r="C471" s="3"/>
      <c r="H471" s="3"/>
      <c r="AG471" s="91"/>
    </row>
    <row r="472" ht="15.75" customHeight="1">
      <c r="B472" s="3"/>
      <c r="C472" s="3"/>
      <c r="H472" s="3"/>
      <c r="AG472" s="91"/>
    </row>
    <row r="473" ht="15.75" customHeight="1">
      <c r="B473" s="3"/>
      <c r="C473" s="3"/>
      <c r="H473" s="3"/>
      <c r="AG473" s="91"/>
    </row>
    <row r="474" ht="15.75" customHeight="1">
      <c r="B474" s="3"/>
      <c r="C474" s="3"/>
      <c r="H474" s="3"/>
      <c r="AG474" s="91"/>
    </row>
    <row r="475" ht="15.75" customHeight="1">
      <c r="B475" s="3"/>
      <c r="C475" s="3"/>
      <c r="H475" s="3"/>
      <c r="AG475" s="91"/>
    </row>
    <row r="476" ht="15.75" customHeight="1">
      <c r="B476" s="3"/>
      <c r="C476" s="3"/>
      <c r="H476" s="3"/>
      <c r="AG476" s="91"/>
    </row>
    <row r="477" ht="15.75" customHeight="1">
      <c r="B477" s="3"/>
      <c r="C477" s="3"/>
      <c r="H477" s="3"/>
      <c r="AG477" s="91"/>
    </row>
    <row r="478" ht="15.75" customHeight="1">
      <c r="B478" s="3"/>
      <c r="C478" s="3"/>
      <c r="H478" s="3"/>
      <c r="AG478" s="91"/>
    </row>
    <row r="479" ht="15.75" customHeight="1">
      <c r="B479" s="3"/>
      <c r="C479" s="3"/>
      <c r="H479" s="3"/>
      <c r="AG479" s="91"/>
    </row>
    <row r="480" ht="15.75" customHeight="1">
      <c r="B480" s="3"/>
      <c r="C480" s="3"/>
      <c r="H480" s="3"/>
      <c r="AG480" s="91"/>
    </row>
    <row r="481" ht="15.75" customHeight="1">
      <c r="B481" s="3"/>
      <c r="C481" s="3"/>
      <c r="H481" s="3"/>
      <c r="AG481" s="91"/>
    </row>
    <row r="482" ht="15.75" customHeight="1">
      <c r="B482" s="3"/>
      <c r="C482" s="3"/>
      <c r="H482" s="3"/>
      <c r="AG482" s="91"/>
    </row>
    <row r="483" ht="15.75" customHeight="1">
      <c r="B483" s="3"/>
      <c r="C483" s="3"/>
      <c r="H483" s="3"/>
      <c r="AG483" s="91"/>
    </row>
    <row r="484" ht="15.75" customHeight="1">
      <c r="B484" s="3"/>
      <c r="C484" s="3"/>
      <c r="H484" s="3"/>
      <c r="AG484" s="91"/>
    </row>
    <row r="485" ht="15.75" customHeight="1">
      <c r="B485" s="3"/>
      <c r="C485" s="3"/>
      <c r="H485" s="3"/>
      <c r="AG485" s="91"/>
    </row>
    <row r="486" ht="15.75" customHeight="1">
      <c r="B486" s="3"/>
      <c r="C486" s="3"/>
      <c r="H486" s="3"/>
      <c r="AG486" s="91"/>
    </row>
    <row r="487" ht="15.75" customHeight="1">
      <c r="B487" s="3"/>
      <c r="C487" s="3"/>
      <c r="H487" s="3"/>
      <c r="AG487" s="91"/>
    </row>
    <row r="488" ht="15.75" customHeight="1">
      <c r="B488" s="3"/>
      <c r="C488" s="3"/>
      <c r="H488" s="3"/>
      <c r="AG488" s="91"/>
    </row>
    <row r="489" ht="15.75" customHeight="1">
      <c r="B489" s="3"/>
      <c r="C489" s="3"/>
      <c r="H489" s="3"/>
      <c r="AG489" s="91"/>
    </row>
    <row r="490" ht="15.75" customHeight="1">
      <c r="B490" s="3"/>
      <c r="C490" s="3"/>
      <c r="H490" s="3"/>
      <c r="AG490" s="91"/>
    </row>
    <row r="491" ht="15.75" customHeight="1">
      <c r="B491" s="3"/>
      <c r="C491" s="3"/>
      <c r="H491" s="3"/>
      <c r="AG491" s="91"/>
    </row>
    <row r="492" ht="15.75" customHeight="1">
      <c r="B492" s="3"/>
      <c r="C492" s="3"/>
      <c r="H492" s="3"/>
      <c r="AG492" s="91"/>
    </row>
    <row r="493" ht="15.75" customHeight="1">
      <c r="B493" s="3"/>
      <c r="C493" s="3"/>
      <c r="H493" s="3"/>
      <c r="AG493" s="91"/>
    </row>
    <row r="494" ht="15.75" customHeight="1">
      <c r="B494" s="3"/>
      <c r="C494" s="3"/>
      <c r="H494" s="3"/>
      <c r="AG494" s="91"/>
    </row>
    <row r="495" ht="15.75" customHeight="1">
      <c r="B495" s="3"/>
      <c r="C495" s="3"/>
      <c r="H495" s="3"/>
      <c r="AG495" s="91"/>
    </row>
    <row r="496" ht="15.75" customHeight="1">
      <c r="B496" s="3"/>
      <c r="C496" s="3"/>
      <c r="H496" s="3"/>
      <c r="AG496" s="91"/>
    </row>
    <row r="497" ht="15.75" customHeight="1">
      <c r="B497" s="3"/>
      <c r="C497" s="3"/>
      <c r="H497" s="3"/>
      <c r="AG497" s="91"/>
    </row>
    <row r="498" ht="15.75" customHeight="1">
      <c r="B498" s="3"/>
      <c r="C498" s="3"/>
      <c r="H498" s="3"/>
      <c r="AG498" s="91"/>
    </row>
    <row r="499" ht="15.75" customHeight="1">
      <c r="B499" s="3"/>
      <c r="C499" s="3"/>
      <c r="H499" s="3"/>
      <c r="AG499" s="91"/>
    </row>
    <row r="500" ht="15.75" customHeight="1">
      <c r="B500" s="3"/>
      <c r="C500" s="3"/>
      <c r="H500" s="3"/>
      <c r="AG500" s="91"/>
    </row>
    <row r="501" ht="15.75" customHeight="1">
      <c r="B501" s="3"/>
      <c r="C501" s="3"/>
      <c r="H501" s="3"/>
      <c r="AG501" s="91"/>
    </row>
    <row r="502" ht="15.75" customHeight="1">
      <c r="B502" s="3"/>
      <c r="C502" s="3"/>
      <c r="H502" s="3"/>
      <c r="AG502" s="91"/>
    </row>
    <row r="503" ht="15.75" customHeight="1">
      <c r="B503" s="3"/>
      <c r="C503" s="3"/>
      <c r="H503" s="3"/>
      <c r="AG503" s="91"/>
    </row>
    <row r="504" ht="15.75" customHeight="1">
      <c r="B504" s="3"/>
      <c r="C504" s="3"/>
      <c r="H504" s="3"/>
      <c r="AG504" s="91"/>
    </row>
    <row r="505" ht="15.75" customHeight="1">
      <c r="B505" s="3"/>
      <c r="C505" s="3"/>
      <c r="H505" s="3"/>
      <c r="AG505" s="91"/>
    </row>
    <row r="506" ht="15.75" customHeight="1">
      <c r="B506" s="3"/>
      <c r="C506" s="3"/>
      <c r="H506" s="3"/>
      <c r="AG506" s="91"/>
    </row>
    <row r="507" ht="15.75" customHeight="1">
      <c r="B507" s="3"/>
      <c r="C507" s="3"/>
      <c r="H507" s="3"/>
      <c r="AG507" s="91"/>
    </row>
    <row r="508" ht="15.75" customHeight="1">
      <c r="B508" s="3"/>
      <c r="C508" s="3"/>
      <c r="H508" s="3"/>
      <c r="AG508" s="91"/>
    </row>
    <row r="509" ht="15.75" customHeight="1">
      <c r="B509" s="3"/>
      <c r="C509" s="3"/>
      <c r="H509" s="3"/>
      <c r="AG509" s="91"/>
    </row>
    <row r="510" ht="15.75" customHeight="1">
      <c r="B510" s="3"/>
      <c r="C510" s="3"/>
      <c r="H510" s="3"/>
      <c r="AG510" s="91"/>
    </row>
    <row r="511" ht="15.75" customHeight="1">
      <c r="B511" s="3"/>
      <c r="C511" s="3"/>
      <c r="H511" s="3"/>
      <c r="AG511" s="91"/>
    </row>
    <row r="512" ht="15.75" customHeight="1">
      <c r="B512" s="3"/>
      <c r="C512" s="3"/>
      <c r="H512" s="3"/>
      <c r="AG512" s="91"/>
    </row>
    <row r="513" ht="15.75" customHeight="1">
      <c r="B513" s="3"/>
      <c r="C513" s="3"/>
      <c r="H513" s="3"/>
      <c r="AG513" s="91"/>
    </row>
    <row r="514" ht="15.75" customHeight="1">
      <c r="B514" s="3"/>
      <c r="C514" s="3"/>
      <c r="H514" s="3"/>
      <c r="AG514" s="91"/>
    </row>
    <row r="515" ht="15.75" customHeight="1">
      <c r="B515" s="3"/>
      <c r="C515" s="3"/>
      <c r="H515" s="3"/>
      <c r="AG515" s="91"/>
    </row>
    <row r="516" ht="15.75" customHeight="1">
      <c r="B516" s="3"/>
      <c r="C516" s="3"/>
      <c r="H516" s="3"/>
      <c r="AG516" s="91"/>
    </row>
    <row r="517" ht="15.75" customHeight="1">
      <c r="B517" s="3"/>
      <c r="C517" s="3"/>
      <c r="H517" s="3"/>
      <c r="AG517" s="91"/>
    </row>
    <row r="518" ht="15.75" customHeight="1">
      <c r="B518" s="3"/>
      <c r="C518" s="3"/>
      <c r="H518" s="3"/>
      <c r="AG518" s="91"/>
    </row>
    <row r="519" ht="15.75" customHeight="1">
      <c r="B519" s="3"/>
      <c r="C519" s="3"/>
      <c r="H519" s="3"/>
      <c r="AG519" s="91"/>
    </row>
    <row r="520" ht="15.75" customHeight="1">
      <c r="B520" s="3"/>
      <c r="C520" s="3"/>
      <c r="H520" s="3"/>
      <c r="AG520" s="91"/>
    </row>
    <row r="521" ht="15.75" customHeight="1">
      <c r="B521" s="3"/>
      <c r="C521" s="3"/>
      <c r="H521" s="3"/>
      <c r="AG521" s="91"/>
    </row>
    <row r="522" ht="15.75" customHeight="1">
      <c r="B522" s="3"/>
      <c r="C522" s="3"/>
      <c r="H522" s="3"/>
      <c r="AG522" s="91"/>
    </row>
    <row r="523" ht="15.75" customHeight="1">
      <c r="B523" s="3"/>
      <c r="C523" s="3"/>
      <c r="H523" s="3"/>
      <c r="AG523" s="91"/>
    </row>
    <row r="524" ht="15.75" customHeight="1">
      <c r="B524" s="3"/>
      <c r="C524" s="3"/>
      <c r="H524" s="3"/>
      <c r="AG524" s="91"/>
    </row>
    <row r="525" ht="15.75" customHeight="1">
      <c r="B525" s="3"/>
      <c r="C525" s="3"/>
      <c r="H525" s="3"/>
      <c r="AG525" s="91"/>
    </row>
    <row r="526" ht="15.75" customHeight="1">
      <c r="B526" s="3"/>
      <c r="C526" s="3"/>
      <c r="H526" s="3"/>
      <c r="AG526" s="91"/>
    </row>
    <row r="527" ht="15.75" customHeight="1">
      <c r="B527" s="3"/>
      <c r="C527" s="3"/>
      <c r="H527" s="3"/>
      <c r="AG527" s="91"/>
    </row>
    <row r="528" ht="15.75" customHeight="1">
      <c r="B528" s="3"/>
      <c r="C528" s="3"/>
      <c r="H528" s="3"/>
      <c r="AG528" s="91"/>
    </row>
    <row r="529" ht="15.75" customHeight="1">
      <c r="B529" s="3"/>
      <c r="C529" s="3"/>
      <c r="H529" s="3"/>
      <c r="AG529" s="91"/>
    </row>
    <row r="530" ht="15.75" customHeight="1">
      <c r="B530" s="3"/>
      <c r="C530" s="3"/>
      <c r="H530" s="3"/>
      <c r="AG530" s="91"/>
    </row>
    <row r="531" ht="15.75" customHeight="1">
      <c r="B531" s="3"/>
      <c r="C531" s="3"/>
      <c r="H531" s="3"/>
      <c r="AG531" s="91"/>
    </row>
    <row r="532" ht="15.75" customHeight="1">
      <c r="B532" s="3"/>
      <c r="C532" s="3"/>
      <c r="H532" s="3"/>
      <c r="AG532" s="91"/>
    </row>
    <row r="533" ht="15.75" customHeight="1">
      <c r="B533" s="3"/>
      <c r="C533" s="3"/>
      <c r="H533" s="3"/>
      <c r="AG533" s="91"/>
    </row>
    <row r="534" ht="15.75" customHeight="1">
      <c r="B534" s="3"/>
      <c r="C534" s="3"/>
      <c r="H534" s="3"/>
      <c r="AG534" s="91"/>
    </row>
    <row r="535" ht="15.75" customHeight="1">
      <c r="B535" s="3"/>
      <c r="C535" s="3"/>
      <c r="H535" s="3"/>
      <c r="AG535" s="91"/>
    </row>
    <row r="536" ht="15.75" customHeight="1">
      <c r="B536" s="3"/>
      <c r="C536" s="3"/>
      <c r="H536" s="3"/>
      <c r="AG536" s="91"/>
    </row>
    <row r="537" ht="15.75" customHeight="1">
      <c r="B537" s="3"/>
      <c r="C537" s="3"/>
      <c r="H537" s="3"/>
      <c r="AG537" s="91"/>
    </row>
    <row r="538" ht="15.75" customHeight="1">
      <c r="B538" s="3"/>
      <c r="C538" s="3"/>
      <c r="H538" s="3"/>
      <c r="AG538" s="91"/>
    </row>
    <row r="539" ht="15.75" customHeight="1">
      <c r="B539" s="3"/>
      <c r="C539" s="3"/>
      <c r="H539" s="3"/>
      <c r="AG539" s="91"/>
    </row>
    <row r="540" ht="15.75" customHeight="1">
      <c r="B540" s="3"/>
      <c r="C540" s="3"/>
      <c r="H540" s="3"/>
      <c r="AG540" s="91"/>
    </row>
    <row r="541" ht="15.75" customHeight="1">
      <c r="B541" s="3"/>
      <c r="C541" s="3"/>
      <c r="H541" s="3"/>
      <c r="AG541" s="91"/>
    </row>
    <row r="542" ht="15.75" customHeight="1">
      <c r="B542" s="3"/>
      <c r="C542" s="3"/>
      <c r="H542" s="3"/>
      <c r="AG542" s="91"/>
    </row>
    <row r="543" ht="15.75" customHeight="1">
      <c r="B543" s="3"/>
      <c r="C543" s="3"/>
      <c r="H543" s="3"/>
      <c r="AG543" s="91"/>
    </row>
    <row r="544" ht="15.75" customHeight="1">
      <c r="B544" s="3"/>
      <c r="C544" s="3"/>
      <c r="H544" s="3"/>
      <c r="AG544" s="91"/>
    </row>
    <row r="545" ht="15.75" customHeight="1">
      <c r="B545" s="3"/>
      <c r="C545" s="3"/>
      <c r="H545" s="3"/>
      <c r="AG545" s="91"/>
    </row>
    <row r="546" ht="15.75" customHeight="1">
      <c r="B546" s="3"/>
      <c r="C546" s="3"/>
      <c r="H546" s="3"/>
      <c r="AG546" s="91"/>
    </row>
    <row r="547" ht="15.75" customHeight="1">
      <c r="B547" s="3"/>
      <c r="C547" s="3"/>
      <c r="H547" s="3"/>
      <c r="AG547" s="91"/>
    </row>
    <row r="548" ht="15.75" customHeight="1">
      <c r="B548" s="3"/>
      <c r="C548" s="3"/>
      <c r="H548" s="3"/>
      <c r="AG548" s="91"/>
    </row>
    <row r="549" ht="15.75" customHeight="1">
      <c r="B549" s="3"/>
      <c r="C549" s="3"/>
      <c r="H549" s="3"/>
      <c r="AG549" s="91"/>
    </row>
    <row r="550" ht="15.75" customHeight="1">
      <c r="B550" s="3"/>
      <c r="C550" s="3"/>
      <c r="H550" s="3"/>
      <c r="AG550" s="91"/>
    </row>
    <row r="551" ht="15.75" customHeight="1">
      <c r="B551" s="3"/>
      <c r="C551" s="3"/>
      <c r="H551" s="3"/>
      <c r="AG551" s="91"/>
    </row>
    <row r="552" ht="15.75" customHeight="1">
      <c r="B552" s="3"/>
      <c r="C552" s="3"/>
      <c r="H552" s="3"/>
      <c r="AG552" s="91"/>
    </row>
    <row r="553" ht="15.75" customHeight="1">
      <c r="B553" s="3"/>
      <c r="C553" s="3"/>
      <c r="H553" s="3"/>
      <c r="AG553" s="91"/>
    </row>
    <row r="554" ht="15.75" customHeight="1">
      <c r="B554" s="3"/>
      <c r="C554" s="3"/>
      <c r="H554" s="3"/>
      <c r="AG554" s="91"/>
    </row>
    <row r="555" ht="15.75" customHeight="1">
      <c r="B555" s="3"/>
      <c r="C555" s="3"/>
      <c r="H555" s="3"/>
      <c r="AG555" s="91"/>
    </row>
    <row r="556" ht="15.75" customHeight="1">
      <c r="B556" s="3"/>
      <c r="C556" s="3"/>
      <c r="H556" s="3"/>
      <c r="AG556" s="91"/>
    </row>
    <row r="557" ht="15.75" customHeight="1">
      <c r="B557" s="3"/>
      <c r="C557" s="3"/>
      <c r="H557" s="3"/>
      <c r="AG557" s="91"/>
    </row>
    <row r="558" ht="15.75" customHeight="1">
      <c r="B558" s="3"/>
      <c r="C558" s="3"/>
      <c r="H558" s="3"/>
      <c r="AG558" s="91"/>
    </row>
    <row r="559" ht="15.75" customHeight="1">
      <c r="B559" s="3"/>
      <c r="C559" s="3"/>
      <c r="H559" s="3"/>
      <c r="AG559" s="91"/>
    </row>
    <row r="560" ht="15.75" customHeight="1">
      <c r="B560" s="3"/>
      <c r="C560" s="3"/>
      <c r="H560" s="3"/>
      <c r="AG560" s="91"/>
    </row>
    <row r="561" ht="15.75" customHeight="1">
      <c r="B561" s="3"/>
      <c r="C561" s="3"/>
      <c r="H561" s="3"/>
      <c r="AG561" s="91"/>
    </row>
    <row r="562" ht="15.75" customHeight="1">
      <c r="B562" s="3"/>
      <c r="C562" s="3"/>
      <c r="H562" s="3"/>
      <c r="AG562" s="91"/>
    </row>
    <row r="563" ht="15.75" customHeight="1">
      <c r="B563" s="3"/>
      <c r="C563" s="3"/>
      <c r="H563" s="3"/>
      <c r="AG563" s="91"/>
    </row>
    <row r="564" ht="15.75" customHeight="1">
      <c r="B564" s="3"/>
      <c r="C564" s="3"/>
      <c r="H564" s="3"/>
      <c r="AG564" s="91"/>
    </row>
    <row r="565" ht="15.75" customHeight="1">
      <c r="B565" s="3"/>
      <c r="C565" s="3"/>
      <c r="H565" s="3"/>
      <c r="AG565" s="91"/>
    </row>
    <row r="566" ht="15.75" customHeight="1">
      <c r="B566" s="3"/>
      <c r="C566" s="3"/>
      <c r="H566" s="3"/>
      <c r="AG566" s="91"/>
    </row>
    <row r="567" ht="15.75" customHeight="1">
      <c r="B567" s="3"/>
      <c r="C567" s="3"/>
      <c r="H567" s="3"/>
      <c r="AG567" s="91"/>
    </row>
    <row r="568" ht="15.75" customHeight="1">
      <c r="B568" s="3"/>
      <c r="C568" s="3"/>
      <c r="H568" s="3"/>
      <c r="AG568" s="91"/>
    </row>
    <row r="569" ht="15.75" customHeight="1">
      <c r="B569" s="3"/>
      <c r="C569" s="3"/>
      <c r="H569" s="3"/>
      <c r="AG569" s="91"/>
    </row>
    <row r="570" ht="15.75" customHeight="1">
      <c r="B570" s="3"/>
      <c r="C570" s="3"/>
      <c r="H570" s="3"/>
      <c r="AG570" s="91"/>
    </row>
    <row r="571" ht="15.75" customHeight="1">
      <c r="B571" s="3"/>
      <c r="C571" s="3"/>
      <c r="H571" s="3"/>
      <c r="AG571" s="91"/>
    </row>
    <row r="572" ht="15.75" customHeight="1">
      <c r="B572" s="3"/>
      <c r="C572" s="3"/>
      <c r="H572" s="3"/>
      <c r="AG572" s="91"/>
    </row>
    <row r="573" ht="15.75" customHeight="1">
      <c r="B573" s="3"/>
      <c r="C573" s="3"/>
      <c r="H573" s="3"/>
      <c r="AG573" s="91"/>
    </row>
    <row r="574" ht="15.75" customHeight="1">
      <c r="B574" s="3"/>
      <c r="C574" s="3"/>
      <c r="H574" s="3"/>
      <c r="AG574" s="91"/>
    </row>
    <row r="575" ht="15.75" customHeight="1">
      <c r="B575" s="3"/>
      <c r="C575" s="3"/>
      <c r="H575" s="3"/>
      <c r="AG575" s="91"/>
    </row>
    <row r="576" ht="15.75" customHeight="1">
      <c r="B576" s="3"/>
      <c r="C576" s="3"/>
      <c r="H576" s="3"/>
      <c r="AG576" s="91"/>
    </row>
    <row r="577" ht="15.75" customHeight="1">
      <c r="B577" s="3"/>
      <c r="C577" s="3"/>
      <c r="H577" s="3"/>
      <c r="AG577" s="91"/>
    </row>
    <row r="578" ht="15.75" customHeight="1">
      <c r="B578" s="3"/>
      <c r="C578" s="3"/>
      <c r="H578" s="3"/>
      <c r="AG578" s="91"/>
    </row>
    <row r="579" ht="15.75" customHeight="1">
      <c r="B579" s="3"/>
      <c r="C579" s="3"/>
      <c r="H579" s="3"/>
      <c r="AG579" s="91"/>
    </row>
    <row r="580" ht="15.75" customHeight="1">
      <c r="B580" s="3"/>
      <c r="C580" s="3"/>
      <c r="H580" s="3"/>
      <c r="AG580" s="91"/>
    </row>
    <row r="581" ht="15.75" customHeight="1">
      <c r="B581" s="3"/>
      <c r="C581" s="3"/>
      <c r="H581" s="3"/>
      <c r="AG581" s="91"/>
    </row>
    <row r="582" ht="15.75" customHeight="1">
      <c r="B582" s="3"/>
      <c r="C582" s="3"/>
      <c r="H582" s="3"/>
      <c r="AG582" s="91"/>
    </row>
    <row r="583" ht="15.75" customHeight="1">
      <c r="B583" s="3"/>
      <c r="C583" s="3"/>
      <c r="H583" s="3"/>
      <c r="AG583" s="91"/>
    </row>
    <row r="584" ht="15.75" customHeight="1">
      <c r="B584" s="3"/>
      <c r="C584" s="3"/>
      <c r="H584" s="3"/>
      <c r="AG584" s="91"/>
    </row>
    <row r="585" ht="15.75" customHeight="1">
      <c r="B585" s="3"/>
      <c r="C585" s="3"/>
      <c r="H585" s="3"/>
      <c r="AG585" s="91"/>
    </row>
    <row r="586" ht="15.75" customHeight="1">
      <c r="B586" s="3"/>
      <c r="C586" s="3"/>
      <c r="H586" s="3"/>
      <c r="AG586" s="91"/>
    </row>
    <row r="587" ht="15.75" customHeight="1">
      <c r="B587" s="3"/>
      <c r="C587" s="3"/>
      <c r="H587" s="3"/>
      <c r="AG587" s="91"/>
    </row>
    <row r="588" ht="15.75" customHeight="1">
      <c r="B588" s="3"/>
      <c r="C588" s="3"/>
      <c r="H588" s="3"/>
      <c r="AG588" s="91"/>
    </row>
    <row r="589" ht="15.75" customHeight="1">
      <c r="B589" s="3"/>
      <c r="C589" s="3"/>
      <c r="H589" s="3"/>
      <c r="AG589" s="91"/>
    </row>
    <row r="590" ht="15.75" customHeight="1">
      <c r="B590" s="3"/>
      <c r="C590" s="3"/>
      <c r="H590" s="3"/>
      <c r="AG590" s="91"/>
    </row>
    <row r="591" ht="15.75" customHeight="1">
      <c r="B591" s="3"/>
      <c r="C591" s="3"/>
      <c r="H591" s="3"/>
      <c r="AG591" s="91"/>
    </row>
    <row r="592" ht="15.75" customHeight="1">
      <c r="B592" s="3"/>
      <c r="C592" s="3"/>
      <c r="H592" s="3"/>
      <c r="AG592" s="91"/>
    </row>
    <row r="593" ht="15.75" customHeight="1">
      <c r="B593" s="3"/>
      <c r="C593" s="3"/>
      <c r="H593" s="3"/>
      <c r="AG593" s="91"/>
    </row>
    <row r="594" ht="15.75" customHeight="1">
      <c r="B594" s="3"/>
      <c r="C594" s="3"/>
      <c r="H594" s="3"/>
      <c r="AG594" s="91"/>
    </row>
    <row r="595" ht="15.75" customHeight="1">
      <c r="B595" s="3"/>
      <c r="C595" s="3"/>
      <c r="H595" s="3"/>
      <c r="AG595" s="91"/>
    </row>
    <row r="596" ht="15.75" customHeight="1">
      <c r="B596" s="3"/>
      <c r="C596" s="3"/>
      <c r="H596" s="3"/>
      <c r="AG596" s="91"/>
    </row>
    <row r="597" ht="15.75" customHeight="1">
      <c r="B597" s="3"/>
      <c r="C597" s="3"/>
      <c r="H597" s="3"/>
      <c r="AG597" s="91"/>
    </row>
    <row r="598" ht="15.75" customHeight="1">
      <c r="B598" s="3"/>
      <c r="C598" s="3"/>
      <c r="H598" s="3"/>
      <c r="AG598" s="91"/>
    </row>
    <row r="599" ht="15.75" customHeight="1">
      <c r="B599" s="3"/>
      <c r="C599" s="3"/>
      <c r="H599" s="3"/>
      <c r="AG599" s="91"/>
    </row>
    <row r="600" ht="15.75" customHeight="1">
      <c r="B600" s="3"/>
      <c r="C600" s="3"/>
      <c r="H600" s="3"/>
      <c r="AG600" s="91"/>
    </row>
    <row r="601" ht="15.75" customHeight="1">
      <c r="B601" s="3"/>
      <c r="C601" s="3"/>
      <c r="H601" s="3"/>
      <c r="AG601" s="91"/>
    </row>
    <row r="602" ht="15.75" customHeight="1">
      <c r="B602" s="3"/>
      <c r="C602" s="3"/>
      <c r="H602" s="3"/>
      <c r="AG602" s="91"/>
    </row>
    <row r="603" ht="15.75" customHeight="1">
      <c r="B603" s="3"/>
      <c r="C603" s="3"/>
      <c r="H603" s="3"/>
      <c r="AG603" s="91"/>
    </row>
    <row r="604" ht="15.75" customHeight="1">
      <c r="B604" s="3"/>
      <c r="C604" s="3"/>
      <c r="H604" s="3"/>
      <c r="AG604" s="91"/>
    </row>
    <row r="605" ht="15.75" customHeight="1">
      <c r="B605" s="3"/>
      <c r="C605" s="3"/>
      <c r="H605" s="3"/>
      <c r="AG605" s="91"/>
    </row>
    <row r="606" ht="15.75" customHeight="1">
      <c r="B606" s="3"/>
      <c r="C606" s="3"/>
      <c r="H606" s="3"/>
      <c r="AG606" s="91"/>
    </row>
    <row r="607" ht="15.75" customHeight="1">
      <c r="B607" s="3"/>
      <c r="C607" s="3"/>
      <c r="H607" s="3"/>
      <c r="AG607" s="91"/>
    </row>
    <row r="608" ht="15.75" customHeight="1">
      <c r="B608" s="3"/>
      <c r="C608" s="3"/>
      <c r="H608" s="3"/>
      <c r="AG608" s="91"/>
    </row>
    <row r="609" ht="15.75" customHeight="1">
      <c r="B609" s="3"/>
      <c r="C609" s="3"/>
      <c r="H609" s="3"/>
      <c r="AG609" s="91"/>
    </row>
    <row r="610" ht="15.75" customHeight="1">
      <c r="B610" s="3"/>
      <c r="C610" s="3"/>
      <c r="H610" s="3"/>
      <c r="AG610" s="91"/>
    </row>
    <row r="611" ht="15.75" customHeight="1">
      <c r="B611" s="3"/>
      <c r="C611" s="3"/>
      <c r="H611" s="3"/>
      <c r="AG611" s="91"/>
    </row>
    <row r="612" ht="15.75" customHeight="1">
      <c r="B612" s="3"/>
      <c r="C612" s="3"/>
      <c r="H612" s="3"/>
      <c r="AG612" s="91"/>
    </row>
    <row r="613" ht="15.75" customHeight="1">
      <c r="B613" s="3"/>
      <c r="C613" s="3"/>
      <c r="H613" s="3"/>
      <c r="AG613" s="91"/>
    </row>
    <row r="614" ht="15.75" customHeight="1">
      <c r="B614" s="3"/>
      <c r="C614" s="3"/>
      <c r="H614" s="3"/>
      <c r="AG614" s="91"/>
    </row>
    <row r="615" ht="15.75" customHeight="1">
      <c r="B615" s="3"/>
      <c r="C615" s="3"/>
      <c r="H615" s="3"/>
      <c r="AG615" s="91"/>
    </row>
    <row r="616" ht="15.75" customHeight="1">
      <c r="B616" s="3"/>
      <c r="C616" s="3"/>
      <c r="H616" s="3"/>
      <c r="AG616" s="91"/>
    </row>
    <row r="617" ht="15.75" customHeight="1">
      <c r="B617" s="3"/>
      <c r="C617" s="3"/>
      <c r="H617" s="3"/>
      <c r="AG617" s="91"/>
    </row>
    <row r="618" ht="15.75" customHeight="1">
      <c r="B618" s="3"/>
      <c r="C618" s="3"/>
      <c r="H618" s="3"/>
      <c r="AG618" s="91"/>
    </row>
    <row r="619" ht="15.75" customHeight="1">
      <c r="B619" s="3"/>
      <c r="C619" s="3"/>
      <c r="H619" s="3"/>
      <c r="AG619" s="91"/>
    </row>
    <row r="620" ht="15.75" customHeight="1">
      <c r="B620" s="3"/>
      <c r="C620" s="3"/>
      <c r="H620" s="3"/>
      <c r="AG620" s="91"/>
    </row>
    <row r="621" ht="15.75" customHeight="1">
      <c r="B621" s="3"/>
      <c r="C621" s="3"/>
      <c r="H621" s="3"/>
      <c r="AG621" s="91"/>
    </row>
    <row r="622" ht="15.75" customHeight="1">
      <c r="B622" s="3"/>
      <c r="C622" s="3"/>
      <c r="H622" s="3"/>
      <c r="AG622" s="91"/>
    </row>
    <row r="623" ht="15.75" customHeight="1">
      <c r="B623" s="3"/>
      <c r="C623" s="3"/>
      <c r="H623" s="3"/>
      <c r="AG623" s="91"/>
    </row>
    <row r="624" ht="15.75" customHeight="1">
      <c r="B624" s="3"/>
      <c r="C624" s="3"/>
      <c r="H624" s="3"/>
      <c r="AG624" s="91"/>
    </row>
    <row r="625" ht="15.75" customHeight="1">
      <c r="B625" s="3"/>
      <c r="C625" s="3"/>
      <c r="H625" s="3"/>
      <c r="AG625" s="91"/>
    </row>
    <row r="626" ht="15.75" customHeight="1">
      <c r="B626" s="3"/>
      <c r="C626" s="3"/>
      <c r="H626" s="3"/>
      <c r="AG626" s="91"/>
    </row>
    <row r="627" ht="15.75" customHeight="1">
      <c r="B627" s="3"/>
      <c r="C627" s="3"/>
      <c r="H627" s="3"/>
      <c r="AG627" s="91"/>
    </row>
    <row r="628" ht="15.75" customHeight="1">
      <c r="B628" s="3"/>
      <c r="C628" s="3"/>
      <c r="H628" s="3"/>
      <c r="AG628" s="91"/>
    </row>
    <row r="629" ht="15.75" customHeight="1">
      <c r="B629" s="3"/>
      <c r="C629" s="3"/>
      <c r="H629" s="3"/>
      <c r="AG629" s="91"/>
    </row>
    <row r="630" ht="15.75" customHeight="1">
      <c r="B630" s="3"/>
      <c r="C630" s="3"/>
      <c r="H630" s="3"/>
      <c r="AG630" s="91"/>
    </row>
    <row r="631" ht="15.75" customHeight="1">
      <c r="B631" s="3"/>
      <c r="C631" s="3"/>
      <c r="H631" s="3"/>
      <c r="AG631" s="91"/>
    </row>
    <row r="632" ht="15.75" customHeight="1">
      <c r="B632" s="3"/>
      <c r="C632" s="3"/>
      <c r="H632" s="3"/>
      <c r="AG632" s="91"/>
    </row>
    <row r="633" ht="15.75" customHeight="1">
      <c r="B633" s="3"/>
      <c r="C633" s="3"/>
      <c r="H633" s="3"/>
      <c r="AG633" s="91"/>
    </row>
    <row r="634" ht="15.75" customHeight="1">
      <c r="B634" s="3"/>
      <c r="C634" s="3"/>
      <c r="H634" s="3"/>
      <c r="AG634" s="91"/>
    </row>
    <row r="635" ht="15.75" customHeight="1">
      <c r="B635" s="3"/>
      <c r="C635" s="3"/>
      <c r="H635" s="3"/>
      <c r="AG635" s="91"/>
    </row>
    <row r="636" ht="15.75" customHeight="1">
      <c r="B636" s="3"/>
      <c r="C636" s="3"/>
      <c r="H636" s="3"/>
      <c r="AG636" s="91"/>
    </row>
    <row r="637" ht="15.75" customHeight="1">
      <c r="B637" s="3"/>
      <c r="C637" s="3"/>
      <c r="H637" s="3"/>
      <c r="AG637" s="91"/>
    </row>
    <row r="638" ht="15.75" customHeight="1">
      <c r="B638" s="3"/>
      <c r="C638" s="3"/>
      <c r="H638" s="3"/>
      <c r="AG638" s="91"/>
    </row>
    <row r="639" ht="15.75" customHeight="1">
      <c r="B639" s="3"/>
      <c r="C639" s="3"/>
      <c r="H639" s="3"/>
      <c r="AG639" s="91"/>
    </row>
    <row r="640" ht="15.75" customHeight="1">
      <c r="B640" s="3"/>
      <c r="C640" s="3"/>
      <c r="H640" s="3"/>
      <c r="AG640" s="91"/>
    </row>
    <row r="641" ht="15.75" customHeight="1">
      <c r="B641" s="3"/>
      <c r="C641" s="3"/>
      <c r="H641" s="3"/>
      <c r="AG641" s="91"/>
    </row>
    <row r="642" ht="15.75" customHeight="1">
      <c r="B642" s="3"/>
      <c r="C642" s="3"/>
      <c r="H642" s="3"/>
      <c r="AG642" s="91"/>
    </row>
    <row r="643" ht="15.75" customHeight="1">
      <c r="B643" s="3"/>
      <c r="C643" s="3"/>
      <c r="H643" s="3"/>
      <c r="AG643" s="91"/>
    </row>
    <row r="644" ht="15.75" customHeight="1">
      <c r="B644" s="3"/>
      <c r="C644" s="3"/>
      <c r="H644" s="3"/>
      <c r="AG644" s="91"/>
    </row>
    <row r="645" ht="15.75" customHeight="1">
      <c r="B645" s="3"/>
      <c r="C645" s="3"/>
      <c r="H645" s="3"/>
      <c r="AG645" s="91"/>
    </row>
    <row r="646" ht="15.75" customHeight="1">
      <c r="B646" s="3"/>
      <c r="C646" s="3"/>
      <c r="H646" s="3"/>
      <c r="AG646" s="91"/>
    </row>
    <row r="647" ht="15.75" customHeight="1">
      <c r="B647" s="3"/>
      <c r="C647" s="3"/>
      <c r="H647" s="3"/>
      <c r="AG647" s="91"/>
    </row>
    <row r="648" ht="15.75" customHeight="1">
      <c r="B648" s="3"/>
      <c r="C648" s="3"/>
      <c r="H648" s="3"/>
      <c r="AG648" s="91"/>
    </row>
    <row r="649" ht="15.75" customHeight="1">
      <c r="B649" s="3"/>
      <c r="C649" s="3"/>
      <c r="H649" s="3"/>
      <c r="AG649" s="91"/>
    </row>
    <row r="650" ht="15.75" customHeight="1">
      <c r="B650" s="3"/>
      <c r="C650" s="3"/>
      <c r="H650" s="3"/>
      <c r="AG650" s="91"/>
    </row>
    <row r="651" ht="15.75" customHeight="1">
      <c r="B651" s="3"/>
      <c r="C651" s="3"/>
      <c r="H651" s="3"/>
      <c r="AG651" s="91"/>
    </row>
    <row r="652" ht="15.75" customHeight="1">
      <c r="B652" s="3"/>
      <c r="C652" s="3"/>
      <c r="H652" s="3"/>
      <c r="AG652" s="91"/>
    </row>
    <row r="653" ht="15.75" customHeight="1">
      <c r="B653" s="3"/>
      <c r="C653" s="3"/>
      <c r="H653" s="3"/>
      <c r="AG653" s="91"/>
    </row>
    <row r="654" ht="15.75" customHeight="1">
      <c r="B654" s="3"/>
      <c r="C654" s="3"/>
      <c r="H654" s="3"/>
      <c r="AG654" s="91"/>
    </row>
    <row r="655" ht="15.75" customHeight="1">
      <c r="B655" s="3"/>
      <c r="C655" s="3"/>
      <c r="H655" s="3"/>
      <c r="AG655" s="91"/>
    </row>
    <row r="656" ht="15.75" customHeight="1">
      <c r="B656" s="3"/>
      <c r="C656" s="3"/>
      <c r="H656" s="3"/>
      <c r="AG656" s="91"/>
    </row>
    <row r="657" ht="15.75" customHeight="1">
      <c r="B657" s="3"/>
      <c r="C657" s="3"/>
      <c r="H657" s="3"/>
      <c r="AG657" s="91"/>
    </row>
    <row r="658" ht="15.75" customHeight="1">
      <c r="B658" s="3"/>
      <c r="C658" s="3"/>
      <c r="H658" s="3"/>
      <c r="AG658" s="91"/>
    </row>
    <row r="659" ht="15.75" customHeight="1">
      <c r="B659" s="3"/>
      <c r="C659" s="3"/>
      <c r="H659" s="3"/>
      <c r="AG659" s="91"/>
    </row>
    <row r="660" ht="15.75" customHeight="1">
      <c r="B660" s="3"/>
      <c r="C660" s="3"/>
      <c r="H660" s="3"/>
      <c r="AG660" s="91"/>
    </row>
    <row r="661" ht="15.75" customHeight="1">
      <c r="B661" s="3"/>
      <c r="C661" s="3"/>
      <c r="H661" s="3"/>
      <c r="AG661" s="91"/>
    </row>
    <row r="662" ht="15.75" customHeight="1">
      <c r="B662" s="3"/>
      <c r="C662" s="3"/>
      <c r="H662" s="3"/>
      <c r="AG662" s="91"/>
    </row>
    <row r="663" ht="15.75" customHeight="1">
      <c r="B663" s="3"/>
      <c r="C663" s="3"/>
      <c r="H663" s="3"/>
      <c r="AG663" s="91"/>
    </row>
    <row r="664" ht="15.75" customHeight="1">
      <c r="B664" s="3"/>
      <c r="C664" s="3"/>
      <c r="H664" s="3"/>
      <c r="AG664" s="91"/>
    </row>
    <row r="665" ht="15.75" customHeight="1">
      <c r="B665" s="3"/>
      <c r="C665" s="3"/>
      <c r="H665" s="3"/>
      <c r="AG665" s="91"/>
    </row>
    <row r="666" ht="15.75" customHeight="1">
      <c r="B666" s="3"/>
      <c r="C666" s="3"/>
      <c r="H666" s="3"/>
      <c r="AG666" s="91"/>
    </row>
    <row r="667" ht="15.75" customHeight="1">
      <c r="B667" s="3"/>
      <c r="C667" s="3"/>
      <c r="H667" s="3"/>
      <c r="AG667" s="91"/>
    </row>
    <row r="668" ht="15.75" customHeight="1">
      <c r="B668" s="3"/>
      <c r="C668" s="3"/>
      <c r="H668" s="3"/>
      <c r="AG668" s="91"/>
    </row>
    <row r="669" ht="15.75" customHeight="1">
      <c r="B669" s="3"/>
      <c r="C669" s="3"/>
      <c r="H669" s="3"/>
      <c r="AG669" s="91"/>
    </row>
    <row r="670" ht="15.75" customHeight="1">
      <c r="B670" s="3"/>
      <c r="C670" s="3"/>
      <c r="H670" s="3"/>
      <c r="AG670" s="91"/>
    </row>
    <row r="671" ht="15.75" customHeight="1">
      <c r="B671" s="3"/>
      <c r="C671" s="3"/>
      <c r="H671" s="3"/>
      <c r="AG671" s="91"/>
    </row>
    <row r="672" ht="15.75" customHeight="1">
      <c r="B672" s="3"/>
      <c r="C672" s="3"/>
      <c r="H672" s="3"/>
      <c r="AG672" s="91"/>
    </row>
    <row r="673" ht="15.75" customHeight="1">
      <c r="B673" s="3"/>
      <c r="C673" s="3"/>
      <c r="H673" s="3"/>
      <c r="AG673" s="91"/>
    </row>
    <row r="674" ht="15.75" customHeight="1">
      <c r="B674" s="3"/>
      <c r="C674" s="3"/>
      <c r="H674" s="3"/>
      <c r="AG674" s="91"/>
    </row>
    <row r="675" ht="15.75" customHeight="1">
      <c r="B675" s="3"/>
      <c r="C675" s="3"/>
      <c r="H675" s="3"/>
      <c r="AG675" s="91"/>
    </row>
    <row r="676" ht="15.75" customHeight="1">
      <c r="B676" s="3"/>
      <c r="C676" s="3"/>
      <c r="H676" s="3"/>
      <c r="AG676" s="91"/>
    </row>
    <row r="677" ht="15.75" customHeight="1">
      <c r="B677" s="3"/>
      <c r="C677" s="3"/>
      <c r="H677" s="3"/>
      <c r="AG677" s="91"/>
    </row>
    <row r="678" ht="15.75" customHeight="1">
      <c r="B678" s="3"/>
      <c r="C678" s="3"/>
      <c r="H678" s="3"/>
      <c r="AG678" s="91"/>
    </row>
    <row r="679" ht="15.75" customHeight="1">
      <c r="B679" s="3"/>
      <c r="C679" s="3"/>
      <c r="H679" s="3"/>
      <c r="AG679" s="91"/>
    </row>
    <row r="680" ht="15.75" customHeight="1">
      <c r="B680" s="3"/>
      <c r="C680" s="3"/>
      <c r="H680" s="3"/>
      <c r="AG680" s="91"/>
    </row>
    <row r="681" ht="15.75" customHeight="1">
      <c r="B681" s="3"/>
      <c r="C681" s="3"/>
      <c r="H681" s="3"/>
      <c r="AG681" s="91"/>
    </row>
    <row r="682" ht="15.75" customHeight="1">
      <c r="B682" s="3"/>
      <c r="C682" s="3"/>
      <c r="H682" s="3"/>
      <c r="AG682" s="91"/>
    </row>
    <row r="683" ht="15.75" customHeight="1">
      <c r="B683" s="3"/>
      <c r="C683" s="3"/>
      <c r="H683" s="3"/>
      <c r="AG683" s="91"/>
    </row>
    <row r="684" ht="15.75" customHeight="1">
      <c r="B684" s="3"/>
      <c r="C684" s="3"/>
      <c r="H684" s="3"/>
      <c r="AG684" s="91"/>
    </row>
    <row r="685" ht="15.75" customHeight="1">
      <c r="B685" s="3"/>
      <c r="C685" s="3"/>
      <c r="H685" s="3"/>
      <c r="AG685" s="91"/>
    </row>
    <row r="686" ht="15.75" customHeight="1">
      <c r="B686" s="3"/>
      <c r="C686" s="3"/>
      <c r="H686" s="3"/>
      <c r="AG686" s="91"/>
    </row>
    <row r="687" ht="15.75" customHeight="1">
      <c r="B687" s="3"/>
      <c r="C687" s="3"/>
      <c r="H687" s="3"/>
      <c r="AG687" s="91"/>
    </row>
    <row r="688" ht="15.75" customHeight="1">
      <c r="B688" s="3"/>
      <c r="C688" s="3"/>
      <c r="H688" s="3"/>
      <c r="AG688" s="91"/>
    </row>
    <row r="689" ht="15.75" customHeight="1">
      <c r="B689" s="3"/>
      <c r="C689" s="3"/>
      <c r="H689" s="3"/>
      <c r="AG689" s="91"/>
    </row>
    <row r="690" ht="15.75" customHeight="1">
      <c r="B690" s="3"/>
      <c r="C690" s="3"/>
      <c r="H690" s="3"/>
      <c r="AG690" s="91"/>
    </row>
    <row r="691" ht="15.75" customHeight="1">
      <c r="B691" s="3"/>
      <c r="C691" s="3"/>
      <c r="H691" s="3"/>
      <c r="AG691" s="91"/>
    </row>
    <row r="692" ht="15.75" customHeight="1">
      <c r="B692" s="3"/>
      <c r="C692" s="3"/>
      <c r="H692" s="3"/>
      <c r="AG692" s="91"/>
    </row>
    <row r="693" ht="15.75" customHeight="1">
      <c r="B693" s="3"/>
      <c r="C693" s="3"/>
      <c r="H693" s="3"/>
      <c r="AG693" s="91"/>
    </row>
    <row r="694" ht="15.75" customHeight="1">
      <c r="B694" s="3"/>
      <c r="C694" s="3"/>
      <c r="H694" s="3"/>
      <c r="AG694" s="91"/>
    </row>
    <row r="695" ht="15.75" customHeight="1">
      <c r="B695" s="3"/>
      <c r="C695" s="3"/>
      <c r="H695" s="3"/>
      <c r="AG695" s="91"/>
    </row>
    <row r="696" ht="15.75" customHeight="1">
      <c r="B696" s="3"/>
      <c r="C696" s="3"/>
      <c r="H696" s="3"/>
      <c r="AG696" s="91"/>
    </row>
    <row r="697" ht="15.75" customHeight="1">
      <c r="B697" s="3"/>
      <c r="C697" s="3"/>
      <c r="H697" s="3"/>
      <c r="AG697" s="91"/>
    </row>
    <row r="698" ht="15.75" customHeight="1">
      <c r="B698" s="3"/>
      <c r="C698" s="3"/>
      <c r="H698" s="3"/>
      <c r="AG698" s="91"/>
    </row>
    <row r="699" ht="15.75" customHeight="1">
      <c r="B699" s="3"/>
      <c r="C699" s="3"/>
      <c r="H699" s="3"/>
      <c r="AG699" s="91"/>
    </row>
    <row r="700" ht="15.75" customHeight="1">
      <c r="B700" s="3"/>
      <c r="C700" s="3"/>
      <c r="H700" s="3"/>
      <c r="AG700" s="91"/>
    </row>
    <row r="701" ht="15.75" customHeight="1">
      <c r="B701" s="3"/>
      <c r="C701" s="3"/>
      <c r="H701" s="3"/>
      <c r="AG701" s="91"/>
    </row>
    <row r="702" ht="15.75" customHeight="1">
      <c r="B702" s="3"/>
      <c r="C702" s="3"/>
      <c r="H702" s="3"/>
      <c r="AG702" s="91"/>
    </row>
    <row r="703" ht="15.75" customHeight="1">
      <c r="B703" s="3"/>
      <c r="C703" s="3"/>
      <c r="H703" s="3"/>
      <c r="AG703" s="91"/>
    </row>
    <row r="704" ht="15.75" customHeight="1">
      <c r="B704" s="3"/>
      <c r="C704" s="3"/>
      <c r="H704" s="3"/>
      <c r="AG704" s="91"/>
    </row>
    <row r="705" ht="15.75" customHeight="1">
      <c r="B705" s="3"/>
      <c r="C705" s="3"/>
      <c r="H705" s="3"/>
      <c r="AG705" s="91"/>
    </row>
    <row r="706" ht="15.75" customHeight="1">
      <c r="B706" s="3"/>
      <c r="C706" s="3"/>
      <c r="H706" s="3"/>
      <c r="AG706" s="91"/>
    </row>
    <row r="707" ht="15.75" customHeight="1">
      <c r="B707" s="3"/>
      <c r="C707" s="3"/>
      <c r="H707" s="3"/>
      <c r="AG707" s="91"/>
    </row>
    <row r="708" ht="15.75" customHeight="1">
      <c r="B708" s="3"/>
      <c r="C708" s="3"/>
      <c r="H708" s="3"/>
      <c r="AG708" s="91"/>
    </row>
    <row r="709" ht="15.75" customHeight="1">
      <c r="B709" s="3"/>
      <c r="C709" s="3"/>
      <c r="H709" s="3"/>
      <c r="AG709" s="91"/>
    </row>
    <row r="710" ht="15.75" customHeight="1">
      <c r="B710" s="3"/>
      <c r="C710" s="3"/>
      <c r="H710" s="3"/>
      <c r="AG710" s="91"/>
    </row>
    <row r="711" ht="15.75" customHeight="1">
      <c r="B711" s="3"/>
      <c r="C711" s="3"/>
      <c r="H711" s="3"/>
      <c r="AG711" s="91"/>
    </row>
    <row r="712" ht="15.75" customHeight="1">
      <c r="B712" s="3"/>
      <c r="C712" s="3"/>
      <c r="H712" s="3"/>
      <c r="AG712" s="91"/>
    </row>
    <row r="713" ht="15.75" customHeight="1">
      <c r="B713" s="3"/>
      <c r="C713" s="3"/>
      <c r="H713" s="3"/>
      <c r="AG713" s="91"/>
    </row>
    <row r="714" ht="15.75" customHeight="1">
      <c r="B714" s="3"/>
      <c r="C714" s="3"/>
      <c r="H714" s="3"/>
      <c r="AG714" s="91"/>
    </row>
    <row r="715" ht="15.75" customHeight="1">
      <c r="B715" s="3"/>
      <c r="C715" s="3"/>
      <c r="H715" s="3"/>
      <c r="AG715" s="91"/>
    </row>
    <row r="716" ht="15.75" customHeight="1">
      <c r="B716" s="3"/>
      <c r="C716" s="3"/>
      <c r="H716" s="3"/>
      <c r="AG716" s="91"/>
    </row>
    <row r="717" ht="15.75" customHeight="1">
      <c r="B717" s="3"/>
      <c r="C717" s="3"/>
      <c r="H717" s="3"/>
      <c r="AG717" s="91"/>
    </row>
    <row r="718" ht="15.75" customHeight="1">
      <c r="B718" s="3"/>
      <c r="C718" s="3"/>
      <c r="H718" s="3"/>
      <c r="AG718" s="91"/>
    </row>
    <row r="719" ht="15.75" customHeight="1">
      <c r="B719" s="3"/>
      <c r="C719" s="3"/>
      <c r="H719" s="3"/>
      <c r="AG719" s="91"/>
    </row>
    <row r="720" ht="15.75" customHeight="1">
      <c r="B720" s="3"/>
      <c r="C720" s="3"/>
      <c r="H720" s="3"/>
      <c r="AG720" s="91"/>
    </row>
    <row r="721" ht="15.75" customHeight="1">
      <c r="B721" s="3"/>
      <c r="C721" s="3"/>
      <c r="H721" s="3"/>
      <c r="AG721" s="91"/>
    </row>
    <row r="722" ht="15.75" customHeight="1">
      <c r="B722" s="3"/>
      <c r="C722" s="3"/>
      <c r="H722" s="3"/>
      <c r="AG722" s="91"/>
    </row>
    <row r="723" ht="15.75" customHeight="1">
      <c r="B723" s="3"/>
      <c r="C723" s="3"/>
      <c r="H723" s="3"/>
      <c r="AG723" s="91"/>
    </row>
    <row r="724" ht="15.75" customHeight="1">
      <c r="B724" s="3"/>
      <c r="C724" s="3"/>
      <c r="H724" s="3"/>
      <c r="AG724" s="91"/>
    </row>
    <row r="725" ht="15.75" customHeight="1">
      <c r="B725" s="3"/>
      <c r="C725" s="3"/>
      <c r="H725" s="3"/>
      <c r="AG725" s="91"/>
    </row>
    <row r="726" ht="15.75" customHeight="1">
      <c r="B726" s="3"/>
      <c r="C726" s="3"/>
      <c r="H726" s="3"/>
      <c r="AG726" s="91"/>
    </row>
    <row r="727" ht="15.75" customHeight="1">
      <c r="B727" s="3"/>
      <c r="C727" s="3"/>
      <c r="H727" s="3"/>
      <c r="AG727" s="91"/>
    </row>
    <row r="728" ht="15.75" customHeight="1">
      <c r="B728" s="3"/>
      <c r="C728" s="3"/>
      <c r="H728" s="3"/>
      <c r="AG728" s="91"/>
    </row>
    <row r="729" ht="15.75" customHeight="1">
      <c r="B729" s="3"/>
      <c r="C729" s="3"/>
      <c r="H729" s="3"/>
      <c r="AG729" s="91"/>
    </row>
    <row r="730" ht="15.75" customHeight="1">
      <c r="B730" s="3"/>
      <c r="C730" s="3"/>
      <c r="H730" s="3"/>
      <c r="AG730" s="91"/>
    </row>
    <row r="731" ht="15.75" customHeight="1">
      <c r="B731" s="3"/>
      <c r="C731" s="3"/>
      <c r="H731" s="3"/>
      <c r="AG731" s="91"/>
    </row>
    <row r="732" ht="15.75" customHeight="1">
      <c r="B732" s="3"/>
      <c r="C732" s="3"/>
      <c r="H732" s="3"/>
      <c r="AG732" s="91"/>
    </row>
    <row r="733" ht="15.75" customHeight="1">
      <c r="B733" s="3"/>
      <c r="C733" s="3"/>
      <c r="H733" s="3"/>
      <c r="AG733" s="91"/>
    </row>
    <row r="734" ht="15.75" customHeight="1">
      <c r="B734" s="3"/>
      <c r="C734" s="3"/>
      <c r="H734" s="3"/>
      <c r="AG734" s="91"/>
    </row>
    <row r="735" ht="15.75" customHeight="1">
      <c r="B735" s="3"/>
      <c r="C735" s="3"/>
      <c r="H735" s="3"/>
      <c r="AG735" s="91"/>
    </row>
    <row r="736" ht="15.75" customHeight="1">
      <c r="B736" s="3"/>
      <c r="C736" s="3"/>
      <c r="H736" s="3"/>
      <c r="AG736" s="91"/>
    </row>
    <row r="737" ht="15.75" customHeight="1">
      <c r="B737" s="3"/>
      <c r="C737" s="3"/>
      <c r="H737" s="3"/>
      <c r="AG737" s="91"/>
    </row>
    <row r="738" ht="15.75" customHeight="1">
      <c r="B738" s="3"/>
      <c r="C738" s="3"/>
      <c r="H738" s="3"/>
      <c r="AG738" s="91"/>
    </row>
    <row r="739" ht="15.75" customHeight="1">
      <c r="B739" s="3"/>
      <c r="C739" s="3"/>
      <c r="H739" s="3"/>
      <c r="AG739" s="91"/>
    </row>
    <row r="740" ht="15.75" customHeight="1">
      <c r="B740" s="3"/>
      <c r="C740" s="3"/>
      <c r="H740" s="3"/>
      <c r="AG740" s="91"/>
    </row>
    <row r="741" ht="15.75" customHeight="1">
      <c r="B741" s="3"/>
      <c r="C741" s="3"/>
      <c r="H741" s="3"/>
      <c r="AG741" s="91"/>
    </row>
    <row r="742" ht="15.75" customHeight="1">
      <c r="B742" s="3"/>
      <c r="C742" s="3"/>
      <c r="H742" s="3"/>
      <c r="AG742" s="91"/>
    </row>
    <row r="743" ht="15.75" customHeight="1">
      <c r="B743" s="3"/>
      <c r="C743" s="3"/>
      <c r="H743" s="3"/>
      <c r="AG743" s="91"/>
    </row>
    <row r="744" ht="15.75" customHeight="1">
      <c r="B744" s="3"/>
      <c r="C744" s="3"/>
      <c r="H744" s="3"/>
      <c r="AG744" s="91"/>
    </row>
    <row r="745" ht="15.75" customHeight="1">
      <c r="B745" s="3"/>
      <c r="C745" s="3"/>
      <c r="H745" s="3"/>
      <c r="AG745" s="91"/>
    </row>
    <row r="746" ht="15.75" customHeight="1">
      <c r="B746" s="3"/>
      <c r="C746" s="3"/>
      <c r="H746" s="3"/>
      <c r="AG746" s="91"/>
    </row>
    <row r="747" ht="15.75" customHeight="1">
      <c r="B747" s="3"/>
      <c r="C747" s="3"/>
      <c r="H747" s="3"/>
      <c r="AG747" s="91"/>
    </row>
    <row r="748" ht="15.75" customHeight="1">
      <c r="B748" s="3"/>
      <c r="C748" s="3"/>
      <c r="H748" s="3"/>
      <c r="AG748" s="91"/>
    </row>
    <row r="749" ht="15.75" customHeight="1">
      <c r="B749" s="3"/>
      <c r="C749" s="3"/>
      <c r="H749" s="3"/>
      <c r="AG749" s="91"/>
    </row>
    <row r="750" ht="15.75" customHeight="1">
      <c r="B750" s="3"/>
      <c r="C750" s="3"/>
      <c r="H750" s="3"/>
      <c r="AG750" s="91"/>
    </row>
    <row r="751" ht="15.75" customHeight="1">
      <c r="B751" s="3"/>
      <c r="C751" s="3"/>
      <c r="H751" s="3"/>
      <c r="AG751" s="91"/>
    </row>
    <row r="752" ht="15.75" customHeight="1">
      <c r="B752" s="3"/>
      <c r="C752" s="3"/>
      <c r="H752" s="3"/>
      <c r="AG752" s="91"/>
    </row>
    <row r="753" ht="15.75" customHeight="1">
      <c r="B753" s="3"/>
      <c r="C753" s="3"/>
      <c r="H753" s="3"/>
      <c r="AG753" s="91"/>
    </row>
    <row r="754" ht="15.75" customHeight="1">
      <c r="B754" s="3"/>
      <c r="C754" s="3"/>
      <c r="H754" s="3"/>
      <c r="AG754" s="91"/>
    </row>
    <row r="755" ht="15.75" customHeight="1">
      <c r="B755" s="3"/>
      <c r="C755" s="3"/>
      <c r="H755" s="3"/>
      <c r="AG755" s="91"/>
    </row>
    <row r="756" ht="15.75" customHeight="1">
      <c r="B756" s="3"/>
      <c r="C756" s="3"/>
      <c r="H756" s="3"/>
      <c r="AG756" s="91"/>
    </row>
    <row r="757" ht="15.75" customHeight="1">
      <c r="B757" s="3"/>
      <c r="C757" s="3"/>
      <c r="H757" s="3"/>
      <c r="AG757" s="91"/>
    </row>
    <row r="758" ht="15.75" customHeight="1">
      <c r="B758" s="3"/>
      <c r="C758" s="3"/>
      <c r="H758" s="3"/>
      <c r="AG758" s="91"/>
    </row>
    <row r="759" ht="15.75" customHeight="1">
      <c r="B759" s="3"/>
      <c r="C759" s="3"/>
      <c r="H759" s="3"/>
      <c r="AG759" s="91"/>
    </row>
    <row r="760" ht="15.75" customHeight="1">
      <c r="B760" s="3"/>
      <c r="C760" s="3"/>
      <c r="H760" s="3"/>
      <c r="AG760" s="91"/>
    </row>
    <row r="761" ht="15.75" customHeight="1">
      <c r="B761" s="3"/>
      <c r="C761" s="3"/>
      <c r="H761" s="3"/>
      <c r="AG761" s="91"/>
    </row>
    <row r="762" ht="15.75" customHeight="1">
      <c r="B762" s="3"/>
      <c r="C762" s="3"/>
      <c r="H762" s="3"/>
      <c r="AG762" s="91"/>
    </row>
    <row r="763" ht="15.75" customHeight="1">
      <c r="B763" s="3"/>
      <c r="C763" s="3"/>
      <c r="H763" s="3"/>
      <c r="AG763" s="91"/>
    </row>
    <row r="764" ht="15.75" customHeight="1">
      <c r="B764" s="3"/>
      <c r="C764" s="3"/>
      <c r="H764" s="3"/>
      <c r="AG764" s="91"/>
    </row>
    <row r="765" ht="15.75" customHeight="1">
      <c r="B765" s="3"/>
      <c r="C765" s="3"/>
      <c r="H765" s="3"/>
      <c r="AG765" s="91"/>
    </row>
    <row r="766" ht="15.75" customHeight="1">
      <c r="B766" s="3"/>
      <c r="C766" s="3"/>
      <c r="H766" s="3"/>
      <c r="AG766" s="91"/>
    </row>
    <row r="767" ht="15.75" customHeight="1">
      <c r="B767" s="3"/>
      <c r="C767" s="3"/>
      <c r="H767" s="3"/>
      <c r="AG767" s="91"/>
    </row>
    <row r="768" ht="15.75" customHeight="1">
      <c r="B768" s="3"/>
      <c r="C768" s="3"/>
      <c r="H768" s="3"/>
      <c r="AG768" s="91"/>
    </row>
    <row r="769" ht="15.75" customHeight="1">
      <c r="B769" s="3"/>
      <c r="C769" s="3"/>
      <c r="H769" s="3"/>
      <c r="AG769" s="91"/>
    </row>
    <row r="770" ht="15.75" customHeight="1">
      <c r="B770" s="3"/>
      <c r="C770" s="3"/>
      <c r="H770" s="3"/>
      <c r="AG770" s="91"/>
    </row>
    <row r="771" ht="15.75" customHeight="1">
      <c r="B771" s="3"/>
      <c r="C771" s="3"/>
      <c r="H771" s="3"/>
      <c r="AG771" s="91"/>
    </row>
    <row r="772" ht="15.75" customHeight="1">
      <c r="B772" s="3"/>
      <c r="C772" s="3"/>
      <c r="H772" s="3"/>
      <c r="AG772" s="91"/>
    </row>
    <row r="773" ht="15.75" customHeight="1">
      <c r="B773" s="3"/>
      <c r="C773" s="3"/>
      <c r="H773" s="3"/>
      <c r="AG773" s="91"/>
    </row>
    <row r="774" ht="15.75" customHeight="1">
      <c r="B774" s="3"/>
      <c r="C774" s="3"/>
      <c r="H774" s="3"/>
      <c r="AG774" s="91"/>
    </row>
    <row r="775" ht="15.75" customHeight="1">
      <c r="B775" s="3"/>
      <c r="C775" s="3"/>
      <c r="H775" s="3"/>
      <c r="AG775" s="91"/>
    </row>
    <row r="776" ht="15.75" customHeight="1">
      <c r="B776" s="3"/>
      <c r="C776" s="3"/>
      <c r="H776" s="3"/>
      <c r="AG776" s="91"/>
    </row>
    <row r="777" ht="15.75" customHeight="1">
      <c r="B777" s="3"/>
      <c r="C777" s="3"/>
      <c r="H777" s="3"/>
      <c r="AG777" s="91"/>
    </row>
    <row r="778" ht="15.75" customHeight="1">
      <c r="B778" s="3"/>
      <c r="C778" s="3"/>
      <c r="H778" s="3"/>
      <c r="AG778" s="91"/>
    </row>
    <row r="779" ht="15.75" customHeight="1">
      <c r="B779" s="3"/>
      <c r="C779" s="3"/>
      <c r="H779" s="3"/>
      <c r="AG779" s="91"/>
    </row>
    <row r="780" ht="15.75" customHeight="1">
      <c r="B780" s="3"/>
      <c r="C780" s="3"/>
      <c r="H780" s="3"/>
      <c r="AG780" s="91"/>
    </row>
    <row r="781" ht="15.75" customHeight="1">
      <c r="B781" s="3"/>
      <c r="C781" s="3"/>
      <c r="H781" s="3"/>
      <c r="AG781" s="91"/>
    </row>
    <row r="782" ht="15.75" customHeight="1">
      <c r="B782" s="3"/>
      <c r="C782" s="3"/>
      <c r="H782" s="3"/>
      <c r="AG782" s="91"/>
    </row>
    <row r="783" ht="15.75" customHeight="1">
      <c r="B783" s="3"/>
      <c r="C783" s="3"/>
      <c r="H783" s="3"/>
      <c r="AG783" s="91"/>
    </row>
    <row r="784" ht="15.75" customHeight="1">
      <c r="B784" s="3"/>
      <c r="C784" s="3"/>
      <c r="H784" s="3"/>
      <c r="AG784" s="91"/>
    </row>
    <row r="785" ht="15.75" customHeight="1">
      <c r="B785" s="3"/>
      <c r="C785" s="3"/>
      <c r="H785" s="3"/>
      <c r="AG785" s="91"/>
    </row>
    <row r="786" ht="15.75" customHeight="1">
      <c r="B786" s="3"/>
      <c r="C786" s="3"/>
      <c r="H786" s="3"/>
      <c r="AG786" s="91"/>
    </row>
    <row r="787" ht="15.75" customHeight="1">
      <c r="B787" s="3"/>
      <c r="C787" s="3"/>
      <c r="H787" s="3"/>
      <c r="AG787" s="91"/>
    </row>
    <row r="788" ht="15.75" customHeight="1">
      <c r="B788" s="3"/>
      <c r="C788" s="3"/>
      <c r="H788" s="3"/>
      <c r="AG788" s="91"/>
    </row>
    <row r="789" ht="15.75" customHeight="1">
      <c r="B789" s="3"/>
      <c r="C789" s="3"/>
      <c r="H789" s="3"/>
      <c r="AG789" s="91"/>
    </row>
    <row r="790" ht="15.75" customHeight="1">
      <c r="B790" s="3"/>
      <c r="C790" s="3"/>
      <c r="H790" s="3"/>
      <c r="AG790" s="91"/>
    </row>
    <row r="791" ht="15.75" customHeight="1">
      <c r="B791" s="3"/>
      <c r="C791" s="3"/>
      <c r="H791" s="3"/>
      <c r="AG791" s="91"/>
    </row>
    <row r="792" ht="15.75" customHeight="1">
      <c r="B792" s="3"/>
      <c r="C792" s="3"/>
      <c r="H792" s="3"/>
      <c r="AG792" s="91"/>
    </row>
    <row r="793" ht="15.75" customHeight="1">
      <c r="B793" s="3"/>
      <c r="C793" s="3"/>
      <c r="H793" s="3"/>
      <c r="AG793" s="91"/>
    </row>
    <row r="794" ht="15.75" customHeight="1">
      <c r="B794" s="3"/>
      <c r="C794" s="3"/>
      <c r="H794" s="3"/>
      <c r="AG794" s="91"/>
    </row>
    <row r="795" ht="15.75" customHeight="1">
      <c r="B795" s="3"/>
      <c r="C795" s="3"/>
      <c r="H795" s="3"/>
      <c r="AG795" s="91"/>
    </row>
    <row r="796" ht="15.75" customHeight="1">
      <c r="B796" s="3"/>
      <c r="C796" s="3"/>
      <c r="H796" s="3"/>
      <c r="AG796" s="91"/>
    </row>
    <row r="797" ht="15.75" customHeight="1">
      <c r="B797" s="3"/>
      <c r="C797" s="3"/>
      <c r="H797" s="3"/>
      <c r="AG797" s="91"/>
    </row>
    <row r="798" ht="15.75" customHeight="1">
      <c r="B798" s="3"/>
      <c r="C798" s="3"/>
      <c r="H798" s="3"/>
      <c r="AG798" s="91"/>
    </row>
    <row r="799" ht="15.75" customHeight="1">
      <c r="B799" s="3"/>
      <c r="C799" s="3"/>
      <c r="H799" s="3"/>
      <c r="AG799" s="91"/>
    </row>
    <row r="800" ht="15.75" customHeight="1">
      <c r="B800" s="3"/>
      <c r="C800" s="3"/>
      <c r="H800" s="3"/>
      <c r="AG800" s="91"/>
    </row>
    <row r="801" ht="15.75" customHeight="1">
      <c r="B801" s="3"/>
      <c r="C801" s="3"/>
      <c r="H801" s="3"/>
      <c r="AG801" s="91"/>
    </row>
    <row r="802" ht="15.75" customHeight="1">
      <c r="B802" s="3"/>
      <c r="C802" s="3"/>
      <c r="H802" s="3"/>
      <c r="AG802" s="91"/>
    </row>
    <row r="803" ht="15.75" customHeight="1">
      <c r="B803" s="3"/>
      <c r="C803" s="3"/>
      <c r="H803" s="3"/>
      <c r="AG803" s="91"/>
    </row>
    <row r="804" ht="15.75" customHeight="1">
      <c r="B804" s="3"/>
      <c r="C804" s="3"/>
      <c r="H804" s="3"/>
      <c r="AG804" s="91"/>
    </row>
    <row r="805" ht="15.75" customHeight="1">
      <c r="B805" s="3"/>
      <c r="C805" s="3"/>
      <c r="H805" s="3"/>
      <c r="AG805" s="91"/>
    </row>
    <row r="806" ht="15.75" customHeight="1">
      <c r="B806" s="3"/>
      <c r="C806" s="3"/>
      <c r="H806" s="3"/>
      <c r="AG806" s="91"/>
    </row>
    <row r="807" ht="15.75" customHeight="1">
      <c r="B807" s="3"/>
      <c r="C807" s="3"/>
      <c r="H807" s="3"/>
      <c r="AG807" s="91"/>
    </row>
    <row r="808" ht="15.75" customHeight="1">
      <c r="B808" s="3"/>
      <c r="C808" s="3"/>
      <c r="H808" s="3"/>
      <c r="AG808" s="91"/>
    </row>
    <row r="809" ht="15.75" customHeight="1">
      <c r="B809" s="3"/>
      <c r="C809" s="3"/>
      <c r="H809" s="3"/>
      <c r="AG809" s="91"/>
    </row>
    <row r="810" ht="15.75" customHeight="1">
      <c r="B810" s="3"/>
      <c r="C810" s="3"/>
      <c r="H810" s="3"/>
      <c r="AG810" s="91"/>
    </row>
    <row r="811" ht="15.75" customHeight="1">
      <c r="B811" s="3"/>
      <c r="C811" s="3"/>
      <c r="H811" s="3"/>
      <c r="AG811" s="91"/>
    </row>
    <row r="812" ht="15.75" customHeight="1">
      <c r="B812" s="3"/>
      <c r="C812" s="3"/>
      <c r="H812" s="3"/>
      <c r="AG812" s="91"/>
    </row>
    <row r="813" ht="15.75" customHeight="1">
      <c r="B813" s="3"/>
      <c r="C813" s="3"/>
      <c r="H813" s="3"/>
      <c r="AG813" s="91"/>
    </row>
    <row r="814" ht="15.75" customHeight="1">
      <c r="B814" s="3"/>
      <c r="C814" s="3"/>
      <c r="H814" s="3"/>
      <c r="AG814" s="91"/>
    </row>
    <row r="815" ht="15.75" customHeight="1">
      <c r="B815" s="3"/>
      <c r="C815" s="3"/>
      <c r="H815" s="3"/>
      <c r="AG815" s="91"/>
    </row>
    <row r="816" ht="15.75" customHeight="1">
      <c r="B816" s="3"/>
      <c r="C816" s="3"/>
      <c r="H816" s="3"/>
      <c r="AG816" s="91"/>
    </row>
    <row r="817" ht="15.75" customHeight="1">
      <c r="B817" s="3"/>
      <c r="C817" s="3"/>
      <c r="H817" s="3"/>
      <c r="AG817" s="91"/>
    </row>
    <row r="818" ht="15.75" customHeight="1">
      <c r="B818" s="3"/>
      <c r="C818" s="3"/>
      <c r="H818" s="3"/>
      <c r="AG818" s="91"/>
    </row>
    <row r="819" ht="15.75" customHeight="1">
      <c r="B819" s="3"/>
      <c r="C819" s="3"/>
      <c r="H819" s="3"/>
      <c r="AG819" s="91"/>
    </row>
    <row r="820" ht="15.75" customHeight="1">
      <c r="B820" s="3"/>
      <c r="C820" s="3"/>
      <c r="H820" s="3"/>
      <c r="AG820" s="91"/>
    </row>
    <row r="821" ht="15.75" customHeight="1">
      <c r="B821" s="3"/>
      <c r="C821" s="3"/>
      <c r="H821" s="3"/>
      <c r="AG821" s="91"/>
    </row>
    <row r="822" ht="15.75" customHeight="1">
      <c r="B822" s="3"/>
      <c r="C822" s="3"/>
      <c r="H822" s="3"/>
      <c r="AG822" s="91"/>
    </row>
    <row r="823" ht="15.75" customHeight="1">
      <c r="B823" s="3"/>
      <c r="C823" s="3"/>
      <c r="H823" s="3"/>
      <c r="AG823" s="91"/>
    </row>
    <row r="824" ht="15.75" customHeight="1">
      <c r="B824" s="3"/>
      <c r="C824" s="3"/>
      <c r="H824" s="3"/>
      <c r="AG824" s="91"/>
    </row>
    <row r="825" ht="15.75" customHeight="1">
      <c r="B825" s="3"/>
      <c r="C825" s="3"/>
      <c r="H825" s="3"/>
      <c r="AG825" s="91"/>
    </row>
    <row r="826" ht="15.75" customHeight="1">
      <c r="B826" s="3"/>
      <c r="C826" s="3"/>
      <c r="H826" s="3"/>
      <c r="AG826" s="91"/>
    </row>
    <row r="827" ht="15.75" customHeight="1">
      <c r="B827" s="3"/>
      <c r="C827" s="3"/>
      <c r="H827" s="3"/>
      <c r="AG827" s="91"/>
    </row>
    <row r="828" ht="15.75" customHeight="1">
      <c r="B828" s="3"/>
      <c r="C828" s="3"/>
      <c r="H828" s="3"/>
      <c r="AG828" s="91"/>
    </row>
    <row r="829" ht="15.75" customHeight="1">
      <c r="B829" s="3"/>
      <c r="C829" s="3"/>
      <c r="H829" s="3"/>
      <c r="AG829" s="91"/>
    </row>
    <row r="830" ht="15.75" customHeight="1">
      <c r="B830" s="3"/>
      <c r="C830" s="3"/>
      <c r="H830" s="3"/>
      <c r="AG830" s="91"/>
    </row>
    <row r="831" ht="15.75" customHeight="1">
      <c r="B831" s="3"/>
      <c r="C831" s="3"/>
      <c r="H831" s="3"/>
      <c r="AG831" s="91"/>
    </row>
    <row r="832" ht="15.75" customHeight="1">
      <c r="B832" s="3"/>
      <c r="C832" s="3"/>
      <c r="H832" s="3"/>
      <c r="AG832" s="91"/>
    </row>
    <row r="833" ht="15.75" customHeight="1">
      <c r="B833" s="3"/>
      <c r="C833" s="3"/>
      <c r="H833" s="3"/>
      <c r="AG833" s="91"/>
    </row>
    <row r="834" ht="15.75" customHeight="1">
      <c r="B834" s="3"/>
      <c r="C834" s="3"/>
      <c r="H834" s="3"/>
      <c r="AG834" s="91"/>
    </row>
    <row r="835" ht="15.75" customHeight="1">
      <c r="B835" s="3"/>
      <c r="C835" s="3"/>
      <c r="H835" s="3"/>
      <c r="AG835" s="91"/>
    </row>
    <row r="836" ht="15.75" customHeight="1">
      <c r="B836" s="3"/>
      <c r="C836" s="3"/>
      <c r="H836" s="3"/>
      <c r="AG836" s="91"/>
    </row>
    <row r="837" ht="15.75" customHeight="1">
      <c r="B837" s="3"/>
      <c r="C837" s="3"/>
      <c r="H837" s="3"/>
      <c r="AG837" s="91"/>
    </row>
    <row r="838" ht="15.75" customHeight="1">
      <c r="B838" s="3"/>
      <c r="C838" s="3"/>
      <c r="H838" s="3"/>
      <c r="AG838" s="91"/>
    </row>
    <row r="839" ht="15.75" customHeight="1">
      <c r="B839" s="3"/>
      <c r="C839" s="3"/>
      <c r="H839" s="3"/>
      <c r="AG839" s="91"/>
    </row>
    <row r="840" ht="15.75" customHeight="1">
      <c r="B840" s="3"/>
      <c r="C840" s="3"/>
      <c r="H840" s="3"/>
      <c r="AG840" s="91"/>
    </row>
    <row r="841" ht="15.75" customHeight="1">
      <c r="B841" s="3"/>
      <c r="C841" s="3"/>
      <c r="H841" s="3"/>
      <c r="AG841" s="91"/>
    </row>
    <row r="842" ht="15.75" customHeight="1">
      <c r="B842" s="3"/>
      <c r="C842" s="3"/>
      <c r="H842" s="3"/>
      <c r="AG842" s="91"/>
    </row>
    <row r="843" ht="15.75" customHeight="1">
      <c r="B843" s="3"/>
      <c r="C843" s="3"/>
      <c r="H843" s="3"/>
      <c r="AG843" s="91"/>
    </row>
    <row r="844" ht="15.75" customHeight="1">
      <c r="B844" s="3"/>
      <c r="C844" s="3"/>
      <c r="H844" s="3"/>
      <c r="AG844" s="91"/>
    </row>
    <row r="845" ht="15.75" customHeight="1">
      <c r="B845" s="3"/>
      <c r="C845" s="3"/>
      <c r="H845" s="3"/>
      <c r="AG845" s="91"/>
    </row>
    <row r="846" ht="15.75" customHeight="1">
      <c r="B846" s="3"/>
      <c r="C846" s="3"/>
      <c r="H846" s="3"/>
      <c r="AG846" s="91"/>
    </row>
    <row r="847" ht="15.75" customHeight="1">
      <c r="B847" s="3"/>
      <c r="C847" s="3"/>
      <c r="H847" s="3"/>
      <c r="AG847" s="91"/>
    </row>
    <row r="848" ht="15.75" customHeight="1">
      <c r="B848" s="3"/>
      <c r="C848" s="3"/>
      <c r="H848" s="3"/>
      <c r="AG848" s="91"/>
    </row>
    <row r="849" ht="15.75" customHeight="1">
      <c r="B849" s="3"/>
      <c r="C849" s="3"/>
      <c r="H849" s="3"/>
      <c r="AG849" s="91"/>
    </row>
    <row r="850" ht="15.75" customHeight="1">
      <c r="B850" s="3"/>
      <c r="C850" s="3"/>
      <c r="H850" s="3"/>
      <c r="AG850" s="91"/>
    </row>
    <row r="851" ht="15.75" customHeight="1">
      <c r="B851" s="3"/>
      <c r="C851" s="3"/>
      <c r="H851" s="3"/>
      <c r="AG851" s="91"/>
    </row>
    <row r="852" ht="15.75" customHeight="1">
      <c r="B852" s="3"/>
      <c r="C852" s="3"/>
      <c r="H852" s="3"/>
      <c r="AG852" s="91"/>
    </row>
    <row r="853" ht="15.75" customHeight="1">
      <c r="B853" s="3"/>
      <c r="C853" s="3"/>
      <c r="H853" s="3"/>
      <c r="AG853" s="91"/>
    </row>
    <row r="854" ht="15.75" customHeight="1">
      <c r="B854" s="3"/>
      <c r="C854" s="3"/>
      <c r="H854" s="3"/>
      <c r="AG854" s="91"/>
    </row>
    <row r="855" ht="15.75" customHeight="1">
      <c r="B855" s="3"/>
      <c r="C855" s="3"/>
      <c r="H855" s="3"/>
      <c r="AG855" s="91"/>
    </row>
    <row r="856" ht="15.75" customHeight="1">
      <c r="B856" s="3"/>
      <c r="C856" s="3"/>
      <c r="H856" s="3"/>
      <c r="AG856" s="91"/>
    </row>
    <row r="857" ht="15.75" customHeight="1">
      <c r="B857" s="3"/>
      <c r="C857" s="3"/>
      <c r="H857" s="3"/>
      <c r="AG857" s="91"/>
    </row>
    <row r="858" ht="15.75" customHeight="1">
      <c r="B858" s="3"/>
      <c r="C858" s="3"/>
      <c r="H858" s="3"/>
      <c r="AG858" s="91"/>
    </row>
    <row r="859" ht="15.75" customHeight="1">
      <c r="B859" s="3"/>
      <c r="C859" s="3"/>
      <c r="H859" s="3"/>
      <c r="AG859" s="91"/>
    </row>
    <row r="860" ht="15.75" customHeight="1">
      <c r="B860" s="3"/>
      <c r="C860" s="3"/>
      <c r="H860" s="3"/>
      <c r="AG860" s="91"/>
    </row>
    <row r="861" ht="15.75" customHeight="1">
      <c r="B861" s="3"/>
      <c r="C861" s="3"/>
      <c r="H861" s="3"/>
      <c r="AG861" s="91"/>
    </row>
    <row r="862" ht="15.75" customHeight="1">
      <c r="B862" s="3"/>
      <c r="C862" s="3"/>
      <c r="H862" s="3"/>
      <c r="AG862" s="91"/>
    </row>
    <row r="863" ht="15.75" customHeight="1">
      <c r="B863" s="3"/>
      <c r="C863" s="3"/>
      <c r="H863" s="3"/>
      <c r="AG863" s="91"/>
    </row>
    <row r="864" ht="15.75" customHeight="1">
      <c r="B864" s="3"/>
      <c r="C864" s="3"/>
      <c r="H864" s="3"/>
      <c r="AG864" s="91"/>
    </row>
    <row r="865" ht="15.75" customHeight="1">
      <c r="B865" s="3"/>
      <c r="C865" s="3"/>
      <c r="H865" s="3"/>
      <c r="AG865" s="91"/>
    </row>
    <row r="866" ht="15.75" customHeight="1">
      <c r="B866" s="3"/>
      <c r="C866" s="3"/>
      <c r="H866" s="3"/>
      <c r="AG866" s="91"/>
    </row>
    <row r="867" ht="15.75" customHeight="1">
      <c r="B867" s="3"/>
      <c r="C867" s="3"/>
      <c r="H867" s="3"/>
      <c r="AG867" s="91"/>
    </row>
    <row r="868" ht="15.75" customHeight="1">
      <c r="B868" s="3"/>
      <c r="C868" s="3"/>
      <c r="H868" s="3"/>
      <c r="AG868" s="91"/>
    </row>
    <row r="869" ht="15.75" customHeight="1">
      <c r="B869" s="3"/>
      <c r="C869" s="3"/>
      <c r="H869" s="3"/>
      <c r="AG869" s="91"/>
    </row>
    <row r="870" ht="15.75" customHeight="1">
      <c r="B870" s="3"/>
      <c r="C870" s="3"/>
      <c r="H870" s="3"/>
      <c r="AG870" s="91"/>
    </row>
    <row r="871" ht="15.75" customHeight="1">
      <c r="B871" s="3"/>
      <c r="C871" s="3"/>
      <c r="H871" s="3"/>
      <c r="AG871" s="91"/>
    </row>
    <row r="872" ht="15.75" customHeight="1">
      <c r="B872" s="3"/>
      <c r="C872" s="3"/>
      <c r="H872" s="3"/>
      <c r="AG872" s="91"/>
    </row>
    <row r="873" ht="15.75" customHeight="1">
      <c r="B873" s="3"/>
      <c r="C873" s="3"/>
      <c r="H873" s="3"/>
      <c r="AG873" s="91"/>
    </row>
    <row r="874" ht="15.75" customHeight="1">
      <c r="B874" s="3"/>
      <c r="C874" s="3"/>
      <c r="H874" s="3"/>
      <c r="AG874" s="91"/>
    </row>
    <row r="875" ht="15.75" customHeight="1">
      <c r="B875" s="3"/>
      <c r="C875" s="3"/>
      <c r="H875" s="3"/>
      <c r="AG875" s="91"/>
    </row>
    <row r="876" ht="15.75" customHeight="1">
      <c r="B876" s="3"/>
      <c r="C876" s="3"/>
      <c r="H876" s="3"/>
      <c r="AG876" s="91"/>
    </row>
    <row r="877" ht="15.75" customHeight="1">
      <c r="B877" s="3"/>
      <c r="C877" s="3"/>
      <c r="H877" s="3"/>
      <c r="AG877" s="91"/>
    </row>
    <row r="878" ht="15.75" customHeight="1">
      <c r="B878" s="3"/>
      <c r="C878" s="3"/>
      <c r="H878" s="3"/>
      <c r="AG878" s="91"/>
    </row>
    <row r="879" ht="15.75" customHeight="1">
      <c r="B879" s="3"/>
      <c r="C879" s="3"/>
      <c r="H879" s="3"/>
      <c r="AG879" s="91"/>
    </row>
    <row r="880" ht="15.75" customHeight="1">
      <c r="B880" s="3"/>
      <c r="C880" s="3"/>
      <c r="H880" s="3"/>
      <c r="AG880" s="91"/>
    </row>
    <row r="881" ht="15.75" customHeight="1">
      <c r="B881" s="3"/>
      <c r="C881" s="3"/>
      <c r="H881" s="3"/>
      <c r="AG881" s="91"/>
    </row>
    <row r="882" ht="15.75" customHeight="1">
      <c r="B882" s="3"/>
      <c r="C882" s="3"/>
      <c r="H882" s="3"/>
      <c r="AG882" s="91"/>
    </row>
    <row r="883" ht="15.75" customHeight="1">
      <c r="B883" s="3"/>
      <c r="C883" s="3"/>
      <c r="H883" s="3"/>
      <c r="AG883" s="91"/>
    </row>
    <row r="884" ht="15.75" customHeight="1">
      <c r="B884" s="3"/>
      <c r="C884" s="3"/>
      <c r="H884" s="3"/>
      <c r="AG884" s="91"/>
    </row>
    <row r="885" ht="15.75" customHeight="1">
      <c r="B885" s="3"/>
      <c r="C885" s="3"/>
      <c r="H885" s="3"/>
      <c r="AG885" s="91"/>
    </row>
    <row r="886" ht="15.75" customHeight="1">
      <c r="B886" s="3"/>
      <c r="C886" s="3"/>
      <c r="H886" s="3"/>
      <c r="AG886" s="91"/>
    </row>
    <row r="887" ht="15.75" customHeight="1">
      <c r="B887" s="3"/>
      <c r="C887" s="3"/>
      <c r="H887" s="3"/>
      <c r="AG887" s="91"/>
    </row>
    <row r="888" ht="15.75" customHeight="1">
      <c r="B888" s="3"/>
      <c r="C888" s="3"/>
      <c r="H888" s="3"/>
      <c r="AG888" s="91"/>
    </row>
    <row r="889" ht="15.75" customHeight="1">
      <c r="B889" s="3"/>
      <c r="C889" s="3"/>
      <c r="H889" s="3"/>
      <c r="AG889" s="91"/>
    </row>
    <row r="890" ht="15.75" customHeight="1">
      <c r="B890" s="3"/>
      <c r="C890" s="3"/>
      <c r="H890" s="3"/>
      <c r="AG890" s="91"/>
    </row>
    <row r="891" ht="15.75" customHeight="1">
      <c r="B891" s="3"/>
      <c r="C891" s="3"/>
      <c r="H891" s="3"/>
      <c r="AG891" s="91"/>
    </row>
    <row r="892" ht="15.75" customHeight="1">
      <c r="B892" s="3"/>
      <c r="C892" s="3"/>
      <c r="H892" s="3"/>
      <c r="AG892" s="91"/>
    </row>
    <row r="893" ht="15.75" customHeight="1">
      <c r="B893" s="3"/>
      <c r="C893" s="3"/>
      <c r="H893" s="3"/>
      <c r="AG893" s="91"/>
    </row>
    <row r="894" ht="15.75" customHeight="1">
      <c r="B894" s="3"/>
      <c r="C894" s="3"/>
      <c r="H894" s="3"/>
      <c r="AG894" s="91"/>
    </row>
    <row r="895" ht="15.75" customHeight="1">
      <c r="B895" s="3"/>
      <c r="C895" s="3"/>
      <c r="H895" s="3"/>
      <c r="AG895" s="91"/>
    </row>
    <row r="896" ht="15.75" customHeight="1">
      <c r="B896" s="3"/>
      <c r="C896" s="3"/>
      <c r="H896" s="3"/>
      <c r="AG896" s="91"/>
    </row>
    <row r="897" ht="15.75" customHeight="1">
      <c r="B897" s="3"/>
      <c r="C897" s="3"/>
      <c r="H897" s="3"/>
      <c r="AG897" s="91"/>
    </row>
    <row r="898" ht="15.75" customHeight="1">
      <c r="B898" s="3"/>
      <c r="C898" s="3"/>
      <c r="H898" s="3"/>
      <c r="AG898" s="91"/>
    </row>
    <row r="899" ht="15.75" customHeight="1">
      <c r="B899" s="3"/>
      <c r="C899" s="3"/>
      <c r="H899" s="3"/>
      <c r="AG899" s="91"/>
    </row>
    <row r="900" ht="15.75" customHeight="1">
      <c r="B900" s="3"/>
      <c r="C900" s="3"/>
      <c r="H900" s="3"/>
      <c r="AG900" s="91"/>
    </row>
    <row r="901" ht="15.75" customHeight="1">
      <c r="B901" s="3"/>
      <c r="C901" s="3"/>
      <c r="H901" s="3"/>
      <c r="AG901" s="91"/>
    </row>
    <row r="902" ht="15.75" customHeight="1">
      <c r="B902" s="3"/>
      <c r="C902" s="3"/>
      <c r="H902" s="3"/>
      <c r="AG902" s="91"/>
    </row>
    <row r="903" ht="15.75" customHeight="1">
      <c r="B903" s="3"/>
      <c r="C903" s="3"/>
      <c r="H903" s="3"/>
      <c r="AG903" s="91"/>
    </row>
    <row r="904" ht="15.75" customHeight="1">
      <c r="B904" s="3"/>
      <c r="C904" s="3"/>
      <c r="H904" s="3"/>
      <c r="AG904" s="91"/>
    </row>
    <row r="905" ht="15.75" customHeight="1">
      <c r="B905" s="3"/>
      <c r="C905" s="3"/>
      <c r="H905" s="3"/>
      <c r="AG905" s="91"/>
    </row>
    <row r="906" ht="15.75" customHeight="1">
      <c r="B906" s="3"/>
      <c r="C906" s="3"/>
      <c r="H906" s="3"/>
      <c r="AG906" s="91"/>
    </row>
    <row r="907" ht="15.75" customHeight="1">
      <c r="B907" s="3"/>
      <c r="C907" s="3"/>
      <c r="H907" s="3"/>
      <c r="AG907" s="91"/>
    </row>
    <row r="908" ht="15.75" customHeight="1">
      <c r="B908" s="3"/>
      <c r="C908" s="3"/>
      <c r="H908" s="3"/>
      <c r="AG908" s="91"/>
    </row>
    <row r="909" ht="15.75" customHeight="1">
      <c r="B909" s="3"/>
      <c r="C909" s="3"/>
      <c r="H909" s="3"/>
      <c r="AG909" s="91"/>
    </row>
    <row r="910" ht="15.75" customHeight="1">
      <c r="B910" s="3"/>
      <c r="C910" s="3"/>
      <c r="H910" s="3"/>
      <c r="AG910" s="91"/>
    </row>
    <row r="911" ht="15.75" customHeight="1">
      <c r="B911" s="3"/>
      <c r="C911" s="3"/>
      <c r="H911" s="3"/>
      <c r="AG911" s="91"/>
    </row>
    <row r="912" ht="15.75" customHeight="1">
      <c r="B912" s="3"/>
      <c r="C912" s="3"/>
      <c r="H912" s="3"/>
      <c r="AG912" s="91"/>
    </row>
    <row r="913" ht="15.75" customHeight="1">
      <c r="B913" s="3"/>
      <c r="C913" s="3"/>
      <c r="H913" s="3"/>
      <c r="AG913" s="91"/>
    </row>
    <row r="914" ht="15.75" customHeight="1">
      <c r="B914" s="3"/>
      <c r="C914" s="3"/>
      <c r="H914" s="3"/>
      <c r="AG914" s="91"/>
    </row>
    <row r="915" ht="15.75" customHeight="1">
      <c r="B915" s="3"/>
      <c r="C915" s="3"/>
      <c r="H915" s="3"/>
      <c r="AG915" s="91"/>
    </row>
    <row r="916" ht="15.75" customHeight="1">
      <c r="B916" s="3"/>
      <c r="C916" s="3"/>
      <c r="H916" s="3"/>
      <c r="AG916" s="91"/>
    </row>
    <row r="917" ht="15.75" customHeight="1">
      <c r="B917" s="3"/>
      <c r="C917" s="3"/>
      <c r="H917" s="3"/>
      <c r="AG917" s="91"/>
    </row>
    <row r="918" ht="15.75" customHeight="1">
      <c r="B918" s="3"/>
      <c r="C918" s="3"/>
      <c r="H918" s="3"/>
      <c r="AG918" s="91"/>
    </row>
    <row r="919" ht="15.75" customHeight="1">
      <c r="B919" s="3"/>
      <c r="C919" s="3"/>
      <c r="H919" s="3"/>
      <c r="AG919" s="91"/>
    </row>
    <row r="920" ht="15.75" customHeight="1">
      <c r="B920" s="3"/>
      <c r="C920" s="3"/>
      <c r="H920" s="3"/>
      <c r="AG920" s="91"/>
    </row>
    <row r="921" ht="15.75" customHeight="1">
      <c r="B921" s="3"/>
      <c r="C921" s="3"/>
      <c r="H921" s="3"/>
      <c r="AG921" s="91"/>
    </row>
    <row r="922" ht="15.75" customHeight="1">
      <c r="B922" s="3"/>
      <c r="C922" s="3"/>
      <c r="H922" s="3"/>
      <c r="AG922" s="91"/>
    </row>
    <row r="923" ht="15.75" customHeight="1">
      <c r="B923" s="3"/>
      <c r="C923" s="3"/>
      <c r="H923" s="3"/>
      <c r="AG923" s="91"/>
    </row>
    <row r="924" ht="15.75" customHeight="1">
      <c r="B924" s="3"/>
      <c r="C924" s="3"/>
      <c r="H924" s="3"/>
      <c r="AG924" s="91"/>
    </row>
    <row r="925" ht="15.75" customHeight="1">
      <c r="B925" s="3"/>
      <c r="C925" s="3"/>
      <c r="H925" s="3"/>
      <c r="AG925" s="91"/>
    </row>
    <row r="926" ht="15.75" customHeight="1">
      <c r="B926" s="3"/>
      <c r="C926" s="3"/>
      <c r="H926" s="3"/>
      <c r="AG926" s="91"/>
    </row>
    <row r="927" ht="15.75" customHeight="1">
      <c r="B927" s="3"/>
      <c r="C927" s="3"/>
      <c r="H927" s="3"/>
      <c r="AG927" s="91"/>
    </row>
    <row r="928" ht="15.75" customHeight="1">
      <c r="B928" s="3"/>
      <c r="C928" s="3"/>
      <c r="H928" s="3"/>
      <c r="AG928" s="91"/>
    </row>
    <row r="929" ht="15.75" customHeight="1">
      <c r="B929" s="3"/>
      <c r="C929" s="3"/>
      <c r="H929" s="3"/>
      <c r="AG929" s="91"/>
    </row>
    <row r="930" ht="15.75" customHeight="1">
      <c r="B930" s="3"/>
      <c r="C930" s="3"/>
      <c r="H930" s="3"/>
      <c r="AG930" s="91"/>
    </row>
    <row r="931" ht="15.75" customHeight="1">
      <c r="B931" s="3"/>
      <c r="C931" s="3"/>
      <c r="H931" s="3"/>
      <c r="AG931" s="91"/>
    </row>
    <row r="932" ht="15.75" customHeight="1">
      <c r="B932" s="3"/>
      <c r="C932" s="3"/>
      <c r="H932" s="3"/>
      <c r="AG932" s="91"/>
    </row>
    <row r="933" ht="15.75" customHeight="1">
      <c r="B933" s="3"/>
      <c r="C933" s="3"/>
      <c r="H933" s="3"/>
      <c r="AG933" s="91"/>
    </row>
    <row r="934" ht="15.75" customHeight="1">
      <c r="B934" s="3"/>
      <c r="C934" s="3"/>
      <c r="H934" s="3"/>
      <c r="AG934" s="91"/>
    </row>
    <row r="935" ht="15.75" customHeight="1">
      <c r="B935" s="3"/>
      <c r="C935" s="3"/>
      <c r="H935" s="3"/>
      <c r="AG935" s="91"/>
    </row>
    <row r="936" ht="15.75" customHeight="1">
      <c r="B936" s="3"/>
      <c r="C936" s="3"/>
      <c r="H936" s="3"/>
      <c r="AG936" s="91"/>
    </row>
    <row r="937" ht="15.75" customHeight="1">
      <c r="B937" s="3"/>
      <c r="C937" s="3"/>
      <c r="H937" s="3"/>
      <c r="AG937" s="91"/>
    </row>
    <row r="938" ht="15.75" customHeight="1">
      <c r="B938" s="3"/>
      <c r="C938" s="3"/>
      <c r="H938" s="3"/>
      <c r="AG938" s="91"/>
    </row>
    <row r="939" ht="15.75" customHeight="1">
      <c r="B939" s="3"/>
      <c r="C939" s="3"/>
      <c r="H939" s="3"/>
      <c r="AG939" s="91"/>
    </row>
    <row r="940" ht="15.75" customHeight="1">
      <c r="B940" s="3"/>
      <c r="C940" s="3"/>
      <c r="H940" s="3"/>
      <c r="AG940" s="91"/>
    </row>
    <row r="941" ht="15.75" customHeight="1">
      <c r="B941" s="3"/>
      <c r="C941" s="3"/>
      <c r="H941" s="3"/>
      <c r="AG941" s="91"/>
    </row>
    <row r="942" ht="15.75" customHeight="1">
      <c r="B942" s="3"/>
      <c r="C942" s="3"/>
      <c r="H942" s="3"/>
      <c r="AG942" s="91"/>
    </row>
    <row r="943" ht="15.75" customHeight="1">
      <c r="B943" s="3"/>
      <c r="C943" s="3"/>
      <c r="H943" s="3"/>
      <c r="AG943" s="91"/>
    </row>
    <row r="944" ht="15.75" customHeight="1">
      <c r="B944" s="3"/>
      <c r="C944" s="3"/>
      <c r="H944" s="3"/>
      <c r="AG944" s="91"/>
    </row>
    <row r="945" ht="15.75" customHeight="1">
      <c r="B945" s="3"/>
      <c r="C945" s="3"/>
      <c r="H945" s="3"/>
      <c r="AG945" s="91"/>
    </row>
    <row r="946" ht="15.75" customHeight="1">
      <c r="B946" s="3"/>
      <c r="C946" s="3"/>
      <c r="H946" s="3"/>
      <c r="AG946" s="91"/>
    </row>
    <row r="947" ht="15.75" customHeight="1">
      <c r="B947" s="3"/>
      <c r="C947" s="3"/>
      <c r="H947" s="3"/>
      <c r="AG947" s="91"/>
    </row>
    <row r="948" ht="15.75" customHeight="1">
      <c r="B948" s="3"/>
      <c r="C948" s="3"/>
      <c r="H948" s="3"/>
      <c r="AG948" s="91"/>
    </row>
    <row r="949" ht="15.75" customHeight="1">
      <c r="B949" s="3"/>
      <c r="C949" s="3"/>
      <c r="H949" s="3"/>
      <c r="AG949" s="91"/>
    </row>
    <row r="950" ht="15.75" customHeight="1">
      <c r="B950" s="3"/>
      <c r="C950" s="3"/>
      <c r="H950" s="3"/>
      <c r="AG950" s="91"/>
    </row>
    <row r="951" ht="15.75" customHeight="1">
      <c r="B951" s="3"/>
      <c r="C951" s="3"/>
      <c r="H951" s="3"/>
      <c r="AG951" s="91"/>
    </row>
    <row r="952" ht="15.75" customHeight="1">
      <c r="B952" s="3"/>
      <c r="C952" s="3"/>
      <c r="H952" s="3"/>
      <c r="AG952" s="91"/>
    </row>
    <row r="953" ht="15.75" customHeight="1">
      <c r="B953" s="3"/>
      <c r="C953" s="3"/>
      <c r="H953" s="3"/>
      <c r="AG953" s="91"/>
    </row>
    <row r="954" ht="15.75" customHeight="1">
      <c r="B954" s="3"/>
      <c r="C954" s="3"/>
      <c r="H954" s="3"/>
      <c r="AG954" s="91"/>
    </row>
    <row r="955" ht="15.75" customHeight="1">
      <c r="B955" s="3"/>
      <c r="C955" s="3"/>
      <c r="H955" s="3"/>
      <c r="AG955" s="91"/>
    </row>
    <row r="956" ht="15.75" customHeight="1">
      <c r="B956" s="3"/>
      <c r="C956" s="3"/>
      <c r="H956" s="3"/>
      <c r="AG956" s="91"/>
    </row>
    <row r="957" ht="15.75" customHeight="1">
      <c r="B957" s="3"/>
      <c r="C957" s="3"/>
      <c r="H957" s="3"/>
      <c r="AG957" s="91"/>
    </row>
    <row r="958" ht="15.75" customHeight="1">
      <c r="B958" s="3"/>
      <c r="C958" s="3"/>
      <c r="H958" s="3"/>
      <c r="AG958" s="91"/>
    </row>
    <row r="959" ht="15.75" customHeight="1">
      <c r="B959" s="3"/>
      <c r="C959" s="3"/>
      <c r="H959" s="3"/>
      <c r="AG959" s="91"/>
    </row>
    <row r="960" ht="15.75" customHeight="1">
      <c r="B960" s="3"/>
      <c r="C960" s="3"/>
      <c r="H960" s="3"/>
      <c r="AG960" s="91"/>
    </row>
    <row r="961" ht="15.75" customHeight="1">
      <c r="B961" s="3"/>
      <c r="C961" s="3"/>
      <c r="H961" s="3"/>
      <c r="AG961" s="91"/>
    </row>
    <row r="962" ht="15.75" customHeight="1">
      <c r="B962" s="3"/>
      <c r="C962" s="3"/>
      <c r="H962" s="3"/>
      <c r="AG962" s="91"/>
    </row>
    <row r="963" ht="15.75" customHeight="1">
      <c r="B963" s="3"/>
      <c r="C963" s="3"/>
      <c r="H963" s="3"/>
      <c r="AG963" s="91"/>
    </row>
    <row r="964" ht="15.75" customHeight="1">
      <c r="B964" s="3"/>
      <c r="C964" s="3"/>
      <c r="H964" s="3"/>
      <c r="AG964" s="91"/>
    </row>
    <row r="965" ht="15.75" customHeight="1">
      <c r="B965" s="3"/>
      <c r="C965" s="3"/>
      <c r="H965" s="3"/>
      <c r="AG965" s="91"/>
    </row>
    <row r="966" ht="15.75" customHeight="1">
      <c r="B966" s="3"/>
      <c r="C966" s="3"/>
      <c r="H966" s="3"/>
      <c r="AG966" s="91"/>
    </row>
    <row r="967" ht="15.75" customHeight="1">
      <c r="B967" s="3"/>
      <c r="C967" s="3"/>
      <c r="H967" s="3"/>
      <c r="AG967" s="91"/>
    </row>
    <row r="968" ht="15.75" customHeight="1">
      <c r="B968" s="3"/>
      <c r="C968" s="3"/>
      <c r="H968" s="3"/>
      <c r="AG968" s="91"/>
    </row>
    <row r="969" ht="15.75" customHeight="1">
      <c r="B969" s="3"/>
      <c r="C969" s="3"/>
      <c r="H969" s="3"/>
      <c r="AG969" s="91"/>
    </row>
    <row r="970" ht="15.75" customHeight="1">
      <c r="B970" s="3"/>
      <c r="C970" s="3"/>
      <c r="H970" s="3"/>
      <c r="AG970" s="91"/>
    </row>
    <row r="971" ht="15.75" customHeight="1">
      <c r="B971" s="3"/>
      <c r="C971" s="3"/>
      <c r="H971" s="3"/>
      <c r="AG971" s="91"/>
    </row>
    <row r="972" ht="15.75" customHeight="1">
      <c r="B972" s="3"/>
      <c r="C972" s="3"/>
      <c r="H972" s="3"/>
      <c r="AG972" s="91"/>
    </row>
    <row r="973" ht="15.75" customHeight="1">
      <c r="B973" s="3"/>
      <c r="C973" s="3"/>
      <c r="H973" s="3"/>
      <c r="AG973" s="91"/>
    </row>
    <row r="974" ht="15.75" customHeight="1">
      <c r="B974" s="3"/>
      <c r="C974" s="3"/>
      <c r="H974" s="3"/>
      <c r="AG974" s="91"/>
    </row>
    <row r="975" ht="15.75" customHeight="1">
      <c r="B975" s="3"/>
      <c r="C975" s="3"/>
      <c r="H975" s="3"/>
      <c r="AG975" s="91"/>
    </row>
    <row r="976" ht="15.75" customHeight="1">
      <c r="B976" s="3"/>
      <c r="C976" s="3"/>
      <c r="H976" s="3"/>
      <c r="AG976" s="91"/>
    </row>
    <row r="977" ht="15.75" customHeight="1">
      <c r="B977" s="3"/>
      <c r="C977" s="3"/>
      <c r="H977" s="3"/>
      <c r="AG977" s="91"/>
    </row>
    <row r="978" ht="15.75" customHeight="1">
      <c r="B978" s="3"/>
      <c r="C978" s="3"/>
      <c r="H978" s="3"/>
      <c r="AG978" s="91"/>
    </row>
    <row r="979" ht="15.75" customHeight="1">
      <c r="B979" s="3"/>
      <c r="C979" s="3"/>
      <c r="H979" s="3"/>
      <c r="AG979" s="91"/>
    </row>
    <row r="980" ht="15.75" customHeight="1">
      <c r="B980" s="3"/>
      <c r="C980" s="3"/>
      <c r="H980" s="3"/>
      <c r="AG980" s="91"/>
    </row>
    <row r="981" ht="15.75" customHeight="1">
      <c r="B981" s="3"/>
      <c r="C981" s="3"/>
      <c r="H981" s="3"/>
      <c r="AG981" s="91"/>
    </row>
    <row r="982" ht="15.75" customHeight="1">
      <c r="B982" s="3"/>
      <c r="C982" s="3"/>
      <c r="H982" s="3"/>
      <c r="AG982" s="91"/>
    </row>
    <row r="983" ht="15.75" customHeight="1">
      <c r="B983" s="3"/>
      <c r="C983" s="3"/>
      <c r="H983" s="3"/>
      <c r="AG983" s="91"/>
    </row>
    <row r="984" ht="15.75" customHeight="1">
      <c r="B984" s="3"/>
      <c r="C984" s="3"/>
      <c r="H984" s="3"/>
      <c r="AG984" s="91"/>
    </row>
    <row r="985" ht="15.75" customHeight="1">
      <c r="B985" s="3"/>
      <c r="C985" s="3"/>
      <c r="H985" s="3"/>
      <c r="AG985" s="91"/>
    </row>
    <row r="986" ht="15.75" customHeight="1">
      <c r="B986" s="3"/>
      <c r="C986" s="3"/>
      <c r="H986" s="3"/>
      <c r="AG986" s="91"/>
    </row>
    <row r="987" ht="15.75" customHeight="1">
      <c r="B987" s="3"/>
      <c r="C987" s="3"/>
      <c r="H987" s="3"/>
      <c r="AG987" s="91"/>
    </row>
    <row r="988" ht="15.75" customHeight="1">
      <c r="B988" s="3"/>
      <c r="C988" s="3"/>
      <c r="H988" s="3"/>
      <c r="AG988" s="91"/>
    </row>
    <row r="989" ht="15.75" customHeight="1">
      <c r="B989" s="3"/>
      <c r="C989" s="3"/>
      <c r="H989" s="3"/>
      <c r="AG989" s="91"/>
    </row>
    <row r="990" ht="15.75" customHeight="1">
      <c r="B990" s="3"/>
      <c r="C990" s="3"/>
      <c r="H990" s="3"/>
      <c r="AG990" s="91"/>
    </row>
    <row r="991" ht="15.75" customHeight="1">
      <c r="B991" s="3"/>
      <c r="C991" s="3"/>
      <c r="H991" s="3"/>
      <c r="AG991" s="91"/>
    </row>
    <row r="992" ht="15.75" customHeight="1">
      <c r="B992" s="3"/>
      <c r="C992" s="3"/>
      <c r="H992" s="3"/>
      <c r="AG992" s="91"/>
    </row>
    <row r="993" ht="15.75" customHeight="1">
      <c r="B993" s="3"/>
      <c r="C993" s="3"/>
      <c r="H993" s="3"/>
      <c r="AG993" s="91"/>
    </row>
    <row r="994" ht="15.75" customHeight="1">
      <c r="B994" s="3"/>
      <c r="C994" s="3"/>
      <c r="H994" s="3"/>
      <c r="AG994" s="91"/>
    </row>
    <row r="995" ht="15.75" customHeight="1">
      <c r="B995" s="3"/>
      <c r="C995" s="3"/>
      <c r="H995" s="3"/>
      <c r="AG995" s="91"/>
    </row>
    <row r="996" ht="15.75" customHeight="1">
      <c r="B996" s="3"/>
      <c r="C996" s="3"/>
      <c r="H996" s="3"/>
      <c r="AG996" s="91"/>
    </row>
    <row r="997" ht="15.75" customHeight="1">
      <c r="B997" s="3"/>
      <c r="C997" s="3"/>
      <c r="H997" s="3"/>
      <c r="AG997" s="91"/>
    </row>
    <row r="998" ht="15.75" customHeight="1">
      <c r="B998" s="3"/>
      <c r="C998" s="3"/>
      <c r="H998" s="3"/>
      <c r="AG998" s="91"/>
    </row>
    <row r="999" ht="15.75" customHeight="1">
      <c r="B999" s="3"/>
      <c r="C999" s="3"/>
      <c r="H999" s="3"/>
      <c r="AG999" s="91"/>
    </row>
    <row r="1000" ht="15.75" customHeight="1">
      <c r="B1000" s="3"/>
      <c r="C1000" s="3"/>
      <c r="H1000" s="3"/>
      <c r="AG1000" s="91"/>
    </row>
  </sheetData>
  <autoFilter ref="$A$3:$AO$87"/>
  <mergeCells count="2">
    <mergeCell ref="AV5:BD5"/>
    <mergeCell ref="AV20:BA20"/>
  </mergeCells>
  <printOptions/>
  <pageMargins bottom="0.75" footer="0.0" header="0.0" left="0.7" right="0.7" top="0.75"/>
  <pageSetup fitToHeight="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43"/>
    <col customWidth="1" min="3" max="3" width="11.71"/>
    <col customWidth="1" min="4" max="4" width="42.57"/>
    <col customWidth="1" min="5" max="5" width="13.14"/>
    <col customWidth="1" min="6" max="6" width="15.29"/>
    <col customWidth="1" min="7" max="7" width="13.29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6.29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3"/>
      <c r="C1" s="3"/>
      <c r="D1" s="97" t="s">
        <v>540</v>
      </c>
      <c r="E1" s="98">
        <f>+AI3</f>
        <v>4738.365</v>
      </c>
      <c r="F1" s="97" t="s">
        <v>241</v>
      </c>
      <c r="G1" s="98">
        <f>+$AM3</f>
        <v>455554.6044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22"/>
      <c r="C2" s="3"/>
      <c r="D2" s="97" t="s">
        <v>242</v>
      </c>
      <c r="E2" s="98">
        <f>+AH3</f>
        <v>4321.235</v>
      </c>
      <c r="F2" s="99" t="s">
        <v>243</v>
      </c>
      <c r="G2" s="100">
        <f>+Q2</f>
        <v>91.47824255</v>
      </c>
      <c r="H2" s="13"/>
      <c r="I2" s="184">
        <f>SUBTOTAL(9,I4:I1019)</f>
        <v>468.81</v>
      </c>
      <c r="J2" s="4"/>
      <c r="K2" s="14">
        <f>SUBTOTAL(9,K4:K1019)</f>
        <v>434.398</v>
      </c>
      <c r="L2" s="126">
        <f>+SUMPRODUCT(L5:L1019,K5:K1019)/K2</f>
        <v>0.3181499431</v>
      </c>
      <c r="M2" s="2"/>
      <c r="O2" s="6"/>
      <c r="P2" s="16">
        <f>+SUMPRODUCT(P4:P1019,AH4:AH1019)/SUM(AH4:AH1019)</f>
        <v>87.33171304</v>
      </c>
      <c r="Q2" s="16">
        <f>+SUMPRODUCT(Q4:Q1019,AH4:AH1019)/SUM(AH4:AH1019)</f>
        <v>91.47824255</v>
      </c>
      <c r="R2" s="12">
        <f>+SUMPRODUCT(R4:R1019,AH4:AH1019)/SUM(AH4:AH1019)</f>
        <v>4282.942345</v>
      </c>
      <c r="S2" s="2"/>
      <c r="AB2" s="7"/>
      <c r="AC2" s="7"/>
      <c r="AD2" s="7"/>
      <c r="AE2" s="7"/>
      <c r="AF2" s="7"/>
      <c r="AG2" s="17">
        <f>SUMPRODUCT($AG4:$AG1019,$K4:$K1019)/SUM($K4:$K1019)</f>
        <v>169.123854</v>
      </c>
      <c r="AH2" s="18"/>
      <c r="AI2" s="2"/>
      <c r="AJ2" s="19">
        <v>4460.0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3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SUBTOTAL(9,AH4:AH1019)</f>
        <v>4321.235</v>
      </c>
      <c r="AI3" s="186">
        <f t="shared" si="1"/>
        <v>4738.365</v>
      </c>
      <c r="AJ3" s="187">
        <f>SUMPRODUCT(K4:K1019,AJ4:AJ1019)/K2</f>
        <v>92.32391734</v>
      </c>
      <c r="AK3" s="39">
        <f>SUBTOTAL(9,AK4:AK1019)</f>
        <v>3950.003899</v>
      </c>
      <c r="AL3" s="11"/>
      <c r="AM3" s="39">
        <f>SUBTOTAL(9,AM4:AM1019)</f>
        <v>455554.6044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3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16" t="s">
        <v>2366</v>
      </c>
      <c r="B5" s="182">
        <v>46005.0</v>
      </c>
      <c r="C5" s="182">
        <v>45996.0</v>
      </c>
      <c r="D5" s="57" t="s">
        <v>295</v>
      </c>
      <c r="E5" s="3">
        <f t="array" ref="E5">XLOOKUP(D5,RUC!$B$3:$B$110,RUC!$D$3:$D$110)</f>
        <v>20601769396</v>
      </c>
      <c r="G5" s="141">
        <v>69.0</v>
      </c>
      <c r="H5" s="3" t="s">
        <v>40</v>
      </c>
      <c r="I5" s="6">
        <v>3.56</v>
      </c>
      <c r="J5" s="58">
        <v>4.3</v>
      </c>
      <c r="K5" s="6">
        <f t="shared" ref="K5:K70" si="2">ROUND(+I5-(I5*(J5/100)),3)</f>
        <v>3.407</v>
      </c>
      <c r="L5" s="141">
        <v>0.792</v>
      </c>
      <c r="M5" s="60">
        <v>0.741</v>
      </c>
      <c r="N5" s="75">
        <v>0.854</v>
      </c>
      <c r="O5" s="61">
        <v>0.8</v>
      </c>
      <c r="P5" s="63">
        <v>90.0</v>
      </c>
      <c r="Q5" s="58">
        <v>98.35</v>
      </c>
      <c r="R5" s="65">
        <v>4243.0</v>
      </c>
      <c r="S5" s="66">
        <f t="array" ref="S5">IF((XLOOKUP(D5,RUC!$B$3:$B$106,RUC!$E$3:$E$106)+ROUNDDOWN(O5,1)*100)&lt;95,95,((XLOOKUP(D5,RUC!$B$3:$B$106,RUC!$E$3:$E$106)+ROUNDDOWN(O5,1)*100)))</f>
        <v>170</v>
      </c>
      <c r="U5" s="67">
        <f t="array" ref="U5">XLOOKUP(D5,RUC!$B$3:$B$110,RUC!$F$3:$F$110)</f>
        <v>120</v>
      </c>
      <c r="V5" s="67">
        <v>1.1023</v>
      </c>
      <c r="Y5" s="199">
        <v>40.0</v>
      </c>
      <c r="Z5" s="69">
        <f t="array" ref="Z5">XLOOKUP(D5,RUC!$B$3:$B$110,RUC!$H$3:$H$110)</f>
        <v>30</v>
      </c>
      <c r="AA5" s="70">
        <f t="shared" ref="AA5:AA70" si="3">+Y5+Z5</f>
        <v>70</v>
      </c>
      <c r="AB5" s="71">
        <f t="shared" ref="AB5:AB28" si="4">+((O5*P5*(R5-U5)/100)-S5-AA5+T5)*V5</f>
        <v>3007.691688</v>
      </c>
      <c r="AC5" s="71">
        <f>+(S5-T5)*V5-'data 1'!$F$4</f>
        <v>107.391</v>
      </c>
      <c r="AD5" s="71">
        <f t="shared" ref="AD5:AD70" si="5">+(Q5-P5)*(R5-U5)*L5*V5/100</f>
        <v>300.5555827</v>
      </c>
      <c r="AE5" s="71">
        <f t="shared" ref="AE5:AE70" si="6">+(Y5*V5-70)+V5*(Z5-IF(D5="UNTUCA",IF(+((W5-3)*2.5+(X5-3)*3.1)&gt;0,+((W5-3)*1.5+(X5-3)*3.1),0),IF(+((W5-3)*1.5+(X5-3)*3.1)&gt;0,+((W5-3)*1.5+(X5-3)*3.1),0)))</f>
        <v>7.161</v>
      </c>
      <c r="AF5" s="71">
        <f t="shared" ref="AF5:AF70" si="7">(L5-O5)*(R5-U5)*Q5*V5/100</f>
        <v>-35.75835186</v>
      </c>
      <c r="AG5" s="72">
        <f t="shared" ref="AG5:AG25" si="8">AC5+AD5+AE5+AF5+70-53</f>
        <v>396.3492309</v>
      </c>
      <c r="AH5" s="193">
        <f t="shared" ref="AH5:AH70" si="9">ROUND((31.1035*L5*Q5*1.1023*K5/100),3)</f>
        <v>90.987</v>
      </c>
      <c r="AI5" s="193">
        <f t="shared" ref="AI5:AI70" si="10">ROUND((31.1035*L5*1.1023*K5),3)</f>
        <v>92.514</v>
      </c>
      <c r="AJ5" s="73">
        <f t="shared" ref="AJ5:AJ70" si="11">+((+$AJ$2-R5+U5)*L5*Q5*V5)/100</f>
        <v>289.3538426</v>
      </c>
      <c r="AK5" s="73">
        <f t="shared" ref="AK5:AK70" si="12">31.1035*1.1023*K5*P5*O5/100</f>
        <v>84.1034283</v>
      </c>
      <c r="AM5" s="51">
        <f t="shared" ref="AM5:AM70" si="13">+IF(AB5*K5&gt;0,AB5*K5,0)</f>
        <v>10247.20558</v>
      </c>
      <c r="AN5" s="51" t="str">
        <f t="array" ref="AN5">XLOOKUP(D5,RUC!$B$3:$B$565,RUC!$M$3:$M$565)</f>
        <v>Evelyn</v>
      </c>
      <c r="AO5" s="131" t="s">
        <v>558</v>
      </c>
      <c r="AP5" s="57" t="s">
        <v>2341</v>
      </c>
      <c r="AQ5" s="57" t="s">
        <v>2342</v>
      </c>
      <c r="AR5" s="57" t="s">
        <v>2367</v>
      </c>
      <c r="AV5" s="149" t="s">
        <v>2368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16" t="s">
        <v>2369</v>
      </c>
      <c r="B6" s="182">
        <v>46000.0</v>
      </c>
      <c r="C6" s="182">
        <v>45996.0</v>
      </c>
      <c r="D6" s="57" t="s">
        <v>602</v>
      </c>
      <c r="E6" s="3">
        <f t="array" ref="E6">XLOOKUP(D6,RUC!$B$3:$B$110,RUC!$D$3:$D$110)</f>
        <v>20169040231</v>
      </c>
      <c r="G6" s="141">
        <v>21.0</v>
      </c>
      <c r="H6" s="3" t="s">
        <v>47</v>
      </c>
      <c r="I6" s="6">
        <v>1.87</v>
      </c>
      <c r="J6" s="58">
        <v>1.4</v>
      </c>
      <c r="K6" s="6">
        <f t="shared" si="2"/>
        <v>1.844</v>
      </c>
      <c r="L6" s="141">
        <v>0.218</v>
      </c>
      <c r="M6" s="60">
        <f t="shared" ref="M6:M14" si="15">ROUND(+IF(AN6="Melchor Vera",IF(L6&gt;0.467,L6*0.985,(L6-0.007)),IF(L6&gt;0.3,L6*0.94,(L6-0.018))),3)</f>
        <v>0.2</v>
      </c>
      <c r="N6" s="62">
        <f t="shared" ref="N6:N15" si="16">+M6</f>
        <v>0.2</v>
      </c>
      <c r="O6" s="60">
        <f t="shared" ref="O6:O32" si="17">+ROUND((M6+N6)/2,3)</f>
        <v>0.2</v>
      </c>
      <c r="P6" s="63">
        <v>90.0</v>
      </c>
      <c r="Q6" s="58">
        <v>96.79</v>
      </c>
      <c r="R6" s="65">
        <v>4243.0</v>
      </c>
      <c r="S6" s="66">
        <f t="array" ref="S6">IF((XLOOKUP(D6,RUC!$B$3:$B$106,RUC!$E$3:$E$106)+ROUNDDOWN(O6,1)*100)&lt;95,95,((XLOOKUP(D6,RUC!$B$3:$B$106,RUC!$E$3:$E$106)+ROUNDDOWN(O6,1)*100)))</f>
        <v>105</v>
      </c>
      <c r="U6" s="67">
        <f t="array" ref="U6">XLOOKUP(D6,RUC!$B$3:$B$110,RUC!$F$3:$F$110)</f>
        <v>120</v>
      </c>
      <c r="V6" s="67">
        <v>1.1023</v>
      </c>
      <c r="Y6" s="57">
        <f t="array" ref="Y6">XLOOKUP(D6,RUC!$B$3:$B$110,RUC!$G$3:$G$110)</f>
        <v>20</v>
      </c>
      <c r="Z6" s="140">
        <v>35.0</v>
      </c>
      <c r="AA6" s="70">
        <f t="shared" si="3"/>
        <v>55</v>
      </c>
      <c r="AB6" s="71">
        <f t="shared" si="4"/>
        <v>641.692922</v>
      </c>
      <c r="AC6" s="71">
        <f>+(S6-T6)*V6-'data 1'!$F$4</f>
        <v>35.7415</v>
      </c>
      <c r="AD6" s="71">
        <f t="shared" si="5"/>
        <v>67.27278544</v>
      </c>
      <c r="AE6" s="71">
        <f t="shared" si="6"/>
        <v>-9.3735</v>
      </c>
      <c r="AF6" s="71">
        <f t="shared" si="7"/>
        <v>79.18011664</v>
      </c>
      <c r="AG6" s="72">
        <f t="shared" si="8"/>
        <v>189.8209021</v>
      </c>
      <c r="AH6" s="193">
        <f t="shared" si="9"/>
        <v>13.34</v>
      </c>
      <c r="AI6" s="193">
        <f t="shared" si="10"/>
        <v>13.782</v>
      </c>
      <c r="AJ6" s="73">
        <f t="shared" si="11"/>
        <v>78.38206335</v>
      </c>
      <c r="AK6" s="73">
        <f t="shared" si="12"/>
        <v>11.380006</v>
      </c>
      <c r="AM6" s="51">
        <f t="shared" si="13"/>
        <v>1183.281748</v>
      </c>
      <c r="AN6" s="51" t="str">
        <f t="array" ref="AN6">XLOOKUP(D6,RUC!$B$3:$B$565,RUC!$M$3:$M$565)</f>
        <v>Ronald Miranda</v>
      </c>
      <c r="AO6" s="131" t="s">
        <v>558</v>
      </c>
      <c r="AP6" s="57" t="s">
        <v>2338</v>
      </c>
      <c r="AQ6" s="57" t="s">
        <v>2339</v>
      </c>
      <c r="AW6" s="195">
        <f>SUM(AW8:AW17)</f>
        <v>434.398</v>
      </c>
      <c r="AX6" s="196">
        <f>SUMPRODUCT(AW8:AW17,AX8:AX17)/SUM(AW8:AW17)</f>
        <v>0.3181499431</v>
      </c>
      <c r="AY6" s="197"/>
      <c r="AZ6" s="198">
        <f>SUMPRODUCT(AZ8:AZ17,$BB8:$BB17)/SUM($BB8:$BB17)/100</f>
        <v>0.9147824255</v>
      </c>
      <c r="BA6" s="82">
        <f t="shared" ref="BA6:BB6" si="14">SUM(BA8:BA17)</f>
        <v>4738.36745</v>
      </c>
      <c r="BB6" s="82">
        <f t="shared" si="14"/>
        <v>4321.235</v>
      </c>
    </row>
    <row r="7" ht="15.0" customHeight="1">
      <c r="A7" s="192" t="s">
        <v>2370</v>
      </c>
      <c r="B7" s="3"/>
      <c r="C7" s="182">
        <v>45996.0</v>
      </c>
      <c r="D7" s="57" t="s">
        <v>295</v>
      </c>
      <c r="E7" s="3">
        <f t="array" ref="E7">XLOOKUP(D7,RUC!$B$3:$B$110,RUC!$D$3:$D$110)</f>
        <v>20601769396</v>
      </c>
      <c r="G7" s="141">
        <v>51.0</v>
      </c>
      <c r="H7" s="3" t="s">
        <v>40</v>
      </c>
      <c r="I7" s="6">
        <v>3.54</v>
      </c>
      <c r="J7" s="58">
        <v>16.5</v>
      </c>
      <c r="K7" s="6">
        <f t="shared" si="2"/>
        <v>2.956</v>
      </c>
      <c r="L7" s="141">
        <v>0.064</v>
      </c>
      <c r="M7" s="60">
        <f t="shared" si="15"/>
        <v>0.046</v>
      </c>
      <c r="N7" s="62">
        <f t="shared" si="16"/>
        <v>0.046</v>
      </c>
      <c r="O7" s="60">
        <f t="shared" si="17"/>
        <v>0.046</v>
      </c>
      <c r="P7" s="63">
        <v>80.0</v>
      </c>
      <c r="Q7" s="58">
        <v>95.45</v>
      </c>
      <c r="R7" s="65">
        <v>4243.0</v>
      </c>
      <c r="S7" s="66">
        <f t="array" ref="S7">IF((XLOOKUP(D7,RUC!$B$3:$B$106,RUC!$E$3:$E$106)+ROUNDDOWN(O7,1)*100)&lt;95,95,((XLOOKUP(D7,RUC!$B$3:$B$106,RUC!$E$3:$E$106)+ROUNDDOWN(O7,1)*100)))</f>
        <v>95</v>
      </c>
      <c r="U7" s="67">
        <f t="array" ref="U7">XLOOKUP(D7,RUC!$B$3:$B$110,RUC!$F$3:$F$110)</f>
        <v>120</v>
      </c>
      <c r="V7" s="67">
        <v>1.1023</v>
      </c>
      <c r="Y7" s="57">
        <f t="array" ref="Y7">XLOOKUP(D7,RUC!$B$3:$B$110,RUC!$G$3:$G$110)</f>
        <v>20</v>
      </c>
      <c r="Z7" s="69">
        <f t="array" ref="Z7">XLOOKUP(D7,RUC!$B$3:$B$110,RUC!$H$3:$H$110)</f>
        <v>30</v>
      </c>
      <c r="AA7" s="70">
        <f t="shared" si="3"/>
        <v>50</v>
      </c>
      <c r="AB7" s="71">
        <f t="shared" si="4"/>
        <v>7.41451072</v>
      </c>
      <c r="AC7" s="71">
        <f>+(S7-T7)*V7-'data 1'!$F$4</f>
        <v>24.7185</v>
      </c>
      <c r="AD7" s="71">
        <f t="shared" si="5"/>
        <v>44.93881332</v>
      </c>
      <c r="AE7" s="71">
        <f t="shared" si="6"/>
        <v>-14.885</v>
      </c>
      <c r="AF7" s="71">
        <f t="shared" si="7"/>
        <v>78.083915</v>
      </c>
      <c r="AG7" s="72">
        <f t="shared" si="8"/>
        <v>149.8562283</v>
      </c>
      <c r="AH7" s="193">
        <f t="shared" si="9"/>
        <v>6.191</v>
      </c>
      <c r="AI7" s="193">
        <f t="shared" si="10"/>
        <v>6.486</v>
      </c>
      <c r="AJ7" s="73">
        <f t="shared" si="11"/>
        <v>22.69267091</v>
      </c>
      <c r="AK7" s="73">
        <f t="shared" si="12"/>
        <v>3.72959194</v>
      </c>
      <c r="AM7" s="51">
        <f t="shared" si="13"/>
        <v>21.91729369</v>
      </c>
      <c r="AN7" s="51" t="str">
        <f t="array" ref="AN7">XLOOKUP(D7,RUC!$B$3:$B$565,RUC!$M$3:$M$565)</f>
        <v>Evelyn</v>
      </c>
      <c r="AO7" s="131" t="s">
        <v>547</v>
      </c>
      <c r="AP7" s="57" t="s">
        <v>2341</v>
      </c>
      <c r="AQ7" s="57" t="s">
        <v>2342</v>
      </c>
      <c r="AV7" s="3"/>
      <c r="AW7" s="3" t="s">
        <v>14</v>
      </c>
      <c r="AX7" s="3" t="s">
        <v>683</v>
      </c>
      <c r="AY7" s="143" t="s">
        <v>683</v>
      </c>
      <c r="AZ7" s="3" t="s">
        <v>685</v>
      </c>
      <c r="BA7" s="3" t="s">
        <v>686</v>
      </c>
      <c r="BB7" s="3" t="s">
        <v>687</v>
      </c>
      <c r="BC7" s="3" t="s">
        <v>698</v>
      </c>
      <c r="BD7" s="65" t="s">
        <v>699</v>
      </c>
    </row>
    <row r="8" ht="15.0" customHeight="1">
      <c r="A8" s="192" t="s">
        <v>2371</v>
      </c>
      <c r="B8" s="3"/>
      <c r="C8" s="182">
        <v>45996.0</v>
      </c>
      <c r="D8" s="57" t="s">
        <v>295</v>
      </c>
      <c r="E8" s="3">
        <f t="array" ref="E8">XLOOKUP(D8,RUC!$B$3:$B$110,RUC!$D$3:$D$110)</f>
        <v>20601769396</v>
      </c>
      <c r="G8" s="141">
        <v>52.0</v>
      </c>
      <c r="H8" s="3" t="s">
        <v>40</v>
      </c>
      <c r="I8" s="6">
        <v>3.62</v>
      </c>
      <c r="J8" s="58">
        <v>21.2</v>
      </c>
      <c r="K8" s="6">
        <f t="shared" si="2"/>
        <v>2.853</v>
      </c>
      <c r="L8" s="141">
        <v>0.051</v>
      </c>
      <c r="M8" s="60">
        <f t="shared" si="15"/>
        <v>0.033</v>
      </c>
      <c r="N8" s="62">
        <f t="shared" si="16"/>
        <v>0.033</v>
      </c>
      <c r="O8" s="60">
        <f t="shared" si="17"/>
        <v>0.033</v>
      </c>
      <c r="P8" s="63">
        <v>80.0</v>
      </c>
      <c r="Q8" s="130">
        <v>83.02</v>
      </c>
      <c r="R8" s="65">
        <v>4243.0</v>
      </c>
      <c r="S8" s="66">
        <f t="array" ref="S8">IF((XLOOKUP(D8,RUC!$B$3:$B$106,RUC!$E$3:$E$106)+ROUNDDOWN(O8,1)*100)&lt;95,95,((XLOOKUP(D8,RUC!$B$3:$B$106,RUC!$E$3:$E$106)+ROUNDDOWN(O8,1)*100)))</f>
        <v>95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69">
        <f t="array" ref="Z8">XLOOKUP(D8,RUC!$B$3:$B$110,RUC!$H$3:$H$110)</f>
        <v>30</v>
      </c>
      <c r="AA8" s="70">
        <f t="shared" si="3"/>
        <v>50</v>
      </c>
      <c r="AB8" s="71">
        <f t="shared" si="4"/>
        <v>-39.85123144</v>
      </c>
      <c r="AC8" s="71">
        <f>+(S8-T8)*V8-'data 1'!$F$4</f>
        <v>24.7185</v>
      </c>
      <c r="AD8" s="71">
        <f t="shared" si="5"/>
        <v>6.999874623</v>
      </c>
      <c r="AE8" s="71">
        <f t="shared" si="6"/>
        <v>-14.885</v>
      </c>
      <c r="AF8" s="71">
        <f t="shared" si="7"/>
        <v>67.91541774</v>
      </c>
      <c r="AG8" s="72">
        <f t="shared" si="8"/>
        <v>101.7487924</v>
      </c>
      <c r="AH8" s="193">
        <f t="shared" si="9"/>
        <v>4.142</v>
      </c>
      <c r="AI8" s="193">
        <f t="shared" si="10"/>
        <v>4.989</v>
      </c>
      <c r="AJ8" s="73">
        <f t="shared" si="11"/>
        <v>15.72833003</v>
      </c>
      <c r="AK8" s="73">
        <f t="shared" si="12"/>
        <v>2.582348</v>
      </c>
      <c r="AM8" s="51">
        <f t="shared" si="13"/>
        <v>0</v>
      </c>
      <c r="AN8" s="51" t="str">
        <f t="array" ref="AN8">XLOOKUP(D8,RUC!$B$3:$B$565,RUC!$M$3:$M$565)</f>
        <v>Evelyn</v>
      </c>
      <c r="AO8" s="131" t="s">
        <v>547</v>
      </c>
      <c r="AP8" s="57" t="s">
        <v>2341</v>
      </c>
      <c r="AQ8" s="57" t="s">
        <v>2342</v>
      </c>
      <c r="AV8" s="152" t="s">
        <v>558</v>
      </c>
      <c r="AW8" s="154">
        <f t="shared" ref="AW8:AW17" si="18">SUMIF($AO$4:$AO$1127,AV8,$K$4:$K$1127)</f>
        <v>156.99</v>
      </c>
      <c r="AX8" s="154">
        <f t="array" ref="AX8">+SUMPRODUCT(IF($AO$4:$AO$1127=AV8,$L$4:$L$1127*$K$4:$K$1127/AW8))</f>
        <v>0.3081689534</v>
      </c>
      <c r="AY8" s="155">
        <f t="shared" ref="AY8:AY17" si="19">31.1035*1.1023*AX8*(100-AZ8)/100</f>
        <v>1.034974333</v>
      </c>
      <c r="AZ8" s="157">
        <f t="array" ref="AZ8">+SUMPRODUCT(IF($AO$4:$AO$1127=AV8,($Q$4:$Q$1127*$AH$4:$AH$1127)/SUMIF($AO$4:$AO$1127,$AV8,$AH$4:$AH$1127)))</f>
        <v>90.20438682</v>
      </c>
      <c r="BA8" s="200">
        <f t="shared" ref="BA8:BA17" si="20">+AX8*31.1035*1.1023*AW8</f>
        <v>1658.708011</v>
      </c>
      <c r="BB8" s="156">
        <f t="shared" ref="BB8:BB17" si="21">SUMIF($AO$4:$AO$227,$AV8,$AH$4:$AH$227)</f>
        <v>1489.212</v>
      </c>
      <c r="BC8" s="157">
        <f>+BA8-BB8</f>
        <v>169.4960112</v>
      </c>
      <c r="BD8" s="158">
        <f>+AW8</f>
        <v>156.99</v>
      </c>
    </row>
    <row r="9" ht="15.0" customHeight="1">
      <c r="A9" s="192" t="s">
        <v>2372</v>
      </c>
      <c r="B9" s="3"/>
      <c r="C9" s="182">
        <v>45996.0</v>
      </c>
      <c r="D9" s="57" t="s">
        <v>295</v>
      </c>
      <c r="E9" s="3">
        <f t="array" ref="E9">XLOOKUP(D9,RUC!$B$3:$B$110,RUC!$D$3:$D$110)</f>
        <v>20601769396</v>
      </c>
      <c r="G9" s="141">
        <v>52.0</v>
      </c>
      <c r="H9" s="3" t="s">
        <v>40</v>
      </c>
      <c r="I9" s="6">
        <v>3.56</v>
      </c>
      <c r="J9" s="58">
        <v>24.2</v>
      </c>
      <c r="K9" s="6">
        <f t="shared" si="2"/>
        <v>2.698</v>
      </c>
      <c r="L9" s="141">
        <v>0.059</v>
      </c>
      <c r="M9" s="60">
        <f t="shared" si="15"/>
        <v>0.041</v>
      </c>
      <c r="N9" s="62">
        <f t="shared" si="16"/>
        <v>0.041</v>
      </c>
      <c r="O9" s="60">
        <f t="shared" si="17"/>
        <v>0.041</v>
      </c>
      <c r="P9" s="63">
        <v>80.0</v>
      </c>
      <c r="Q9" s="58">
        <v>90.32</v>
      </c>
      <c r="R9" s="65">
        <v>4243.0</v>
      </c>
      <c r="S9" s="66">
        <f t="array" ref="S9">IF((XLOOKUP(D9,RUC!$B$3:$B$106,RUC!$E$3:$E$106)+ROUNDDOWN(O9,1)*100)&lt;95,95,((XLOOKUP(D9,RUC!$B$3:$B$106,RUC!$E$3:$E$106)+ROUNDDOWN(O9,1)*100)))</f>
        <v>95</v>
      </c>
      <c r="U9" s="67">
        <f t="array" ref="U9">XLOOKUP(D9,RUC!$B$3:$B$110,RUC!$F$3:$F$110)</f>
        <v>120</v>
      </c>
      <c r="V9" s="67">
        <v>1.1023</v>
      </c>
      <c r="Y9" s="57">
        <f t="array" ref="Y9">XLOOKUP(D9,RUC!$B$3:$B$110,RUC!$G$3:$G$110)</f>
        <v>20</v>
      </c>
      <c r="Z9" s="69">
        <f t="array" ref="Z9">XLOOKUP(D9,RUC!$B$3:$B$110,RUC!$H$3:$H$110)</f>
        <v>30</v>
      </c>
      <c r="AA9" s="70">
        <f t="shared" si="3"/>
        <v>50</v>
      </c>
      <c r="AB9" s="71">
        <f t="shared" si="4"/>
        <v>-10.76462088</v>
      </c>
      <c r="AC9" s="71">
        <f>+(S9-T9)*V9-'data 1'!$F$4</f>
        <v>24.7185</v>
      </c>
      <c r="AD9" s="71">
        <f t="shared" si="5"/>
        <v>27.67227412</v>
      </c>
      <c r="AE9" s="71">
        <f t="shared" si="6"/>
        <v>-14.885</v>
      </c>
      <c r="AF9" s="71">
        <f t="shared" si="7"/>
        <v>73.88726248</v>
      </c>
      <c r="AG9" s="72">
        <f t="shared" si="8"/>
        <v>128.3930366</v>
      </c>
      <c r="AH9" s="193">
        <f t="shared" si="9"/>
        <v>4.929</v>
      </c>
      <c r="AI9" s="193">
        <f t="shared" si="10"/>
        <v>5.458</v>
      </c>
      <c r="AJ9" s="73">
        <f t="shared" si="11"/>
        <v>19.79546231</v>
      </c>
      <c r="AK9" s="73">
        <f t="shared" si="12"/>
        <v>3.034064844</v>
      </c>
      <c r="AM9" s="51">
        <f t="shared" si="13"/>
        <v>0</v>
      </c>
      <c r="AN9" s="51" t="str">
        <f t="array" ref="AN9">XLOOKUP(D9,RUC!$B$3:$B$565,RUC!$M$3:$M$565)</f>
        <v>Evelyn</v>
      </c>
      <c r="AO9" s="131" t="s">
        <v>547</v>
      </c>
      <c r="AP9" s="57" t="s">
        <v>2341</v>
      </c>
      <c r="AQ9" s="57" t="s">
        <v>2342</v>
      </c>
      <c r="AV9" s="160" t="s">
        <v>551</v>
      </c>
      <c r="AW9" s="6">
        <f t="shared" si="18"/>
        <v>152.89</v>
      </c>
      <c r="AX9" s="6">
        <f t="array" ref="AX9">+SUMPRODUCT(IF($AO$4:$AO$1127=AV9,$L$4:$L$1127*$K$4:$K$1127/AW9))</f>
        <v>0.3181003401</v>
      </c>
      <c r="AY9" s="145">
        <f t="shared" si="19"/>
        <v>1.123023316</v>
      </c>
      <c r="AZ9" s="58">
        <f t="array" ref="AZ9">+SUMPRODUCT(IF($AO$4:$AO$1127=AV9,($Q$4:$Q$1127*$AH$4:$AH$1127)/SUMIF($AO$4:$AO$1127,$AV9,$AH$4:$AH$1127)))</f>
        <v>89.70288483</v>
      </c>
      <c r="BA9" s="5">
        <f t="shared" si="20"/>
        <v>1667.447939</v>
      </c>
      <c r="BB9" s="65">
        <f t="shared" si="21"/>
        <v>1493.209</v>
      </c>
      <c r="BC9" s="58">
        <f t="shared" ref="BC9:BC17" si="22">+BC8+BA9-BB9</f>
        <v>343.7349506</v>
      </c>
      <c r="BD9" s="161">
        <f t="shared" ref="BD9:BD17" si="23">+BD8+AW9</f>
        <v>309.88</v>
      </c>
    </row>
    <row r="10" ht="15.0" customHeight="1">
      <c r="A10" s="116" t="s">
        <v>2373</v>
      </c>
      <c r="B10" s="182">
        <v>46005.0</v>
      </c>
      <c r="C10" s="182">
        <v>45996.0</v>
      </c>
      <c r="D10" s="57" t="s">
        <v>295</v>
      </c>
      <c r="E10" s="3">
        <f t="array" ref="E10">XLOOKUP(D10,RUC!$B$3:$B$110,RUC!$D$3:$D$110)</f>
        <v>20601769396</v>
      </c>
      <c r="G10" s="141">
        <v>51.0</v>
      </c>
      <c r="H10" s="3" t="s">
        <v>47</v>
      </c>
      <c r="I10" s="6">
        <v>4.48</v>
      </c>
      <c r="J10" s="58">
        <v>8.5</v>
      </c>
      <c r="K10" s="6">
        <f t="shared" si="2"/>
        <v>4.099</v>
      </c>
      <c r="L10" s="141">
        <v>0.149</v>
      </c>
      <c r="M10" s="60">
        <f t="shared" si="15"/>
        <v>0.131</v>
      </c>
      <c r="N10" s="62">
        <f t="shared" si="16"/>
        <v>0.131</v>
      </c>
      <c r="O10" s="60">
        <f t="shared" si="17"/>
        <v>0.131</v>
      </c>
      <c r="P10" s="63">
        <v>74.0</v>
      </c>
      <c r="Q10" s="130">
        <v>74.5</v>
      </c>
      <c r="R10" s="65">
        <v>4243.0</v>
      </c>
      <c r="S10" s="66">
        <f t="array" ref="S10">IF((XLOOKUP(D10,RUC!$B$3:$B$106,RUC!$E$3:$E$106)+ROUNDDOWN(O10,1)*100)&lt;95,95,((XLOOKUP(D10,RUC!$B$3:$B$106,RUC!$E$3:$E$106)+ROUNDDOWN(O10,1)*100)))</f>
        <v>100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69">
        <f t="array" ref="Z10">XLOOKUP(D10,RUC!$B$3:$B$110,RUC!$H$3:$H$110)</f>
        <v>30</v>
      </c>
      <c r="AA10" s="70">
        <f t="shared" si="3"/>
        <v>50</v>
      </c>
      <c r="AB10" s="71">
        <f t="shared" si="4"/>
        <v>275.2262543</v>
      </c>
      <c r="AC10" s="71">
        <f>+(S10-T10)*V10-'data 1'!$F$4</f>
        <v>30.23</v>
      </c>
      <c r="AD10" s="71">
        <f t="shared" si="5"/>
        <v>3.385863261</v>
      </c>
      <c r="AE10" s="71">
        <f t="shared" si="6"/>
        <v>-14.885</v>
      </c>
      <c r="AF10" s="71">
        <f t="shared" si="7"/>
        <v>60.94553869</v>
      </c>
      <c r="AG10" s="72">
        <f t="shared" si="8"/>
        <v>96.67640195</v>
      </c>
      <c r="AH10" s="193">
        <f t="shared" si="9"/>
        <v>15.6</v>
      </c>
      <c r="AI10" s="193">
        <f t="shared" si="10"/>
        <v>20.94</v>
      </c>
      <c r="AJ10" s="73">
        <f t="shared" si="11"/>
        <v>41.23559348</v>
      </c>
      <c r="AK10" s="73">
        <f t="shared" si="12"/>
        <v>13.623541</v>
      </c>
      <c r="AM10" s="51">
        <f t="shared" si="13"/>
        <v>1128.152416</v>
      </c>
      <c r="AN10" s="51" t="str">
        <f t="array" ref="AN10">XLOOKUP(D10,RUC!$B$3:$B$565,RUC!$M$3:$M$565)</f>
        <v>Evelyn</v>
      </c>
      <c r="AO10" s="131" t="s">
        <v>558</v>
      </c>
      <c r="AP10" s="57" t="s">
        <v>2341</v>
      </c>
      <c r="AQ10" s="57" t="s">
        <v>2342</v>
      </c>
      <c r="AV10" s="160" t="s">
        <v>547</v>
      </c>
      <c r="AW10" s="6">
        <f t="shared" si="18"/>
        <v>124.518</v>
      </c>
      <c r="AX10" s="6">
        <f t="array" ref="AX10">+SUMPRODUCT(IF($AO$4:$AO$1127=AV10,$L$4:$L$1127*$K$4:$K$1127/AW10))</f>
        <v>0.3307946963</v>
      </c>
      <c r="AY10" s="145">
        <f t="shared" si="19"/>
        <v>0.5812145516</v>
      </c>
      <c r="AZ10" s="58">
        <f t="array" ref="AZ10">+SUMPRODUCT(IF($AO$4:$AO$1127=AV10,($Q$4:$Q$1127*$AH$4:$AH$1127)/SUMIF($AO$4:$AO$1127,$AV10,$AH$4:$AH$1127)))</f>
        <v>94.87529498</v>
      </c>
      <c r="BA10" s="65">
        <f t="shared" si="20"/>
        <v>1412.2115</v>
      </c>
      <c r="BB10" s="65">
        <f t="shared" si="21"/>
        <v>1338.814</v>
      </c>
      <c r="BC10" s="58">
        <f t="shared" si="22"/>
        <v>417.1324502</v>
      </c>
      <c r="BD10" s="161">
        <f t="shared" si="23"/>
        <v>434.398</v>
      </c>
    </row>
    <row r="11" ht="15.0" customHeight="1">
      <c r="A11" s="116" t="s">
        <v>2374</v>
      </c>
      <c r="B11" s="182">
        <v>46005.0</v>
      </c>
      <c r="C11" s="182">
        <v>45996.0</v>
      </c>
      <c r="D11" s="57" t="s">
        <v>295</v>
      </c>
      <c r="E11" s="3">
        <f t="array" ref="E11">XLOOKUP(D11,RUC!$B$3:$B$110,RUC!$D$3:$D$110)</f>
        <v>20601769396</v>
      </c>
      <c r="G11" s="141">
        <v>51.0</v>
      </c>
      <c r="H11" s="3" t="s">
        <v>47</v>
      </c>
      <c r="I11" s="6">
        <v>4.61</v>
      </c>
      <c r="J11" s="58">
        <v>9.92</v>
      </c>
      <c r="K11" s="6">
        <f t="shared" si="2"/>
        <v>4.153</v>
      </c>
      <c r="L11" s="141">
        <v>0.199</v>
      </c>
      <c r="M11" s="60">
        <f t="shared" si="15"/>
        <v>0.181</v>
      </c>
      <c r="N11" s="62">
        <f t="shared" si="16"/>
        <v>0.181</v>
      </c>
      <c r="O11" s="60">
        <f t="shared" si="17"/>
        <v>0.181</v>
      </c>
      <c r="P11" s="63">
        <v>70.0</v>
      </c>
      <c r="Q11" s="130">
        <v>69.35</v>
      </c>
      <c r="R11" s="65">
        <v>4243.0</v>
      </c>
      <c r="S11" s="66">
        <f t="array" ref="S11">IF((XLOOKUP(D11,RUC!$B$3:$B$106,RUC!$E$3:$E$106)+ROUNDDOWN(O11,1)*100)&lt;95,95,((XLOOKUP(D11,RUC!$B$3:$B$106,RUC!$E$3:$E$106)+ROUNDDOWN(O11,1)*100)))</f>
        <v>100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3"/>
        <v>50</v>
      </c>
      <c r="AB11" s="71">
        <f t="shared" si="4"/>
        <v>410.4789934</v>
      </c>
      <c r="AC11" s="71">
        <f>+(S11-T11)*V11-'data 1'!$F$4</f>
        <v>30.23</v>
      </c>
      <c r="AD11" s="71">
        <f t="shared" si="5"/>
        <v>-5.878676681</v>
      </c>
      <c r="AE11" s="71">
        <f t="shared" si="6"/>
        <v>-14.885</v>
      </c>
      <c r="AF11" s="71">
        <f t="shared" si="7"/>
        <v>56.73252494</v>
      </c>
      <c r="AG11" s="72">
        <f t="shared" si="8"/>
        <v>83.19884826</v>
      </c>
      <c r="AH11" s="193">
        <f t="shared" si="9"/>
        <v>19.65</v>
      </c>
      <c r="AI11" s="193">
        <f t="shared" si="10"/>
        <v>28.335</v>
      </c>
      <c r="AJ11" s="73">
        <f t="shared" si="11"/>
        <v>51.26597839</v>
      </c>
      <c r="AK11" s="73">
        <f t="shared" si="12"/>
        <v>18.04046034</v>
      </c>
      <c r="AM11" s="51">
        <f t="shared" si="13"/>
        <v>1704.71926</v>
      </c>
      <c r="AN11" s="51" t="str">
        <f t="array" ref="AN11">XLOOKUP(D11,RUC!$B$3:$B$565,RUC!$M$3:$M$565)</f>
        <v>Evelyn</v>
      </c>
      <c r="AO11" s="131" t="s">
        <v>558</v>
      </c>
      <c r="AP11" s="57" t="s">
        <v>2341</v>
      </c>
      <c r="AQ11" s="57" t="s">
        <v>2342</v>
      </c>
      <c r="AV11" s="160" t="s">
        <v>549</v>
      </c>
      <c r="AW11" s="6">
        <f t="shared" si="18"/>
        <v>0</v>
      </c>
      <c r="AX11" s="6">
        <f t="array" ref="AX11">+SUMPRODUCT(IF($AO$4:$AO$1127=AV11,$L$4:$L$1127*$K$4:$K$1127/AW11))</f>
        <v>0</v>
      </c>
      <c r="AY11" s="145">
        <f t="shared" si="19"/>
        <v>0</v>
      </c>
      <c r="AZ11" s="58">
        <f t="array" ref="AZ11">+SUMPRODUCT(IF($AO$4:$AO$1127=AV11,($Q$4:$Q$1127*$AH$4:$AH$1127)/SUMIF($AO$4:$AO$1127,$AV11,$AH$4:$AH$1127)))</f>
        <v>0</v>
      </c>
      <c r="BA11" s="65">
        <f t="shared" si="20"/>
        <v>0</v>
      </c>
      <c r="BB11" s="65">
        <f t="shared" si="21"/>
        <v>0</v>
      </c>
      <c r="BC11" s="58">
        <f t="shared" si="22"/>
        <v>417.1324502</v>
      </c>
      <c r="BD11" s="161">
        <f t="shared" si="23"/>
        <v>434.398</v>
      </c>
    </row>
    <row r="12" ht="15.0" customHeight="1">
      <c r="A12" s="116" t="s">
        <v>2375</v>
      </c>
      <c r="B12" s="182">
        <v>46006.0</v>
      </c>
      <c r="C12" s="182">
        <v>45996.0</v>
      </c>
      <c r="D12" s="57" t="s">
        <v>225</v>
      </c>
      <c r="E12" s="3">
        <f t="array" ref="E12">XLOOKUP(D12,RUC!$B$3:$B$110,RUC!$D$3:$D$110)</f>
        <v>10761932735</v>
      </c>
      <c r="G12" s="141">
        <v>27.0</v>
      </c>
      <c r="H12" s="3" t="s">
        <v>47</v>
      </c>
      <c r="I12" s="6">
        <v>2.38</v>
      </c>
      <c r="J12" s="58">
        <v>15.9</v>
      </c>
      <c r="K12" s="6">
        <f t="shared" si="2"/>
        <v>2.002</v>
      </c>
      <c r="L12" s="141">
        <v>0.526</v>
      </c>
      <c r="M12" s="60">
        <f t="shared" si="15"/>
        <v>0.494</v>
      </c>
      <c r="N12" s="62">
        <f t="shared" si="16"/>
        <v>0.494</v>
      </c>
      <c r="O12" s="60">
        <f t="shared" si="17"/>
        <v>0.494</v>
      </c>
      <c r="P12" s="63">
        <v>90.0</v>
      </c>
      <c r="Q12" s="58">
        <v>94.3</v>
      </c>
      <c r="R12" s="65">
        <v>4243.0</v>
      </c>
      <c r="S12" s="66">
        <f t="array" ref="S12">IF((XLOOKUP(D12,RUC!$B$3:$B$106,RUC!$E$3:$E$106)+ROUNDDOWN(O12,1)*100)&lt;95,95,((XLOOKUP(D12,RUC!$B$3:$B$106,RUC!$E$3:$E$106)+ROUNDDOWN(O12,1)*100)))</f>
        <v>130</v>
      </c>
      <c r="U12" s="67">
        <f t="array" ref="U12">XLOOKUP(D12,RUC!$B$3:$B$110,RUC!$F$3:$F$110)</f>
        <v>120</v>
      </c>
      <c r="V12" s="67">
        <v>1.1023</v>
      </c>
      <c r="Y12" s="57">
        <f t="array" ref="Y12">XLOOKUP(D12,RUC!$B$3:$B$110,RUC!$G$3:$G$110)</f>
        <v>20</v>
      </c>
      <c r="Z12" s="69">
        <f t="array" ref="Z12">XLOOKUP(D12,RUC!$B$3:$B$110,RUC!$H$3:$H$110)</f>
        <v>30</v>
      </c>
      <c r="AA12" s="70">
        <f t="shared" si="3"/>
        <v>50</v>
      </c>
      <c r="AB12" s="71">
        <f t="shared" si="4"/>
        <v>1822.196477</v>
      </c>
      <c r="AC12" s="71">
        <f>+(S12-T12)*V12-'data 1'!$F$4</f>
        <v>63.299</v>
      </c>
      <c r="AD12" s="71">
        <f t="shared" si="5"/>
        <v>102.7938996</v>
      </c>
      <c r="AE12" s="71">
        <f t="shared" si="6"/>
        <v>-14.885</v>
      </c>
      <c r="AF12" s="71">
        <f t="shared" si="7"/>
        <v>137.1433688</v>
      </c>
      <c r="AG12" s="72">
        <f t="shared" si="8"/>
        <v>305.3512684</v>
      </c>
      <c r="AH12" s="193">
        <f t="shared" si="9"/>
        <v>34.046</v>
      </c>
      <c r="AI12" s="193">
        <f t="shared" si="10"/>
        <v>36.104</v>
      </c>
      <c r="AJ12" s="73">
        <f t="shared" si="11"/>
        <v>184.2583362</v>
      </c>
      <c r="AK12" s="73">
        <f t="shared" si="12"/>
        <v>30.51705362</v>
      </c>
      <c r="AM12" s="51">
        <f t="shared" si="13"/>
        <v>3648.037348</v>
      </c>
      <c r="AN12" s="51" t="str">
        <f t="array" ref="AN12">XLOOKUP(D12,RUC!$B$3:$B$565,RUC!$M$3:$M$565)</f>
        <v>Richard Sapacayo</v>
      </c>
      <c r="AO12" s="131" t="s">
        <v>558</v>
      </c>
      <c r="AP12" s="57" t="s">
        <v>2147</v>
      </c>
      <c r="AQ12" s="57" t="s">
        <v>2376</v>
      </c>
      <c r="AV12" s="160" t="s">
        <v>561</v>
      </c>
      <c r="AW12" s="6">
        <f t="shared" si="18"/>
        <v>0</v>
      </c>
      <c r="AX12" s="6">
        <f t="array" ref="AX12">+SUMPRODUCT(IF($AO$4:$AO$1127=AV12,$L$4:$L$1127*$K$4:$K$1127/AW12))</f>
        <v>0</v>
      </c>
      <c r="AY12" s="145">
        <f t="shared" si="19"/>
        <v>0</v>
      </c>
      <c r="AZ12" s="58">
        <f t="array" ref="AZ12">+SUMPRODUCT(IF($AO$4:$AO$1127=AV12,($Q$4:$Q$1127*$AH$4:$AH$1127)/SUMIF($AO$4:$AO$1127,$AV12,$AH$4:$AH$1127)))</f>
        <v>0</v>
      </c>
      <c r="BA12" s="65">
        <f t="shared" si="20"/>
        <v>0</v>
      </c>
      <c r="BB12" s="65">
        <f t="shared" si="21"/>
        <v>0</v>
      </c>
      <c r="BC12" s="58">
        <f t="shared" si="22"/>
        <v>417.1324502</v>
      </c>
      <c r="BD12" s="161">
        <f t="shared" si="23"/>
        <v>434.398</v>
      </c>
    </row>
    <row r="13" ht="15.0" customHeight="1">
      <c r="A13" s="116" t="s">
        <v>2377</v>
      </c>
      <c r="B13" s="182">
        <v>46005.0</v>
      </c>
      <c r="C13" s="182">
        <v>45996.0</v>
      </c>
      <c r="D13" s="57" t="s">
        <v>295</v>
      </c>
      <c r="E13" s="3">
        <f t="array" ref="E13">XLOOKUP(D13,RUC!$B$3:$B$110,RUC!$D$3:$D$110)</f>
        <v>20601769396</v>
      </c>
      <c r="G13" s="141">
        <v>52.0</v>
      </c>
      <c r="H13" s="3" t="s">
        <v>47</v>
      </c>
      <c r="I13" s="6">
        <v>4.72</v>
      </c>
      <c r="J13" s="58">
        <v>8.9</v>
      </c>
      <c r="K13" s="6">
        <f t="shared" si="2"/>
        <v>4.3</v>
      </c>
      <c r="L13" s="139">
        <v>0.16</v>
      </c>
      <c r="M13" s="60">
        <f t="shared" si="15"/>
        <v>0.142</v>
      </c>
      <c r="N13" s="62">
        <f t="shared" si="16"/>
        <v>0.142</v>
      </c>
      <c r="O13" s="60">
        <f t="shared" si="17"/>
        <v>0.142</v>
      </c>
      <c r="P13" s="63">
        <v>81.0</v>
      </c>
      <c r="Q13" s="130">
        <v>81.25</v>
      </c>
      <c r="R13" s="65">
        <v>4243.0</v>
      </c>
      <c r="S13" s="66">
        <f t="array" ref="S13">IF((XLOOKUP(D13,RUC!$B$3:$B$106,RUC!$E$3:$E$106)+ROUNDDOWN(O13,1)*100)&lt;95,95,((XLOOKUP(D13,RUC!$B$3:$B$106,RUC!$E$3:$E$106)+ROUNDDOWN(O13,1)*100)))</f>
        <v>100</v>
      </c>
      <c r="U13" s="67">
        <f t="array" ref="U13">XLOOKUP(D13,RUC!$B$3:$B$110,RUC!$F$3:$F$110)</f>
        <v>120</v>
      </c>
      <c r="V13" s="67">
        <v>1.1023</v>
      </c>
      <c r="Y13" s="57">
        <f t="array" ref="Y13">XLOOKUP(D13,RUC!$B$3:$B$110,RUC!$G$3:$G$110)</f>
        <v>20</v>
      </c>
      <c r="Z13" s="69">
        <f t="array" ref="Z13">XLOOKUP(D13,RUC!$B$3:$B$110,RUC!$H$3:$H$110)</f>
        <v>30</v>
      </c>
      <c r="AA13" s="70">
        <f t="shared" si="3"/>
        <v>50</v>
      </c>
      <c r="AB13" s="71">
        <f t="shared" si="4"/>
        <v>357.3959292</v>
      </c>
      <c r="AC13" s="71">
        <f>+(S13-T13)*V13-'data 1'!$F$4</f>
        <v>30.23</v>
      </c>
      <c r="AD13" s="71">
        <f t="shared" si="5"/>
        <v>1.81791316</v>
      </c>
      <c r="AE13" s="71">
        <f t="shared" si="6"/>
        <v>-14.885</v>
      </c>
      <c r="AF13" s="71">
        <f t="shared" si="7"/>
        <v>66.46744991</v>
      </c>
      <c r="AG13" s="72">
        <f t="shared" si="8"/>
        <v>100.6303631</v>
      </c>
      <c r="AH13" s="193">
        <f t="shared" si="9"/>
        <v>19.166</v>
      </c>
      <c r="AI13" s="193">
        <f t="shared" si="10"/>
        <v>23.588</v>
      </c>
      <c r="AJ13" s="73">
        <f t="shared" si="11"/>
        <v>48.291763</v>
      </c>
      <c r="AK13" s="73">
        <f t="shared" si="12"/>
        <v>16.95707293</v>
      </c>
      <c r="AM13" s="51">
        <f t="shared" si="13"/>
        <v>1536.802495</v>
      </c>
      <c r="AN13" s="51" t="str">
        <f t="array" ref="AN13">XLOOKUP(D13,RUC!$B$3:$B$565,RUC!$M$3:$M$565)</f>
        <v>Evelyn</v>
      </c>
      <c r="AO13" s="131" t="s">
        <v>558</v>
      </c>
      <c r="AP13" s="57" t="s">
        <v>2341</v>
      </c>
      <c r="AQ13" s="57" t="s">
        <v>2342</v>
      </c>
      <c r="AV13" s="160" t="s">
        <v>689</v>
      </c>
      <c r="AW13" s="6">
        <f t="shared" si="18"/>
        <v>0</v>
      </c>
      <c r="AX13" s="6">
        <f t="array" ref="AX13">+SUMPRODUCT(IF($AO$4:$AO$1127=AV13,$L$4:$L$1127*$K$4:$K$1127/AW13))</f>
        <v>0</v>
      </c>
      <c r="AY13" s="145">
        <f t="shared" si="19"/>
        <v>0</v>
      </c>
      <c r="AZ13" s="58">
        <f t="array" ref="AZ13">+SUMPRODUCT(IF('34'!$AO$4:$AO$1019=AV13,('34'!$Q$4:$Q$1019*'34'!$AH$4:$AH$1019)/SUMIF('34'!$AO$4:$AO$1019,#REF!,'34'!$AH$4:$AH$1019)))</f>
        <v>0</v>
      </c>
      <c r="BA13" s="65">
        <f t="shared" si="20"/>
        <v>0</v>
      </c>
      <c r="BB13" s="65">
        <f t="shared" si="21"/>
        <v>0</v>
      </c>
      <c r="BC13" s="58">
        <f t="shared" si="22"/>
        <v>417.1324502</v>
      </c>
      <c r="BD13" s="161">
        <f t="shared" si="23"/>
        <v>434.398</v>
      </c>
    </row>
    <row r="14" ht="15.0" customHeight="1">
      <c r="A14" s="116" t="s">
        <v>2378</v>
      </c>
      <c r="B14" s="182">
        <v>46006.0</v>
      </c>
      <c r="C14" s="182">
        <v>45996.0</v>
      </c>
      <c r="D14" s="57" t="s">
        <v>225</v>
      </c>
      <c r="E14" s="3">
        <f t="array" ref="E14">XLOOKUP(D14,RUC!$B$3:$B$110,RUC!$D$3:$D$110)</f>
        <v>10761932735</v>
      </c>
      <c r="G14" s="141" t="s">
        <v>735</v>
      </c>
      <c r="H14" s="3" t="s">
        <v>47</v>
      </c>
      <c r="I14" s="6">
        <v>41.13</v>
      </c>
      <c r="J14" s="58">
        <v>6.8</v>
      </c>
      <c r="K14" s="6">
        <f t="shared" si="2"/>
        <v>38.333</v>
      </c>
      <c r="L14" s="139">
        <v>0.124</v>
      </c>
      <c r="M14" s="60">
        <f t="shared" si="15"/>
        <v>0.106</v>
      </c>
      <c r="N14" s="62">
        <f t="shared" si="16"/>
        <v>0.106</v>
      </c>
      <c r="O14" s="60">
        <f t="shared" si="17"/>
        <v>0.106</v>
      </c>
      <c r="P14" s="63">
        <v>80.0</v>
      </c>
      <c r="Q14" s="58">
        <v>94.35</v>
      </c>
      <c r="R14" s="65">
        <v>4243.0</v>
      </c>
      <c r="S14" s="66">
        <f t="array" ref="S14">IF((XLOOKUP(D14,RUC!$B$3:$B$106,RUC!$E$3:$E$106)+ROUNDDOWN(O14,1)*100)&lt;95,95,((XLOOKUP(D14,RUC!$B$3:$B$106,RUC!$E$3:$E$106)+ROUNDDOWN(O14,1)*100)))</f>
        <v>100</v>
      </c>
      <c r="U14" s="67">
        <f t="array" ref="U14">XLOOKUP(D14,RUC!$B$3:$B$110,RUC!$F$3:$F$110)</f>
        <v>120</v>
      </c>
      <c r="V14" s="67">
        <v>1.1023</v>
      </c>
      <c r="Y14" s="57">
        <f t="array" ref="Y14">XLOOKUP(D14,RUC!$B$3:$B$110,RUC!$G$3:$G$110)</f>
        <v>20</v>
      </c>
      <c r="Z14" s="69">
        <f t="array" ref="Z14">XLOOKUP(D14,RUC!$B$3:$B$110,RUC!$H$3:$H$110)</f>
        <v>30</v>
      </c>
      <c r="AA14" s="70">
        <f t="shared" si="3"/>
        <v>50</v>
      </c>
      <c r="AB14" s="71">
        <f t="shared" si="4"/>
        <v>220.0525899</v>
      </c>
      <c r="AC14" s="71">
        <f>+(S14-T14)*V14-'data 1'!$F$4</f>
        <v>30.23</v>
      </c>
      <c r="AD14" s="71">
        <f t="shared" si="5"/>
        <v>80.86986692</v>
      </c>
      <c r="AE14" s="71">
        <f t="shared" si="6"/>
        <v>-14.885</v>
      </c>
      <c r="AF14" s="71">
        <f t="shared" si="7"/>
        <v>77.18404799</v>
      </c>
      <c r="AG14" s="72">
        <f t="shared" si="8"/>
        <v>190.3989149</v>
      </c>
      <c r="AH14" s="193">
        <f t="shared" si="9"/>
        <v>153.761</v>
      </c>
      <c r="AI14" s="193">
        <f t="shared" si="10"/>
        <v>162.968</v>
      </c>
      <c r="AJ14" s="73">
        <f t="shared" si="11"/>
        <v>43.46035785</v>
      </c>
      <c r="AK14" s="73">
        <f t="shared" si="12"/>
        <v>111.449399</v>
      </c>
      <c r="AM14" s="51">
        <f t="shared" si="13"/>
        <v>8435.275929</v>
      </c>
      <c r="AN14" s="51" t="str">
        <f t="array" ref="AN14">XLOOKUP(D14,RUC!$B$3:$B$565,RUC!$M$3:$M$565)</f>
        <v>Richard Sapacayo</v>
      </c>
      <c r="AO14" s="131" t="s">
        <v>558</v>
      </c>
      <c r="AP14" s="57" t="s">
        <v>2147</v>
      </c>
      <c r="AQ14" s="57" t="s">
        <v>2376</v>
      </c>
      <c r="AV14" s="160" t="s">
        <v>690</v>
      </c>
      <c r="AW14" s="6">
        <f t="shared" si="18"/>
        <v>0</v>
      </c>
      <c r="AX14" s="6">
        <f t="array" ref="AX14">+SUMPRODUCT(IF($AO$4:$AO$1127=AV14,$L$4:$L$1127*$K$4:$K$1127/AW14))</f>
        <v>0</v>
      </c>
      <c r="AY14" s="145">
        <f t="shared" si="19"/>
        <v>0</v>
      </c>
      <c r="AZ14" s="58">
        <f t="array" ref="AZ14">+SUMPRODUCT(IF('34'!$AO$4:$AO$1019=AV14,('34'!$Q$4:$Q$1019*'34'!$AH$4:$AH$1019)/SUMIF('34'!$AO$4:$AO$1019,#REF!,'34'!$AH$4:$AH$1019)))</f>
        <v>0</v>
      </c>
      <c r="BA14" s="65">
        <f t="shared" si="20"/>
        <v>0</v>
      </c>
      <c r="BB14" s="65">
        <f t="shared" si="21"/>
        <v>0</v>
      </c>
      <c r="BC14" s="58">
        <f t="shared" si="22"/>
        <v>417.1324502</v>
      </c>
      <c r="BD14" s="161">
        <f t="shared" si="23"/>
        <v>434.398</v>
      </c>
    </row>
    <row r="15" ht="15.0" customHeight="1">
      <c r="A15" s="116" t="s">
        <v>2379</v>
      </c>
      <c r="B15" s="182">
        <v>46006.0</v>
      </c>
      <c r="C15" s="182">
        <v>45997.0</v>
      </c>
      <c r="D15" s="57" t="s">
        <v>602</v>
      </c>
      <c r="E15" s="3">
        <f t="array" ref="E15">XLOOKUP(D15,RUC!$B$3:$B$110,RUC!$D$3:$D$110)</f>
        <v>20169040231</v>
      </c>
      <c r="G15" s="141">
        <v>46.0</v>
      </c>
      <c r="H15" s="3" t="s">
        <v>47</v>
      </c>
      <c r="I15" s="6">
        <v>4.2</v>
      </c>
      <c r="J15" s="58">
        <v>1.3</v>
      </c>
      <c r="K15" s="6">
        <f t="shared" si="2"/>
        <v>4.145</v>
      </c>
      <c r="L15" s="141">
        <v>0.425</v>
      </c>
      <c r="M15" s="60">
        <v>0.409</v>
      </c>
      <c r="N15" s="62">
        <f t="shared" si="16"/>
        <v>0.409</v>
      </c>
      <c r="O15" s="60">
        <f t="shared" si="17"/>
        <v>0.409</v>
      </c>
      <c r="P15" s="63">
        <v>87.0</v>
      </c>
      <c r="Q15" s="58">
        <v>87.13</v>
      </c>
      <c r="R15" s="65">
        <v>4243.0</v>
      </c>
      <c r="S15" s="66">
        <f t="array" ref="S15">IF((XLOOKUP(D15,RUC!$B$3:$B$106,RUC!$E$3:$E$106)+ROUNDDOWN(O15,1)*100)&lt;95,95,((XLOOKUP(D15,RUC!$B$3:$B$106,RUC!$E$3:$E$106)+ROUNDDOWN(O15,1)*100)))</f>
        <v>125</v>
      </c>
      <c r="U15" s="67">
        <f t="array" ref="U15">XLOOKUP(D15,RUC!$B$3:$B$110,RUC!$F$3:$F$110)</f>
        <v>120</v>
      </c>
      <c r="V15" s="67">
        <v>1.1023</v>
      </c>
      <c r="Y15" s="57">
        <f t="array" ref="Y15">XLOOKUP(D15,RUC!$B$3:$B$110,RUC!$G$3:$G$110)</f>
        <v>20</v>
      </c>
      <c r="Z15" s="140">
        <v>35.0</v>
      </c>
      <c r="AA15" s="70">
        <f t="shared" si="3"/>
        <v>55</v>
      </c>
      <c r="AB15" s="71">
        <f t="shared" si="4"/>
        <v>1418.756099</v>
      </c>
      <c r="AC15" s="71">
        <f>+(S15-T15)*V15-'data 1'!$F$4</f>
        <v>57.7875</v>
      </c>
      <c r="AD15" s="71">
        <f t="shared" si="5"/>
        <v>2.510992552</v>
      </c>
      <c r="AE15" s="71">
        <f t="shared" si="6"/>
        <v>-9.3735</v>
      </c>
      <c r="AF15" s="71">
        <f t="shared" si="7"/>
        <v>63.35790945</v>
      </c>
      <c r="AG15" s="72">
        <f t="shared" si="8"/>
        <v>131.282902</v>
      </c>
      <c r="AH15" s="193">
        <f t="shared" si="9"/>
        <v>52.625</v>
      </c>
      <c r="AI15" s="193">
        <f t="shared" si="10"/>
        <v>60.398</v>
      </c>
      <c r="AJ15" s="73">
        <f t="shared" si="11"/>
        <v>137.5581582</v>
      </c>
      <c r="AK15" s="73">
        <f t="shared" si="12"/>
        <v>50.56804512</v>
      </c>
      <c r="AM15" s="51">
        <f t="shared" si="13"/>
        <v>5880.744032</v>
      </c>
      <c r="AN15" s="51" t="str">
        <f t="array" ref="AN15">XLOOKUP(D15,RUC!$B$3:$B$565,RUC!$M$3:$M$565)</f>
        <v>Ronald Miranda</v>
      </c>
      <c r="AO15" s="131" t="s">
        <v>551</v>
      </c>
      <c r="AP15" s="57" t="s">
        <v>2348</v>
      </c>
      <c r="AQ15" s="57" t="s">
        <v>2349</v>
      </c>
      <c r="AR15" s="57" t="s">
        <v>2211</v>
      </c>
      <c r="AV15" s="160" t="s">
        <v>691</v>
      </c>
      <c r="AW15" s="6">
        <f t="shared" si="18"/>
        <v>0</v>
      </c>
      <c r="AX15" s="6">
        <f t="array" ref="AX15">+SUMPRODUCT(IF($AO$4:$AO$1127=AV15,$L$4:$L$1127*$K$4:$K$1127/AW15))</f>
        <v>0</v>
      </c>
      <c r="AY15" s="145">
        <f t="shared" si="19"/>
        <v>0</v>
      </c>
      <c r="AZ15" s="58">
        <f t="array" ref="AZ15">+SUMPRODUCT(IF('34'!$AO$4:$AO$1019=AV15,('34'!$Q$4:$Q$1019*'34'!$AH$4:$AH$1019)/SUMIF('34'!$AO$4:$AO$1019,#REF!,'34'!$AH$4:$AH$1019)))</f>
        <v>0</v>
      </c>
      <c r="BA15" s="65">
        <f t="shared" si="20"/>
        <v>0</v>
      </c>
      <c r="BB15" s="65">
        <f t="shared" si="21"/>
        <v>0</v>
      </c>
      <c r="BC15" s="58">
        <f t="shared" si="22"/>
        <v>417.1324502</v>
      </c>
      <c r="BD15" s="161">
        <f t="shared" si="23"/>
        <v>434.398</v>
      </c>
    </row>
    <row r="16" ht="15.0" customHeight="1">
      <c r="A16" s="116" t="s">
        <v>2380</v>
      </c>
      <c r="B16" s="182">
        <v>46006.0</v>
      </c>
      <c r="C16" s="182">
        <v>45997.0</v>
      </c>
      <c r="D16" s="57" t="s">
        <v>225</v>
      </c>
      <c r="E16" s="3">
        <f t="array" ref="E16">XLOOKUP(D16,RUC!$B$3:$B$110,RUC!$D$3:$D$110)</f>
        <v>10761932735</v>
      </c>
      <c r="G16" s="141" t="s">
        <v>735</v>
      </c>
      <c r="H16" s="3" t="s">
        <v>47</v>
      </c>
      <c r="I16" s="6">
        <v>21.26</v>
      </c>
      <c r="J16" s="58">
        <v>6.5</v>
      </c>
      <c r="K16" s="6">
        <f t="shared" si="2"/>
        <v>19.878</v>
      </c>
      <c r="L16" s="141">
        <v>0.134</v>
      </c>
      <c r="M16" s="60">
        <f t="shared" ref="M16:M70" si="24">ROUND(+IF(AN16="Melchor Vera",IF(L16&gt;0.467,L16*0.985,(L16-0.007)),IF(L16&gt;0.3,L16*0.94,(L16-0.018))),3)</f>
        <v>0.116</v>
      </c>
      <c r="N16" s="75">
        <v>0.166</v>
      </c>
      <c r="O16" s="60">
        <f t="shared" si="17"/>
        <v>0.141</v>
      </c>
      <c r="P16" s="63">
        <v>90.0</v>
      </c>
      <c r="Q16" s="58">
        <v>97.01</v>
      </c>
      <c r="R16" s="65">
        <v>4243.0</v>
      </c>
      <c r="S16" s="66">
        <f t="array" ref="S16">IF((XLOOKUP(D16,RUC!$B$3:$B$106,RUC!$E$3:$E$106)+ROUNDDOWN(O16,1)*100)&lt;95,95,((XLOOKUP(D16,RUC!$B$3:$B$106,RUC!$E$3:$E$106)+ROUNDDOWN(O16,1)*100)))</f>
        <v>100</v>
      </c>
      <c r="U16" s="67">
        <f t="array" ref="U16">XLOOKUP(D16,RUC!$B$3:$B$110,RUC!$F$3:$F$110)</f>
        <v>120</v>
      </c>
      <c r="V16" s="67">
        <v>1.1023</v>
      </c>
      <c r="Y16" s="57">
        <f t="array" ref="Y16">XLOOKUP(D16,RUC!$B$3:$B$110,RUC!$G$3:$G$110)</f>
        <v>20</v>
      </c>
      <c r="Z16" s="69">
        <f t="array" ref="Z16">XLOOKUP(D16,RUC!$B$3:$B$110,RUC!$H$3:$H$110)</f>
        <v>30</v>
      </c>
      <c r="AA16" s="70">
        <f t="shared" si="3"/>
        <v>50</v>
      </c>
      <c r="AB16" s="71">
        <f t="shared" si="4"/>
        <v>411.38795</v>
      </c>
      <c r="AC16" s="71">
        <f>+(S16-T16)*V16-'data 1'!$F$4</f>
        <v>30.23</v>
      </c>
      <c r="AD16" s="71">
        <f t="shared" si="5"/>
        <v>42.69096369</v>
      </c>
      <c r="AE16" s="71">
        <f t="shared" si="6"/>
        <v>-14.885</v>
      </c>
      <c r="AF16" s="71">
        <f t="shared" si="7"/>
        <v>-30.86225724</v>
      </c>
      <c r="AG16" s="72">
        <f t="shared" si="8"/>
        <v>44.17370645</v>
      </c>
      <c r="AH16" s="193">
        <f t="shared" si="9"/>
        <v>88.594</v>
      </c>
      <c r="AI16" s="193">
        <f t="shared" si="10"/>
        <v>91.324</v>
      </c>
      <c r="AJ16" s="73">
        <f t="shared" si="11"/>
        <v>48.28931126</v>
      </c>
      <c r="AK16" s="73">
        <f t="shared" si="12"/>
        <v>86.48551535</v>
      </c>
      <c r="AM16" s="51">
        <f t="shared" si="13"/>
        <v>8177.56967</v>
      </c>
      <c r="AN16" s="51" t="str">
        <f t="array" ref="AN16">XLOOKUP(D16,RUC!$B$3:$B$565,RUC!$M$3:$M$565)</f>
        <v>Richard Sapacayo</v>
      </c>
      <c r="AO16" s="131" t="s">
        <v>558</v>
      </c>
      <c r="AP16" s="57" t="s">
        <v>2381</v>
      </c>
      <c r="AQ16" s="57" t="s">
        <v>2382</v>
      </c>
      <c r="AV16" s="160" t="s">
        <v>692</v>
      </c>
      <c r="AW16" s="6">
        <f t="shared" si="18"/>
        <v>0</v>
      </c>
      <c r="AX16" s="6">
        <f t="array" ref="AX16">+SUMPRODUCT(IF($AO$4:$AO$1127=AV16,$L$4:$L$1127*$K$4:$K$1127/AW16))</f>
        <v>0</v>
      </c>
      <c r="AY16" s="145">
        <f t="shared" si="19"/>
        <v>0</v>
      </c>
      <c r="AZ16" s="58">
        <f t="array" ref="AZ16">+SUMPRODUCT(IF('34'!$AO$4:$AO$1019=AV16,('34'!$Q$4:$Q$1019*'34'!$AH$4:$AH$1019)/SUMIF('34'!$AO$4:$AO$1019,#REF!,'34'!$AH$4:$AH$1019)))</f>
        <v>0</v>
      </c>
      <c r="BA16" s="65">
        <f t="shared" si="20"/>
        <v>0</v>
      </c>
      <c r="BB16" s="65">
        <f t="shared" si="21"/>
        <v>0</v>
      </c>
      <c r="BC16" s="58">
        <f t="shared" si="22"/>
        <v>417.1324502</v>
      </c>
      <c r="BD16" s="161">
        <f t="shared" si="23"/>
        <v>434.398</v>
      </c>
    </row>
    <row r="17" ht="15.0" customHeight="1">
      <c r="A17" s="116" t="s">
        <v>2383</v>
      </c>
      <c r="B17" s="182">
        <v>46002.0</v>
      </c>
      <c r="C17" s="182">
        <v>45997.0</v>
      </c>
      <c r="D17" s="57" t="s">
        <v>665</v>
      </c>
      <c r="E17" s="3">
        <f t="array" ref="E17">XLOOKUP(D17,RUC!$B$3:$B$110,RUC!$D$3:$D$110)</f>
        <v>20608774000</v>
      </c>
      <c r="G17" s="141">
        <v>8.0</v>
      </c>
      <c r="H17" s="3" t="s">
        <v>40</v>
      </c>
      <c r="I17" s="6">
        <v>0.74</v>
      </c>
      <c r="J17" s="58">
        <v>24.9</v>
      </c>
      <c r="K17" s="6">
        <f t="shared" si="2"/>
        <v>0.556</v>
      </c>
      <c r="L17" s="141">
        <v>1.237</v>
      </c>
      <c r="M17" s="60">
        <f t="shared" si="24"/>
        <v>1.163</v>
      </c>
      <c r="N17" s="62">
        <f>+M17</f>
        <v>1.163</v>
      </c>
      <c r="O17" s="60">
        <f t="shared" si="17"/>
        <v>1.163</v>
      </c>
      <c r="P17" s="63">
        <v>90.0</v>
      </c>
      <c r="Q17" s="58">
        <v>90.06</v>
      </c>
      <c r="R17" s="65">
        <v>4243.0</v>
      </c>
      <c r="S17" s="66">
        <f t="array" ref="S17">IF((XLOOKUP(D17,RUC!$B$3:$B$106,RUC!$E$3:$E$106)+ROUNDDOWN(O17,1)*100)&lt;95,95,((XLOOKUP(D17,RUC!$B$3:$B$106,RUC!$E$3:$E$106)+ROUNDDOWN(O17,1)*100)))</f>
        <v>195</v>
      </c>
      <c r="U17" s="67">
        <f t="array" ref="U17">XLOOKUP(D17,RUC!$B$3:$B$110,RUC!$F$3:$F$110)</f>
        <v>120</v>
      </c>
      <c r="V17" s="67">
        <v>1.1023</v>
      </c>
      <c r="Y17" s="57">
        <f t="array" ref="Y17">XLOOKUP(D17,RUC!$B$3:$B$110,RUC!$G$3:$G$110)</f>
        <v>20</v>
      </c>
      <c r="Z17" s="140">
        <v>35.0</v>
      </c>
      <c r="AA17" s="70">
        <f t="shared" si="3"/>
        <v>55</v>
      </c>
      <c r="AB17" s="71">
        <f t="shared" si="4"/>
        <v>4481.449261</v>
      </c>
      <c r="AC17" s="71">
        <f>+(S17-T17)*V17-'data 1'!$F$4</f>
        <v>134.9485</v>
      </c>
      <c r="AD17" s="71">
        <f t="shared" si="5"/>
        <v>3.373137868</v>
      </c>
      <c r="AE17" s="71">
        <f t="shared" si="6"/>
        <v>-9.3735</v>
      </c>
      <c r="AF17" s="71">
        <f t="shared" si="7"/>
        <v>302.8843295</v>
      </c>
      <c r="AG17" s="72">
        <f t="shared" si="8"/>
        <v>448.8324674</v>
      </c>
      <c r="AH17" s="193">
        <f t="shared" si="9"/>
        <v>21.237</v>
      </c>
      <c r="AI17" s="193">
        <f t="shared" si="10"/>
        <v>23.581</v>
      </c>
      <c r="AJ17" s="73">
        <f t="shared" si="11"/>
        <v>413.8389376</v>
      </c>
      <c r="AK17" s="73">
        <f t="shared" si="12"/>
        <v>19.95290271</v>
      </c>
      <c r="AM17" s="51">
        <f t="shared" si="13"/>
        <v>2491.685789</v>
      </c>
      <c r="AN17" s="51" t="str">
        <f t="array" ref="AN17">XLOOKUP(D17,RUC!$B$3:$B$565,RUC!$M$3:$M$565)</f>
        <v>Ronald Miranda</v>
      </c>
      <c r="AO17" s="131" t="s">
        <v>558</v>
      </c>
      <c r="AP17" s="57" t="s">
        <v>681</v>
      </c>
      <c r="AQ17" s="57" t="s">
        <v>2384</v>
      </c>
      <c r="AV17" s="163" t="s">
        <v>693</v>
      </c>
      <c r="AW17" s="165">
        <f t="shared" si="18"/>
        <v>0</v>
      </c>
      <c r="AX17" s="165">
        <f t="array" ref="AX17">+SUMPRODUCT(IF('34'!$AO$4:$AO$1019=AV17,'34'!$L$4:$L$1019*'34'!$K$4:$K$1019/AW17))</f>
        <v>0</v>
      </c>
      <c r="AY17" s="166">
        <f t="shared" si="19"/>
        <v>0</v>
      </c>
      <c r="AZ17" s="168">
        <f t="array" ref="AZ17">+SUMPRODUCT(IF('34'!$AO$4:$AO$1019=AV17,('34'!$Q$4:$Q$1019*'34'!$AH$4:$AH$1019)/SUMIF('34'!$AO$4:$AO$1019,#REF!,'34'!$AH$4:$AH$1019)))</f>
        <v>0</v>
      </c>
      <c r="BA17" s="167">
        <f t="shared" si="20"/>
        <v>0</v>
      </c>
      <c r="BB17" s="167">
        <f t="shared" si="21"/>
        <v>0</v>
      </c>
      <c r="BC17" s="168">
        <f t="shared" si="22"/>
        <v>417.1324502</v>
      </c>
      <c r="BD17" s="169">
        <f t="shared" si="23"/>
        <v>434.398</v>
      </c>
    </row>
    <row r="18" ht="15.0" customHeight="1">
      <c r="A18" s="116" t="s">
        <v>2385</v>
      </c>
      <c r="B18" s="182">
        <v>46006.0</v>
      </c>
      <c r="C18" s="182">
        <v>45997.0</v>
      </c>
      <c r="D18" s="57" t="s">
        <v>225</v>
      </c>
      <c r="E18" s="3">
        <f t="array" ref="E18">XLOOKUP(D18,RUC!$B$3:$B$110,RUC!$D$3:$D$110)</f>
        <v>10761932735</v>
      </c>
      <c r="G18" s="141" t="s">
        <v>735</v>
      </c>
      <c r="H18" s="3" t="s">
        <v>47</v>
      </c>
      <c r="I18" s="6">
        <v>8.51</v>
      </c>
      <c r="J18" s="58">
        <v>9.7</v>
      </c>
      <c r="K18" s="6">
        <f t="shared" si="2"/>
        <v>7.685</v>
      </c>
      <c r="L18" s="139">
        <v>0.13</v>
      </c>
      <c r="M18" s="60">
        <f t="shared" si="24"/>
        <v>0.112</v>
      </c>
      <c r="N18" s="75">
        <v>0.163</v>
      </c>
      <c r="O18" s="60">
        <f t="shared" si="17"/>
        <v>0.138</v>
      </c>
      <c r="P18" s="63">
        <v>90.0</v>
      </c>
      <c r="Q18" s="58">
        <v>98.46</v>
      </c>
      <c r="R18" s="65">
        <v>4243.0</v>
      </c>
      <c r="S18" s="66">
        <f t="array" ref="S18">IF((XLOOKUP(D18,RUC!$B$3:$B$106,RUC!$E$3:$E$106)+ROUNDDOWN(O18,1)*100)&lt;95,95,((XLOOKUP(D18,RUC!$B$3:$B$106,RUC!$E$3:$E$106)+ROUNDDOWN(O18,1)*100)))</f>
        <v>100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69">
        <f t="array" ref="Z18">XLOOKUP(D18,RUC!$B$3:$B$110,RUC!$H$3:$H$110)</f>
        <v>30</v>
      </c>
      <c r="AA18" s="70">
        <f t="shared" si="3"/>
        <v>50</v>
      </c>
      <c r="AB18" s="71">
        <f t="shared" si="4"/>
        <v>399.1170362</v>
      </c>
      <c r="AC18" s="71">
        <f>+(S18-T18)*V18-'data 1'!$F$4</f>
        <v>30.23</v>
      </c>
      <c r="AD18" s="71">
        <f t="shared" si="5"/>
        <v>49.98352233</v>
      </c>
      <c r="AE18" s="71">
        <f t="shared" si="6"/>
        <v>-14.885</v>
      </c>
      <c r="AF18" s="71">
        <f t="shared" si="7"/>
        <v>-35.79834595</v>
      </c>
      <c r="AG18" s="72">
        <f t="shared" si="8"/>
        <v>46.53017639</v>
      </c>
      <c r="AH18" s="193">
        <f t="shared" si="9"/>
        <v>33.725</v>
      </c>
      <c r="AI18" s="193">
        <f t="shared" si="10"/>
        <v>34.253</v>
      </c>
      <c r="AJ18" s="73">
        <f t="shared" si="11"/>
        <v>47.54806985</v>
      </c>
      <c r="AK18" s="73">
        <f t="shared" si="12"/>
        <v>32.72461433</v>
      </c>
      <c r="AM18" s="51">
        <f t="shared" si="13"/>
        <v>3067.214423</v>
      </c>
      <c r="AN18" s="51" t="str">
        <f t="array" ref="AN18">XLOOKUP(D18,RUC!$B$3:$B$565,RUC!$M$3:$M$565)</f>
        <v>Richard Sapacayo</v>
      </c>
      <c r="AO18" s="131" t="s">
        <v>558</v>
      </c>
      <c r="AP18" s="57" t="s">
        <v>2381</v>
      </c>
      <c r="AQ18" s="57" t="s">
        <v>2382</v>
      </c>
    </row>
    <row r="19" ht="15.0" customHeight="1">
      <c r="A19" s="116" t="s">
        <v>2386</v>
      </c>
      <c r="B19" s="182">
        <v>46005.0</v>
      </c>
      <c r="C19" s="182">
        <v>45999.0</v>
      </c>
      <c r="D19" s="57" t="s">
        <v>295</v>
      </c>
      <c r="E19" s="3">
        <f t="array" ref="E19">XLOOKUP(D19,RUC!$B$3:$B$110,RUC!$D$3:$D$110)</f>
        <v>20601769396</v>
      </c>
      <c r="G19" s="141">
        <v>54.0</v>
      </c>
      <c r="H19" s="3" t="s">
        <v>339</v>
      </c>
      <c r="I19" s="6">
        <v>4.26</v>
      </c>
      <c r="J19" s="58">
        <v>16.2</v>
      </c>
      <c r="K19" s="6">
        <f t="shared" si="2"/>
        <v>3.57</v>
      </c>
      <c r="L19" s="139">
        <v>0.556</v>
      </c>
      <c r="M19" s="60">
        <f t="shared" si="24"/>
        <v>0.523</v>
      </c>
      <c r="N19" s="62">
        <f t="shared" ref="N19:N20" si="25">+M19</f>
        <v>0.523</v>
      </c>
      <c r="O19" s="60">
        <f t="shared" si="17"/>
        <v>0.523</v>
      </c>
      <c r="P19" s="63">
        <v>83.0</v>
      </c>
      <c r="Q19" s="58">
        <v>83.27</v>
      </c>
      <c r="R19" s="65">
        <v>4188.25</v>
      </c>
      <c r="S19" s="66">
        <f t="array" ref="S19">IF((XLOOKUP(D19,RUC!$B$3:$B$106,RUC!$E$3:$E$106)+ROUNDDOWN(O19,1)*100)&lt;95,95,((XLOOKUP(D19,RUC!$B$3:$B$106,RUC!$E$3:$E$106)+ROUNDDOWN(O19,1)*100)))</f>
        <v>140</v>
      </c>
      <c r="U19" s="67">
        <f t="array" ref="U19">XLOOKUP(D19,RUC!$B$3:$B$110,RUC!$F$3:$F$110)</f>
        <v>120</v>
      </c>
      <c r="V19" s="67">
        <v>1.1023</v>
      </c>
      <c r="Y19" s="57">
        <f t="array" ref="Y19">XLOOKUP(D19,RUC!$B$3:$B$110,RUC!$G$3:$G$110)</f>
        <v>20</v>
      </c>
      <c r="Z19" s="69">
        <f t="array" ref="Z19">XLOOKUP(D19,RUC!$B$3:$B$110,RUC!$H$3:$H$110)</f>
        <v>30</v>
      </c>
      <c r="AA19" s="70">
        <f t="shared" si="3"/>
        <v>50</v>
      </c>
      <c r="AB19" s="71">
        <f t="shared" si="4"/>
        <v>1737.210076</v>
      </c>
      <c r="AC19" s="71">
        <f>+(S19-T19)*V19-'data 1'!$F$4</f>
        <v>74.322</v>
      </c>
      <c r="AD19" s="71">
        <f t="shared" si="5"/>
        <v>6.732029281</v>
      </c>
      <c r="AE19" s="71">
        <f t="shared" si="6"/>
        <v>-14.885</v>
      </c>
      <c r="AF19" s="71">
        <f t="shared" si="7"/>
        <v>123.2281547</v>
      </c>
      <c r="AG19" s="72">
        <f t="shared" si="8"/>
        <v>206.397184</v>
      </c>
      <c r="AH19" s="193">
        <f t="shared" si="9"/>
        <v>56.668</v>
      </c>
      <c r="AI19" s="193">
        <f t="shared" si="10"/>
        <v>68.054</v>
      </c>
      <c r="AJ19" s="73">
        <f t="shared" si="11"/>
        <v>199.9273312</v>
      </c>
      <c r="AK19" s="73">
        <f t="shared" si="12"/>
        <v>53.13211043</v>
      </c>
      <c r="AM19" s="51">
        <f t="shared" si="13"/>
        <v>6201.839971</v>
      </c>
      <c r="AN19" s="51" t="str">
        <f t="array" ref="AN19">XLOOKUP(D19,RUC!$B$3:$B$565,RUC!$M$3:$M$565)</f>
        <v>Evelyn</v>
      </c>
      <c r="AO19" s="131" t="s">
        <v>558</v>
      </c>
      <c r="AP19" s="57" t="s">
        <v>2387</v>
      </c>
      <c r="AQ19" s="57" t="s">
        <v>844</v>
      </c>
    </row>
    <row r="20" ht="15.0" customHeight="1">
      <c r="A20" s="116" t="s">
        <v>2388</v>
      </c>
      <c r="B20" s="182">
        <v>46005.0</v>
      </c>
      <c r="C20" s="182">
        <v>45999.0</v>
      </c>
      <c r="D20" s="57" t="s">
        <v>295</v>
      </c>
      <c r="E20" s="3">
        <f t="array" ref="E20">XLOOKUP(D20,RUC!$B$3:$B$110,RUC!$D$3:$D$110)</f>
        <v>20601769396</v>
      </c>
      <c r="G20" s="141">
        <v>55.0</v>
      </c>
      <c r="H20" s="3" t="s">
        <v>339</v>
      </c>
      <c r="I20" s="6">
        <v>4.3</v>
      </c>
      <c r="J20" s="58">
        <v>13.22</v>
      </c>
      <c r="K20" s="6">
        <f t="shared" si="2"/>
        <v>3.732</v>
      </c>
      <c r="L20" s="139">
        <v>0.513</v>
      </c>
      <c r="M20" s="60">
        <f t="shared" si="24"/>
        <v>0.482</v>
      </c>
      <c r="N20" s="62">
        <f t="shared" si="25"/>
        <v>0.482</v>
      </c>
      <c r="O20" s="60">
        <f t="shared" si="17"/>
        <v>0.482</v>
      </c>
      <c r="P20" s="63">
        <v>85.0</v>
      </c>
      <c r="Q20" s="58">
        <v>85.19</v>
      </c>
      <c r="R20" s="65">
        <v>4188.25</v>
      </c>
      <c r="S20" s="66">
        <f t="array" ref="S20">IF((XLOOKUP(D20,RUC!$B$3:$B$106,RUC!$E$3:$E$106)+ROUNDDOWN(O20,1)*100)&lt;95,95,((XLOOKUP(D20,RUC!$B$3:$B$106,RUC!$E$3:$E$106)+ROUNDDOWN(O20,1)*100)))</f>
        <v>130</v>
      </c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69">
        <f t="array" ref="Z20">XLOOKUP(D20,RUC!$B$3:$B$110,RUC!$H$3:$H$110)</f>
        <v>30</v>
      </c>
      <c r="AA20" s="70">
        <f t="shared" si="3"/>
        <v>50</v>
      </c>
      <c r="AB20" s="71">
        <f t="shared" si="4"/>
        <v>1638.85778</v>
      </c>
      <c r="AC20" s="71">
        <f>+(S20-T20)*V20-'data 1'!$F$4</f>
        <v>63.299</v>
      </c>
      <c r="AD20" s="71">
        <f t="shared" si="5"/>
        <v>4.370975846</v>
      </c>
      <c r="AE20" s="71">
        <f t="shared" si="6"/>
        <v>-14.885</v>
      </c>
      <c r="AF20" s="71">
        <f t="shared" si="7"/>
        <v>118.4289156</v>
      </c>
      <c r="AG20" s="72">
        <f t="shared" si="8"/>
        <v>188.2138914</v>
      </c>
      <c r="AH20" s="193">
        <f t="shared" si="9"/>
        <v>55.919</v>
      </c>
      <c r="AI20" s="193">
        <f t="shared" si="10"/>
        <v>65.64</v>
      </c>
      <c r="AJ20" s="73">
        <f t="shared" si="11"/>
        <v>188.718639</v>
      </c>
      <c r="AK20" s="73">
        <f t="shared" si="12"/>
        <v>52.42237204</v>
      </c>
      <c r="AM20" s="51">
        <f t="shared" si="13"/>
        <v>6116.217236</v>
      </c>
      <c r="AN20" s="51" t="str">
        <f t="array" ref="AN20">XLOOKUP(D20,RUC!$B$3:$B$565,RUC!$M$3:$M$565)</f>
        <v>Evelyn</v>
      </c>
      <c r="AO20" s="131" t="s">
        <v>558</v>
      </c>
      <c r="AP20" s="57" t="s">
        <v>2387</v>
      </c>
      <c r="AQ20" s="57" t="s">
        <v>844</v>
      </c>
      <c r="AV20" s="149" t="s">
        <v>2389</v>
      </c>
      <c r="AW20" s="150"/>
      <c r="AX20" s="150"/>
      <c r="AY20" s="150"/>
      <c r="AZ20" s="150"/>
      <c r="BA20" s="151"/>
    </row>
    <row r="21" ht="15.0" customHeight="1">
      <c r="A21" s="116" t="s">
        <v>2390</v>
      </c>
      <c r="B21" s="182">
        <v>46003.0</v>
      </c>
      <c r="C21" s="182">
        <v>45999.0</v>
      </c>
      <c r="D21" s="57" t="s">
        <v>225</v>
      </c>
      <c r="E21" s="3">
        <f t="array" ref="E21">XLOOKUP(D21,RUC!$B$3:$B$110,RUC!$D$3:$D$110)</f>
        <v>10761932735</v>
      </c>
      <c r="G21" s="141">
        <v>11.0</v>
      </c>
      <c r="H21" s="3" t="s">
        <v>47</v>
      </c>
      <c r="I21" s="6">
        <v>0.91</v>
      </c>
      <c r="J21" s="58">
        <v>11.83</v>
      </c>
      <c r="K21" s="6">
        <f t="shared" si="2"/>
        <v>0.802</v>
      </c>
      <c r="L21" s="139">
        <v>0.862</v>
      </c>
      <c r="M21" s="60">
        <f t="shared" si="24"/>
        <v>0.81</v>
      </c>
      <c r="N21" s="75">
        <v>0.898</v>
      </c>
      <c r="O21" s="60">
        <f t="shared" si="17"/>
        <v>0.854</v>
      </c>
      <c r="P21" s="63">
        <v>90.0</v>
      </c>
      <c r="Q21" s="58">
        <v>95.77</v>
      </c>
      <c r="R21" s="65">
        <v>4188.25</v>
      </c>
      <c r="S21" s="66">
        <f t="array" ref="S21">IF((XLOOKUP(D21,RUC!$B$3:$B$106,RUC!$E$3:$E$106)+ROUNDDOWN(O21,1)*100)&lt;95,95,((XLOOKUP(D21,RUC!$B$3:$B$106,RUC!$E$3:$E$106)+ROUNDDOWN(O21,1)*100)))</f>
        <v>170</v>
      </c>
      <c r="U21" s="67">
        <f t="array" ref="U21">XLOOKUP(D21,RUC!$B$3:$B$110,RUC!$F$3:$F$110)</f>
        <v>120</v>
      </c>
      <c r="V21" s="67">
        <v>1.1023</v>
      </c>
      <c r="Y21" s="57">
        <f t="array" ref="Y21">XLOOKUP(D21,RUC!$B$3:$B$110,RUC!$G$3:$G$110)</f>
        <v>20</v>
      </c>
      <c r="Z21" s="69">
        <f t="array" ref="Z21">XLOOKUP(D21,RUC!$B$3:$B$110,RUC!$H$3:$H$110)</f>
        <v>30</v>
      </c>
      <c r="AA21" s="70">
        <f t="shared" si="3"/>
        <v>50</v>
      </c>
      <c r="AB21" s="71">
        <f t="shared" si="4"/>
        <v>3204.228416</v>
      </c>
      <c r="AC21" s="71">
        <f>+(S21-T21)*V21-'data 1'!$F$4</f>
        <v>107.391</v>
      </c>
      <c r="AD21" s="71">
        <f t="shared" si="5"/>
        <v>223.0439869</v>
      </c>
      <c r="AE21" s="71">
        <f t="shared" si="6"/>
        <v>-14.885</v>
      </c>
      <c r="AF21" s="71">
        <f t="shared" si="7"/>
        <v>34.35792402</v>
      </c>
      <c r="AG21" s="72">
        <f t="shared" si="8"/>
        <v>366.9079109</v>
      </c>
      <c r="AH21" s="193">
        <f t="shared" si="9"/>
        <v>22.7</v>
      </c>
      <c r="AI21" s="193">
        <f t="shared" si="10"/>
        <v>23.702</v>
      </c>
      <c r="AJ21" s="73">
        <f t="shared" si="11"/>
        <v>356.4885339</v>
      </c>
      <c r="AK21" s="73">
        <f t="shared" si="12"/>
        <v>21.1341029</v>
      </c>
      <c r="AM21" s="51">
        <f t="shared" si="13"/>
        <v>2569.79119</v>
      </c>
      <c r="AN21" s="51" t="str">
        <f t="array" ref="AN21">XLOOKUP(D21,RUC!$B$3:$B$565,RUC!$M$3:$M$565)</f>
        <v>Richard Sapacayo</v>
      </c>
      <c r="AO21" s="131" t="s">
        <v>547</v>
      </c>
      <c r="AP21" s="57" t="s">
        <v>2391</v>
      </c>
      <c r="AQ21" s="57" t="s">
        <v>2392</v>
      </c>
      <c r="BA21" s="203">
        <f>SUM(BA23:BA32)</f>
        <v>0</v>
      </c>
    </row>
    <row r="22" ht="15.0" customHeight="1">
      <c r="A22" s="116" t="s">
        <v>2393</v>
      </c>
      <c r="B22" s="182">
        <v>46003.0</v>
      </c>
      <c r="C22" s="182">
        <v>45999.0</v>
      </c>
      <c r="D22" s="57" t="s">
        <v>225</v>
      </c>
      <c r="E22" s="3">
        <f t="array" ref="E22">XLOOKUP(D22,RUC!$B$3:$B$110,RUC!$D$3:$D$110)</f>
        <v>10761932735</v>
      </c>
      <c r="G22" s="141">
        <v>50.0</v>
      </c>
      <c r="H22" s="3" t="s">
        <v>47</v>
      </c>
      <c r="I22" s="6">
        <v>4.87</v>
      </c>
      <c r="J22" s="58">
        <v>14.28</v>
      </c>
      <c r="K22" s="6">
        <f t="shared" si="2"/>
        <v>4.175</v>
      </c>
      <c r="L22" s="139">
        <v>0.256</v>
      </c>
      <c r="M22" s="60">
        <f t="shared" si="24"/>
        <v>0.238</v>
      </c>
      <c r="N22" s="62">
        <f t="shared" ref="N22:N24" si="26">+M22</f>
        <v>0.238</v>
      </c>
      <c r="O22" s="60">
        <f t="shared" si="17"/>
        <v>0.238</v>
      </c>
      <c r="P22" s="63">
        <v>90.0</v>
      </c>
      <c r="Q22" s="58">
        <v>92.58</v>
      </c>
      <c r="R22" s="65">
        <v>4188.25</v>
      </c>
      <c r="S22" s="66">
        <f t="array" ref="S22">IF((XLOOKUP(D22,RUC!$B$3:$B$106,RUC!$E$3:$E$106)+ROUNDDOWN(O22,1)*100)&lt;95,95,((XLOOKUP(D22,RUC!$B$3:$B$106,RUC!$E$3:$E$106)+ROUNDDOWN(O22,1)*100)))</f>
        <v>110</v>
      </c>
      <c r="U22" s="67">
        <f t="array" ref="U22">XLOOKUP(D22,RUC!$B$3:$B$110,RUC!$F$3:$F$110)</f>
        <v>120</v>
      </c>
      <c r="V22" s="67">
        <v>1.1023</v>
      </c>
      <c r="Y22" s="57">
        <f t="array" ref="Y22">XLOOKUP(D22,RUC!$B$3:$B$110,RUC!$G$3:$G$110)</f>
        <v>20</v>
      </c>
      <c r="Z22" s="69">
        <f t="array" ref="Z22">XLOOKUP(D22,RUC!$B$3:$B$110,RUC!$H$3:$H$110)</f>
        <v>30</v>
      </c>
      <c r="AA22" s="70">
        <f t="shared" si="3"/>
        <v>50</v>
      </c>
      <c r="AB22" s="71">
        <f t="shared" si="4"/>
        <v>784.197329</v>
      </c>
      <c r="AC22" s="71">
        <f>+(S22-T22)*V22-'data 1'!$F$4</f>
        <v>41.253</v>
      </c>
      <c r="AD22" s="71">
        <f t="shared" si="5"/>
        <v>29.61877631</v>
      </c>
      <c r="AE22" s="71">
        <f t="shared" si="6"/>
        <v>-14.885</v>
      </c>
      <c r="AF22" s="71">
        <f t="shared" si="7"/>
        <v>74.7303682</v>
      </c>
      <c r="AG22" s="72">
        <f t="shared" si="8"/>
        <v>147.7171445</v>
      </c>
      <c r="AH22" s="193">
        <f t="shared" si="9"/>
        <v>33.925</v>
      </c>
      <c r="AI22" s="193">
        <f t="shared" si="10"/>
        <v>36.644</v>
      </c>
      <c r="AJ22" s="73">
        <f t="shared" si="11"/>
        <v>102.3448407</v>
      </c>
      <c r="AK22" s="73">
        <f t="shared" si="12"/>
        <v>30.66090825</v>
      </c>
      <c r="AM22" s="51">
        <f t="shared" si="13"/>
        <v>3274.023849</v>
      </c>
      <c r="AN22" s="51" t="str">
        <f t="array" ref="AN22">XLOOKUP(D22,RUC!$B$3:$B$565,RUC!$M$3:$M$565)</f>
        <v>Richard Sapacayo</v>
      </c>
      <c r="AO22" s="131" t="s">
        <v>558</v>
      </c>
      <c r="AP22" s="57" t="s">
        <v>2391</v>
      </c>
      <c r="AQ22" s="57" t="s">
        <v>2392</v>
      </c>
      <c r="AV22" s="3"/>
      <c r="AW22" s="3" t="s">
        <v>14</v>
      </c>
      <c r="AX22" s="3" t="s">
        <v>683</v>
      </c>
      <c r="AY22" s="3" t="s">
        <v>686</v>
      </c>
      <c r="AZ22" s="204" t="s">
        <v>700</v>
      </c>
      <c r="BA22" s="3" t="s">
        <v>687</v>
      </c>
    </row>
    <row r="23" ht="15.0" customHeight="1">
      <c r="A23" s="116" t="s">
        <v>2394</v>
      </c>
      <c r="B23" s="182">
        <v>46003.0</v>
      </c>
      <c r="C23" s="182">
        <v>45999.0</v>
      </c>
      <c r="D23" s="57" t="s">
        <v>225</v>
      </c>
      <c r="E23" s="3">
        <f t="array" ref="E23">XLOOKUP(D23,RUC!$B$3:$B$110,RUC!$D$3:$D$110)</f>
        <v>10761932735</v>
      </c>
      <c r="G23" s="141">
        <v>61.0</v>
      </c>
      <c r="H23" s="3" t="s">
        <v>47</v>
      </c>
      <c r="I23" s="6">
        <v>4.46</v>
      </c>
      <c r="J23" s="58">
        <v>6.9</v>
      </c>
      <c r="K23" s="6">
        <f t="shared" si="2"/>
        <v>4.152</v>
      </c>
      <c r="L23" s="139">
        <v>0.169</v>
      </c>
      <c r="M23" s="60">
        <f t="shared" si="24"/>
        <v>0.151</v>
      </c>
      <c r="N23" s="62">
        <f t="shared" si="26"/>
        <v>0.151</v>
      </c>
      <c r="O23" s="60">
        <f t="shared" si="17"/>
        <v>0.151</v>
      </c>
      <c r="P23" s="63">
        <v>90.0</v>
      </c>
      <c r="Q23" s="58">
        <v>90.53</v>
      </c>
      <c r="R23" s="65">
        <v>4188.25</v>
      </c>
      <c r="S23" s="66">
        <f t="array" ref="S23">IF((XLOOKUP(D23,RUC!$B$3:$B$106,RUC!$E$3:$E$106)+ROUNDDOWN(O23,1)*100)&lt;95,95,((XLOOKUP(D23,RUC!$B$3:$B$106,RUC!$E$3:$E$106)+ROUNDDOWN(O23,1)*100)))</f>
        <v>100</v>
      </c>
      <c r="U23" s="67">
        <f t="array" ref="U23">XLOOKUP(D23,RUC!$B$3:$B$110,RUC!$F$3:$F$110)</f>
        <v>120</v>
      </c>
      <c r="V23" s="67">
        <v>1.1023</v>
      </c>
      <c r="Y23" s="57">
        <f t="array" ref="Y23">XLOOKUP(D23,RUC!$B$3:$B$110,RUC!$G$3:$G$110)</f>
        <v>20</v>
      </c>
      <c r="Z23" s="69">
        <f t="array" ref="Z23">XLOOKUP(D23,RUC!$B$3:$B$110,RUC!$H$3:$H$110)</f>
        <v>30</v>
      </c>
      <c r="AA23" s="70">
        <f t="shared" si="3"/>
        <v>50</v>
      </c>
      <c r="AB23" s="71">
        <f t="shared" si="4"/>
        <v>444.0893054</v>
      </c>
      <c r="AC23" s="71">
        <f>+(S23-T23)*V23-'data 1'!$F$4</f>
        <v>30.23</v>
      </c>
      <c r="AD23" s="71">
        <f t="shared" si="5"/>
        <v>4.01670572</v>
      </c>
      <c r="AE23" s="71">
        <f t="shared" si="6"/>
        <v>-14.885</v>
      </c>
      <c r="AF23" s="71">
        <f t="shared" si="7"/>
        <v>73.07561281</v>
      </c>
      <c r="AG23" s="72">
        <f t="shared" si="8"/>
        <v>109.4373185</v>
      </c>
      <c r="AH23" s="193">
        <f t="shared" si="9"/>
        <v>21.779</v>
      </c>
      <c r="AI23" s="193">
        <f t="shared" si="10"/>
        <v>24.058</v>
      </c>
      <c r="AJ23" s="73">
        <f t="shared" si="11"/>
        <v>66.06752497</v>
      </c>
      <c r="AK23" s="73">
        <f t="shared" si="12"/>
        <v>19.34576335</v>
      </c>
      <c r="AM23" s="51">
        <f t="shared" si="13"/>
        <v>1843.858796</v>
      </c>
      <c r="AN23" s="51" t="str">
        <f t="array" ref="AN23">XLOOKUP(D23,RUC!$B$3:$B$565,RUC!$M$3:$M$565)</f>
        <v>Richard Sapacayo</v>
      </c>
      <c r="AO23" s="131" t="s">
        <v>558</v>
      </c>
      <c r="AP23" s="57" t="s">
        <v>2391</v>
      </c>
      <c r="AQ23" s="57" t="s">
        <v>2392</v>
      </c>
      <c r="AV23" s="152" t="s">
        <v>558</v>
      </c>
      <c r="AW23" s="154">
        <f t="shared" ref="AW23:AW32" si="27">SUMIF($AO$4:$AO$1127,AV23,$K$4:$K$1127)</f>
        <v>156.99</v>
      </c>
      <c r="AX23" s="154"/>
      <c r="AY23" s="157">
        <f t="shared" ref="AY23:AY32" si="28">AW23*AX23*31.1035*1.1023</f>
        <v>0</v>
      </c>
      <c r="AZ23" s="58"/>
      <c r="BA23" s="159">
        <f t="shared" ref="BA23:BA32" si="29">AY23*AZ23/100</f>
        <v>0</v>
      </c>
      <c r="BB23" s="449" t="s">
        <v>2395</v>
      </c>
      <c r="BC23" s="450">
        <f>+BB6</f>
        <v>4321.235</v>
      </c>
    </row>
    <row r="24" ht="15.0" customHeight="1">
      <c r="A24" s="116" t="s">
        <v>2396</v>
      </c>
      <c r="B24" s="182">
        <v>46002.0</v>
      </c>
      <c r="C24" s="182">
        <v>45999.0</v>
      </c>
      <c r="D24" s="57" t="s">
        <v>225</v>
      </c>
      <c r="E24" s="3">
        <f t="array" ref="E24">XLOOKUP(D24,RUC!$B$3:$B$110,RUC!$D$3:$D$110)</f>
        <v>10761932735</v>
      </c>
      <c r="G24" s="141">
        <v>45.0</v>
      </c>
      <c r="H24" s="3" t="s">
        <v>47</v>
      </c>
      <c r="I24" s="6">
        <v>3.76</v>
      </c>
      <c r="J24" s="58">
        <v>10.9</v>
      </c>
      <c r="K24" s="6">
        <f t="shared" si="2"/>
        <v>3.35</v>
      </c>
      <c r="L24" s="139">
        <v>0.514</v>
      </c>
      <c r="M24" s="60">
        <f t="shared" si="24"/>
        <v>0.483</v>
      </c>
      <c r="N24" s="62">
        <f t="shared" si="26"/>
        <v>0.483</v>
      </c>
      <c r="O24" s="60">
        <f t="shared" si="17"/>
        <v>0.483</v>
      </c>
      <c r="P24" s="63">
        <v>89.0</v>
      </c>
      <c r="Q24" s="58">
        <v>89.88</v>
      </c>
      <c r="R24" s="65">
        <v>4188.25</v>
      </c>
      <c r="S24" s="66">
        <f t="array" ref="S24">IF((XLOOKUP(D24,RUC!$B$3:$B$106,RUC!$E$3:$E$106)+ROUNDDOWN(O24,1)*100)&lt;95,95,((XLOOKUP(D24,RUC!$B$3:$B$106,RUC!$E$3:$E$106)+ROUNDDOWN(O24,1)*100)))</f>
        <v>130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69">
        <f t="array" ref="Z24">XLOOKUP(D24,RUC!$B$3:$B$110,RUC!$H$3:$H$110)</f>
        <v>30</v>
      </c>
      <c r="AA24" s="70">
        <f t="shared" si="3"/>
        <v>50</v>
      </c>
      <c r="AB24" s="71">
        <f t="shared" si="4"/>
        <v>1729.308773</v>
      </c>
      <c r="AC24" s="71">
        <f>+(S24-T24)*V24-'data 1'!$F$4</f>
        <v>63.299</v>
      </c>
      <c r="AD24" s="71">
        <f t="shared" si="5"/>
        <v>20.28398271</v>
      </c>
      <c r="AE24" s="71">
        <f t="shared" si="6"/>
        <v>-14.885</v>
      </c>
      <c r="AF24" s="71">
        <f t="shared" si="7"/>
        <v>124.9488312</v>
      </c>
      <c r="AG24" s="72">
        <f t="shared" si="8"/>
        <v>210.6468139</v>
      </c>
      <c r="AH24" s="193">
        <f t="shared" si="9"/>
        <v>53.062</v>
      </c>
      <c r="AI24" s="193">
        <f t="shared" si="10"/>
        <v>59.036</v>
      </c>
      <c r="AJ24" s="73">
        <f t="shared" si="11"/>
        <v>199.4963689</v>
      </c>
      <c r="AK24" s="73">
        <f t="shared" si="12"/>
        <v>49.3731702</v>
      </c>
      <c r="AM24" s="51">
        <f t="shared" si="13"/>
        <v>5793.18439</v>
      </c>
      <c r="AN24" s="51" t="str">
        <f t="array" ref="AN24">XLOOKUP(D24,RUC!$B$3:$B$565,RUC!$M$3:$M$565)</f>
        <v>Richard Sapacayo</v>
      </c>
      <c r="AO24" s="131" t="s">
        <v>547</v>
      </c>
      <c r="AP24" s="57" t="s">
        <v>2391</v>
      </c>
      <c r="AQ24" s="57" t="s">
        <v>2392</v>
      </c>
      <c r="AV24" s="160" t="s">
        <v>551</v>
      </c>
      <c r="AW24" s="6">
        <f t="shared" si="27"/>
        <v>152.89</v>
      </c>
      <c r="AX24" s="6"/>
      <c r="AY24" s="58">
        <f t="shared" si="28"/>
        <v>0</v>
      </c>
      <c r="AZ24" s="58"/>
      <c r="BA24" s="162">
        <f t="shared" si="29"/>
        <v>0</v>
      </c>
      <c r="BB24" s="451" t="s">
        <v>2397</v>
      </c>
      <c r="BC24" s="452">
        <f>+'32'!BC26+'32'!BC27</f>
        <v>1126.339</v>
      </c>
    </row>
    <row r="25" ht="15.0" customHeight="1">
      <c r="A25" s="116" t="s">
        <v>2398</v>
      </c>
      <c r="B25" s="182">
        <v>46002.0</v>
      </c>
      <c r="C25" s="182">
        <v>45999.0</v>
      </c>
      <c r="D25" s="57" t="s">
        <v>225</v>
      </c>
      <c r="E25" s="3">
        <f t="array" ref="E25">XLOOKUP(D25,RUC!$B$3:$B$110,RUC!$D$3:$D$110)</f>
        <v>10761932735</v>
      </c>
      <c r="G25" s="141">
        <v>141.0</v>
      </c>
      <c r="H25" s="3" t="s">
        <v>47</v>
      </c>
      <c r="I25" s="6">
        <v>12.25</v>
      </c>
      <c r="J25" s="58">
        <v>7.8</v>
      </c>
      <c r="K25" s="6">
        <f t="shared" si="2"/>
        <v>11.295</v>
      </c>
      <c r="L25" s="139">
        <v>0.211</v>
      </c>
      <c r="M25" s="60">
        <f t="shared" si="24"/>
        <v>0.193</v>
      </c>
      <c r="N25" s="75">
        <v>0.237</v>
      </c>
      <c r="O25" s="60">
        <f t="shared" si="17"/>
        <v>0.215</v>
      </c>
      <c r="P25" s="63">
        <v>87.0</v>
      </c>
      <c r="Q25" s="58">
        <v>87.2</v>
      </c>
      <c r="R25" s="65">
        <v>4188.25</v>
      </c>
      <c r="S25" s="66">
        <f t="array" ref="S25">IF((XLOOKUP(D25,RUC!$B$3:$B$106,RUC!$E$3:$E$106)+ROUNDDOWN(O25,1)*100)&lt;95,95,((XLOOKUP(D25,RUC!$B$3:$B$106,RUC!$E$3:$E$106)+ROUNDDOWN(O25,1)*100)))</f>
        <v>110</v>
      </c>
      <c r="U25" s="67">
        <f t="array" ref="U25">XLOOKUP(D25,RUC!$B$3:$B$110,RUC!$F$3:$F$110)</f>
        <v>120</v>
      </c>
      <c r="V25" s="67">
        <v>1.1023</v>
      </c>
      <c r="Y25" s="57">
        <f t="array" ref="Y25">XLOOKUP(D25,RUC!$B$3:$B$110,RUC!$G$3:$G$110)</f>
        <v>20</v>
      </c>
      <c r="Z25" s="69">
        <f t="array" ref="Z25">XLOOKUP(D25,RUC!$B$3:$B$110,RUC!$H$3:$H$110)</f>
        <v>30</v>
      </c>
      <c r="AA25" s="70">
        <f t="shared" si="3"/>
        <v>50</v>
      </c>
      <c r="AB25" s="71">
        <f t="shared" si="4"/>
        <v>662.4450009</v>
      </c>
      <c r="AC25" s="71">
        <f>+(S25-T25)*V25-'data 1'!$F$4</f>
        <v>41.253</v>
      </c>
      <c r="AD25" s="71">
        <f t="shared" si="5"/>
        <v>1.892430293</v>
      </c>
      <c r="AE25" s="71">
        <f t="shared" si="6"/>
        <v>-14.885</v>
      </c>
      <c r="AF25" s="71">
        <f t="shared" si="7"/>
        <v>-15.64169873</v>
      </c>
      <c r="AG25" s="72">
        <f t="shared" si="8"/>
        <v>29.61873156</v>
      </c>
      <c r="AH25" s="193">
        <f t="shared" si="9"/>
        <v>71.252</v>
      </c>
      <c r="AI25" s="193">
        <f t="shared" si="10"/>
        <v>81.71</v>
      </c>
      <c r="AJ25" s="73">
        <f t="shared" si="11"/>
        <v>79.45253399</v>
      </c>
      <c r="AK25" s="73">
        <f t="shared" si="12"/>
        <v>72.43575932</v>
      </c>
      <c r="AM25" s="51">
        <f t="shared" si="13"/>
        <v>7482.316285</v>
      </c>
      <c r="AN25" s="51" t="str">
        <f t="array" ref="AN25">XLOOKUP(D25,RUC!$B$3:$B$565,RUC!$M$3:$M$565)</f>
        <v>Richard Sapacayo</v>
      </c>
      <c r="AO25" s="131" t="s">
        <v>551</v>
      </c>
      <c r="AP25" s="57" t="s">
        <v>2391</v>
      </c>
      <c r="AQ25" s="57" t="s">
        <v>2392</v>
      </c>
      <c r="AV25" s="160" t="s">
        <v>547</v>
      </c>
      <c r="AW25" s="6">
        <f t="shared" si="27"/>
        <v>124.518</v>
      </c>
      <c r="AX25" s="6"/>
      <c r="AY25" s="58">
        <f t="shared" si="28"/>
        <v>0</v>
      </c>
      <c r="AZ25" s="58"/>
      <c r="BA25" s="162">
        <f t="shared" si="29"/>
        <v>0</v>
      </c>
      <c r="BB25" s="454" t="s">
        <v>2399</v>
      </c>
      <c r="BC25" s="459">
        <v>4538.65</v>
      </c>
    </row>
    <row r="26" ht="15.0" customHeight="1">
      <c r="A26" s="116" t="s">
        <v>2400</v>
      </c>
      <c r="B26" s="182">
        <v>46004.0</v>
      </c>
      <c r="C26" s="182">
        <v>45999.0</v>
      </c>
      <c r="D26" s="57" t="s">
        <v>306</v>
      </c>
      <c r="E26" s="3">
        <f t="array" ref="E26">XLOOKUP(D26,RUC!$B$3:$B$110,RUC!$D$3:$D$110)</f>
        <v>20612921866</v>
      </c>
      <c r="G26" s="141" t="s">
        <v>735</v>
      </c>
      <c r="H26" s="3" t="s">
        <v>47</v>
      </c>
      <c r="I26" s="6">
        <v>10.46</v>
      </c>
      <c r="J26" s="58">
        <v>1.2</v>
      </c>
      <c r="K26" s="6">
        <f t="shared" si="2"/>
        <v>10.334</v>
      </c>
      <c r="L26" s="139">
        <v>0.178</v>
      </c>
      <c r="M26" s="60">
        <f t="shared" si="24"/>
        <v>0.16</v>
      </c>
      <c r="N26" s="62">
        <f t="shared" ref="N26:N30" si="30">+M26</f>
        <v>0.16</v>
      </c>
      <c r="O26" s="60">
        <f t="shared" si="17"/>
        <v>0.16</v>
      </c>
      <c r="P26" s="63">
        <v>90.0</v>
      </c>
      <c r="Q26" s="58">
        <v>90.45</v>
      </c>
      <c r="R26" s="65">
        <v>4188.25</v>
      </c>
      <c r="S26" s="66">
        <f t="array" ref="S26">IF((XLOOKUP(D26,RUC!$B$3:$B$106,RUC!$E$3:$E$106)+ROUNDDOWN(O26,1)*100)&lt;95,95,((XLOOKUP(D26,RUC!$B$3:$B$106,RUC!$E$3:$E$106)+ROUNDDOWN(O26,1)*100)))</f>
        <v>95</v>
      </c>
      <c r="U26" s="67">
        <f t="array" ref="U26">XLOOKUP(D26,RUC!$B$3:$B$110,RUC!$F$3:$F$110)</f>
        <v>100</v>
      </c>
      <c r="V26" s="67">
        <v>1.1023</v>
      </c>
      <c r="Y26" s="57" t="str">
        <f t="array" ref="Y26">XLOOKUP(D26,RUC!$B$3:$B$110,RUC!$G$3:$G$110)</f>
        <v/>
      </c>
      <c r="Z26" s="69">
        <f t="array" ref="Z26">XLOOKUP(D26,RUC!$B$3:$B$110,RUC!$H$3:$H$110)</f>
        <v>30</v>
      </c>
      <c r="AA26" s="70">
        <f t="shared" si="3"/>
        <v>30</v>
      </c>
      <c r="AB26" s="71">
        <f t="shared" si="4"/>
        <v>511.1453284</v>
      </c>
      <c r="AC26" s="71">
        <f>+(S26-T26)*V26-'data 1'!$F$4</f>
        <v>24.7185</v>
      </c>
      <c r="AD26" s="71">
        <f t="shared" si="5"/>
        <v>3.609688858</v>
      </c>
      <c r="AE26" s="71">
        <f t="shared" si="6"/>
        <v>-36.931</v>
      </c>
      <c r="AF26" s="71">
        <f t="shared" si="7"/>
        <v>73.36996791</v>
      </c>
      <c r="AG26" s="72">
        <f>AC26+AD26+AE26+AF26+70-10</f>
        <v>124.7671568</v>
      </c>
      <c r="AH26" s="193">
        <f t="shared" si="9"/>
        <v>57.043</v>
      </c>
      <c r="AI26" s="193">
        <f t="shared" si="10"/>
        <v>63.066</v>
      </c>
      <c r="AJ26" s="73">
        <f t="shared" si="11"/>
        <v>65.97499381</v>
      </c>
      <c r="AK26" s="73">
        <f t="shared" si="12"/>
        <v>51.01994882</v>
      </c>
      <c r="AL26" s="11"/>
      <c r="AM26" s="51">
        <f t="shared" si="13"/>
        <v>5282.175824</v>
      </c>
      <c r="AN26" s="51" t="str">
        <f t="array" ref="AN26">XLOOKUP(D26,RUC!$B$3:$B$565,RUC!$M$3:$M$565)</f>
        <v>Ronald Garibay</v>
      </c>
      <c r="AO26" s="131" t="s">
        <v>551</v>
      </c>
      <c r="AP26" s="57" t="s">
        <v>2401</v>
      </c>
      <c r="AQ26" s="57" t="s">
        <v>782</v>
      </c>
      <c r="AV26" s="160" t="s">
        <v>549</v>
      </c>
      <c r="AW26" s="6">
        <f t="shared" si="27"/>
        <v>0</v>
      </c>
      <c r="AX26" s="6"/>
      <c r="AY26" s="58">
        <f t="shared" si="28"/>
        <v>0</v>
      </c>
      <c r="AZ26" s="58"/>
      <c r="BA26" s="162">
        <f t="shared" si="29"/>
        <v>0</v>
      </c>
      <c r="BB26" s="454" t="s">
        <v>2402</v>
      </c>
      <c r="BC26" s="459">
        <v>951.605</v>
      </c>
    </row>
    <row r="27" ht="15.0" customHeight="1">
      <c r="A27" s="116" t="s">
        <v>2403</v>
      </c>
      <c r="B27" s="182">
        <v>46004.0</v>
      </c>
      <c r="C27" s="182">
        <v>46000.0</v>
      </c>
      <c r="D27" s="57" t="s">
        <v>665</v>
      </c>
      <c r="E27" s="3">
        <f t="array" ref="E27">XLOOKUP(D27,RUC!$B$3:$B$110,RUC!$D$3:$D$110)</f>
        <v>20608774000</v>
      </c>
      <c r="G27" s="141">
        <v>17.0</v>
      </c>
      <c r="H27" s="3" t="s">
        <v>47</v>
      </c>
      <c r="I27" s="6">
        <v>1.5</v>
      </c>
      <c r="J27" s="58">
        <v>1.3</v>
      </c>
      <c r="K27" s="6">
        <f t="shared" si="2"/>
        <v>1.481</v>
      </c>
      <c r="L27" s="139">
        <v>0.318</v>
      </c>
      <c r="M27" s="60">
        <f t="shared" si="24"/>
        <v>0.299</v>
      </c>
      <c r="N27" s="62">
        <f t="shared" si="30"/>
        <v>0.299</v>
      </c>
      <c r="O27" s="60">
        <f t="shared" si="17"/>
        <v>0.299</v>
      </c>
      <c r="P27" s="63">
        <v>90.0</v>
      </c>
      <c r="Q27" s="58">
        <v>94.97</v>
      </c>
      <c r="R27" s="65">
        <v>4198.0</v>
      </c>
      <c r="S27" s="66">
        <f t="array" ref="S27">IF((XLOOKUP(D27,RUC!$B$3:$B$106,RUC!$E$3:$E$106)+ROUNDDOWN(O27,1)*100)&lt;95,95,((XLOOKUP(D27,RUC!$B$3:$B$106,RUC!$E$3:$E$106)+ROUNDDOWN(O27,1)*100)))</f>
        <v>105</v>
      </c>
      <c r="U27" s="67">
        <f t="array" ref="U27">XLOOKUP(D27,RUC!$B$3:$B$110,RUC!$F$3:$F$110)</f>
        <v>120</v>
      </c>
      <c r="V27" s="67">
        <v>1.1023</v>
      </c>
      <c r="Y27" s="57">
        <f t="array" ref="Y27">XLOOKUP(D27,RUC!$B$3:$B$110,RUC!$G$3:$G$110)</f>
        <v>20</v>
      </c>
      <c r="Z27" s="140">
        <v>35.0</v>
      </c>
      <c r="AA27" s="70">
        <f t="shared" si="3"/>
        <v>55</v>
      </c>
      <c r="AB27" s="71">
        <f t="shared" si="4"/>
        <v>1033.284777</v>
      </c>
      <c r="AC27" s="71">
        <f>+(S27-T27)*V27-'data 1'!$F$4</f>
        <v>35.7415</v>
      </c>
      <c r="AD27" s="71">
        <f t="shared" si="5"/>
        <v>71.04451235</v>
      </c>
      <c r="AE27" s="71">
        <f t="shared" si="6"/>
        <v>-9.3735</v>
      </c>
      <c r="AF27" s="71">
        <f t="shared" si="7"/>
        <v>81.11236565</v>
      </c>
      <c r="AG27" s="72">
        <f t="shared" ref="AG27:AG33" si="31">AC27+AD27+AE27+AF27+70-53</f>
        <v>195.524878</v>
      </c>
      <c r="AH27" s="193">
        <f t="shared" si="9"/>
        <v>15.335</v>
      </c>
      <c r="AI27" s="193">
        <f t="shared" si="10"/>
        <v>16.147</v>
      </c>
      <c r="AJ27" s="73">
        <f t="shared" si="11"/>
        <v>127.1676742</v>
      </c>
      <c r="AK27" s="73">
        <f t="shared" si="12"/>
        <v>13.66399913</v>
      </c>
      <c r="AM27" s="51">
        <f t="shared" si="13"/>
        <v>1530.294754</v>
      </c>
      <c r="AN27" s="51" t="str">
        <f t="array" ref="AN27">XLOOKUP(D27,RUC!$B$3:$B$565,RUC!$M$3:$M$565)</f>
        <v>Ronald Miranda</v>
      </c>
      <c r="AO27" s="131" t="s">
        <v>558</v>
      </c>
      <c r="AP27" s="57" t="s">
        <v>2404</v>
      </c>
      <c r="AQ27" s="57" t="s">
        <v>2345</v>
      </c>
      <c r="AV27" s="160" t="s">
        <v>561</v>
      </c>
      <c r="AW27" s="6">
        <f t="shared" si="27"/>
        <v>0</v>
      </c>
      <c r="AX27" s="6"/>
      <c r="AY27" s="58">
        <f t="shared" si="28"/>
        <v>0</v>
      </c>
      <c r="AZ27" s="58"/>
      <c r="BA27" s="162">
        <f t="shared" si="29"/>
        <v>0</v>
      </c>
      <c r="BB27" s="454" t="s">
        <v>2405</v>
      </c>
      <c r="BC27" s="459">
        <v>154.485</v>
      </c>
    </row>
    <row r="28" ht="15.0" customHeight="1">
      <c r="A28" s="116" t="s">
        <v>2406</v>
      </c>
      <c r="B28" s="182">
        <v>46004.0</v>
      </c>
      <c r="C28" s="182">
        <v>46000.0</v>
      </c>
      <c r="D28" s="57" t="s">
        <v>602</v>
      </c>
      <c r="E28" s="3">
        <f t="array" ref="E28">XLOOKUP(D28,RUC!$B$3:$B$110,RUC!$D$3:$D$110)</f>
        <v>20169040231</v>
      </c>
      <c r="G28" s="141">
        <v>10.0</v>
      </c>
      <c r="H28" s="3" t="s">
        <v>47</v>
      </c>
      <c r="I28" s="6">
        <v>1.04</v>
      </c>
      <c r="J28" s="58">
        <v>4.6</v>
      </c>
      <c r="K28" s="6">
        <f t="shared" si="2"/>
        <v>0.992</v>
      </c>
      <c r="L28" s="139">
        <v>0.135</v>
      </c>
      <c r="M28" s="60">
        <f t="shared" si="24"/>
        <v>0.117</v>
      </c>
      <c r="N28" s="62">
        <f t="shared" si="30"/>
        <v>0.117</v>
      </c>
      <c r="O28" s="60">
        <f t="shared" si="17"/>
        <v>0.117</v>
      </c>
      <c r="P28" s="63">
        <v>80.0</v>
      </c>
      <c r="Q28" s="58">
        <v>97.04</v>
      </c>
      <c r="R28" s="65">
        <v>4198.0</v>
      </c>
      <c r="S28" s="66">
        <f t="array" ref="S28">IF((XLOOKUP(D28,RUC!$B$3:$B$106,RUC!$E$3:$E$106)+ROUNDDOWN(O28,1)*100)&lt;95,95,((XLOOKUP(D28,RUC!$B$3:$B$106,RUC!$E$3:$E$106)+ROUNDDOWN(O28,1)*100)))</f>
        <v>95</v>
      </c>
      <c r="U28" s="67">
        <f t="array" ref="U28">XLOOKUP(D28,RUC!$B$3:$B$110,RUC!$F$3:$F$110)</f>
        <v>120</v>
      </c>
      <c r="V28" s="67">
        <v>1.1023</v>
      </c>
      <c r="Y28" s="57">
        <f t="array" ref="Y28">XLOOKUP(D28,RUC!$B$3:$B$110,RUC!$G$3:$G$110)</f>
        <v>20</v>
      </c>
      <c r="Z28" s="140">
        <v>38.0</v>
      </c>
      <c r="AA28" s="70">
        <f t="shared" si="3"/>
        <v>58</v>
      </c>
      <c r="AB28" s="71">
        <f t="shared" si="4"/>
        <v>252.0968918</v>
      </c>
      <c r="AC28" s="71">
        <f>+(S28-T28)*V28-'data 1'!$F$4</f>
        <v>24.7185</v>
      </c>
      <c r="AD28" s="71">
        <f t="shared" si="5"/>
        <v>103.4071069</v>
      </c>
      <c r="AE28" s="71">
        <f t="shared" si="6"/>
        <v>-6.0666</v>
      </c>
      <c r="AF28" s="71">
        <f t="shared" si="7"/>
        <v>78.51819762</v>
      </c>
      <c r="AG28" s="72">
        <f t="shared" si="31"/>
        <v>217.5772045</v>
      </c>
      <c r="AH28" s="193">
        <f t="shared" si="9"/>
        <v>4.456</v>
      </c>
      <c r="AI28" s="193">
        <f t="shared" si="10"/>
        <v>4.591</v>
      </c>
      <c r="AJ28" s="73">
        <f t="shared" si="11"/>
        <v>55.16298091</v>
      </c>
      <c r="AK28" s="73">
        <f t="shared" si="12"/>
        <v>3.183439423</v>
      </c>
      <c r="AM28" s="51">
        <f t="shared" si="13"/>
        <v>250.0801167</v>
      </c>
      <c r="AN28" s="51" t="str">
        <f t="array" ref="AN28">XLOOKUP(D28,RUC!$B$3:$B$565,RUC!$M$3:$M$565)</f>
        <v>Ronald Miranda</v>
      </c>
      <c r="AO28" s="131" t="s">
        <v>558</v>
      </c>
      <c r="AP28" s="57" t="s">
        <v>2407</v>
      </c>
      <c r="AQ28" s="57" t="s">
        <v>2408</v>
      </c>
      <c r="AV28" s="160" t="s">
        <v>689</v>
      </c>
      <c r="AW28" s="6">
        <f t="shared" si="27"/>
        <v>0</v>
      </c>
      <c r="AY28" s="58">
        <f t="shared" si="28"/>
        <v>0</v>
      </c>
      <c r="BA28" s="162">
        <f t="shared" si="29"/>
        <v>0</v>
      </c>
      <c r="BB28" s="456" t="s">
        <v>1206</v>
      </c>
      <c r="BC28" s="457">
        <f>-BC23-BC24+BC25+BC26+BC27</f>
        <v>197.166</v>
      </c>
    </row>
    <row r="29" ht="15.0" customHeight="1">
      <c r="A29" s="192" t="s">
        <v>2409</v>
      </c>
      <c r="B29" s="194">
        <v>46004.0</v>
      </c>
      <c r="C29" s="182">
        <v>46000.0</v>
      </c>
      <c r="D29" s="57" t="s">
        <v>602</v>
      </c>
      <c r="E29" s="3">
        <f t="array" ref="E29">XLOOKUP(D29,RUC!$B$3:$B$110,RUC!$D$3:$D$110)</f>
        <v>20169040231</v>
      </c>
      <c r="G29" s="141">
        <v>14.0</v>
      </c>
      <c r="H29" s="3" t="s">
        <v>47</v>
      </c>
      <c r="I29" s="6">
        <v>1.37</v>
      </c>
      <c r="J29" s="58">
        <v>4.8</v>
      </c>
      <c r="K29" s="6">
        <f t="shared" si="2"/>
        <v>1.304</v>
      </c>
      <c r="L29" s="139">
        <v>0.05</v>
      </c>
      <c r="M29" s="60">
        <f t="shared" si="24"/>
        <v>0.032</v>
      </c>
      <c r="N29" s="62">
        <f t="shared" si="30"/>
        <v>0.032</v>
      </c>
      <c r="O29" s="60">
        <f t="shared" si="17"/>
        <v>0.032</v>
      </c>
      <c r="P29" s="63">
        <v>80.0</v>
      </c>
      <c r="Q29" s="58">
        <v>88.0</v>
      </c>
      <c r="R29" s="65">
        <v>4198.0</v>
      </c>
      <c r="S29" s="66">
        <f t="array" ref="S29">IF((XLOOKUP(D29,RUC!$B$3:$B$106,RUC!$E$3:$E$106)+ROUNDDOWN(O29,1)*100)&lt;95,95,((XLOOKUP(D29,RUC!$B$3:$B$106,RUC!$E$3:$E$106)+ROUNDDOWN(O29,1)*100)))</f>
        <v>95</v>
      </c>
      <c r="U29" s="67">
        <f t="array" ref="U29">XLOOKUP(D29,RUC!$B$3:$B$110,RUC!$F$3:$F$110)</f>
        <v>120</v>
      </c>
      <c r="V29" s="67">
        <v>1.1023</v>
      </c>
      <c r="Y29" s="57">
        <f t="array" ref="Y29">XLOOKUP(D29,RUC!$B$3:$B$110,RUC!$G$3:$G$110)</f>
        <v>20</v>
      </c>
      <c r="Z29" s="140">
        <v>38.0</v>
      </c>
      <c r="AA29" s="70">
        <f t="shared" si="3"/>
        <v>58</v>
      </c>
      <c r="AB29" s="71">
        <v>0.001</v>
      </c>
      <c r="AC29" s="71">
        <f>+(S29-T29)*V29-'data 1'!$F$4</f>
        <v>24.7185</v>
      </c>
      <c r="AD29" s="71">
        <f t="shared" si="5"/>
        <v>17.9807176</v>
      </c>
      <c r="AE29" s="71">
        <f t="shared" si="6"/>
        <v>-6.0666</v>
      </c>
      <c r="AF29" s="71">
        <f t="shared" si="7"/>
        <v>71.2036417</v>
      </c>
      <c r="AG29" s="72">
        <f t="shared" si="31"/>
        <v>124.8362593</v>
      </c>
      <c r="AH29" s="193">
        <f t="shared" si="9"/>
        <v>1.967</v>
      </c>
      <c r="AI29" s="193">
        <f t="shared" si="10"/>
        <v>2.235</v>
      </c>
      <c r="AJ29" s="73">
        <f t="shared" si="11"/>
        <v>18.5274584</v>
      </c>
      <c r="AK29" s="73">
        <f t="shared" si="12"/>
        <v>1.144528538</v>
      </c>
      <c r="AM29" s="51">
        <f t="shared" si="13"/>
        <v>0.001304</v>
      </c>
      <c r="AN29" s="51" t="str">
        <f t="array" ref="AN29">XLOOKUP(D29,RUC!$B$3:$B$565,RUC!$M$3:$M$565)</f>
        <v>Ronald Miranda</v>
      </c>
      <c r="AO29" s="131" t="s">
        <v>547</v>
      </c>
      <c r="AP29" s="57" t="s">
        <v>2407</v>
      </c>
      <c r="AQ29" s="57" t="s">
        <v>2408</v>
      </c>
      <c r="AV29" s="160" t="s">
        <v>690</v>
      </c>
      <c r="AW29" s="6">
        <f t="shared" si="27"/>
        <v>0</v>
      </c>
      <c r="AY29" s="58">
        <f t="shared" si="28"/>
        <v>0</v>
      </c>
      <c r="BA29" s="162">
        <f t="shared" si="29"/>
        <v>0</v>
      </c>
    </row>
    <row r="30" ht="15.0" customHeight="1">
      <c r="A30" s="116" t="s">
        <v>2410</v>
      </c>
      <c r="B30" s="182">
        <v>46006.0</v>
      </c>
      <c r="C30" s="182">
        <v>46000.0</v>
      </c>
      <c r="D30" s="57" t="s">
        <v>602</v>
      </c>
      <c r="E30" s="3">
        <f t="array" ref="E30">XLOOKUP(D30,RUC!$B$3:$B$110,RUC!$D$3:$D$110)</f>
        <v>20169040231</v>
      </c>
      <c r="G30" s="141">
        <v>68.0</v>
      </c>
      <c r="H30" s="3" t="s">
        <v>47</v>
      </c>
      <c r="I30" s="6">
        <v>6.31</v>
      </c>
      <c r="J30" s="58">
        <v>1.3</v>
      </c>
      <c r="K30" s="6">
        <f t="shared" si="2"/>
        <v>6.228</v>
      </c>
      <c r="L30" s="139">
        <v>0.187</v>
      </c>
      <c r="M30" s="60">
        <f t="shared" si="24"/>
        <v>0.169</v>
      </c>
      <c r="N30" s="62">
        <f t="shared" si="30"/>
        <v>0.169</v>
      </c>
      <c r="O30" s="60">
        <f t="shared" si="17"/>
        <v>0.169</v>
      </c>
      <c r="P30" s="63">
        <v>85.0</v>
      </c>
      <c r="Q30" s="58">
        <v>90.91</v>
      </c>
      <c r="R30" s="65">
        <v>4198.0</v>
      </c>
      <c r="S30" s="66">
        <f t="array" ref="S30">IF((XLOOKUP(D30,RUC!$B$3:$B$106,RUC!$E$3:$E$106)+ROUNDDOWN(O30,1)*100)&lt;95,95,((XLOOKUP(D30,RUC!$B$3:$B$106,RUC!$E$3:$E$106)+ROUNDDOWN(O30,1)*100)))</f>
        <v>95</v>
      </c>
      <c r="U30" s="67">
        <f t="array" ref="U30">XLOOKUP(D30,RUC!$B$3:$B$110,RUC!$F$3:$F$110)</f>
        <v>120</v>
      </c>
      <c r="V30" s="67">
        <v>1.1023</v>
      </c>
      <c r="Y30" s="57">
        <f t="array" ref="Y30">XLOOKUP(D30,RUC!$B$3:$B$110,RUC!$G$3:$G$110)</f>
        <v>20</v>
      </c>
      <c r="Z30" s="140">
        <v>38.0</v>
      </c>
      <c r="AA30" s="70">
        <f t="shared" si="3"/>
        <v>58</v>
      </c>
      <c r="AB30" s="71">
        <f t="shared" ref="AB30:AB70" si="32">+((O30*P30*(R30-U30)/100)-S30-AA30+T30)*V30</f>
        <v>477.0806208</v>
      </c>
      <c r="AC30" s="71">
        <f>+(S30-T30)*V30-'data 1'!$F$4</f>
        <v>24.7185</v>
      </c>
      <c r="AD30" s="71">
        <f t="shared" si="5"/>
        <v>49.67937417</v>
      </c>
      <c r="AE30" s="71">
        <f t="shared" si="6"/>
        <v>-6.0666</v>
      </c>
      <c r="AF30" s="71">
        <f t="shared" si="7"/>
        <v>73.55821667</v>
      </c>
      <c r="AG30" s="72">
        <f t="shared" si="31"/>
        <v>158.8894908</v>
      </c>
      <c r="AH30" s="193">
        <f t="shared" si="9"/>
        <v>36.3</v>
      </c>
      <c r="AI30" s="193">
        <f t="shared" si="10"/>
        <v>39.93</v>
      </c>
      <c r="AJ30" s="73">
        <f t="shared" si="11"/>
        <v>71.58407783</v>
      </c>
      <c r="AK30" s="73">
        <f t="shared" si="12"/>
        <v>30.67349785</v>
      </c>
      <c r="AM30" s="51">
        <f t="shared" si="13"/>
        <v>2971.258106</v>
      </c>
      <c r="AN30" s="51" t="str">
        <f t="array" ref="AN30">XLOOKUP(D30,RUC!$B$3:$B$565,RUC!$M$3:$M$565)</f>
        <v>Ronald Miranda</v>
      </c>
      <c r="AO30" s="131" t="s">
        <v>558</v>
      </c>
      <c r="AP30" s="57" t="s">
        <v>2407</v>
      </c>
      <c r="AQ30" s="57" t="s">
        <v>2408</v>
      </c>
      <c r="AV30" s="160" t="s">
        <v>691</v>
      </c>
      <c r="AW30" s="6">
        <f t="shared" si="27"/>
        <v>0</v>
      </c>
      <c r="AY30" s="58">
        <f t="shared" si="28"/>
        <v>0</v>
      </c>
      <c r="BA30" s="162">
        <f t="shared" si="29"/>
        <v>0</v>
      </c>
    </row>
    <row r="31" ht="15.0" customHeight="1">
      <c r="A31" s="116" t="s">
        <v>2411</v>
      </c>
      <c r="B31" s="182">
        <v>46006.0</v>
      </c>
      <c r="C31" s="182">
        <v>46000.0</v>
      </c>
      <c r="D31" s="57" t="s">
        <v>665</v>
      </c>
      <c r="E31" s="3">
        <f t="array" ref="E31">XLOOKUP(D31,RUC!$B$3:$B$110,RUC!$D$3:$D$110)</f>
        <v>20608774000</v>
      </c>
      <c r="G31" s="141">
        <v>92.0</v>
      </c>
      <c r="H31" s="3" t="s">
        <v>40</v>
      </c>
      <c r="I31" s="6">
        <v>7.79</v>
      </c>
      <c r="J31" s="58">
        <v>23.3</v>
      </c>
      <c r="K31" s="6">
        <f t="shared" si="2"/>
        <v>5.975</v>
      </c>
      <c r="L31" s="139">
        <v>2.394</v>
      </c>
      <c r="M31" s="60">
        <f t="shared" si="24"/>
        <v>2.25</v>
      </c>
      <c r="N31" s="75">
        <v>2.51</v>
      </c>
      <c r="O31" s="60">
        <f t="shared" si="17"/>
        <v>2.38</v>
      </c>
      <c r="P31" s="63">
        <v>84.0</v>
      </c>
      <c r="Q31" s="58">
        <v>84.8</v>
      </c>
      <c r="R31" s="65">
        <v>4198.0</v>
      </c>
      <c r="S31" s="66">
        <f t="array" ref="S31">IF((XLOOKUP(D31,RUC!$B$3:$B$106,RUC!$E$3:$E$106)+ROUNDDOWN(O31,1)*100)&lt;95,95,((XLOOKUP(D31,RUC!$B$3:$B$106,RUC!$E$3:$E$106)+ROUNDDOWN(O31,1)*100)))</f>
        <v>315</v>
      </c>
      <c r="U31" s="67">
        <f t="array" ref="U31">XLOOKUP(D31,RUC!$B$3:$B$110,RUC!$F$3:$F$110)</f>
        <v>120</v>
      </c>
      <c r="V31" s="67">
        <v>1.1023</v>
      </c>
      <c r="Y31" s="57">
        <f t="array" ref="Y31">XLOOKUP(D31,RUC!$B$3:$B$110,RUC!$G$3:$G$110)</f>
        <v>20</v>
      </c>
      <c r="Z31" s="140">
        <v>35.0</v>
      </c>
      <c r="AA31" s="70">
        <f t="shared" si="3"/>
        <v>55</v>
      </c>
      <c r="AB31" s="71">
        <f t="shared" si="32"/>
        <v>8578.911656</v>
      </c>
      <c r="AC31" s="71">
        <f>+(S31-T31)*V31-'data 1'!$F$4</f>
        <v>267.2245</v>
      </c>
      <c r="AD31" s="71">
        <f t="shared" si="5"/>
        <v>86.09167587</v>
      </c>
      <c r="AE31" s="71">
        <f t="shared" si="6"/>
        <v>-9.3735</v>
      </c>
      <c r="AF31" s="71">
        <f t="shared" si="7"/>
        <v>53.36676984</v>
      </c>
      <c r="AG31" s="72">
        <f t="shared" si="31"/>
        <v>414.3094457</v>
      </c>
      <c r="AH31" s="193">
        <f t="shared" si="9"/>
        <v>415.879</v>
      </c>
      <c r="AI31" s="193">
        <f t="shared" si="10"/>
        <v>490.423</v>
      </c>
      <c r="AJ31" s="73">
        <f t="shared" si="11"/>
        <v>854.8367188</v>
      </c>
      <c r="AK31" s="73">
        <f t="shared" si="12"/>
        <v>409.546503</v>
      </c>
      <c r="AM31" s="51">
        <f t="shared" si="13"/>
        <v>51258.99715</v>
      </c>
      <c r="AN31" s="51" t="str">
        <f t="array" ref="AN31">XLOOKUP(D31,RUC!$B$3:$B$565,RUC!$M$3:$M$565)</f>
        <v>Ronald Miranda</v>
      </c>
      <c r="AO31" s="131" t="s">
        <v>551</v>
      </c>
      <c r="AP31" s="57" t="s">
        <v>2404</v>
      </c>
      <c r="AQ31" s="57" t="s">
        <v>2345</v>
      </c>
      <c r="AR31" s="57" t="s">
        <v>2211</v>
      </c>
      <c r="AV31" s="160" t="s">
        <v>692</v>
      </c>
      <c r="AW31" s="6">
        <f t="shared" si="27"/>
        <v>0</v>
      </c>
      <c r="AY31" s="58">
        <f t="shared" si="28"/>
        <v>0</v>
      </c>
      <c r="BA31" s="162">
        <f t="shared" si="29"/>
        <v>0</v>
      </c>
    </row>
    <row r="32" ht="15.0" customHeight="1">
      <c r="A32" s="116" t="s">
        <v>2412</v>
      </c>
      <c r="B32" s="182">
        <v>46006.0</v>
      </c>
      <c r="C32" s="182">
        <v>46000.0</v>
      </c>
      <c r="D32" s="57" t="s">
        <v>665</v>
      </c>
      <c r="E32" s="3">
        <f t="array" ref="E32">XLOOKUP(D32,RUC!$B$3:$B$110,RUC!$D$3:$D$110)</f>
        <v>20608774000</v>
      </c>
      <c r="G32" s="141">
        <v>91.0</v>
      </c>
      <c r="H32" s="3" t="s">
        <v>40</v>
      </c>
      <c r="I32" s="6">
        <v>7.68</v>
      </c>
      <c r="J32" s="58">
        <v>23.8</v>
      </c>
      <c r="K32" s="6">
        <f t="shared" si="2"/>
        <v>5.852</v>
      </c>
      <c r="L32" s="139">
        <v>1.958</v>
      </c>
      <c r="M32" s="60">
        <f t="shared" si="24"/>
        <v>1.841</v>
      </c>
      <c r="N32" s="75">
        <v>2.027</v>
      </c>
      <c r="O32" s="60">
        <f t="shared" si="17"/>
        <v>1.934</v>
      </c>
      <c r="P32" s="63">
        <v>83.0</v>
      </c>
      <c r="Q32" s="58">
        <v>83.71</v>
      </c>
      <c r="R32" s="65">
        <v>4198.0</v>
      </c>
      <c r="S32" s="66">
        <f t="array" ref="S32">IF((XLOOKUP(D32,RUC!$B$3:$B$106,RUC!$E$3:$E$106)+ROUNDDOWN(O32,1)*100)&lt;95,95,((XLOOKUP(D32,RUC!$B$3:$B$106,RUC!$E$3:$E$106)+ROUNDDOWN(O32,1)*100)))</f>
        <v>275</v>
      </c>
      <c r="U32" s="67">
        <f t="array" ref="U32">XLOOKUP(D32,RUC!$B$3:$B$110,RUC!$F$3:$F$110)</f>
        <v>120</v>
      </c>
      <c r="V32" s="67">
        <v>1.1023</v>
      </c>
      <c r="Y32" s="57">
        <f t="array" ref="Y32">XLOOKUP(D32,RUC!$B$3:$B$110,RUC!$G$3:$G$110)</f>
        <v>20</v>
      </c>
      <c r="Z32" s="140">
        <v>35.0</v>
      </c>
      <c r="AA32" s="70">
        <f t="shared" si="3"/>
        <v>55</v>
      </c>
      <c r="AB32" s="71">
        <f t="shared" si="32"/>
        <v>6851.992876</v>
      </c>
      <c r="AC32" s="71">
        <f>+(S32-T32)*V32-'data 1'!$F$4</f>
        <v>223.1325</v>
      </c>
      <c r="AD32" s="71">
        <f t="shared" si="5"/>
        <v>62.49108498</v>
      </c>
      <c r="AE32" s="71">
        <f t="shared" si="6"/>
        <v>-9.3735</v>
      </c>
      <c r="AF32" s="71">
        <f t="shared" si="7"/>
        <v>90.30995222</v>
      </c>
      <c r="AG32" s="72">
        <f t="shared" si="31"/>
        <v>383.5600372</v>
      </c>
      <c r="AH32" s="193">
        <f t="shared" si="9"/>
        <v>328.854</v>
      </c>
      <c r="AI32" s="193">
        <f t="shared" si="10"/>
        <v>392.849</v>
      </c>
      <c r="AJ32" s="73">
        <f t="shared" si="11"/>
        <v>690.1654265</v>
      </c>
      <c r="AK32" s="73">
        <f t="shared" si="12"/>
        <v>322.0682762</v>
      </c>
      <c r="AM32" s="51">
        <f t="shared" si="13"/>
        <v>40097.86231</v>
      </c>
      <c r="AN32" s="51" t="str">
        <f t="array" ref="AN32">XLOOKUP(D32,RUC!$B$3:$B$565,RUC!$M$3:$M$565)</f>
        <v>Ronald Miranda</v>
      </c>
      <c r="AO32" s="131" t="s">
        <v>558</v>
      </c>
      <c r="AP32" s="57" t="s">
        <v>2404</v>
      </c>
      <c r="AQ32" s="57" t="s">
        <v>2345</v>
      </c>
      <c r="AR32" s="57" t="s">
        <v>2211</v>
      </c>
      <c r="AV32" s="163" t="s">
        <v>693</v>
      </c>
      <c r="AW32" s="165">
        <f t="shared" si="27"/>
        <v>0</v>
      </c>
      <c r="AX32" s="170"/>
      <c r="AY32" s="168">
        <f t="shared" si="28"/>
        <v>0</v>
      </c>
      <c r="AZ32" s="170"/>
      <c r="BA32" s="171">
        <f t="shared" si="29"/>
        <v>0</v>
      </c>
    </row>
    <row r="33" ht="15.0" customHeight="1">
      <c r="A33" s="116" t="s">
        <v>2413</v>
      </c>
      <c r="B33" s="182">
        <v>46006.0</v>
      </c>
      <c r="C33" s="182">
        <v>46000.0</v>
      </c>
      <c r="D33" s="57" t="s">
        <v>602</v>
      </c>
      <c r="E33" s="3">
        <f t="array" ref="E33">XLOOKUP(D33,RUC!$B$3:$B$110,RUC!$D$3:$D$110)</f>
        <v>20169040231</v>
      </c>
      <c r="G33" s="141">
        <v>48.0</v>
      </c>
      <c r="H33" s="3" t="s">
        <v>47</v>
      </c>
      <c r="I33" s="6">
        <v>4.28</v>
      </c>
      <c r="J33" s="58">
        <v>1.25</v>
      </c>
      <c r="K33" s="6">
        <f t="shared" si="2"/>
        <v>4.227</v>
      </c>
      <c r="L33" s="139">
        <v>0.742</v>
      </c>
      <c r="M33" s="60">
        <f t="shared" si="24"/>
        <v>0.697</v>
      </c>
      <c r="N33" s="75">
        <v>0.859</v>
      </c>
      <c r="O33" s="123">
        <v>0.74</v>
      </c>
      <c r="P33" s="63">
        <v>90.0</v>
      </c>
      <c r="Q33" s="58">
        <v>90.43</v>
      </c>
      <c r="R33" s="65">
        <v>4198.0</v>
      </c>
      <c r="S33" s="66">
        <f t="array" ref="S33">IF((XLOOKUP(D33,RUC!$B$3:$B$106,RUC!$E$3:$E$106)+ROUNDDOWN(O33,1)*100)&lt;95,95,((XLOOKUP(D33,RUC!$B$3:$B$106,RUC!$E$3:$E$106)+ROUNDDOWN(O33,1)*100)))</f>
        <v>155</v>
      </c>
      <c r="U33" s="67">
        <f t="array" ref="U33">XLOOKUP(D33,RUC!$B$3:$B$110,RUC!$F$3:$F$110)</f>
        <v>120</v>
      </c>
      <c r="V33" s="67">
        <v>1.1023</v>
      </c>
      <c r="Y33" s="57">
        <f t="array" ref="Y33">XLOOKUP(D33,RUC!$B$3:$B$110,RUC!$G$3:$G$110)</f>
        <v>20</v>
      </c>
      <c r="Z33" s="140">
        <v>38.0</v>
      </c>
      <c r="AA33" s="70">
        <f t="shared" si="3"/>
        <v>58</v>
      </c>
      <c r="AB33" s="71">
        <f t="shared" si="32"/>
        <v>2758.99958</v>
      </c>
      <c r="AC33" s="71">
        <f>+(S33-T33)*V33-'data 1'!$F$4</f>
        <v>90.8565</v>
      </c>
      <c r="AD33" s="71">
        <f t="shared" si="5"/>
        <v>14.34231939</v>
      </c>
      <c r="AE33" s="71">
        <f t="shared" si="6"/>
        <v>-6.0666</v>
      </c>
      <c r="AF33" s="71">
        <f t="shared" si="7"/>
        <v>8.129981463</v>
      </c>
      <c r="AG33" s="72">
        <f t="shared" si="31"/>
        <v>124.2622009</v>
      </c>
      <c r="AH33" s="193">
        <f t="shared" si="9"/>
        <v>97.243</v>
      </c>
      <c r="AI33" s="193">
        <f t="shared" si="10"/>
        <v>107.534</v>
      </c>
      <c r="AJ33" s="73">
        <f t="shared" si="11"/>
        <v>282.5397825</v>
      </c>
      <c r="AK33" s="73">
        <f t="shared" si="12"/>
        <v>96.5196073</v>
      </c>
      <c r="AM33" s="51">
        <f t="shared" si="13"/>
        <v>11662.29123</v>
      </c>
      <c r="AN33" s="51" t="str">
        <f t="array" ref="AN33">XLOOKUP(D33,RUC!$B$3:$B$565,RUC!$M$3:$M$565)</f>
        <v>Ronald Miranda</v>
      </c>
      <c r="AO33" s="131" t="s">
        <v>551</v>
      </c>
      <c r="AP33" s="57" t="s">
        <v>2407</v>
      </c>
      <c r="AQ33" s="57" t="s">
        <v>2408</v>
      </c>
      <c r="AR33" s="2" t="s">
        <v>2414</v>
      </c>
    </row>
    <row r="34" ht="15.0" customHeight="1">
      <c r="A34" s="116" t="s">
        <v>2415</v>
      </c>
      <c r="B34" s="182">
        <v>46004.0</v>
      </c>
      <c r="C34" s="182">
        <v>46001.0</v>
      </c>
      <c r="D34" s="57" t="s">
        <v>306</v>
      </c>
      <c r="E34" s="3">
        <f t="array" ref="E34">XLOOKUP(D34,RUC!$B$3:$B$110,RUC!$D$3:$D$110)</f>
        <v>20612921866</v>
      </c>
      <c r="G34" s="141" t="s">
        <v>735</v>
      </c>
      <c r="H34" s="3" t="s">
        <v>47</v>
      </c>
      <c r="I34" s="6">
        <v>10.25</v>
      </c>
      <c r="J34" s="58">
        <v>1.4</v>
      </c>
      <c r="K34" s="6">
        <f t="shared" si="2"/>
        <v>10.107</v>
      </c>
      <c r="L34" s="139">
        <v>0.226</v>
      </c>
      <c r="M34" s="60">
        <f t="shared" si="24"/>
        <v>0.208</v>
      </c>
      <c r="N34" s="62">
        <f t="shared" ref="N34:N41" si="33">+M34</f>
        <v>0.208</v>
      </c>
      <c r="O34" s="60">
        <f t="shared" ref="O34:O70" si="34">+ROUND((M34+N34)/2,3)</f>
        <v>0.208</v>
      </c>
      <c r="P34" s="63">
        <v>85.0</v>
      </c>
      <c r="Q34" s="58">
        <v>91.59</v>
      </c>
      <c r="R34" s="65">
        <v>4200.15</v>
      </c>
      <c r="S34" s="66">
        <f t="array" ref="S34">IF((XLOOKUP(D34,RUC!$B$3:$B$106,RUC!$E$3:$E$106)+ROUNDDOWN(O34,1)*100)&lt;95,95,((XLOOKUP(D34,RUC!$B$3:$B$106,RUC!$E$3:$E$106)+ROUNDDOWN(O34,1)*100)))</f>
        <v>100</v>
      </c>
      <c r="U34" s="67">
        <f t="array" ref="U34">XLOOKUP(D34,RUC!$B$3:$B$110,RUC!$F$3:$F$110)</f>
        <v>100</v>
      </c>
      <c r="V34" s="67">
        <v>1.1023</v>
      </c>
      <c r="Y34" s="57" t="str">
        <f t="array" ref="Y34">XLOOKUP(D34,RUC!$B$3:$B$110,RUC!$G$3:$G$110)</f>
        <v/>
      </c>
      <c r="Z34" s="69">
        <f t="array" ref="Z34">XLOOKUP(D34,RUC!$B$3:$B$110,RUC!$H$3:$H$110)</f>
        <v>30</v>
      </c>
      <c r="AA34" s="70">
        <f t="shared" si="3"/>
        <v>30</v>
      </c>
      <c r="AB34" s="71">
        <f t="shared" si="32"/>
        <v>655.765457</v>
      </c>
      <c r="AC34" s="71">
        <f>+(S34-T34)*V34-'data 1'!$F$4</f>
        <v>30.23</v>
      </c>
      <c r="AD34" s="71">
        <f t="shared" si="5"/>
        <v>67.31214131</v>
      </c>
      <c r="AE34" s="71">
        <f t="shared" si="6"/>
        <v>-36.931</v>
      </c>
      <c r="AF34" s="71">
        <f t="shared" si="7"/>
        <v>74.51095278</v>
      </c>
      <c r="AG34" s="72">
        <f>AC34+AD34+AE34+AF34+70-10</f>
        <v>195.1220941</v>
      </c>
      <c r="AH34" s="193">
        <f t="shared" si="9"/>
        <v>71.728</v>
      </c>
      <c r="AI34" s="193">
        <f t="shared" si="10"/>
        <v>78.314</v>
      </c>
      <c r="AJ34" s="73">
        <f t="shared" si="11"/>
        <v>82.10655161</v>
      </c>
      <c r="AK34" s="73">
        <f t="shared" si="12"/>
        <v>61.26516333</v>
      </c>
      <c r="AM34" s="51">
        <f t="shared" si="13"/>
        <v>6627.821474</v>
      </c>
      <c r="AN34" s="51" t="str">
        <f t="array" ref="AN34">XLOOKUP(D34,RUC!$B$3:$B$565,RUC!$M$3:$M$565)</f>
        <v>Ronald Garibay</v>
      </c>
      <c r="AO34" s="131" t="s">
        <v>551</v>
      </c>
      <c r="AP34" s="57" t="s">
        <v>2416</v>
      </c>
      <c r="AQ34" s="57" t="s">
        <v>2417</v>
      </c>
    </row>
    <row r="35" ht="15.0" customHeight="1">
      <c r="A35" s="116" t="s">
        <v>2418</v>
      </c>
      <c r="B35" s="182">
        <v>46007.0</v>
      </c>
      <c r="C35" s="182">
        <v>46003.0</v>
      </c>
      <c r="D35" s="57" t="s">
        <v>146</v>
      </c>
      <c r="E35" s="3">
        <f t="array" ref="E35">XLOOKUP(D35,RUC!$B$3:$B$110,RUC!$D$3:$D$110)</f>
        <v>20517242919</v>
      </c>
      <c r="G35" s="141">
        <v>74.0</v>
      </c>
      <c r="H35" s="3" t="s">
        <v>47</v>
      </c>
      <c r="I35" s="6">
        <v>7.46</v>
      </c>
      <c r="J35" s="58">
        <v>1.7</v>
      </c>
      <c r="K35" s="6">
        <f t="shared" si="2"/>
        <v>7.333</v>
      </c>
      <c r="L35" s="139">
        <v>0.344</v>
      </c>
      <c r="M35" s="60">
        <f t="shared" si="24"/>
        <v>0.337</v>
      </c>
      <c r="N35" s="62">
        <f t="shared" si="33"/>
        <v>0.337</v>
      </c>
      <c r="O35" s="60">
        <f t="shared" si="34"/>
        <v>0.337</v>
      </c>
      <c r="P35" s="63">
        <v>90.0</v>
      </c>
      <c r="Q35" s="58">
        <v>94.48</v>
      </c>
      <c r="R35" s="65">
        <v>4346.95</v>
      </c>
      <c r="S35" s="133">
        <v>110.0</v>
      </c>
      <c r="U35" s="67">
        <f t="array" ref="U35">XLOOKUP(D35,RUC!$B$3:$B$110,RUC!$F$3:$F$110)</f>
        <v>80</v>
      </c>
      <c r="V35" s="67">
        <v>1.1023</v>
      </c>
      <c r="Y35" s="57" t="str">
        <f t="array" ref="Y35">XLOOKUP(D35,RUC!$B$3:$B$110,RUC!$G$3:$G$110)</f>
        <v/>
      </c>
      <c r="Z35" s="69">
        <f t="array" ref="Z35">XLOOKUP(D35,RUC!$B$3:$B$110,RUC!$H$3:$H$110)</f>
        <v>10</v>
      </c>
      <c r="AA35" s="70">
        <f t="shared" si="3"/>
        <v>10</v>
      </c>
      <c r="AB35" s="71">
        <f t="shared" si="32"/>
        <v>1294.28311</v>
      </c>
      <c r="AC35" s="71">
        <f>+(S35-T35)*V35-'data 1'!$F$4</f>
        <v>41.253</v>
      </c>
      <c r="AD35" s="71">
        <f t="shared" si="5"/>
        <v>72.48594711</v>
      </c>
      <c r="AE35" s="71">
        <f t="shared" si="6"/>
        <v>-58.977</v>
      </c>
      <c r="AF35" s="71">
        <f t="shared" si="7"/>
        <v>31.10679634</v>
      </c>
      <c r="AG35" s="72">
        <f t="shared" ref="AG35:AG42" si="35">AC35+AD35+AE35+AF35+70</f>
        <v>155.8687435</v>
      </c>
      <c r="AH35" s="193">
        <f t="shared" si="9"/>
        <v>81.713</v>
      </c>
      <c r="AI35" s="193">
        <f t="shared" si="10"/>
        <v>86.487</v>
      </c>
      <c r="AJ35" s="73">
        <f t="shared" si="11"/>
        <v>69.16206322</v>
      </c>
      <c r="AK35" s="73">
        <f t="shared" si="12"/>
        <v>76.25409385</v>
      </c>
      <c r="AM35" s="51">
        <f t="shared" si="13"/>
        <v>9490.978047</v>
      </c>
      <c r="AN35" s="51" t="str">
        <f t="array" ref="AN35">XLOOKUP(D35,RUC!$B$3:$B$565,RUC!$M$3:$M$565)</f>
        <v>Melchor Vera</v>
      </c>
      <c r="AO35" s="131" t="s">
        <v>558</v>
      </c>
      <c r="AP35" s="57" t="s">
        <v>1092</v>
      </c>
      <c r="AQ35" s="57" t="s">
        <v>2419</v>
      </c>
    </row>
    <row r="36" ht="15.0" customHeight="1">
      <c r="A36" s="116" t="s">
        <v>2420</v>
      </c>
      <c r="B36" s="182">
        <v>46007.0</v>
      </c>
      <c r="C36" s="182">
        <v>46003.0</v>
      </c>
      <c r="D36" s="57" t="s">
        <v>146</v>
      </c>
      <c r="E36" s="3">
        <f t="array" ref="E36">XLOOKUP(D36,RUC!$B$3:$B$110,RUC!$D$3:$D$110)</f>
        <v>20517242919</v>
      </c>
      <c r="G36" s="141">
        <v>48.0</v>
      </c>
      <c r="H36" s="3" t="s">
        <v>47</v>
      </c>
      <c r="I36" s="6">
        <v>4.73</v>
      </c>
      <c r="J36" s="58">
        <v>1.9</v>
      </c>
      <c r="K36" s="6">
        <f t="shared" si="2"/>
        <v>4.64</v>
      </c>
      <c r="L36" s="139">
        <v>0.179</v>
      </c>
      <c r="M36" s="60">
        <f t="shared" si="24"/>
        <v>0.172</v>
      </c>
      <c r="N36" s="62">
        <f t="shared" si="33"/>
        <v>0.172</v>
      </c>
      <c r="O36" s="60">
        <f t="shared" si="34"/>
        <v>0.172</v>
      </c>
      <c r="P36" s="63">
        <v>85.0</v>
      </c>
      <c r="Q36" s="130">
        <v>94.97</v>
      </c>
      <c r="R36" s="65">
        <v>4346.95</v>
      </c>
      <c r="S36" s="133">
        <v>95.0</v>
      </c>
      <c r="U36" s="67">
        <f t="array" ref="U36">XLOOKUP(D36,RUC!$B$3:$B$110,RUC!$F$3:$F$110)</f>
        <v>80</v>
      </c>
      <c r="V36" s="67">
        <v>1.1023</v>
      </c>
      <c r="Y36" s="57" t="str">
        <f t="array" ref="Y36">XLOOKUP(D36,RUC!$B$3:$B$110,RUC!$G$3:$G$110)</f>
        <v/>
      </c>
      <c r="Z36" s="69">
        <f t="array" ref="Z36">XLOOKUP(D36,RUC!$B$3:$B$110,RUC!$H$3:$H$110)</f>
        <v>10</v>
      </c>
      <c r="AA36" s="70">
        <f t="shared" si="3"/>
        <v>10</v>
      </c>
      <c r="AB36" s="71">
        <f t="shared" si="32"/>
        <v>571.9042036</v>
      </c>
      <c r="AC36" s="71">
        <f>+(S36-T36)*V36-'data 1'!$F$4</f>
        <v>24.7185</v>
      </c>
      <c r="AD36" s="71">
        <f t="shared" si="5"/>
        <v>83.93934008</v>
      </c>
      <c r="AE36" s="71">
        <f t="shared" si="6"/>
        <v>-58.977</v>
      </c>
      <c r="AF36" s="71">
        <f t="shared" si="7"/>
        <v>31.26812499</v>
      </c>
      <c r="AG36" s="72">
        <f t="shared" si="35"/>
        <v>150.9489651</v>
      </c>
      <c r="AH36" s="193">
        <f t="shared" si="9"/>
        <v>27.044</v>
      </c>
      <c r="AI36" s="193">
        <f t="shared" si="10"/>
        <v>28.476</v>
      </c>
      <c r="AJ36" s="73">
        <f t="shared" si="11"/>
        <v>36.17504519</v>
      </c>
      <c r="AK36" s="73">
        <f t="shared" si="12"/>
        <v>23.25811012</v>
      </c>
      <c r="AM36" s="51">
        <f t="shared" si="13"/>
        <v>2653.635505</v>
      </c>
      <c r="AN36" s="51" t="str">
        <f t="array" ref="AN36">XLOOKUP(D36,RUC!$B$3:$B$565,RUC!$M$3:$M$565)</f>
        <v>Melchor Vera</v>
      </c>
      <c r="AO36" s="131" t="s">
        <v>558</v>
      </c>
      <c r="AP36" s="57" t="s">
        <v>1092</v>
      </c>
      <c r="AQ36" s="57" t="s">
        <v>2419</v>
      </c>
    </row>
    <row r="37" ht="15.0" customHeight="1">
      <c r="A37" s="116" t="s">
        <v>2421</v>
      </c>
      <c r="B37" s="182">
        <v>46007.0</v>
      </c>
      <c r="C37" s="182">
        <v>46003.0</v>
      </c>
      <c r="D37" s="57" t="s">
        <v>146</v>
      </c>
      <c r="E37" s="3">
        <f t="array" ref="E37">XLOOKUP(D37,RUC!$B$3:$B$110,RUC!$D$3:$D$110)</f>
        <v>20517242919</v>
      </c>
      <c r="G37" s="141">
        <v>60.0</v>
      </c>
      <c r="H37" s="3" t="s">
        <v>47</v>
      </c>
      <c r="I37" s="6">
        <v>5.79</v>
      </c>
      <c r="J37" s="58">
        <v>2.4</v>
      </c>
      <c r="K37" s="6">
        <f t="shared" si="2"/>
        <v>5.651</v>
      </c>
      <c r="L37" s="139">
        <v>0.17</v>
      </c>
      <c r="M37" s="60">
        <f t="shared" si="24"/>
        <v>0.163</v>
      </c>
      <c r="N37" s="62">
        <f t="shared" si="33"/>
        <v>0.163</v>
      </c>
      <c r="O37" s="60">
        <f t="shared" si="34"/>
        <v>0.163</v>
      </c>
      <c r="P37" s="63">
        <v>85.0</v>
      </c>
      <c r="Q37" s="130">
        <v>95.29</v>
      </c>
      <c r="R37" s="65">
        <v>4346.95</v>
      </c>
      <c r="S37" s="133">
        <v>95.0</v>
      </c>
      <c r="U37" s="67">
        <f t="array" ref="U37">XLOOKUP(D37,RUC!$B$3:$B$110,RUC!$F$3:$F$110)</f>
        <v>80</v>
      </c>
      <c r="V37" s="67">
        <v>1.1023</v>
      </c>
      <c r="Y37" s="57" t="str">
        <f t="array" ref="Y37">XLOOKUP(D37,RUC!$B$3:$B$110,RUC!$G$3:$G$110)</f>
        <v/>
      </c>
      <c r="Z37" s="69">
        <f t="array" ref="Z37">XLOOKUP(D37,RUC!$B$3:$B$110,RUC!$H$3:$H$110)</f>
        <v>10</v>
      </c>
      <c r="AA37" s="70">
        <f t="shared" si="3"/>
        <v>10</v>
      </c>
      <c r="AB37" s="71">
        <f t="shared" si="32"/>
        <v>535.9227424</v>
      </c>
      <c r="AC37" s="71">
        <f>+(S37-T37)*V37-'data 1'!$F$4</f>
        <v>24.7185</v>
      </c>
      <c r="AD37" s="71">
        <f t="shared" si="5"/>
        <v>82.27760802</v>
      </c>
      <c r="AE37" s="71">
        <f t="shared" si="6"/>
        <v>-58.977</v>
      </c>
      <c r="AF37" s="71">
        <f t="shared" si="7"/>
        <v>31.37348247</v>
      </c>
      <c r="AG37" s="72">
        <f t="shared" si="35"/>
        <v>149.3925905</v>
      </c>
      <c r="AH37" s="193">
        <f t="shared" si="9"/>
        <v>31.386</v>
      </c>
      <c r="AI37" s="193">
        <f t="shared" si="10"/>
        <v>32.937</v>
      </c>
      <c r="AJ37" s="73">
        <f t="shared" si="11"/>
        <v>34.47195084</v>
      </c>
      <c r="AK37" s="73">
        <f t="shared" si="12"/>
        <v>26.84360915</v>
      </c>
      <c r="AM37" s="51">
        <f t="shared" si="13"/>
        <v>3028.499417</v>
      </c>
      <c r="AN37" s="51" t="str">
        <f t="array" ref="AN37">XLOOKUP(D37,RUC!$B$3:$B$565,RUC!$M$3:$M$565)</f>
        <v>Melchor Vera</v>
      </c>
      <c r="AO37" s="131" t="s">
        <v>558</v>
      </c>
      <c r="AP37" s="57" t="s">
        <v>1092</v>
      </c>
      <c r="AQ37" s="57" t="s">
        <v>2419</v>
      </c>
    </row>
    <row r="38" ht="15.0" customHeight="1">
      <c r="A38" s="116" t="s">
        <v>2422</v>
      </c>
      <c r="B38" s="182">
        <v>46007.0</v>
      </c>
      <c r="C38" s="182">
        <v>46003.0</v>
      </c>
      <c r="D38" s="57" t="s">
        <v>146</v>
      </c>
      <c r="E38" s="3">
        <f t="array" ref="E38">XLOOKUP(D38,RUC!$B$3:$B$110,RUC!$D$3:$D$110)</f>
        <v>20517242919</v>
      </c>
      <c r="G38" s="141">
        <v>90.0</v>
      </c>
      <c r="H38" s="3" t="s">
        <v>47</v>
      </c>
      <c r="I38" s="6">
        <v>9.26</v>
      </c>
      <c r="J38" s="58">
        <v>2.8</v>
      </c>
      <c r="K38" s="6">
        <f t="shared" si="2"/>
        <v>9.001</v>
      </c>
      <c r="L38" s="139">
        <v>0.632</v>
      </c>
      <c r="M38" s="60">
        <f t="shared" si="24"/>
        <v>0.623</v>
      </c>
      <c r="N38" s="62">
        <f t="shared" si="33"/>
        <v>0.623</v>
      </c>
      <c r="O38" s="60">
        <f t="shared" si="34"/>
        <v>0.623</v>
      </c>
      <c r="P38" s="63">
        <v>90.0</v>
      </c>
      <c r="Q38" s="58">
        <v>89.4</v>
      </c>
      <c r="R38" s="65">
        <v>4346.95</v>
      </c>
      <c r="S38" s="133">
        <v>125.0</v>
      </c>
      <c r="U38" s="67">
        <f t="array" ref="U38">XLOOKUP(D38,RUC!$B$3:$B$110,RUC!$F$3:$F$110)</f>
        <v>80</v>
      </c>
      <c r="V38" s="67">
        <v>1.1023</v>
      </c>
      <c r="Y38" s="57" t="str">
        <f t="array" ref="Y38">XLOOKUP(D38,RUC!$B$3:$B$110,RUC!$G$3:$G$110)</f>
        <v/>
      </c>
      <c r="Z38" s="69">
        <f t="array" ref="Z38">XLOOKUP(D38,RUC!$B$3:$B$110,RUC!$H$3:$H$110)</f>
        <v>10</v>
      </c>
      <c r="AA38" s="70">
        <f t="shared" si="3"/>
        <v>10</v>
      </c>
      <c r="AB38" s="71">
        <f t="shared" si="32"/>
        <v>2488.418953</v>
      </c>
      <c r="AC38" s="71">
        <f>+(S38-T38)*V38-'data 1'!$F$4</f>
        <v>57.7875</v>
      </c>
      <c r="AD38" s="71">
        <f t="shared" si="5"/>
        <v>-17.83551647</v>
      </c>
      <c r="AE38" s="71">
        <f t="shared" si="6"/>
        <v>-58.977</v>
      </c>
      <c r="AF38" s="71">
        <f t="shared" si="7"/>
        <v>37.84403099</v>
      </c>
      <c r="AG38" s="72">
        <f t="shared" si="35"/>
        <v>88.81901452</v>
      </c>
      <c r="AH38" s="193">
        <f t="shared" si="9"/>
        <v>174.363</v>
      </c>
      <c r="AI38" s="193">
        <f t="shared" si="10"/>
        <v>195.037</v>
      </c>
      <c r="AJ38" s="73">
        <f t="shared" si="11"/>
        <v>120.2331459</v>
      </c>
      <c r="AK38" s="73">
        <f t="shared" si="12"/>
        <v>173.0335775</v>
      </c>
      <c r="AM38" s="51">
        <f t="shared" si="13"/>
        <v>22398.25899</v>
      </c>
      <c r="AN38" s="51" t="str">
        <f t="array" ref="AN38">XLOOKUP(D38,RUC!$B$3:$B$565,RUC!$M$3:$M$565)</f>
        <v>Melchor Vera</v>
      </c>
      <c r="AO38" s="131" t="s">
        <v>558</v>
      </c>
      <c r="AP38" s="57" t="s">
        <v>1092</v>
      </c>
      <c r="AQ38" s="57" t="s">
        <v>2419</v>
      </c>
    </row>
    <row r="39" ht="15.0" customHeight="1">
      <c r="A39" s="116" t="s">
        <v>2423</v>
      </c>
      <c r="B39" s="182">
        <v>46007.0</v>
      </c>
      <c r="C39" s="182">
        <v>46003.0</v>
      </c>
      <c r="D39" s="57" t="s">
        <v>146</v>
      </c>
      <c r="E39" s="3">
        <f t="array" ref="E39">XLOOKUP(D39,RUC!$B$3:$B$110,RUC!$D$3:$D$110)</f>
        <v>20517242919</v>
      </c>
      <c r="G39" s="141">
        <v>60.0</v>
      </c>
      <c r="H39" s="3" t="s">
        <v>47</v>
      </c>
      <c r="I39" s="6">
        <v>5.88</v>
      </c>
      <c r="J39" s="58">
        <v>1.3</v>
      </c>
      <c r="K39" s="6">
        <f t="shared" si="2"/>
        <v>5.804</v>
      </c>
      <c r="L39" s="139">
        <v>0.302</v>
      </c>
      <c r="M39" s="60">
        <f t="shared" si="24"/>
        <v>0.295</v>
      </c>
      <c r="N39" s="62">
        <f t="shared" si="33"/>
        <v>0.295</v>
      </c>
      <c r="O39" s="60">
        <f t="shared" si="34"/>
        <v>0.295</v>
      </c>
      <c r="P39" s="63">
        <v>90.0</v>
      </c>
      <c r="Q39" s="58">
        <v>93.38</v>
      </c>
      <c r="R39" s="65">
        <v>4346.95</v>
      </c>
      <c r="S39" s="133">
        <v>105.0</v>
      </c>
      <c r="U39" s="67">
        <f t="array" ref="U39">XLOOKUP(D39,RUC!$B$3:$B$110,RUC!$F$3:$F$110)</f>
        <v>80</v>
      </c>
      <c r="V39" s="67">
        <v>1.1023</v>
      </c>
      <c r="Y39" s="57" t="str">
        <f t="array" ref="Y39">XLOOKUP(D39,RUC!$B$3:$B$110,RUC!$G$3:$G$110)</f>
        <v/>
      </c>
      <c r="Z39" s="69">
        <f t="array" ref="Z39">XLOOKUP(D39,RUC!$B$3:$B$110,RUC!$H$3:$H$110)</f>
        <v>10</v>
      </c>
      <c r="AA39" s="70">
        <f t="shared" si="3"/>
        <v>10</v>
      </c>
      <c r="AB39" s="71">
        <f t="shared" si="32"/>
        <v>1122.003861</v>
      </c>
      <c r="AC39" s="71">
        <f>+(S39-T39)*V39-'data 1'!$F$4</f>
        <v>35.7415</v>
      </c>
      <c r="AD39" s="71">
        <f t="shared" si="5"/>
        <v>48.01102794</v>
      </c>
      <c r="AE39" s="71">
        <f t="shared" si="6"/>
        <v>-58.977</v>
      </c>
      <c r="AF39" s="71">
        <f t="shared" si="7"/>
        <v>30.74463</v>
      </c>
      <c r="AG39" s="72">
        <f t="shared" si="35"/>
        <v>125.5201579</v>
      </c>
      <c r="AH39" s="193">
        <f t="shared" si="9"/>
        <v>56.117</v>
      </c>
      <c r="AI39" s="193">
        <f t="shared" si="10"/>
        <v>60.096</v>
      </c>
      <c r="AJ39" s="73">
        <f t="shared" si="11"/>
        <v>60.0109395</v>
      </c>
      <c r="AK39" s="73">
        <f t="shared" si="12"/>
        <v>52.83248014</v>
      </c>
      <c r="AM39" s="51">
        <f t="shared" si="13"/>
        <v>6512.110406</v>
      </c>
      <c r="AN39" s="51" t="str">
        <f t="array" ref="AN39">XLOOKUP(D39,RUC!$B$3:$B$565,RUC!$M$3:$M$565)</f>
        <v>Melchor Vera</v>
      </c>
      <c r="AO39" s="131" t="s">
        <v>558</v>
      </c>
      <c r="AP39" s="57" t="s">
        <v>1092</v>
      </c>
      <c r="AQ39" s="57" t="s">
        <v>2419</v>
      </c>
    </row>
    <row r="40" ht="15.0" customHeight="1">
      <c r="A40" s="116" t="s">
        <v>2424</v>
      </c>
      <c r="B40" s="182">
        <v>46007.0</v>
      </c>
      <c r="C40" s="182">
        <v>46003.0</v>
      </c>
      <c r="D40" s="57" t="s">
        <v>146</v>
      </c>
      <c r="E40" s="3">
        <f t="array" ref="E40">XLOOKUP(D40,RUC!$B$3:$B$110,RUC!$D$3:$D$110)</f>
        <v>20517242919</v>
      </c>
      <c r="G40" s="141">
        <v>35.0</v>
      </c>
      <c r="H40" s="3" t="s">
        <v>47</v>
      </c>
      <c r="I40" s="6">
        <v>3.3</v>
      </c>
      <c r="J40" s="58">
        <v>1.5</v>
      </c>
      <c r="K40" s="6">
        <f t="shared" si="2"/>
        <v>3.251</v>
      </c>
      <c r="L40" s="139">
        <v>0.368</v>
      </c>
      <c r="M40" s="60">
        <f t="shared" si="24"/>
        <v>0.361</v>
      </c>
      <c r="N40" s="62">
        <f t="shared" si="33"/>
        <v>0.361</v>
      </c>
      <c r="O40" s="60">
        <f t="shared" si="34"/>
        <v>0.361</v>
      </c>
      <c r="P40" s="63">
        <v>90.0</v>
      </c>
      <c r="Q40" s="58">
        <v>92.39</v>
      </c>
      <c r="R40" s="65">
        <v>4346.95</v>
      </c>
      <c r="S40" s="133">
        <v>110.0</v>
      </c>
      <c r="U40" s="67">
        <f t="array" ref="U40">XLOOKUP(D40,RUC!$B$3:$B$110,RUC!$F$3:$F$110)</f>
        <v>80</v>
      </c>
      <c r="V40" s="67">
        <v>1.1023</v>
      </c>
      <c r="Y40" s="57" t="str">
        <f t="array" ref="Y40">XLOOKUP(D40,RUC!$B$3:$B$110,RUC!$G$3:$G$110)</f>
        <v/>
      </c>
      <c r="Z40" s="69">
        <f t="array" ref="Z40">XLOOKUP(D40,RUC!$B$3:$B$110,RUC!$H$3:$H$110)</f>
        <v>10</v>
      </c>
      <c r="AA40" s="70">
        <f t="shared" si="3"/>
        <v>10</v>
      </c>
      <c r="AB40" s="71">
        <f t="shared" si="32"/>
        <v>1395.877824</v>
      </c>
      <c r="AC40" s="71">
        <f>+(S40-T40)*V40-'data 1'!$F$4</f>
        <v>41.253</v>
      </c>
      <c r="AD40" s="71">
        <f t="shared" si="5"/>
        <v>41.36786246</v>
      </c>
      <c r="AE40" s="71">
        <f t="shared" si="6"/>
        <v>-58.977</v>
      </c>
      <c r="AF40" s="71">
        <f t="shared" si="7"/>
        <v>30.41868029</v>
      </c>
      <c r="AG40" s="72">
        <f t="shared" si="35"/>
        <v>124.0625428</v>
      </c>
      <c r="AH40" s="193">
        <f t="shared" si="9"/>
        <v>37.896</v>
      </c>
      <c r="AI40" s="193">
        <f t="shared" si="10"/>
        <v>41.018</v>
      </c>
      <c r="AJ40" s="73">
        <f t="shared" si="11"/>
        <v>72.35064366</v>
      </c>
      <c r="AK40" s="73">
        <f t="shared" si="12"/>
        <v>36.2139377</v>
      </c>
      <c r="AM40" s="51">
        <f t="shared" si="13"/>
        <v>4537.998807</v>
      </c>
      <c r="AN40" s="51" t="str">
        <f t="array" ref="AN40">XLOOKUP(D40,RUC!$B$3:$B$565,RUC!$M$3:$M$565)</f>
        <v>Melchor Vera</v>
      </c>
      <c r="AO40" s="131" t="s">
        <v>558</v>
      </c>
      <c r="AP40" s="57" t="s">
        <v>1092</v>
      </c>
      <c r="AQ40" s="57" t="s">
        <v>2419</v>
      </c>
    </row>
    <row r="41" ht="15.0" customHeight="1">
      <c r="A41" s="116" t="s">
        <v>2425</v>
      </c>
      <c r="B41" s="182">
        <v>46007.0</v>
      </c>
      <c r="C41" s="182">
        <v>46003.0</v>
      </c>
      <c r="D41" s="57" t="s">
        <v>146</v>
      </c>
      <c r="E41" s="3">
        <f t="array" ref="E41">XLOOKUP(D41,RUC!$B$3:$B$110,RUC!$D$3:$D$110)</f>
        <v>20517242919</v>
      </c>
      <c r="G41" s="141">
        <v>45.0</v>
      </c>
      <c r="H41" s="3" t="s">
        <v>47</v>
      </c>
      <c r="I41" s="6">
        <v>4.14</v>
      </c>
      <c r="J41" s="58">
        <v>1.9</v>
      </c>
      <c r="K41" s="6">
        <f t="shared" si="2"/>
        <v>4.061</v>
      </c>
      <c r="L41" s="139">
        <v>0.228</v>
      </c>
      <c r="M41" s="60">
        <f t="shared" si="24"/>
        <v>0.221</v>
      </c>
      <c r="N41" s="62">
        <f t="shared" si="33"/>
        <v>0.221</v>
      </c>
      <c r="O41" s="60">
        <f t="shared" si="34"/>
        <v>0.221</v>
      </c>
      <c r="P41" s="63">
        <v>85.0</v>
      </c>
      <c r="Q41" s="58">
        <v>94.74</v>
      </c>
      <c r="R41" s="65">
        <v>4346.95</v>
      </c>
      <c r="S41" s="133">
        <v>105.0</v>
      </c>
      <c r="U41" s="67">
        <f t="array" ref="U41">XLOOKUP(D41,RUC!$B$3:$B$110,RUC!$F$3:$F$110)</f>
        <v>80</v>
      </c>
      <c r="V41" s="67">
        <v>1.1023</v>
      </c>
      <c r="Y41" s="57" t="str">
        <f t="array" ref="Y41">XLOOKUP(D41,RUC!$B$3:$B$110,RUC!$G$3:$G$110)</f>
        <v/>
      </c>
      <c r="Z41" s="69">
        <f t="array" ref="Z41">XLOOKUP(D41,RUC!$B$3:$B$110,RUC!$H$3:$H$110)</f>
        <v>10</v>
      </c>
      <c r="AA41" s="70">
        <f t="shared" si="3"/>
        <v>10</v>
      </c>
      <c r="AB41" s="71">
        <f t="shared" si="32"/>
        <v>756.7802703</v>
      </c>
      <c r="AC41" s="71">
        <f>+(S41-T41)*V41-'data 1'!$F$4</f>
        <v>35.7415</v>
      </c>
      <c r="AD41" s="71">
        <f t="shared" si="5"/>
        <v>104.4506544</v>
      </c>
      <c r="AE41" s="71">
        <f t="shared" si="6"/>
        <v>-58.977</v>
      </c>
      <c r="AF41" s="71">
        <f t="shared" si="7"/>
        <v>31.1923993</v>
      </c>
      <c r="AG41" s="72">
        <f t="shared" si="35"/>
        <v>182.4075537</v>
      </c>
      <c r="AH41" s="193">
        <f t="shared" si="9"/>
        <v>30.075</v>
      </c>
      <c r="AI41" s="193">
        <f t="shared" si="10"/>
        <v>31.745</v>
      </c>
      <c r="AJ41" s="73">
        <f t="shared" si="11"/>
        <v>45.96611939</v>
      </c>
      <c r="AK41" s="73">
        <f t="shared" si="12"/>
        <v>26.1549117</v>
      </c>
      <c r="AM41" s="51">
        <f t="shared" si="13"/>
        <v>3073.284678</v>
      </c>
      <c r="AN41" s="51" t="str">
        <f t="array" ref="AN41">XLOOKUP(D41,RUC!$B$3:$B$565,RUC!$M$3:$M$565)</f>
        <v>Melchor Vera</v>
      </c>
      <c r="AO41" s="131" t="s">
        <v>558</v>
      </c>
      <c r="AP41" s="57" t="s">
        <v>1092</v>
      </c>
      <c r="AQ41" s="57" t="s">
        <v>2419</v>
      </c>
    </row>
    <row r="42" ht="15.0" customHeight="1">
      <c r="A42" s="116" t="s">
        <v>2426</v>
      </c>
      <c r="B42" s="182">
        <v>46007.0</v>
      </c>
      <c r="C42" s="182">
        <v>46003.0</v>
      </c>
      <c r="D42" s="57" t="s">
        <v>146</v>
      </c>
      <c r="E42" s="3">
        <f t="array" ref="E42">XLOOKUP(D42,RUC!$B$3:$B$110,RUC!$D$3:$D$110)</f>
        <v>20517242919</v>
      </c>
      <c r="G42" s="141">
        <v>9.0</v>
      </c>
      <c r="H42" s="3" t="s">
        <v>47</v>
      </c>
      <c r="I42" s="6">
        <v>0.82</v>
      </c>
      <c r="J42" s="58">
        <v>1.2</v>
      </c>
      <c r="K42" s="6">
        <f t="shared" si="2"/>
        <v>0.81</v>
      </c>
      <c r="L42" s="139">
        <v>0.274</v>
      </c>
      <c r="M42" s="60">
        <f t="shared" si="24"/>
        <v>0.267</v>
      </c>
      <c r="N42" s="75">
        <v>0.293</v>
      </c>
      <c r="O42" s="60">
        <f t="shared" si="34"/>
        <v>0.28</v>
      </c>
      <c r="P42" s="63">
        <v>90.0</v>
      </c>
      <c r="Q42" s="58">
        <v>95.62</v>
      </c>
      <c r="R42" s="65">
        <v>4346.95</v>
      </c>
      <c r="S42" s="133">
        <v>105.0</v>
      </c>
      <c r="U42" s="67">
        <f t="array" ref="U42">XLOOKUP(D42,RUC!$B$3:$B$110,RUC!$F$3:$F$110)</f>
        <v>80</v>
      </c>
      <c r="V42" s="67">
        <v>1.1023</v>
      </c>
      <c r="Y42" s="57" t="str">
        <f t="array" ref="Y42">XLOOKUP(D42,RUC!$B$3:$B$110,RUC!$G$3:$G$110)</f>
        <v/>
      </c>
      <c r="Z42" s="69">
        <f t="array" ref="Z42">XLOOKUP(D42,RUC!$B$3:$B$110,RUC!$H$3:$H$110)</f>
        <v>10</v>
      </c>
      <c r="AA42" s="70">
        <f t="shared" si="3"/>
        <v>10</v>
      </c>
      <c r="AB42" s="71">
        <f t="shared" si="32"/>
        <v>1058.507164</v>
      </c>
      <c r="AC42" s="71">
        <f>+(S42-T42)*V42-'data 1'!$F$4</f>
        <v>35.7415</v>
      </c>
      <c r="AD42" s="71">
        <f t="shared" si="5"/>
        <v>72.42762422</v>
      </c>
      <c r="AE42" s="71">
        <f t="shared" si="6"/>
        <v>-58.977</v>
      </c>
      <c r="AF42" s="71">
        <f t="shared" si="7"/>
        <v>-26.98468489</v>
      </c>
      <c r="AG42" s="72">
        <f t="shared" si="35"/>
        <v>92.20743933</v>
      </c>
      <c r="AH42" s="193">
        <f t="shared" si="9"/>
        <v>7.276</v>
      </c>
      <c r="AI42" s="193">
        <f t="shared" si="10"/>
        <v>7.609</v>
      </c>
      <c r="AJ42" s="73">
        <f t="shared" si="11"/>
        <v>55.75308657</v>
      </c>
      <c r="AK42" s="73">
        <f t="shared" si="12"/>
        <v>6.998333409</v>
      </c>
      <c r="AM42" s="51">
        <f t="shared" si="13"/>
        <v>857.390803</v>
      </c>
      <c r="AN42" s="51" t="str">
        <f t="array" ref="AN42">XLOOKUP(D42,RUC!$B$3:$B$565,RUC!$M$3:$M$565)</f>
        <v>Melchor Vera</v>
      </c>
      <c r="AO42" s="131" t="s">
        <v>558</v>
      </c>
      <c r="AP42" s="57" t="s">
        <v>1092</v>
      </c>
      <c r="AQ42" s="57" t="s">
        <v>2419</v>
      </c>
    </row>
    <row r="43" ht="15.0" customHeight="1">
      <c r="A43" s="116" t="s">
        <v>2427</v>
      </c>
      <c r="B43" s="182">
        <v>46007.0</v>
      </c>
      <c r="C43" s="182">
        <v>46003.0</v>
      </c>
      <c r="D43" s="57" t="s">
        <v>622</v>
      </c>
      <c r="E43" s="3">
        <f t="array" ref="E43">XLOOKUP(D43,RUC!$B$3:$B$110,RUC!$D$3:$D$110)</f>
        <v>20612719757</v>
      </c>
      <c r="G43" s="141">
        <v>45.0</v>
      </c>
      <c r="H43" s="3" t="s">
        <v>339</v>
      </c>
      <c r="I43" s="6">
        <v>3.41</v>
      </c>
      <c r="J43" s="58">
        <v>14.33</v>
      </c>
      <c r="K43" s="6">
        <f t="shared" si="2"/>
        <v>2.921</v>
      </c>
      <c r="L43" s="139">
        <v>0.281</v>
      </c>
      <c r="M43" s="60">
        <f t="shared" si="24"/>
        <v>0.263</v>
      </c>
      <c r="N43" s="62">
        <f t="shared" ref="N43:N45" si="36">+M43</f>
        <v>0.263</v>
      </c>
      <c r="O43" s="60">
        <f t="shared" si="34"/>
        <v>0.263</v>
      </c>
      <c r="P43" s="63">
        <v>90.0</v>
      </c>
      <c r="Q43" s="58">
        <v>93.59</v>
      </c>
      <c r="R43" s="65">
        <v>4346.95</v>
      </c>
      <c r="S43" s="66">
        <f t="array" ref="S43">IF((XLOOKUP(D43,RUC!$B$3:$B$106,RUC!$E$3:$E$106)+ROUNDDOWN(O43,1)*100)&lt;95,95,((XLOOKUP(D43,RUC!$B$3:$B$106,RUC!$E$3:$E$106)+ROUNDDOWN(O43,1)*100)))</f>
        <v>110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3"/>
        <v>50</v>
      </c>
      <c r="AB43" s="71">
        <f t="shared" si="32"/>
        <v>926.5041653</v>
      </c>
      <c r="AC43" s="71">
        <f>+(S43-T43)*V43-'data 1'!$F$4</f>
        <v>41.253</v>
      </c>
      <c r="AD43" s="71">
        <f t="shared" si="5"/>
        <v>47.00322821</v>
      </c>
      <c r="AE43" s="71">
        <f t="shared" si="6"/>
        <v>-14.885</v>
      </c>
      <c r="AF43" s="71">
        <f t="shared" si="7"/>
        <v>78.4926281</v>
      </c>
      <c r="AG43" s="72">
        <f t="shared" ref="AG43:AG58" si="37">AC43+AD43+AE43+AF43+70-53</f>
        <v>168.8638563</v>
      </c>
      <c r="AH43" s="193">
        <f t="shared" si="9"/>
        <v>26.338</v>
      </c>
      <c r="AI43" s="193">
        <f t="shared" si="10"/>
        <v>28.141</v>
      </c>
      <c r="AJ43" s="73">
        <f t="shared" si="11"/>
        <v>67.55922856</v>
      </c>
      <c r="AK43" s="73">
        <f t="shared" si="12"/>
        <v>23.7049413</v>
      </c>
      <c r="AM43" s="51">
        <f t="shared" si="13"/>
        <v>2706.318667</v>
      </c>
      <c r="AN43" s="51" t="str">
        <f t="array" ref="AN43">XLOOKUP(D43,RUC!$B$3:$B$565,RUC!$M$3:$M$565)</f>
        <v>Walter Achulla </v>
      </c>
      <c r="AO43" s="131" t="s">
        <v>551</v>
      </c>
      <c r="AP43" s="57" t="s">
        <v>2274</v>
      </c>
      <c r="AQ43" s="57" t="s">
        <v>2428</v>
      </c>
    </row>
    <row r="44" ht="15.0" customHeight="1">
      <c r="A44" s="116" t="s">
        <v>2429</v>
      </c>
      <c r="B44" s="182">
        <v>46007.0</v>
      </c>
      <c r="C44" s="182">
        <v>46003.0</v>
      </c>
      <c r="D44" s="57" t="s">
        <v>622</v>
      </c>
      <c r="E44" s="3">
        <f t="array" ref="E44">XLOOKUP(D44,RUC!$B$3:$B$110,RUC!$D$3:$D$110)</f>
        <v>20612719757</v>
      </c>
      <c r="G44" s="141">
        <v>43.0</v>
      </c>
      <c r="H44" s="3" t="s">
        <v>339</v>
      </c>
      <c r="I44" s="6">
        <v>3.35</v>
      </c>
      <c r="J44" s="58">
        <v>13.5</v>
      </c>
      <c r="K44" s="6">
        <f t="shared" si="2"/>
        <v>2.898</v>
      </c>
      <c r="L44" s="139">
        <v>0.296</v>
      </c>
      <c r="M44" s="60">
        <f t="shared" si="24"/>
        <v>0.278</v>
      </c>
      <c r="N44" s="62">
        <f t="shared" si="36"/>
        <v>0.278</v>
      </c>
      <c r="O44" s="60">
        <f t="shared" si="34"/>
        <v>0.278</v>
      </c>
      <c r="P44" s="63">
        <v>90.0</v>
      </c>
      <c r="Q44" s="130">
        <v>96.62</v>
      </c>
      <c r="R44" s="65">
        <v>4346.95</v>
      </c>
      <c r="S44" s="66">
        <f t="array" ref="S44">IF((XLOOKUP(D44,RUC!$B$3:$B$106,RUC!$E$3:$E$106)+ROUNDDOWN(O44,1)*100)&lt;95,95,((XLOOKUP(D44,RUC!$B$3:$B$106,RUC!$E$3:$E$106)+ROUNDDOWN(O44,1)*100)))</f>
        <v>110</v>
      </c>
      <c r="U44" s="67">
        <f t="array" ref="U44">XLOOKUP(D44,RUC!$B$3:$B$110,RUC!$F$3:$F$110)</f>
        <v>120</v>
      </c>
      <c r="V44" s="67">
        <v>1.1023</v>
      </c>
      <c r="Y44" s="57">
        <f t="array" ref="Y44">XLOOKUP(D44,RUC!$B$3:$B$110,RUC!$G$3:$G$110)</f>
        <v>20</v>
      </c>
      <c r="Z44" s="69">
        <f t="array" ref="Z44">XLOOKUP(D44,RUC!$B$3:$B$110,RUC!$H$3:$H$110)</f>
        <v>30</v>
      </c>
      <c r="AA44" s="70">
        <f t="shared" si="3"/>
        <v>50</v>
      </c>
      <c r="AB44" s="71">
        <f t="shared" si="32"/>
        <v>989.4056196</v>
      </c>
      <c r="AC44" s="71">
        <f>+(S44-T44)*V44-'data 1'!$F$4</f>
        <v>41.253</v>
      </c>
      <c r="AD44" s="71">
        <f t="shared" si="5"/>
        <v>91.30122794</v>
      </c>
      <c r="AE44" s="71">
        <f t="shared" si="6"/>
        <v>-14.885</v>
      </c>
      <c r="AF44" s="71">
        <f t="shared" si="7"/>
        <v>81.03384686</v>
      </c>
      <c r="AG44" s="72">
        <f t="shared" si="37"/>
        <v>215.7030748</v>
      </c>
      <c r="AH44" s="193">
        <f t="shared" si="9"/>
        <v>28.416</v>
      </c>
      <c r="AI44" s="193">
        <f t="shared" si="10"/>
        <v>29.41</v>
      </c>
      <c r="AJ44" s="73">
        <f t="shared" si="11"/>
        <v>73.46959721</v>
      </c>
      <c r="AK44" s="73">
        <f t="shared" si="12"/>
        <v>24.85963545</v>
      </c>
      <c r="AM44" s="51">
        <f t="shared" si="13"/>
        <v>2867.297486</v>
      </c>
      <c r="AN44" s="51" t="str">
        <f t="array" ref="AN44">XLOOKUP(D44,RUC!$B$3:$B$565,RUC!$M$3:$M$565)</f>
        <v>Walter Achulla </v>
      </c>
      <c r="AO44" s="131" t="s">
        <v>551</v>
      </c>
      <c r="AP44" s="57" t="s">
        <v>2274</v>
      </c>
      <c r="AQ44" s="57" t="s">
        <v>2428</v>
      </c>
    </row>
    <row r="45" ht="15.0" customHeight="1">
      <c r="A45" s="116" t="s">
        <v>2430</v>
      </c>
      <c r="B45" s="182">
        <v>46007.0</v>
      </c>
      <c r="C45" s="182">
        <v>46003.0</v>
      </c>
      <c r="D45" s="57" t="s">
        <v>622</v>
      </c>
      <c r="E45" s="3">
        <f t="array" ref="E45">XLOOKUP(D45,RUC!$B$3:$B$110,RUC!$D$3:$D$110)</f>
        <v>20612719757</v>
      </c>
      <c r="G45" s="141">
        <v>55.0</v>
      </c>
      <c r="H45" s="3" t="s">
        <v>339</v>
      </c>
      <c r="I45" s="6">
        <v>4.67</v>
      </c>
      <c r="J45" s="58">
        <v>8.8</v>
      </c>
      <c r="K45" s="6">
        <f t="shared" si="2"/>
        <v>4.259</v>
      </c>
      <c r="L45" s="139">
        <v>0.132</v>
      </c>
      <c r="M45" s="60">
        <f t="shared" si="24"/>
        <v>0.114</v>
      </c>
      <c r="N45" s="62">
        <f t="shared" si="36"/>
        <v>0.114</v>
      </c>
      <c r="O45" s="60">
        <f t="shared" si="34"/>
        <v>0.114</v>
      </c>
      <c r="P45" s="63">
        <v>80.0</v>
      </c>
      <c r="Q45" s="58">
        <v>90.91</v>
      </c>
      <c r="R45" s="65">
        <v>4346.95</v>
      </c>
      <c r="S45" s="66">
        <f t="array" ref="S45">IF((XLOOKUP(D45,RUC!$B$3:$B$106,RUC!$E$3:$E$106)+ROUNDDOWN(O45,1)*100)&lt;95,95,((XLOOKUP(D45,RUC!$B$3:$B$106,RUC!$E$3:$E$106)+ROUNDDOWN(O45,1)*100)))</f>
        <v>100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si="3"/>
        <v>50</v>
      </c>
      <c r="AB45" s="71">
        <f t="shared" si="32"/>
        <v>259.589269</v>
      </c>
      <c r="AC45" s="71">
        <f>+(S45-T45)*V45-'data 1'!$F$4</f>
        <v>30.23</v>
      </c>
      <c r="AD45" s="71">
        <f t="shared" si="5"/>
        <v>67.10047582</v>
      </c>
      <c r="AE45" s="71">
        <f t="shared" si="6"/>
        <v>-14.885</v>
      </c>
      <c r="AF45" s="71">
        <f t="shared" si="7"/>
        <v>76.24494947</v>
      </c>
      <c r="AG45" s="72">
        <f t="shared" si="37"/>
        <v>175.6904253</v>
      </c>
      <c r="AH45" s="193">
        <f t="shared" si="9"/>
        <v>17.523</v>
      </c>
      <c r="AI45" s="193">
        <f t="shared" si="10"/>
        <v>19.275</v>
      </c>
      <c r="AJ45" s="73">
        <f t="shared" si="11"/>
        <v>30.82723007</v>
      </c>
      <c r="AK45" s="73">
        <f t="shared" si="12"/>
        <v>13.31715785</v>
      </c>
      <c r="AM45" s="51">
        <f t="shared" si="13"/>
        <v>1105.590697</v>
      </c>
      <c r="AN45" s="51" t="str">
        <f t="array" ref="AN45">XLOOKUP(D45,RUC!$B$3:$B$565,RUC!$M$3:$M$565)</f>
        <v>Walter Achulla </v>
      </c>
      <c r="AO45" s="131" t="s">
        <v>551</v>
      </c>
      <c r="AP45" s="57" t="s">
        <v>2274</v>
      </c>
      <c r="AQ45" s="57" t="s">
        <v>2428</v>
      </c>
    </row>
    <row r="46" ht="15.0" customHeight="1">
      <c r="A46" s="116" t="s">
        <v>2431</v>
      </c>
      <c r="B46" s="182">
        <v>46013.0</v>
      </c>
      <c r="C46" s="182">
        <v>46003.0</v>
      </c>
      <c r="D46" s="57" t="s">
        <v>225</v>
      </c>
      <c r="E46" s="3">
        <f t="array" ref="E46">XLOOKUP(D46,RUC!$B$3:$B$110,RUC!$D$3:$D$110)</f>
        <v>10761932735</v>
      </c>
      <c r="G46" s="141">
        <v>163.0</v>
      </c>
      <c r="H46" s="3" t="s">
        <v>47</v>
      </c>
      <c r="I46" s="6">
        <v>13.51</v>
      </c>
      <c r="J46" s="58">
        <v>8.8</v>
      </c>
      <c r="K46" s="6">
        <f t="shared" si="2"/>
        <v>12.321</v>
      </c>
      <c r="L46" s="139">
        <v>0.289</v>
      </c>
      <c r="M46" s="60">
        <f t="shared" si="24"/>
        <v>0.271</v>
      </c>
      <c r="N46" s="75">
        <v>0.339</v>
      </c>
      <c r="O46" s="60">
        <f t="shared" si="34"/>
        <v>0.305</v>
      </c>
      <c r="P46" s="63">
        <v>90.0</v>
      </c>
      <c r="Q46" s="58">
        <v>94.81</v>
      </c>
      <c r="R46" s="65">
        <v>4346.95</v>
      </c>
      <c r="S46" s="66">
        <f t="array" ref="S46">IF((XLOOKUP(D46,RUC!$B$3:$B$106,RUC!$E$3:$E$106)+ROUNDDOWN(O46,1)*100)&lt;95,95,((XLOOKUP(D46,RUC!$B$3:$B$106,RUC!$E$3:$E$106)+ROUNDDOWN(O46,1)*100)))</f>
        <v>120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3"/>
        <v>50</v>
      </c>
      <c r="AB46" s="71">
        <f t="shared" si="32"/>
        <v>1091.605237</v>
      </c>
      <c r="AC46" s="71">
        <f>+(S46-T46)*V46-'data 1'!$F$4</f>
        <v>52.276</v>
      </c>
      <c r="AD46" s="71">
        <f t="shared" si="5"/>
        <v>64.76939452</v>
      </c>
      <c r="AE46" s="71">
        <f t="shared" si="6"/>
        <v>-14.885</v>
      </c>
      <c r="AF46" s="71">
        <f t="shared" si="7"/>
        <v>-70.68073342</v>
      </c>
      <c r="AG46" s="72">
        <f t="shared" si="37"/>
        <v>48.47966111</v>
      </c>
      <c r="AH46" s="193">
        <f t="shared" si="9"/>
        <v>115.746</v>
      </c>
      <c r="AI46" s="193">
        <f t="shared" si="10"/>
        <v>122.082</v>
      </c>
      <c r="AJ46" s="73">
        <f t="shared" si="11"/>
        <v>70.38836931</v>
      </c>
      <c r="AK46" s="73">
        <f t="shared" si="12"/>
        <v>115.9571081</v>
      </c>
      <c r="AM46" s="51">
        <f t="shared" si="13"/>
        <v>13449.66813</v>
      </c>
      <c r="AN46" s="51" t="str">
        <f t="array" ref="AN46">XLOOKUP(D46,RUC!$B$3:$B$565,RUC!$M$3:$M$565)</f>
        <v>Richard Sapacayo</v>
      </c>
      <c r="AO46" s="131" t="s">
        <v>547</v>
      </c>
      <c r="AP46" s="57" t="s">
        <v>627</v>
      </c>
      <c r="AQ46" s="57" t="s">
        <v>2432</v>
      </c>
    </row>
    <row r="47" ht="15.0" customHeight="1">
      <c r="A47" s="116" t="s">
        <v>2433</v>
      </c>
      <c r="B47" s="182">
        <v>46013.0</v>
      </c>
      <c r="C47" s="182">
        <v>46003.0</v>
      </c>
      <c r="D47" s="57" t="s">
        <v>225</v>
      </c>
      <c r="E47" s="3">
        <f t="array" ref="E47">XLOOKUP(D47,RUC!$B$3:$B$110,RUC!$D$3:$D$110)</f>
        <v>10761932735</v>
      </c>
      <c r="G47" s="141">
        <v>108.0</v>
      </c>
      <c r="H47" s="3" t="s">
        <v>47</v>
      </c>
      <c r="I47" s="6">
        <v>9.56</v>
      </c>
      <c r="J47" s="58">
        <v>11.4</v>
      </c>
      <c r="K47" s="6">
        <f t="shared" si="2"/>
        <v>8.47</v>
      </c>
      <c r="L47" s="139">
        <v>0.974</v>
      </c>
      <c r="M47" s="60">
        <f t="shared" si="24"/>
        <v>0.916</v>
      </c>
      <c r="N47" s="62">
        <f t="shared" ref="N47:N65" si="38">+M47</f>
        <v>0.916</v>
      </c>
      <c r="O47" s="60">
        <f t="shared" si="34"/>
        <v>0.916</v>
      </c>
      <c r="P47" s="63">
        <v>90.0</v>
      </c>
      <c r="Q47" s="58">
        <v>96.71</v>
      </c>
      <c r="R47" s="65">
        <v>4346.95</v>
      </c>
      <c r="S47" s="66">
        <f t="array" ref="S47">IF((XLOOKUP(D47,RUC!$B$3:$B$106,RUC!$E$3:$E$106)+ROUNDDOWN(O47,1)*100)&lt;95,95,((XLOOKUP(D47,RUC!$B$3:$B$106,RUC!$E$3:$E$106)+ROUNDDOWN(O47,1)*100)))</f>
        <v>180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3"/>
        <v>50</v>
      </c>
      <c r="AB47" s="71">
        <f t="shared" si="32"/>
        <v>3587.653142</v>
      </c>
      <c r="AC47" s="71">
        <f>+(S47-T47)*V47-'data 1'!$F$4</f>
        <v>118.414</v>
      </c>
      <c r="AD47" s="71">
        <f t="shared" si="5"/>
        <v>304.5147931</v>
      </c>
      <c r="AE47" s="71">
        <f t="shared" si="6"/>
        <v>-14.885</v>
      </c>
      <c r="AF47" s="71">
        <f t="shared" si="7"/>
        <v>261.352281</v>
      </c>
      <c r="AG47" s="72">
        <f t="shared" si="37"/>
        <v>686.3960741</v>
      </c>
      <c r="AH47" s="193">
        <f t="shared" si="9"/>
        <v>273.541</v>
      </c>
      <c r="AI47" s="193">
        <f t="shared" si="10"/>
        <v>282.847</v>
      </c>
      <c r="AJ47" s="73">
        <f t="shared" si="11"/>
        <v>241.9798788</v>
      </c>
      <c r="AK47" s="73">
        <f t="shared" si="12"/>
        <v>239.403482</v>
      </c>
      <c r="AM47" s="51">
        <f t="shared" si="13"/>
        <v>30387.42212</v>
      </c>
      <c r="AN47" s="51" t="str">
        <f t="array" ref="AN47">XLOOKUP(D47,RUC!$B$3:$B$565,RUC!$M$3:$M$565)</f>
        <v>Richard Sapacayo</v>
      </c>
      <c r="AO47" s="131" t="s">
        <v>547</v>
      </c>
      <c r="AP47" s="57" t="s">
        <v>627</v>
      </c>
      <c r="AQ47" s="57" t="s">
        <v>2432</v>
      </c>
    </row>
    <row r="48" ht="15.0" customHeight="1">
      <c r="A48" s="116" t="s">
        <v>2434</v>
      </c>
      <c r="B48" s="182">
        <v>46008.0</v>
      </c>
      <c r="C48" s="182">
        <v>46003.0</v>
      </c>
      <c r="D48" s="57" t="s">
        <v>295</v>
      </c>
      <c r="E48" s="3">
        <f t="array" ref="E48">XLOOKUP(D48,RUC!$B$3:$B$110,RUC!$D$3:$D$110)</f>
        <v>20601769396</v>
      </c>
      <c r="G48" s="141">
        <v>52.0</v>
      </c>
      <c r="H48" s="3" t="s">
        <v>339</v>
      </c>
      <c r="I48" s="6">
        <v>4.13</v>
      </c>
      <c r="J48" s="58">
        <v>12.4</v>
      </c>
      <c r="K48" s="6">
        <f t="shared" si="2"/>
        <v>3.618</v>
      </c>
      <c r="L48" s="139">
        <v>0.244</v>
      </c>
      <c r="M48" s="60">
        <f t="shared" si="24"/>
        <v>0.226</v>
      </c>
      <c r="N48" s="62">
        <f t="shared" si="38"/>
        <v>0.226</v>
      </c>
      <c r="O48" s="60">
        <f t="shared" si="34"/>
        <v>0.226</v>
      </c>
      <c r="P48" s="63">
        <v>90.0</v>
      </c>
      <c r="Q48" s="58">
        <v>92.62</v>
      </c>
      <c r="R48" s="65">
        <v>4346.95</v>
      </c>
      <c r="S48" s="66">
        <f t="array" ref="S48">IF((XLOOKUP(D48,RUC!$B$3:$B$106,RUC!$E$3:$E$106)+ROUNDDOWN(O48,1)*100)&lt;95,95,((XLOOKUP(D48,RUC!$B$3:$B$106,RUC!$E$3:$E$106)+ROUNDDOWN(O48,1)*100)))</f>
        <v>110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3"/>
        <v>50</v>
      </c>
      <c r="AB48" s="71">
        <f t="shared" si="32"/>
        <v>771.3472447</v>
      </c>
      <c r="AC48" s="71">
        <f>+(S48-T48)*V48-'data 1'!$F$4</f>
        <v>41.253</v>
      </c>
      <c r="AD48" s="71">
        <f t="shared" si="5"/>
        <v>29.78640126</v>
      </c>
      <c r="AE48" s="71">
        <f t="shared" si="6"/>
        <v>-14.885</v>
      </c>
      <c r="AF48" s="71">
        <f t="shared" si="7"/>
        <v>77.67910263</v>
      </c>
      <c r="AG48" s="72">
        <f t="shared" si="37"/>
        <v>150.8335039</v>
      </c>
      <c r="AH48" s="193">
        <f t="shared" si="9"/>
        <v>28.033</v>
      </c>
      <c r="AI48" s="193">
        <f t="shared" si="10"/>
        <v>30.267</v>
      </c>
      <c r="AJ48" s="73">
        <f t="shared" si="11"/>
        <v>58.05551977</v>
      </c>
      <c r="AK48" s="73">
        <f t="shared" si="12"/>
        <v>25.23065821</v>
      </c>
      <c r="AM48" s="51">
        <f t="shared" si="13"/>
        <v>2790.734332</v>
      </c>
      <c r="AN48" s="51" t="str">
        <f t="array" ref="AN48">XLOOKUP(D48,RUC!$B$3:$B$565,RUC!$M$3:$M$565)</f>
        <v>Evelyn</v>
      </c>
      <c r="AO48" s="131" t="s">
        <v>551</v>
      </c>
      <c r="AP48" s="57" t="s">
        <v>2244</v>
      </c>
      <c r="AQ48" s="57" t="s">
        <v>1644</v>
      </c>
    </row>
    <row r="49" ht="15.0" customHeight="1">
      <c r="A49" s="116" t="s">
        <v>2435</v>
      </c>
      <c r="B49" s="182">
        <v>46008.0</v>
      </c>
      <c r="C49" s="182">
        <v>46003.0</v>
      </c>
      <c r="D49" s="57" t="s">
        <v>295</v>
      </c>
      <c r="E49" s="3">
        <f t="array" ref="E49">XLOOKUP(D49,RUC!$B$3:$B$110,RUC!$D$3:$D$110)</f>
        <v>20601769396</v>
      </c>
      <c r="G49" s="141">
        <v>53.0</v>
      </c>
      <c r="H49" s="3" t="s">
        <v>339</v>
      </c>
      <c r="I49" s="6">
        <v>3.64</v>
      </c>
      <c r="J49" s="58">
        <v>12.3</v>
      </c>
      <c r="K49" s="6">
        <f t="shared" si="2"/>
        <v>3.192</v>
      </c>
      <c r="L49" s="139">
        <v>0.282</v>
      </c>
      <c r="M49" s="60">
        <f t="shared" si="24"/>
        <v>0.264</v>
      </c>
      <c r="N49" s="62">
        <f t="shared" si="38"/>
        <v>0.264</v>
      </c>
      <c r="O49" s="60">
        <f t="shared" si="34"/>
        <v>0.264</v>
      </c>
      <c r="P49" s="63">
        <v>85.0</v>
      </c>
      <c r="Q49" s="58">
        <v>86.52</v>
      </c>
      <c r="R49" s="65">
        <v>4346.95</v>
      </c>
      <c r="S49" s="66">
        <f t="array" ref="S49">IF((XLOOKUP(D49,RUC!$B$3:$B$106,RUC!$E$3:$E$106)+ROUNDDOWN(O49,1)*100)&lt;95,95,((XLOOKUP(D49,RUC!$B$3:$B$106,RUC!$E$3:$E$106)+ROUNDDOWN(O49,1)*100)))</f>
        <v>110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3"/>
        <v>50</v>
      </c>
      <c r="AB49" s="71">
        <f t="shared" si="32"/>
        <v>869.1939514</v>
      </c>
      <c r="AC49" s="71">
        <f>+(S49-T49)*V49-'data 1'!$F$4</f>
        <v>41.253</v>
      </c>
      <c r="AD49" s="71">
        <f t="shared" si="5"/>
        <v>19.97191064</v>
      </c>
      <c r="AE49" s="71">
        <f t="shared" si="6"/>
        <v>-14.885</v>
      </c>
      <c r="AF49" s="71">
        <f t="shared" si="7"/>
        <v>72.56311768</v>
      </c>
      <c r="AG49" s="72">
        <f t="shared" si="37"/>
        <v>135.9030283</v>
      </c>
      <c r="AH49" s="193">
        <f t="shared" si="9"/>
        <v>26.702</v>
      </c>
      <c r="AI49" s="193">
        <f t="shared" si="10"/>
        <v>30.862</v>
      </c>
      <c r="AJ49" s="73">
        <f t="shared" si="11"/>
        <v>62.67791394</v>
      </c>
      <c r="AK49" s="73">
        <f t="shared" si="12"/>
        <v>24.55810232</v>
      </c>
      <c r="AM49" s="51">
        <f t="shared" si="13"/>
        <v>2774.467093</v>
      </c>
      <c r="AN49" s="51" t="str">
        <f t="array" ref="AN49">XLOOKUP(D49,RUC!$B$3:$B$565,RUC!$M$3:$M$565)</f>
        <v>Evelyn</v>
      </c>
      <c r="AO49" s="131" t="s">
        <v>551</v>
      </c>
      <c r="AP49" s="57" t="s">
        <v>2244</v>
      </c>
      <c r="AQ49" s="57" t="s">
        <v>1644</v>
      </c>
      <c r="AR49" s="57" t="s">
        <v>2211</v>
      </c>
    </row>
    <row r="50" ht="15.0" customHeight="1">
      <c r="A50" s="116" t="s">
        <v>2436</v>
      </c>
      <c r="B50" s="182">
        <v>46008.0</v>
      </c>
      <c r="C50" s="182">
        <v>46003.0</v>
      </c>
      <c r="D50" s="57" t="s">
        <v>295</v>
      </c>
      <c r="E50" s="3">
        <f t="array" ref="E50">XLOOKUP(D50,RUC!$B$3:$B$110,RUC!$D$3:$D$110)</f>
        <v>20601769396</v>
      </c>
      <c r="G50" s="141">
        <v>50.0</v>
      </c>
      <c r="H50" s="3" t="s">
        <v>339</v>
      </c>
      <c r="I50" s="6">
        <v>4.38</v>
      </c>
      <c r="J50" s="58">
        <v>9.5</v>
      </c>
      <c r="K50" s="6">
        <f t="shared" si="2"/>
        <v>3.964</v>
      </c>
      <c r="L50" s="139">
        <v>0.192</v>
      </c>
      <c r="M50" s="60">
        <f t="shared" si="24"/>
        <v>0.174</v>
      </c>
      <c r="N50" s="62">
        <f t="shared" si="38"/>
        <v>0.174</v>
      </c>
      <c r="O50" s="60">
        <f t="shared" si="34"/>
        <v>0.174</v>
      </c>
      <c r="P50" s="63">
        <v>90.0</v>
      </c>
      <c r="Q50" s="58">
        <v>93.75</v>
      </c>
      <c r="R50" s="65">
        <v>4346.95</v>
      </c>
      <c r="S50" s="66">
        <f t="array" ref="S50">IF((XLOOKUP(D50,RUC!$B$3:$B$106,RUC!$E$3:$E$106)+ROUNDDOWN(O50,1)*100)&lt;95,95,((XLOOKUP(D50,RUC!$B$3:$B$106,RUC!$E$3:$E$106)+ROUNDDOWN(O50,1)*100)))</f>
        <v>100</v>
      </c>
      <c r="U50" s="67">
        <f t="array" ref="U50">XLOOKUP(D50,RUC!$B$3:$B$110,RUC!$F$3:$F$110)</f>
        <v>120</v>
      </c>
      <c r="V50" s="67">
        <v>1.1023</v>
      </c>
      <c r="Y50" s="57">
        <f t="array" ref="Y50">XLOOKUP(D50,RUC!$B$3:$B$110,RUC!$G$3:$G$110)</f>
        <v>20</v>
      </c>
      <c r="Z50" s="69">
        <f t="array" ref="Z50">XLOOKUP(D50,RUC!$B$3:$B$110,RUC!$H$3:$H$110)</f>
        <v>30</v>
      </c>
      <c r="AA50" s="70">
        <f t="shared" si="3"/>
        <v>50</v>
      </c>
      <c r="AB50" s="71">
        <f t="shared" si="32"/>
        <v>564.3118699</v>
      </c>
      <c r="AC50" s="71">
        <f>+(S50-T50)*V50-'data 1'!$F$4</f>
        <v>30.23</v>
      </c>
      <c r="AD50" s="71">
        <f t="shared" si="5"/>
        <v>33.54744229</v>
      </c>
      <c r="AE50" s="71">
        <f t="shared" si="6"/>
        <v>-14.885</v>
      </c>
      <c r="AF50" s="71">
        <f t="shared" si="7"/>
        <v>78.62681787</v>
      </c>
      <c r="AG50" s="72">
        <f t="shared" si="37"/>
        <v>144.5192602</v>
      </c>
      <c r="AH50" s="193">
        <f t="shared" si="9"/>
        <v>24.463</v>
      </c>
      <c r="AI50" s="193">
        <f t="shared" si="10"/>
        <v>26.094</v>
      </c>
      <c r="AJ50" s="73">
        <f t="shared" si="11"/>
        <v>46.2403827</v>
      </c>
      <c r="AK50" s="73">
        <f t="shared" si="12"/>
        <v>21.28307977</v>
      </c>
      <c r="AM50" s="51">
        <f t="shared" si="13"/>
        <v>2236.932252</v>
      </c>
      <c r="AN50" s="51" t="str">
        <f t="array" ref="AN50">XLOOKUP(D50,RUC!$B$3:$B$565,RUC!$M$3:$M$565)</f>
        <v>Evelyn</v>
      </c>
      <c r="AO50" s="131" t="s">
        <v>551</v>
      </c>
      <c r="AP50" s="57" t="s">
        <v>2244</v>
      </c>
      <c r="AQ50" s="57" t="s">
        <v>1644</v>
      </c>
    </row>
    <row r="51" ht="15.0" customHeight="1">
      <c r="A51" s="116" t="s">
        <v>2437</v>
      </c>
      <c r="B51" s="182">
        <v>46008.0</v>
      </c>
      <c r="C51" s="182">
        <v>46003.0</v>
      </c>
      <c r="D51" s="57" t="s">
        <v>295</v>
      </c>
      <c r="E51" s="3">
        <f t="array" ref="E51">XLOOKUP(D51,RUC!$B$3:$B$110,RUC!$D$3:$D$110)</f>
        <v>20601769396</v>
      </c>
      <c r="G51" s="141">
        <v>50.0</v>
      </c>
      <c r="H51" s="3" t="s">
        <v>339</v>
      </c>
      <c r="I51" s="6">
        <v>4.49</v>
      </c>
      <c r="J51" s="58">
        <v>8.7</v>
      </c>
      <c r="K51" s="6">
        <f t="shared" si="2"/>
        <v>4.099</v>
      </c>
      <c r="L51" s="139">
        <v>0.191</v>
      </c>
      <c r="M51" s="60">
        <f t="shared" si="24"/>
        <v>0.173</v>
      </c>
      <c r="N51" s="62">
        <f t="shared" si="38"/>
        <v>0.173</v>
      </c>
      <c r="O51" s="60">
        <f t="shared" si="34"/>
        <v>0.173</v>
      </c>
      <c r="P51" s="63">
        <v>90.0</v>
      </c>
      <c r="Q51" s="58">
        <v>92.15</v>
      </c>
      <c r="R51" s="65">
        <v>4346.95</v>
      </c>
      <c r="S51" s="66">
        <f t="array" ref="S51">IF((XLOOKUP(D51,RUC!$B$3:$B$106,RUC!$E$3:$E$106)+ROUNDDOWN(O51,1)*100)&lt;95,95,((XLOOKUP(D51,RUC!$B$3:$B$106,RUC!$E$3:$E$106)+ROUNDDOWN(O51,1)*100)))</f>
        <v>100</v>
      </c>
      <c r="U51" s="67">
        <f t="array" ref="U51">XLOOKUP(D51,RUC!$B$3:$B$110,RUC!$F$3:$F$110)</f>
        <v>120</v>
      </c>
      <c r="V51" s="67">
        <v>1.1023</v>
      </c>
      <c r="Y51" s="57">
        <f t="array" ref="Y51">XLOOKUP(D51,RUC!$B$3:$B$110,RUC!$G$3:$G$110)</f>
        <v>20</v>
      </c>
      <c r="Z51" s="69">
        <f t="array" ref="Z51">XLOOKUP(D51,RUC!$B$3:$B$110,RUC!$H$3:$H$110)</f>
        <v>30</v>
      </c>
      <c r="AA51" s="70">
        <f t="shared" si="3"/>
        <v>50</v>
      </c>
      <c r="AB51" s="71">
        <f t="shared" si="32"/>
        <v>560.1184396</v>
      </c>
      <c r="AC51" s="71">
        <f>+(S51-T51)*V51-'data 1'!$F$4</f>
        <v>30.23</v>
      </c>
      <c r="AD51" s="71">
        <f t="shared" si="5"/>
        <v>19.13369052</v>
      </c>
      <c r="AE51" s="71">
        <f t="shared" si="6"/>
        <v>-14.885</v>
      </c>
      <c r="AF51" s="71">
        <f t="shared" si="7"/>
        <v>77.28492018</v>
      </c>
      <c r="AG51" s="72">
        <f t="shared" si="37"/>
        <v>128.7636107</v>
      </c>
      <c r="AH51" s="193">
        <f t="shared" si="9"/>
        <v>24.735</v>
      </c>
      <c r="AI51" s="193">
        <f t="shared" si="10"/>
        <v>26.842</v>
      </c>
      <c r="AJ51" s="73">
        <f t="shared" si="11"/>
        <v>45.21448843</v>
      </c>
      <c r="AK51" s="73">
        <f t="shared" si="12"/>
        <v>21.88142493</v>
      </c>
      <c r="AM51" s="51">
        <f t="shared" si="13"/>
        <v>2295.925484</v>
      </c>
      <c r="AN51" s="51" t="str">
        <f t="array" ref="AN51">XLOOKUP(D51,RUC!$B$3:$B$565,RUC!$M$3:$M$565)</f>
        <v>Evelyn</v>
      </c>
      <c r="AO51" s="131" t="s">
        <v>551</v>
      </c>
      <c r="AP51" s="57" t="s">
        <v>2244</v>
      </c>
      <c r="AQ51" s="57" t="s">
        <v>1644</v>
      </c>
    </row>
    <row r="52" ht="15.0" customHeight="1">
      <c r="A52" s="116" t="s">
        <v>2438</v>
      </c>
      <c r="B52" s="182">
        <v>46008.0</v>
      </c>
      <c r="C52" s="182">
        <v>46003.0</v>
      </c>
      <c r="D52" s="57" t="s">
        <v>295</v>
      </c>
      <c r="E52" s="3">
        <f t="array" ref="E52">XLOOKUP(D52,RUC!$B$3:$B$110,RUC!$D$3:$D$110)</f>
        <v>20601769396</v>
      </c>
      <c r="G52" s="141">
        <v>50.0</v>
      </c>
      <c r="H52" s="3" t="s">
        <v>339</v>
      </c>
      <c r="I52" s="6">
        <v>4.42</v>
      </c>
      <c r="J52" s="58">
        <v>8.95</v>
      </c>
      <c r="K52" s="6">
        <f t="shared" si="2"/>
        <v>4.024</v>
      </c>
      <c r="L52" s="139">
        <v>0.199</v>
      </c>
      <c r="M52" s="60">
        <f t="shared" si="24"/>
        <v>0.181</v>
      </c>
      <c r="N52" s="62">
        <f t="shared" si="38"/>
        <v>0.181</v>
      </c>
      <c r="O52" s="60">
        <f t="shared" si="34"/>
        <v>0.181</v>
      </c>
      <c r="P52" s="63">
        <v>90.0</v>
      </c>
      <c r="Q52" s="58">
        <v>94.97</v>
      </c>
      <c r="R52" s="65">
        <v>4346.95</v>
      </c>
      <c r="S52" s="66">
        <f t="array" ref="S52">IF((XLOOKUP(D52,RUC!$B$3:$B$106,RUC!$E$3:$E$106)+ROUNDDOWN(O52,1)*100)&lt;95,95,((XLOOKUP(D52,RUC!$B$3:$B$106,RUC!$E$3:$E$106)+ROUNDDOWN(O52,1)*100)))</f>
        <v>100</v>
      </c>
      <c r="U52" s="67">
        <f t="array" ref="U52">XLOOKUP(D52,RUC!$B$3:$B$110,RUC!$F$3:$F$110)</f>
        <v>120</v>
      </c>
      <c r="V52" s="67">
        <v>1.1023</v>
      </c>
      <c r="Y52" s="57">
        <f t="array" ref="Y52">XLOOKUP(D52,RUC!$B$3:$B$110,RUC!$G$3:$G$110)</f>
        <v>20</v>
      </c>
      <c r="Z52" s="69">
        <f t="array" ref="Z52">XLOOKUP(D52,RUC!$B$3:$B$110,RUC!$H$3:$H$110)</f>
        <v>30</v>
      </c>
      <c r="AA52" s="70">
        <f t="shared" si="3"/>
        <v>50</v>
      </c>
      <c r="AB52" s="71">
        <f t="shared" si="32"/>
        <v>593.6658819</v>
      </c>
      <c r="AC52" s="71">
        <f>+(S52-T52)*V52-'data 1'!$F$4</f>
        <v>30.23</v>
      </c>
      <c r="AD52" s="71">
        <f t="shared" si="5"/>
        <v>46.08253729</v>
      </c>
      <c r="AE52" s="71">
        <f t="shared" si="6"/>
        <v>-14.885</v>
      </c>
      <c r="AF52" s="71">
        <f t="shared" si="7"/>
        <v>79.65001486</v>
      </c>
      <c r="AG52" s="72">
        <f t="shared" si="37"/>
        <v>158.0775522</v>
      </c>
      <c r="AH52" s="193">
        <f t="shared" si="9"/>
        <v>26.074</v>
      </c>
      <c r="AI52" s="193">
        <f t="shared" si="10"/>
        <v>27.455</v>
      </c>
      <c r="AJ52" s="73">
        <f t="shared" si="11"/>
        <v>48.54990999</v>
      </c>
      <c r="AK52" s="73">
        <f t="shared" si="12"/>
        <v>22.47440101</v>
      </c>
      <c r="AM52" s="51">
        <f t="shared" si="13"/>
        <v>2388.911509</v>
      </c>
      <c r="AN52" s="51" t="str">
        <f t="array" ref="AN52">XLOOKUP(D52,RUC!$B$3:$B$565,RUC!$M$3:$M$565)</f>
        <v>Evelyn</v>
      </c>
      <c r="AO52" s="131" t="s">
        <v>551</v>
      </c>
      <c r="AP52" s="57" t="s">
        <v>2244</v>
      </c>
      <c r="AQ52" s="57" t="s">
        <v>1644</v>
      </c>
    </row>
    <row r="53" ht="15.0" customHeight="1">
      <c r="A53" s="116" t="s">
        <v>2439</v>
      </c>
      <c r="B53" s="182">
        <v>46008.0</v>
      </c>
      <c r="C53" s="182">
        <v>46003.0</v>
      </c>
      <c r="D53" s="57" t="s">
        <v>295</v>
      </c>
      <c r="E53" s="3">
        <f t="array" ref="E53">XLOOKUP(D53,RUC!$B$3:$B$110,RUC!$D$3:$D$110)</f>
        <v>20601769396</v>
      </c>
      <c r="G53" s="141">
        <v>50.0</v>
      </c>
      <c r="H53" s="3" t="s">
        <v>339</v>
      </c>
      <c r="I53" s="6">
        <v>4.33</v>
      </c>
      <c r="J53" s="58">
        <v>9.92</v>
      </c>
      <c r="K53" s="6">
        <f t="shared" si="2"/>
        <v>3.9</v>
      </c>
      <c r="L53" s="139">
        <v>0.176</v>
      </c>
      <c r="M53" s="60">
        <f t="shared" si="24"/>
        <v>0.158</v>
      </c>
      <c r="N53" s="62">
        <f t="shared" si="38"/>
        <v>0.158</v>
      </c>
      <c r="O53" s="60">
        <f t="shared" si="34"/>
        <v>0.158</v>
      </c>
      <c r="P53" s="63">
        <v>90.0</v>
      </c>
      <c r="Q53" s="58">
        <v>90.91</v>
      </c>
      <c r="R53" s="65">
        <v>4346.95</v>
      </c>
      <c r="S53" s="66">
        <f t="array" ref="S53">IF((XLOOKUP(D53,RUC!$B$3:$B$106,RUC!$E$3:$E$106)+ROUNDDOWN(O53,1)*100)&lt;95,95,((XLOOKUP(D53,RUC!$B$3:$B$106,RUC!$E$3:$E$106)+ROUNDDOWN(O53,1)*100)))</f>
        <v>100</v>
      </c>
      <c r="U53" s="67">
        <f t="array" ref="U53">XLOOKUP(D53,RUC!$B$3:$B$110,RUC!$F$3:$F$110)</f>
        <v>120</v>
      </c>
      <c r="V53" s="67">
        <v>1.1023</v>
      </c>
      <c r="Y53" s="57">
        <f t="array" ref="Y53">XLOOKUP(D53,RUC!$B$3:$B$110,RUC!$G$3:$G$110)</f>
        <v>20</v>
      </c>
      <c r="Z53" s="69">
        <f t="array" ref="Z53">XLOOKUP(D53,RUC!$B$3:$B$110,RUC!$H$3:$H$110)</f>
        <v>30</v>
      </c>
      <c r="AA53" s="70">
        <f t="shared" si="3"/>
        <v>50</v>
      </c>
      <c r="AB53" s="71">
        <f t="shared" si="32"/>
        <v>497.2169853</v>
      </c>
      <c r="AC53" s="71">
        <f>+(S53-T53)*V53-'data 1'!$F$4</f>
        <v>30.23</v>
      </c>
      <c r="AD53" s="71">
        <f t="shared" si="5"/>
        <v>7.462442163</v>
      </c>
      <c r="AE53" s="71">
        <f t="shared" si="6"/>
        <v>-14.885</v>
      </c>
      <c r="AF53" s="71">
        <f t="shared" si="7"/>
        <v>76.24494947</v>
      </c>
      <c r="AG53" s="72">
        <f t="shared" si="37"/>
        <v>116.0523916</v>
      </c>
      <c r="AH53" s="193">
        <f t="shared" si="9"/>
        <v>21.394</v>
      </c>
      <c r="AI53" s="193">
        <f t="shared" si="10"/>
        <v>23.533</v>
      </c>
      <c r="AJ53" s="73">
        <f t="shared" si="11"/>
        <v>41.10297343</v>
      </c>
      <c r="AK53" s="73">
        <f t="shared" si="12"/>
        <v>19.0139905</v>
      </c>
      <c r="AM53" s="51">
        <f t="shared" si="13"/>
        <v>1939.146243</v>
      </c>
      <c r="AN53" s="51" t="str">
        <f t="array" ref="AN53">XLOOKUP(D53,RUC!$B$3:$B$565,RUC!$M$3:$M$565)</f>
        <v>Evelyn</v>
      </c>
      <c r="AO53" s="131" t="s">
        <v>551</v>
      </c>
      <c r="AP53" s="57" t="s">
        <v>2244</v>
      </c>
      <c r="AQ53" s="57" t="s">
        <v>1644</v>
      </c>
    </row>
    <row r="54" ht="15.0" customHeight="1">
      <c r="A54" s="116" t="s">
        <v>2440</v>
      </c>
      <c r="B54" s="182">
        <v>46008.0</v>
      </c>
      <c r="C54" s="182">
        <v>46003.0</v>
      </c>
      <c r="D54" s="57" t="s">
        <v>295</v>
      </c>
      <c r="E54" s="3">
        <f t="array" ref="E54">XLOOKUP(D54,RUC!$B$3:$B$110,RUC!$D$3:$D$110)</f>
        <v>20601769396</v>
      </c>
      <c r="G54" s="141">
        <v>50.0</v>
      </c>
      <c r="H54" s="3" t="s">
        <v>339</v>
      </c>
      <c r="I54" s="6">
        <v>4.42</v>
      </c>
      <c r="J54" s="58">
        <v>9.5</v>
      </c>
      <c r="K54" s="6">
        <f t="shared" si="2"/>
        <v>4</v>
      </c>
      <c r="L54" s="139">
        <v>0.17</v>
      </c>
      <c r="M54" s="60">
        <f t="shared" si="24"/>
        <v>0.152</v>
      </c>
      <c r="N54" s="62">
        <f t="shared" si="38"/>
        <v>0.152</v>
      </c>
      <c r="O54" s="60">
        <f t="shared" si="34"/>
        <v>0.152</v>
      </c>
      <c r="P54" s="63">
        <v>90.0</v>
      </c>
      <c r="Q54" s="58">
        <v>92.94</v>
      </c>
      <c r="R54" s="65">
        <v>4346.95</v>
      </c>
      <c r="S54" s="66">
        <f t="array" ref="S54">IF((XLOOKUP(D54,RUC!$B$3:$B$106,RUC!$E$3:$E$106)+ROUNDDOWN(O54,1)*100)&lt;95,95,((XLOOKUP(D54,RUC!$B$3:$B$106,RUC!$E$3:$E$106)+ROUNDDOWN(O54,1)*100)))</f>
        <v>100</v>
      </c>
      <c r="U54" s="67">
        <f t="array" ref="U54">XLOOKUP(D54,RUC!$B$3:$B$110,RUC!$F$3:$F$110)</f>
        <v>120</v>
      </c>
      <c r="V54" s="67">
        <v>1.1023</v>
      </c>
      <c r="Y54" s="57">
        <f t="array" ref="Y54">XLOOKUP(D54,RUC!$B$3:$B$110,RUC!$G$3:$G$110)</f>
        <v>20</v>
      </c>
      <c r="Z54" s="69">
        <f t="array" ref="Z54">XLOOKUP(D54,RUC!$B$3:$B$110,RUC!$H$3:$H$110)</f>
        <v>30</v>
      </c>
      <c r="AA54" s="70">
        <f t="shared" si="3"/>
        <v>50</v>
      </c>
      <c r="AB54" s="71">
        <f t="shared" si="32"/>
        <v>472.0564035</v>
      </c>
      <c r="AC54" s="71">
        <f>+(S54-T54)*V54-'data 1'!$F$4</f>
        <v>30.23</v>
      </c>
      <c r="AD54" s="71">
        <f t="shared" si="5"/>
        <v>23.28751619</v>
      </c>
      <c r="AE54" s="71">
        <f t="shared" si="6"/>
        <v>-14.885</v>
      </c>
      <c r="AF54" s="71">
        <f t="shared" si="7"/>
        <v>77.94748217</v>
      </c>
      <c r="AG54" s="72">
        <f t="shared" si="37"/>
        <v>133.5799984</v>
      </c>
      <c r="AH54" s="193">
        <f t="shared" si="9"/>
        <v>21.668</v>
      </c>
      <c r="AI54" s="193">
        <f t="shared" si="10"/>
        <v>23.314</v>
      </c>
      <c r="AJ54" s="73">
        <f t="shared" si="11"/>
        <v>40.58826659</v>
      </c>
      <c r="AK54" s="73">
        <f t="shared" si="12"/>
        <v>18.76096434</v>
      </c>
      <c r="AM54" s="51">
        <f t="shared" si="13"/>
        <v>1888.225614</v>
      </c>
      <c r="AN54" s="51" t="str">
        <f t="array" ref="AN54">XLOOKUP(D54,RUC!$B$3:$B$565,RUC!$M$3:$M$565)</f>
        <v>Evelyn</v>
      </c>
      <c r="AO54" s="131" t="s">
        <v>551</v>
      </c>
      <c r="AP54" s="57" t="s">
        <v>2244</v>
      </c>
      <c r="AQ54" s="57" t="s">
        <v>1644</v>
      </c>
    </row>
    <row r="55" ht="15.0" customHeight="1">
      <c r="A55" s="116" t="s">
        <v>2441</v>
      </c>
      <c r="B55" s="182">
        <v>46008.0</v>
      </c>
      <c r="C55" s="182">
        <v>46003.0</v>
      </c>
      <c r="D55" s="57" t="s">
        <v>295</v>
      </c>
      <c r="E55" s="3">
        <f t="array" ref="E55">XLOOKUP(D55,RUC!$B$3:$B$110,RUC!$D$3:$D$110)</f>
        <v>20601769396</v>
      </c>
      <c r="G55" s="141">
        <v>50.0</v>
      </c>
      <c r="H55" s="3" t="s">
        <v>339</v>
      </c>
      <c r="I55" s="6">
        <v>4.39</v>
      </c>
      <c r="J55" s="58">
        <v>10.2</v>
      </c>
      <c r="K55" s="6">
        <f t="shared" si="2"/>
        <v>3.942</v>
      </c>
      <c r="L55" s="139">
        <v>0.145</v>
      </c>
      <c r="M55" s="60">
        <f t="shared" si="24"/>
        <v>0.127</v>
      </c>
      <c r="N55" s="62">
        <f t="shared" si="38"/>
        <v>0.127</v>
      </c>
      <c r="O55" s="60">
        <f t="shared" si="34"/>
        <v>0.127</v>
      </c>
      <c r="P55" s="63">
        <v>80.0</v>
      </c>
      <c r="Q55" s="58">
        <v>95.17</v>
      </c>
      <c r="R55" s="65">
        <v>4346.95</v>
      </c>
      <c r="S55" s="66">
        <f t="array" ref="S55">IF((XLOOKUP(D55,RUC!$B$3:$B$106,RUC!$E$3:$E$106)+ROUNDDOWN(O55,1)*100)&lt;95,95,((XLOOKUP(D55,RUC!$B$3:$B$106,RUC!$E$3:$E$106)+ROUNDDOWN(O55,1)*100)))</f>
        <v>100</v>
      </c>
      <c r="U55" s="67">
        <f t="array" ref="U55">XLOOKUP(D55,RUC!$B$3:$B$110,RUC!$F$3:$F$110)</f>
        <v>120</v>
      </c>
      <c r="V55" s="67">
        <v>1.1023</v>
      </c>
      <c r="Y55" s="57">
        <f t="array" ref="Y55">XLOOKUP(D55,RUC!$B$3:$B$110,RUC!$G$3:$G$110)</f>
        <v>20</v>
      </c>
      <c r="Z55" s="69">
        <f t="array" ref="Z55">XLOOKUP(D55,RUC!$B$3:$B$110,RUC!$H$3:$H$110)</f>
        <v>30</v>
      </c>
      <c r="AA55" s="70">
        <f t="shared" si="3"/>
        <v>50</v>
      </c>
      <c r="AB55" s="71">
        <f t="shared" si="32"/>
        <v>308.0466857</v>
      </c>
      <c r="AC55" s="71">
        <f>+(S55-T55)*V55-'data 1'!$F$4</f>
        <v>30.23</v>
      </c>
      <c r="AD55" s="71">
        <f t="shared" si="5"/>
        <v>102.4897659</v>
      </c>
      <c r="AE55" s="71">
        <f t="shared" si="6"/>
        <v>-14.885</v>
      </c>
      <c r="AF55" s="71">
        <f t="shared" si="7"/>
        <v>79.81775207</v>
      </c>
      <c r="AG55" s="72">
        <f t="shared" si="37"/>
        <v>214.652518</v>
      </c>
      <c r="AH55" s="193">
        <f t="shared" si="9"/>
        <v>18.651</v>
      </c>
      <c r="AI55" s="193">
        <f t="shared" si="10"/>
        <v>19.597</v>
      </c>
      <c r="AJ55" s="73">
        <f t="shared" si="11"/>
        <v>35.45006095</v>
      </c>
      <c r="AK55" s="73">
        <f t="shared" si="12"/>
        <v>13.73154477</v>
      </c>
      <c r="AM55" s="51">
        <f t="shared" si="13"/>
        <v>1214.320035</v>
      </c>
      <c r="AN55" s="51" t="str">
        <f t="array" ref="AN55">XLOOKUP(D55,RUC!$B$3:$B$565,RUC!$M$3:$M$565)</f>
        <v>Evelyn</v>
      </c>
      <c r="AO55" s="131" t="s">
        <v>551</v>
      </c>
      <c r="AP55" s="57" t="s">
        <v>2244</v>
      </c>
      <c r="AQ55" s="57" t="s">
        <v>1644</v>
      </c>
    </row>
    <row r="56" ht="15.0" customHeight="1">
      <c r="A56" s="116" t="s">
        <v>2442</v>
      </c>
      <c r="B56" s="182">
        <v>46009.0</v>
      </c>
      <c r="C56" s="182">
        <v>46004.0</v>
      </c>
      <c r="D56" s="57" t="s">
        <v>70</v>
      </c>
      <c r="E56" s="3">
        <f t="array" ref="E56">XLOOKUP(D56,RUC!$B$3:$B$110,RUC!$D$3:$D$110)</f>
        <v>20606527439</v>
      </c>
      <c r="G56" s="141">
        <v>130.0</v>
      </c>
      <c r="H56" s="3" t="s">
        <v>47</v>
      </c>
      <c r="I56" s="6">
        <v>14.29</v>
      </c>
      <c r="J56" s="58">
        <v>11.8</v>
      </c>
      <c r="K56" s="6">
        <f t="shared" si="2"/>
        <v>12.604</v>
      </c>
      <c r="L56" s="139">
        <v>0.301</v>
      </c>
      <c r="M56" s="60">
        <f t="shared" si="24"/>
        <v>0.283</v>
      </c>
      <c r="N56" s="62">
        <f t="shared" si="38"/>
        <v>0.283</v>
      </c>
      <c r="O56" s="60">
        <f t="shared" si="34"/>
        <v>0.283</v>
      </c>
      <c r="P56" s="63">
        <v>90.0</v>
      </c>
      <c r="Q56" s="58">
        <v>90.7</v>
      </c>
      <c r="R56" s="65">
        <v>4346.95</v>
      </c>
      <c r="S56" s="66">
        <f t="array" ref="S56">IF((XLOOKUP(D56,RUC!$B$3:$B$106,RUC!$E$3:$E$106)+ROUNDDOWN(O56,1)*100)&lt;95,95,((XLOOKUP(D56,RUC!$B$3:$B$106,RUC!$E$3:$E$106)+ROUNDDOWN(O56,1)*100)))</f>
        <v>100</v>
      </c>
      <c r="U56" s="67">
        <f t="array" ref="U56">XLOOKUP(D56,RUC!$B$3:$B$110,RUC!$F$3:$F$110)</f>
        <v>110</v>
      </c>
      <c r="V56" s="67">
        <v>1.1023</v>
      </c>
      <c r="Y56" s="57">
        <f t="array" ref="Y56">XLOOKUP(D56,RUC!$B$3:$B$110,RUC!$G$3:$G$110)</f>
        <v>0</v>
      </c>
      <c r="Z56" s="69">
        <f t="array" ref="Z56">XLOOKUP(D56,RUC!$B$3:$B$110,RUC!$H$3:$H$110)</f>
        <v>35</v>
      </c>
      <c r="AA56" s="70">
        <f t="shared" si="3"/>
        <v>35</v>
      </c>
      <c r="AB56" s="71">
        <f t="shared" si="32"/>
        <v>1040.737829</v>
      </c>
      <c r="AC56" s="71">
        <f>+(S56-T56)*V56-'data 1'!$F$4</f>
        <v>30.23</v>
      </c>
      <c r="AD56" s="71">
        <f t="shared" si="5"/>
        <v>9.840511698</v>
      </c>
      <c r="AE56" s="71">
        <f t="shared" si="6"/>
        <v>-31.4195</v>
      </c>
      <c r="AF56" s="71">
        <f t="shared" si="7"/>
        <v>76.2487869</v>
      </c>
      <c r="AG56" s="72">
        <f t="shared" si="37"/>
        <v>101.8997986</v>
      </c>
      <c r="AH56" s="193">
        <f t="shared" si="9"/>
        <v>117.975</v>
      </c>
      <c r="AI56" s="193">
        <f t="shared" si="10"/>
        <v>130.072</v>
      </c>
      <c r="AJ56" s="73">
        <f t="shared" si="11"/>
        <v>67.12368917</v>
      </c>
      <c r="AK56" s="73">
        <f t="shared" si="12"/>
        <v>110.064283</v>
      </c>
      <c r="AM56" s="51">
        <f t="shared" si="13"/>
        <v>13117.4596</v>
      </c>
      <c r="AN56" s="51" t="str">
        <f t="array" ref="AN56">XLOOKUP(D56,RUC!$B$3:$B$565,RUC!$M$3:$M$565)</f>
        <v>Robinson Tuya</v>
      </c>
      <c r="AO56" s="131" t="s">
        <v>551</v>
      </c>
      <c r="AP56" s="57" t="s">
        <v>2443</v>
      </c>
      <c r="AQ56" s="57" t="s">
        <v>2444</v>
      </c>
    </row>
    <row r="57" ht="15.0" customHeight="1">
      <c r="A57" s="116" t="s">
        <v>2445</v>
      </c>
      <c r="B57" s="182">
        <v>46009.0</v>
      </c>
      <c r="C57" s="182">
        <v>46004.0</v>
      </c>
      <c r="D57" s="57" t="s">
        <v>70</v>
      </c>
      <c r="E57" s="3">
        <f t="array" ref="E57">XLOOKUP(D57,RUC!$B$3:$B$110,RUC!$D$3:$D$110)</f>
        <v>20606527439</v>
      </c>
      <c r="G57" s="141">
        <v>67.0</v>
      </c>
      <c r="H57" s="3" t="s">
        <v>47</v>
      </c>
      <c r="I57" s="6">
        <v>6.66</v>
      </c>
      <c r="J57" s="58">
        <v>8.0</v>
      </c>
      <c r="K57" s="6">
        <f t="shared" si="2"/>
        <v>6.127</v>
      </c>
      <c r="L57" s="139">
        <v>0.25</v>
      </c>
      <c r="M57" s="60">
        <f t="shared" si="24"/>
        <v>0.232</v>
      </c>
      <c r="N57" s="62">
        <f t="shared" si="38"/>
        <v>0.232</v>
      </c>
      <c r="O57" s="60">
        <f t="shared" si="34"/>
        <v>0.232</v>
      </c>
      <c r="P57" s="63">
        <v>90.0</v>
      </c>
      <c r="Q57" s="58">
        <v>92.4</v>
      </c>
      <c r="R57" s="65">
        <v>4346.95</v>
      </c>
      <c r="S57" s="66">
        <f t="array" ref="S57">IF((XLOOKUP(D57,RUC!$B$3:$B$106,RUC!$E$3:$E$106)+ROUNDDOWN(O57,1)*100)&lt;95,95,((XLOOKUP(D57,RUC!$B$3:$B$106,RUC!$E$3:$E$106)+ROUNDDOWN(O57,1)*100)))</f>
        <v>100</v>
      </c>
      <c r="U57" s="67">
        <f t="array" ref="U57">XLOOKUP(D57,RUC!$B$3:$B$110,RUC!$F$3:$F$110)</f>
        <v>110</v>
      </c>
      <c r="V57" s="67">
        <v>1.1023</v>
      </c>
      <c r="Y57" s="57">
        <f t="array" ref="Y57">XLOOKUP(D57,RUC!$B$3:$B$110,RUC!$G$3:$G$110)</f>
        <v>0</v>
      </c>
      <c r="Z57" s="69">
        <f t="array" ref="Z57">XLOOKUP(D57,RUC!$B$3:$B$110,RUC!$H$3:$H$110)</f>
        <v>35</v>
      </c>
      <c r="AA57" s="70">
        <f t="shared" si="3"/>
        <v>35</v>
      </c>
      <c r="AB57" s="71">
        <f t="shared" si="32"/>
        <v>826.3669289</v>
      </c>
      <c r="AC57" s="71">
        <f>+(S57-T57)*V57-'data 1'!$F$4</f>
        <v>30.23</v>
      </c>
      <c r="AD57" s="71">
        <f t="shared" si="5"/>
        <v>28.02233991</v>
      </c>
      <c r="AE57" s="71">
        <f t="shared" si="6"/>
        <v>-31.4195</v>
      </c>
      <c r="AF57" s="71">
        <f t="shared" si="7"/>
        <v>77.67792623</v>
      </c>
      <c r="AG57" s="72">
        <f t="shared" si="37"/>
        <v>121.5107661</v>
      </c>
      <c r="AH57" s="193">
        <f t="shared" si="9"/>
        <v>48.525</v>
      </c>
      <c r="AI57" s="193">
        <f t="shared" si="10"/>
        <v>52.517</v>
      </c>
      <c r="AJ57" s="73">
        <f t="shared" si="11"/>
        <v>56.79551147</v>
      </c>
      <c r="AK57" s="73">
        <f t="shared" si="12"/>
        <v>43.86190036</v>
      </c>
      <c r="AM57" s="51">
        <f t="shared" si="13"/>
        <v>5063.150173</v>
      </c>
      <c r="AN57" s="51" t="str">
        <f t="array" ref="AN57">XLOOKUP(D57,RUC!$B$3:$B$565,RUC!$M$3:$M$565)</f>
        <v>Robinson Tuya</v>
      </c>
      <c r="AO57" s="131" t="s">
        <v>551</v>
      </c>
      <c r="AP57" s="57" t="s">
        <v>2443</v>
      </c>
      <c r="AQ57" s="57" t="s">
        <v>2444</v>
      </c>
    </row>
    <row r="58" ht="15.0" customHeight="1">
      <c r="A58" s="116" t="s">
        <v>2446</v>
      </c>
      <c r="B58" s="182">
        <v>46009.0</v>
      </c>
      <c r="C58" s="182">
        <v>46004.0</v>
      </c>
      <c r="D58" s="57" t="s">
        <v>70</v>
      </c>
      <c r="E58" s="3">
        <f t="array" ref="E58">XLOOKUP(D58,RUC!$B$3:$B$110,RUC!$D$3:$D$110)</f>
        <v>20606527439</v>
      </c>
      <c r="G58" s="141">
        <v>48.0</v>
      </c>
      <c r="H58" s="3" t="s">
        <v>47</v>
      </c>
      <c r="I58" s="6">
        <v>5.23</v>
      </c>
      <c r="J58" s="58">
        <v>8.3</v>
      </c>
      <c r="K58" s="6">
        <f t="shared" si="2"/>
        <v>4.796</v>
      </c>
      <c r="L58" s="139">
        <v>0.316</v>
      </c>
      <c r="M58" s="60">
        <f t="shared" si="24"/>
        <v>0.297</v>
      </c>
      <c r="N58" s="62">
        <f t="shared" si="38"/>
        <v>0.297</v>
      </c>
      <c r="O58" s="60">
        <f t="shared" si="34"/>
        <v>0.297</v>
      </c>
      <c r="P58" s="63">
        <v>90.0</v>
      </c>
      <c r="Q58" s="58">
        <v>95.57</v>
      </c>
      <c r="R58" s="65">
        <v>4346.95</v>
      </c>
      <c r="S58" s="66">
        <f t="array" ref="S58">IF((XLOOKUP(D58,RUC!$B$3:$B$106,RUC!$E$3:$E$106)+ROUNDDOWN(O58,1)*100)&lt;95,95,((XLOOKUP(D58,RUC!$B$3:$B$106,RUC!$E$3:$E$106)+ROUNDDOWN(O58,1)*100)))</f>
        <v>100</v>
      </c>
      <c r="U58" s="67">
        <f t="array" ref="U58">XLOOKUP(D58,RUC!$B$3:$B$110,RUC!$F$3:$F$110)</f>
        <v>110</v>
      </c>
      <c r="V58" s="67">
        <v>1.1023</v>
      </c>
      <c r="Y58" s="57">
        <f t="array" ref="Y58">XLOOKUP(D58,RUC!$B$3:$B$110,RUC!$G$3:$G$110)</f>
        <v>0</v>
      </c>
      <c r="Z58" s="69">
        <f t="array" ref="Z58">XLOOKUP(D58,RUC!$B$3:$B$110,RUC!$H$3:$H$110)</f>
        <v>35</v>
      </c>
      <c r="AA58" s="70">
        <f t="shared" si="3"/>
        <v>35</v>
      </c>
      <c r="AB58" s="71">
        <f t="shared" si="32"/>
        <v>1099.584743</v>
      </c>
      <c r="AC58" s="71">
        <f>+(S58-T58)*V58-'data 1'!$F$4</f>
        <v>30.23</v>
      </c>
      <c r="AD58" s="71">
        <f t="shared" si="5"/>
        <v>82.2044682</v>
      </c>
      <c r="AE58" s="71">
        <f t="shared" si="6"/>
        <v>-31.4195</v>
      </c>
      <c r="AF58" s="71">
        <f t="shared" si="7"/>
        <v>84.80634246</v>
      </c>
      <c r="AG58" s="72">
        <f t="shared" si="37"/>
        <v>182.8213107</v>
      </c>
      <c r="AH58" s="193">
        <f t="shared" si="9"/>
        <v>49.659</v>
      </c>
      <c r="AI58" s="193">
        <f t="shared" si="10"/>
        <v>51.961</v>
      </c>
      <c r="AJ58" s="73">
        <f t="shared" si="11"/>
        <v>74.25243557</v>
      </c>
      <c r="AK58" s="73">
        <f t="shared" si="12"/>
        <v>43.95286635</v>
      </c>
      <c r="AM58" s="51">
        <f t="shared" si="13"/>
        <v>5273.608427</v>
      </c>
      <c r="AN58" s="51" t="str">
        <f t="array" ref="AN58">XLOOKUP(D58,RUC!$B$3:$B$565,RUC!$M$3:$M$565)</f>
        <v>Robinson Tuya</v>
      </c>
      <c r="AO58" s="131" t="s">
        <v>551</v>
      </c>
      <c r="AP58" s="57" t="s">
        <v>2443</v>
      </c>
      <c r="AQ58" s="57" t="s">
        <v>2444</v>
      </c>
    </row>
    <row r="59" ht="15.0" customHeight="1">
      <c r="A59" s="116" t="s">
        <v>2447</v>
      </c>
      <c r="B59" s="182">
        <v>46009.0</v>
      </c>
      <c r="C59" s="182">
        <v>46004.0</v>
      </c>
      <c r="D59" s="57" t="s">
        <v>306</v>
      </c>
      <c r="E59" s="3">
        <f t="array" ref="E59">XLOOKUP(D59,RUC!$B$3:$B$110,RUC!$D$3:$D$110)</f>
        <v>20612921866</v>
      </c>
      <c r="G59" s="141">
        <v>50.0</v>
      </c>
      <c r="H59" s="3" t="s">
        <v>47</v>
      </c>
      <c r="I59" s="6">
        <v>5.63</v>
      </c>
      <c r="J59" s="58">
        <v>1.3</v>
      </c>
      <c r="K59" s="6">
        <f t="shared" si="2"/>
        <v>5.557</v>
      </c>
      <c r="L59" s="139">
        <v>0.49</v>
      </c>
      <c r="M59" s="60">
        <f t="shared" si="24"/>
        <v>0.461</v>
      </c>
      <c r="N59" s="62">
        <f t="shared" si="38"/>
        <v>0.461</v>
      </c>
      <c r="O59" s="60">
        <f t="shared" si="34"/>
        <v>0.461</v>
      </c>
      <c r="P59" s="63">
        <v>90.0</v>
      </c>
      <c r="Q59" s="58">
        <v>97.96</v>
      </c>
      <c r="R59" s="65">
        <v>4346.95</v>
      </c>
      <c r="S59" s="66">
        <f t="array" ref="S59">IF((XLOOKUP(D59,RUC!$B$3:$B$106,RUC!$E$3:$E$106)+ROUNDDOWN(O59,1)*100)&lt;95,95,((XLOOKUP(D59,RUC!$B$3:$B$106,RUC!$E$3:$E$106)+ROUNDDOWN(O59,1)*100)))</f>
        <v>120</v>
      </c>
      <c r="U59" s="67">
        <f t="array" ref="U59">XLOOKUP(D59,RUC!$B$3:$B$110,RUC!$F$3:$F$110)</f>
        <v>100</v>
      </c>
      <c r="V59" s="67">
        <v>1.1023</v>
      </c>
      <c r="Y59" s="57" t="str">
        <f t="array" ref="Y59">XLOOKUP(D59,RUC!$B$3:$B$110,RUC!$G$3:$G$110)</f>
        <v/>
      </c>
      <c r="Z59" s="69">
        <f t="array" ref="Z59">XLOOKUP(D59,RUC!$B$3:$B$110,RUC!$H$3:$H$110)</f>
        <v>30</v>
      </c>
      <c r="AA59" s="70">
        <f t="shared" si="3"/>
        <v>30</v>
      </c>
      <c r="AB59" s="71">
        <f t="shared" si="32"/>
        <v>1776.973247</v>
      </c>
      <c r="AC59" s="71">
        <f>+(S59-T59)*V59-'data 1'!$F$4</f>
        <v>52.276</v>
      </c>
      <c r="AD59" s="71">
        <f t="shared" si="5"/>
        <v>182.5938321</v>
      </c>
      <c r="AE59" s="71">
        <f t="shared" si="6"/>
        <v>-36.931</v>
      </c>
      <c r="AF59" s="71">
        <f t="shared" si="7"/>
        <v>132.9914526</v>
      </c>
      <c r="AG59" s="72">
        <f t="shared" ref="AG59:AG60" si="39">AC59+AD59+AE59+AF59+70-10</f>
        <v>390.9302847</v>
      </c>
      <c r="AH59" s="193">
        <f t="shared" si="9"/>
        <v>91.452</v>
      </c>
      <c r="AI59" s="193">
        <f t="shared" si="10"/>
        <v>93.357</v>
      </c>
      <c r="AJ59" s="73">
        <f t="shared" si="11"/>
        <v>112.7265466</v>
      </c>
      <c r="AK59" s="73">
        <f t="shared" si="12"/>
        <v>79.04836669</v>
      </c>
      <c r="AM59" s="51">
        <f t="shared" si="13"/>
        <v>9874.640336</v>
      </c>
      <c r="AN59" s="51" t="str">
        <f t="array" ref="AN59">XLOOKUP(D59,RUC!$B$3:$B$565,RUC!$M$3:$M$565)</f>
        <v>Ronald Garibay</v>
      </c>
      <c r="AO59" s="131" t="s">
        <v>547</v>
      </c>
      <c r="AP59" s="57" t="s">
        <v>2448</v>
      </c>
      <c r="AQ59" s="57" t="s">
        <v>2449</v>
      </c>
    </row>
    <row r="60" ht="15.0" customHeight="1">
      <c r="A60" s="116" t="s">
        <v>2450</v>
      </c>
      <c r="B60" s="182">
        <v>46009.0</v>
      </c>
      <c r="C60" s="182">
        <v>46004.0</v>
      </c>
      <c r="D60" s="57" t="s">
        <v>306</v>
      </c>
      <c r="E60" s="3">
        <f t="array" ref="E60">XLOOKUP(D60,RUC!$B$3:$B$110,RUC!$D$3:$D$110)</f>
        <v>20612921866</v>
      </c>
      <c r="G60" s="141">
        <v>50.0</v>
      </c>
      <c r="H60" s="3" t="s">
        <v>47</v>
      </c>
      <c r="I60" s="6">
        <v>4.79</v>
      </c>
      <c r="J60" s="58">
        <v>1.4</v>
      </c>
      <c r="K60" s="6">
        <f t="shared" si="2"/>
        <v>4.723</v>
      </c>
      <c r="L60" s="139">
        <v>0.572</v>
      </c>
      <c r="M60" s="60">
        <f t="shared" si="24"/>
        <v>0.538</v>
      </c>
      <c r="N60" s="62">
        <f t="shared" si="38"/>
        <v>0.538</v>
      </c>
      <c r="O60" s="60">
        <f t="shared" si="34"/>
        <v>0.538</v>
      </c>
      <c r="P60" s="63">
        <v>90.0</v>
      </c>
      <c r="Q60" s="58">
        <v>97.2</v>
      </c>
      <c r="R60" s="65">
        <v>4346.95</v>
      </c>
      <c r="S60" s="66">
        <f t="array" ref="S60">IF((XLOOKUP(D60,RUC!$B$3:$B$106,RUC!$E$3:$E$106)+ROUNDDOWN(O60,1)*100)&lt;95,95,((XLOOKUP(D60,RUC!$B$3:$B$106,RUC!$E$3:$E$106)+ROUNDDOWN(O60,1)*100)))</f>
        <v>130</v>
      </c>
      <c r="U60" s="67">
        <f t="array" ref="U60">XLOOKUP(D60,RUC!$B$3:$B$110,RUC!$F$3:$F$110)</f>
        <v>100</v>
      </c>
      <c r="V60" s="67">
        <v>1.1023</v>
      </c>
      <c r="Y60" s="57" t="str">
        <f t="array" ref="Y60">XLOOKUP(D60,RUC!$B$3:$B$110,RUC!$G$3:$G$110)</f>
        <v/>
      </c>
      <c r="Z60" s="69">
        <f t="array" ref="Z60">XLOOKUP(D60,RUC!$B$3:$B$110,RUC!$H$3:$H$110)</f>
        <v>30</v>
      </c>
      <c r="AA60" s="70">
        <f t="shared" si="3"/>
        <v>30</v>
      </c>
      <c r="AB60" s="71">
        <f t="shared" si="32"/>
        <v>2090.372167</v>
      </c>
      <c r="AC60" s="71">
        <f>+(S60-T60)*V60-'data 1'!$F$4</f>
        <v>63.299</v>
      </c>
      <c r="AD60" s="71">
        <f t="shared" si="5"/>
        <v>192.7993124</v>
      </c>
      <c r="AE60" s="71">
        <f t="shared" si="6"/>
        <v>-36.931</v>
      </c>
      <c r="AF60" s="71">
        <f t="shared" si="7"/>
        <v>154.7113363</v>
      </c>
      <c r="AG60" s="72">
        <f t="shared" si="39"/>
        <v>433.8786487</v>
      </c>
      <c r="AH60" s="193">
        <f t="shared" si="9"/>
        <v>90.03</v>
      </c>
      <c r="AI60" s="193">
        <f t="shared" si="10"/>
        <v>92.624</v>
      </c>
      <c r="AJ60" s="73">
        <f t="shared" si="11"/>
        <v>130.5700708</v>
      </c>
      <c r="AK60" s="73">
        <f t="shared" si="12"/>
        <v>78.40645165</v>
      </c>
      <c r="AM60" s="51">
        <f t="shared" si="13"/>
        <v>9872.827746</v>
      </c>
      <c r="AN60" s="51" t="str">
        <f t="array" ref="AN60">XLOOKUP(D60,RUC!$B$3:$B$565,RUC!$M$3:$M$565)</f>
        <v>Ronald Garibay</v>
      </c>
      <c r="AO60" s="131" t="s">
        <v>547</v>
      </c>
      <c r="AP60" s="57" t="s">
        <v>2448</v>
      </c>
      <c r="AQ60" s="57" t="s">
        <v>2449</v>
      </c>
    </row>
    <row r="61" ht="15.0" customHeight="1">
      <c r="A61" s="116" t="s">
        <v>2451</v>
      </c>
      <c r="B61" s="182">
        <v>46011.0</v>
      </c>
      <c r="C61" s="182">
        <v>46005.0</v>
      </c>
      <c r="D61" s="57" t="s">
        <v>225</v>
      </c>
      <c r="E61" s="3">
        <f t="array" ref="E61">XLOOKUP(D61,RUC!$B$3:$B$110,RUC!$D$3:$D$110)</f>
        <v>10761932735</v>
      </c>
      <c r="G61" s="141" t="s">
        <v>735</v>
      </c>
      <c r="H61" s="3" t="s">
        <v>47</v>
      </c>
      <c r="I61" s="6">
        <v>34.74</v>
      </c>
      <c r="J61" s="58">
        <v>7.4</v>
      </c>
      <c r="K61" s="6">
        <f t="shared" si="2"/>
        <v>32.169</v>
      </c>
      <c r="L61" s="139">
        <v>0.152</v>
      </c>
      <c r="M61" s="60">
        <f t="shared" si="24"/>
        <v>0.134</v>
      </c>
      <c r="N61" s="62">
        <f t="shared" si="38"/>
        <v>0.134</v>
      </c>
      <c r="O61" s="60">
        <f t="shared" si="34"/>
        <v>0.134</v>
      </c>
      <c r="P61" s="63">
        <v>85.0</v>
      </c>
      <c r="Q61" s="58">
        <v>92.11</v>
      </c>
      <c r="R61" s="65">
        <v>4315.85</v>
      </c>
      <c r="S61" s="66">
        <f t="array" ref="S61">IF((XLOOKUP(D61,RUC!$B$3:$B$106,RUC!$E$3:$E$106)+ROUNDDOWN(O61,1)*100)&lt;95,95,((XLOOKUP(D61,RUC!$B$3:$B$106,RUC!$E$3:$E$106)+ROUNDDOWN(O61,1)*100)))</f>
        <v>100</v>
      </c>
      <c r="U61" s="67">
        <f t="array" ref="U61">XLOOKUP(D61,RUC!$B$3:$B$110,RUC!$F$3:$F$110)</f>
        <v>120</v>
      </c>
      <c r="V61" s="67">
        <v>1.1023</v>
      </c>
      <c r="Y61" s="57">
        <f t="array" ref="Y61">XLOOKUP(D61,RUC!$B$3:$B$110,RUC!$G$3:$G$110)</f>
        <v>20</v>
      </c>
      <c r="Z61" s="69">
        <f t="array" ref="Z61">XLOOKUP(D61,RUC!$B$3:$B$110,RUC!$H$3:$H$110)</f>
        <v>30</v>
      </c>
      <c r="AA61" s="70">
        <f t="shared" si="3"/>
        <v>50</v>
      </c>
      <c r="AB61" s="71">
        <f t="shared" si="32"/>
        <v>361.4522333</v>
      </c>
      <c r="AC61" s="71">
        <f>+(S61-T61)*V61-'data 1'!$F$4</f>
        <v>30.23</v>
      </c>
      <c r="AD61" s="71">
        <f t="shared" si="5"/>
        <v>49.98422353</v>
      </c>
      <c r="AE61" s="71">
        <f t="shared" si="6"/>
        <v>-14.885</v>
      </c>
      <c r="AF61" s="71">
        <f t="shared" si="7"/>
        <v>76.68299183</v>
      </c>
      <c r="AG61" s="72">
        <f t="shared" ref="AG61:AG64" si="40">AC61+AD61+AE61+AF61+70-53</f>
        <v>159.0122154</v>
      </c>
      <c r="AH61" s="193">
        <f t="shared" si="9"/>
        <v>154.418</v>
      </c>
      <c r="AI61" s="193">
        <f t="shared" si="10"/>
        <v>167.645</v>
      </c>
      <c r="AJ61" s="73">
        <f t="shared" si="11"/>
        <v>40.76625274</v>
      </c>
      <c r="AK61" s="73">
        <f t="shared" si="12"/>
        <v>125.6233452</v>
      </c>
      <c r="AM61" s="51">
        <f t="shared" si="13"/>
        <v>11627.55689</v>
      </c>
      <c r="AN61" s="51" t="str">
        <f t="array" ref="AN61">XLOOKUP(D61,RUC!$B$3:$B$565,RUC!$M$3:$M$565)</f>
        <v>Richard Sapacayo</v>
      </c>
      <c r="AO61" s="131" t="s">
        <v>551</v>
      </c>
      <c r="AP61" s="57" t="s">
        <v>2452</v>
      </c>
      <c r="AQ61" s="57" t="s">
        <v>737</v>
      </c>
    </row>
    <row r="62" ht="15.0" customHeight="1">
      <c r="A62" s="116" t="s">
        <v>2453</v>
      </c>
      <c r="B62" s="182">
        <v>46010.0</v>
      </c>
      <c r="C62" s="182">
        <v>46005.0</v>
      </c>
      <c r="D62" s="57" t="s">
        <v>622</v>
      </c>
      <c r="E62" s="3">
        <f t="array" ref="E62">XLOOKUP(D62,RUC!$B$3:$B$110,RUC!$D$3:$D$110)</f>
        <v>20612719757</v>
      </c>
      <c r="G62" s="141">
        <v>50.0</v>
      </c>
      <c r="H62" s="3" t="s">
        <v>339</v>
      </c>
      <c r="I62" s="6">
        <v>4.28</v>
      </c>
      <c r="J62" s="58">
        <v>11.7</v>
      </c>
      <c r="K62" s="6">
        <f t="shared" si="2"/>
        <v>3.779</v>
      </c>
      <c r="L62" s="139">
        <v>0.239</v>
      </c>
      <c r="M62" s="60">
        <f t="shared" si="24"/>
        <v>0.221</v>
      </c>
      <c r="N62" s="62">
        <f t="shared" si="38"/>
        <v>0.221</v>
      </c>
      <c r="O62" s="60">
        <f t="shared" si="34"/>
        <v>0.221</v>
      </c>
      <c r="P62" s="63">
        <v>90.0</v>
      </c>
      <c r="Q62" s="58">
        <v>92.05</v>
      </c>
      <c r="R62" s="65">
        <v>4315.85</v>
      </c>
      <c r="S62" s="66">
        <f t="array" ref="S62">IF((XLOOKUP(D62,RUC!$B$3:$B$106,RUC!$E$3:$E$106)+ROUNDDOWN(O62,1)*100)&lt;95,95,((XLOOKUP(D62,RUC!$B$3:$B$106,RUC!$E$3:$E$106)+ROUNDDOWN(O62,1)*100)))</f>
        <v>110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69">
        <f t="array" ref="Z62">XLOOKUP(D62,RUC!$B$3:$B$110,RUC!$H$3:$H$110)</f>
        <v>30</v>
      </c>
      <c r="AA62" s="70">
        <f t="shared" si="3"/>
        <v>50</v>
      </c>
      <c r="AB62" s="71">
        <f t="shared" si="32"/>
        <v>743.561497</v>
      </c>
      <c r="AC62" s="71">
        <f>+(S62-T62)*V62-'data 1'!$F$4</f>
        <v>41.253</v>
      </c>
      <c r="AD62" s="71">
        <f t="shared" si="5"/>
        <v>22.66060619</v>
      </c>
      <c r="AE62" s="71">
        <f t="shared" si="6"/>
        <v>-14.885</v>
      </c>
      <c r="AF62" s="71">
        <f t="shared" si="7"/>
        <v>76.6330409</v>
      </c>
      <c r="AG62" s="72">
        <f t="shared" si="40"/>
        <v>142.6616471</v>
      </c>
      <c r="AH62" s="193">
        <f t="shared" si="9"/>
        <v>28.504</v>
      </c>
      <c r="AI62" s="193">
        <f t="shared" si="10"/>
        <v>30.966</v>
      </c>
      <c r="AJ62" s="73">
        <f t="shared" si="11"/>
        <v>64.05781431</v>
      </c>
      <c r="AK62" s="73">
        <f t="shared" si="12"/>
        <v>25.77037536</v>
      </c>
      <c r="AM62" s="51">
        <f t="shared" si="13"/>
        <v>2809.918897</v>
      </c>
      <c r="AN62" s="51" t="str">
        <f t="array" ref="AN62">XLOOKUP(D62,RUC!$B$3:$B$565,RUC!$M$3:$M$565)</f>
        <v>Walter Achulla </v>
      </c>
      <c r="AO62" s="131" t="s">
        <v>551</v>
      </c>
      <c r="AP62" s="57" t="s">
        <v>2281</v>
      </c>
      <c r="AQ62" s="57" t="s">
        <v>2454</v>
      </c>
    </row>
    <row r="63" ht="15.0" customHeight="1">
      <c r="A63" s="116" t="s">
        <v>2455</v>
      </c>
      <c r="B63" s="182">
        <v>46010.0</v>
      </c>
      <c r="C63" s="182">
        <v>46005.0</v>
      </c>
      <c r="D63" s="57" t="s">
        <v>622</v>
      </c>
      <c r="E63" s="3">
        <f t="array" ref="E63">XLOOKUP(D63,RUC!$B$3:$B$110,RUC!$D$3:$D$110)</f>
        <v>20612719757</v>
      </c>
      <c r="G63" s="141">
        <v>50.0</v>
      </c>
      <c r="H63" s="3" t="s">
        <v>339</v>
      </c>
      <c r="I63" s="6">
        <v>3.74</v>
      </c>
      <c r="J63" s="58">
        <v>13.2</v>
      </c>
      <c r="K63" s="6">
        <f t="shared" si="2"/>
        <v>3.246</v>
      </c>
      <c r="L63" s="139">
        <v>0.261</v>
      </c>
      <c r="M63" s="60">
        <f t="shared" si="24"/>
        <v>0.243</v>
      </c>
      <c r="N63" s="62">
        <f t="shared" si="38"/>
        <v>0.243</v>
      </c>
      <c r="O63" s="60">
        <f t="shared" si="34"/>
        <v>0.243</v>
      </c>
      <c r="P63" s="63">
        <v>90.0</v>
      </c>
      <c r="Q63" s="58">
        <v>95.02</v>
      </c>
      <c r="R63" s="65">
        <v>4315.85</v>
      </c>
      <c r="S63" s="66">
        <f t="array" ref="S63">IF((XLOOKUP(D63,RUC!$B$3:$B$106,RUC!$E$3:$E$106)+ROUNDDOWN(O63,1)*100)&lt;95,95,((XLOOKUP(D63,RUC!$B$3:$B$106,RUC!$E$3:$E$106)+ROUNDDOWN(O63,1)*100)))</f>
        <v>110</v>
      </c>
      <c r="U63" s="67">
        <f t="array" ref="U63">XLOOKUP(D63,RUC!$B$3:$B$110,RUC!$F$3:$F$110)</f>
        <v>120</v>
      </c>
      <c r="V63" s="67">
        <v>1.1023</v>
      </c>
      <c r="Y63" s="57">
        <f t="array" ref="Y63">XLOOKUP(D63,RUC!$B$3:$B$110,RUC!$G$3:$G$110)</f>
        <v>20</v>
      </c>
      <c r="Z63" s="69">
        <f t="array" ref="Z63">XLOOKUP(D63,RUC!$B$3:$B$110,RUC!$H$3:$H$110)</f>
        <v>30</v>
      </c>
      <c r="AA63" s="70">
        <f t="shared" si="3"/>
        <v>50</v>
      </c>
      <c r="AB63" s="71">
        <f t="shared" si="32"/>
        <v>835.138189</v>
      </c>
      <c r="AC63" s="71">
        <f>+(S63-T63)*V63-'data 1'!$F$4</f>
        <v>41.253</v>
      </c>
      <c r="AD63" s="71">
        <f t="shared" si="5"/>
        <v>60.59879465</v>
      </c>
      <c r="AE63" s="71">
        <f t="shared" si="6"/>
        <v>-14.885</v>
      </c>
      <c r="AF63" s="71">
        <f t="shared" si="7"/>
        <v>79.10561159</v>
      </c>
      <c r="AG63" s="72">
        <f t="shared" si="40"/>
        <v>183.0724062</v>
      </c>
      <c r="AH63" s="193">
        <f t="shared" si="9"/>
        <v>27.6</v>
      </c>
      <c r="AI63" s="193">
        <f t="shared" si="10"/>
        <v>29.047</v>
      </c>
      <c r="AJ63" s="73">
        <f t="shared" si="11"/>
        <v>72.21143174</v>
      </c>
      <c r="AK63" s="73">
        <f t="shared" si="12"/>
        <v>24.33920383</v>
      </c>
      <c r="AM63" s="51">
        <f t="shared" si="13"/>
        <v>2710.858562</v>
      </c>
      <c r="AN63" s="51" t="str">
        <f t="array" ref="AN63">XLOOKUP(D63,RUC!$B$3:$B$565,RUC!$M$3:$M$565)</f>
        <v>Walter Achulla </v>
      </c>
      <c r="AO63" s="131" t="s">
        <v>551</v>
      </c>
      <c r="AP63" s="57" t="s">
        <v>2281</v>
      </c>
      <c r="AQ63" s="57" t="s">
        <v>2454</v>
      </c>
    </row>
    <row r="64" ht="15.0" customHeight="1">
      <c r="A64" s="116" t="s">
        <v>2456</v>
      </c>
      <c r="B64" s="182">
        <v>46010.0</v>
      </c>
      <c r="C64" s="182">
        <v>46005.0</v>
      </c>
      <c r="D64" s="57" t="s">
        <v>622</v>
      </c>
      <c r="E64" s="3">
        <f t="array" ref="E64">XLOOKUP(D64,RUC!$B$3:$B$110,RUC!$D$3:$D$110)</f>
        <v>20612719757</v>
      </c>
      <c r="G64" s="141">
        <v>50.0</v>
      </c>
      <c r="H64" s="3" t="s">
        <v>339</v>
      </c>
      <c r="I64" s="6">
        <v>3.69</v>
      </c>
      <c r="J64" s="58">
        <v>11.4</v>
      </c>
      <c r="K64" s="6">
        <f t="shared" si="2"/>
        <v>3.269</v>
      </c>
      <c r="L64" s="139">
        <v>0.348</v>
      </c>
      <c r="M64" s="60">
        <f t="shared" si="24"/>
        <v>0.327</v>
      </c>
      <c r="N64" s="62">
        <f t="shared" si="38"/>
        <v>0.327</v>
      </c>
      <c r="O64" s="60">
        <f t="shared" si="34"/>
        <v>0.327</v>
      </c>
      <c r="P64" s="63">
        <v>90.0</v>
      </c>
      <c r="Q64" s="58">
        <v>94.25</v>
      </c>
      <c r="R64" s="65">
        <v>4315.85</v>
      </c>
      <c r="S64" s="66">
        <f t="array" ref="S64">IF((XLOOKUP(D64,RUC!$B$3:$B$106,RUC!$E$3:$E$106)+ROUNDDOWN(O64,1)*100)&lt;95,95,((XLOOKUP(D64,RUC!$B$3:$B$106,RUC!$E$3:$E$106)+ROUNDDOWN(O64,1)*100)))</f>
        <v>120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69">
        <f t="array" ref="Z64">XLOOKUP(D64,RUC!$B$3:$B$110,RUC!$H$3:$H$110)</f>
        <v>30</v>
      </c>
      <c r="AA64" s="70">
        <f t="shared" si="3"/>
        <v>50</v>
      </c>
      <c r="AB64" s="71">
        <f t="shared" si="32"/>
        <v>1173.771649</v>
      </c>
      <c r="AC64" s="71">
        <f>+(S64-T64)*V64-'data 1'!$F$4</f>
        <v>52.276</v>
      </c>
      <c r="AD64" s="71">
        <f t="shared" si="5"/>
        <v>68.40501388</v>
      </c>
      <c r="AE64" s="71">
        <f t="shared" si="6"/>
        <v>-14.885</v>
      </c>
      <c r="AF64" s="71">
        <f t="shared" si="7"/>
        <v>91.54200387</v>
      </c>
      <c r="AG64" s="72">
        <f t="shared" si="40"/>
        <v>214.3380177</v>
      </c>
      <c r="AH64" s="193">
        <f t="shared" si="9"/>
        <v>36.761</v>
      </c>
      <c r="AI64" s="193">
        <f t="shared" si="10"/>
        <v>39.003</v>
      </c>
      <c r="AJ64" s="73">
        <f t="shared" si="11"/>
        <v>95.50168303</v>
      </c>
      <c r="AK64" s="73">
        <f t="shared" si="12"/>
        <v>32.98483014</v>
      </c>
      <c r="AM64" s="51">
        <f t="shared" si="13"/>
        <v>3837.059522</v>
      </c>
      <c r="AN64" s="51" t="str">
        <f t="array" ref="AN64">XLOOKUP(D64,RUC!$B$3:$B$565,RUC!$M$3:$M$565)</f>
        <v>Walter Achulla </v>
      </c>
      <c r="AO64" s="131" t="s">
        <v>551</v>
      </c>
      <c r="AP64" s="57" t="s">
        <v>2281</v>
      </c>
      <c r="AQ64" s="57" t="s">
        <v>2454</v>
      </c>
    </row>
    <row r="65" ht="15.0" customHeight="1">
      <c r="A65" s="116" t="s">
        <v>2457</v>
      </c>
      <c r="B65" s="182">
        <v>46013.0</v>
      </c>
      <c r="C65" s="182">
        <v>46007.0</v>
      </c>
      <c r="D65" s="57" t="s">
        <v>306</v>
      </c>
      <c r="E65" s="3">
        <f t="array" ref="E65">XLOOKUP(D65,RUC!$B$3:$B$110,RUC!$D$3:$D$110)</f>
        <v>20612921866</v>
      </c>
      <c r="G65" s="141" t="s">
        <v>735</v>
      </c>
      <c r="H65" s="3" t="s">
        <v>47</v>
      </c>
      <c r="I65" s="6">
        <v>10.54</v>
      </c>
      <c r="J65" s="58">
        <v>1.2</v>
      </c>
      <c r="K65" s="6">
        <f t="shared" si="2"/>
        <v>10.414</v>
      </c>
      <c r="L65" s="139">
        <v>0.199</v>
      </c>
      <c r="M65" s="60">
        <f t="shared" si="24"/>
        <v>0.181</v>
      </c>
      <c r="N65" s="62">
        <f t="shared" si="38"/>
        <v>0.181</v>
      </c>
      <c r="O65" s="60">
        <f t="shared" si="34"/>
        <v>0.181</v>
      </c>
      <c r="P65" s="63">
        <v>90.0</v>
      </c>
      <c r="Q65" s="58">
        <v>92.46</v>
      </c>
      <c r="R65" s="65">
        <v>4324.2</v>
      </c>
      <c r="S65" s="66">
        <f t="array" ref="S65">IF((XLOOKUP(D65,RUC!$B$3:$B$106,RUC!$E$3:$E$106)+ROUNDDOWN(O65,1)*100)&lt;95,95,((XLOOKUP(D65,RUC!$B$3:$B$106,RUC!$E$3:$E$106)+ROUNDDOWN(O65,1)*100)))</f>
        <v>95</v>
      </c>
      <c r="U65" s="67">
        <f t="array" ref="U65">XLOOKUP(D65,RUC!$B$3:$B$110,RUC!$F$3:$F$110)</f>
        <v>100</v>
      </c>
      <c r="V65" s="67">
        <v>1.1023</v>
      </c>
      <c r="Y65" s="57" t="str">
        <f t="array" ref="Y65">XLOOKUP(D65,RUC!$B$3:$B$110,RUC!$G$3:$G$110)</f>
        <v/>
      </c>
      <c r="Z65" s="69">
        <f t="array" ref="Z65">XLOOKUP(D65,RUC!$B$3:$B$110,RUC!$H$3:$H$110)</f>
        <v>30</v>
      </c>
      <c r="AA65" s="70">
        <f t="shared" si="3"/>
        <v>30</v>
      </c>
      <c r="AB65" s="71">
        <f t="shared" si="32"/>
        <v>620.729579</v>
      </c>
      <c r="AC65" s="71">
        <f>+(S65-T65)*V65-'data 1'!$F$4</f>
        <v>24.7185</v>
      </c>
      <c r="AD65" s="71">
        <f t="shared" si="5"/>
        <v>22.79462559</v>
      </c>
      <c r="AE65" s="71">
        <f t="shared" si="6"/>
        <v>-36.931</v>
      </c>
      <c r="AF65" s="71">
        <f t="shared" si="7"/>
        <v>77.49446312</v>
      </c>
      <c r="AG65" s="72">
        <f>AC65+AD65+AE65+AF65+70-10</f>
        <v>148.0765887</v>
      </c>
      <c r="AH65" s="193">
        <f t="shared" si="9"/>
        <v>65.695</v>
      </c>
      <c r="AI65" s="193">
        <f t="shared" si="10"/>
        <v>71.053</v>
      </c>
      <c r="AJ65" s="73">
        <f t="shared" si="11"/>
        <v>47.82451492</v>
      </c>
      <c r="AK65" s="73">
        <f t="shared" si="12"/>
        <v>58.16312427</v>
      </c>
      <c r="AM65" s="51">
        <f t="shared" si="13"/>
        <v>6464.277836</v>
      </c>
      <c r="AN65" s="51" t="str">
        <f t="array" ref="AN65">XLOOKUP(D65,RUC!$B$3:$B$565,RUC!$M$3:$M$565)</f>
        <v>Ronald Garibay</v>
      </c>
      <c r="AO65" s="131" t="s">
        <v>547</v>
      </c>
      <c r="AP65" s="57" t="s">
        <v>2458</v>
      </c>
      <c r="AQ65" s="57" t="s">
        <v>2459</v>
      </c>
    </row>
    <row r="66" ht="15.0" customHeight="1">
      <c r="A66" s="116" t="s">
        <v>2460</v>
      </c>
      <c r="B66" s="182">
        <v>46019.0</v>
      </c>
      <c r="C66" s="182">
        <v>46008.0</v>
      </c>
      <c r="D66" s="57" t="s">
        <v>225</v>
      </c>
      <c r="E66" s="3">
        <f t="array" ref="E66">XLOOKUP(D66,RUC!$B$3:$B$110,RUC!$D$3:$D$110)</f>
        <v>10761932735</v>
      </c>
      <c r="G66" s="141" t="s">
        <v>735</v>
      </c>
      <c r="H66" s="3" t="s">
        <v>47</v>
      </c>
      <c r="I66" s="6">
        <v>22.35</v>
      </c>
      <c r="J66" s="58">
        <v>7.8</v>
      </c>
      <c r="K66" s="6">
        <f t="shared" si="2"/>
        <v>20.607</v>
      </c>
      <c r="L66" s="139">
        <v>0.118</v>
      </c>
      <c r="M66" s="60">
        <f t="shared" si="24"/>
        <v>0.1</v>
      </c>
      <c r="N66" s="75">
        <v>0.152</v>
      </c>
      <c r="O66" s="60">
        <f t="shared" si="34"/>
        <v>0.126</v>
      </c>
      <c r="P66" s="63">
        <v>80.0</v>
      </c>
      <c r="Q66" s="58">
        <v>97.46</v>
      </c>
      <c r="R66" s="65">
        <v>4342.1</v>
      </c>
      <c r="S66" s="66">
        <f t="array" ref="S66">IF((XLOOKUP(D66,RUC!$B$3:$B$106,RUC!$E$3:$E$106)+ROUNDDOWN(O66,1)*100)&lt;95,95,((XLOOKUP(D66,RUC!$B$3:$B$106,RUC!$E$3:$E$106)+ROUNDDOWN(O66,1)*100)))</f>
        <v>100</v>
      </c>
      <c r="U66" s="67">
        <f t="array" ref="U66">XLOOKUP(D66,RUC!$B$3:$B$110,RUC!$F$3:$F$110)</f>
        <v>120</v>
      </c>
      <c r="V66" s="67">
        <v>1.1023</v>
      </c>
      <c r="Y66" s="57">
        <f t="array" ref="Y66">XLOOKUP(D66,RUC!$B$3:$B$110,RUC!$G$3:$G$110)</f>
        <v>20</v>
      </c>
      <c r="Z66" s="69">
        <f t="array" ref="Z66">XLOOKUP(D66,RUC!$B$3:$B$110,RUC!$H$3:$H$110)</f>
        <v>30</v>
      </c>
      <c r="AA66" s="70">
        <f t="shared" si="3"/>
        <v>50</v>
      </c>
      <c r="AB66" s="71">
        <f t="shared" si="32"/>
        <v>303.7802997</v>
      </c>
      <c r="AC66" s="71">
        <f>+(S66-T66)*V66-'data 1'!$F$4</f>
        <v>30.23</v>
      </c>
      <c r="AD66" s="71">
        <f t="shared" si="5"/>
        <v>95.88586036</v>
      </c>
      <c r="AE66" s="71">
        <f t="shared" si="6"/>
        <v>-14.885</v>
      </c>
      <c r="AF66" s="71">
        <f t="shared" si="7"/>
        <v>-36.28646961</v>
      </c>
      <c r="AG66" s="72">
        <f t="shared" ref="AG66:AG68" si="41">AC66+AD66+AE66+AF66+70-53</f>
        <v>91.94439075</v>
      </c>
      <c r="AH66" s="193">
        <f t="shared" si="9"/>
        <v>81.252</v>
      </c>
      <c r="AI66" s="193">
        <f t="shared" si="10"/>
        <v>83.369</v>
      </c>
      <c r="AJ66" s="73">
        <f t="shared" si="11"/>
        <v>30.15800881</v>
      </c>
      <c r="AK66" s="73">
        <f t="shared" si="12"/>
        <v>71.21711435</v>
      </c>
      <c r="AM66" s="51">
        <f t="shared" si="13"/>
        <v>6260.000635</v>
      </c>
      <c r="AN66" s="51" t="str">
        <f t="array" ref="AN66">XLOOKUP(D66,RUC!$B$3:$B$565,RUC!$M$3:$M$565)</f>
        <v>Richard Sapacayo</v>
      </c>
      <c r="AO66" s="131" t="s">
        <v>547</v>
      </c>
      <c r="AP66" s="57" t="s">
        <v>2461</v>
      </c>
      <c r="AQ66" s="57" t="s">
        <v>2462</v>
      </c>
    </row>
    <row r="67" ht="15.0" customHeight="1">
      <c r="A67" s="116" t="s">
        <v>2463</v>
      </c>
      <c r="B67" s="182">
        <v>46015.0</v>
      </c>
      <c r="C67" s="182">
        <v>46009.0</v>
      </c>
      <c r="D67" s="57" t="s">
        <v>665</v>
      </c>
      <c r="E67" s="3">
        <f t="array" ref="E67">XLOOKUP(D67,RUC!$B$3:$B$110,RUC!$D$3:$D$110)</f>
        <v>20608774000</v>
      </c>
      <c r="G67" s="141">
        <v>36.0</v>
      </c>
      <c r="H67" s="3" t="s">
        <v>47</v>
      </c>
      <c r="I67" s="6">
        <v>3.06</v>
      </c>
      <c r="J67" s="58">
        <v>1.15</v>
      </c>
      <c r="K67" s="6">
        <f t="shared" si="2"/>
        <v>3.025</v>
      </c>
      <c r="L67" s="139">
        <v>0.272</v>
      </c>
      <c r="M67" s="60">
        <f t="shared" si="24"/>
        <v>0.254</v>
      </c>
      <c r="N67" s="62">
        <f t="shared" ref="N67:N70" si="42">+M67</f>
        <v>0.254</v>
      </c>
      <c r="O67" s="60">
        <f t="shared" si="34"/>
        <v>0.254</v>
      </c>
      <c r="P67" s="63">
        <v>90.0</v>
      </c>
      <c r="Q67" s="58">
        <v>96.32</v>
      </c>
      <c r="R67" s="65">
        <v>4333.35</v>
      </c>
      <c r="S67" s="66">
        <f t="array" ref="S67">IF((XLOOKUP(D67,RUC!$B$3:$B$106,RUC!$E$3:$E$106)+ROUNDDOWN(O67,1)*100)&lt;95,95,((XLOOKUP(D67,RUC!$B$3:$B$106,RUC!$E$3:$E$106)+ROUNDDOWN(O67,1)*100)))</f>
        <v>105</v>
      </c>
      <c r="U67" s="67">
        <f t="array" ref="U67">XLOOKUP(D67,RUC!$B$3:$B$110,RUC!$F$3:$F$110)</f>
        <v>120</v>
      </c>
      <c r="V67" s="67">
        <v>1.1023</v>
      </c>
      <c r="Y67" s="199">
        <v>25.0</v>
      </c>
      <c r="Z67" s="140">
        <v>35.0</v>
      </c>
      <c r="AA67" s="70">
        <f t="shared" si="3"/>
        <v>60</v>
      </c>
      <c r="AB67" s="71">
        <f t="shared" si="32"/>
        <v>879.8247862</v>
      </c>
      <c r="AC67" s="71">
        <f>+(S67-T67)*V67-'data 1'!$F$4</f>
        <v>35.7415</v>
      </c>
      <c r="AD67" s="71">
        <f t="shared" si="5"/>
        <v>79.83867612</v>
      </c>
      <c r="AE67" s="71">
        <f t="shared" si="6"/>
        <v>-3.862</v>
      </c>
      <c r="AF67" s="71">
        <f t="shared" si="7"/>
        <v>80.52232822</v>
      </c>
      <c r="AG67" s="72">
        <f t="shared" si="41"/>
        <v>209.2405043</v>
      </c>
      <c r="AH67" s="193">
        <f t="shared" si="9"/>
        <v>27.172</v>
      </c>
      <c r="AI67" s="193">
        <f t="shared" si="10"/>
        <v>28.21</v>
      </c>
      <c r="AJ67" s="73">
        <f t="shared" si="11"/>
        <v>71.23055122</v>
      </c>
      <c r="AK67" s="73">
        <f t="shared" si="12"/>
        <v>23.70886012</v>
      </c>
      <c r="AM67" s="51">
        <f t="shared" si="13"/>
        <v>2661.469978</v>
      </c>
      <c r="AN67" s="51" t="str">
        <f t="array" ref="AN67">XLOOKUP(D67,RUC!$B$3:$B$565,RUC!$M$3:$M$565)</f>
        <v>Ronald Miranda</v>
      </c>
      <c r="AO67" s="131" t="s">
        <v>547</v>
      </c>
      <c r="AP67" s="57" t="s">
        <v>2464</v>
      </c>
      <c r="AQ67" s="57" t="s">
        <v>808</v>
      </c>
    </row>
    <row r="68" ht="15.0" customHeight="1">
      <c r="A68" s="116" t="s">
        <v>2465</v>
      </c>
      <c r="B68" s="182">
        <v>46015.0</v>
      </c>
      <c r="C68" s="182">
        <v>46009.0</v>
      </c>
      <c r="D68" s="57" t="s">
        <v>665</v>
      </c>
      <c r="E68" s="3">
        <f t="array" ref="E68">XLOOKUP(D68,RUC!$B$3:$B$110,RUC!$D$3:$D$110)</f>
        <v>20608774000</v>
      </c>
      <c r="G68" s="141">
        <v>55.0</v>
      </c>
      <c r="H68" s="3" t="s">
        <v>47</v>
      </c>
      <c r="I68" s="6">
        <v>4.6</v>
      </c>
      <c r="J68" s="58">
        <v>1.15</v>
      </c>
      <c r="K68" s="6">
        <f t="shared" si="2"/>
        <v>4.547</v>
      </c>
      <c r="L68" s="139">
        <v>0.424</v>
      </c>
      <c r="M68" s="60">
        <f t="shared" si="24"/>
        <v>0.399</v>
      </c>
      <c r="N68" s="62">
        <f t="shared" si="42"/>
        <v>0.399</v>
      </c>
      <c r="O68" s="60">
        <f t="shared" si="34"/>
        <v>0.399</v>
      </c>
      <c r="P68" s="63">
        <v>90.0</v>
      </c>
      <c r="Q68" s="58">
        <v>97.88</v>
      </c>
      <c r="R68" s="65">
        <v>4333.35</v>
      </c>
      <c r="S68" s="66">
        <f t="array" ref="S68">IF((XLOOKUP(D68,RUC!$B$3:$B$106,RUC!$E$3:$E$106)+ROUNDDOWN(O68,1)*100)&lt;95,95,((XLOOKUP(D68,RUC!$B$3:$B$106,RUC!$E$3:$E$106)+ROUNDDOWN(O68,1)*100)))</f>
        <v>115</v>
      </c>
      <c r="U68" s="67">
        <f t="array" ref="U68">XLOOKUP(D68,RUC!$B$3:$B$110,RUC!$F$3:$F$110)</f>
        <v>120</v>
      </c>
      <c r="V68" s="67">
        <v>1.1023</v>
      </c>
      <c r="Y68" s="199">
        <v>25.0</v>
      </c>
      <c r="Z68" s="140">
        <v>35.0</v>
      </c>
      <c r="AA68" s="70">
        <f t="shared" si="3"/>
        <v>60</v>
      </c>
      <c r="AB68" s="71">
        <f t="shared" si="32"/>
        <v>1474.892816</v>
      </c>
      <c r="AC68" s="71">
        <f>+(S68-T68)*V68-'data 1'!$F$4</f>
        <v>46.7645</v>
      </c>
      <c r="AD68" s="71">
        <f t="shared" si="5"/>
        <v>155.1741656</v>
      </c>
      <c r="AE68" s="71">
        <f t="shared" si="6"/>
        <v>-3.862</v>
      </c>
      <c r="AF68" s="71">
        <f t="shared" si="7"/>
        <v>113.6478735</v>
      </c>
      <c r="AG68" s="72">
        <f t="shared" si="41"/>
        <v>328.7245391</v>
      </c>
      <c r="AH68" s="193">
        <f t="shared" si="9"/>
        <v>64.698</v>
      </c>
      <c r="AI68" s="193">
        <f t="shared" si="10"/>
        <v>66.1</v>
      </c>
      <c r="AJ68" s="73">
        <f t="shared" si="11"/>
        <v>112.8341975</v>
      </c>
      <c r="AK68" s="73">
        <f t="shared" si="12"/>
        <v>55.98213131</v>
      </c>
      <c r="AM68" s="51">
        <f t="shared" si="13"/>
        <v>6706.337633</v>
      </c>
      <c r="AN68" s="51" t="str">
        <f t="array" ref="AN68">XLOOKUP(D68,RUC!$B$3:$B$565,RUC!$M$3:$M$565)</f>
        <v>Ronald Miranda</v>
      </c>
      <c r="AO68" s="131" t="s">
        <v>547</v>
      </c>
      <c r="AP68" s="57" t="s">
        <v>2464</v>
      </c>
      <c r="AQ68" s="57" t="s">
        <v>808</v>
      </c>
    </row>
    <row r="69" ht="15.0" customHeight="1">
      <c r="A69" s="116" t="s">
        <v>2466</v>
      </c>
      <c r="B69" s="182">
        <v>46017.0</v>
      </c>
      <c r="C69" s="182">
        <v>46010.0</v>
      </c>
      <c r="D69" s="57" t="s">
        <v>306</v>
      </c>
      <c r="E69" s="3">
        <f t="array" ref="E69">XLOOKUP(D69,RUC!$B$3:$B$110,RUC!$D$3:$D$110)</f>
        <v>20612921866</v>
      </c>
      <c r="G69" s="141" t="s">
        <v>735</v>
      </c>
      <c r="H69" s="3" t="s">
        <v>47</v>
      </c>
      <c r="I69" s="6">
        <v>20.49</v>
      </c>
      <c r="J69" s="58">
        <v>1.5</v>
      </c>
      <c r="K69" s="6">
        <f t="shared" si="2"/>
        <v>20.183</v>
      </c>
      <c r="L69" s="139">
        <v>0.358</v>
      </c>
      <c r="M69" s="60">
        <f t="shared" si="24"/>
        <v>0.337</v>
      </c>
      <c r="N69" s="62">
        <f t="shared" si="42"/>
        <v>0.337</v>
      </c>
      <c r="O69" s="60">
        <f t="shared" si="34"/>
        <v>0.337</v>
      </c>
      <c r="P69" s="63">
        <v>90.0</v>
      </c>
      <c r="Q69" s="58">
        <v>94.13</v>
      </c>
      <c r="R69" s="65">
        <v>4337.6</v>
      </c>
      <c r="S69" s="66">
        <f t="array" ref="S69">IF((XLOOKUP(D69,RUC!$B$3:$B$106,RUC!$E$3:$E$106)+ROUNDDOWN(O69,1)*100)&lt;95,95,((XLOOKUP(D69,RUC!$B$3:$B$106,RUC!$E$3:$E$106)+ROUNDDOWN(O69,1)*100)))</f>
        <v>110</v>
      </c>
      <c r="U69" s="67">
        <f t="array" ref="U69">XLOOKUP(D69,RUC!$B$3:$B$110,RUC!$F$3:$F$110)</f>
        <v>100</v>
      </c>
      <c r="V69" s="67">
        <v>1.1023</v>
      </c>
      <c r="Y69" s="57" t="str">
        <f t="array" ref="Y69">XLOOKUP(D69,RUC!$B$3:$B$110,RUC!$G$3:$G$110)</f>
        <v/>
      </c>
      <c r="Z69" s="69">
        <f t="array" ref="Z69">XLOOKUP(D69,RUC!$B$3:$B$110,RUC!$H$3:$H$110)</f>
        <v>30</v>
      </c>
      <c r="AA69" s="70">
        <f t="shared" si="3"/>
        <v>30</v>
      </c>
      <c r="AB69" s="71">
        <f t="shared" si="32"/>
        <v>1262.424595</v>
      </c>
      <c r="AC69" s="71">
        <f>+(S69-T69)*V69-'data 1'!$F$4</f>
        <v>41.253</v>
      </c>
      <c r="AD69" s="71">
        <f t="shared" si="5"/>
        <v>69.06417775</v>
      </c>
      <c r="AE69" s="71">
        <f t="shared" si="6"/>
        <v>-36.931</v>
      </c>
      <c r="AF69" s="71">
        <f t="shared" si="7"/>
        <v>92.33516312</v>
      </c>
      <c r="AG69" s="72">
        <f t="shared" ref="AG69:AG70" si="43">AC69+AD69+AE69+AF69+70-10</f>
        <v>225.7213409</v>
      </c>
      <c r="AH69" s="193">
        <f t="shared" si="9"/>
        <v>233.188</v>
      </c>
      <c r="AI69" s="193">
        <f t="shared" si="10"/>
        <v>247.73</v>
      </c>
      <c r="AJ69" s="73">
        <f t="shared" si="11"/>
        <v>82.61248303</v>
      </c>
      <c r="AK69" s="73">
        <f t="shared" si="12"/>
        <v>209.8781367</v>
      </c>
      <c r="AM69" s="51">
        <f t="shared" si="13"/>
        <v>25479.51561</v>
      </c>
      <c r="AN69" s="51" t="str">
        <f t="array" ref="AN69">XLOOKUP(D69,RUC!$B$3:$B$565,RUC!$M$3:$M$565)</f>
        <v>Ronald Garibay</v>
      </c>
      <c r="AO69" s="131" t="s">
        <v>547</v>
      </c>
      <c r="AP69" s="57" t="s">
        <v>732</v>
      </c>
      <c r="AQ69" s="57" t="s">
        <v>2467</v>
      </c>
    </row>
    <row r="70" ht="15.0" customHeight="1">
      <c r="A70" s="116" t="s">
        <v>2468</v>
      </c>
      <c r="B70" s="182">
        <v>46017.0</v>
      </c>
      <c r="C70" s="182">
        <v>46010.0</v>
      </c>
      <c r="D70" s="57" t="s">
        <v>306</v>
      </c>
      <c r="E70" s="3">
        <f t="array" ref="E70">XLOOKUP(D70,RUC!$B$3:$B$110,RUC!$D$3:$D$110)</f>
        <v>20612921866</v>
      </c>
      <c r="G70" s="141" t="s">
        <v>735</v>
      </c>
      <c r="H70" s="3" t="s">
        <v>47</v>
      </c>
      <c r="I70" s="6">
        <v>20.97</v>
      </c>
      <c r="J70" s="58">
        <v>1.25</v>
      </c>
      <c r="K70" s="6">
        <f t="shared" si="2"/>
        <v>20.708</v>
      </c>
      <c r="L70" s="139">
        <v>0.314</v>
      </c>
      <c r="M70" s="60">
        <f t="shared" si="24"/>
        <v>0.295</v>
      </c>
      <c r="N70" s="62">
        <f t="shared" si="42"/>
        <v>0.295</v>
      </c>
      <c r="O70" s="60">
        <f t="shared" si="34"/>
        <v>0.295</v>
      </c>
      <c r="P70" s="63">
        <v>90.0</v>
      </c>
      <c r="Q70" s="58">
        <v>91.08</v>
      </c>
      <c r="R70" s="65">
        <v>4337.6</v>
      </c>
      <c r="S70" s="66">
        <f t="array" ref="S70">IF((XLOOKUP(D70,RUC!$B$3:$B$106,RUC!$E$3:$E$106)+ROUNDDOWN(O70,1)*100)&lt;95,95,((XLOOKUP(D70,RUC!$B$3:$B$106,RUC!$E$3:$E$106)+ROUNDDOWN(O70,1)*100)))</f>
        <v>100</v>
      </c>
      <c r="U70" s="67">
        <f t="array" ref="U70">XLOOKUP(D70,RUC!$B$3:$B$110,RUC!$F$3:$F$110)</f>
        <v>100</v>
      </c>
      <c r="V70" s="67">
        <v>1.1023</v>
      </c>
      <c r="Y70" s="57" t="str">
        <f t="array" ref="Y70">XLOOKUP(D70,RUC!$B$3:$B$110,RUC!$G$3:$G$110)</f>
        <v/>
      </c>
      <c r="Z70" s="69">
        <f t="array" ref="Z70">XLOOKUP(D70,RUC!$B$3:$B$110,RUC!$H$3:$H$110)</f>
        <v>30</v>
      </c>
      <c r="AA70" s="70">
        <f t="shared" si="3"/>
        <v>30</v>
      </c>
      <c r="AB70" s="71">
        <f t="shared" si="32"/>
        <v>1096.87977</v>
      </c>
      <c r="AC70" s="71">
        <f>+(S70-T70)*V70-'data 1'!$F$4</f>
        <v>30.23</v>
      </c>
      <c r="AD70" s="71">
        <f t="shared" si="5"/>
        <v>15.84065629</v>
      </c>
      <c r="AE70" s="71">
        <f t="shared" si="6"/>
        <v>-36.931</v>
      </c>
      <c r="AF70" s="71">
        <f t="shared" si="7"/>
        <v>80.83443186</v>
      </c>
      <c r="AG70" s="72">
        <f t="shared" si="43"/>
        <v>149.9740882</v>
      </c>
      <c r="AH70" s="193">
        <f t="shared" si="9"/>
        <v>203.049</v>
      </c>
      <c r="AI70" s="193">
        <f t="shared" si="10"/>
        <v>222.934</v>
      </c>
      <c r="AJ70" s="73">
        <f t="shared" si="11"/>
        <v>70.11117739</v>
      </c>
      <c r="AK70" s="73">
        <f t="shared" si="12"/>
        <v>188.5001721</v>
      </c>
      <c r="AM70" s="51">
        <f t="shared" si="13"/>
        <v>22714.18629</v>
      </c>
      <c r="AN70" s="51" t="str">
        <f t="array" ref="AN70">XLOOKUP(D70,RUC!$B$3:$B$565,RUC!$M$3:$M$565)</f>
        <v>Ronald Garibay</v>
      </c>
      <c r="AO70" s="131" t="s">
        <v>547</v>
      </c>
      <c r="AP70" s="57" t="s">
        <v>2469</v>
      </c>
      <c r="AQ70" s="57" t="s">
        <v>2470</v>
      </c>
    </row>
    <row r="71" ht="15.0" customHeight="1">
      <c r="B71" s="3"/>
      <c r="C71" s="3"/>
      <c r="G71" s="141"/>
      <c r="H71" s="3"/>
      <c r="R71" s="65"/>
      <c r="AG71" s="91"/>
    </row>
    <row r="72" ht="15.0" customHeight="1">
      <c r="B72" s="3"/>
      <c r="C72" s="3"/>
      <c r="G72" s="141"/>
      <c r="H72" s="3"/>
      <c r="R72" s="65"/>
      <c r="AG72" s="91"/>
    </row>
    <row r="73" ht="15.0" customHeight="1">
      <c r="B73" s="3"/>
      <c r="C73" s="3"/>
      <c r="G73" s="141"/>
      <c r="H73" s="3"/>
      <c r="R73" s="65"/>
      <c r="AG73" s="91"/>
    </row>
    <row r="74" ht="15.0" customHeight="1">
      <c r="B74" s="3"/>
      <c r="C74" s="3"/>
      <c r="G74" s="141"/>
      <c r="H74" s="3"/>
      <c r="R74" s="65"/>
      <c r="AG74" s="91"/>
    </row>
    <row r="75" ht="15.0" customHeight="1">
      <c r="B75" s="3"/>
      <c r="C75" s="3"/>
      <c r="G75" s="141"/>
      <c r="H75" s="3"/>
      <c r="R75" s="65"/>
      <c r="AG75" s="91"/>
    </row>
    <row r="76" ht="15.0" customHeight="1">
      <c r="B76" s="3"/>
      <c r="C76" s="3"/>
      <c r="G76" s="141"/>
      <c r="H76" s="3"/>
      <c r="R76" s="65"/>
      <c r="AG76" s="91"/>
    </row>
    <row r="77" ht="15.0" customHeight="1">
      <c r="B77" s="3"/>
      <c r="C77" s="3"/>
      <c r="G77" s="141"/>
      <c r="H77" s="3"/>
      <c r="R77" s="65"/>
      <c r="AG77" s="91"/>
    </row>
    <row r="78" ht="15.0" customHeight="1">
      <c r="B78" s="3"/>
      <c r="C78" s="3"/>
      <c r="G78" s="141"/>
      <c r="H78" s="3"/>
      <c r="R78" s="65"/>
      <c r="AG78" s="91"/>
    </row>
    <row r="79" ht="15.0" customHeight="1">
      <c r="B79" s="3"/>
      <c r="C79" s="3"/>
      <c r="G79" s="141"/>
      <c r="H79" s="3"/>
      <c r="R79" s="65"/>
      <c r="AG79" s="91"/>
    </row>
    <row r="80" ht="15.0" customHeight="1">
      <c r="B80" s="3"/>
      <c r="C80" s="3"/>
      <c r="G80" s="141"/>
      <c r="H80" s="3"/>
      <c r="R80" s="65"/>
      <c r="AG80" s="91"/>
    </row>
    <row r="81" ht="15.0" customHeight="1">
      <c r="B81" s="3"/>
      <c r="C81" s="3"/>
      <c r="G81" s="141"/>
      <c r="H81" s="3"/>
      <c r="R81" s="65"/>
      <c r="AG81" s="91"/>
    </row>
    <row r="82" ht="15.0" customHeight="1">
      <c r="B82" s="3"/>
      <c r="C82" s="3"/>
      <c r="G82" s="141"/>
      <c r="H82" s="3"/>
      <c r="R82" s="65"/>
      <c r="AG82" s="91"/>
    </row>
    <row r="83" ht="15.0" customHeight="1">
      <c r="B83" s="3"/>
      <c r="C83" s="3"/>
      <c r="G83" s="141"/>
      <c r="H83" s="3"/>
      <c r="R83" s="65"/>
      <c r="AG83" s="91"/>
    </row>
    <row r="84" ht="15.0" customHeight="1">
      <c r="B84" s="3"/>
      <c r="C84" s="3"/>
      <c r="G84" s="141"/>
      <c r="H84" s="3"/>
      <c r="R84" s="65"/>
      <c r="AG84" s="91"/>
    </row>
    <row r="85" ht="15.0" customHeight="1">
      <c r="B85" s="3"/>
      <c r="C85" s="3"/>
      <c r="G85" s="141"/>
      <c r="H85" s="3"/>
      <c r="R85" s="65"/>
      <c r="AG85" s="91"/>
    </row>
    <row r="86" ht="15.0" customHeight="1">
      <c r="B86" s="3"/>
      <c r="C86" s="3"/>
      <c r="G86" s="141"/>
      <c r="H86" s="3"/>
      <c r="R86" s="65"/>
      <c r="AG86" s="91"/>
    </row>
    <row r="87" ht="15.0" customHeight="1">
      <c r="B87" s="3"/>
      <c r="C87" s="3"/>
      <c r="G87" s="141"/>
      <c r="H87" s="3"/>
      <c r="R87" s="65"/>
      <c r="AG87" s="91"/>
    </row>
    <row r="88" ht="15.0" customHeight="1">
      <c r="B88" s="3"/>
      <c r="C88" s="3"/>
      <c r="G88" s="141"/>
      <c r="H88" s="3"/>
      <c r="R88" s="65"/>
      <c r="AG88" s="91"/>
    </row>
    <row r="89" ht="15.0" customHeight="1">
      <c r="B89" s="3"/>
      <c r="C89" s="3"/>
      <c r="G89" s="141"/>
      <c r="H89" s="3"/>
      <c r="R89" s="65"/>
      <c r="AG89" s="91"/>
    </row>
    <row r="90" ht="15.0" customHeight="1">
      <c r="B90" s="3"/>
      <c r="C90" s="3"/>
      <c r="G90" s="141"/>
      <c r="H90" s="3"/>
      <c r="R90" s="65"/>
      <c r="AG90" s="91"/>
    </row>
    <row r="91" ht="15.0" customHeight="1">
      <c r="B91" s="3"/>
      <c r="C91" s="3"/>
      <c r="G91" s="141"/>
      <c r="H91" s="3"/>
      <c r="R91" s="65"/>
      <c r="AG91" s="91"/>
    </row>
    <row r="92" ht="15.0" customHeight="1">
      <c r="B92" s="3"/>
      <c r="C92" s="3"/>
      <c r="G92" s="141"/>
      <c r="H92" s="3"/>
      <c r="R92" s="65"/>
      <c r="AG92" s="91"/>
    </row>
    <row r="93" ht="15.0" customHeight="1">
      <c r="B93" s="3"/>
      <c r="C93" s="3"/>
      <c r="G93" s="141"/>
      <c r="H93" s="3"/>
      <c r="R93" s="65"/>
      <c r="AG93" s="91"/>
    </row>
    <row r="94" ht="15.0" customHeight="1">
      <c r="B94" s="3"/>
      <c r="C94" s="3"/>
      <c r="G94" s="141"/>
      <c r="H94" s="3"/>
      <c r="R94" s="65"/>
      <c r="AG94" s="91"/>
    </row>
    <row r="95" ht="15.0" customHeight="1">
      <c r="B95" s="3"/>
      <c r="C95" s="3"/>
      <c r="G95" s="141"/>
      <c r="H95" s="3"/>
      <c r="R95" s="65"/>
      <c r="AG95" s="91"/>
    </row>
    <row r="96" ht="15.0" customHeight="1">
      <c r="B96" s="3"/>
      <c r="C96" s="3"/>
      <c r="G96" s="141"/>
      <c r="H96" s="3"/>
      <c r="R96" s="65"/>
      <c r="AG96" s="91"/>
    </row>
    <row r="97" ht="15.0" customHeight="1">
      <c r="B97" s="3"/>
      <c r="C97" s="3"/>
      <c r="G97" s="141"/>
      <c r="H97" s="3"/>
      <c r="R97" s="65"/>
      <c r="AG97" s="91"/>
    </row>
    <row r="98" ht="15.0" customHeight="1">
      <c r="B98" s="3"/>
      <c r="C98" s="3"/>
      <c r="G98" s="141"/>
      <c r="H98" s="3"/>
      <c r="R98" s="65"/>
      <c r="AG98" s="91"/>
    </row>
    <row r="99" ht="15.0" customHeight="1">
      <c r="B99" s="3"/>
      <c r="C99" s="3"/>
      <c r="G99" s="141"/>
      <c r="H99" s="3"/>
      <c r="R99" s="65"/>
      <c r="AG99" s="91"/>
    </row>
    <row r="100" ht="15.0" customHeight="1">
      <c r="B100" s="3"/>
      <c r="C100" s="3"/>
      <c r="G100" s="141"/>
      <c r="H100" s="3"/>
      <c r="R100" s="65"/>
      <c r="AG100" s="91"/>
    </row>
    <row r="101" ht="15.0" customHeight="1">
      <c r="B101" s="3"/>
      <c r="C101" s="3"/>
      <c r="G101" s="141"/>
      <c r="H101" s="3"/>
      <c r="R101" s="65"/>
      <c r="AG101" s="91"/>
    </row>
    <row r="102" ht="15.0" customHeight="1">
      <c r="B102" s="3"/>
      <c r="C102" s="3"/>
      <c r="G102" s="141"/>
      <c r="H102" s="3"/>
      <c r="R102" s="65"/>
      <c r="AG102" s="91"/>
    </row>
    <row r="103" ht="15.0" customHeight="1">
      <c r="B103" s="3"/>
      <c r="C103" s="3"/>
      <c r="G103" s="141"/>
      <c r="H103" s="3"/>
      <c r="R103" s="65"/>
      <c r="AG103" s="91"/>
    </row>
    <row r="104" ht="15.0" customHeight="1">
      <c r="B104" s="3"/>
      <c r="C104" s="3"/>
      <c r="G104" s="141"/>
      <c r="H104" s="3"/>
      <c r="R104" s="65"/>
      <c r="AG104" s="91"/>
    </row>
    <row r="105" ht="15.0" customHeight="1">
      <c r="B105" s="3"/>
      <c r="C105" s="3"/>
      <c r="G105" s="141"/>
      <c r="H105" s="3"/>
      <c r="R105" s="65"/>
      <c r="AG105" s="91"/>
    </row>
    <row r="106" ht="15.0" customHeight="1">
      <c r="B106" s="3"/>
      <c r="C106" s="3"/>
      <c r="G106" s="141"/>
      <c r="H106" s="3"/>
      <c r="R106" s="65"/>
      <c r="AG106" s="91"/>
    </row>
    <row r="107" ht="15.0" customHeight="1">
      <c r="B107" s="3"/>
      <c r="C107" s="3"/>
      <c r="G107" s="141"/>
      <c r="H107" s="3"/>
      <c r="R107" s="65"/>
      <c r="AG107" s="91"/>
    </row>
    <row r="108" ht="15.0" customHeight="1">
      <c r="B108" s="3"/>
      <c r="C108" s="3"/>
      <c r="G108" s="141"/>
      <c r="H108" s="3"/>
      <c r="R108" s="65"/>
      <c r="AG108" s="91"/>
    </row>
    <row r="109" ht="15.0" customHeight="1">
      <c r="B109" s="3"/>
      <c r="C109" s="3"/>
      <c r="G109" s="141"/>
      <c r="H109" s="3"/>
      <c r="R109" s="65"/>
      <c r="AG109" s="91"/>
    </row>
    <row r="110" ht="15.0" customHeight="1">
      <c r="B110" s="3"/>
      <c r="C110" s="3"/>
      <c r="G110" s="141"/>
      <c r="H110" s="3"/>
      <c r="R110" s="65"/>
      <c r="AG110" s="91"/>
    </row>
    <row r="111" ht="15.0" customHeight="1">
      <c r="B111" s="3"/>
      <c r="C111" s="3"/>
      <c r="G111" s="141"/>
      <c r="H111" s="3"/>
      <c r="R111" s="65"/>
      <c r="AG111" s="91"/>
    </row>
    <row r="112" ht="15.0" customHeight="1">
      <c r="B112" s="3"/>
      <c r="C112" s="3"/>
      <c r="G112" s="141"/>
      <c r="H112" s="3"/>
      <c r="R112" s="65"/>
      <c r="AG112" s="91"/>
    </row>
    <row r="113" ht="15.0" customHeight="1">
      <c r="B113" s="3"/>
      <c r="C113" s="3"/>
      <c r="G113" s="141"/>
      <c r="H113" s="3"/>
      <c r="R113" s="65"/>
      <c r="AG113" s="91"/>
    </row>
    <row r="114" ht="15.0" customHeight="1">
      <c r="B114" s="3"/>
      <c r="C114" s="3"/>
      <c r="G114" s="141"/>
      <c r="H114" s="3"/>
      <c r="R114" s="65"/>
      <c r="AG114" s="91"/>
    </row>
    <row r="115" ht="15.0" customHeight="1">
      <c r="B115" s="3"/>
      <c r="C115" s="3"/>
      <c r="G115" s="141"/>
      <c r="H115" s="3"/>
      <c r="R115" s="65"/>
      <c r="AG115" s="91"/>
    </row>
    <row r="116" ht="15.0" customHeight="1">
      <c r="B116" s="3"/>
      <c r="C116" s="3"/>
      <c r="G116" s="141"/>
      <c r="H116" s="3"/>
      <c r="R116" s="65"/>
      <c r="AG116" s="91"/>
    </row>
    <row r="117" ht="15.0" customHeight="1">
      <c r="B117" s="3"/>
      <c r="C117" s="3"/>
      <c r="G117" s="141"/>
      <c r="H117" s="3"/>
      <c r="R117" s="65"/>
      <c r="AG117" s="91"/>
    </row>
    <row r="118" ht="15.0" customHeight="1">
      <c r="B118" s="3"/>
      <c r="C118" s="3"/>
      <c r="G118" s="141"/>
      <c r="H118" s="3"/>
      <c r="R118" s="65"/>
      <c r="AG118" s="91"/>
    </row>
    <row r="119" ht="15.0" customHeight="1">
      <c r="B119" s="3"/>
      <c r="C119" s="3"/>
      <c r="G119" s="141"/>
      <c r="H119" s="3"/>
      <c r="R119" s="65"/>
      <c r="AG119" s="91"/>
    </row>
    <row r="120" ht="15.0" customHeight="1">
      <c r="B120" s="3"/>
      <c r="C120" s="3"/>
      <c r="G120" s="141"/>
      <c r="H120" s="3"/>
      <c r="R120" s="65"/>
      <c r="AG120" s="91"/>
    </row>
    <row r="121" ht="15.0" customHeight="1">
      <c r="B121" s="3"/>
      <c r="C121" s="3"/>
      <c r="G121" s="141"/>
      <c r="H121" s="3"/>
      <c r="R121" s="65"/>
      <c r="AG121" s="91"/>
    </row>
    <row r="122" ht="15.0" customHeight="1">
      <c r="B122" s="3"/>
      <c r="C122" s="3"/>
      <c r="G122" s="141"/>
      <c r="H122" s="3"/>
      <c r="R122" s="65"/>
      <c r="AG122" s="91"/>
    </row>
    <row r="123" ht="15.0" customHeight="1">
      <c r="B123" s="3"/>
      <c r="C123" s="3"/>
      <c r="G123" s="141"/>
      <c r="H123" s="3"/>
      <c r="R123" s="65"/>
      <c r="AG123" s="91"/>
    </row>
    <row r="124" ht="15.0" customHeight="1">
      <c r="B124" s="3"/>
      <c r="C124" s="3"/>
      <c r="G124" s="141"/>
      <c r="H124" s="3"/>
      <c r="R124" s="65"/>
      <c r="AG124" s="91"/>
    </row>
    <row r="125" ht="15.0" customHeight="1">
      <c r="B125" s="3"/>
      <c r="C125" s="3"/>
      <c r="G125" s="141"/>
      <c r="H125" s="3"/>
      <c r="R125" s="65"/>
      <c r="AG125" s="91"/>
    </row>
    <row r="126" ht="15.0" customHeight="1">
      <c r="B126" s="3"/>
      <c r="C126" s="3"/>
      <c r="G126" s="141"/>
      <c r="H126" s="3"/>
      <c r="R126" s="65"/>
      <c r="AG126" s="91"/>
    </row>
    <row r="127" ht="15.0" customHeight="1">
      <c r="B127" s="3"/>
      <c r="C127" s="3"/>
      <c r="G127" s="141"/>
      <c r="H127" s="3"/>
      <c r="R127" s="65"/>
      <c r="AG127" s="91"/>
    </row>
    <row r="128" ht="15.0" customHeight="1">
      <c r="B128" s="3"/>
      <c r="C128" s="3"/>
      <c r="G128" s="141"/>
      <c r="H128" s="3"/>
      <c r="R128" s="65"/>
      <c r="AG128" s="91"/>
    </row>
    <row r="129" ht="15.0" customHeight="1">
      <c r="B129" s="3"/>
      <c r="C129" s="3"/>
      <c r="G129" s="141"/>
      <c r="H129" s="3"/>
      <c r="R129" s="65"/>
      <c r="AG129" s="91"/>
    </row>
    <row r="130" ht="15.0" customHeight="1">
      <c r="B130" s="3"/>
      <c r="C130" s="3"/>
      <c r="G130" s="141"/>
      <c r="H130" s="3"/>
      <c r="R130" s="65"/>
      <c r="AG130" s="91"/>
    </row>
    <row r="131" ht="15.0" customHeight="1">
      <c r="B131" s="3"/>
      <c r="C131" s="3"/>
      <c r="G131" s="141"/>
      <c r="H131" s="3"/>
      <c r="R131" s="65"/>
      <c r="AG131" s="91"/>
    </row>
    <row r="132" ht="15.0" customHeight="1">
      <c r="B132" s="3"/>
      <c r="C132" s="3"/>
      <c r="G132" s="141"/>
      <c r="H132" s="3"/>
      <c r="R132" s="65"/>
      <c r="AG132" s="91"/>
    </row>
    <row r="133" ht="15.0" customHeight="1">
      <c r="B133" s="3"/>
      <c r="C133" s="3"/>
      <c r="G133" s="141"/>
      <c r="H133" s="3"/>
      <c r="R133" s="65"/>
      <c r="AG133" s="91"/>
    </row>
    <row r="134" ht="15.0" customHeight="1">
      <c r="B134" s="3"/>
      <c r="C134" s="3"/>
      <c r="G134" s="141"/>
      <c r="H134" s="3"/>
      <c r="R134" s="65"/>
      <c r="AG134" s="91"/>
    </row>
    <row r="135" ht="15.0" customHeight="1">
      <c r="B135" s="3"/>
      <c r="C135" s="3"/>
      <c r="G135" s="141"/>
      <c r="H135" s="3"/>
      <c r="R135" s="65"/>
      <c r="AG135" s="91"/>
    </row>
    <row r="136" ht="15.0" customHeight="1">
      <c r="B136" s="3"/>
      <c r="C136" s="3"/>
      <c r="G136" s="141"/>
      <c r="H136" s="3"/>
      <c r="R136" s="65"/>
      <c r="AG136" s="91"/>
    </row>
    <row r="137" ht="15.0" customHeight="1">
      <c r="B137" s="3"/>
      <c r="C137" s="3"/>
      <c r="G137" s="141"/>
      <c r="H137" s="3"/>
      <c r="R137" s="65"/>
      <c r="AG137" s="91"/>
    </row>
    <row r="138" ht="15.0" customHeight="1">
      <c r="B138" s="3"/>
      <c r="C138" s="3"/>
      <c r="G138" s="141"/>
      <c r="H138" s="3"/>
      <c r="R138" s="65"/>
      <c r="AG138" s="91"/>
    </row>
    <row r="139" ht="15.0" customHeight="1">
      <c r="B139" s="3"/>
      <c r="C139" s="3"/>
      <c r="G139" s="141"/>
      <c r="H139" s="3"/>
      <c r="R139" s="65"/>
      <c r="AG139" s="91"/>
    </row>
    <row r="140" ht="15.0" customHeight="1">
      <c r="B140" s="3"/>
      <c r="C140" s="3"/>
      <c r="G140" s="141"/>
      <c r="H140" s="3"/>
      <c r="R140" s="65"/>
      <c r="AG140" s="91"/>
    </row>
    <row r="141" ht="15.0" customHeight="1">
      <c r="B141" s="3"/>
      <c r="C141" s="3"/>
      <c r="G141" s="141"/>
      <c r="H141" s="3"/>
      <c r="R141" s="65"/>
      <c r="AG141" s="91"/>
    </row>
    <row r="142" ht="15.0" customHeight="1">
      <c r="B142" s="3"/>
      <c r="C142" s="3"/>
      <c r="G142" s="141"/>
      <c r="H142" s="3"/>
      <c r="R142" s="65"/>
      <c r="AG142" s="91"/>
    </row>
    <row r="143" ht="15.0" customHeight="1">
      <c r="B143" s="3"/>
      <c r="C143" s="3"/>
      <c r="G143" s="141"/>
      <c r="H143" s="3"/>
      <c r="R143" s="65"/>
      <c r="AG143" s="91"/>
    </row>
    <row r="144" ht="15.0" customHeight="1">
      <c r="B144" s="3"/>
      <c r="C144" s="3"/>
      <c r="G144" s="141"/>
      <c r="H144" s="3"/>
      <c r="R144" s="65"/>
      <c r="AG144" s="91"/>
    </row>
    <row r="145" ht="15.0" customHeight="1">
      <c r="B145" s="3"/>
      <c r="C145" s="3"/>
      <c r="G145" s="141"/>
      <c r="H145" s="3"/>
      <c r="R145" s="65"/>
      <c r="AG145" s="91"/>
    </row>
    <row r="146" ht="15.0" customHeight="1">
      <c r="B146" s="3"/>
      <c r="C146" s="3"/>
      <c r="G146" s="141"/>
      <c r="H146" s="3"/>
      <c r="R146" s="65"/>
      <c r="AG146" s="91"/>
    </row>
    <row r="147" ht="15.0" customHeight="1">
      <c r="B147" s="3"/>
      <c r="C147" s="3"/>
      <c r="G147" s="141"/>
      <c r="H147" s="3"/>
      <c r="R147" s="65"/>
      <c r="AG147" s="91"/>
    </row>
    <row r="148" ht="15.0" customHeight="1">
      <c r="B148" s="3"/>
      <c r="C148" s="3"/>
      <c r="G148" s="141"/>
      <c r="H148" s="3"/>
      <c r="R148" s="65"/>
      <c r="AG148" s="91"/>
    </row>
    <row r="149" ht="15.0" customHeight="1">
      <c r="B149" s="3"/>
      <c r="C149" s="3"/>
      <c r="G149" s="141"/>
      <c r="H149" s="3"/>
      <c r="R149" s="65"/>
      <c r="AG149" s="91"/>
    </row>
    <row r="150" ht="15.0" customHeight="1">
      <c r="B150" s="3"/>
      <c r="C150" s="3"/>
      <c r="G150" s="141"/>
      <c r="H150" s="3"/>
      <c r="R150" s="65"/>
      <c r="AG150" s="91"/>
    </row>
    <row r="151" ht="15.0" customHeight="1">
      <c r="B151" s="3"/>
      <c r="C151" s="3"/>
      <c r="G151" s="141"/>
      <c r="H151" s="3"/>
      <c r="R151" s="65"/>
      <c r="AG151" s="91"/>
    </row>
    <row r="152" ht="15.0" customHeight="1">
      <c r="B152" s="3"/>
      <c r="C152" s="3"/>
      <c r="G152" s="141"/>
      <c r="H152" s="3"/>
      <c r="R152" s="65"/>
      <c r="AG152" s="91"/>
    </row>
    <row r="153" ht="15.0" customHeight="1">
      <c r="B153" s="3"/>
      <c r="C153" s="3"/>
      <c r="G153" s="141"/>
      <c r="H153" s="3"/>
      <c r="R153" s="65"/>
      <c r="AG153" s="91"/>
    </row>
    <row r="154" ht="15.0" customHeight="1">
      <c r="B154" s="3"/>
      <c r="C154" s="3"/>
      <c r="G154" s="141"/>
      <c r="H154" s="3"/>
      <c r="R154" s="65"/>
      <c r="AG154" s="91"/>
    </row>
    <row r="155" ht="15.0" customHeight="1">
      <c r="B155" s="3"/>
      <c r="C155" s="3"/>
      <c r="G155" s="141"/>
      <c r="H155" s="3"/>
      <c r="R155" s="65"/>
      <c r="AG155" s="91"/>
    </row>
    <row r="156" ht="15.0" customHeight="1">
      <c r="B156" s="3"/>
      <c r="C156" s="3"/>
      <c r="G156" s="141"/>
      <c r="H156" s="3"/>
      <c r="R156" s="65"/>
      <c r="AG156" s="91"/>
    </row>
    <row r="157" ht="15.0" customHeight="1">
      <c r="B157" s="3"/>
      <c r="C157" s="3"/>
      <c r="G157" s="141"/>
      <c r="H157" s="3"/>
      <c r="R157" s="65"/>
      <c r="AG157" s="91"/>
    </row>
    <row r="158" ht="15.0" customHeight="1">
      <c r="B158" s="3"/>
      <c r="C158" s="3"/>
      <c r="G158" s="141"/>
      <c r="H158" s="3"/>
      <c r="R158" s="65"/>
      <c r="AG158" s="91"/>
    </row>
    <row r="159" ht="15.0" customHeight="1">
      <c r="B159" s="3"/>
      <c r="C159" s="3"/>
      <c r="G159" s="141"/>
      <c r="H159" s="3"/>
      <c r="R159" s="65"/>
      <c r="AG159" s="91"/>
    </row>
    <row r="160" ht="15.0" customHeight="1">
      <c r="B160" s="3"/>
      <c r="C160" s="3"/>
      <c r="G160" s="141"/>
      <c r="H160" s="3"/>
      <c r="R160" s="65"/>
      <c r="AG160" s="91"/>
    </row>
    <row r="161" ht="15.0" customHeight="1">
      <c r="B161" s="3"/>
      <c r="C161" s="3"/>
      <c r="G161" s="141"/>
      <c r="H161" s="3"/>
      <c r="R161" s="65"/>
      <c r="AG161" s="91"/>
    </row>
    <row r="162" ht="15.0" customHeight="1">
      <c r="B162" s="3"/>
      <c r="C162" s="3"/>
      <c r="G162" s="141"/>
      <c r="H162" s="3"/>
      <c r="R162" s="65"/>
      <c r="AG162" s="91"/>
    </row>
    <row r="163" ht="15.0" customHeight="1">
      <c r="B163" s="3"/>
      <c r="C163" s="3"/>
      <c r="H163" s="3"/>
      <c r="R163" s="65"/>
      <c r="AG163" s="91"/>
    </row>
    <row r="164" ht="15.0" customHeight="1">
      <c r="B164" s="3"/>
      <c r="C164" s="3"/>
      <c r="H164" s="3"/>
      <c r="R164" s="65"/>
      <c r="AG164" s="91"/>
    </row>
    <row r="165" ht="15.0" customHeight="1">
      <c r="B165" s="3"/>
      <c r="C165" s="3"/>
      <c r="H165" s="3"/>
      <c r="R165" s="65"/>
      <c r="AG165" s="91"/>
    </row>
    <row r="166" ht="15.0" customHeight="1">
      <c r="B166" s="3"/>
      <c r="C166" s="3"/>
      <c r="H166" s="3"/>
      <c r="R166" s="65"/>
      <c r="AG166" s="91"/>
    </row>
    <row r="167" ht="15.0" customHeight="1">
      <c r="B167" s="3"/>
      <c r="C167" s="3"/>
      <c r="H167" s="3"/>
      <c r="R167" s="65"/>
      <c r="AG167" s="91"/>
    </row>
    <row r="168" ht="15.0" customHeight="1">
      <c r="B168" s="3"/>
      <c r="C168" s="3"/>
      <c r="H168" s="3"/>
      <c r="R168" s="65"/>
      <c r="AG168" s="91"/>
    </row>
    <row r="169" ht="15.0" customHeight="1">
      <c r="B169" s="3"/>
      <c r="C169" s="3"/>
      <c r="H169" s="3"/>
      <c r="R169" s="65"/>
      <c r="AG169" s="91"/>
    </row>
    <row r="170" ht="15.0" customHeight="1">
      <c r="B170" s="3"/>
      <c r="C170" s="3"/>
      <c r="H170" s="3"/>
      <c r="R170" s="65"/>
      <c r="AG170" s="91"/>
    </row>
    <row r="171" ht="15.0" customHeight="1">
      <c r="B171" s="3"/>
      <c r="C171" s="3"/>
      <c r="H171" s="3"/>
      <c r="R171" s="65"/>
      <c r="AG171" s="91"/>
    </row>
    <row r="172" ht="15.0" customHeight="1">
      <c r="B172" s="3"/>
      <c r="C172" s="3"/>
      <c r="H172" s="3"/>
      <c r="R172" s="65"/>
      <c r="AG172" s="91"/>
    </row>
    <row r="173" ht="15.0" customHeight="1">
      <c r="B173" s="3"/>
      <c r="C173" s="3"/>
      <c r="H173" s="3"/>
      <c r="R173" s="65"/>
      <c r="AG173" s="91"/>
    </row>
    <row r="174" ht="15.0" customHeight="1">
      <c r="B174" s="3"/>
      <c r="C174" s="3"/>
      <c r="H174" s="3"/>
      <c r="R174" s="65"/>
      <c r="AG174" s="91"/>
    </row>
    <row r="175" ht="15.0" customHeight="1">
      <c r="B175" s="3"/>
      <c r="C175" s="3"/>
      <c r="H175" s="3"/>
      <c r="R175" s="65"/>
      <c r="AG175" s="91"/>
    </row>
    <row r="176" ht="15.0" customHeight="1">
      <c r="B176" s="3"/>
      <c r="C176" s="3"/>
      <c r="H176" s="3"/>
      <c r="R176" s="65"/>
      <c r="AG176" s="91"/>
    </row>
    <row r="177" ht="15.0" customHeight="1">
      <c r="B177" s="3"/>
      <c r="C177" s="3"/>
      <c r="H177" s="3"/>
      <c r="R177" s="65"/>
      <c r="AG177" s="91"/>
    </row>
    <row r="178" ht="15.0" customHeight="1">
      <c r="B178" s="3"/>
      <c r="C178" s="3"/>
      <c r="H178" s="3"/>
      <c r="R178" s="65"/>
      <c r="AG178" s="91"/>
    </row>
    <row r="179" ht="15.0" customHeight="1">
      <c r="B179" s="3"/>
      <c r="C179" s="3"/>
      <c r="H179" s="3"/>
      <c r="R179" s="65"/>
      <c r="AG179" s="91"/>
    </row>
    <row r="180" ht="15.0" customHeight="1">
      <c r="B180" s="3"/>
      <c r="C180" s="3"/>
      <c r="H180" s="3"/>
      <c r="R180" s="65"/>
      <c r="AG180" s="91"/>
    </row>
    <row r="181" ht="15.0" customHeight="1">
      <c r="B181" s="3"/>
      <c r="C181" s="3"/>
      <c r="H181" s="3"/>
      <c r="R181" s="65"/>
      <c r="AG181" s="91"/>
    </row>
    <row r="182" ht="15.0" customHeight="1">
      <c r="B182" s="3"/>
      <c r="C182" s="3"/>
      <c r="H182" s="3"/>
      <c r="R182" s="65"/>
      <c r="AG182" s="91"/>
    </row>
    <row r="183" ht="15.0" customHeight="1">
      <c r="B183" s="3"/>
      <c r="C183" s="3"/>
      <c r="H183" s="3"/>
      <c r="R183" s="65"/>
      <c r="AG183" s="91"/>
    </row>
    <row r="184" ht="15.0" customHeight="1">
      <c r="B184" s="3"/>
      <c r="C184" s="3"/>
      <c r="H184" s="3"/>
      <c r="R184" s="65"/>
      <c r="AG184" s="91"/>
    </row>
    <row r="185" ht="15.0" customHeight="1">
      <c r="B185" s="3"/>
      <c r="C185" s="3"/>
      <c r="H185" s="3"/>
      <c r="R185" s="65"/>
      <c r="AG185" s="91"/>
    </row>
    <row r="186" ht="15.0" customHeight="1">
      <c r="B186" s="3"/>
      <c r="C186" s="3"/>
      <c r="H186" s="3"/>
      <c r="R186" s="65"/>
      <c r="AG186" s="91"/>
    </row>
    <row r="187" ht="15.0" customHeight="1">
      <c r="B187" s="3"/>
      <c r="C187" s="3"/>
      <c r="H187" s="3"/>
      <c r="R187" s="65"/>
      <c r="AG187" s="91"/>
    </row>
    <row r="188" ht="15.0" customHeight="1">
      <c r="B188" s="3"/>
      <c r="C188" s="3"/>
      <c r="H188" s="3"/>
      <c r="R188" s="65"/>
      <c r="AG188" s="91"/>
    </row>
    <row r="189" ht="15.0" customHeight="1">
      <c r="B189" s="3"/>
      <c r="C189" s="3"/>
      <c r="H189" s="3"/>
      <c r="R189" s="65"/>
      <c r="AG189" s="91"/>
    </row>
    <row r="190" ht="15.0" customHeight="1">
      <c r="B190" s="3"/>
      <c r="C190" s="3"/>
      <c r="H190" s="3"/>
      <c r="R190" s="65"/>
      <c r="AG190" s="91"/>
    </row>
    <row r="191" ht="15.0" customHeight="1">
      <c r="B191" s="3"/>
      <c r="C191" s="3"/>
      <c r="H191" s="3"/>
      <c r="R191" s="65"/>
      <c r="AG191" s="91"/>
    </row>
    <row r="192" ht="15.0" customHeight="1">
      <c r="B192" s="3"/>
      <c r="C192" s="3"/>
      <c r="H192" s="3"/>
      <c r="R192" s="65"/>
      <c r="AG192" s="91"/>
    </row>
    <row r="193" ht="15.0" customHeight="1">
      <c r="B193" s="3"/>
      <c r="C193" s="3"/>
      <c r="H193" s="3"/>
      <c r="R193" s="65"/>
      <c r="AG193" s="91"/>
    </row>
    <row r="194" ht="15.0" customHeight="1">
      <c r="B194" s="3"/>
      <c r="C194" s="3"/>
      <c r="H194" s="3"/>
      <c r="R194" s="65"/>
      <c r="AG194" s="91"/>
    </row>
    <row r="195" ht="15.0" customHeight="1">
      <c r="B195" s="3"/>
      <c r="C195" s="3"/>
      <c r="H195" s="3"/>
      <c r="R195" s="65"/>
      <c r="AG195" s="91"/>
    </row>
    <row r="196" ht="15.0" customHeight="1">
      <c r="B196" s="3"/>
      <c r="C196" s="3"/>
      <c r="H196" s="3"/>
      <c r="R196" s="65"/>
      <c r="AG196" s="91"/>
    </row>
    <row r="197" ht="15.0" customHeight="1">
      <c r="B197" s="3"/>
      <c r="C197" s="3"/>
      <c r="H197" s="3"/>
      <c r="R197" s="65"/>
      <c r="AG197" s="91"/>
    </row>
    <row r="198" ht="15.0" customHeight="1">
      <c r="B198" s="3"/>
      <c r="C198" s="3"/>
      <c r="H198" s="3"/>
      <c r="R198" s="65"/>
      <c r="AG198" s="91"/>
    </row>
    <row r="199" ht="15.0" customHeight="1">
      <c r="B199" s="3"/>
      <c r="C199" s="3"/>
      <c r="H199" s="3"/>
      <c r="R199" s="65"/>
      <c r="AG199" s="91"/>
    </row>
    <row r="200" ht="15.0" customHeight="1">
      <c r="B200" s="3"/>
      <c r="C200" s="3"/>
      <c r="H200" s="3"/>
      <c r="R200" s="65"/>
      <c r="AG200" s="91"/>
    </row>
    <row r="201" ht="15.0" customHeight="1">
      <c r="B201" s="3"/>
      <c r="C201" s="3"/>
      <c r="H201" s="3"/>
      <c r="R201" s="65"/>
      <c r="AG201" s="91"/>
    </row>
    <row r="202" ht="15.0" customHeight="1">
      <c r="B202" s="3"/>
      <c r="C202" s="3"/>
      <c r="H202" s="3"/>
      <c r="R202" s="65"/>
      <c r="AG202" s="91"/>
    </row>
    <row r="203" ht="15.0" customHeight="1">
      <c r="B203" s="3"/>
      <c r="C203" s="3"/>
      <c r="H203" s="3"/>
      <c r="R203" s="65"/>
      <c r="AG203" s="91"/>
    </row>
    <row r="204" ht="15.0" customHeight="1">
      <c r="B204" s="3"/>
      <c r="C204" s="3"/>
      <c r="H204" s="3"/>
      <c r="R204" s="65"/>
      <c r="AG204" s="91"/>
    </row>
    <row r="205" ht="15.0" customHeight="1">
      <c r="B205" s="3"/>
      <c r="C205" s="3"/>
      <c r="H205" s="3"/>
      <c r="R205" s="65"/>
      <c r="AG205" s="91"/>
    </row>
    <row r="206" ht="15.0" customHeight="1">
      <c r="B206" s="3"/>
      <c r="C206" s="3"/>
      <c r="H206" s="3"/>
      <c r="R206" s="65"/>
      <c r="AG206" s="91"/>
    </row>
    <row r="207" ht="15.0" customHeight="1">
      <c r="B207" s="3"/>
      <c r="C207" s="3"/>
      <c r="H207" s="3"/>
      <c r="R207" s="65"/>
      <c r="AG207" s="91"/>
    </row>
    <row r="208" ht="15.0" customHeight="1">
      <c r="B208" s="3"/>
      <c r="C208" s="3"/>
      <c r="H208" s="3"/>
      <c r="R208" s="65"/>
      <c r="AG208" s="91"/>
    </row>
    <row r="209" ht="15.0" customHeight="1">
      <c r="B209" s="3"/>
      <c r="C209" s="3"/>
      <c r="H209" s="3"/>
      <c r="R209" s="65"/>
      <c r="AG209" s="91"/>
    </row>
    <row r="210" ht="15.0" customHeight="1">
      <c r="B210" s="3"/>
      <c r="C210" s="3"/>
      <c r="H210" s="3"/>
      <c r="R210" s="65"/>
      <c r="AG210" s="91"/>
    </row>
    <row r="211" ht="15.0" customHeight="1">
      <c r="B211" s="3"/>
      <c r="C211" s="3"/>
      <c r="H211" s="3"/>
      <c r="R211" s="65"/>
      <c r="AG211" s="91"/>
    </row>
    <row r="212" ht="15.0" customHeight="1">
      <c r="B212" s="3"/>
      <c r="C212" s="3"/>
      <c r="H212" s="3"/>
      <c r="R212" s="65"/>
      <c r="AG212" s="91"/>
    </row>
    <row r="213" ht="15.0" customHeight="1">
      <c r="B213" s="3"/>
      <c r="C213" s="3"/>
      <c r="H213" s="3"/>
      <c r="R213" s="65"/>
      <c r="AG213" s="91"/>
    </row>
    <row r="214" ht="15.0" customHeight="1">
      <c r="B214" s="3"/>
      <c r="C214" s="3"/>
      <c r="H214" s="3"/>
      <c r="R214" s="65"/>
      <c r="AG214" s="91"/>
    </row>
    <row r="215" ht="15.0" customHeight="1">
      <c r="B215" s="3"/>
      <c r="C215" s="3"/>
      <c r="H215" s="3"/>
      <c r="R215" s="65"/>
      <c r="AG215" s="91"/>
    </row>
    <row r="216" ht="15.0" customHeight="1">
      <c r="B216" s="3"/>
      <c r="C216" s="3"/>
      <c r="H216" s="3"/>
      <c r="R216" s="65"/>
      <c r="AG216" s="91"/>
    </row>
    <row r="217" ht="15.0" customHeight="1">
      <c r="B217" s="3"/>
      <c r="C217" s="3"/>
      <c r="H217" s="3"/>
      <c r="R217" s="65"/>
      <c r="AG217" s="91"/>
    </row>
    <row r="218" ht="15.0" customHeight="1">
      <c r="B218" s="3"/>
      <c r="C218" s="3"/>
      <c r="H218" s="3"/>
      <c r="R218" s="65"/>
      <c r="AG218" s="91"/>
    </row>
    <row r="219" ht="15.0" customHeight="1">
      <c r="B219" s="3"/>
      <c r="C219" s="3"/>
      <c r="H219" s="3"/>
      <c r="R219" s="65"/>
      <c r="AG219" s="91"/>
    </row>
    <row r="220" ht="15.0" customHeight="1">
      <c r="B220" s="3"/>
      <c r="C220" s="3"/>
      <c r="H220" s="3"/>
      <c r="R220" s="65"/>
      <c r="AG220" s="91"/>
    </row>
    <row r="221" ht="15.0" customHeight="1">
      <c r="B221" s="3"/>
      <c r="C221" s="3"/>
      <c r="H221" s="3"/>
      <c r="R221" s="65"/>
      <c r="AG221" s="91"/>
    </row>
    <row r="222" ht="15.0" customHeight="1">
      <c r="B222" s="3"/>
      <c r="C222" s="3"/>
      <c r="H222" s="3"/>
      <c r="R222" s="65"/>
      <c r="AG222" s="91"/>
    </row>
    <row r="223" ht="15.0" customHeight="1">
      <c r="B223" s="3"/>
      <c r="C223" s="3"/>
      <c r="H223" s="3"/>
      <c r="R223" s="65"/>
      <c r="AG223" s="91"/>
    </row>
    <row r="224" ht="15.0" customHeight="1">
      <c r="B224" s="3"/>
      <c r="C224" s="3"/>
      <c r="H224" s="3"/>
      <c r="R224" s="65"/>
      <c r="AG224" s="91"/>
    </row>
    <row r="225" ht="15.0" customHeight="1">
      <c r="B225" s="3"/>
      <c r="C225" s="3"/>
      <c r="H225" s="3"/>
      <c r="R225" s="65"/>
      <c r="AG225" s="91"/>
    </row>
    <row r="226" ht="15.0" customHeight="1">
      <c r="B226" s="3"/>
      <c r="C226" s="3"/>
      <c r="H226" s="3"/>
      <c r="R226" s="65"/>
      <c r="AG226" s="91"/>
    </row>
    <row r="227" ht="15.0" customHeight="1">
      <c r="B227" s="3"/>
      <c r="C227" s="3"/>
      <c r="H227" s="3"/>
      <c r="R227" s="65"/>
      <c r="AG227" s="91"/>
    </row>
    <row r="228" ht="15.0" customHeight="1">
      <c r="B228" s="3"/>
      <c r="C228" s="3"/>
      <c r="H228" s="3"/>
      <c r="R228" s="65"/>
      <c r="AG228" s="91"/>
    </row>
    <row r="229" ht="15.0" customHeight="1">
      <c r="B229" s="3"/>
      <c r="C229" s="3"/>
      <c r="H229" s="3"/>
      <c r="R229" s="65"/>
      <c r="AG229" s="91"/>
    </row>
    <row r="230" ht="15.0" customHeight="1">
      <c r="B230" s="3"/>
      <c r="C230" s="3"/>
      <c r="H230" s="3"/>
      <c r="R230" s="65"/>
      <c r="AG230" s="91"/>
    </row>
    <row r="231" ht="15.0" customHeight="1">
      <c r="B231" s="3"/>
      <c r="C231" s="3"/>
      <c r="H231" s="3"/>
      <c r="R231" s="65"/>
      <c r="AG231" s="91"/>
    </row>
    <row r="232" ht="15.0" customHeight="1">
      <c r="B232" s="3"/>
      <c r="C232" s="3"/>
      <c r="H232" s="3"/>
      <c r="R232" s="65"/>
      <c r="AG232" s="91"/>
    </row>
    <row r="233" ht="15.0" customHeight="1">
      <c r="B233" s="3"/>
      <c r="C233" s="3"/>
      <c r="H233" s="3"/>
      <c r="R233" s="65"/>
      <c r="AG233" s="91"/>
    </row>
    <row r="234" ht="15.75" customHeight="1">
      <c r="B234" s="3"/>
      <c r="C234" s="3"/>
      <c r="H234" s="3"/>
      <c r="AG234" s="91"/>
    </row>
    <row r="235" ht="15.75" customHeight="1">
      <c r="B235" s="3"/>
      <c r="C235" s="3"/>
      <c r="H235" s="3"/>
      <c r="AG235" s="91"/>
    </row>
    <row r="236" ht="15.75" customHeight="1">
      <c r="B236" s="3"/>
      <c r="C236" s="3"/>
      <c r="H236" s="3"/>
      <c r="AG236" s="91"/>
    </row>
    <row r="237" ht="15.75" customHeight="1">
      <c r="B237" s="3"/>
      <c r="C237" s="3"/>
      <c r="H237" s="3"/>
      <c r="AG237" s="91"/>
    </row>
    <row r="238" ht="15.75" customHeight="1">
      <c r="B238" s="3"/>
      <c r="C238" s="3"/>
      <c r="H238" s="3"/>
      <c r="AG238" s="91"/>
    </row>
    <row r="239" ht="15.75" customHeight="1">
      <c r="B239" s="3"/>
      <c r="C239" s="3"/>
      <c r="H239" s="3"/>
      <c r="AG239" s="91"/>
    </row>
    <row r="240" ht="15.75" customHeight="1">
      <c r="B240" s="3"/>
      <c r="C240" s="3"/>
      <c r="H240" s="3"/>
      <c r="AG240" s="91"/>
    </row>
    <row r="241" ht="15.75" customHeight="1">
      <c r="B241" s="3"/>
      <c r="C241" s="3"/>
      <c r="H241" s="3"/>
      <c r="AG241" s="91"/>
    </row>
    <row r="242" ht="15.75" customHeight="1">
      <c r="B242" s="3"/>
      <c r="C242" s="3"/>
      <c r="H242" s="3"/>
      <c r="AG242" s="91"/>
    </row>
    <row r="243" ht="15.75" customHeight="1">
      <c r="B243" s="3"/>
      <c r="C243" s="3"/>
      <c r="H243" s="3"/>
      <c r="AG243" s="91"/>
    </row>
    <row r="244" ht="15.75" customHeight="1">
      <c r="B244" s="3"/>
      <c r="C244" s="3"/>
      <c r="H244" s="3"/>
      <c r="AG244" s="91"/>
    </row>
    <row r="245" ht="15.75" customHeight="1">
      <c r="B245" s="3"/>
      <c r="C245" s="3"/>
      <c r="H245" s="3"/>
      <c r="AG245" s="91"/>
    </row>
    <row r="246" ht="15.75" customHeight="1">
      <c r="B246" s="3"/>
      <c r="C246" s="3"/>
      <c r="H246" s="3"/>
      <c r="AG246" s="91"/>
    </row>
    <row r="247" ht="15.75" customHeight="1">
      <c r="B247" s="3"/>
      <c r="C247" s="3"/>
      <c r="H247" s="3"/>
      <c r="AG247" s="91"/>
    </row>
    <row r="248" ht="15.75" customHeight="1">
      <c r="B248" s="3"/>
      <c r="C248" s="3"/>
      <c r="H248" s="3"/>
      <c r="AG248" s="91"/>
    </row>
    <row r="249" ht="15.75" customHeight="1">
      <c r="B249" s="3"/>
      <c r="C249" s="3"/>
      <c r="H249" s="3"/>
      <c r="AG249" s="91"/>
    </row>
    <row r="250" ht="15.75" customHeight="1">
      <c r="B250" s="3"/>
      <c r="C250" s="3"/>
      <c r="H250" s="3"/>
      <c r="AG250" s="91"/>
    </row>
    <row r="251" ht="15.75" customHeight="1">
      <c r="B251" s="3"/>
      <c r="C251" s="3"/>
      <c r="H251" s="3"/>
      <c r="AG251" s="91"/>
    </row>
    <row r="252" ht="15.75" customHeight="1">
      <c r="B252" s="3"/>
      <c r="C252" s="3"/>
      <c r="H252" s="3"/>
      <c r="AG252" s="91"/>
    </row>
    <row r="253" ht="15.75" customHeight="1">
      <c r="B253" s="3"/>
      <c r="C253" s="3"/>
      <c r="H253" s="3"/>
      <c r="AG253" s="91"/>
    </row>
    <row r="254" ht="15.75" customHeight="1">
      <c r="B254" s="3"/>
      <c r="C254" s="3"/>
      <c r="H254" s="3"/>
      <c r="AG254" s="91"/>
    </row>
    <row r="255" ht="15.75" customHeight="1">
      <c r="B255" s="3"/>
      <c r="C255" s="3"/>
      <c r="H255" s="3"/>
      <c r="AG255" s="91"/>
    </row>
    <row r="256" ht="15.75" customHeight="1">
      <c r="B256" s="3"/>
      <c r="C256" s="3"/>
      <c r="H256" s="3"/>
      <c r="AG256" s="91"/>
    </row>
    <row r="257" ht="15.75" customHeight="1">
      <c r="B257" s="3"/>
      <c r="C257" s="3"/>
      <c r="H257" s="3"/>
      <c r="AG257" s="91"/>
    </row>
    <row r="258" ht="15.75" customHeight="1">
      <c r="B258" s="3"/>
      <c r="C258" s="3"/>
      <c r="H258" s="3"/>
      <c r="AG258" s="91"/>
    </row>
    <row r="259" ht="15.75" customHeight="1">
      <c r="B259" s="3"/>
      <c r="C259" s="3"/>
      <c r="H259" s="3"/>
      <c r="AG259" s="91"/>
    </row>
    <row r="260" ht="15.75" customHeight="1">
      <c r="B260" s="3"/>
      <c r="C260" s="3"/>
      <c r="H260" s="3"/>
      <c r="AG260" s="91"/>
    </row>
    <row r="261" ht="15.75" customHeight="1">
      <c r="B261" s="3"/>
      <c r="C261" s="3"/>
      <c r="H261" s="3"/>
      <c r="AG261" s="91"/>
    </row>
    <row r="262" ht="15.75" customHeight="1">
      <c r="B262" s="3"/>
      <c r="C262" s="3"/>
      <c r="H262" s="3"/>
      <c r="AG262" s="91"/>
    </row>
    <row r="263" ht="15.75" customHeight="1">
      <c r="B263" s="3"/>
      <c r="C263" s="3"/>
      <c r="H263" s="3"/>
      <c r="AG263" s="91"/>
    </row>
    <row r="264" ht="15.75" customHeight="1">
      <c r="B264" s="3"/>
      <c r="C264" s="3"/>
      <c r="H264" s="3"/>
      <c r="AG264" s="91"/>
    </row>
    <row r="265" ht="15.75" customHeight="1">
      <c r="B265" s="3"/>
      <c r="C265" s="3"/>
      <c r="H265" s="3"/>
      <c r="AG265" s="91"/>
    </row>
    <row r="266" ht="15.75" customHeight="1">
      <c r="B266" s="3"/>
      <c r="C266" s="3"/>
      <c r="H266" s="3"/>
      <c r="AG266" s="91"/>
    </row>
    <row r="267" ht="15.75" customHeight="1">
      <c r="B267" s="3"/>
      <c r="C267" s="3"/>
      <c r="H267" s="3"/>
      <c r="AG267" s="91"/>
    </row>
    <row r="268" ht="15.75" customHeight="1">
      <c r="B268" s="3"/>
      <c r="C268" s="3"/>
      <c r="H268" s="3"/>
      <c r="AG268" s="91"/>
    </row>
    <row r="269" ht="15.75" customHeight="1">
      <c r="B269" s="3"/>
      <c r="C269" s="3"/>
      <c r="H269" s="3"/>
      <c r="AG269" s="91"/>
    </row>
    <row r="270" ht="15.75" customHeight="1">
      <c r="B270" s="3"/>
      <c r="C270" s="3"/>
      <c r="H270" s="3"/>
      <c r="AG270" s="91"/>
    </row>
    <row r="271" ht="15.75" customHeight="1">
      <c r="B271" s="3"/>
      <c r="C271" s="3"/>
      <c r="H271" s="3"/>
      <c r="AG271" s="91"/>
    </row>
    <row r="272" ht="15.75" customHeight="1">
      <c r="B272" s="3"/>
      <c r="C272" s="3"/>
      <c r="H272" s="3"/>
      <c r="AG272" s="91"/>
    </row>
    <row r="273" ht="15.75" customHeight="1">
      <c r="B273" s="3"/>
      <c r="C273" s="3"/>
      <c r="H273" s="3"/>
      <c r="AG273" s="91"/>
    </row>
    <row r="274" ht="15.75" customHeight="1">
      <c r="B274" s="3"/>
      <c r="C274" s="3"/>
      <c r="H274" s="3"/>
      <c r="AG274" s="91"/>
    </row>
    <row r="275" ht="15.75" customHeight="1">
      <c r="B275" s="3"/>
      <c r="C275" s="3"/>
      <c r="H275" s="3"/>
      <c r="AG275" s="91"/>
    </row>
    <row r="276" ht="15.75" customHeight="1">
      <c r="B276" s="3"/>
      <c r="C276" s="3"/>
      <c r="H276" s="3"/>
      <c r="AG276" s="91"/>
    </row>
    <row r="277" ht="15.75" customHeight="1">
      <c r="B277" s="3"/>
      <c r="C277" s="3"/>
      <c r="H277" s="3"/>
      <c r="AG277" s="91"/>
    </row>
    <row r="278" ht="15.75" customHeight="1">
      <c r="B278" s="3"/>
      <c r="C278" s="3"/>
      <c r="H278" s="3"/>
      <c r="AG278" s="91"/>
    </row>
    <row r="279" ht="15.75" customHeight="1">
      <c r="B279" s="3"/>
      <c r="C279" s="3"/>
      <c r="H279" s="3"/>
      <c r="AG279" s="91"/>
    </row>
    <row r="280" ht="15.75" customHeight="1">
      <c r="B280" s="3"/>
      <c r="C280" s="3"/>
      <c r="H280" s="3"/>
      <c r="AG280" s="91"/>
    </row>
    <row r="281" ht="15.75" customHeight="1">
      <c r="B281" s="3"/>
      <c r="C281" s="3"/>
      <c r="H281" s="3"/>
      <c r="AG281" s="91"/>
    </row>
    <row r="282" ht="15.75" customHeight="1">
      <c r="B282" s="3"/>
      <c r="C282" s="3"/>
      <c r="H282" s="3"/>
      <c r="AG282" s="91"/>
    </row>
    <row r="283" ht="15.75" customHeight="1">
      <c r="B283" s="3"/>
      <c r="C283" s="3"/>
      <c r="H283" s="3"/>
      <c r="AG283" s="91"/>
    </row>
    <row r="284" ht="15.75" customHeight="1">
      <c r="B284" s="3"/>
      <c r="C284" s="3"/>
      <c r="H284" s="3"/>
      <c r="AG284" s="91"/>
    </row>
    <row r="285" ht="15.75" customHeight="1">
      <c r="B285" s="3"/>
      <c r="C285" s="3"/>
      <c r="H285" s="3"/>
      <c r="AG285" s="91"/>
    </row>
    <row r="286" ht="15.75" customHeight="1">
      <c r="B286" s="3"/>
      <c r="C286" s="3"/>
      <c r="H286" s="3"/>
      <c r="AG286" s="91"/>
    </row>
    <row r="287" ht="15.75" customHeight="1">
      <c r="B287" s="3"/>
      <c r="C287" s="3"/>
      <c r="H287" s="3"/>
      <c r="AG287" s="91"/>
    </row>
    <row r="288" ht="15.75" customHeight="1">
      <c r="B288" s="3"/>
      <c r="C288" s="3"/>
      <c r="H288" s="3"/>
      <c r="AG288" s="91"/>
    </row>
    <row r="289" ht="15.75" customHeight="1">
      <c r="B289" s="3"/>
      <c r="C289" s="3"/>
      <c r="H289" s="3"/>
      <c r="AG289" s="91"/>
    </row>
    <row r="290" ht="15.75" customHeight="1">
      <c r="B290" s="3"/>
      <c r="C290" s="3"/>
      <c r="H290" s="3"/>
      <c r="AG290" s="91"/>
    </row>
    <row r="291" ht="15.75" customHeight="1">
      <c r="B291" s="3"/>
      <c r="C291" s="3"/>
      <c r="H291" s="3"/>
      <c r="AG291" s="91"/>
    </row>
    <row r="292" ht="15.75" customHeight="1">
      <c r="B292" s="3"/>
      <c r="C292" s="3"/>
      <c r="H292" s="3"/>
      <c r="AG292" s="91"/>
    </row>
    <row r="293" ht="15.75" customHeight="1">
      <c r="B293" s="3"/>
      <c r="C293" s="3"/>
      <c r="H293" s="3"/>
      <c r="AG293" s="91"/>
    </row>
    <row r="294" ht="15.75" customHeight="1">
      <c r="B294" s="3"/>
      <c r="C294" s="3"/>
      <c r="H294" s="3"/>
      <c r="AG294" s="91"/>
    </row>
    <row r="295" ht="15.75" customHeight="1">
      <c r="B295" s="3"/>
      <c r="C295" s="3"/>
      <c r="H295" s="3"/>
      <c r="AG295" s="91"/>
    </row>
    <row r="296" ht="15.75" customHeight="1">
      <c r="B296" s="3"/>
      <c r="C296" s="3"/>
      <c r="H296" s="3"/>
      <c r="AG296" s="91"/>
    </row>
    <row r="297" ht="15.75" customHeight="1">
      <c r="B297" s="3"/>
      <c r="C297" s="3"/>
      <c r="H297" s="3"/>
      <c r="AG297" s="91"/>
    </row>
    <row r="298" ht="15.75" customHeight="1">
      <c r="B298" s="3"/>
      <c r="C298" s="3"/>
      <c r="H298" s="3"/>
      <c r="AG298" s="91"/>
    </row>
    <row r="299" ht="15.75" customHeight="1">
      <c r="B299" s="3"/>
      <c r="C299" s="3"/>
      <c r="H299" s="3"/>
      <c r="AG299" s="91"/>
    </row>
    <row r="300" ht="15.75" customHeight="1">
      <c r="B300" s="3"/>
      <c r="C300" s="3"/>
      <c r="H300" s="3"/>
      <c r="AG300" s="91"/>
    </row>
    <row r="301" ht="15.75" customHeight="1">
      <c r="B301" s="3"/>
      <c r="C301" s="3"/>
      <c r="H301" s="3"/>
      <c r="AG301" s="91"/>
    </row>
    <row r="302" ht="15.75" customHeight="1">
      <c r="B302" s="3"/>
      <c r="C302" s="3"/>
      <c r="H302" s="3"/>
      <c r="AG302" s="91"/>
    </row>
    <row r="303" ht="15.75" customHeight="1">
      <c r="B303" s="3"/>
      <c r="C303" s="3"/>
      <c r="H303" s="3"/>
      <c r="AG303" s="91"/>
    </row>
    <row r="304" ht="15.75" customHeight="1">
      <c r="B304" s="3"/>
      <c r="C304" s="3"/>
      <c r="H304" s="3"/>
      <c r="AG304" s="91"/>
    </row>
    <row r="305" ht="15.75" customHeight="1">
      <c r="B305" s="3"/>
      <c r="C305" s="3"/>
      <c r="H305" s="3"/>
      <c r="AG305" s="91"/>
    </row>
    <row r="306" ht="15.75" customHeight="1">
      <c r="B306" s="3"/>
      <c r="C306" s="3"/>
      <c r="H306" s="3"/>
      <c r="AG306" s="91"/>
    </row>
    <row r="307" ht="15.75" customHeight="1">
      <c r="B307" s="3"/>
      <c r="C307" s="3"/>
      <c r="H307" s="3"/>
      <c r="AG307" s="91"/>
    </row>
    <row r="308" ht="15.75" customHeight="1">
      <c r="B308" s="3"/>
      <c r="C308" s="3"/>
      <c r="H308" s="3"/>
      <c r="AG308" s="91"/>
    </row>
    <row r="309" ht="15.75" customHeight="1">
      <c r="B309" s="3"/>
      <c r="C309" s="3"/>
      <c r="H309" s="3"/>
      <c r="AG309" s="91"/>
    </row>
    <row r="310" ht="15.75" customHeight="1">
      <c r="B310" s="3"/>
      <c r="C310" s="3"/>
      <c r="H310" s="3"/>
      <c r="AG310" s="91"/>
    </row>
    <row r="311" ht="15.75" customHeight="1">
      <c r="B311" s="3"/>
      <c r="C311" s="3"/>
      <c r="H311" s="3"/>
      <c r="AG311" s="91"/>
    </row>
    <row r="312" ht="15.75" customHeight="1">
      <c r="B312" s="3"/>
      <c r="C312" s="3"/>
      <c r="H312" s="3"/>
      <c r="AG312" s="91"/>
    </row>
    <row r="313" ht="15.75" customHeight="1">
      <c r="B313" s="3"/>
      <c r="C313" s="3"/>
      <c r="H313" s="3"/>
      <c r="AG313" s="91"/>
    </row>
    <row r="314" ht="15.75" customHeight="1">
      <c r="B314" s="3"/>
      <c r="C314" s="3"/>
      <c r="H314" s="3"/>
      <c r="AG314" s="91"/>
    </row>
    <row r="315" ht="15.75" customHeight="1">
      <c r="B315" s="3"/>
      <c r="C315" s="3"/>
      <c r="H315" s="3"/>
      <c r="AG315" s="91"/>
    </row>
    <row r="316" ht="15.75" customHeight="1">
      <c r="B316" s="3"/>
      <c r="C316" s="3"/>
      <c r="H316" s="3"/>
      <c r="AG316" s="91"/>
    </row>
    <row r="317" ht="15.75" customHeight="1">
      <c r="B317" s="3"/>
      <c r="C317" s="3"/>
      <c r="H317" s="3"/>
      <c r="AG317" s="91"/>
    </row>
    <row r="318" ht="15.75" customHeight="1">
      <c r="B318" s="3"/>
      <c r="C318" s="3"/>
      <c r="H318" s="3"/>
      <c r="AG318" s="91"/>
    </row>
    <row r="319" ht="15.75" customHeight="1">
      <c r="B319" s="3"/>
      <c r="C319" s="3"/>
      <c r="H319" s="3"/>
      <c r="AG319" s="91"/>
    </row>
    <row r="320" ht="15.75" customHeight="1">
      <c r="B320" s="3"/>
      <c r="C320" s="3"/>
      <c r="H320" s="3"/>
      <c r="AG320" s="91"/>
    </row>
    <row r="321" ht="15.75" customHeight="1">
      <c r="B321" s="3"/>
      <c r="C321" s="3"/>
      <c r="H321" s="3"/>
      <c r="AG321" s="91"/>
    </row>
    <row r="322" ht="15.75" customHeight="1">
      <c r="B322" s="3"/>
      <c r="C322" s="3"/>
      <c r="H322" s="3"/>
      <c r="AG322" s="91"/>
    </row>
    <row r="323" ht="15.75" customHeight="1">
      <c r="B323" s="3"/>
      <c r="C323" s="3"/>
      <c r="H323" s="3"/>
      <c r="AG323" s="91"/>
    </row>
    <row r="324" ht="15.75" customHeight="1">
      <c r="B324" s="3"/>
      <c r="C324" s="3"/>
      <c r="H324" s="3"/>
      <c r="AG324" s="91"/>
    </row>
    <row r="325" ht="15.75" customHeight="1">
      <c r="B325" s="3"/>
      <c r="C325" s="3"/>
      <c r="H325" s="3"/>
      <c r="AG325" s="91"/>
    </row>
    <row r="326" ht="15.75" customHeight="1">
      <c r="B326" s="3"/>
      <c r="C326" s="3"/>
      <c r="H326" s="3"/>
      <c r="AG326" s="91"/>
    </row>
    <row r="327" ht="15.75" customHeight="1">
      <c r="B327" s="3"/>
      <c r="C327" s="3"/>
      <c r="H327" s="3"/>
      <c r="AG327" s="91"/>
    </row>
    <row r="328" ht="15.75" customHeight="1">
      <c r="B328" s="3"/>
      <c r="C328" s="3"/>
      <c r="H328" s="3"/>
      <c r="AG328" s="91"/>
    </row>
    <row r="329" ht="15.75" customHeight="1">
      <c r="B329" s="3"/>
      <c r="C329" s="3"/>
      <c r="H329" s="3"/>
      <c r="AG329" s="91"/>
    </row>
    <row r="330" ht="15.75" customHeight="1">
      <c r="B330" s="3"/>
      <c r="C330" s="3"/>
      <c r="H330" s="3"/>
      <c r="AG330" s="91"/>
    </row>
    <row r="331" ht="15.75" customHeight="1">
      <c r="B331" s="3"/>
      <c r="C331" s="3"/>
      <c r="H331" s="3"/>
      <c r="AG331" s="91"/>
    </row>
    <row r="332" ht="15.75" customHeight="1">
      <c r="B332" s="3"/>
      <c r="C332" s="3"/>
      <c r="H332" s="3"/>
      <c r="AG332" s="91"/>
    </row>
    <row r="333" ht="15.75" customHeight="1">
      <c r="B333" s="3"/>
      <c r="C333" s="3"/>
      <c r="H333" s="3"/>
      <c r="AG333" s="91"/>
    </row>
    <row r="334" ht="15.75" customHeight="1">
      <c r="B334" s="3"/>
      <c r="C334" s="3"/>
      <c r="H334" s="3"/>
      <c r="AG334" s="91"/>
    </row>
    <row r="335" ht="15.75" customHeight="1">
      <c r="B335" s="3"/>
      <c r="C335" s="3"/>
      <c r="H335" s="3"/>
      <c r="AG335" s="91"/>
    </row>
    <row r="336" ht="15.75" customHeight="1">
      <c r="B336" s="3"/>
      <c r="C336" s="3"/>
      <c r="H336" s="3"/>
      <c r="AG336" s="91"/>
    </row>
    <row r="337" ht="15.75" customHeight="1">
      <c r="B337" s="3"/>
      <c r="C337" s="3"/>
      <c r="H337" s="3"/>
      <c r="AG337" s="91"/>
    </row>
    <row r="338" ht="15.75" customHeight="1">
      <c r="B338" s="3"/>
      <c r="C338" s="3"/>
      <c r="H338" s="3"/>
      <c r="AG338" s="91"/>
    </row>
    <row r="339" ht="15.75" customHeight="1">
      <c r="B339" s="3"/>
      <c r="C339" s="3"/>
      <c r="H339" s="3"/>
      <c r="AG339" s="91"/>
    </row>
    <row r="340" ht="15.75" customHeight="1">
      <c r="B340" s="3"/>
      <c r="C340" s="3"/>
      <c r="H340" s="3"/>
      <c r="AG340" s="91"/>
    </row>
    <row r="341" ht="15.75" customHeight="1">
      <c r="B341" s="3"/>
      <c r="C341" s="3"/>
      <c r="H341" s="3"/>
      <c r="AG341" s="91"/>
    </row>
    <row r="342" ht="15.75" customHeight="1">
      <c r="B342" s="3"/>
      <c r="C342" s="3"/>
      <c r="H342" s="3"/>
      <c r="AG342" s="91"/>
    </row>
    <row r="343" ht="15.75" customHeight="1">
      <c r="B343" s="3"/>
      <c r="C343" s="3"/>
      <c r="H343" s="3"/>
      <c r="AG343" s="91"/>
    </row>
    <row r="344" ht="15.75" customHeight="1">
      <c r="B344" s="3"/>
      <c r="C344" s="3"/>
      <c r="H344" s="3"/>
      <c r="AG344" s="91"/>
    </row>
    <row r="345" ht="15.75" customHeight="1">
      <c r="B345" s="3"/>
      <c r="C345" s="3"/>
      <c r="H345" s="3"/>
      <c r="AG345" s="91"/>
    </row>
    <row r="346" ht="15.75" customHeight="1">
      <c r="B346" s="3"/>
      <c r="C346" s="3"/>
      <c r="H346" s="3"/>
      <c r="AG346" s="91"/>
    </row>
    <row r="347" ht="15.75" customHeight="1">
      <c r="B347" s="3"/>
      <c r="C347" s="3"/>
      <c r="H347" s="3"/>
      <c r="AG347" s="91"/>
    </row>
    <row r="348" ht="15.75" customHeight="1">
      <c r="B348" s="3"/>
      <c r="C348" s="3"/>
      <c r="H348" s="3"/>
      <c r="AG348" s="91"/>
    </row>
    <row r="349" ht="15.75" customHeight="1">
      <c r="B349" s="3"/>
      <c r="C349" s="3"/>
      <c r="H349" s="3"/>
      <c r="AG349" s="91"/>
    </row>
    <row r="350" ht="15.75" customHeight="1">
      <c r="B350" s="3"/>
      <c r="C350" s="3"/>
      <c r="H350" s="3"/>
      <c r="AG350" s="91"/>
    </row>
    <row r="351" ht="15.75" customHeight="1">
      <c r="B351" s="3"/>
      <c r="C351" s="3"/>
      <c r="H351" s="3"/>
      <c r="AG351" s="91"/>
    </row>
    <row r="352" ht="15.75" customHeight="1">
      <c r="B352" s="3"/>
      <c r="C352" s="3"/>
      <c r="H352" s="3"/>
      <c r="AG352" s="91"/>
    </row>
    <row r="353" ht="15.75" customHeight="1">
      <c r="B353" s="3"/>
      <c r="C353" s="3"/>
      <c r="H353" s="3"/>
      <c r="AG353" s="91"/>
    </row>
    <row r="354" ht="15.75" customHeight="1">
      <c r="B354" s="3"/>
      <c r="C354" s="3"/>
      <c r="H354" s="3"/>
      <c r="AG354" s="91"/>
    </row>
    <row r="355" ht="15.75" customHeight="1">
      <c r="B355" s="3"/>
      <c r="C355" s="3"/>
      <c r="H355" s="3"/>
      <c r="AG355" s="91"/>
    </row>
    <row r="356" ht="15.75" customHeight="1">
      <c r="B356" s="3"/>
      <c r="C356" s="3"/>
      <c r="H356" s="3"/>
      <c r="AG356" s="91"/>
    </row>
    <row r="357" ht="15.75" customHeight="1">
      <c r="B357" s="3"/>
      <c r="C357" s="3"/>
      <c r="H357" s="3"/>
      <c r="AG357" s="91"/>
    </row>
    <row r="358" ht="15.75" customHeight="1">
      <c r="B358" s="3"/>
      <c r="C358" s="3"/>
      <c r="H358" s="3"/>
      <c r="AG358" s="91"/>
    </row>
    <row r="359" ht="15.75" customHeight="1">
      <c r="B359" s="3"/>
      <c r="C359" s="3"/>
      <c r="H359" s="3"/>
      <c r="AG359" s="91"/>
    </row>
    <row r="360" ht="15.75" customHeight="1">
      <c r="B360" s="3"/>
      <c r="C360" s="3"/>
      <c r="H360" s="3"/>
      <c r="AG360" s="91"/>
    </row>
    <row r="361" ht="15.75" customHeight="1">
      <c r="B361" s="3"/>
      <c r="C361" s="3"/>
      <c r="H361" s="3"/>
      <c r="AG361" s="91"/>
    </row>
    <row r="362" ht="15.75" customHeight="1">
      <c r="B362" s="3"/>
      <c r="C362" s="3"/>
      <c r="H362" s="3"/>
      <c r="AG362" s="91"/>
    </row>
    <row r="363" ht="15.75" customHeight="1">
      <c r="B363" s="3"/>
      <c r="C363" s="3"/>
      <c r="H363" s="3"/>
      <c r="AG363" s="91"/>
    </row>
    <row r="364" ht="15.75" customHeight="1">
      <c r="B364" s="3"/>
      <c r="C364" s="3"/>
      <c r="H364" s="3"/>
      <c r="AG364" s="91"/>
    </row>
    <row r="365" ht="15.75" customHeight="1">
      <c r="B365" s="3"/>
      <c r="C365" s="3"/>
      <c r="H365" s="3"/>
      <c r="AG365" s="91"/>
    </row>
    <row r="366" ht="15.75" customHeight="1">
      <c r="B366" s="3"/>
      <c r="C366" s="3"/>
      <c r="H366" s="3"/>
      <c r="AG366" s="91"/>
    </row>
    <row r="367" ht="15.75" customHeight="1">
      <c r="B367" s="3"/>
      <c r="C367" s="3"/>
      <c r="H367" s="3"/>
      <c r="AG367" s="91"/>
    </row>
    <row r="368" ht="15.75" customHeight="1">
      <c r="B368" s="3"/>
      <c r="C368" s="3"/>
      <c r="H368" s="3"/>
      <c r="AG368" s="91"/>
    </row>
    <row r="369" ht="15.75" customHeight="1">
      <c r="B369" s="3"/>
      <c r="C369" s="3"/>
      <c r="H369" s="3"/>
      <c r="AG369" s="91"/>
    </row>
    <row r="370" ht="15.75" customHeight="1">
      <c r="B370" s="3"/>
      <c r="C370" s="3"/>
      <c r="H370" s="3"/>
      <c r="AG370" s="91"/>
    </row>
    <row r="371" ht="15.75" customHeight="1">
      <c r="B371" s="3"/>
      <c r="C371" s="3"/>
      <c r="H371" s="3"/>
      <c r="AG371" s="91"/>
    </row>
    <row r="372" ht="15.75" customHeight="1">
      <c r="B372" s="3"/>
      <c r="C372" s="3"/>
      <c r="H372" s="3"/>
      <c r="AG372" s="91"/>
    </row>
    <row r="373" ht="15.75" customHeight="1">
      <c r="B373" s="3"/>
      <c r="C373" s="3"/>
      <c r="H373" s="3"/>
      <c r="AG373" s="91"/>
    </row>
    <row r="374" ht="15.75" customHeight="1">
      <c r="B374" s="3"/>
      <c r="C374" s="3"/>
      <c r="H374" s="3"/>
      <c r="AG374" s="91"/>
    </row>
    <row r="375" ht="15.75" customHeight="1">
      <c r="B375" s="3"/>
      <c r="C375" s="3"/>
      <c r="H375" s="3"/>
      <c r="AG375" s="91"/>
    </row>
    <row r="376" ht="15.75" customHeight="1">
      <c r="B376" s="3"/>
      <c r="C376" s="3"/>
      <c r="H376" s="3"/>
      <c r="AG376" s="91"/>
    </row>
    <row r="377" ht="15.75" customHeight="1">
      <c r="B377" s="3"/>
      <c r="C377" s="3"/>
      <c r="H377" s="3"/>
      <c r="AG377" s="91"/>
    </row>
    <row r="378" ht="15.75" customHeight="1">
      <c r="B378" s="3"/>
      <c r="C378" s="3"/>
      <c r="H378" s="3"/>
      <c r="AG378" s="91"/>
    </row>
    <row r="379" ht="15.75" customHeight="1">
      <c r="B379" s="3"/>
      <c r="C379" s="3"/>
      <c r="H379" s="3"/>
      <c r="AG379" s="91"/>
    </row>
    <row r="380" ht="15.75" customHeight="1">
      <c r="B380" s="3"/>
      <c r="C380" s="3"/>
      <c r="H380" s="3"/>
      <c r="AG380" s="91"/>
    </row>
    <row r="381" ht="15.75" customHeight="1">
      <c r="B381" s="3"/>
      <c r="C381" s="3"/>
      <c r="H381" s="3"/>
      <c r="AG381" s="91"/>
    </row>
    <row r="382" ht="15.75" customHeight="1">
      <c r="B382" s="3"/>
      <c r="C382" s="3"/>
      <c r="H382" s="3"/>
      <c r="AG382" s="91"/>
    </row>
    <row r="383" ht="15.75" customHeight="1">
      <c r="B383" s="3"/>
      <c r="C383" s="3"/>
      <c r="H383" s="3"/>
      <c r="AG383" s="91"/>
    </row>
    <row r="384" ht="15.75" customHeight="1">
      <c r="B384" s="3"/>
      <c r="C384" s="3"/>
      <c r="H384" s="3"/>
      <c r="AG384" s="91"/>
    </row>
    <row r="385" ht="15.75" customHeight="1">
      <c r="B385" s="3"/>
      <c r="C385" s="3"/>
      <c r="H385" s="3"/>
      <c r="AG385" s="91"/>
    </row>
    <row r="386" ht="15.75" customHeight="1">
      <c r="B386" s="3"/>
      <c r="C386" s="3"/>
      <c r="H386" s="3"/>
      <c r="AG386" s="91"/>
    </row>
    <row r="387" ht="15.75" customHeight="1">
      <c r="B387" s="3"/>
      <c r="C387" s="3"/>
      <c r="H387" s="3"/>
      <c r="AG387" s="91"/>
    </row>
    <row r="388" ht="15.75" customHeight="1">
      <c r="B388" s="3"/>
      <c r="C388" s="3"/>
      <c r="H388" s="3"/>
      <c r="AG388" s="91"/>
    </row>
    <row r="389" ht="15.75" customHeight="1">
      <c r="B389" s="3"/>
      <c r="C389" s="3"/>
      <c r="H389" s="3"/>
      <c r="AG389" s="91"/>
    </row>
    <row r="390" ht="15.75" customHeight="1">
      <c r="B390" s="3"/>
      <c r="C390" s="3"/>
      <c r="H390" s="3"/>
      <c r="AG390" s="91"/>
    </row>
    <row r="391" ht="15.75" customHeight="1">
      <c r="B391" s="3"/>
      <c r="C391" s="3"/>
      <c r="H391" s="3"/>
      <c r="AG391" s="91"/>
    </row>
    <row r="392" ht="15.75" customHeight="1">
      <c r="B392" s="3"/>
      <c r="C392" s="3"/>
      <c r="H392" s="3"/>
      <c r="AG392" s="91"/>
    </row>
    <row r="393" ht="15.75" customHeight="1">
      <c r="B393" s="3"/>
      <c r="C393" s="3"/>
      <c r="H393" s="3"/>
      <c r="AG393" s="91"/>
    </row>
    <row r="394" ht="15.75" customHeight="1">
      <c r="B394" s="3"/>
      <c r="C394" s="3"/>
      <c r="H394" s="3"/>
      <c r="AG394" s="91"/>
    </row>
    <row r="395" ht="15.75" customHeight="1">
      <c r="B395" s="3"/>
      <c r="C395" s="3"/>
      <c r="H395" s="3"/>
      <c r="AG395" s="91"/>
    </row>
    <row r="396" ht="15.75" customHeight="1">
      <c r="B396" s="3"/>
      <c r="C396" s="3"/>
      <c r="H396" s="3"/>
      <c r="AG396" s="91"/>
    </row>
    <row r="397" ht="15.75" customHeight="1">
      <c r="B397" s="3"/>
      <c r="C397" s="3"/>
      <c r="H397" s="3"/>
      <c r="AG397" s="91"/>
    </row>
    <row r="398" ht="15.75" customHeight="1">
      <c r="B398" s="3"/>
      <c r="C398" s="3"/>
      <c r="H398" s="3"/>
      <c r="AG398" s="91"/>
    </row>
    <row r="399" ht="15.75" customHeight="1">
      <c r="B399" s="3"/>
      <c r="C399" s="3"/>
      <c r="H399" s="3"/>
      <c r="AG399" s="91"/>
    </row>
    <row r="400" ht="15.75" customHeight="1">
      <c r="B400" s="3"/>
      <c r="C400" s="3"/>
      <c r="H400" s="3"/>
      <c r="AG400" s="91"/>
    </row>
    <row r="401" ht="15.75" customHeight="1">
      <c r="B401" s="3"/>
      <c r="C401" s="3"/>
      <c r="H401" s="3"/>
      <c r="AG401" s="91"/>
    </row>
    <row r="402" ht="15.75" customHeight="1">
      <c r="B402" s="3"/>
      <c r="C402" s="3"/>
      <c r="H402" s="3"/>
      <c r="AG402" s="91"/>
    </row>
    <row r="403" ht="15.75" customHeight="1">
      <c r="B403" s="3"/>
      <c r="C403" s="3"/>
      <c r="H403" s="3"/>
      <c r="AG403" s="91"/>
    </row>
    <row r="404" ht="15.75" customHeight="1">
      <c r="B404" s="3"/>
      <c r="C404" s="3"/>
      <c r="H404" s="3"/>
      <c r="AG404" s="91"/>
    </row>
    <row r="405" ht="15.75" customHeight="1">
      <c r="B405" s="3"/>
      <c r="C405" s="3"/>
      <c r="H405" s="3"/>
      <c r="AG405" s="91"/>
    </row>
    <row r="406" ht="15.75" customHeight="1">
      <c r="B406" s="3"/>
      <c r="C406" s="3"/>
      <c r="H406" s="3"/>
      <c r="AG406" s="91"/>
    </row>
    <row r="407" ht="15.75" customHeight="1">
      <c r="B407" s="3"/>
      <c r="C407" s="3"/>
      <c r="H407" s="3"/>
      <c r="AG407" s="91"/>
    </row>
    <row r="408" ht="15.75" customHeight="1">
      <c r="B408" s="3"/>
      <c r="C408" s="3"/>
      <c r="H408" s="3"/>
      <c r="AG408" s="91"/>
    </row>
    <row r="409" ht="15.75" customHeight="1">
      <c r="B409" s="3"/>
      <c r="C409" s="3"/>
      <c r="H409" s="3"/>
      <c r="AG409" s="91"/>
    </row>
    <row r="410" ht="15.75" customHeight="1">
      <c r="B410" s="3"/>
      <c r="C410" s="3"/>
      <c r="H410" s="3"/>
      <c r="AG410" s="91"/>
    </row>
    <row r="411" ht="15.75" customHeight="1">
      <c r="B411" s="3"/>
      <c r="C411" s="3"/>
      <c r="H411" s="3"/>
      <c r="AG411" s="91"/>
    </row>
    <row r="412" ht="15.75" customHeight="1">
      <c r="B412" s="3"/>
      <c r="C412" s="3"/>
      <c r="H412" s="3"/>
      <c r="AG412" s="91"/>
    </row>
    <row r="413" ht="15.75" customHeight="1">
      <c r="B413" s="3"/>
      <c r="C413" s="3"/>
      <c r="H413" s="3"/>
      <c r="AG413" s="91"/>
    </row>
    <row r="414" ht="15.75" customHeight="1">
      <c r="B414" s="3"/>
      <c r="C414" s="3"/>
      <c r="H414" s="3"/>
      <c r="AG414" s="91"/>
    </row>
    <row r="415" ht="15.75" customHeight="1">
      <c r="B415" s="3"/>
      <c r="C415" s="3"/>
      <c r="H415" s="3"/>
      <c r="AG415" s="91"/>
    </row>
    <row r="416" ht="15.75" customHeight="1">
      <c r="B416" s="3"/>
      <c r="C416" s="3"/>
      <c r="H416" s="3"/>
      <c r="AG416" s="91"/>
    </row>
    <row r="417" ht="15.75" customHeight="1">
      <c r="B417" s="3"/>
      <c r="C417" s="3"/>
      <c r="H417" s="3"/>
      <c r="AG417" s="91"/>
    </row>
    <row r="418" ht="15.75" customHeight="1">
      <c r="B418" s="3"/>
      <c r="C418" s="3"/>
      <c r="H418" s="3"/>
      <c r="AG418" s="91"/>
    </row>
    <row r="419" ht="15.75" customHeight="1">
      <c r="B419" s="3"/>
      <c r="C419" s="3"/>
      <c r="H419" s="3"/>
      <c r="AG419" s="91"/>
    </row>
    <row r="420" ht="15.75" customHeight="1">
      <c r="B420" s="3"/>
      <c r="C420" s="3"/>
      <c r="H420" s="3"/>
      <c r="AG420" s="91"/>
    </row>
    <row r="421" ht="15.75" customHeight="1">
      <c r="B421" s="3"/>
      <c r="C421" s="3"/>
      <c r="H421" s="3"/>
      <c r="AG421" s="91"/>
    </row>
    <row r="422" ht="15.75" customHeight="1">
      <c r="B422" s="3"/>
      <c r="C422" s="3"/>
      <c r="H422" s="3"/>
      <c r="AG422" s="91"/>
    </row>
    <row r="423" ht="15.75" customHeight="1">
      <c r="B423" s="3"/>
      <c r="C423" s="3"/>
      <c r="H423" s="3"/>
      <c r="AG423" s="91"/>
    </row>
    <row r="424" ht="15.75" customHeight="1">
      <c r="B424" s="3"/>
      <c r="C424" s="3"/>
      <c r="H424" s="3"/>
      <c r="AG424" s="91"/>
    </row>
    <row r="425" ht="15.75" customHeight="1">
      <c r="B425" s="3"/>
      <c r="C425" s="3"/>
      <c r="H425" s="3"/>
      <c r="AG425" s="91"/>
    </row>
    <row r="426" ht="15.75" customHeight="1">
      <c r="B426" s="3"/>
      <c r="C426" s="3"/>
      <c r="H426" s="3"/>
      <c r="AG426" s="91"/>
    </row>
    <row r="427" ht="15.75" customHeight="1">
      <c r="B427" s="3"/>
      <c r="C427" s="3"/>
      <c r="H427" s="3"/>
      <c r="AG427" s="91"/>
    </row>
    <row r="428" ht="15.75" customHeight="1">
      <c r="B428" s="3"/>
      <c r="C428" s="3"/>
      <c r="H428" s="3"/>
      <c r="AG428" s="91"/>
    </row>
    <row r="429" ht="15.75" customHeight="1">
      <c r="B429" s="3"/>
      <c r="C429" s="3"/>
      <c r="H429" s="3"/>
      <c r="AG429" s="91"/>
    </row>
    <row r="430" ht="15.75" customHeight="1">
      <c r="B430" s="3"/>
      <c r="C430" s="3"/>
      <c r="H430" s="3"/>
      <c r="AG430" s="91"/>
    </row>
    <row r="431" ht="15.75" customHeight="1">
      <c r="B431" s="3"/>
      <c r="C431" s="3"/>
      <c r="H431" s="3"/>
      <c r="AG431" s="91"/>
    </row>
    <row r="432" ht="15.75" customHeight="1">
      <c r="B432" s="3"/>
      <c r="C432" s="3"/>
      <c r="H432" s="3"/>
      <c r="AG432" s="91"/>
    </row>
    <row r="433" ht="15.75" customHeight="1">
      <c r="B433" s="3"/>
      <c r="C433" s="3"/>
      <c r="H433" s="3"/>
      <c r="AG433" s="91"/>
    </row>
    <row r="434" ht="15.75" customHeight="1">
      <c r="B434" s="3"/>
      <c r="C434" s="3"/>
      <c r="H434" s="3"/>
      <c r="AG434" s="91"/>
    </row>
    <row r="435" ht="15.75" customHeight="1">
      <c r="B435" s="3"/>
      <c r="C435" s="3"/>
      <c r="H435" s="3"/>
      <c r="AG435" s="91"/>
    </row>
    <row r="436" ht="15.75" customHeight="1">
      <c r="B436" s="3"/>
      <c r="C436" s="3"/>
      <c r="H436" s="3"/>
      <c r="AG436" s="91"/>
    </row>
    <row r="437" ht="15.75" customHeight="1">
      <c r="B437" s="3"/>
      <c r="C437" s="3"/>
      <c r="H437" s="3"/>
      <c r="AG437" s="91"/>
    </row>
    <row r="438" ht="15.75" customHeight="1">
      <c r="B438" s="3"/>
      <c r="C438" s="3"/>
      <c r="H438" s="3"/>
      <c r="AG438" s="91"/>
    </row>
    <row r="439" ht="15.75" customHeight="1">
      <c r="B439" s="3"/>
      <c r="C439" s="3"/>
      <c r="H439" s="3"/>
      <c r="AG439" s="91"/>
    </row>
    <row r="440" ht="15.75" customHeight="1">
      <c r="B440" s="3"/>
      <c r="C440" s="3"/>
      <c r="H440" s="3"/>
      <c r="AG440" s="91"/>
    </row>
    <row r="441" ht="15.75" customHeight="1">
      <c r="B441" s="3"/>
      <c r="C441" s="3"/>
      <c r="H441" s="3"/>
      <c r="AG441" s="91"/>
    </row>
    <row r="442" ht="15.75" customHeight="1">
      <c r="B442" s="3"/>
      <c r="C442" s="3"/>
      <c r="H442" s="3"/>
      <c r="AG442" s="91"/>
    </row>
    <row r="443" ht="15.75" customHeight="1">
      <c r="B443" s="3"/>
      <c r="C443" s="3"/>
      <c r="H443" s="3"/>
      <c r="AG443" s="91"/>
    </row>
    <row r="444" ht="15.75" customHeight="1">
      <c r="B444" s="3"/>
      <c r="C444" s="3"/>
      <c r="H444" s="3"/>
      <c r="AG444" s="91"/>
    </row>
    <row r="445" ht="15.75" customHeight="1">
      <c r="B445" s="3"/>
      <c r="C445" s="3"/>
      <c r="H445" s="3"/>
      <c r="AG445" s="91"/>
    </row>
    <row r="446" ht="15.75" customHeight="1">
      <c r="B446" s="3"/>
      <c r="C446" s="3"/>
      <c r="H446" s="3"/>
      <c r="AG446" s="91"/>
    </row>
    <row r="447" ht="15.75" customHeight="1">
      <c r="B447" s="3"/>
      <c r="C447" s="3"/>
      <c r="H447" s="3"/>
      <c r="AG447" s="91"/>
    </row>
    <row r="448" ht="15.75" customHeight="1">
      <c r="B448" s="3"/>
      <c r="C448" s="3"/>
      <c r="H448" s="3"/>
      <c r="AG448" s="91"/>
    </row>
    <row r="449" ht="15.75" customHeight="1">
      <c r="B449" s="3"/>
      <c r="C449" s="3"/>
      <c r="H449" s="3"/>
      <c r="AG449" s="91"/>
    </row>
    <row r="450" ht="15.75" customHeight="1">
      <c r="B450" s="3"/>
      <c r="C450" s="3"/>
      <c r="H450" s="3"/>
      <c r="AG450" s="91"/>
    </row>
    <row r="451" ht="15.75" customHeight="1">
      <c r="B451" s="3"/>
      <c r="C451" s="3"/>
      <c r="H451" s="3"/>
      <c r="AG451" s="91"/>
    </row>
    <row r="452" ht="15.75" customHeight="1">
      <c r="B452" s="3"/>
      <c r="C452" s="3"/>
      <c r="H452" s="3"/>
      <c r="AG452" s="91"/>
    </row>
    <row r="453" ht="15.75" customHeight="1">
      <c r="B453" s="3"/>
      <c r="C453" s="3"/>
      <c r="H453" s="3"/>
      <c r="AG453" s="91"/>
    </row>
    <row r="454" ht="15.75" customHeight="1">
      <c r="B454" s="3"/>
      <c r="C454" s="3"/>
      <c r="H454" s="3"/>
      <c r="AG454" s="91"/>
    </row>
    <row r="455" ht="15.75" customHeight="1">
      <c r="B455" s="3"/>
      <c r="C455" s="3"/>
      <c r="H455" s="3"/>
      <c r="AG455" s="91"/>
    </row>
    <row r="456" ht="15.75" customHeight="1">
      <c r="B456" s="3"/>
      <c r="C456" s="3"/>
      <c r="H456" s="3"/>
      <c r="AG456" s="91"/>
    </row>
    <row r="457" ht="15.75" customHeight="1">
      <c r="B457" s="3"/>
      <c r="C457" s="3"/>
      <c r="H457" s="3"/>
      <c r="AG457" s="91"/>
    </row>
    <row r="458" ht="15.75" customHeight="1">
      <c r="B458" s="3"/>
      <c r="C458" s="3"/>
      <c r="H458" s="3"/>
      <c r="AG458" s="91"/>
    </row>
    <row r="459" ht="15.75" customHeight="1">
      <c r="B459" s="3"/>
      <c r="C459" s="3"/>
      <c r="H459" s="3"/>
      <c r="AG459" s="91"/>
    </row>
    <row r="460" ht="15.75" customHeight="1">
      <c r="B460" s="3"/>
      <c r="C460" s="3"/>
      <c r="H460" s="3"/>
      <c r="AG460" s="91"/>
    </row>
    <row r="461" ht="15.75" customHeight="1">
      <c r="B461" s="3"/>
      <c r="C461" s="3"/>
      <c r="H461" s="3"/>
      <c r="AG461" s="91"/>
    </row>
    <row r="462" ht="15.75" customHeight="1">
      <c r="B462" s="3"/>
      <c r="C462" s="3"/>
      <c r="H462" s="3"/>
      <c r="AG462" s="91"/>
    </row>
    <row r="463" ht="15.75" customHeight="1">
      <c r="B463" s="3"/>
      <c r="C463" s="3"/>
      <c r="H463" s="3"/>
      <c r="AG463" s="91"/>
    </row>
    <row r="464" ht="15.75" customHeight="1">
      <c r="B464" s="3"/>
      <c r="C464" s="3"/>
      <c r="H464" s="3"/>
      <c r="AG464" s="91"/>
    </row>
    <row r="465" ht="15.75" customHeight="1">
      <c r="B465" s="3"/>
      <c r="C465" s="3"/>
      <c r="H465" s="3"/>
      <c r="AG465" s="91"/>
    </row>
    <row r="466" ht="15.75" customHeight="1">
      <c r="B466" s="3"/>
      <c r="C466" s="3"/>
      <c r="H466" s="3"/>
      <c r="AG466" s="91"/>
    </row>
    <row r="467" ht="15.75" customHeight="1">
      <c r="B467" s="3"/>
      <c r="C467" s="3"/>
      <c r="H467" s="3"/>
      <c r="AG467" s="91"/>
    </row>
    <row r="468" ht="15.75" customHeight="1">
      <c r="B468" s="3"/>
      <c r="C468" s="3"/>
      <c r="H468" s="3"/>
      <c r="AG468" s="91"/>
    </row>
    <row r="469" ht="15.75" customHeight="1">
      <c r="B469" s="3"/>
      <c r="C469" s="3"/>
      <c r="H469" s="3"/>
      <c r="AG469" s="91"/>
    </row>
    <row r="470" ht="15.75" customHeight="1">
      <c r="B470" s="3"/>
      <c r="C470" s="3"/>
      <c r="H470" s="3"/>
      <c r="AG470" s="91"/>
    </row>
    <row r="471" ht="15.75" customHeight="1">
      <c r="B471" s="3"/>
      <c r="C471" s="3"/>
      <c r="H471" s="3"/>
      <c r="AG471" s="91"/>
    </row>
    <row r="472" ht="15.75" customHeight="1">
      <c r="B472" s="3"/>
      <c r="C472" s="3"/>
      <c r="H472" s="3"/>
      <c r="AG472" s="91"/>
    </row>
    <row r="473" ht="15.75" customHeight="1">
      <c r="B473" s="3"/>
      <c r="C473" s="3"/>
      <c r="H473" s="3"/>
      <c r="AG473" s="91"/>
    </row>
    <row r="474" ht="15.75" customHeight="1">
      <c r="B474" s="3"/>
      <c r="C474" s="3"/>
      <c r="H474" s="3"/>
      <c r="AG474" s="91"/>
    </row>
    <row r="475" ht="15.75" customHeight="1">
      <c r="B475" s="3"/>
      <c r="C475" s="3"/>
      <c r="H475" s="3"/>
      <c r="AG475" s="91"/>
    </row>
    <row r="476" ht="15.75" customHeight="1">
      <c r="B476" s="3"/>
      <c r="C476" s="3"/>
      <c r="H476" s="3"/>
      <c r="AG476" s="91"/>
    </row>
    <row r="477" ht="15.75" customHeight="1">
      <c r="B477" s="3"/>
      <c r="C477" s="3"/>
      <c r="H477" s="3"/>
      <c r="AG477" s="91"/>
    </row>
    <row r="478" ht="15.75" customHeight="1">
      <c r="B478" s="3"/>
      <c r="C478" s="3"/>
      <c r="H478" s="3"/>
      <c r="AG478" s="91"/>
    </row>
    <row r="479" ht="15.75" customHeight="1">
      <c r="B479" s="3"/>
      <c r="C479" s="3"/>
      <c r="H479" s="3"/>
      <c r="AG479" s="91"/>
    </row>
    <row r="480" ht="15.75" customHeight="1">
      <c r="B480" s="3"/>
      <c r="C480" s="3"/>
      <c r="H480" s="3"/>
      <c r="AG480" s="91"/>
    </row>
    <row r="481" ht="15.75" customHeight="1">
      <c r="B481" s="3"/>
      <c r="C481" s="3"/>
      <c r="H481" s="3"/>
      <c r="AG481" s="91"/>
    </row>
    <row r="482" ht="15.75" customHeight="1">
      <c r="B482" s="3"/>
      <c r="C482" s="3"/>
      <c r="H482" s="3"/>
      <c r="AG482" s="91"/>
    </row>
    <row r="483" ht="15.75" customHeight="1">
      <c r="B483" s="3"/>
      <c r="C483" s="3"/>
      <c r="H483" s="3"/>
      <c r="AG483" s="91"/>
    </row>
    <row r="484" ht="15.75" customHeight="1">
      <c r="B484" s="3"/>
      <c r="C484" s="3"/>
      <c r="H484" s="3"/>
      <c r="AG484" s="91"/>
    </row>
    <row r="485" ht="15.75" customHeight="1">
      <c r="B485" s="3"/>
      <c r="C485" s="3"/>
      <c r="H485" s="3"/>
      <c r="AG485" s="91"/>
    </row>
    <row r="486" ht="15.75" customHeight="1">
      <c r="B486" s="3"/>
      <c r="C486" s="3"/>
      <c r="H486" s="3"/>
      <c r="AG486" s="91"/>
    </row>
    <row r="487" ht="15.75" customHeight="1">
      <c r="B487" s="3"/>
      <c r="C487" s="3"/>
      <c r="H487" s="3"/>
      <c r="AG487" s="91"/>
    </row>
    <row r="488" ht="15.75" customHeight="1">
      <c r="B488" s="3"/>
      <c r="C488" s="3"/>
      <c r="H488" s="3"/>
      <c r="AG488" s="91"/>
    </row>
    <row r="489" ht="15.75" customHeight="1">
      <c r="B489" s="3"/>
      <c r="C489" s="3"/>
      <c r="H489" s="3"/>
      <c r="AG489" s="91"/>
    </row>
    <row r="490" ht="15.75" customHeight="1">
      <c r="B490" s="3"/>
      <c r="C490" s="3"/>
      <c r="H490" s="3"/>
      <c r="AG490" s="91"/>
    </row>
    <row r="491" ht="15.75" customHeight="1">
      <c r="B491" s="3"/>
      <c r="C491" s="3"/>
      <c r="H491" s="3"/>
      <c r="AG491" s="91"/>
    </row>
    <row r="492" ht="15.75" customHeight="1">
      <c r="B492" s="3"/>
      <c r="C492" s="3"/>
      <c r="H492" s="3"/>
      <c r="AG492" s="91"/>
    </row>
    <row r="493" ht="15.75" customHeight="1">
      <c r="B493" s="3"/>
      <c r="C493" s="3"/>
      <c r="H493" s="3"/>
      <c r="AG493" s="91"/>
    </row>
    <row r="494" ht="15.75" customHeight="1">
      <c r="B494" s="3"/>
      <c r="C494" s="3"/>
      <c r="H494" s="3"/>
      <c r="AG494" s="91"/>
    </row>
    <row r="495" ht="15.75" customHeight="1">
      <c r="B495" s="3"/>
      <c r="C495" s="3"/>
      <c r="H495" s="3"/>
      <c r="AG495" s="91"/>
    </row>
    <row r="496" ht="15.75" customHeight="1">
      <c r="B496" s="3"/>
      <c r="C496" s="3"/>
      <c r="H496" s="3"/>
      <c r="AG496" s="91"/>
    </row>
    <row r="497" ht="15.75" customHeight="1">
      <c r="B497" s="3"/>
      <c r="C497" s="3"/>
      <c r="H497" s="3"/>
      <c r="AG497" s="91"/>
    </row>
    <row r="498" ht="15.75" customHeight="1">
      <c r="B498" s="3"/>
      <c r="C498" s="3"/>
      <c r="H498" s="3"/>
      <c r="AG498" s="91"/>
    </row>
    <row r="499" ht="15.75" customHeight="1">
      <c r="B499" s="3"/>
      <c r="C499" s="3"/>
      <c r="H499" s="3"/>
      <c r="AG499" s="91"/>
    </row>
    <row r="500" ht="15.75" customHeight="1">
      <c r="B500" s="3"/>
      <c r="C500" s="3"/>
      <c r="H500" s="3"/>
      <c r="AG500" s="91"/>
    </row>
    <row r="501" ht="15.75" customHeight="1">
      <c r="B501" s="3"/>
      <c r="C501" s="3"/>
      <c r="H501" s="3"/>
      <c r="AG501" s="91"/>
    </row>
    <row r="502" ht="15.75" customHeight="1">
      <c r="B502" s="3"/>
      <c r="C502" s="3"/>
      <c r="H502" s="3"/>
      <c r="AG502" s="91"/>
    </row>
    <row r="503" ht="15.75" customHeight="1">
      <c r="B503" s="3"/>
      <c r="C503" s="3"/>
      <c r="H503" s="3"/>
      <c r="AG503" s="91"/>
    </row>
    <row r="504" ht="15.75" customHeight="1">
      <c r="B504" s="3"/>
      <c r="C504" s="3"/>
      <c r="H504" s="3"/>
      <c r="AG504" s="91"/>
    </row>
    <row r="505" ht="15.75" customHeight="1">
      <c r="B505" s="3"/>
      <c r="C505" s="3"/>
      <c r="H505" s="3"/>
      <c r="AG505" s="91"/>
    </row>
    <row r="506" ht="15.75" customHeight="1">
      <c r="B506" s="3"/>
      <c r="C506" s="3"/>
      <c r="H506" s="3"/>
      <c r="AG506" s="91"/>
    </row>
    <row r="507" ht="15.75" customHeight="1">
      <c r="B507" s="3"/>
      <c r="C507" s="3"/>
      <c r="H507" s="3"/>
      <c r="AG507" s="91"/>
    </row>
    <row r="508" ht="15.75" customHeight="1">
      <c r="B508" s="3"/>
      <c r="C508" s="3"/>
      <c r="H508" s="3"/>
      <c r="AG508" s="91"/>
    </row>
    <row r="509" ht="15.75" customHeight="1">
      <c r="B509" s="3"/>
      <c r="C509" s="3"/>
      <c r="H509" s="3"/>
      <c r="AG509" s="91"/>
    </row>
    <row r="510" ht="15.75" customHeight="1">
      <c r="B510" s="3"/>
      <c r="C510" s="3"/>
      <c r="H510" s="3"/>
      <c r="AG510" s="91"/>
    </row>
    <row r="511" ht="15.75" customHeight="1">
      <c r="B511" s="3"/>
      <c r="C511" s="3"/>
      <c r="H511" s="3"/>
      <c r="AG511" s="91"/>
    </row>
    <row r="512" ht="15.75" customHeight="1">
      <c r="B512" s="3"/>
      <c r="C512" s="3"/>
      <c r="H512" s="3"/>
      <c r="AG512" s="91"/>
    </row>
    <row r="513" ht="15.75" customHeight="1">
      <c r="B513" s="3"/>
      <c r="C513" s="3"/>
      <c r="H513" s="3"/>
      <c r="AG513" s="91"/>
    </row>
    <row r="514" ht="15.75" customHeight="1">
      <c r="B514" s="3"/>
      <c r="C514" s="3"/>
      <c r="H514" s="3"/>
      <c r="AG514" s="91"/>
    </row>
    <row r="515" ht="15.75" customHeight="1">
      <c r="B515" s="3"/>
      <c r="C515" s="3"/>
      <c r="H515" s="3"/>
      <c r="AG515" s="91"/>
    </row>
    <row r="516" ht="15.75" customHeight="1">
      <c r="B516" s="3"/>
      <c r="C516" s="3"/>
      <c r="H516" s="3"/>
      <c r="AG516" s="91"/>
    </row>
    <row r="517" ht="15.75" customHeight="1">
      <c r="B517" s="3"/>
      <c r="C517" s="3"/>
      <c r="H517" s="3"/>
      <c r="AG517" s="91"/>
    </row>
    <row r="518" ht="15.75" customHeight="1">
      <c r="B518" s="3"/>
      <c r="C518" s="3"/>
      <c r="H518" s="3"/>
      <c r="AG518" s="91"/>
    </row>
    <row r="519" ht="15.75" customHeight="1">
      <c r="B519" s="3"/>
      <c r="C519" s="3"/>
      <c r="H519" s="3"/>
      <c r="AG519" s="91"/>
    </row>
    <row r="520" ht="15.75" customHeight="1">
      <c r="B520" s="3"/>
      <c r="C520" s="3"/>
      <c r="H520" s="3"/>
      <c r="AG520" s="91"/>
    </row>
    <row r="521" ht="15.75" customHeight="1">
      <c r="B521" s="3"/>
      <c r="C521" s="3"/>
      <c r="H521" s="3"/>
      <c r="AG521" s="91"/>
    </row>
    <row r="522" ht="15.75" customHeight="1">
      <c r="B522" s="3"/>
      <c r="C522" s="3"/>
      <c r="H522" s="3"/>
      <c r="AG522" s="91"/>
    </row>
    <row r="523" ht="15.75" customHeight="1">
      <c r="B523" s="3"/>
      <c r="C523" s="3"/>
      <c r="H523" s="3"/>
      <c r="AG523" s="91"/>
    </row>
    <row r="524" ht="15.75" customHeight="1">
      <c r="B524" s="3"/>
      <c r="C524" s="3"/>
      <c r="H524" s="3"/>
      <c r="AG524" s="91"/>
    </row>
    <row r="525" ht="15.75" customHeight="1">
      <c r="B525" s="3"/>
      <c r="C525" s="3"/>
      <c r="H525" s="3"/>
      <c r="AG525" s="91"/>
    </row>
    <row r="526" ht="15.75" customHeight="1">
      <c r="B526" s="3"/>
      <c r="C526" s="3"/>
      <c r="H526" s="3"/>
      <c r="AG526" s="91"/>
    </row>
    <row r="527" ht="15.75" customHeight="1">
      <c r="B527" s="3"/>
      <c r="C527" s="3"/>
      <c r="H527" s="3"/>
      <c r="AG527" s="91"/>
    </row>
    <row r="528" ht="15.75" customHeight="1">
      <c r="B528" s="3"/>
      <c r="C528" s="3"/>
      <c r="H528" s="3"/>
      <c r="AG528" s="91"/>
    </row>
    <row r="529" ht="15.75" customHeight="1">
      <c r="B529" s="3"/>
      <c r="C529" s="3"/>
      <c r="H529" s="3"/>
      <c r="AG529" s="91"/>
    </row>
    <row r="530" ht="15.75" customHeight="1">
      <c r="B530" s="3"/>
      <c r="C530" s="3"/>
      <c r="H530" s="3"/>
      <c r="AG530" s="91"/>
    </row>
    <row r="531" ht="15.75" customHeight="1">
      <c r="B531" s="3"/>
      <c r="C531" s="3"/>
      <c r="H531" s="3"/>
      <c r="AG531" s="91"/>
    </row>
    <row r="532" ht="15.75" customHeight="1">
      <c r="B532" s="3"/>
      <c r="C532" s="3"/>
      <c r="H532" s="3"/>
      <c r="AG532" s="91"/>
    </row>
    <row r="533" ht="15.75" customHeight="1">
      <c r="B533" s="3"/>
      <c r="C533" s="3"/>
      <c r="H533" s="3"/>
      <c r="AG533" s="91"/>
    </row>
    <row r="534" ht="15.75" customHeight="1">
      <c r="B534" s="3"/>
      <c r="C534" s="3"/>
      <c r="H534" s="3"/>
      <c r="AG534" s="91"/>
    </row>
    <row r="535" ht="15.75" customHeight="1">
      <c r="B535" s="3"/>
      <c r="C535" s="3"/>
      <c r="H535" s="3"/>
      <c r="AG535" s="91"/>
    </row>
    <row r="536" ht="15.75" customHeight="1">
      <c r="B536" s="3"/>
      <c r="C536" s="3"/>
      <c r="H536" s="3"/>
      <c r="AG536" s="91"/>
    </row>
    <row r="537" ht="15.75" customHeight="1">
      <c r="B537" s="3"/>
      <c r="C537" s="3"/>
      <c r="H537" s="3"/>
      <c r="AG537" s="91"/>
    </row>
    <row r="538" ht="15.75" customHeight="1">
      <c r="B538" s="3"/>
      <c r="C538" s="3"/>
      <c r="H538" s="3"/>
      <c r="AG538" s="91"/>
    </row>
    <row r="539" ht="15.75" customHeight="1">
      <c r="B539" s="3"/>
      <c r="C539" s="3"/>
      <c r="H539" s="3"/>
      <c r="AG539" s="91"/>
    </row>
    <row r="540" ht="15.75" customHeight="1">
      <c r="B540" s="3"/>
      <c r="C540" s="3"/>
      <c r="H540" s="3"/>
      <c r="AG540" s="91"/>
    </row>
    <row r="541" ht="15.75" customHeight="1">
      <c r="B541" s="3"/>
      <c r="C541" s="3"/>
      <c r="H541" s="3"/>
      <c r="AG541" s="91"/>
    </row>
    <row r="542" ht="15.75" customHeight="1">
      <c r="B542" s="3"/>
      <c r="C542" s="3"/>
      <c r="H542" s="3"/>
      <c r="AG542" s="91"/>
    </row>
    <row r="543" ht="15.75" customHeight="1">
      <c r="B543" s="3"/>
      <c r="C543" s="3"/>
      <c r="H543" s="3"/>
      <c r="AG543" s="91"/>
    </row>
    <row r="544" ht="15.75" customHeight="1">
      <c r="B544" s="3"/>
      <c r="C544" s="3"/>
      <c r="H544" s="3"/>
      <c r="AG544" s="91"/>
    </row>
    <row r="545" ht="15.75" customHeight="1">
      <c r="B545" s="3"/>
      <c r="C545" s="3"/>
      <c r="H545" s="3"/>
      <c r="AG545" s="91"/>
    </row>
    <row r="546" ht="15.75" customHeight="1">
      <c r="B546" s="3"/>
      <c r="C546" s="3"/>
      <c r="H546" s="3"/>
      <c r="AG546" s="91"/>
    </row>
    <row r="547" ht="15.75" customHeight="1">
      <c r="B547" s="3"/>
      <c r="C547" s="3"/>
      <c r="H547" s="3"/>
      <c r="AG547" s="91"/>
    </row>
    <row r="548" ht="15.75" customHeight="1">
      <c r="B548" s="3"/>
      <c r="C548" s="3"/>
      <c r="H548" s="3"/>
      <c r="AG548" s="91"/>
    </row>
    <row r="549" ht="15.75" customHeight="1">
      <c r="B549" s="3"/>
      <c r="C549" s="3"/>
      <c r="H549" s="3"/>
      <c r="AG549" s="91"/>
    </row>
    <row r="550" ht="15.75" customHeight="1">
      <c r="B550" s="3"/>
      <c r="C550" s="3"/>
      <c r="H550" s="3"/>
      <c r="AG550" s="91"/>
    </row>
    <row r="551" ht="15.75" customHeight="1">
      <c r="B551" s="3"/>
      <c r="C551" s="3"/>
      <c r="H551" s="3"/>
      <c r="AG551" s="91"/>
    </row>
    <row r="552" ht="15.75" customHeight="1">
      <c r="B552" s="3"/>
      <c r="C552" s="3"/>
      <c r="H552" s="3"/>
      <c r="AG552" s="91"/>
    </row>
    <row r="553" ht="15.75" customHeight="1">
      <c r="B553" s="3"/>
      <c r="C553" s="3"/>
      <c r="H553" s="3"/>
      <c r="AG553" s="91"/>
    </row>
    <row r="554" ht="15.75" customHeight="1">
      <c r="B554" s="3"/>
      <c r="C554" s="3"/>
      <c r="H554" s="3"/>
      <c r="AG554" s="91"/>
    </row>
    <row r="555" ht="15.75" customHeight="1">
      <c r="B555" s="3"/>
      <c r="C555" s="3"/>
      <c r="H555" s="3"/>
      <c r="AG555" s="91"/>
    </row>
    <row r="556" ht="15.75" customHeight="1">
      <c r="B556" s="3"/>
      <c r="C556" s="3"/>
      <c r="H556" s="3"/>
      <c r="AG556" s="91"/>
    </row>
    <row r="557" ht="15.75" customHeight="1">
      <c r="B557" s="3"/>
      <c r="C557" s="3"/>
      <c r="H557" s="3"/>
      <c r="AG557" s="91"/>
    </row>
    <row r="558" ht="15.75" customHeight="1">
      <c r="B558" s="3"/>
      <c r="C558" s="3"/>
      <c r="H558" s="3"/>
      <c r="AG558" s="91"/>
    </row>
    <row r="559" ht="15.75" customHeight="1">
      <c r="B559" s="3"/>
      <c r="C559" s="3"/>
      <c r="H559" s="3"/>
      <c r="AG559" s="91"/>
    </row>
    <row r="560" ht="15.75" customHeight="1">
      <c r="B560" s="3"/>
      <c r="C560" s="3"/>
      <c r="H560" s="3"/>
      <c r="AG560" s="91"/>
    </row>
    <row r="561" ht="15.75" customHeight="1">
      <c r="B561" s="3"/>
      <c r="C561" s="3"/>
      <c r="H561" s="3"/>
      <c r="AG561" s="91"/>
    </row>
    <row r="562" ht="15.75" customHeight="1">
      <c r="B562" s="3"/>
      <c r="C562" s="3"/>
      <c r="H562" s="3"/>
      <c r="AG562" s="91"/>
    </row>
    <row r="563" ht="15.75" customHeight="1">
      <c r="B563" s="3"/>
      <c r="C563" s="3"/>
      <c r="H563" s="3"/>
      <c r="AG563" s="91"/>
    </row>
    <row r="564" ht="15.75" customHeight="1">
      <c r="B564" s="3"/>
      <c r="C564" s="3"/>
      <c r="H564" s="3"/>
      <c r="AG564" s="91"/>
    </row>
    <row r="565" ht="15.75" customHeight="1">
      <c r="B565" s="3"/>
      <c r="C565" s="3"/>
      <c r="H565" s="3"/>
      <c r="AG565" s="91"/>
    </row>
    <row r="566" ht="15.75" customHeight="1">
      <c r="B566" s="3"/>
      <c r="C566" s="3"/>
      <c r="H566" s="3"/>
      <c r="AG566" s="91"/>
    </row>
    <row r="567" ht="15.75" customHeight="1">
      <c r="B567" s="3"/>
      <c r="C567" s="3"/>
      <c r="H567" s="3"/>
      <c r="AG567" s="91"/>
    </row>
    <row r="568" ht="15.75" customHeight="1">
      <c r="B568" s="3"/>
      <c r="C568" s="3"/>
      <c r="H568" s="3"/>
      <c r="AG568" s="91"/>
    </row>
    <row r="569" ht="15.75" customHeight="1">
      <c r="B569" s="3"/>
      <c r="C569" s="3"/>
      <c r="H569" s="3"/>
      <c r="AG569" s="91"/>
    </row>
    <row r="570" ht="15.75" customHeight="1">
      <c r="B570" s="3"/>
      <c r="C570" s="3"/>
      <c r="H570" s="3"/>
      <c r="AG570" s="91"/>
    </row>
    <row r="571" ht="15.75" customHeight="1">
      <c r="B571" s="3"/>
      <c r="C571" s="3"/>
      <c r="H571" s="3"/>
      <c r="AG571" s="91"/>
    </row>
    <row r="572" ht="15.75" customHeight="1">
      <c r="B572" s="3"/>
      <c r="C572" s="3"/>
      <c r="H572" s="3"/>
      <c r="AG572" s="91"/>
    </row>
    <row r="573" ht="15.75" customHeight="1">
      <c r="B573" s="3"/>
      <c r="C573" s="3"/>
      <c r="H573" s="3"/>
      <c r="AG573" s="91"/>
    </row>
    <row r="574" ht="15.75" customHeight="1">
      <c r="B574" s="3"/>
      <c r="C574" s="3"/>
      <c r="H574" s="3"/>
      <c r="AG574" s="91"/>
    </row>
    <row r="575" ht="15.75" customHeight="1">
      <c r="B575" s="3"/>
      <c r="C575" s="3"/>
      <c r="H575" s="3"/>
      <c r="AG575" s="91"/>
    </row>
    <row r="576" ht="15.75" customHeight="1">
      <c r="B576" s="3"/>
      <c r="C576" s="3"/>
      <c r="H576" s="3"/>
      <c r="AG576" s="91"/>
    </row>
    <row r="577" ht="15.75" customHeight="1">
      <c r="B577" s="3"/>
      <c r="C577" s="3"/>
      <c r="H577" s="3"/>
      <c r="AG577" s="91"/>
    </row>
    <row r="578" ht="15.75" customHeight="1">
      <c r="B578" s="3"/>
      <c r="C578" s="3"/>
      <c r="H578" s="3"/>
      <c r="AG578" s="91"/>
    </row>
    <row r="579" ht="15.75" customHeight="1">
      <c r="B579" s="3"/>
      <c r="C579" s="3"/>
      <c r="H579" s="3"/>
      <c r="AG579" s="91"/>
    </row>
    <row r="580" ht="15.75" customHeight="1">
      <c r="B580" s="3"/>
      <c r="C580" s="3"/>
      <c r="H580" s="3"/>
      <c r="AG580" s="91"/>
    </row>
    <row r="581" ht="15.75" customHeight="1">
      <c r="B581" s="3"/>
      <c r="C581" s="3"/>
      <c r="H581" s="3"/>
      <c r="AG581" s="91"/>
    </row>
    <row r="582" ht="15.75" customHeight="1">
      <c r="B582" s="3"/>
      <c r="C582" s="3"/>
      <c r="H582" s="3"/>
      <c r="AG582" s="91"/>
    </row>
    <row r="583" ht="15.75" customHeight="1">
      <c r="B583" s="3"/>
      <c r="C583" s="3"/>
      <c r="H583" s="3"/>
      <c r="AG583" s="91"/>
    </row>
    <row r="584" ht="15.75" customHeight="1">
      <c r="B584" s="3"/>
      <c r="C584" s="3"/>
      <c r="H584" s="3"/>
      <c r="AG584" s="91"/>
    </row>
    <row r="585" ht="15.75" customHeight="1">
      <c r="B585" s="3"/>
      <c r="C585" s="3"/>
      <c r="H585" s="3"/>
      <c r="AG585" s="91"/>
    </row>
    <row r="586" ht="15.75" customHeight="1">
      <c r="B586" s="3"/>
      <c r="C586" s="3"/>
      <c r="H586" s="3"/>
      <c r="AG586" s="91"/>
    </row>
    <row r="587" ht="15.75" customHeight="1">
      <c r="B587" s="3"/>
      <c r="C587" s="3"/>
      <c r="H587" s="3"/>
      <c r="AG587" s="91"/>
    </row>
    <row r="588" ht="15.75" customHeight="1">
      <c r="B588" s="3"/>
      <c r="C588" s="3"/>
      <c r="H588" s="3"/>
      <c r="AG588" s="91"/>
    </row>
    <row r="589" ht="15.75" customHeight="1">
      <c r="B589" s="3"/>
      <c r="C589" s="3"/>
      <c r="H589" s="3"/>
      <c r="AG589" s="91"/>
    </row>
    <row r="590" ht="15.75" customHeight="1">
      <c r="B590" s="3"/>
      <c r="C590" s="3"/>
      <c r="H590" s="3"/>
      <c r="AG590" s="91"/>
    </row>
    <row r="591" ht="15.75" customHeight="1">
      <c r="B591" s="3"/>
      <c r="C591" s="3"/>
      <c r="H591" s="3"/>
      <c r="AG591" s="91"/>
    </row>
    <row r="592" ht="15.75" customHeight="1">
      <c r="B592" s="3"/>
      <c r="C592" s="3"/>
      <c r="H592" s="3"/>
      <c r="AG592" s="91"/>
    </row>
    <row r="593" ht="15.75" customHeight="1">
      <c r="B593" s="3"/>
      <c r="C593" s="3"/>
      <c r="H593" s="3"/>
      <c r="AG593" s="91"/>
    </row>
    <row r="594" ht="15.75" customHeight="1">
      <c r="B594" s="3"/>
      <c r="C594" s="3"/>
      <c r="H594" s="3"/>
      <c r="AG594" s="91"/>
    </row>
    <row r="595" ht="15.75" customHeight="1">
      <c r="B595" s="3"/>
      <c r="C595" s="3"/>
      <c r="H595" s="3"/>
      <c r="AG595" s="91"/>
    </row>
    <row r="596" ht="15.75" customHeight="1">
      <c r="B596" s="3"/>
      <c r="C596" s="3"/>
      <c r="H596" s="3"/>
      <c r="AG596" s="91"/>
    </row>
    <row r="597" ht="15.75" customHeight="1">
      <c r="B597" s="3"/>
      <c r="C597" s="3"/>
      <c r="H597" s="3"/>
      <c r="AG597" s="91"/>
    </row>
    <row r="598" ht="15.75" customHeight="1">
      <c r="B598" s="3"/>
      <c r="C598" s="3"/>
      <c r="H598" s="3"/>
      <c r="AG598" s="91"/>
    </row>
    <row r="599" ht="15.75" customHeight="1">
      <c r="B599" s="3"/>
      <c r="C599" s="3"/>
      <c r="H599" s="3"/>
      <c r="AG599" s="91"/>
    </row>
    <row r="600" ht="15.75" customHeight="1">
      <c r="B600" s="3"/>
      <c r="C600" s="3"/>
      <c r="H600" s="3"/>
      <c r="AG600" s="91"/>
    </row>
    <row r="601" ht="15.75" customHeight="1">
      <c r="B601" s="3"/>
      <c r="C601" s="3"/>
      <c r="H601" s="3"/>
      <c r="AG601" s="91"/>
    </row>
    <row r="602" ht="15.75" customHeight="1">
      <c r="B602" s="3"/>
      <c r="C602" s="3"/>
      <c r="H602" s="3"/>
      <c r="AG602" s="91"/>
    </row>
    <row r="603" ht="15.75" customHeight="1">
      <c r="B603" s="3"/>
      <c r="C603" s="3"/>
      <c r="H603" s="3"/>
      <c r="AG603" s="91"/>
    </row>
    <row r="604" ht="15.75" customHeight="1">
      <c r="B604" s="3"/>
      <c r="C604" s="3"/>
      <c r="H604" s="3"/>
      <c r="AG604" s="91"/>
    </row>
    <row r="605" ht="15.75" customHeight="1">
      <c r="B605" s="3"/>
      <c r="C605" s="3"/>
      <c r="H605" s="3"/>
      <c r="AG605" s="91"/>
    </row>
    <row r="606" ht="15.75" customHeight="1">
      <c r="B606" s="3"/>
      <c r="C606" s="3"/>
      <c r="H606" s="3"/>
      <c r="AG606" s="91"/>
    </row>
    <row r="607" ht="15.75" customHeight="1">
      <c r="B607" s="3"/>
      <c r="C607" s="3"/>
      <c r="H607" s="3"/>
      <c r="AG607" s="91"/>
    </row>
    <row r="608" ht="15.75" customHeight="1">
      <c r="B608" s="3"/>
      <c r="C608" s="3"/>
      <c r="H608" s="3"/>
      <c r="AG608" s="91"/>
    </row>
    <row r="609" ht="15.75" customHeight="1">
      <c r="B609" s="3"/>
      <c r="C609" s="3"/>
      <c r="H609" s="3"/>
      <c r="AG609" s="91"/>
    </row>
    <row r="610" ht="15.75" customHeight="1">
      <c r="B610" s="3"/>
      <c r="C610" s="3"/>
      <c r="H610" s="3"/>
      <c r="AG610" s="91"/>
    </row>
    <row r="611" ht="15.75" customHeight="1">
      <c r="B611" s="3"/>
      <c r="C611" s="3"/>
      <c r="H611" s="3"/>
      <c r="AG611" s="91"/>
    </row>
    <row r="612" ht="15.75" customHeight="1">
      <c r="B612" s="3"/>
      <c r="C612" s="3"/>
      <c r="H612" s="3"/>
      <c r="AG612" s="91"/>
    </row>
    <row r="613" ht="15.75" customHeight="1">
      <c r="B613" s="3"/>
      <c r="C613" s="3"/>
      <c r="H613" s="3"/>
      <c r="AG613" s="91"/>
    </row>
    <row r="614" ht="15.75" customHeight="1">
      <c r="B614" s="3"/>
      <c r="C614" s="3"/>
      <c r="H614" s="3"/>
      <c r="AG614" s="91"/>
    </row>
    <row r="615" ht="15.75" customHeight="1">
      <c r="B615" s="3"/>
      <c r="C615" s="3"/>
      <c r="H615" s="3"/>
      <c r="AG615" s="91"/>
    </row>
    <row r="616" ht="15.75" customHeight="1">
      <c r="B616" s="3"/>
      <c r="C616" s="3"/>
      <c r="H616" s="3"/>
      <c r="AG616" s="91"/>
    </row>
    <row r="617" ht="15.75" customHeight="1">
      <c r="B617" s="3"/>
      <c r="C617" s="3"/>
      <c r="H617" s="3"/>
      <c r="AG617" s="91"/>
    </row>
    <row r="618" ht="15.75" customHeight="1">
      <c r="B618" s="3"/>
      <c r="C618" s="3"/>
      <c r="H618" s="3"/>
      <c r="AG618" s="91"/>
    </row>
    <row r="619" ht="15.75" customHeight="1">
      <c r="B619" s="3"/>
      <c r="C619" s="3"/>
      <c r="H619" s="3"/>
      <c r="AG619" s="91"/>
    </row>
    <row r="620" ht="15.75" customHeight="1">
      <c r="B620" s="3"/>
      <c r="C620" s="3"/>
      <c r="H620" s="3"/>
      <c r="AG620" s="91"/>
    </row>
    <row r="621" ht="15.75" customHeight="1">
      <c r="B621" s="3"/>
      <c r="C621" s="3"/>
      <c r="H621" s="3"/>
      <c r="AG621" s="91"/>
    </row>
    <row r="622" ht="15.75" customHeight="1">
      <c r="B622" s="3"/>
      <c r="C622" s="3"/>
      <c r="H622" s="3"/>
      <c r="AG622" s="91"/>
    </row>
    <row r="623" ht="15.75" customHeight="1">
      <c r="B623" s="3"/>
      <c r="C623" s="3"/>
      <c r="H623" s="3"/>
      <c r="AG623" s="91"/>
    </row>
    <row r="624" ht="15.75" customHeight="1">
      <c r="B624" s="3"/>
      <c r="C624" s="3"/>
      <c r="H624" s="3"/>
      <c r="AG624" s="91"/>
    </row>
    <row r="625" ht="15.75" customHeight="1">
      <c r="B625" s="3"/>
      <c r="C625" s="3"/>
      <c r="H625" s="3"/>
      <c r="AG625" s="91"/>
    </row>
    <row r="626" ht="15.75" customHeight="1">
      <c r="B626" s="3"/>
      <c r="C626" s="3"/>
      <c r="H626" s="3"/>
      <c r="AG626" s="91"/>
    </row>
    <row r="627" ht="15.75" customHeight="1">
      <c r="B627" s="3"/>
      <c r="C627" s="3"/>
      <c r="H627" s="3"/>
      <c r="AG627" s="91"/>
    </row>
    <row r="628" ht="15.75" customHeight="1">
      <c r="B628" s="3"/>
      <c r="C628" s="3"/>
      <c r="H628" s="3"/>
      <c r="AG628" s="91"/>
    </row>
    <row r="629" ht="15.75" customHeight="1">
      <c r="B629" s="3"/>
      <c r="C629" s="3"/>
      <c r="H629" s="3"/>
      <c r="AG629" s="91"/>
    </row>
    <row r="630" ht="15.75" customHeight="1">
      <c r="B630" s="3"/>
      <c r="C630" s="3"/>
      <c r="H630" s="3"/>
      <c r="AG630" s="91"/>
    </row>
    <row r="631" ht="15.75" customHeight="1">
      <c r="B631" s="3"/>
      <c r="C631" s="3"/>
      <c r="H631" s="3"/>
      <c r="AG631" s="91"/>
    </row>
    <row r="632" ht="15.75" customHeight="1">
      <c r="B632" s="3"/>
      <c r="C632" s="3"/>
      <c r="H632" s="3"/>
      <c r="AG632" s="91"/>
    </row>
    <row r="633" ht="15.75" customHeight="1">
      <c r="B633" s="3"/>
      <c r="C633" s="3"/>
      <c r="H633" s="3"/>
      <c r="AG633" s="91"/>
    </row>
    <row r="634" ht="15.75" customHeight="1">
      <c r="B634" s="3"/>
      <c r="C634" s="3"/>
      <c r="H634" s="3"/>
      <c r="AG634" s="91"/>
    </row>
    <row r="635" ht="15.75" customHeight="1">
      <c r="B635" s="3"/>
      <c r="C635" s="3"/>
      <c r="H635" s="3"/>
      <c r="AG635" s="91"/>
    </row>
    <row r="636" ht="15.75" customHeight="1">
      <c r="B636" s="3"/>
      <c r="C636" s="3"/>
      <c r="H636" s="3"/>
      <c r="AG636" s="91"/>
    </row>
    <row r="637" ht="15.75" customHeight="1">
      <c r="B637" s="3"/>
      <c r="C637" s="3"/>
      <c r="H637" s="3"/>
      <c r="AG637" s="91"/>
    </row>
    <row r="638" ht="15.75" customHeight="1">
      <c r="B638" s="3"/>
      <c r="C638" s="3"/>
      <c r="H638" s="3"/>
      <c r="AG638" s="91"/>
    </row>
    <row r="639" ht="15.75" customHeight="1">
      <c r="B639" s="3"/>
      <c r="C639" s="3"/>
      <c r="H639" s="3"/>
      <c r="AG639" s="91"/>
    </row>
    <row r="640" ht="15.75" customHeight="1">
      <c r="B640" s="3"/>
      <c r="C640" s="3"/>
      <c r="H640" s="3"/>
      <c r="AG640" s="91"/>
    </row>
    <row r="641" ht="15.75" customHeight="1">
      <c r="B641" s="3"/>
      <c r="C641" s="3"/>
      <c r="H641" s="3"/>
      <c r="AG641" s="91"/>
    </row>
    <row r="642" ht="15.75" customHeight="1">
      <c r="B642" s="3"/>
      <c r="C642" s="3"/>
      <c r="H642" s="3"/>
      <c r="AG642" s="91"/>
    </row>
    <row r="643" ht="15.75" customHeight="1">
      <c r="B643" s="3"/>
      <c r="C643" s="3"/>
      <c r="H643" s="3"/>
      <c r="AG643" s="91"/>
    </row>
    <row r="644" ht="15.75" customHeight="1">
      <c r="B644" s="3"/>
      <c r="C644" s="3"/>
      <c r="H644" s="3"/>
      <c r="AG644" s="91"/>
    </row>
    <row r="645" ht="15.75" customHeight="1">
      <c r="B645" s="3"/>
      <c r="C645" s="3"/>
      <c r="H645" s="3"/>
      <c r="AG645" s="91"/>
    </row>
    <row r="646" ht="15.75" customHeight="1">
      <c r="B646" s="3"/>
      <c r="C646" s="3"/>
      <c r="H646" s="3"/>
      <c r="AG646" s="91"/>
    </row>
    <row r="647" ht="15.75" customHeight="1">
      <c r="B647" s="3"/>
      <c r="C647" s="3"/>
      <c r="H647" s="3"/>
      <c r="AG647" s="91"/>
    </row>
    <row r="648" ht="15.75" customHeight="1">
      <c r="B648" s="3"/>
      <c r="C648" s="3"/>
      <c r="H648" s="3"/>
      <c r="AG648" s="91"/>
    </row>
    <row r="649" ht="15.75" customHeight="1">
      <c r="B649" s="3"/>
      <c r="C649" s="3"/>
      <c r="H649" s="3"/>
      <c r="AG649" s="91"/>
    </row>
    <row r="650" ht="15.75" customHeight="1">
      <c r="B650" s="3"/>
      <c r="C650" s="3"/>
      <c r="H650" s="3"/>
      <c r="AG650" s="91"/>
    </row>
    <row r="651" ht="15.75" customHeight="1">
      <c r="B651" s="3"/>
      <c r="C651" s="3"/>
      <c r="H651" s="3"/>
      <c r="AG651" s="91"/>
    </row>
    <row r="652" ht="15.75" customHeight="1">
      <c r="B652" s="3"/>
      <c r="C652" s="3"/>
      <c r="H652" s="3"/>
      <c r="AG652" s="91"/>
    </row>
    <row r="653" ht="15.75" customHeight="1">
      <c r="B653" s="3"/>
      <c r="C653" s="3"/>
      <c r="H653" s="3"/>
      <c r="AG653" s="91"/>
    </row>
    <row r="654" ht="15.75" customHeight="1">
      <c r="B654" s="3"/>
      <c r="C654" s="3"/>
      <c r="H654" s="3"/>
      <c r="AG654" s="91"/>
    </row>
    <row r="655" ht="15.75" customHeight="1">
      <c r="B655" s="3"/>
      <c r="C655" s="3"/>
      <c r="H655" s="3"/>
      <c r="AG655" s="91"/>
    </row>
    <row r="656" ht="15.75" customHeight="1">
      <c r="B656" s="3"/>
      <c r="C656" s="3"/>
      <c r="H656" s="3"/>
      <c r="AG656" s="91"/>
    </row>
    <row r="657" ht="15.75" customHeight="1">
      <c r="B657" s="3"/>
      <c r="C657" s="3"/>
      <c r="H657" s="3"/>
      <c r="AG657" s="91"/>
    </row>
    <row r="658" ht="15.75" customHeight="1">
      <c r="B658" s="3"/>
      <c r="C658" s="3"/>
      <c r="H658" s="3"/>
      <c r="AG658" s="91"/>
    </row>
    <row r="659" ht="15.75" customHeight="1">
      <c r="B659" s="3"/>
      <c r="C659" s="3"/>
      <c r="H659" s="3"/>
      <c r="AG659" s="91"/>
    </row>
    <row r="660" ht="15.75" customHeight="1">
      <c r="B660" s="3"/>
      <c r="C660" s="3"/>
      <c r="H660" s="3"/>
      <c r="AG660" s="91"/>
    </row>
    <row r="661" ht="15.75" customHeight="1">
      <c r="B661" s="3"/>
      <c r="C661" s="3"/>
      <c r="H661" s="3"/>
      <c r="AG661" s="91"/>
    </row>
    <row r="662" ht="15.75" customHeight="1">
      <c r="B662" s="3"/>
      <c r="C662" s="3"/>
      <c r="H662" s="3"/>
      <c r="AG662" s="91"/>
    </row>
    <row r="663" ht="15.75" customHeight="1">
      <c r="B663" s="3"/>
      <c r="C663" s="3"/>
      <c r="H663" s="3"/>
      <c r="AG663" s="91"/>
    </row>
    <row r="664" ht="15.75" customHeight="1">
      <c r="B664" s="3"/>
      <c r="C664" s="3"/>
      <c r="H664" s="3"/>
      <c r="AG664" s="91"/>
    </row>
    <row r="665" ht="15.75" customHeight="1">
      <c r="B665" s="3"/>
      <c r="C665" s="3"/>
      <c r="H665" s="3"/>
      <c r="AG665" s="91"/>
    </row>
    <row r="666" ht="15.75" customHeight="1">
      <c r="B666" s="3"/>
      <c r="C666" s="3"/>
      <c r="H666" s="3"/>
      <c r="AG666" s="91"/>
    </row>
    <row r="667" ht="15.75" customHeight="1">
      <c r="B667" s="3"/>
      <c r="C667" s="3"/>
      <c r="H667" s="3"/>
      <c r="AG667" s="91"/>
    </row>
    <row r="668" ht="15.75" customHeight="1">
      <c r="B668" s="3"/>
      <c r="C668" s="3"/>
      <c r="H668" s="3"/>
      <c r="AG668" s="91"/>
    </row>
    <row r="669" ht="15.75" customHeight="1">
      <c r="B669" s="3"/>
      <c r="C669" s="3"/>
      <c r="H669" s="3"/>
      <c r="AG669" s="91"/>
    </row>
    <row r="670" ht="15.75" customHeight="1">
      <c r="B670" s="3"/>
      <c r="C670" s="3"/>
      <c r="H670" s="3"/>
      <c r="AG670" s="91"/>
    </row>
    <row r="671" ht="15.75" customHeight="1">
      <c r="B671" s="3"/>
      <c r="C671" s="3"/>
      <c r="H671" s="3"/>
      <c r="AG671" s="91"/>
    </row>
    <row r="672" ht="15.75" customHeight="1">
      <c r="B672" s="3"/>
      <c r="C672" s="3"/>
      <c r="H672" s="3"/>
      <c r="AG672" s="91"/>
    </row>
    <row r="673" ht="15.75" customHeight="1">
      <c r="B673" s="3"/>
      <c r="C673" s="3"/>
      <c r="H673" s="3"/>
      <c r="AG673" s="91"/>
    </row>
    <row r="674" ht="15.75" customHeight="1">
      <c r="B674" s="3"/>
      <c r="C674" s="3"/>
      <c r="H674" s="3"/>
      <c r="AG674" s="91"/>
    </row>
    <row r="675" ht="15.75" customHeight="1">
      <c r="B675" s="3"/>
      <c r="C675" s="3"/>
      <c r="H675" s="3"/>
      <c r="AG675" s="91"/>
    </row>
    <row r="676" ht="15.75" customHeight="1">
      <c r="B676" s="3"/>
      <c r="C676" s="3"/>
      <c r="H676" s="3"/>
      <c r="AG676" s="91"/>
    </row>
    <row r="677" ht="15.75" customHeight="1">
      <c r="B677" s="3"/>
      <c r="C677" s="3"/>
      <c r="H677" s="3"/>
      <c r="AG677" s="91"/>
    </row>
    <row r="678" ht="15.75" customHeight="1">
      <c r="B678" s="3"/>
      <c r="C678" s="3"/>
      <c r="H678" s="3"/>
      <c r="AG678" s="91"/>
    </row>
    <row r="679" ht="15.75" customHeight="1">
      <c r="B679" s="3"/>
      <c r="C679" s="3"/>
      <c r="H679" s="3"/>
      <c r="AG679" s="91"/>
    </row>
    <row r="680" ht="15.75" customHeight="1">
      <c r="B680" s="3"/>
      <c r="C680" s="3"/>
      <c r="H680" s="3"/>
      <c r="AG680" s="91"/>
    </row>
    <row r="681" ht="15.75" customHeight="1">
      <c r="B681" s="3"/>
      <c r="C681" s="3"/>
      <c r="H681" s="3"/>
      <c r="AG681" s="91"/>
    </row>
    <row r="682" ht="15.75" customHeight="1">
      <c r="B682" s="3"/>
      <c r="C682" s="3"/>
      <c r="H682" s="3"/>
      <c r="AG682" s="91"/>
    </row>
    <row r="683" ht="15.75" customHeight="1">
      <c r="B683" s="3"/>
      <c r="C683" s="3"/>
      <c r="H683" s="3"/>
      <c r="AG683" s="91"/>
    </row>
    <row r="684" ht="15.75" customHeight="1">
      <c r="B684" s="3"/>
      <c r="C684" s="3"/>
      <c r="H684" s="3"/>
      <c r="AG684" s="91"/>
    </row>
    <row r="685" ht="15.75" customHeight="1">
      <c r="B685" s="3"/>
      <c r="C685" s="3"/>
      <c r="H685" s="3"/>
      <c r="AG685" s="91"/>
    </row>
    <row r="686" ht="15.75" customHeight="1">
      <c r="B686" s="3"/>
      <c r="C686" s="3"/>
      <c r="H686" s="3"/>
      <c r="AG686" s="91"/>
    </row>
    <row r="687" ht="15.75" customHeight="1">
      <c r="B687" s="3"/>
      <c r="C687" s="3"/>
      <c r="H687" s="3"/>
      <c r="AG687" s="91"/>
    </row>
    <row r="688" ht="15.75" customHeight="1">
      <c r="B688" s="3"/>
      <c r="C688" s="3"/>
      <c r="H688" s="3"/>
      <c r="AG688" s="91"/>
    </row>
    <row r="689" ht="15.75" customHeight="1">
      <c r="B689" s="3"/>
      <c r="C689" s="3"/>
      <c r="H689" s="3"/>
      <c r="AG689" s="91"/>
    </row>
    <row r="690" ht="15.75" customHeight="1">
      <c r="B690" s="3"/>
      <c r="C690" s="3"/>
      <c r="H690" s="3"/>
      <c r="AG690" s="91"/>
    </row>
    <row r="691" ht="15.75" customHeight="1">
      <c r="B691" s="3"/>
      <c r="C691" s="3"/>
      <c r="H691" s="3"/>
      <c r="AG691" s="91"/>
    </row>
    <row r="692" ht="15.75" customHeight="1">
      <c r="B692" s="3"/>
      <c r="C692" s="3"/>
      <c r="H692" s="3"/>
      <c r="AG692" s="91"/>
    </row>
    <row r="693" ht="15.75" customHeight="1">
      <c r="B693" s="3"/>
      <c r="C693" s="3"/>
      <c r="H693" s="3"/>
      <c r="AG693" s="91"/>
    </row>
    <row r="694" ht="15.75" customHeight="1">
      <c r="B694" s="3"/>
      <c r="C694" s="3"/>
      <c r="H694" s="3"/>
      <c r="AG694" s="91"/>
    </row>
    <row r="695" ht="15.75" customHeight="1">
      <c r="B695" s="3"/>
      <c r="C695" s="3"/>
      <c r="H695" s="3"/>
      <c r="AG695" s="91"/>
    </row>
    <row r="696" ht="15.75" customHeight="1">
      <c r="B696" s="3"/>
      <c r="C696" s="3"/>
      <c r="H696" s="3"/>
      <c r="AG696" s="91"/>
    </row>
    <row r="697" ht="15.75" customHeight="1">
      <c r="B697" s="3"/>
      <c r="C697" s="3"/>
      <c r="H697" s="3"/>
      <c r="AG697" s="91"/>
    </row>
    <row r="698" ht="15.75" customHeight="1">
      <c r="B698" s="3"/>
      <c r="C698" s="3"/>
      <c r="H698" s="3"/>
      <c r="AG698" s="91"/>
    </row>
    <row r="699" ht="15.75" customHeight="1">
      <c r="B699" s="3"/>
      <c r="C699" s="3"/>
      <c r="H699" s="3"/>
      <c r="AG699" s="91"/>
    </row>
    <row r="700" ht="15.75" customHeight="1">
      <c r="B700" s="3"/>
      <c r="C700" s="3"/>
      <c r="H700" s="3"/>
      <c r="AG700" s="91"/>
    </row>
    <row r="701" ht="15.75" customHeight="1">
      <c r="B701" s="3"/>
      <c r="C701" s="3"/>
      <c r="H701" s="3"/>
      <c r="AG701" s="91"/>
    </row>
    <row r="702" ht="15.75" customHeight="1">
      <c r="B702" s="3"/>
      <c r="C702" s="3"/>
      <c r="H702" s="3"/>
      <c r="AG702" s="91"/>
    </row>
    <row r="703" ht="15.75" customHeight="1">
      <c r="B703" s="3"/>
      <c r="C703" s="3"/>
      <c r="H703" s="3"/>
      <c r="AG703" s="91"/>
    </row>
    <row r="704" ht="15.75" customHeight="1">
      <c r="B704" s="3"/>
      <c r="C704" s="3"/>
      <c r="H704" s="3"/>
      <c r="AG704" s="91"/>
    </row>
    <row r="705" ht="15.75" customHeight="1">
      <c r="B705" s="3"/>
      <c r="C705" s="3"/>
      <c r="H705" s="3"/>
      <c r="AG705" s="91"/>
    </row>
    <row r="706" ht="15.75" customHeight="1">
      <c r="B706" s="3"/>
      <c r="C706" s="3"/>
      <c r="H706" s="3"/>
      <c r="AG706" s="91"/>
    </row>
    <row r="707" ht="15.75" customHeight="1">
      <c r="B707" s="3"/>
      <c r="C707" s="3"/>
      <c r="H707" s="3"/>
      <c r="AG707" s="91"/>
    </row>
    <row r="708" ht="15.75" customHeight="1">
      <c r="B708" s="3"/>
      <c r="C708" s="3"/>
      <c r="H708" s="3"/>
      <c r="AG708" s="91"/>
    </row>
    <row r="709" ht="15.75" customHeight="1">
      <c r="B709" s="3"/>
      <c r="C709" s="3"/>
      <c r="H709" s="3"/>
      <c r="AG709" s="91"/>
    </row>
    <row r="710" ht="15.75" customHeight="1">
      <c r="B710" s="3"/>
      <c r="C710" s="3"/>
      <c r="H710" s="3"/>
      <c r="AG710" s="91"/>
    </row>
    <row r="711" ht="15.75" customHeight="1">
      <c r="B711" s="3"/>
      <c r="C711" s="3"/>
      <c r="H711" s="3"/>
      <c r="AG711" s="91"/>
    </row>
    <row r="712" ht="15.75" customHeight="1">
      <c r="B712" s="3"/>
      <c r="C712" s="3"/>
      <c r="H712" s="3"/>
      <c r="AG712" s="91"/>
    </row>
    <row r="713" ht="15.75" customHeight="1">
      <c r="B713" s="3"/>
      <c r="C713" s="3"/>
      <c r="H713" s="3"/>
      <c r="AG713" s="91"/>
    </row>
    <row r="714" ht="15.75" customHeight="1">
      <c r="B714" s="3"/>
      <c r="C714" s="3"/>
      <c r="H714" s="3"/>
      <c r="AG714" s="91"/>
    </row>
    <row r="715" ht="15.75" customHeight="1">
      <c r="B715" s="3"/>
      <c r="C715" s="3"/>
      <c r="H715" s="3"/>
      <c r="AG715" s="91"/>
    </row>
    <row r="716" ht="15.75" customHeight="1">
      <c r="B716" s="3"/>
      <c r="C716" s="3"/>
      <c r="H716" s="3"/>
      <c r="AG716" s="91"/>
    </row>
    <row r="717" ht="15.75" customHeight="1">
      <c r="B717" s="3"/>
      <c r="C717" s="3"/>
      <c r="H717" s="3"/>
      <c r="AG717" s="91"/>
    </row>
    <row r="718" ht="15.75" customHeight="1">
      <c r="B718" s="3"/>
      <c r="C718" s="3"/>
      <c r="H718" s="3"/>
      <c r="AG718" s="91"/>
    </row>
    <row r="719" ht="15.75" customHeight="1">
      <c r="B719" s="3"/>
      <c r="C719" s="3"/>
      <c r="H719" s="3"/>
      <c r="AG719" s="91"/>
    </row>
    <row r="720" ht="15.75" customHeight="1">
      <c r="B720" s="3"/>
      <c r="C720" s="3"/>
      <c r="H720" s="3"/>
      <c r="AG720" s="91"/>
    </row>
    <row r="721" ht="15.75" customHeight="1">
      <c r="B721" s="3"/>
      <c r="C721" s="3"/>
      <c r="H721" s="3"/>
      <c r="AG721" s="91"/>
    </row>
    <row r="722" ht="15.75" customHeight="1">
      <c r="B722" s="3"/>
      <c r="C722" s="3"/>
      <c r="H722" s="3"/>
      <c r="AG722" s="91"/>
    </row>
    <row r="723" ht="15.75" customHeight="1">
      <c r="B723" s="3"/>
      <c r="C723" s="3"/>
      <c r="H723" s="3"/>
      <c r="AG723" s="91"/>
    </row>
    <row r="724" ht="15.75" customHeight="1">
      <c r="B724" s="3"/>
      <c r="C724" s="3"/>
      <c r="H724" s="3"/>
      <c r="AG724" s="91"/>
    </row>
    <row r="725" ht="15.75" customHeight="1">
      <c r="B725" s="3"/>
      <c r="C725" s="3"/>
      <c r="H725" s="3"/>
      <c r="AG725" s="91"/>
    </row>
    <row r="726" ht="15.75" customHeight="1">
      <c r="B726" s="3"/>
      <c r="C726" s="3"/>
      <c r="H726" s="3"/>
      <c r="AG726" s="91"/>
    </row>
    <row r="727" ht="15.75" customHeight="1">
      <c r="B727" s="3"/>
      <c r="C727" s="3"/>
      <c r="H727" s="3"/>
      <c r="AG727" s="91"/>
    </row>
    <row r="728" ht="15.75" customHeight="1">
      <c r="B728" s="3"/>
      <c r="C728" s="3"/>
      <c r="H728" s="3"/>
      <c r="AG728" s="91"/>
    </row>
    <row r="729" ht="15.75" customHeight="1">
      <c r="B729" s="3"/>
      <c r="C729" s="3"/>
      <c r="H729" s="3"/>
      <c r="AG729" s="91"/>
    </row>
    <row r="730" ht="15.75" customHeight="1">
      <c r="B730" s="3"/>
      <c r="C730" s="3"/>
      <c r="H730" s="3"/>
      <c r="AG730" s="91"/>
    </row>
    <row r="731" ht="15.75" customHeight="1">
      <c r="B731" s="3"/>
      <c r="C731" s="3"/>
      <c r="H731" s="3"/>
      <c r="AG731" s="91"/>
    </row>
    <row r="732" ht="15.75" customHeight="1">
      <c r="B732" s="3"/>
      <c r="C732" s="3"/>
      <c r="H732" s="3"/>
      <c r="AG732" s="91"/>
    </row>
    <row r="733" ht="15.75" customHeight="1">
      <c r="B733" s="3"/>
      <c r="C733" s="3"/>
      <c r="H733" s="3"/>
      <c r="AG733" s="91"/>
    </row>
    <row r="734" ht="15.75" customHeight="1">
      <c r="B734" s="3"/>
      <c r="C734" s="3"/>
      <c r="H734" s="3"/>
      <c r="AG734" s="91"/>
    </row>
    <row r="735" ht="15.75" customHeight="1">
      <c r="B735" s="3"/>
      <c r="C735" s="3"/>
      <c r="H735" s="3"/>
      <c r="AG735" s="91"/>
    </row>
    <row r="736" ht="15.75" customHeight="1">
      <c r="B736" s="3"/>
      <c r="C736" s="3"/>
      <c r="H736" s="3"/>
      <c r="AG736" s="91"/>
    </row>
    <row r="737" ht="15.75" customHeight="1">
      <c r="B737" s="3"/>
      <c r="C737" s="3"/>
      <c r="H737" s="3"/>
      <c r="AG737" s="91"/>
    </row>
    <row r="738" ht="15.75" customHeight="1">
      <c r="B738" s="3"/>
      <c r="C738" s="3"/>
      <c r="H738" s="3"/>
      <c r="AG738" s="91"/>
    </row>
    <row r="739" ht="15.75" customHeight="1">
      <c r="B739" s="3"/>
      <c r="C739" s="3"/>
      <c r="H739" s="3"/>
      <c r="AG739" s="91"/>
    </row>
    <row r="740" ht="15.75" customHeight="1">
      <c r="B740" s="3"/>
      <c r="C740" s="3"/>
      <c r="H740" s="3"/>
      <c r="AG740" s="91"/>
    </row>
    <row r="741" ht="15.75" customHeight="1">
      <c r="B741" s="3"/>
      <c r="C741" s="3"/>
      <c r="H741" s="3"/>
      <c r="AG741" s="91"/>
    </row>
    <row r="742" ht="15.75" customHeight="1">
      <c r="B742" s="3"/>
      <c r="C742" s="3"/>
      <c r="H742" s="3"/>
      <c r="AG742" s="91"/>
    </row>
    <row r="743" ht="15.75" customHeight="1">
      <c r="B743" s="3"/>
      <c r="C743" s="3"/>
      <c r="H743" s="3"/>
      <c r="AG743" s="91"/>
    </row>
    <row r="744" ht="15.75" customHeight="1">
      <c r="B744" s="3"/>
      <c r="C744" s="3"/>
      <c r="H744" s="3"/>
      <c r="AG744" s="91"/>
    </row>
    <row r="745" ht="15.75" customHeight="1">
      <c r="B745" s="3"/>
      <c r="C745" s="3"/>
      <c r="H745" s="3"/>
      <c r="AG745" s="91"/>
    </row>
    <row r="746" ht="15.75" customHeight="1">
      <c r="B746" s="3"/>
      <c r="C746" s="3"/>
      <c r="H746" s="3"/>
      <c r="AG746" s="91"/>
    </row>
    <row r="747" ht="15.75" customHeight="1">
      <c r="B747" s="3"/>
      <c r="C747" s="3"/>
      <c r="H747" s="3"/>
      <c r="AG747" s="91"/>
    </row>
    <row r="748" ht="15.75" customHeight="1">
      <c r="B748" s="3"/>
      <c r="C748" s="3"/>
      <c r="H748" s="3"/>
      <c r="AG748" s="91"/>
    </row>
    <row r="749" ht="15.75" customHeight="1">
      <c r="B749" s="3"/>
      <c r="C749" s="3"/>
      <c r="H749" s="3"/>
      <c r="AG749" s="91"/>
    </row>
    <row r="750" ht="15.75" customHeight="1">
      <c r="B750" s="3"/>
      <c r="C750" s="3"/>
      <c r="H750" s="3"/>
      <c r="AG750" s="91"/>
    </row>
    <row r="751" ht="15.75" customHeight="1">
      <c r="B751" s="3"/>
      <c r="C751" s="3"/>
      <c r="H751" s="3"/>
      <c r="AG751" s="91"/>
    </row>
    <row r="752" ht="15.75" customHeight="1">
      <c r="B752" s="3"/>
      <c r="C752" s="3"/>
      <c r="H752" s="3"/>
      <c r="AG752" s="91"/>
    </row>
    <row r="753" ht="15.75" customHeight="1">
      <c r="B753" s="3"/>
      <c r="C753" s="3"/>
      <c r="H753" s="3"/>
      <c r="AG753" s="91"/>
    </row>
    <row r="754" ht="15.75" customHeight="1">
      <c r="B754" s="3"/>
      <c r="C754" s="3"/>
      <c r="H754" s="3"/>
      <c r="AG754" s="91"/>
    </row>
    <row r="755" ht="15.75" customHeight="1">
      <c r="B755" s="3"/>
      <c r="C755" s="3"/>
      <c r="H755" s="3"/>
      <c r="AG755" s="91"/>
    </row>
    <row r="756" ht="15.75" customHeight="1">
      <c r="B756" s="3"/>
      <c r="C756" s="3"/>
      <c r="H756" s="3"/>
      <c r="AG756" s="91"/>
    </row>
    <row r="757" ht="15.75" customHeight="1">
      <c r="B757" s="3"/>
      <c r="C757" s="3"/>
      <c r="H757" s="3"/>
      <c r="AG757" s="91"/>
    </row>
    <row r="758" ht="15.75" customHeight="1">
      <c r="B758" s="3"/>
      <c r="C758" s="3"/>
      <c r="H758" s="3"/>
      <c r="AG758" s="91"/>
    </row>
    <row r="759" ht="15.75" customHeight="1">
      <c r="B759" s="3"/>
      <c r="C759" s="3"/>
      <c r="H759" s="3"/>
      <c r="AG759" s="91"/>
    </row>
    <row r="760" ht="15.75" customHeight="1">
      <c r="B760" s="3"/>
      <c r="C760" s="3"/>
      <c r="H760" s="3"/>
      <c r="AG760" s="91"/>
    </row>
    <row r="761" ht="15.75" customHeight="1">
      <c r="B761" s="3"/>
      <c r="C761" s="3"/>
      <c r="H761" s="3"/>
      <c r="AG761" s="91"/>
    </row>
    <row r="762" ht="15.75" customHeight="1">
      <c r="B762" s="3"/>
      <c r="C762" s="3"/>
      <c r="H762" s="3"/>
      <c r="AG762" s="91"/>
    </row>
    <row r="763" ht="15.75" customHeight="1">
      <c r="B763" s="3"/>
      <c r="C763" s="3"/>
      <c r="H763" s="3"/>
      <c r="AG763" s="91"/>
    </row>
    <row r="764" ht="15.75" customHeight="1">
      <c r="B764" s="3"/>
      <c r="C764" s="3"/>
      <c r="H764" s="3"/>
      <c r="AG764" s="91"/>
    </row>
    <row r="765" ht="15.75" customHeight="1">
      <c r="B765" s="3"/>
      <c r="C765" s="3"/>
      <c r="H765" s="3"/>
      <c r="AG765" s="91"/>
    </row>
    <row r="766" ht="15.75" customHeight="1">
      <c r="B766" s="3"/>
      <c r="C766" s="3"/>
      <c r="H766" s="3"/>
      <c r="AG766" s="91"/>
    </row>
    <row r="767" ht="15.75" customHeight="1">
      <c r="B767" s="3"/>
      <c r="C767" s="3"/>
      <c r="H767" s="3"/>
      <c r="AG767" s="91"/>
    </row>
    <row r="768" ht="15.75" customHeight="1">
      <c r="B768" s="3"/>
      <c r="C768" s="3"/>
      <c r="H768" s="3"/>
      <c r="AG768" s="91"/>
    </row>
    <row r="769" ht="15.75" customHeight="1">
      <c r="B769" s="3"/>
      <c r="C769" s="3"/>
      <c r="H769" s="3"/>
      <c r="AG769" s="91"/>
    </row>
    <row r="770" ht="15.75" customHeight="1">
      <c r="B770" s="3"/>
      <c r="C770" s="3"/>
      <c r="H770" s="3"/>
      <c r="AG770" s="91"/>
    </row>
    <row r="771" ht="15.75" customHeight="1">
      <c r="B771" s="3"/>
      <c r="C771" s="3"/>
      <c r="H771" s="3"/>
      <c r="AG771" s="91"/>
    </row>
    <row r="772" ht="15.75" customHeight="1">
      <c r="B772" s="3"/>
      <c r="C772" s="3"/>
      <c r="H772" s="3"/>
      <c r="AG772" s="91"/>
    </row>
    <row r="773" ht="15.75" customHeight="1">
      <c r="B773" s="3"/>
      <c r="C773" s="3"/>
      <c r="H773" s="3"/>
      <c r="AG773" s="91"/>
    </row>
    <row r="774" ht="15.75" customHeight="1">
      <c r="B774" s="3"/>
      <c r="C774" s="3"/>
      <c r="H774" s="3"/>
      <c r="AG774" s="91"/>
    </row>
    <row r="775" ht="15.75" customHeight="1">
      <c r="B775" s="3"/>
      <c r="C775" s="3"/>
      <c r="H775" s="3"/>
      <c r="AG775" s="91"/>
    </row>
    <row r="776" ht="15.75" customHeight="1">
      <c r="B776" s="3"/>
      <c r="C776" s="3"/>
      <c r="H776" s="3"/>
      <c r="AG776" s="91"/>
    </row>
    <row r="777" ht="15.75" customHeight="1">
      <c r="B777" s="3"/>
      <c r="C777" s="3"/>
      <c r="H777" s="3"/>
      <c r="AG777" s="91"/>
    </row>
    <row r="778" ht="15.75" customHeight="1">
      <c r="B778" s="3"/>
      <c r="C778" s="3"/>
      <c r="H778" s="3"/>
      <c r="AG778" s="91"/>
    </row>
    <row r="779" ht="15.75" customHeight="1">
      <c r="B779" s="3"/>
      <c r="C779" s="3"/>
      <c r="H779" s="3"/>
      <c r="AG779" s="91"/>
    </row>
    <row r="780" ht="15.75" customHeight="1">
      <c r="B780" s="3"/>
      <c r="C780" s="3"/>
      <c r="H780" s="3"/>
      <c r="AG780" s="91"/>
    </row>
    <row r="781" ht="15.75" customHeight="1">
      <c r="B781" s="3"/>
      <c r="C781" s="3"/>
      <c r="H781" s="3"/>
      <c r="AG781" s="91"/>
    </row>
    <row r="782" ht="15.75" customHeight="1">
      <c r="B782" s="3"/>
      <c r="C782" s="3"/>
      <c r="H782" s="3"/>
      <c r="AG782" s="91"/>
    </row>
    <row r="783" ht="15.75" customHeight="1">
      <c r="B783" s="3"/>
      <c r="C783" s="3"/>
      <c r="H783" s="3"/>
      <c r="AG783" s="91"/>
    </row>
    <row r="784" ht="15.75" customHeight="1">
      <c r="B784" s="3"/>
      <c r="C784" s="3"/>
      <c r="H784" s="3"/>
      <c r="AG784" s="91"/>
    </row>
    <row r="785" ht="15.75" customHeight="1">
      <c r="B785" s="3"/>
      <c r="C785" s="3"/>
      <c r="H785" s="3"/>
      <c r="AG785" s="91"/>
    </row>
    <row r="786" ht="15.75" customHeight="1">
      <c r="B786" s="3"/>
      <c r="C786" s="3"/>
      <c r="H786" s="3"/>
      <c r="AG786" s="91"/>
    </row>
    <row r="787" ht="15.75" customHeight="1">
      <c r="B787" s="3"/>
      <c r="C787" s="3"/>
      <c r="H787" s="3"/>
      <c r="AG787" s="91"/>
    </row>
    <row r="788" ht="15.75" customHeight="1">
      <c r="B788" s="3"/>
      <c r="C788" s="3"/>
      <c r="H788" s="3"/>
      <c r="AG788" s="91"/>
    </row>
    <row r="789" ht="15.75" customHeight="1">
      <c r="B789" s="3"/>
      <c r="C789" s="3"/>
      <c r="H789" s="3"/>
      <c r="AG789" s="91"/>
    </row>
    <row r="790" ht="15.75" customHeight="1">
      <c r="B790" s="3"/>
      <c r="C790" s="3"/>
      <c r="H790" s="3"/>
      <c r="AG790" s="91"/>
    </row>
    <row r="791" ht="15.75" customHeight="1">
      <c r="B791" s="3"/>
      <c r="C791" s="3"/>
      <c r="H791" s="3"/>
      <c r="AG791" s="91"/>
    </row>
    <row r="792" ht="15.75" customHeight="1">
      <c r="B792" s="3"/>
      <c r="C792" s="3"/>
      <c r="H792" s="3"/>
      <c r="AG792" s="91"/>
    </row>
    <row r="793" ht="15.75" customHeight="1">
      <c r="B793" s="3"/>
      <c r="C793" s="3"/>
      <c r="H793" s="3"/>
      <c r="AG793" s="91"/>
    </row>
    <row r="794" ht="15.75" customHeight="1">
      <c r="B794" s="3"/>
      <c r="C794" s="3"/>
      <c r="H794" s="3"/>
      <c r="AG794" s="91"/>
    </row>
    <row r="795" ht="15.75" customHeight="1">
      <c r="B795" s="3"/>
      <c r="C795" s="3"/>
      <c r="H795" s="3"/>
      <c r="AG795" s="91"/>
    </row>
    <row r="796" ht="15.75" customHeight="1">
      <c r="B796" s="3"/>
      <c r="C796" s="3"/>
      <c r="H796" s="3"/>
      <c r="AG796" s="91"/>
    </row>
    <row r="797" ht="15.75" customHeight="1">
      <c r="B797" s="3"/>
      <c r="C797" s="3"/>
      <c r="H797" s="3"/>
      <c r="AG797" s="91"/>
    </row>
    <row r="798" ht="15.75" customHeight="1">
      <c r="B798" s="3"/>
      <c r="C798" s="3"/>
      <c r="H798" s="3"/>
      <c r="AG798" s="91"/>
    </row>
    <row r="799" ht="15.75" customHeight="1">
      <c r="B799" s="3"/>
      <c r="C799" s="3"/>
      <c r="H799" s="3"/>
      <c r="AG799" s="91"/>
    </row>
    <row r="800" ht="15.75" customHeight="1">
      <c r="B800" s="3"/>
      <c r="C800" s="3"/>
      <c r="H800" s="3"/>
      <c r="AG800" s="91"/>
    </row>
    <row r="801" ht="15.75" customHeight="1">
      <c r="B801" s="3"/>
      <c r="C801" s="3"/>
      <c r="H801" s="3"/>
      <c r="AG801" s="91"/>
    </row>
    <row r="802" ht="15.75" customHeight="1">
      <c r="B802" s="3"/>
      <c r="C802" s="3"/>
      <c r="H802" s="3"/>
      <c r="AG802" s="91"/>
    </row>
    <row r="803" ht="15.75" customHeight="1">
      <c r="B803" s="3"/>
      <c r="C803" s="3"/>
      <c r="H803" s="3"/>
      <c r="AG803" s="91"/>
    </row>
    <row r="804" ht="15.75" customHeight="1">
      <c r="B804" s="3"/>
      <c r="C804" s="3"/>
      <c r="H804" s="3"/>
      <c r="AG804" s="91"/>
    </row>
    <row r="805" ht="15.75" customHeight="1">
      <c r="B805" s="3"/>
      <c r="C805" s="3"/>
      <c r="H805" s="3"/>
      <c r="AG805" s="91"/>
    </row>
    <row r="806" ht="15.75" customHeight="1">
      <c r="B806" s="3"/>
      <c r="C806" s="3"/>
      <c r="H806" s="3"/>
      <c r="AG806" s="91"/>
    </row>
    <row r="807" ht="15.75" customHeight="1">
      <c r="B807" s="3"/>
      <c r="C807" s="3"/>
      <c r="H807" s="3"/>
      <c r="AG807" s="91"/>
    </row>
    <row r="808" ht="15.75" customHeight="1">
      <c r="B808" s="3"/>
      <c r="C808" s="3"/>
      <c r="H808" s="3"/>
      <c r="AG808" s="91"/>
    </row>
    <row r="809" ht="15.75" customHeight="1">
      <c r="B809" s="3"/>
      <c r="C809" s="3"/>
      <c r="H809" s="3"/>
      <c r="AG809" s="91"/>
    </row>
    <row r="810" ht="15.75" customHeight="1">
      <c r="B810" s="3"/>
      <c r="C810" s="3"/>
      <c r="H810" s="3"/>
      <c r="AG810" s="91"/>
    </row>
    <row r="811" ht="15.75" customHeight="1">
      <c r="B811" s="3"/>
      <c r="C811" s="3"/>
      <c r="H811" s="3"/>
      <c r="AG811" s="91"/>
    </row>
    <row r="812" ht="15.75" customHeight="1">
      <c r="B812" s="3"/>
      <c r="C812" s="3"/>
      <c r="H812" s="3"/>
      <c r="AG812" s="91"/>
    </row>
    <row r="813" ht="15.75" customHeight="1">
      <c r="B813" s="3"/>
      <c r="C813" s="3"/>
      <c r="H813" s="3"/>
      <c r="AG813" s="91"/>
    </row>
    <row r="814" ht="15.75" customHeight="1">
      <c r="B814" s="3"/>
      <c r="C814" s="3"/>
      <c r="H814" s="3"/>
      <c r="AG814" s="91"/>
    </row>
    <row r="815" ht="15.75" customHeight="1">
      <c r="B815" s="3"/>
      <c r="C815" s="3"/>
      <c r="H815" s="3"/>
      <c r="AG815" s="91"/>
    </row>
    <row r="816" ht="15.75" customHeight="1">
      <c r="B816" s="3"/>
      <c r="C816" s="3"/>
      <c r="H816" s="3"/>
      <c r="AG816" s="91"/>
    </row>
    <row r="817" ht="15.75" customHeight="1">
      <c r="B817" s="3"/>
      <c r="C817" s="3"/>
      <c r="H817" s="3"/>
      <c r="AG817" s="91"/>
    </row>
    <row r="818" ht="15.75" customHeight="1">
      <c r="B818" s="3"/>
      <c r="C818" s="3"/>
      <c r="H818" s="3"/>
      <c r="AG818" s="91"/>
    </row>
    <row r="819" ht="15.75" customHeight="1">
      <c r="B819" s="3"/>
      <c r="C819" s="3"/>
      <c r="H819" s="3"/>
      <c r="AG819" s="91"/>
    </row>
    <row r="820" ht="15.75" customHeight="1">
      <c r="B820" s="3"/>
      <c r="C820" s="3"/>
      <c r="H820" s="3"/>
      <c r="AG820" s="91"/>
    </row>
    <row r="821" ht="15.75" customHeight="1">
      <c r="B821" s="3"/>
      <c r="C821" s="3"/>
      <c r="H821" s="3"/>
      <c r="AG821" s="91"/>
    </row>
    <row r="822" ht="15.75" customHeight="1">
      <c r="B822" s="3"/>
      <c r="C822" s="3"/>
      <c r="H822" s="3"/>
      <c r="AG822" s="91"/>
    </row>
    <row r="823" ht="15.75" customHeight="1">
      <c r="B823" s="3"/>
      <c r="C823" s="3"/>
      <c r="H823" s="3"/>
      <c r="AG823" s="91"/>
    </row>
    <row r="824" ht="15.75" customHeight="1">
      <c r="B824" s="3"/>
      <c r="C824" s="3"/>
      <c r="H824" s="3"/>
      <c r="AG824" s="91"/>
    </row>
    <row r="825" ht="15.75" customHeight="1">
      <c r="B825" s="3"/>
      <c r="C825" s="3"/>
      <c r="H825" s="3"/>
      <c r="AG825" s="91"/>
    </row>
    <row r="826" ht="15.75" customHeight="1">
      <c r="B826" s="3"/>
      <c r="C826" s="3"/>
      <c r="H826" s="3"/>
      <c r="AG826" s="91"/>
    </row>
    <row r="827" ht="15.75" customHeight="1">
      <c r="B827" s="3"/>
      <c r="C827" s="3"/>
      <c r="H827" s="3"/>
      <c r="AG827" s="91"/>
    </row>
    <row r="828" ht="15.75" customHeight="1">
      <c r="B828" s="3"/>
      <c r="C828" s="3"/>
      <c r="H828" s="3"/>
      <c r="AG828" s="91"/>
    </row>
    <row r="829" ht="15.75" customHeight="1">
      <c r="B829" s="3"/>
      <c r="C829" s="3"/>
      <c r="H829" s="3"/>
      <c r="AG829" s="91"/>
    </row>
    <row r="830" ht="15.75" customHeight="1">
      <c r="B830" s="3"/>
      <c r="C830" s="3"/>
      <c r="H830" s="3"/>
      <c r="AG830" s="91"/>
    </row>
    <row r="831" ht="15.75" customHeight="1">
      <c r="B831" s="3"/>
      <c r="C831" s="3"/>
      <c r="H831" s="3"/>
      <c r="AG831" s="91"/>
    </row>
    <row r="832" ht="15.75" customHeight="1">
      <c r="B832" s="3"/>
      <c r="C832" s="3"/>
      <c r="H832" s="3"/>
      <c r="AG832" s="91"/>
    </row>
    <row r="833" ht="15.75" customHeight="1">
      <c r="B833" s="3"/>
      <c r="C833" s="3"/>
      <c r="H833" s="3"/>
      <c r="AG833" s="91"/>
    </row>
    <row r="834" ht="15.75" customHeight="1">
      <c r="B834" s="3"/>
      <c r="C834" s="3"/>
      <c r="H834" s="3"/>
      <c r="AG834" s="91"/>
    </row>
    <row r="835" ht="15.75" customHeight="1">
      <c r="B835" s="3"/>
      <c r="C835" s="3"/>
      <c r="H835" s="3"/>
      <c r="AG835" s="91"/>
    </row>
    <row r="836" ht="15.75" customHeight="1">
      <c r="B836" s="3"/>
      <c r="C836" s="3"/>
      <c r="H836" s="3"/>
      <c r="AG836" s="91"/>
    </row>
    <row r="837" ht="15.75" customHeight="1">
      <c r="B837" s="3"/>
      <c r="C837" s="3"/>
      <c r="H837" s="3"/>
      <c r="AG837" s="91"/>
    </row>
    <row r="838" ht="15.75" customHeight="1">
      <c r="B838" s="3"/>
      <c r="C838" s="3"/>
      <c r="H838" s="3"/>
      <c r="AG838" s="91"/>
    </row>
    <row r="839" ht="15.75" customHeight="1">
      <c r="B839" s="3"/>
      <c r="C839" s="3"/>
      <c r="H839" s="3"/>
      <c r="AG839" s="91"/>
    </row>
    <row r="840" ht="15.75" customHeight="1">
      <c r="B840" s="3"/>
      <c r="C840" s="3"/>
      <c r="H840" s="3"/>
      <c r="AG840" s="91"/>
    </row>
    <row r="841" ht="15.75" customHeight="1">
      <c r="B841" s="3"/>
      <c r="C841" s="3"/>
      <c r="H841" s="3"/>
      <c r="AG841" s="91"/>
    </row>
    <row r="842" ht="15.75" customHeight="1">
      <c r="B842" s="3"/>
      <c r="C842" s="3"/>
      <c r="H842" s="3"/>
      <c r="AG842" s="91"/>
    </row>
    <row r="843" ht="15.75" customHeight="1">
      <c r="B843" s="3"/>
      <c r="C843" s="3"/>
      <c r="H843" s="3"/>
      <c r="AG843" s="91"/>
    </row>
    <row r="844" ht="15.75" customHeight="1">
      <c r="B844" s="3"/>
      <c r="C844" s="3"/>
      <c r="H844" s="3"/>
      <c r="AG844" s="91"/>
    </row>
    <row r="845" ht="15.75" customHeight="1">
      <c r="B845" s="3"/>
      <c r="C845" s="3"/>
      <c r="H845" s="3"/>
      <c r="AG845" s="91"/>
    </row>
    <row r="846" ht="15.75" customHeight="1">
      <c r="B846" s="3"/>
      <c r="C846" s="3"/>
      <c r="H846" s="3"/>
      <c r="AG846" s="91"/>
    </row>
    <row r="847" ht="15.75" customHeight="1">
      <c r="B847" s="3"/>
      <c r="C847" s="3"/>
      <c r="H847" s="3"/>
      <c r="AG847" s="91"/>
    </row>
    <row r="848" ht="15.75" customHeight="1">
      <c r="B848" s="3"/>
      <c r="C848" s="3"/>
      <c r="H848" s="3"/>
      <c r="AG848" s="91"/>
    </row>
    <row r="849" ht="15.75" customHeight="1">
      <c r="B849" s="3"/>
      <c r="C849" s="3"/>
      <c r="H849" s="3"/>
      <c r="AG849" s="91"/>
    </row>
    <row r="850" ht="15.75" customHeight="1">
      <c r="B850" s="3"/>
      <c r="C850" s="3"/>
      <c r="H850" s="3"/>
      <c r="AG850" s="91"/>
    </row>
    <row r="851" ht="15.75" customHeight="1">
      <c r="B851" s="3"/>
      <c r="C851" s="3"/>
      <c r="H851" s="3"/>
      <c r="AG851" s="91"/>
    </row>
    <row r="852" ht="15.75" customHeight="1">
      <c r="B852" s="3"/>
      <c r="C852" s="3"/>
      <c r="H852" s="3"/>
      <c r="AG852" s="91"/>
    </row>
    <row r="853" ht="15.75" customHeight="1">
      <c r="B853" s="3"/>
      <c r="C853" s="3"/>
      <c r="H853" s="3"/>
      <c r="AG853" s="91"/>
    </row>
    <row r="854" ht="15.75" customHeight="1">
      <c r="B854" s="3"/>
      <c r="C854" s="3"/>
      <c r="H854" s="3"/>
      <c r="AG854" s="91"/>
    </row>
    <row r="855" ht="15.75" customHeight="1">
      <c r="B855" s="3"/>
      <c r="C855" s="3"/>
      <c r="H855" s="3"/>
      <c r="AG855" s="91"/>
    </row>
    <row r="856" ht="15.75" customHeight="1">
      <c r="B856" s="3"/>
      <c r="C856" s="3"/>
      <c r="H856" s="3"/>
      <c r="AG856" s="91"/>
    </row>
    <row r="857" ht="15.75" customHeight="1">
      <c r="B857" s="3"/>
      <c r="C857" s="3"/>
      <c r="H857" s="3"/>
      <c r="AG857" s="91"/>
    </row>
    <row r="858" ht="15.75" customHeight="1">
      <c r="B858" s="3"/>
      <c r="C858" s="3"/>
      <c r="H858" s="3"/>
      <c r="AG858" s="91"/>
    </row>
    <row r="859" ht="15.75" customHeight="1">
      <c r="B859" s="3"/>
      <c r="C859" s="3"/>
      <c r="H859" s="3"/>
      <c r="AG859" s="91"/>
    </row>
    <row r="860" ht="15.75" customHeight="1">
      <c r="B860" s="3"/>
      <c r="C860" s="3"/>
      <c r="H860" s="3"/>
      <c r="AG860" s="91"/>
    </row>
    <row r="861" ht="15.75" customHeight="1">
      <c r="B861" s="3"/>
      <c r="C861" s="3"/>
      <c r="H861" s="3"/>
      <c r="AG861" s="91"/>
    </row>
    <row r="862" ht="15.75" customHeight="1">
      <c r="B862" s="3"/>
      <c r="C862" s="3"/>
      <c r="H862" s="3"/>
      <c r="AG862" s="91"/>
    </row>
    <row r="863" ht="15.75" customHeight="1">
      <c r="B863" s="3"/>
      <c r="C863" s="3"/>
      <c r="H863" s="3"/>
      <c r="AG863" s="91"/>
    </row>
    <row r="864" ht="15.75" customHeight="1">
      <c r="B864" s="3"/>
      <c r="C864" s="3"/>
      <c r="H864" s="3"/>
      <c r="AG864" s="91"/>
    </row>
    <row r="865" ht="15.75" customHeight="1">
      <c r="B865" s="3"/>
      <c r="C865" s="3"/>
      <c r="H865" s="3"/>
      <c r="AG865" s="91"/>
    </row>
    <row r="866" ht="15.75" customHeight="1">
      <c r="B866" s="3"/>
      <c r="C866" s="3"/>
      <c r="H866" s="3"/>
      <c r="AG866" s="91"/>
    </row>
    <row r="867" ht="15.75" customHeight="1">
      <c r="B867" s="3"/>
      <c r="C867" s="3"/>
      <c r="H867" s="3"/>
      <c r="AG867" s="91"/>
    </row>
    <row r="868" ht="15.75" customHeight="1">
      <c r="B868" s="3"/>
      <c r="C868" s="3"/>
      <c r="H868" s="3"/>
      <c r="AG868" s="91"/>
    </row>
    <row r="869" ht="15.75" customHeight="1">
      <c r="B869" s="3"/>
      <c r="C869" s="3"/>
      <c r="H869" s="3"/>
      <c r="AG869" s="91"/>
    </row>
    <row r="870" ht="15.75" customHeight="1">
      <c r="B870" s="3"/>
      <c r="C870" s="3"/>
      <c r="H870" s="3"/>
      <c r="AG870" s="91"/>
    </row>
    <row r="871" ht="15.75" customHeight="1">
      <c r="B871" s="3"/>
      <c r="C871" s="3"/>
      <c r="H871" s="3"/>
      <c r="AG871" s="91"/>
    </row>
    <row r="872" ht="15.75" customHeight="1">
      <c r="B872" s="3"/>
      <c r="C872" s="3"/>
      <c r="H872" s="3"/>
      <c r="AG872" s="91"/>
    </row>
    <row r="873" ht="15.75" customHeight="1">
      <c r="B873" s="3"/>
      <c r="C873" s="3"/>
      <c r="H873" s="3"/>
      <c r="AG873" s="91"/>
    </row>
    <row r="874" ht="15.75" customHeight="1">
      <c r="B874" s="3"/>
      <c r="C874" s="3"/>
      <c r="H874" s="3"/>
      <c r="AG874" s="91"/>
    </row>
    <row r="875" ht="15.75" customHeight="1">
      <c r="B875" s="3"/>
      <c r="C875" s="3"/>
      <c r="H875" s="3"/>
      <c r="AG875" s="91"/>
    </row>
    <row r="876" ht="15.75" customHeight="1">
      <c r="B876" s="3"/>
      <c r="C876" s="3"/>
      <c r="H876" s="3"/>
      <c r="AG876" s="91"/>
    </row>
    <row r="877" ht="15.75" customHeight="1">
      <c r="B877" s="3"/>
      <c r="C877" s="3"/>
      <c r="H877" s="3"/>
      <c r="AG877" s="91"/>
    </row>
    <row r="878" ht="15.75" customHeight="1">
      <c r="B878" s="3"/>
      <c r="C878" s="3"/>
      <c r="H878" s="3"/>
      <c r="AG878" s="91"/>
    </row>
    <row r="879" ht="15.75" customHeight="1">
      <c r="B879" s="3"/>
      <c r="C879" s="3"/>
      <c r="H879" s="3"/>
      <c r="AG879" s="91"/>
    </row>
    <row r="880" ht="15.75" customHeight="1">
      <c r="B880" s="3"/>
      <c r="C880" s="3"/>
      <c r="H880" s="3"/>
      <c r="AG880" s="91"/>
    </row>
    <row r="881" ht="15.75" customHeight="1">
      <c r="B881" s="3"/>
      <c r="C881" s="3"/>
      <c r="H881" s="3"/>
      <c r="AG881" s="91"/>
    </row>
    <row r="882" ht="15.75" customHeight="1">
      <c r="B882" s="3"/>
      <c r="C882" s="3"/>
      <c r="H882" s="3"/>
      <c r="AG882" s="91"/>
    </row>
    <row r="883" ht="15.75" customHeight="1">
      <c r="B883" s="3"/>
      <c r="C883" s="3"/>
      <c r="H883" s="3"/>
      <c r="AG883" s="91"/>
    </row>
    <row r="884" ht="15.75" customHeight="1">
      <c r="B884" s="3"/>
      <c r="C884" s="3"/>
      <c r="H884" s="3"/>
      <c r="AG884" s="91"/>
    </row>
    <row r="885" ht="15.75" customHeight="1">
      <c r="B885" s="3"/>
      <c r="C885" s="3"/>
      <c r="H885" s="3"/>
      <c r="AG885" s="91"/>
    </row>
    <row r="886" ht="15.75" customHeight="1">
      <c r="B886" s="3"/>
      <c r="C886" s="3"/>
      <c r="H886" s="3"/>
      <c r="AG886" s="91"/>
    </row>
    <row r="887" ht="15.75" customHeight="1">
      <c r="B887" s="3"/>
      <c r="C887" s="3"/>
      <c r="H887" s="3"/>
      <c r="AG887" s="91"/>
    </row>
    <row r="888" ht="15.75" customHeight="1">
      <c r="B888" s="3"/>
      <c r="C888" s="3"/>
      <c r="H888" s="3"/>
      <c r="AG888" s="91"/>
    </row>
    <row r="889" ht="15.75" customHeight="1">
      <c r="B889" s="3"/>
      <c r="C889" s="3"/>
      <c r="H889" s="3"/>
      <c r="AG889" s="91"/>
    </row>
    <row r="890" ht="15.75" customHeight="1">
      <c r="B890" s="3"/>
      <c r="C890" s="3"/>
      <c r="H890" s="3"/>
      <c r="AG890" s="91"/>
    </row>
    <row r="891" ht="15.75" customHeight="1">
      <c r="B891" s="3"/>
      <c r="C891" s="3"/>
      <c r="H891" s="3"/>
      <c r="AG891" s="91"/>
    </row>
    <row r="892" ht="15.75" customHeight="1">
      <c r="B892" s="3"/>
      <c r="C892" s="3"/>
      <c r="H892" s="3"/>
      <c r="AG892" s="91"/>
    </row>
    <row r="893" ht="15.75" customHeight="1">
      <c r="B893" s="3"/>
      <c r="C893" s="3"/>
      <c r="H893" s="3"/>
      <c r="AG893" s="91"/>
    </row>
    <row r="894" ht="15.75" customHeight="1">
      <c r="B894" s="3"/>
      <c r="C894" s="3"/>
      <c r="H894" s="3"/>
      <c r="AG894" s="91"/>
    </row>
    <row r="895" ht="15.75" customHeight="1">
      <c r="B895" s="3"/>
      <c r="C895" s="3"/>
      <c r="H895" s="3"/>
      <c r="AG895" s="91"/>
    </row>
    <row r="896" ht="15.75" customHeight="1">
      <c r="B896" s="3"/>
      <c r="C896" s="3"/>
      <c r="H896" s="3"/>
      <c r="AG896" s="91"/>
    </row>
    <row r="897" ht="15.75" customHeight="1">
      <c r="B897" s="3"/>
      <c r="C897" s="3"/>
      <c r="H897" s="3"/>
      <c r="AG897" s="91"/>
    </row>
    <row r="898" ht="15.75" customHeight="1">
      <c r="B898" s="3"/>
      <c r="C898" s="3"/>
      <c r="H898" s="3"/>
      <c r="AG898" s="91"/>
    </row>
    <row r="899" ht="15.75" customHeight="1">
      <c r="B899" s="3"/>
      <c r="C899" s="3"/>
      <c r="H899" s="3"/>
      <c r="AG899" s="91"/>
    </row>
    <row r="900" ht="15.75" customHeight="1">
      <c r="B900" s="3"/>
      <c r="C900" s="3"/>
      <c r="H900" s="3"/>
      <c r="AG900" s="91"/>
    </row>
    <row r="901" ht="15.75" customHeight="1">
      <c r="B901" s="3"/>
      <c r="C901" s="3"/>
      <c r="H901" s="3"/>
      <c r="AG901" s="91"/>
    </row>
    <row r="902" ht="15.75" customHeight="1">
      <c r="B902" s="3"/>
      <c r="C902" s="3"/>
      <c r="H902" s="3"/>
      <c r="AG902" s="91"/>
    </row>
    <row r="903" ht="15.75" customHeight="1">
      <c r="B903" s="3"/>
      <c r="C903" s="3"/>
      <c r="H903" s="3"/>
      <c r="AG903" s="91"/>
    </row>
    <row r="904" ht="15.75" customHeight="1">
      <c r="B904" s="3"/>
      <c r="C904" s="3"/>
      <c r="H904" s="3"/>
      <c r="AG904" s="91"/>
    </row>
    <row r="905" ht="15.75" customHeight="1">
      <c r="B905" s="3"/>
      <c r="C905" s="3"/>
      <c r="H905" s="3"/>
      <c r="AG905" s="91"/>
    </row>
    <row r="906" ht="15.75" customHeight="1">
      <c r="B906" s="3"/>
      <c r="C906" s="3"/>
      <c r="H906" s="3"/>
      <c r="AG906" s="91"/>
    </row>
    <row r="907" ht="15.75" customHeight="1">
      <c r="B907" s="3"/>
      <c r="C907" s="3"/>
      <c r="H907" s="3"/>
      <c r="AG907" s="91"/>
    </row>
    <row r="908" ht="15.75" customHeight="1">
      <c r="B908" s="3"/>
      <c r="C908" s="3"/>
      <c r="H908" s="3"/>
      <c r="AG908" s="91"/>
    </row>
    <row r="909" ht="15.75" customHeight="1">
      <c r="B909" s="3"/>
      <c r="C909" s="3"/>
      <c r="H909" s="3"/>
      <c r="AG909" s="91"/>
    </row>
    <row r="910" ht="15.75" customHeight="1">
      <c r="B910" s="3"/>
      <c r="C910" s="3"/>
      <c r="H910" s="3"/>
      <c r="AG910" s="91"/>
    </row>
    <row r="911" ht="15.75" customHeight="1">
      <c r="B911" s="3"/>
      <c r="C911" s="3"/>
      <c r="H911" s="3"/>
      <c r="AG911" s="91"/>
    </row>
    <row r="912" ht="15.75" customHeight="1">
      <c r="B912" s="3"/>
      <c r="C912" s="3"/>
      <c r="H912" s="3"/>
      <c r="AG912" s="91"/>
    </row>
    <row r="913" ht="15.75" customHeight="1">
      <c r="B913" s="3"/>
      <c r="C913" s="3"/>
      <c r="H913" s="3"/>
      <c r="AG913" s="91"/>
    </row>
    <row r="914" ht="15.75" customHeight="1">
      <c r="B914" s="3"/>
      <c r="C914" s="3"/>
      <c r="H914" s="3"/>
      <c r="AG914" s="91"/>
    </row>
    <row r="915" ht="15.75" customHeight="1">
      <c r="B915" s="3"/>
      <c r="C915" s="3"/>
      <c r="H915" s="3"/>
      <c r="AG915" s="91"/>
    </row>
    <row r="916" ht="15.75" customHeight="1">
      <c r="B916" s="3"/>
      <c r="C916" s="3"/>
      <c r="H916" s="3"/>
      <c r="AG916" s="91"/>
    </row>
    <row r="917" ht="15.75" customHeight="1">
      <c r="B917" s="3"/>
      <c r="C917" s="3"/>
      <c r="H917" s="3"/>
      <c r="AG917" s="91"/>
    </row>
    <row r="918" ht="15.75" customHeight="1">
      <c r="B918" s="3"/>
      <c r="C918" s="3"/>
      <c r="H918" s="3"/>
      <c r="AG918" s="91"/>
    </row>
    <row r="919" ht="15.75" customHeight="1">
      <c r="B919" s="3"/>
      <c r="C919" s="3"/>
      <c r="H919" s="3"/>
      <c r="AG919" s="91"/>
    </row>
    <row r="920" ht="15.75" customHeight="1">
      <c r="B920" s="3"/>
      <c r="C920" s="3"/>
      <c r="H920" s="3"/>
      <c r="AG920" s="91"/>
    </row>
    <row r="921" ht="15.75" customHeight="1">
      <c r="B921" s="3"/>
      <c r="C921" s="3"/>
      <c r="H921" s="3"/>
      <c r="AG921" s="91"/>
    </row>
    <row r="922" ht="15.75" customHeight="1">
      <c r="B922" s="3"/>
      <c r="C922" s="3"/>
      <c r="H922" s="3"/>
      <c r="AG922" s="91"/>
    </row>
    <row r="923" ht="15.75" customHeight="1">
      <c r="B923" s="3"/>
      <c r="C923" s="3"/>
      <c r="H923" s="3"/>
      <c r="AG923" s="91"/>
    </row>
    <row r="924" ht="15.75" customHeight="1">
      <c r="B924" s="3"/>
      <c r="C924" s="3"/>
      <c r="H924" s="3"/>
      <c r="AG924" s="91"/>
    </row>
    <row r="925" ht="15.75" customHeight="1">
      <c r="B925" s="3"/>
      <c r="C925" s="3"/>
      <c r="H925" s="3"/>
      <c r="AG925" s="91"/>
    </row>
    <row r="926" ht="15.75" customHeight="1">
      <c r="B926" s="3"/>
      <c r="C926" s="3"/>
      <c r="H926" s="3"/>
      <c r="AG926" s="91"/>
    </row>
    <row r="927" ht="15.75" customHeight="1">
      <c r="B927" s="3"/>
      <c r="C927" s="3"/>
      <c r="H927" s="3"/>
      <c r="AG927" s="91"/>
    </row>
    <row r="928" ht="15.75" customHeight="1">
      <c r="B928" s="3"/>
      <c r="C928" s="3"/>
      <c r="H928" s="3"/>
      <c r="AG928" s="91"/>
    </row>
    <row r="929" ht="15.75" customHeight="1">
      <c r="B929" s="3"/>
      <c r="C929" s="3"/>
      <c r="H929" s="3"/>
      <c r="AG929" s="91"/>
    </row>
    <row r="930" ht="15.75" customHeight="1">
      <c r="B930" s="3"/>
      <c r="C930" s="3"/>
      <c r="H930" s="3"/>
      <c r="AG930" s="91"/>
    </row>
    <row r="931" ht="15.75" customHeight="1">
      <c r="B931" s="3"/>
      <c r="C931" s="3"/>
      <c r="H931" s="3"/>
      <c r="AG931" s="91"/>
    </row>
    <row r="932" ht="15.75" customHeight="1">
      <c r="B932" s="3"/>
      <c r="C932" s="3"/>
      <c r="H932" s="3"/>
      <c r="AG932" s="91"/>
    </row>
    <row r="933" ht="15.75" customHeight="1">
      <c r="B933" s="3"/>
      <c r="C933" s="3"/>
      <c r="H933" s="3"/>
      <c r="AG933" s="91"/>
    </row>
    <row r="934" ht="15.75" customHeight="1">
      <c r="B934" s="3"/>
      <c r="C934" s="3"/>
      <c r="H934" s="3"/>
      <c r="AG934" s="91"/>
    </row>
    <row r="935" ht="15.75" customHeight="1">
      <c r="B935" s="3"/>
      <c r="C935" s="3"/>
      <c r="H935" s="3"/>
      <c r="AG935" s="91"/>
    </row>
    <row r="936" ht="15.75" customHeight="1">
      <c r="B936" s="3"/>
      <c r="C936" s="3"/>
      <c r="H936" s="3"/>
      <c r="AG936" s="91"/>
    </row>
    <row r="937" ht="15.75" customHeight="1">
      <c r="B937" s="3"/>
      <c r="C937" s="3"/>
      <c r="H937" s="3"/>
      <c r="AG937" s="91"/>
    </row>
    <row r="938" ht="15.75" customHeight="1">
      <c r="B938" s="3"/>
      <c r="C938" s="3"/>
      <c r="H938" s="3"/>
      <c r="AG938" s="91"/>
    </row>
    <row r="939" ht="15.75" customHeight="1">
      <c r="B939" s="3"/>
      <c r="C939" s="3"/>
      <c r="H939" s="3"/>
      <c r="AG939" s="91"/>
    </row>
    <row r="940" ht="15.75" customHeight="1">
      <c r="B940" s="3"/>
      <c r="C940" s="3"/>
      <c r="H940" s="3"/>
      <c r="AG940" s="91"/>
    </row>
    <row r="941" ht="15.75" customHeight="1">
      <c r="B941" s="3"/>
      <c r="C941" s="3"/>
      <c r="H941" s="3"/>
      <c r="AG941" s="91"/>
    </row>
    <row r="942" ht="15.75" customHeight="1">
      <c r="B942" s="3"/>
      <c r="C942" s="3"/>
      <c r="H942" s="3"/>
      <c r="AG942" s="91"/>
    </row>
    <row r="943" ht="15.75" customHeight="1">
      <c r="B943" s="3"/>
      <c r="C943" s="3"/>
      <c r="H943" s="3"/>
      <c r="AG943" s="91"/>
    </row>
    <row r="944" ht="15.75" customHeight="1">
      <c r="B944" s="3"/>
      <c r="C944" s="3"/>
      <c r="H944" s="3"/>
      <c r="AG944" s="91"/>
    </row>
    <row r="945" ht="15.75" customHeight="1">
      <c r="B945" s="3"/>
      <c r="C945" s="3"/>
      <c r="H945" s="3"/>
      <c r="AG945" s="91"/>
    </row>
    <row r="946" ht="15.75" customHeight="1">
      <c r="B946" s="3"/>
      <c r="C946" s="3"/>
      <c r="H946" s="3"/>
      <c r="AG946" s="91"/>
    </row>
    <row r="947" ht="15.75" customHeight="1">
      <c r="B947" s="3"/>
      <c r="C947" s="3"/>
      <c r="H947" s="3"/>
      <c r="AG947" s="91"/>
    </row>
    <row r="948" ht="15.75" customHeight="1">
      <c r="B948" s="3"/>
      <c r="C948" s="3"/>
      <c r="H948" s="3"/>
      <c r="AG948" s="91"/>
    </row>
    <row r="949" ht="15.75" customHeight="1">
      <c r="B949" s="3"/>
      <c r="C949" s="3"/>
      <c r="H949" s="3"/>
      <c r="AG949" s="91"/>
    </row>
    <row r="950" ht="15.75" customHeight="1">
      <c r="B950" s="3"/>
      <c r="C950" s="3"/>
      <c r="H950" s="3"/>
      <c r="AG950" s="91"/>
    </row>
    <row r="951" ht="15.75" customHeight="1">
      <c r="B951" s="3"/>
      <c r="C951" s="3"/>
      <c r="H951" s="3"/>
      <c r="AG951" s="91"/>
    </row>
    <row r="952" ht="15.75" customHeight="1">
      <c r="B952" s="3"/>
      <c r="C952" s="3"/>
      <c r="H952" s="3"/>
      <c r="AG952" s="91"/>
    </row>
    <row r="953" ht="15.75" customHeight="1">
      <c r="B953" s="3"/>
      <c r="C953" s="3"/>
      <c r="H953" s="3"/>
      <c r="AG953" s="91"/>
    </row>
    <row r="954" ht="15.75" customHeight="1">
      <c r="B954" s="3"/>
      <c r="C954" s="3"/>
      <c r="H954" s="3"/>
      <c r="AG954" s="91"/>
    </row>
    <row r="955" ht="15.75" customHeight="1">
      <c r="B955" s="3"/>
      <c r="C955" s="3"/>
      <c r="H955" s="3"/>
      <c r="AG955" s="91"/>
    </row>
    <row r="956" ht="15.75" customHeight="1">
      <c r="B956" s="3"/>
      <c r="C956" s="3"/>
      <c r="H956" s="3"/>
      <c r="AG956" s="91"/>
    </row>
    <row r="957" ht="15.75" customHeight="1">
      <c r="B957" s="3"/>
      <c r="C957" s="3"/>
      <c r="H957" s="3"/>
      <c r="AG957" s="91"/>
    </row>
    <row r="958" ht="15.75" customHeight="1">
      <c r="B958" s="3"/>
      <c r="C958" s="3"/>
      <c r="H958" s="3"/>
      <c r="AG958" s="91"/>
    </row>
    <row r="959" ht="15.75" customHeight="1">
      <c r="B959" s="3"/>
      <c r="C959" s="3"/>
      <c r="H959" s="3"/>
      <c r="AG959" s="91"/>
    </row>
    <row r="960" ht="15.75" customHeight="1">
      <c r="B960" s="3"/>
      <c r="C960" s="3"/>
      <c r="H960" s="3"/>
      <c r="AG960" s="91"/>
    </row>
    <row r="961" ht="15.75" customHeight="1">
      <c r="B961" s="3"/>
      <c r="C961" s="3"/>
      <c r="H961" s="3"/>
      <c r="AG961" s="91"/>
    </row>
    <row r="962" ht="15.75" customHeight="1">
      <c r="B962" s="3"/>
      <c r="C962" s="3"/>
      <c r="H962" s="3"/>
      <c r="AG962" s="91"/>
    </row>
    <row r="963" ht="15.75" customHeight="1">
      <c r="B963" s="3"/>
      <c r="C963" s="3"/>
      <c r="H963" s="3"/>
      <c r="AG963" s="91"/>
    </row>
    <row r="964" ht="15.75" customHeight="1">
      <c r="B964" s="3"/>
      <c r="C964" s="3"/>
      <c r="H964" s="3"/>
      <c r="AG964" s="91"/>
    </row>
    <row r="965" ht="15.75" customHeight="1">
      <c r="B965" s="3"/>
      <c r="C965" s="3"/>
      <c r="H965" s="3"/>
      <c r="AG965" s="91"/>
    </row>
    <row r="966" ht="15.75" customHeight="1">
      <c r="B966" s="3"/>
      <c r="C966" s="3"/>
      <c r="H966" s="3"/>
      <c r="AG966" s="91"/>
    </row>
    <row r="967" ht="15.75" customHeight="1">
      <c r="B967" s="3"/>
      <c r="C967" s="3"/>
      <c r="H967" s="3"/>
      <c r="AG967" s="91"/>
    </row>
    <row r="968" ht="15.75" customHeight="1">
      <c r="B968" s="3"/>
      <c r="C968" s="3"/>
      <c r="H968" s="3"/>
      <c r="AG968" s="91"/>
    </row>
    <row r="969" ht="15.75" customHeight="1">
      <c r="B969" s="3"/>
      <c r="C969" s="3"/>
      <c r="H969" s="3"/>
      <c r="AG969" s="91"/>
    </row>
    <row r="970" ht="15.75" customHeight="1">
      <c r="B970" s="3"/>
      <c r="C970" s="3"/>
      <c r="H970" s="3"/>
      <c r="AG970" s="91"/>
    </row>
    <row r="971" ht="15.75" customHeight="1">
      <c r="B971" s="3"/>
      <c r="C971" s="3"/>
      <c r="H971" s="3"/>
      <c r="AG971" s="91"/>
    </row>
    <row r="972" ht="15.75" customHeight="1">
      <c r="B972" s="3"/>
      <c r="C972" s="3"/>
      <c r="H972" s="3"/>
      <c r="AG972" s="91"/>
    </row>
    <row r="973" ht="15.75" customHeight="1">
      <c r="B973" s="3"/>
      <c r="C973" s="3"/>
      <c r="H973" s="3"/>
      <c r="AG973" s="91"/>
    </row>
    <row r="974" ht="15.75" customHeight="1">
      <c r="B974" s="3"/>
      <c r="C974" s="3"/>
      <c r="H974" s="3"/>
      <c r="AG974" s="91"/>
    </row>
    <row r="975" ht="15.75" customHeight="1">
      <c r="B975" s="3"/>
      <c r="C975" s="3"/>
      <c r="H975" s="3"/>
      <c r="AG975" s="91"/>
    </row>
    <row r="976" ht="15.75" customHeight="1">
      <c r="B976" s="3"/>
      <c r="C976" s="3"/>
      <c r="H976" s="3"/>
      <c r="AG976" s="91"/>
    </row>
    <row r="977" ht="15.75" customHeight="1">
      <c r="B977" s="3"/>
      <c r="C977" s="3"/>
      <c r="H977" s="3"/>
      <c r="AG977" s="91"/>
    </row>
    <row r="978" ht="15.75" customHeight="1">
      <c r="B978" s="3"/>
      <c r="C978" s="3"/>
      <c r="H978" s="3"/>
      <c r="AG978" s="91"/>
    </row>
    <row r="979" ht="15.75" customHeight="1">
      <c r="B979" s="3"/>
      <c r="C979" s="3"/>
      <c r="H979" s="3"/>
      <c r="AG979" s="91"/>
    </row>
    <row r="980" ht="15.75" customHeight="1">
      <c r="B980" s="3"/>
      <c r="C980" s="3"/>
      <c r="H980" s="3"/>
      <c r="AG980" s="91"/>
    </row>
    <row r="981" ht="15.75" customHeight="1">
      <c r="B981" s="3"/>
      <c r="C981" s="3"/>
      <c r="H981" s="3"/>
      <c r="AG981" s="91"/>
    </row>
    <row r="982" ht="15.75" customHeight="1">
      <c r="B982" s="3"/>
      <c r="C982" s="3"/>
      <c r="H982" s="3"/>
      <c r="AG982" s="91"/>
    </row>
    <row r="983" ht="15.75" customHeight="1">
      <c r="B983" s="3"/>
      <c r="C983" s="3"/>
      <c r="H983" s="3"/>
      <c r="AG983" s="91"/>
    </row>
    <row r="984" ht="15.75" customHeight="1">
      <c r="B984" s="3"/>
      <c r="C984" s="3"/>
      <c r="H984" s="3"/>
      <c r="AG984" s="91"/>
    </row>
    <row r="985" ht="15.75" customHeight="1">
      <c r="B985" s="3"/>
      <c r="C985" s="3"/>
      <c r="H985" s="3"/>
      <c r="AG985" s="91"/>
    </row>
    <row r="986" ht="15.75" customHeight="1">
      <c r="B986" s="3"/>
      <c r="C986" s="3"/>
      <c r="H986" s="3"/>
      <c r="AG986" s="91"/>
    </row>
    <row r="987" ht="15.75" customHeight="1">
      <c r="B987" s="3"/>
      <c r="C987" s="3"/>
      <c r="H987" s="3"/>
      <c r="AG987" s="91"/>
    </row>
    <row r="988" ht="15.75" customHeight="1">
      <c r="B988" s="3"/>
      <c r="C988" s="3"/>
      <c r="H988" s="3"/>
      <c r="AG988" s="91"/>
    </row>
    <row r="989" ht="15.75" customHeight="1">
      <c r="B989" s="3"/>
      <c r="C989" s="3"/>
      <c r="H989" s="3"/>
      <c r="AG989" s="91"/>
    </row>
    <row r="990" ht="15.75" customHeight="1">
      <c r="B990" s="3"/>
      <c r="C990" s="3"/>
      <c r="H990" s="3"/>
      <c r="AG990" s="91"/>
    </row>
    <row r="991" ht="15.75" customHeight="1">
      <c r="B991" s="3"/>
      <c r="C991" s="3"/>
      <c r="H991" s="3"/>
      <c r="AG991" s="91"/>
    </row>
    <row r="992" ht="15.75" customHeight="1">
      <c r="B992" s="3"/>
      <c r="C992" s="3"/>
      <c r="H992" s="3"/>
      <c r="AG992" s="91"/>
    </row>
    <row r="993" ht="15.75" customHeight="1">
      <c r="B993" s="3"/>
      <c r="C993" s="3"/>
      <c r="H993" s="3"/>
      <c r="AG993" s="91"/>
    </row>
    <row r="994" ht="15.75" customHeight="1">
      <c r="B994" s="3"/>
      <c r="C994" s="3"/>
      <c r="H994" s="3"/>
      <c r="AG994" s="91"/>
    </row>
    <row r="995" ht="15.75" customHeight="1">
      <c r="B995" s="3"/>
      <c r="C995" s="3"/>
      <c r="H995" s="3"/>
      <c r="AG995" s="91"/>
    </row>
    <row r="996" ht="15.75" customHeight="1">
      <c r="B996" s="3"/>
      <c r="C996" s="3"/>
      <c r="H996" s="3"/>
      <c r="AG996" s="91"/>
    </row>
    <row r="997" ht="15.75" customHeight="1">
      <c r="B997" s="3"/>
      <c r="C997" s="3"/>
      <c r="H997" s="3"/>
      <c r="AG997" s="91"/>
    </row>
    <row r="998" ht="15.75" customHeight="1">
      <c r="B998" s="3"/>
      <c r="C998" s="3"/>
      <c r="H998" s="3"/>
      <c r="AG998" s="91"/>
    </row>
    <row r="999" ht="15.75" customHeight="1">
      <c r="B999" s="3"/>
      <c r="C999" s="3"/>
      <c r="H999" s="3"/>
      <c r="AG999" s="91"/>
    </row>
    <row r="1000" ht="15.75" customHeight="1">
      <c r="B1000" s="3"/>
      <c r="C1000" s="3"/>
      <c r="H1000" s="3"/>
      <c r="AG1000" s="91"/>
    </row>
  </sheetData>
  <autoFilter ref="$A$3:$AO$70"/>
  <mergeCells count="2">
    <mergeCell ref="AV5:BD5"/>
    <mergeCell ref="AV20:BA20"/>
  </mergeCells>
  <printOptions/>
  <pageMargins bottom="0.75" footer="0.0" header="0.0" left="0.7" right="0.7" top="0.75"/>
  <pageSetup fitToHeight="0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43"/>
    <col customWidth="1" min="3" max="3" width="11.71"/>
    <col customWidth="1" min="4" max="4" width="42.57"/>
    <col customWidth="1" min="5" max="5" width="13.14"/>
    <col customWidth="1" min="6" max="6" width="15.29"/>
    <col customWidth="1" min="7" max="7" width="13.29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7.71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3"/>
      <c r="C1" s="3"/>
      <c r="D1" s="97" t="s">
        <v>540</v>
      </c>
      <c r="E1" s="98">
        <f>+AI3</f>
        <v>5065.865</v>
      </c>
      <c r="F1" s="97" t="s">
        <v>241</v>
      </c>
      <c r="G1" s="98">
        <f>+$AM3</f>
        <v>485453.7132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22"/>
      <c r="C2" s="3"/>
      <c r="D2" s="97" t="s">
        <v>242</v>
      </c>
      <c r="E2" s="98">
        <f>+AH3</f>
        <v>4578.661</v>
      </c>
      <c r="F2" s="99" t="s">
        <v>243</v>
      </c>
      <c r="G2" s="100">
        <f>+Q2</f>
        <v>90.99909122</v>
      </c>
      <c r="H2" s="13"/>
      <c r="I2" s="184">
        <f>SUBTOTAL(9,I4:I937)</f>
        <v>494.82</v>
      </c>
      <c r="J2" s="4"/>
      <c r="K2" s="14">
        <f>SUBTOTAL(9,K4:K937)</f>
        <v>452.232</v>
      </c>
      <c r="L2" s="126">
        <f>+SUMPRODUCT(L5:L937,K5:K937)/K2</f>
        <v>0.3267257116</v>
      </c>
      <c r="M2" s="2"/>
      <c r="O2" s="6"/>
      <c r="P2" s="16">
        <f>+SUMPRODUCT(P4:P937,AH4:AH937)/SUM(AH4:AH937)</f>
        <v>87.11424039</v>
      </c>
      <c r="Q2" s="16">
        <f>+SUMPRODUCT(Q4:Q937,AH4:AH937)/SUM(AH4:AH937)</f>
        <v>90.99909122</v>
      </c>
      <c r="R2" s="12">
        <f>+SUMPRODUCT(R4:R937,AH4:AH937)/SUM(AH4:AH937)</f>
        <v>4398.120249</v>
      </c>
      <c r="S2" s="2"/>
      <c r="AB2" s="7"/>
      <c r="AC2" s="7"/>
      <c r="AD2" s="7"/>
      <c r="AE2" s="7"/>
      <c r="AF2" s="7"/>
      <c r="AG2" s="17">
        <f>SUMPRODUCT($AG4:$AG937,$K4:$K937)/SUM($K4:$K937)</f>
        <v>201.2267376</v>
      </c>
      <c r="AH2" s="18"/>
      <c r="AI2" s="2"/>
      <c r="AJ2" s="19">
        <v>4610.0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3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SUBTOTAL(9,AH4:AH937)</f>
        <v>4578.661</v>
      </c>
      <c r="AI3" s="186">
        <f t="shared" si="1"/>
        <v>5065.865</v>
      </c>
      <c r="AJ3" s="187">
        <f>SUMPRODUCT(K4:K937,AJ4:AJ937)/K2</f>
        <v>106.333854</v>
      </c>
      <c r="AK3" s="39">
        <f>SUBTOTAL(9,AK4:AK937)</f>
        <v>4131.891643</v>
      </c>
      <c r="AL3" s="11"/>
      <c r="AM3" s="39">
        <f>SUBTOTAL(9,AM4:AM937)</f>
        <v>485453.7132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3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16" t="s">
        <v>2471</v>
      </c>
      <c r="B5" s="182">
        <v>46005.0</v>
      </c>
      <c r="C5" s="182">
        <v>45996.0</v>
      </c>
      <c r="D5" s="57" t="s">
        <v>295</v>
      </c>
      <c r="E5" s="3">
        <f t="array" ref="E5">XLOOKUP(D5,RUC!$B$3:$B$110,RUC!$D$3:$D$110)</f>
        <v>20601769396</v>
      </c>
      <c r="G5" s="141">
        <v>8.0</v>
      </c>
      <c r="H5" s="3" t="s">
        <v>47</v>
      </c>
      <c r="I5" s="6">
        <v>0.57</v>
      </c>
      <c r="J5" s="58">
        <v>1.5</v>
      </c>
      <c r="K5" s="6">
        <f t="shared" ref="K5:K119" si="2">ROUND(+I5-(I5*(J5/100)),3)</f>
        <v>0.561</v>
      </c>
      <c r="L5" s="141">
        <v>1.116</v>
      </c>
      <c r="M5" s="60">
        <f t="shared" ref="M5:M33" si="3">ROUND(+IF(AN5="Melchor Vera",IF(L5&gt;0.467,L5*0.985,(L5-0.007)),IF(L5&gt;0.3,L5*0.94,(L5-0.018))),3)</f>
        <v>1.049</v>
      </c>
      <c r="N5" s="62">
        <f t="shared" ref="N5:N33" si="4">+M5</f>
        <v>1.049</v>
      </c>
      <c r="O5" s="60">
        <f t="shared" ref="O5:O119" si="5">+ROUND((M5+N5)/2,3)</f>
        <v>1.049</v>
      </c>
      <c r="P5" s="63">
        <v>90.0</v>
      </c>
      <c r="Q5" s="58">
        <v>90.59</v>
      </c>
      <c r="R5" s="65">
        <v>4243.0</v>
      </c>
      <c r="S5" s="66">
        <f t="array" ref="S5">IF((XLOOKUP(D5,RUC!$B$3:$B$106,RUC!$E$3:$E$106)+ROUNDDOWN(O5,1)*100)&lt;95,95,((XLOOKUP(D5,RUC!$B$3:$B$106,RUC!$E$3:$E$106)+ROUNDDOWN(O5,1)*100)))</f>
        <v>190</v>
      </c>
      <c r="U5" s="67">
        <f t="array" ref="U5">XLOOKUP(D5,RUC!$B$3:$B$110,RUC!$F$3:$F$110)</f>
        <v>120</v>
      </c>
      <c r="V5" s="67">
        <v>1.1023</v>
      </c>
      <c r="Y5" s="57">
        <f t="array" ref="Y5">XLOOKUP(D5,RUC!$B$3:$B$110,RUC!$G$3:$G$110)</f>
        <v>20</v>
      </c>
      <c r="Z5" s="69">
        <f t="array" ref="Z5">XLOOKUP(D5,RUC!$B$3:$B$110,RUC!$H$3:$H$110)</f>
        <v>30</v>
      </c>
      <c r="AA5" s="70">
        <f t="shared" ref="AA5:AA121" si="6">+Y5+Z5</f>
        <v>50</v>
      </c>
      <c r="AB5" s="71">
        <f t="shared" ref="AB5:AB7" si="7">+((O5*P5*(R5-U5)/100)-S5-AA5+T5)*V5</f>
        <v>4026.177536</v>
      </c>
      <c r="AC5" s="71">
        <f>+(S5-T5)*V5-'data 1'!$F$4</f>
        <v>129.437</v>
      </c>
      <c r="AD5" s="71">
        <f t="shared" ref="AD5:AD121" si="8">+(Q5-P5)*(R5-U5)*L5*V5/100</f>
        <v>29.92466853</v>
      </c>
      <c r="AE5" s="71">
        <f t="shared" ref="AE5:AE51" si="9">+(Y5*V5-70)+V5*(Z5-IF(D5="UNTUCA",IF(+((W5-3)*2.5+(X5-3)*3.1)&gt;0,+((W5-3)*1.5+(X5-3)*3.1),0),IF(+((W5-3)*1.5+(X5-3)*3.1)&gt;0,+((W5-3)*1.5+(X5-3)*3.1),0)))</f>
        <v>-14.885</v>
      </c>
      <c r="AF5" s="71">
        <f t="shared" ref="AF5:AF121" si="10">(L5-O5)*(R5-U5)*Q5*V5/100</f>
        <v>275.8469616</v>
      </c>
      <c r="AG5" s="72">
        <f t="shared" ref="AG5:AG27" si="11">AC5+AD5+AE5+AF5+70-53</f>
        <v>437.3236301</v>
      </c>
      <c r="AH5" s="193">
        <f t="shared" ref="AH5:AH121" si="12">ROUND((31.1035*L5*Q5*1.1023*K5/100),3)</f>
        <v>19.445</v>
      </c>
      <c r="AI5" s="193">
        <f t="shared" ref="AI5:AI121" si="13">ROUND((31.1035*L5*1.1023*K5),3)</f>
        <v>21.465</v>
      </c>
      <c r="AJ5" s="73">
        <f t="shared" ref="AJ5:AJ121" si="14">+((+$AJ$2-R5+U5)*L5*Q5*V5)/100</f>
        <v>542.7167467</v>
      </c>
      <c r="AK5" s="73">
        <f t="shared" ref="AK5:AK121" si="15">31.1035*1.1023*K5*P5*O5/100</f>
        <v>18.15891636</v>
      </c>
      <c r="AM5" s="51">
        <f t="shared" ref="AM5:AM121" si="16">+IF(AB5*K5&gt;0,AB5*K5,0)</f>
        <v>2258.685598</v>
      </c>
      <c r="AN5" s="51" t="str">
        <f t="array" ref="AN5">XLOOKUP(D5,RUC!$B$3:$B$565,RUC!$M$3:$M$565)</f>
        <v>Evelyn</v>
      </c>
      <c r="AO5" s="131" t="s">
        <v>558</v>
      </c>
      <c r="AP5" s="57" t="s">
        <v>2341</v>
      </c>
      <c r="AQ5" s="57" t="s">
        <v>2342</v>
      </c>
      <c r="AV5" s="149" t="s">
        <v>2472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16" t="s">
        <v>2473</v>
      </c>
      <c r="B6" s="182">
        <v>46024.0</v>
      </c>
      <c r="C6" s="182">
        <v>46001.0</v>
      </c>
      <c r="D6" s="57" t="s">
        <v>225</v>
      </c>
      <c r="E6" s="3">
        <f t="array" ref="E6">XLOOKUP(D6,RUC!$B$3:$B$110,RUC!$D$3:$D$110)</f>
        <v>10761932735</v>
      </c>
      <c r="G6" s="141">
        <v>120.0</v>
      </c>
      <c r="H6" s="3" t="s">
        <v>47</v>
      </c>
      <c r="I6" s="6">
        <v>7.79</v>
      </c>
      <c r="J6" s="58">
        <v>3.6</v>
      </c>
      <c r="K6" s="6">
        <f t="shared" si="2"/>
        <v>7.51</v>
      </c>
      <c r="L6" s="139">
        <v>0.256</v>
      </c>
      <c r="M6" s="60">
        <f t="shared" si="3"/>
        <v>0.238</v>
      </c>
      <c r="N6" s="62">
        <f t="shared" si="4"/>
        <v>0.238</v>
      </c>
      <c r="O6" s="60">
        <f t="shared" si="5"/>
        <v>0.238</v>
      </c>
      <c r="P6" s="63">
        <v>78.0</v>
      </c>
      <c r="Q6" s="77">
        <v>79.3</v>
      </c>
      <c r="R6" s="65">
        <v>4200.15</v>
      </c>
      <c r="S6" s="66">
        <f t="array" ref="S6">IF((XLOOKUP(D6,RUC!$B$3:$B$106,RUC!$E$3:$E$106)+ROUNDDOWN(O6,1)*100)&lt;95,95,((XLOOKUP(D6,RUC!$B$3:$B$106,RUC!$E$3:$E$106)+ROUNDDOWN(O6,1)*100)))</f>
        <v>110</v>
      </c>
      <c r="U6" s="67">
        <f t="array" ref="U6">XLOOKUP(D6,RUC!$B$3:$B$110,RUC!$F$3:$F$110)</f>
        <v>120</v>
      </c>
      <c r="V6" s="67">
        <v>1.1023</v>
      </c>
      <c r="Y6" s="57">
        <f t="array" ref="Y6">XLOOKUP(D6,RUC!$B$3:$B$110,RUC!$G$3:$G$110)</f>
        <v>20</v>
      </c>
      <c r="Z6" s="69">
        <f t="array" ref="Z6">XLOOKUP(D6,RUC!$B$3:$B$110,RUC!$H$3:$H$110)</f>
        <v>30</v>
      </c>
      <c r="AA6" s="70">
        <f t="shared" si="6"/>
        <v>50</v>
      </c>
      <c r="AB6" s="71">
        <f t="shared" si="7"/>
        <v>658.5570604</v>
      </c>
      <c r="AC6" s="71">
        <f>+(S6-T6)*V6-'data 1'!$F$4</f>
        <v>41.253</v>
      </c>
      <c r="AD6" s="71">
        <f t="shared" si="8"/>
        <v>14.96784422</v>
      </c>
      <c r="AE6" s="71">
        <f t="shared" si="9"/>
        <v>-14.885</v>
      </c>
      <c r="AF6" s="71">
        <f t="shared" si="10"/>
        <v>64.19801935</v>
      </c>
      <c r="AG6" s="72">
        <f t="shared" si="11"/>
        <v>122.5338636</v>
      </c>
      <c r="AH6" s="193">
        <f t="shared" si="12"/>
        <v>52.271</v>
      </c>
      <c r="AI6" s="193">
        <f t="shared" si="13"/>
        <v>65.916</v>
      </c>
      <c r="AJ6" s="73">
        <f t="shared" si="14"/>
        <v>118.5675644</v>
      </c>
      <c r="AK6" s="73">
        <f t="shared" si="15"/>
        <v>47.79919318</v>
      </c>
      <c r="AM6" s="51">
        <f t="shared" si="16"/>
        <v>4945.763524</v>
      </c>
      <c r="AN6" s="51" t="str">
        <f t="array" ref="AN6">XLOOKUP(D6,RUC!$B$3:$B$565,RUC!$M$3:$M$565)</f>
        <v>Richard Sapacayo</v>
      </c>
      <c r="AO6" s="131" t="s">
        <v>551</v>
      </c>
      <c r="AP6" s="57" t="s">
        <v>757</v>
      </c>
      <c r="AQ6" s="57" t="s">
        <v>628</v>
      </c>
      <c r="AW6" s="195">
        <f>SUM(AW8:AW17)</f>
        <v>452.232</v>
      </c>
      <c r="AX6" s="196">
        <f>SUMPRODUCT(AW8:AW17,AX8:AX17)/SUM(AW8:AW17)</f>
        <v>0.3267257116</v>
      </c>
      <c r="AY6" s="197"/>
      <c r="AZ6" s="198">
        <f>SUMPRODUCT(AZ8:AZ17,$BB8:$BB17)/SUM($BB8:$BB17)/100</f>
        <v>0.9099909122</v>
      </c>
      <c r="BA6" s="82">
        <f t="shared" ref="BA6:BB6" si="17">SUM(BA8:BA17)</f>
        <v>5065.865694</v>
      </c>
      <c r="BB6" s="82">
        <f t="shared" si="17"/>
        <v>4578.661</v>
      </c>
    </row>
    <row r="7" ht="15.0" customHeight="1">
      <c r="A7" s="116" t="s">
        <v>2474</v>
      </c>
      <c r="B7" s="182">
        <v>46024.0</v>
      </c>
      <c r="C7" s="182">
        <v>46001.0</v>
      </c>
      <c r="D7" s="57" t="s">
        <v>225</v>
      </c>
      <c r="E7" s="3">
        <f t="array" ref="E7">XLOOKUP(D7,RUC!$B$3:$B$110,RUC!$D$3:$D$110)</f>
        <v>10761932735</v>
      </c>
      <c r="G7" s="141" t="s">
        <v>735</v>
      </c>
      <c r="H7" s="3" t="s">
        <v>47</v>
      </c>
      <c r="I7" s="6">
        <v>8.17</v>
      </c>
      <c r="J7" s="58">
        <v>4.0</v>
      </c>
      <c r="K7" s="6">
        <f t="shared" si="2"/>
        <v>7.843</v>
      </c>
      <c r="L7" s="139">
        <v>0.154</v>
      </c>
      <c r="M7" s="60">
        <f t="shared" si="3"/>
        <v>0.136</v>
      </c>
      <c r="N7" s="62">
        <f t="shared" si="4"/>
        <v>0.136</v>
      </c>
      <c r="O7" s="60">
        <f t="shared" si="5"/>
        <v>0.136</v>
      </c>
      <c r="P7" s="63">
        <v>36.0</v>
      </c>
      <c r="Q7" s="77">
        <v>37.01</v>
      </c>
      <c r="R7" s="65">
        <v>4200.15</v>
      </c>
      <c r="S7" s="66">
        <f t="array" ref="S7">IF((XLOOKUP(D7,RUC!$B$3:$B$106,RUC!$E$3:$E$106)+ROUNDDOWN(O7,1)*100)&lt;95,95,((XLOOKUP(D7,RUC!$B$3:$B$106,RUC!$E$3:$E$106)+ROUNDDOWN(O7,1)*100)))</f>
        <v>100</v>
      </c>
      <c r="U7" s="67">
        <f t="array" ref="U7">XLOOKUP(D7,RUC!$B$3:$B$110,RUC!$F$3:$F$110)</f>
        <v>120</v>
      </c>
      <c r="V7" s="67">
        <v>1.1023</v>
      </c>
      <c r="Y7" s="57">
        <f t="array" ref="Y7">XLOOKUP(D7,RUC!$B$3:$B$110,RUC!$G$3:$G$110)</f>
        <v>20</v>
      </c>
      <c r="Z7" s="69">
        <f t="array" ref="Z7">XLOOKUP(D7,RUC!$B$3:$B$110,RUC!$H$3:$H$110)</f>
        <v>30</v>
      </c>
      <c r="AA7" s="70">
        <f t="shared" si="6"/>
        <v>50</v>
      </c>
      <c r="AB7" s="71">
        <f t="shared" si="7"/>
        <v>54.85501593</v>
      </c>
      <c r="AC7" s="71">
        <f>+(S7-T7)*V7-'data 1'!$F$4</f>
        <v>30.23</v>
      </c>
      <c r="AD7" s="71">
        <f t="shared" si="8"/>
        <v>6.995488251</v>
      </c>
      <c r="AE7" s="71">
        <f t="shared" si="9"/>
        <v>-14.885</v>
      </c>
      <c r="AF7" s="71">
        <f t="shared" si="10"/>
        <v>29.96177423</v>
      </c>
      <c r="AG7" s="72">
        <f t="shared" si="11"/>
        <v>69.30226248</v>
      </c>
      <c r="AH7" s="193">
        <f t="shared" si="12"/>
        <v>15.326</v>
      </c>
      <c r="AI7" s="193">
        <f t="shared" si="13"/>
        <v>41.411</v>
      </c>
      <c r="AJ7" s="73">
        <f t="shared" si="14"/>
        <v>33.28837169</v>
      </c>
      <c r="AK7" s="73">
        <f t="shared" si="15"/>
        <v>13.16535861</v>
      </c>
      <c r="AM7" s="51">
        <f t="shared" si="16"/>
        <v>430.2278899</v>
      </c>
      <c r="AN7" s="51" t="str">
        <f t="array" ref="AN7">XLOOKUP(D7,RUC!$B$3:$B$565,RUC!$M$3:$M$565)</f>
        <v>Richard Sapacayo</v>
      </c>
      <c r="AO7" s="131" t="s">
        <v>551</v>
      </c>
      <c r="AP7" s="57" t="s">
        <v>757</v>
      </c>
      <c r="AQ7" s="57" t="s">
        <v>628</v>
      </c>
      <c r="AV7" s="3"/>
      <c r="AW7" s="3" t="s">
        <v>14</v>
      </c>
      <c r="AX7" s="3" t="s">
        <v>683</v>
      </c>
      <c r="AY7" s="143" t="s">
        <v>683</v>
      </c>
      <c r="AZ7" s="3" t="s">
        <v>685</v>
      </c>
      <c r="BA7" s="3" t="s">
        <v>686</v>
      </c>
      <c r="BB7" s="3" t="s">
        <v>687</v>
      </c>
      <c r="BC7" s="3" t="s">
        <v>698</v>
      </c>
      <c r="BD7" s="65" t="s">
        <v>699</v>
      </c>
    </row>
    <row r="8" ht="15.0" customHeight="1">
      <c r="A8" s="192" t="s">
        <v>2475</v>
      </c>
      <c r="B8" s="194">
        <v>46018.0</v>
      </c>
      <c r="C8" s="182">
        <v>46009.0</v>
      </c>
      <c r="D8" s="57" t="s">
        <v>295</v>
      </c>
      <c r="E8" s="3">
        <f t="array" ref="E8">XLOOKUP(D8,RUC!$B$3:$B$110,RUC!$D$3:$D$110)</f>
        <v>20601769396</v>
      </c>
      <c r="G8" s="141">
        <v>40.0</v>
      </c>
      <c r="H8" s="3" t="s">
        <v>40</v>
      </c>
      <c r="I8" s="6">
        <v>3.45</v>
      </c>
      <c r="J8" s="58">
        <v>7.7</v>
      </c>
      <c r="K8" s="6">
        <f t="shared" si="2"/>
        <v>3.184</v>
      </c>
      <c r="L8" s="139">
        <v>0.057</v>
      </c>
      <c r="M8" s="60">
        <f t="shared" si="3"/>
        <v>0.039</v>
      </c>
      <c r="N8" s="62">
        <f t="shared" si="4"/>
        <v>0.039</v>
      </c>
      <c r="O8" s="60">
        <f t="shared" si="5"/>
        <v>0.039</v>
      </c>
      <c r="P8" s="63">
        <v>80.0</v>
      </c>
      <c r="Q8" s="58">
        <v>87.72</v>
      </c>
      <c r="R8" s="65">
        <v>4333.35</v>
      </c>
      <c r="S8" s="66">
        <f t="array" ref="S8">IF((XLOOKUP(D8,RUC!$B$3:$B$106,RUC!$E$3:$E$106)+ROUNDDOWN(O8,1)*100)&lt;95,95,((XLOOKUP(D8,RUC!$B$3:$B$106,RUC!$E$3:$E$106)+ROUNDDOWN(O8,1)*100)))</f>
        <v>95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69">
        <f t="array" ref="Z8">XLOOKUP(D8,RUC!$B$3:$B$110,RUC!$H$3:$H$110)</f>
        <v>30</v>
      </c>
      <c r="AA8" s="70">
        <f t="shared" si="6"/>
        <v>50</v>
      </c>
      <c r="AB8" s="71">
        <v>0.001</v>
      </c>
      <c r="AC8" s="71">
        <f>+(S8-T8)*V8-'data 1'!$F$4</f>
        <v>24.7185</v>
      </c>
      <c r="AD8" s="71">
        <f t="shared" si="8"/>
        <v>20.43711085</v>
      </c>
      <c r="AE8" s="71">
        <f t="shared" si="9"/>
        <v>-14.885</v>
      </c>
      <c r="AF8" s="71">
        <f t="shared" si="10"/>
        <v>73.33283463</v>
      </c>
      <c r="AG8" s="72">
        <f t="shared" si="11"/>
        <v>120.6034455</v>
      </c>
      <c r="AH8" s="193">
        <f t="shared" si="12"/>
        <v>5.458</v>
      </c>
      <c r="AI8" s="193">
        <f t="shared" si="13"/>
        <v>6.222</v>
      </c>
      <c r="AJ8" s="73">
        <f t="shared" si="14"/>
        <v>21.86153964</v>
      </c>
      <c r="AK8" s="73">
        <f t="shared" si="15"/>
        <v>3.405937877</v>
      </c>
      <c r="AM8" s="51">
        <f t="shared" si="16"/>
        <v>0.003184</v>
      </c>
      <c r="AN8" s="51" t="str">
        <f t="array" ref="AN8">XLOOKUP(D8,RUC!$B$3:$B$565,RUC!$M$3:$M$565)</f>
        <v>Evelyn</v>
      </c>
      <c r="AO8" s="131" t="s">
        <v>558</v>
      </c>
      <c r="AP8" s="57" t="s">
        <v>2476</v>
      </c>
      <c r="AQ8" s="57" t="s">
        <v>2477</v>
      </c>
      <c r="AV8" s="152" t="s">
        <v>558</v>
      </c>
      <c r="AW8" s="154">
        <f t="shared" ref="AW8:AW17" si="18">SUMIF($AO$4:$AO$1045,AV8,$K$4:$K$1045)</f>
        <v>130.864</v>
      </c>
      <c r="AX8" s="154">
        <f t="array" ref="AX8">+SUMPRODUCT(IF($AO$4:$AO$1045=AV8,$L$4:$L$1045*$K$4:$K$1045/AW8))</f>
        <v>0.318762769</v>
      </c>
      <c r="AY8" s="155">
        <f t="shared" ref="AY8:AY17" si="19">31.1035*1.1023*AX8*(100-AZ8)/100</f>
        <v>0.8312537542</v>
      </c>
      <c r="AZ8" s="157">
        <f t="array" ref="AZ8">+SUMPRODUCT(IF($AO$4:$AO$1045=AV8,($Q$4:$Q$1045*$AH$4:$AH$1045)/SUMIF($AO$4:$AO$1045,$AV8,$AH$4:$AH$1045)))</f>
        <v>92.39398881</v>
      </c>
      <c r="BA8" s="200">
        <f t="shared" ref="BA8:BA17" si="20">+AX8*31.1035*1.1023*AW8</f>
        <v>1430.200254</v>
      </c>
      <c r="BB8" s="156">
        <f t="shared" ref="BB8:BB17" si="21">SUMIF($AO$4:$AO$145,$AV8,$AH$4:$AH$145)</f>
        <v>1320.134</v>
      </c>
      <c r="BC8" s="157">
        <f>+BA8-BB8</f>
        <v>110.0662541</v>
      </c>
      <c r="BD8" s="158">
        <f>+AW8</f>
        <v>130.864</v>
      </c>
    </row>
    <row r="9" ht="15.0" customHeight="1">
      <c r="A9" s="116" t="s">
        <v>2478</v>
      </c>
      <c r="B9" s="182">
        <v>46018.0</v>
      </c>
      <c r="C9" s="182">
        <v>46009.0</v>
      </c>
      <c r="D9" s="57" t="s">
        <v>295</v>
      </c>
      <c r="E9" s="3">
        <f t="array" ref="E9">XLOOKUP(D9,RUC!$B$3:$B$110,RUC!$D$3:$D$110)</f>
        <v>20601769396</v>
      </c>
      <c r="G9" s="141">
        <v>85.0</v>
      </c>
      <c r="H9" s="3" t="s">
        <v>40</v>
      </c>
      <c r="I9" s="6">
        <v>7.09</v>
      </c>
      <c r="J9" s="58">
        <v>8.5</v>
      </c>
      <c r="K9" s="6">
        <f t="shared" si="2"/>
        <v>6.487</v>
      </c>
      <c r="L9" s="139">
        <v>0.181</v>
      </c>
      <c r="M9" s="60">
        <f t="shared" si="3"/>
        <v>0.163</v>
      </c>
      <c r="N9" s="62">
        <f t="shared" si="4"/>
        <v>0.163</v>
      </c>
      <c r="O9" s="60">
        <f t="shared" si="5"/>
        <v>0.163</v>
      </c>
      <c r="P9" s="63">
        <v>90.0</v>
      </c>
      <c r="Q9" s="58">
        <v>91.16</v>
      </c>
      <c r="R9" s="65">
        <v>4333.35</v>
      </c>
      <c r="S9" s="66">
        <f t="array" ref="S9">IF((XLOOKUP(D9,RUC!$B$3:$B$106,RUC!$E$3:$E$106)+ROUNDDOWN(O9,1)*100)&lt;95,95,((XLOOKUP(D9,RUC!$B$3:$B$106,RUC!$E$3:$E$106)+ROUNDDOWN(O9,1)*100)))</f>
        <v>100</v>
      </c>
      <c r="U9" s="67">
        <f t="array" ref="U9">XLOOKUP(D9,RUC!$B$3:$B$110,RUC!$F$3:$F$110)</f>
        <v>120</v>
      </c>
      <c r="V9" s="67">
        <v>1.1023</v>
      </c>
      <c r="Y9" s="57">
        <f t="array" ref="Y9">XLOOKUP(D9,RUC!$B$3:$B$110,RUC!$G$3:$G$110)</f>
        <v>20</v>
      </c>
      <c r="Z9" s="69">
        <f t="array" ref="Z9">XLOOKUP(D9,RUC!$B$3:$B$110,RUC!$H$3:$H$110)</f>
        <v>30</v>
      </c>
      <c r="AA9" s="70">
        <f t="shared" si="6"/>
        <v>50</v>
      </c>
      <c r="AB9" s="71">
        <f t="shared" ref="AB9:AB27" si="22">+((O9*P9*(R9-U9)/100)-S9-AA9+T9)*V9</f>
        <v>515.9849159</v>
      </c>
      <c r="AC9" s="71">
        <f>+(S9-T9)*V9-'data 1'!$F$4</f>
        <v>30.23</v>
      </c>
      <c r="AD9" s="71">
        <f t="shared" si="8"/>
        <v>9.75133123</v>
      </c>
      <c r="AE9" s="71">
        <f t="shared" si="9"/>
        <v>-14.885</v>
      </c>
      <c r="AF9" s="71">
        <f t="shared" si="10"/>
        <v>76.20863207</v>
      </c>
      <c r="AG9" s="72">
        <f t="shared" si="11"/>
        <v>118.3049633</v>
      </c>
      <c r="AH9" s="193">
        <f t="shared" si="12"/>
        <v>36.697</v>
      </c>
      <c r="AI9" s="193">
        <f t="shared" si="13"/>
        <v>40.256</v>
      </c>
      <c r="AJ9" s="73">
        <f t="shared" si="14"/>
        <v>72.14232878</v>
      </c>
      <c r="AK9" s="73">
        <f t="shared" si="15"/>
        <v>32.62744611</v>
      </c>
      <c r="AM9" s="51">
        <f t="shared" si="16"/>
        <v>3347.19415</v>
      </c>
      <c r="AN9" s="51" t="str">
        <f t="array" ref="AN9">XLOOKUP(D9,RUC!$B$3:$B$565,RUC!$M$3:$M$565)</f>
        <v>Evelyn</v>
      </c>
      <c r="AO9" s="131" t="s">
        <v>558</v>
      </c>
      <c r="AP9" s="57" t="s">
        <v>2476</v>
      </c>
      <c r="AQ9" s="57" t="s">
        <v>2477</v>
      </c>
      <c r="AV9" s="160" t="s">
        <v>551</v>
      </c>
      <c r="AW9" s="6">
        <f t="shared" si="18"/>
        <v>157.523</v>
      </c>
      <c r="AX9" s="6">
        <f t="array" ref="AX9">+SUMPRODUCT(IF($AO$4:$AO$1045=AV9,$L$4:$L$1045*$K$4:$K$1045/AW9))</f>
        <v>0.3290961066</v>
      </c>
      <c r="AY9" s="145">
        <f t="shared" si="19"/>
        <v>1.165382361</v>
      </c>
      <c r="AZ9" s="58">
        <f t="array" ref="AZ9">+SUMPRODUCT(IF($AO$4:$AO$1045=AV9,($Q$4:$Q$1045*$AH$4:$AH$1045)/SUMIF($AO$4:$AO$1045,$AV9,$AH$4:$AH$1045)))</f>
        <v>89.67151491</v>
      </c>
      <c r="BA9" s="5">
        <f t="shared" si="20"/>
        <v>1777.361579</v>
      </c>
      <c r="BB9" s="65">
        <f t="shared" si="21"/>
        <v>1578.154</v>
      </c>
      <c r="BC9" s="58">
        <f t="shared" ref="BC9:BC17" si="23">+BC8+BA9-BB9</f>
        <v>309.2738334</v>
      </c>
      <c r="BD9" s="161">
        <f t="shared" ref="BD9:BD17" si="24">+BD8+AW9</f>
        <v>288.387</v>
      </c>
    </row>
    <row r="10" ht="15.0" customHeight="1">
      <c r="A10" s="116" t="s">
        <v>2479</v>
      </c>
      <c r="B10" s="182">
        <v>46015.0</v>
      </c>
      <c r="C10" s="182">
        <v>46009.0</v>
      </c>
      <c r="D10" s="57" t="s">
        <v>602</v>
      </c>
      <c r="E10" s="3">
        <f t="array" ref="E10">XLOOKUP(D10,RUC!$B$3:$B$110,RUC!$D$3:$D$110)</f>
        <v>20169040231</v>
      </c>
      <c r="G10" s="141">
        <v>50.0</v>
      </c>
      <c r="H10" s="3" t="s">
        <v>47</v>
      </c>
      <c r="I10" s="6">
        <v>4.44</v>
      </c>
      <c r="J10" s="58">
        <v>1.2</v>
      </c>
      <c r="K10" s="6">
        <f t="shared" si="2"/>
        <v>4.387</v>
      </c>
      <c r="L10" s="139">
        <v>0.195</v>
      </c>
      <c r="M10" s="60">
        <f t="shared" si="3"/>
        <v>0.177</v>
      </c>
      <c r="N10" s="62">
        <f t="shared" si="4"/>
        <v>0.177</v>
      </c>
      <c r="O10" s="60">
        <f t="shared" si="5"/>
        <v>0.177</v>
      </c>
      <c r="P10" s="63">
        <v>85.0</v>
      </c>
      <c r="Q10" s="58">
        <v>90.77</v>
      </c>
      <c r="R10" s="65">
        <v>4333.35</v>
      </c>
      <c r="S10" s="66">
        <f t="array" ref="S10">IF((XLOOKUP(D10,RUC!$B$3:$B$106,RUC!$E$3:$E$106)+ROUNDDOWN(O10,1)*100)&lt;95,95,((XLOOKUP(D10,RUC!$B$3:$B$106,RUC!$E$3:$E$106)+ROUNDDOWN(O10,1)*100)))</f>
        <v>95</v>
      </c>
      <c r="U10" s="67">
        <f t="array" ref="U10">XLOOKUP(D10,RUC!$B$3:$B$110,RUC!$F$3:$F$110)</f>
        <v>120</v>
      </c>
      <c r="V10" s="67">
        <v>1.1023</v>
      </c>
      <c r="Y10" s="199">
        <v>25.0</v>
      </c>
      <c r="Z10" s="69">
        <f t="array" ref="Z10">XLOOKUP(D10,RUC!$B$3:$B$110,RUC!$H$3:$H$110)</f>
        <v>30</v>
      </c>
      <c r="AA10" s="70">
        <f t="shared" si="6"/>
        <v>55</v>
      </c>
      <c r="AB10" s="71">
        <f t="shared" si="22"/>
        <v>533.4013248</v>
      </c>
      <c r="AC10" s="71">
        <f>+(S10-T10)*V10-'data 1'!$F$4</f>
        <v>24.7185</v>
      </c>
      <c r="AD10" s="71">
        <f t="shared" si="8"/>
        <v>52.25619324</v>
      </c>
      <c r="AE10" s="71">
        <f t="shared" si="9"/>
        <v>-9.3735</v>
      </c>
      <c r="AF10" s="71">
        <f t="shared" si="10"/>
        <v>75.88259689</v>
      </c>
      <c r="AG10" s="72">
        <f t="shared" si="11"/>
        <v>160.4837901</v>
      </c>
      <c r="AH10" s="193">
        <f t="shared" si="12"/>
        <v>26.623</v>
      </c>
      <c r="AI10" s="193">
        <f t="shared" si="13"/>
        <v>29.33</v>
      </c>
      <c r="AJ10" s="73">
        <f t="shared" si="14"/>
        <v>77.38988706</v>
      </c>
      <c r="AK10" s="73">
        <f t="shared" si="15"/>
        <v>22.62918411</v>
      </c>
      <c r="AM10" s="51">
        <f t="shared" si="16"/>
        <v>2340.031612</v>
      </c>
      <c r="AN10" s="51" t="str">
        <f t="array" ref="AN10">XLOOKUP(D10,RUC!$B$3:$B$565,RUC!$M$3:$M$565)</f>
        <v>Ronald Miranda</v>
      </c>
      <c r="AO10" s="131" t="s">
        <v>551</v>
      </c>
      <c r="AP10" s="57" t="s">
        <v>2480</v>
      </c>
      <c r="AQ10" s="57" t="s">
        <v>2481</v>
      </c>
      <c r="AV10" s="160" t="s">
        <v>547</v>
      </c>
      <c r="AW10" s="6">
        <f t="shared" si="18"/>
        <v>163.845</v>
      </c>
      <c r="AX10" s="6">
        <f t="array" ref="AX10">+SUMPRODUCT(IF($AO$4:$AO$1045=AV10,$L$4:$L$1045*$K$4:$K$1045/AW10))</f>
        <v>0.3308068296</v>
      </c>
      <c r="AY10" s="145">
        <f t="shared" si="19"/>
        <v>1.003747142</v>
      </c>
      <c r="AZ10" s="58">
        <f t="array" ref="AZ10">+SUMPRODUCT(IF($AO$4:$AO$1045=AV10,($Q$4:$Q$1045*$AH$4:$AH$1045)/SUMIF($AO$4:$AO$1045,$AV10,$AH$4:$AH$1045)))</f>
        <v>91.15005064</v>
      </c>
      <c r="BA10" s="65">
        <f t="shared" si="20"/>
        <v>1858.303861</v>
      </c>
      <c r="BB10" s="65">
        <f t="shared" si="21"/>
        <v>1680.373</v>
      </c>
      <c r="BC10" s="58">
        <f t="shared" si="23"/>
        <v>487.2046939</v>
      </c>
      <c r="BD10" s="161">
        <f t="shared" si="24"/>
        <v>452.232</v>
      </c>
    </row>
    <row r="11" ht="15.0" customHeight="1">
      <c r="A11" s="116" t="s">
        <v>2482</v>
      </c>
      <c r="B11" s="182">
        <v>46015.0</v>
      </c>
      <c r="C11" s="182">
        <v>46009.0</v>
      </c>
      <c r="D11" s="57" t="s">
        <v>602</v>
      </c>
      <c r="E11" s="3">
        <f t="array" ref="E11">XLOOKUP(D11,RUC!$B$3:$B$110,RUC!$D$3:$D$110)</f>
        <v>20169040231</v>
      </c>
      <c r="G11" s="141">
        <v>50.0</v>
      </c>
      <c r="H11" s="3" t="s">
        <v>47</v>
      </c>
      <c r="I11" s="6">
        <v>4.31</v>
      </c>
      <c r="J11" s="58">
        <v>1.25</v>
      </c>
      <c r="K11" s="6">
        <f t="shared" si="2"/>
        <v>4.256</v>
      </c>
      <c r="L11" s="139">
        <v>0.161</v>
      </c>
      <c r="M11" s="60">
        <f t="shared" si="3"/>
        <v>0.143</v>
      </c>
      <c r="N11" s="62">
        <f t="shared" si="4"/>
        <v>0.143</v>
      </c>
      <c r="O11" s="60">
        <f t="shared" si="5"/>
        <v>0.143</v>
      </c>
      <c r="P11" s="63">
        <v>80.0</v>
      </c>
      <c r="Q11" s="58">
        <v>96.27</v>
      </c>
      <c r="R11" s="65">
        <v>4333.35</v>
      </c>
      <c r="S11" s="66">
        <f t="array" ref="S11">IF((XLOOKUP(D11,RUC!$B$3:$B$106,RUC!$E$3:$E$106)+ROUNDDOWN(O11,1)*100)&lt;95,95,((XLOOKUP(D11,RUC!$B$3:$B$106,RUC!$E$3:$E$106)+ROUNDDOWN(O11,1)*100)))</f>
        <v>95</v>
      </c>
      <c r="U11" s="67">
        <f t="array" ref="U11">XLOOKUP(D11,RUC!$B$3:$B$110,RUC!$F$3:$F$110)</f>
        <v>120</v>
      </c>
      <c r="V11" s="67">
        <v>1.1023</v>
      </c>
      <c r="Y11" s="199">
        <v>25.0</v>
      </c>
      <c r="Z11" s="69">
        <f t="array" ref="Z11">XLOOKUP(D11,RUC!$B$3:$B$110,RUC!$H$3:$H$110)</f>
        <v>30</v>
      </c>
      <c r="AA11" s="70">
        <f t="shared" si="6"/>
        <v>55</v>
      </c>
      <c r="AB11" s="71">
        <f t="shared" si="22"/>
        <v>365.9715807</v>
      </c>
      <c r="AC11" s="71">
        <f>+(S11-T11)*V11-'data 1'!$F$4</f>
        <v>24.7185</v>
      </c>
      <c r="AD11" s="71">
        <f t="shared" si="8"/>
        <v>121.6580283</v>
      </c>
      <c r="AE11" s="71">
        <f t="shared" si="9"/>
        <v>-9.3735</v>
      </c>
      <c r="AF11" s="71">
        <f t="shared" si="10"/>
        <v>80.48052884</v>
      </c>
      <c r="AG11" s="72">
        <f t="shared" si="11"/>
        <v>234.4835571</v>
      </c>
      <c r="AH11" s="193">
        <f t="shared" si="12"/>
        <v>22.617</v>
      </c>
      <c r="AI11" s="193">
        <f t="shared" si="13"/>
        <v>23.493</v>
      </c>
      <c r="AJ11" s="73">
        <f t="shared" si="14"/>
        <v>67.76791342</v>
      </c>
      <c r="AK11" s="73">
        <f t="shared" si="15"/>
        <v>16.69308916</v>
      </c>
      <c r="AM11" s="51">
        <f t="shared" si="16"/>
        <v>1557.575047</v>
      </c>
      <c r="AN11" s="51" t="str">
        <f t="array" ref="AN11">XLOOKUP(D11,RUC!$B$3:$B$565,RUC!$M$3:$M$565)</f>
        <v>Ronald Miranda</v>
      </c>
      <c r="AO11" s="131" t="s">
        <v>551</v>
      </c>
      <c r="AP11" s="57" t="s">
        <v>2480</v>
      </c>
      <c r="AQ11" s="57" t="s">
        <v>2481</v>
      </c>
      <c r="AV11" s="160" t="s">
        <v>549</v>
      </c>
      <c r="AW11" s="6">
        <f t="shared" si="18"/>
        <v>0</v>
      </c>
      <c r="AX11" s="6">
        <f t="array" ref="AX11">+SUMPRODUCT(IF($AO$4:$AO$1045=AV11,$L$4:$L$1045*$K$4:$K$1045/AW11))</f>
        <v>0</v>
      </c>
      <c r="AY11" s="145">
        <f t="shared" si="19"/>
        <v>0</v>
      </c>
      <c r="AZ11" s="58">
        <f t="array" ref="AZ11">+SUMPRODUCT(IF($AO$4:$AO$1045=AV11,($Q$4:$Q$1045*$AH$4:$AH$1045)/SUMIF($AO$4:$AO$1045,$AV11,$AH$4:$AH$1045)))</f>
        <v>0</v>
      </c>
      <c r="BA11" s="65">
        <f t="shared" si="20"/>
        <v>0</v>
      </c>
      <c r="BB11" s="65">
        <f t="shared" si="21"/>
        <v>0</v>
      </c>
      <c r="BC11" s="58">
        <f t="shared" si="23"/>
        <v>487.2046939</v>
      </c>
      <c r="BD11" s="161">
        <f t="shared" si="24"/>
        <v>452.232</v>
      </c>
    </row>
    <row r="12" ht="15.0" customHeight="1">
      <c r="A12" s="116" t="s">
        <v>2483</v>
      </c>
      <c r="B12" s="182">
        <v>46015.0</v>
      </c>
      <c r="C12" s="182">
        <v>46009.0</v>
      </c>
      <c r="D12" s="57" t="s">
        <v>602</v>
      </c>
      <c r="E12" s="3">
        <f t="array" ref="E12">XLOOKUP(D12,RUC!$B$3:$B$110,RUC!$D$3:$D$110)</f>
        <v>20169040231</v>
      </c>
      <c r="G12" s="141">
        <v>45.0</v>
      </c>
      <c r="H12" s="3" t="s">
        <v>47</v>
      </c>
      <c r="I12" s="6">
        <v>4.13</v>
      </c>
      <c r="J12" s="58">
        <v>1.35</v>
      </c>
      <c r="K12" s="6">
        <f t="shared" si="2"/>
        <v>4.074</v>
      </c>
      <c r="L12" s="139">
        <v>0.147</v>
      </c>
      <c r="M12" s="60">
        <f t="shared" si="3"/>
        <v>0.129</v>
      </c>
      <c r="N12" s="62">
        <f t="shared" si="4"/>
        <v>0.129</v>
      </c>
      <c r="O12" s="60">
        <f t="shared" si="5"/>
        <v>0.129</v>
      </c>
      <c r="P12" s="63">
        <v>80.0</v>
      </c>
      <c r="Q12" s="58">
        <v>90.48</v>
      </c>
      <c r="R12" s="65">
        <v>4333.35</v>
      </c>
      <c r="S12" s="66">
        <f t="array" ref="S12">IF((XLOOKUP(D12,RUC!$B$3:$B$106,RUC!$E$3:$E$106)+ROUNDDOWN(O12,1)*100)&lt;95,95,((XLOOKUP(D12,RUC!$B$3:$B$106,RUC!$E$3:$E$106)+ROUNDDOWN(O12,1)*100)))</f>
        <v>95</v>
      </c>
      <c r="U12" s="67">
        <f t="array" ref="U12">XLOOKUP(D12,RUC!$B$3:$B$110,RUC!$F$3:$F$110)</f>
        <v>120</v>
      </c>
      <c r="V12" s="67">
        <v>1.1023</v>
      </c>
      <c r="Y12" s="199">
        <v>25.0</v>
      </c>
      <c r="Z12" s="140">
        <v>35.0</v>
      </c>
      <c r="AA12" s="70">
        <f t="shared" si="6"/>
        <v>60</v>
      </c>
      <c r="AB12" s="71">
        <f t="shared" si="22"/>
        <v>308.4430728</v>
      </c>
      <c r="AC12" s="71">
        <f>+(S12-T12)*V12-'data 1'!$F$4</f>
        <v>24.7185</v>
      </c>
      <c r="AD12" s="71">
        <f t="shared" si="8"/>
        <v>71.54939436</v>
      </c>
      <c r="AE12" s="71">
        <f t="shared" si="9"/>
        <v>-3.862</v>
      </c>
      <c r="AF12" s="71">
        <f t="shared" si="10"/>
        <v>75.64016048</v>
      </c>
      <c r="AG12" s="72">
        <f t="shared" si="11"/>
        <v>185.0460548</v>
      </c>
      <c r="AH12" s="193">
        <f t="shared" si="12"/>
        <v>18.578</v>
      </c>
      <c r="AI12" s="193">
        <f t="shared" si="13"/>
        <v>20.533</v>
      </c>
      <c r="AJ12" s="73">
        <f t="shared" si="14"/>
        <v>58.15367871</v>
      </c>
      <c r="AK12" s="73">
        <f t="shared" si="15"/>
        <v>14.41483884</v>
      </c>
      <c r="AM12" s="51">
        <f t="shared" si="16"/>
        <v>1256.597078</v>
      </c>
      <c r="AN12" s="51" t="str">
        <f t="array" ref="AN12">XLOOKUP(D12,RUC!$B$3:$B$565,RUC!$M$3:$M$565)</f>
        <v>Ronald Miranda</v>
      </c>
      <c r="AO12" s="131" t="s">
        <v>551</v>
      </c>
      <c r="AP12" s="57" t="s">
        <v>2480</v>
      </c>
      <c r="AQ12" s="57" t="s">
        <v>2481</v>
      </c>
      <c r="AV12" s="160" t="s">
        <v>561</v>
      </c>
      <c r="AW12" s="6">
        <f t="shared" si="18"/>
        <v>0</v>
      </c>
      <c r="AX12" s="6">
        <f t="array" ref="AX12">+SUMPRODUCT(IF($AO$4:$AO$1045=AV12,$L$4:$L$1045*$K$4:$K$1045/AW12))</f>
        <v>0</v>
      </c>
      <c r="AY12" s="145">
        <f t="shared" si="19"/>
        <v>0</v>
      </c>
      <c r="AZ12" s="58">
        <f t="array" ref="AZ12">+SUMPRODUCT(IF($AO$4:$AO$1045=AV12,($Q$4:$Q$1045*$AH$4:$AH$1045)/SUMIF($AO$4:$AO$1045,$AV12,$AH$4:$AH$1045)))</f>
        <v>0</v>
      </c>
      <c r="BA12" s="65">
        <f t="shared" si="20"/>
        <v>0</v>
      </c>
      <c r="BB12" s="65">
        <f t="shared" si="21"/>
        <v>0</v>
      </c>
      <c r="BC12" s="58">
        <f t="shared" si="23"/>
        <v>487.2046939</v>
      </c>
      <c r="BD12" s="161">
        <f t="shared" si="24"/>
        <v>452.232</v>
      </c>
    </row>
    <row r="13" ht="15.0" customHeight="1">
      <c r="A13" s="116" t="s">
        <v>2484</v>
      </c>
      <c r="B13" s="182">
        <v>46015.0</v>
      </c>
      <c r="C13" s="182">
        <v>46009.0</v>
      </c>
      <c r="D13" s="57" t="s">
        <v>602</v>
      </c>
      <c r="E13" s="3">
        <f t="array" ref="E13">XLOOKUP(D13,RUC!$B$3:$B$110,RUC!$D$3:$D$110)</f>
        <v>20169040231</v>
      </c>
      <c r="G13" s="141">
        <v>65.0</v>
      </c>
      <c r="H13" s="3" t="s">
        <v>47</v>
      </c>
      <c r="I13" s="6">
        <v>6.79</v>
      </c>
      <c r="J13" s="58">
        <v>1.8</v>
      </c>
      <c r="K13" s="6">
        <f t="shared" si="2"/>
        <v>6.668</v>
      </c>
      <c r="L13" s="139">
        <v>0.261</v>
      </c>
      <c r="M13" s="60">
        <f t="shared" si="3"/>
        <v>0.243</v>
      </c>
      <c r="N13" s="62">
        <f t="shared" si="4"/>
        <v>0.243</v>
      </c>
      <c r="O13" s="60">
        <f t="shared" si="5"/>
        <v>0.243</v>
      </c>
      <c r="P13" s="63">
        <v>88.0</v>
      </c>
      <c r="Q13" s="58">
        <v>88.89</v>
      </c>
      <c r="R13" s="65">
        <v>4333.35</v>
      </c>
      <c r="S13" s="66">
        <f t="array" ref="S13">IF((XLOOKUP(D13,RUC!$B$3:$B$106,RUC!$E$3:$E$106)+ROUNDDOWN(O13,1)*100)&lt;95,95,((XLOOKUP(D13,RUC!$B$3:$B$106,RUC!$E$3:$E$106)+ROUNDDOWN(O13,1)*100)))</f>
        <v>105</v>
      </c>
      <c r="U13" s="67">
        <f t="array" ref="U13">XLOOKUP(D13,RUC!$B$3:$B$110,RUC!$F$3:$F$110)</f>
        <v>120</v>
      </c>
      <c r="V13" s="67">
        <v>1.1023</v>
      </c>
      <c r="Y13" s="199">
        <v>25.0</v>
      </c>
      <c r="Z13" s="140">
        <v>35.0</v>
      </c>
      <c r="AA13" s="70">
        <f t="shared" si="6"/>
        <v>60</v>
      </c>
      <c r="AB13" s="71">
        <f t="shared" si="22"/>
        <v>811.2738008</v>
      </c>
      <c r="AC13" s="71">
        <f>+(S13-T13)*V13-'data 1'!$F$4</f>
        <v>35.7415</v>
      </c>
      <c r="AD13" s="71">
        <f t="shared" si="8"/>
        <v>10.78842033</v>
      </c>
      <c r="AE13" s="71">
        <f t="shared" si="9"/>
        <v>-3.862</v>
      </c>
      <c r="AF13" s="71">
        <f t="shared" si="10"/>
        <v>74.31094016</v>
      </c>
      <c r="AG13" s="72">
        <f t="shared" si="11"/>
        <v>133.9788605</v>
      </c>
      <c r="AH13" s="193">
        <f t="shared" si="12"/>
        <v>53.039</v>
      </c>
      <c r="AI13" s="193">
        <f t="shared" si="13"/>
        <v>59.669</v>
      </c>
      <c r="AJ13" s="73">
        <f t="shared" si="14"/>
        <v>101.4380004</v>
      </c>
      <c r="AK13" s="73">
        <f t="shared" si="15"/>
        <v>48.88702465</v>
      </c>
      <c r="AM13" s="51">
        <f t="shared" si="16"/>
        <v>5409.573703</v>
      </c>
      <c r="AN13" s="51" t="str">
        <f t="array" ref="AN13">XLOOKUP(D13,RUC!$B$3:$B$565,RUC!$M$3:$M$565)</f>
        <v>Ronald Miranda</v>
      </c>
      <c r="AO13" s="131" t="s">
        <v>551</v>
      </c>
      <c r="AP13" s="57" t="s">
        <v>2480</v>
      </c>
      <c r="AQ13" s="57" t="s">
        <v>2481</v>
      </c>
      <c r="AR13" s="57" t="s">
        <v>2211</v>
      </c>
      <c r="AV13" s="160" t="s">
        <v>689</v>
      </c>
      <c r="AW13" s="6">
        <f t="shared" si="18"/>
        <v>0</v>
      </c>
      <c r="AX13" s="6">
        <f t="array" ref="AX13">+SUMPRODUCT(IF($AO$4:$AO$1045=AV13,$L$4:$L$1045*$K$4:$K$1045/AW13))</f>
        <v>0</v>
      </c>
      <c r="AY13" s="145">
        <f t="shared" si="19"/>
        <v>0</v>
      </c>
      <c r="AZ13" s="58">
        <f t="array" ref="AZ13">+SUMPRODUCT(IF('35'!$AO$4:$AO$937=AV13,('35'!$Q$4:$Q$937*'35'!$AH$4:$AH$937)/SUMIF('35'!$AO$4:$AO$937,#REF!,'35'!$AH$4:$AH$937)))</f>
        <v>0</v>
      </c>
      <c r="BA13" s="65">
        <f t="shared" si="20"/>
        <v>0</v>
      </c>
      <c r="BB13" s="65">
        <f t="shared" si="21"/>
        <v>0</v>
      </c>
      <c r="BC13" s="58">
        <f t="shared" si="23"/>
        <v>487.2046939</v>
      </c>
      <c r="BD13" s="161">
        <f t="shared" si="24"/>
        <v>452.232</v>
      </c>
    </row>
    <row r="14" ht="15.0" customHeight="1">
      <c r="A14" s="116" t="s">
        <v>2485</v>
      </c>
      <c r="B14" s="182">
        <v>46015.0</v>
      </c>
      <c r="C14" s="182">
        <v>46009.0</v>
      </c>
      <c r="D14" s="57" t="s">
        <v>602</v>
      </c>
      <c r="E14" s="3">
        <f t="array" ref="E14">XLOOKUP(D14,RUC!$B$3:$B$110,RUC!$D$3:$D$110)</f>
        <v>20169040231</v>
      </c>
      <c r="G14" s="141">
        <v>65.0</v>
      </c>
      <c r="H14" s="3" t="s">
        <v>47</v>
      </c>
      <c r="I14" s="6">
        <v>6.96</v>
      </c>
      <c r="J14" s="58">
        <v>2.3</v>
      </c>
      <c r="K14" s="6">
        <f t="shared" si="2"/>
        <v>6.8</v>
      </c>
      <c r="L14" s="139">
        <v>0.307</v>
      </c>
      <c r="M14" s="60">
        <f t="shared" si="3"/>
        <v>0.289</v>
      </c>
      <c r="N14" s="62">
        <f t="shared" si="4"/>
        <v>0.289</v>
      </c>
      <c r="O14" s="60">
        <f t="shared" si="5"/>
        <v>0.289</v>
      </c>
      <c r="P14" s="63">
        <v>90.0</v>
      </c>
      <c r="Q14" s="58">
        <v>93.16</v>
      </c>
      <c r="R14" s="65">
        <v>4333.35</v>
      </c>
      <c r="S14" s="66">
        <f t="array" ref="S14">IF((XLOOKUP(D14,RUC!$B$3:$B$106,RUC!$E$3:$E$106)+ROUNDDOWN(O14,1)*100)&lt;95,95,((XLOOKUP(D14,RUC!$B$3:$B$106,RUC!$E$3:$E$106)+ROUNDDOWN(O14,1)*100)))</f>
        <v>105</v>
      </c>
      <c r="U14" s="67">
        <f t="array" ref="U14">XLOOKUP(D14,RUC!$B$3:$B$110,RUC!$F$3:$F$110)</f>
        <v>120</v>
      </c>
      <c r="V14" s="67">
        <v>1.1023</v>
      </c>
      <c r="Y14" s="199">
        <v>25.0</v>
      </c>
      <c r="Z14" s="140">
        <v>35.0</v>
      </c>
      <c r="AA14" s="70">
        <f t="shared" si="6"/>
        <v>60</v>
      </c>
      <c r="AB14" s="71">
        <f t="shared" si="22"/>
        <v>1026.122621</v>
      </c>
      <c r="AC14" s="71">
        <f>+(S14-T14)*V14-'data 1'!$F$4</f>
        <v>35.7415</v>
      </c>
      <c r="AD14" s="71">
        <f t="shared" si="8"/>
        <v>45.05601759</v>
      </c>
      <c r="AE14" s="71">
        <f t="shared" si="9"/>
        <v>-3.862</v>
      </c>
      <c r="AF14" s="71">
        <f t="shared" si="10"/>
        <v>77.88060732</v>
      </c>
      <c r="AG14" s="72">
        <f t="shared" si="11"/>
        <v>171.8161249</v>
      </c>
      <c r="AH14" s="193">
        <f t="shared" si="12"/>
        <v>66.679</v>
      </c>
      <c r="AI14" s="193">
        <f t="shared" si="13"/>
        <v>71.574</v>
      </c>
      <c r="AJ14" s="73">
        <f t="shared" si="14"/>
        <v>125.047531</v>
      </c>
      <c r="AK14" s="73">
        <f t="shared" si="15"/>
        <v>60.63988014</v>
      </c>
      <c r="AM14" s="51">
        <f t="shared" si="16"/>
        <v>6977.633822</v>
      </c>
      <c r="AN14" s="51" t="str">
        <f t="array" ref="AN14">XLOOKUP(D14,RUC!$B$3:$B$565,RUC!$M$3:$M$565)</f>
        <v>Ronald Miranda</v>
      </c>
      <c r="AO14" s="131" t="s">
        <v>551</v>
      </c>
      <c r="AP14" s="57" t="s">
        <v>2480</v>
      </c>
      <c r="AQ14" s="57" t="s">
        <v>2481</v>
      </c>
      <c r="AV14" s="160" t="s">
        <v>690</v>
      </c>
      <c r="AW14" s="6">
        <f t="shared" si="18"/>
        <v>0</v>
      </c>
      <c r="AX14" s="6">
        <f t="array" ref="AX14">+SUMPRODUCT(IF($AO$4:$AO$1045=AV14,$L$4:$L$1045*$K$4:$K$1045/AW14))</f>
        <v>0</v>
      </c>
      <c r="AY14" s="145">
        <f t="shared" si="19"/>
        <v>0</v>
      </c>
      <c r="AZ14" s="58">
        <f t="array" ref="AZ14">+SUMPRODUCT(IF('35'!$AO$4:$AO$937=AV14,('35'!$Q$4:$Q$937*'35'!$AH$4:$AH$937)/SUMIF('35'!$AO$4:$AO$937,#REF!,'35'!$AH$4:$AH$937)))</f>
        <v>0</v>
      </c>
      <c r="BA14" s="65">
        <f t="shared" si="20"/>
        <v>0</v>
      </c>
      <c r="BB14" s="65">
        <f t="shared" si="21"/>
        <v>0</v>
      </c>
      <c r="BC14" s="58">
        <f t="shared" si="23"/>
        <v>487.2046939</v>
      </c>
      <c r="BD14" s="161">
        <f t="shared" si="24"/>
        <v>452.232</v>
      </c>
    </row>
    <row r="15" ht="15.0" customHeight="1">
      <c r="A15" s="116" t="s">
        <v>2486</v>
      </c>
      <c r="B15" s="182">
        <v>46015.0</v>
      </c>
      <c r="C15" s="182">
        <v>46010.0</v>
      </c>
      <c r="D15" s="57" t="s">
        <v>295</v>
      </c>
      <c r="E15" s="3">
        <f t="array" ref="E15">XLOOKUP(D15,RUC!$B$3:$B$110,RUC!$D$3:$D$110)</f>
        <v>20601769396</v>
      </c>
      <c r="G15" s="141">
        <v>49.0</v>
      </c>
      <c r="H15" s="3" t="s">
        <v>40</v>
      </c>
      <c r="I15" s="6">
        <v>2.48</v>
      </c>
      <c r="J15" s="58">
        <v>16.03</v>
      </c>
      <c r="K15" s="6">
        <f t="shared" si="2"/>
        <v>2.082</v>
      </c>
      <c r="L15" s="139">
        <v>0.813</v>
      </c>
      <c r="M15" s="60">
        <f t="shared" si="3"/>
        <v>0.764</v>
      </c>
      <c r="N15" s="62">
        <f t="shared" si="4"/>
        <v>0.764</v>
      </c>
      <c r="O15" s="60">
        <f t="shared" si="5"/>
        <v>0.764</v>
      </c>
      <c r="P15" s="63">
        <v>90.0</v>
      </c>
      <c r="Q15" s="58">
        <v>96.19</v>
      </c>
      <c r="R15" s="65">
        <v>4337.6</v>
      </c>
      <c r="S15" s="66">
        <f t="array" ref="S15">IF((XLOOKUP(D15,RUC!$B$3:$B$106,RUC!$E$3:$E$106)+ROUNDDOWN(O15,1)*100)&lt;95,95,((XLOOKUP(D15,RUC!$B$3:$B$106,RUC!$E$3:$E$106)+ROUNDDOWN(O15,1)*100)))</f>
        <v>160</v>
      </c>
      <c r="U15" s="67">
        <f t="array" ref="U15">XLOOKUP(D15,RUC!$B$3:$B$110,RUC!$F$3:$F$110)</f>
        <v>120</v>
      </c>
      <c r="V15" s="67">
        <v>1.1023</v>
      </c>
      <c r="Y15" s="199">
        <v>30.0</v>
      </c>
      <c r="Z15" s="140">
        <v>40.0</v>
      </c>
      <c r="AA15" s="70">
        <f t="shared" si="6"/>
        <v>70</v>
      </c>
      <c r="AB15" s="71">
        <f t="shared" si="22"/>
        <v>2943.164986</v>
      </c>
      <c r="AC15" s="71">
        <f>+(S15-T15)*V15-'data 1'!$F$4</f>
        <v>96.368</v>
      </c>
      <c r="AD15" s="71">
        <f t="shared" si="8"/>
        <v>233.9625739</v>
      </c>
      <c r="AE15" s="71">
        <f t="shared" si="9"/>
        <v>7.161</v>
      </c>
      <c r="AF15" s="71">
        <f t="shared" si="10"/>
        <v>219.1246325</v>
      </c>
      <c r="AG15" s="72">
        <f t="shared" si="11"/>
        <v>573.6162064</v>
      </c>
      <c r="AH15" s="193">
        <f t="shared" si="12"/>
        <v>55.823</v>
      </c>
      <c r="AI15" s="193">
        <f t="shared" si="13"/>
        <v>58.034</v>
      </c>
      <c r="AJ15" s="73">
        <f t="shared" si="14"/>
        <v>338.2589344</v>
      </c>
      <c r="AK15" s="73">
        <f t="shared" si="15"/>
        <v>49.08238554</v>
      </c>
      <c r="AM15" s="51">
        <f t="shared" si="16"/>
        <v>6127.669501</v>
      </c>
      <c r="AN15" s="51" t="str">
        <f t="array" ref="AN15">XLOOKUP(D15,RUC!$B$3:$B$565,RUC!$M$3:$M$565)</f>
        <v>Evelyn</v>
      </c>
      <c r="AO15" s="131" t="s">
        <v>558</v>
      </c>
      <c r="AP15" s="57" t="s">
        <v>1557</v>
      </c>
      <c r="AQ15" s="57" t="s">
        <v>2487</v>
      </c>
      <c r="AV15" s="160" t="s">
        <v>691</v>
      </c>
      <c r="AW15" s="6">
        <f t="shared" si="18"/>
        <v>0</v>
      </c>
      <c r="AX15" s="6">
        <f t="array" ref="AX15">+SUMPRODUCT(IF($AO$4:$AO$1045=AV15,$L$4:$L$1045*$K$4:$K$1045/AW15))</f>
        <v>0</v>
      </c>
      <c r="AY15" s="145">
        <f t="shared" si="19"/>
        <v>0</v>
      </c>
      <c r="AZ15" s="58">
        <f t="array" ref="AZ15">+SUMPRODUCT(IF('35'!$AO$4:$AO$937=AV15,('35'!$Q$4:$Q$937*'35'!$AH$4:$AH$937)/SUMIF('35'!$AO$4:$AO$937,#REF!,'35'!$AH$4:$AH$937)))</f>
        <v>0</v>
      </c>
      <c r="BA15" s="65">
        <f t="shared" si="20"/>
        <v>0</v>
      </c>
      <c r="BB15" s="65">
        <f t="shared" si="21"/>
        <v>0</v>
      </c>
      <c r="BC15" s="58">
        <f t="shared" si="23"/>
        <v>487.2046939</v>
      </c>
      <c r="BD15" s="161">
        <f t="shared" si="24"/>
        <v>452.232</v>
      </c>
    </row>
    <row r="16" ht="15.0" customHeight="1">
      <c r="A16" s="116" t="s">
        <v>2488</v>
      </c>
      <c r="B16" s="182">
        <v>46015.0</v>
      </c>
      <c r="C16" s="182">
        <v>46010.0</v>
      </c>
      <c r="D16" s="57" t="s">
        <v>295</v>
      </c>
      <c r="E16" s="3">
        <f t="array" ref="E16">XLOOKUP(D16,RUC!$B$3:$B$110,RUC!$D$3:$D$110)</f>
        <v>20601769396</v>
      </c>
      <c r="G16" s="141">
        <v>97.0</v>
      </c>
      <c r="H16" s="3" t="s">
        <v>40</v>
      </c>
      <c r="I16" s="6">
        <v>5.44</v>
      </c>
      <c r="J16" s="58">
        <v>16.9</v>
      </c>
      <c r="K16" s="6">
        <f t="shared" si="2"/>
        <v>4.521</v>
      </c>
      <c r="L16" s="139">
        <v>0.239</v>
      </c>
      <c r="M16" s="60">
        <f t="shared" si="3"/>
        <v>0.221</v>
      </c>
      <c r="N16" s="62">
        <f t="shared" si="4"/>
        <v>0.221</v>
      </c>
      <c r="O16" s="60">
        <f t="shared" si="5"/>
        <v>0.221</v>
      </c>
      <c r="P16" s="63">
        <v>90.0</v>
      </c>
      <c r="Q16" s="58">
        <v>91.63</v>
      </c>
      <c r="R16" s="65">
        <v>4337.6</v>
      </c>
      <c r="S16" s="66">
        <f t="array" ref="S16">IF((XLOOKUP(D16,RUC!$B$3:$B$106,RUC!$E$3:$E$106)+ROUNDDOWN(O16,1)*100)&lt;95,95,((XLOOKUP(D16,RUC!$B$3:$B$106,RUC!$E$3:$E$106)+ROUNDDOWN(O16,1)*100)))</f>
        <v>110</v>
      </c>
      <c r="U16" s="67">
        <f t="array" ref="U16">XLOOKUP(D16,RUC!$B$3:$B$110,RUC!$F$3:$F$110)</f>
        <v>120</v>
      </c>
      <c r="V16" s="67">
        <v>1.1023</v>
      </c>
      <c r="Y16" s="199">
        <v>30.0</v>
      </c>
      <c r="Z16" s="140">
        <v>40.0</v>
      </c>
      <c r="AA16" s="70">
        <f t="shared" si="6"/>
        <v>70</v>
      </c>
      <c r="AB16" s="71">
        <f t="shared" si="22"/>
        <v>726.2841295</v>
      </c>
      <c r="AC16" s="71">
        <f>+(S16-T16)*V16-'data 1'!$F$4</f>
        <v>41.253</v>
      </c>
      <c r="AD16" s="71">
        <f t="shared" si="8"/>
        <v>18.11134491</v>
      </c>
      <c r="AE16" s="71">
        <f t="shared" si="9"/>
        <v>7.161</v>
      </c>
      <c r="AF16" s="71">
        <f t="shared" si="10"/>
        <v>76.67881412</v>
      </c>
      <c r="AG16" s="72">
        <f t="shared" si="11"/>
        <v>160.204159</v>
      </c>
      <c r="AH16" s="193">
        <f t="shared" si="12"/>
        <v>33.945</v>
      </c>
      <c r="AI16" s="193">
        <f t="shared" si="13"/>
        <v>37.046</v>
      </c>
      <c r="AJ16" s="73">
        <f t="shared" si="14"/>
        <v>94.72495195</v>
      </c>
      <c r="AK16" s="73">
        <f t="shared" si="15"/>
        <v>30.83034321</v>
      </c>
      <c r="AM16" s="51">
        <f t="shared" si="16"/>
        <v>3283.530549</v>
      </c>
      <c r="AN16" s="51" t="str">
        <f t="array" ref="AN16">XLOOKUP(D16,RUC!$B$3:$B$565,RUC!$M$3:$M$565)</f>
        <v>Evelyn</v>
      </c>
      <c r="AO16" s="131" t="s">
        <v>558</v>
      </c>
      <c r="AP16" s="57" t="s">
        <v>1557</v>
      </c>
      <c r="AQ16" s="57" t="s">
        <v>2487</v>
      </c>
      <c r="AV16" s="160" t="s">
        <v>692</v>
      </c>
      <c r="AW16" s="6">
        <f t="shared" si="18"/>
        <v>0</v>
      </c>
      <c r="AX16" s="6">
        <f t="array" ref="AX16">+SUMPRODUCT(IF($AO$4:$AO$1045=AV16,$L$4:$L$1045*$K$4:$K$1045/AW16))</f>
        <v>0</v>
      </c>
      <c r="AY16" s="145">
        <f t="shared" si="19"/>
        <v>0</v>
      </c>
      <c r="AZ16" s="58">
        <f t="array" ref="AZ16">+SUMPRODUCT(IF('35'!$AO$4:$AO$937=AV16,('35'!$Q$4:$Q$937*'35'!$AH$4:$AH$937)/SUMIF('35'!$AO$4:$AO$937,#REF!,'35'!$AH$4:$AH$937)))</f>
        <v>0</v>
      </c>
      <c r="BA16" s="65">
        <f t="shared" si="20"/>
        <v>0</v>
      </c>
      <c r="BB16" s="65">
        <f t="shared" si="21"/>
        <v>0</v>
      </c>
      <c r="BC16" s="58">
        <f t="shared" si="23"/>
        <v>487.2046939</v>
      </c>
      <c r="BD16" s="161">
        <f t="shared" si="24"/>
        <v>452.232</v>
      </c>
    </row>
    <row r="17" ht="15.0" customHeight="1">
      <c r="A17" s="116" t="s">
        <v>2489</v>
      </c>
      <c r="B17" s="182">
        <v>46015.0</v>
      </c>
      <c r="C17" s="182">
        <v>46010.0</v>
      </c>
      <c r="D17" s="57" t="s">
        <v>295</v>
      </c>
      <c r="E17" s="3">
        <f t="array" ref="E17">XLOOKUP(D17,RUC!$B$3:$B$110,RUC!$D$3:$D$110)</f>
        <v>20601769396</v>
      </c>
      <c r="G17" s="141">
        <v>30.0</v>
      </c>
      <c r="H17" s="3" t="s">
        <v>40</v>
      </c>
      <c r="I17" s="6">
        <v>1.65</v>
      </c>
      <c r="J17" s="58">
        <v>17.23</v>
      </c>
      <c r="K17" s="6">
        <f t="shared" si="2"/>
        <v>1.366</v>
      </c>
      <c r="L17" s="139">
        <v>0.225</v>
      </c>
      <c r="M17" s="60">
        <f t="shared" si="3"/>
        <v>0.207</v>
      </c>
      <c r="N17" s="62">
        <f t="shared" si="4"/>
        <v>0.207</v>
      </c>
      <c r="O17" s="60">
        <f t="shared" si="5"/>
        <v>0.207</v>
      </c>
      <c r="P17" s="63">
        <v>90.0</v>
      </c>
      <c r="Q17" s="58">
        <v>91.56</v>
      </c>
      <c r="R17" s="65">
        <v>4337.6</v>
      </c>
      <c r="S17" s="66">
        <f t="array" ref="S17">IF((XLOOKUP(D17,RUC!$B$3:$B$106,RUC!$E$3:$E$106)+ROUNDDOWN(O17,1)*100)&lt;95,95,((XLOOKUP(D17,RUC!$B$3:$B$106,RUC!$E$3:$E$106)+ROUNDDOWN(O17,1)*100)))</f>
        <v>110</v>
      </c>
      <c r="U17" s="67">
        <f t="array" ref="U17">XLOOKUP(D17,RUC!$B$3:$B$110,RUC!$F$3:$F$110)</f>
        <v>120</v>
      </c>
      <c r="V17" s="67">
        <v>1.1023</v>
      </c>
      <c r="Y17" s="199">
        <v>30.0</v>
      </c>
      <c r="Z17" s="140">
        <v>40.0</v>
      </c>
      <c r="AA17" s="70">
        <f t="shared" si="6"/>
        <v>70</v>
      </c>
      <c r="AB17" s="71">
        <f t="shared" si="22"/>
        <v>667.7059674</v>
      </c>
      <c r="AC17" s="71">
        <f>+(S17-T17)*V17-'data 1'!$F$4</f>
        <v>41.253</v>
      </c>
      <c r="AD17" s="71">
        <f t="shared" si="8"/>
        <v>16.31820228</v>
      </c>
      <c r="AE17" s="71">
        <f t="shared" si="9"/>
        <v>7.161</v>
      </c>
      <c r="AF17" s="71">
        <f t="shared" si="10"/>
        <v>76.62023596</v>
      </c>
      <c r="AG17" s="72">
        <f t="shared" si="11"/>
        <v>158.3524382</v>
      </c>
      <c r="AH17" s="193">
        <f t="shared" si="12"/>
        <v>9.648</v>
      </c>
      <c r="AI17" s="193">
        <f t="shared" si="13"/>
        <v>10.538</v>
      </c>
      <c r="AJ17" s="73">
        <f t="shared" si="14"/>
        <v>89.10808455</v>
      </c>
      <c r="AK17" s="73">
        <f t="shared" si="15"/>
        <v>8.725144406</v>
      </c>
      <c r="AM17" s="51">
        <f t="shared" si="16"/>
        <v>912.0863515</v>
      </c>
      <c r="AN17" s="51" t="str">
        <f t="array" ref="AN17">XLOOKUP(D17,RUC!$B$3:$B$565,RUC!$M$3:$M$565)</f>
        <v>Evelyn</v>
      </c>
      <c r="AO17" s="131" t="s">
        <v>558</v>
      </c>
      <c r="AP17" s="57" t="s">
        <v>1557</v>
      </c>
      <c r="AQ17" s="57" t="s">
        <v>2487</v>
      </c>
      <c r="AV17" s="163" t="s">
        <v>693</v>
      </c>
      <c r="AW17" s="165">
        <f t="shared" si="18"/>
        <v>0</v>
      </c>
      <c r="AX17" s="165">
        <f t="array" ref="AX17">+SUMPRODUCT(IF('35'!$AO$4:$AO$937=AV17,'35'!$L$4:$L$937*'35'!$K$4:$K$937/AW17))</f>
        <v>0</v>
      </c>
      <c r="AY17" s="166">
        <f t="shared" si="19"/>
        <v>0</v>
      </c>
      <c r="AZ17" s="168">
        <f t="array" ref="AZ17">+SUMPRODUCT(IF('35'!$AO$4:$AO$937=AV17,('35'!$Q$4:$Q$937*'35'!$AH$4:$AH$937)/SUMIF('35'!$AO$4:$AO$937,#REF!,'35'!$AH$4:$AH$937)))</f>
        <v>0</v>
      </c>
      <c r="BA17" s="167">
        <f t="shared" si="20"/>
        <v>0</v>
      </c>
      <c r="BB17" s="167">
        <f t="shared" si="21"/>
        <v>0</v>
      </c>
      <c r="BC17" s="168">
        <f t="shared" si="23"/>
        <v>487.2046939</v>
      </c>
      <c r="BD17" s="169">
        <f t="shared" si="24"/>
        <v>452.232</v>
      </c>
    </row>
    <row r="18" ht="15.0" customHeight="1">
      <c r="A18" s="116" t="s">
        <v>2490</v>
      </c>
      <c r="B18" s="182">
        <v>46015.0</v>
      </c>
      <c r="C18" s="182">
        <v>46010.0</v>
      </c>
      <c r="D18" s="57" t="s">
        <v>295</v>
      </c>
      <c r="E18" s="3">
        <f t="array" ref="E18">XLOOKUP(D18,RUC!$B$3:$B$110,RUC!$D$3:$D$110)</f>
        <v>20601769396</v>
      </c>
      <c r="G18" s="141">
        <v>77.0</v>
      </c>
      <c r="H18" s="3" t="s">
        <v>40</v>
      </c>
      <c r="I18" s="6">
        <v>4.42</v>
      </c>
      <c r="J18" s="58">
        <v>17.4</v>
      </c>
      <c r="K18" s="6">
        <f t="shared" si="2"/>
        <v>3.651</v>
      </c>
      <c r="L18" s="139">
        <v>0.316</v>
      </c>
      <c r="M18" s="60">
        <f t="shared" si="3"/>
        <v>0.297</v>
      </c>
      <c r="N18" s="62">
        <f t="shared" si="4"/>
        <v>0.297</v>
      </c>
      <c r="O18" s="60">
        <f t="shared" si="5"/>
        <v>0.297</v>
      </c>
      <c r="P18" s="63">
        <v>87.0</v>
      </c>
      <c r="Q18" s="58">
        <v>87.97</v>
      </c>
      <c r="R18" s="65">
        <v>4337.6</v>
      </c>
      <c r="S18" s="66">
        <f t="array" ref="S18">IF((XLOOKUP(D18,RUC!$B$3:$B$106,RUC!$E$3:$E$106)+ROUNDDOWN(O18,1)*100)&lt;95,95,((XLOOKUP(D18,RUC!$B$3:$B$106,RUC!$E$3:$E$106)+ROUNDDOWN(O18,1)*100)))</f>
        <v>110</v>
      </c>
      <c r="U18" s="67">
        <f t="array" ref="U18">XLOOKUP(D18,RUC!$B$3:$B$110,RUC!$F$3:$F$110)</f>
        <v>120</v>
      </c>
      <c r="V18" s="67">
        <v>1.1023</v>
      </c>
      <c r="Y18" s="199">
        <v>30.0</v>
      </c>
      <c r="Z18" s="140">
        <v>40.0</v>
      </c>
      <c r="AA18" s="70">
        <f t="shared" si="6"/>
        <v>70</v>
      </c>
      <c r="AB18" s="71">
        <f t="shared" si="22"/>
        <v>1002.856737</v>
      </c>
      <c r="AC18" s="71">
        <f>+(S18-T18)*V18-'data 1'!$F$4</f>
        <v>41.253</v>
      </c>
      <c r="AD18" s="71">
        <f t="shared" si="8"/>
        <v>14.25030018</v>
      </c>
      <c r="AE18" s="71">
        <f t="shared" si="9"/>
        <v>7.161</v>
      </c>
      <c r="AF18" s="71">
        <f t="shared" si="10"/>
        <v>77.70579158</v>
      </c>
      <c r="AG18" s="72">
        <f t="shared" si="11"/>
        <v>157.3700918</v>
      </c>
      <c r="AH18" s="193">
        <f t="shared" si="12"/>
        <v>34.797</v>
      </c>
      <c r="AI18" s="193">
        <f t="shared" si="13"/>
        <v>39.556</v>
      </c>
      <c r="AJ18" s="73">
        <f t="shared" si="14"/>
        <v>120.2404189</v>
      </c>
      <c r="AK18" s="73">
        <f t="shared" si="15"/>
        <v>32.34421418</v>
      </c>
      <c r="AM18" s="51">
        <f t="shared" si="16"/>
        <v>3661.429948</v>
      </c>
      <c r="AN18" s="51" t="str">
        <f t="array" ref="AN18">XLOOKUP(D18,RUC!$B$3:$B$565,RUC!$M$3:$M$565)</f>
        <v>Evelyn</v>
      </c>
      <c r="AO18" s="131" t="s">
        <v>558</v>
      </c>
      <c r="AP18" s="57" t="s">
        <v>1557</v>
      </c>
      <c r="AQ18" s="57" t="s">
        <v>2487</v>
      </c>
    </row>
    <row r="19" ht="15.0" customHeight="1">
      <c r="A19" s="116" t="s">
        <v>2491</v>
      </c>
      <c r="B19" s="182">
        <v>46015.0</v>
      </c>
      <c r="C19" s="182">
        <v>46010.0</v>
      </c>
      <c r="D19" s="57" t="s">
        <v>295</v>
      </c>
      <c r="E19" s="3">
        <f t="array" ref="E19">XLOOKUP(D19,RUC!$B$3:$B$110,RUC!$D$3:$D$110)</f>
        <v>20601769396</v>
      </c>
      <c r="G19" s="141">
        <v>69.0</v>
      </c>
      <c r="H19" s="3" t="s">
        <v>40</v>
      </c>
      <c r="I19" s="6">
        <v>4.29</v>
      </c>
      <c r="J19" s="58">
        <v>16.1</v>
      </c>
      <c r="K19" s="6">
        <f t="shared" si="2"/>
        <v>3.599</v>
      </c>
      <c r="L19" s="139">
        <v>0.35</v>
      </c>
      <c r="M19" s="60">
        <f t="shared" si="3"/>
        <v>0.329</v>
      </c>
      <c r="N19" s="62">
        <f t="shared" si="4"/>
        <v>0.329</v>
      </c>
      <c r="O19" s="60">
        <f t="shared" si="5"/>
        <v>0.329</v>
      </c>
      <c r="P19" s="63">
        <v>90.0</v>
      </c>
      <c r="Q19" s="58">
        <v>93.71</v>
      </c>
      <c r="R19" s="65">
        <v>4337.6</v>
      </c>
      <c r="S19" s="66">
        <f t="array" ref="S19">IF((XLOOKUP(D19,RUC!$B$3:$B$106,RUC!$E$3:$E$106)+ROUNDDOWN(O19,1)*100)&lt;95,95,((XLOOKUP(D19,RUC!$B$3:$B$106,RUC!$E$3:$E$106)+ROUNDDOWN(O19,1)*100)))</f>
        <v>120</v>
      </c>
      <c r="U19" s="67">
        <f t="array" ref="U19">XLOOKUP(D19,RUC!$B$3:$B$110,RUC!$F$3:$F$110)</f>
        <v>120</v>
      </c>
      <c r="V19" s="67">
        <v>1.1023</v>
      </c>
      <c r="Y19" s="199">
        <v>30.0</v>
      </c>
      <c r="Z19" s="140">
        <v>40.0</v>
      </c>
      <c r="AA19" s="70">
        <f t="shared" si="6"/>
        <v>70</v>
      </c>
      <c r="AB19" s="71">
        <f t="shared" si="22"/>
        <v>1167.149808</v>
      </c>
      <c r="AC19" s="71">
        <f>+(S19-T19)*V19-'data 1'!$F$4</f>
        <v>52.276</v>
      </c>
      <c r="AD19" s="71">
        <f t="shared" si="8"/>
        <v>60.36805033</v>
      </c>
      <c r="AE19" s="71">
        <f t="shared" si="9"/>
        <v>7.161</v>
      </c>
      <c r="AF19" s="71">
        <f t="shared" si="10"/>
        <v>91.48932609</v>
      </c>
      <c r="AG19" s="72">
        <f t="shared" si="11"/>
        <v>228.2943764</v>
      </c>
      <c r="AH19" s="193">
        <f t="shared" si="12"/>
        <v>40.471</v>
      </c>
      <c r="AI19" s="193">
        <f t="shared" si="13"/>
        <v>43.188</v>
      </c>
      <c r="AJ19" s="73">
        <f t="shared" si="14"/>
        <v>141.8674584</v>
      </c>
      <c r="AK19" s="73">
        <f t="shared" si="15"/>
        <v>36.53670034</v>
      </c>
      <c r="AM19" s="51">
        <f t="shared" si="16"/>
        <v>4200.572159</v>
      </c>
      <c r="AN19" s="51" t="str">
        <f t="array" ref="AN19">XLOOKUP(D19,RUC!$B$3:$B$565,RUC!$M$3:$M$565)</f>
        <v>Evelyn</v>
      </c>
      <c r="AO19" s="131" t="s">
        <v>558</v>
      </c>
      <c r="AP19" s="57" t="s">
        <v>1557</v>
      </c>
      <c r="AQ19" s="57" t="s">
        <v>2487</v>
      </c>
    </row>
    <row r="20" ht="15.0" customHeight="1">
      <c r="A20" s="116" t="s">
        <v>2492</v>
      </c>
      <c r="B20" s="182">
        <v>46015.0</v>
      </c>
      <c r="C20" s="182">
        <v>46010.0</v>
      </c>
      <c r="D20" s="57" t="s">
        <v>295</v>
      </c>
      <c r="E20" s="3">
        <f t="array" ref="E20">XLOOKUP(D20,RUC!$B$3:$B$110,RUC!$D$3:$D$110)</f>
        <v>20601769396</v>
      </c>
      <c r="G20" s="141">
        <v>18.0</v>
      </c>
      <c r="H20" s="3" t="s">
        <v>40</v>
      </c>
      <c r="I20" s="6">
        <v>1.34</v>
      </c>
      <c r="J20" s="58">
        <v>8.75</v>
      </c>
      <c r="K20" s="6">
        <f t="shared" si="2"/>
        <v>1.223</v>
      </c>
      <c r="L20" s="139">
        <v>0.304</v>
      </c>
      <c r="M20" s="60">
        <f t="shared" si="3"/>
        <v>0.286</v>
      </c>
      <c r="N20" s="62">
        <f t="shared" si="4"/>
        <v>0.286</v>
      </c>
      <c r="O20" s="60">
        <f t="shared" si="5"/>
        <v>0.286</v>
      </c>
      <c r="P20" s="63">
        <v>89.0</v>
      </c>
      <c r="Q20" s="58">
        <v>89.8</v>
      </c>
      <c r="R20" s="65">
        <v>4337.6</v>
      </c>
      <c r="S20" s="66">
        <f t="array" ref="S20">IF((XLOOKUP(D20,RUC!$B$3:$B$106,RUC!$E$3:$E$106)+ROUNDDOWN(O20,1)*100)&lt;95,95,((XLOOKUP(D20,RUC!$B$3:$B$106,RUC!$E$3:$E$106)+ROUNDDOWN(O20,1)*100)))</f>
        <v>110</v>
      </c>
      <c r="U20" s="67">
        <f t="array" ref="U20">XLOOKUP(D20,RUC!$B$3:$B$110,RUC!$F$3:$F$110)</f>
        <v>120</v>
      </c>
      <c r="V20" s="67">
        <v>1.1023</v>
      </c>
      <c r="Y20" s="199">
        <v>30.0</v>
      </c>
      <c r="Z20" s="140">
        <v>40.0</v>
      </c>
      <c r="AA20" s="70">
        <f t="shared" si="6"/>
        <v>70</v>
      </c>
      <c r="AB20" s="71">
        <f t="shared" si="22"/>
        <v>984.9578546</v>
      </c>
      <c r="AC20" s="71">
        <f>+(S20-T20)*V20-'data 1'!$F$4</f>
        <v>41.253</v>
      </c>
      <c r="AD20" s="71">
        <f t="shared" si="8"/>
        <v>11.30651509</v>
      </c>
      <c r="AE20" s="71">
        <f t="shared" si="9"/>
        <v>7.161</v>
      </c>
      <c r="AF20" s="71">
        <f t="shared" si="10"/>
        <v>75.1474136</v>
      </c>
      <c r="AG20" s="72">
        <f t="shared" si="11"/>
        <v>151.8679287</v>
      </c>
      <c r="AH20" s="193">
        <f t="shared" si="12"/>
        <v>11.447</v>
      </c>
      <c r="AI20" s="193">
        <f t="shared" si="13"/>
        <v>12.747</v>
      </c>
      <c r="AJ20" s="73">
        <f t="shared" si="14"/>
        <v>118.0806476</v>
      </c>
      <c r="AK20" s="73">
        <f t="shared" si="15"/>
        <v>10.67312427</v>
      </c>
      <c r="AM20" s="51">
        <f t="shared" si="16"/>
        <v>1204.603456</v>
      </c>
      <c r="AN20" s="51" t="str">
        <f t="array" ref="AN20">XLOOKUP(D20,RUC!$B$3:$B$565,RUC!$M$3:$M$565)</f>
        <v>Evelyn</v>
      </c>
      <c r="AO20" s="131" t="s">
        <v>558</v>
      </c>
      <c r="AP20" s="57" t="s">
        <v>2154</v>
      </c>
      <c r="AQ20" s="57" t="s">
        <v>2493</v>
      </c>
      <c r="AV20" s="149" t="s">
        <v>2494</v>
      </c>
      <c r="AW20" s="150"/>
      <c r="AX20" s="150"/>
      <c r="AY20" s="150"/>
      <c r="AZ20" s="150"/>
      <c r="BA20" s="151"/>
    </row>
    <row r="21" ht="15.0" customHeight="1">
      <c r="A21" s="116" t="s">
        <v>2495</v>
      </c>
      <c r="B21" s="182">
        <v>46015.0</v>
      </c>
      <c r="C21" s="182">
        <v>46010.0</v>
      </c>
      <c r="D21" s="57" t="s">
        <v>295</v>
      </c>
      <c r="E21" s="3">
        <f t="array" ref="E21">XLOOKUP(D21,RUC!$B$3:$B$110,RUC!$D$3:$D$110)</f>
        <v>20601769396</v>
      </c>
      <c r="G21" s="141">
        <v>18.0</v>
      </c>
      <c r="H21" s="3" t="s">
        <v>40</v>
      </c>
      <c r="I21" s="6">
        <v>1.38</v>
      </c>
      <c r="J21" s="58">
        <v>11.5</v>
      </c>
      <c r="K21" s="6">
        <f t="shared" si="2"/>
        <v>1.221</v>
      </c>
      <c r="L21" s="139">
        <v>0.313</v>
      </c>
      <c r="M21" s="60">
        <f t="shared" si="3"/>
        <v>0.294</v>
      </c>
      <c r="N21" s="62">
        <f t="shared" si="4"/>
        <v>0.294</v>
      </c>
      <c r="O21" s="60">
        <f t="shared" si="5"/>
        <v>0.294</v>
      </c>
      <c r="P21" s="63">
        <v>87.0</v>
      </c>
      <c r="Q21" s="58">
        <v>87.86</v>
      </c>
      <c r="R21" s="65">
        <v>4337.6</v>
      </c>
      <c r="S21" s="66">
        <f t="array" ref="S21">IF((XLOOKUP(D21,RUC!$B$3:$B$106,RUC!$E$3:$E$106)+ROUNDDOWN(O21,1)*100)&lt;95,95,((XLOOKUP(D21,RUC!$B$3:$B$106,RUC!$E$3:$E$106)+ROUNDDOWN(O21,1)*100)))</f>
        <v>110</v>
      </c>
      <c r="U21" s="67">
        <f t="array" ref="U21">XLOOKUP(D21,RUC!$B$3:$B$110,RUC!$F$3:$F$110)</f>
        <v>120</v>
      </c>
      <c r="V21" s="67">
        <v>1.1023</v>
      </c>
      <c r="Y21" s="199">
        <v>30.0</v>
      </c>
      <c r="Z21" s="140">
        <v>40.0</v>
      </c>
      <c r="AA21" s="70">
        <f t="shared" si="6"/>
        <v>70</v>
      </c>
      <c r="AB21" s="71">
        <f t="shared" si="22"/>
        <v>990.7226896</v>
      </c>
      <c r="AC21" s="71">
        <f>+(S21-T21)*V21-'data 1'!$F$4</f>
        <v>41.253</v>
      </c>
      <c r="AD21" s="71">
        <f t="shared" si="8"/>
        <v>12.514341</v>
      </c>
      <c r="AE21" s="71">
        <f t="shared" si="9"/>
        <v>7.161</v>
      </c>
      <c r="AF21" s="71">
        <f t="shared" si="10"/>
        <v>77.60862622</v>
      </c>
      <c r="AG21" s="72">
        <f t="shared" si="11"/>
        <v>155.5369672</v>
      </c>
      <c r="AH21" s="193">
        <f t="shared" si="12"/>
        <v>11.512</v>
      </c>
      <c r="AI21" s="193">
        <f t="shared" si="13"/>
        <v>13.103</v>
      </c>
      <c r="AJ21" s="73">
        <f t="shared" si="14"/>
        <v>118.9499716</v>
      </c>
      <c r="AK21" s="73">
        <f t="shared" si="15"/>
        <v>10.70757971</v>
      </c>
      <c r="AM21" s="51">
        <f t="shared" si="16"/>
        <v>1209.672404</v>
      </c>
      <c r="AN21" s="51" t="str">
        <f t="array" ref="AN21">XLOOKUP(D21,RUC!$B$3:$B$565,RUC!$M$3:$M$565)</f>
        <v>Evelyn</v>
      </c>
      <c r="AO21" s="131" t="s">
        <v>558</v>
      </c>
      <c r="AP21" s="57" t="s">
        <v>2154</v>
      </c>
      <c r="AQ21" s="57" t="s">
        <v>2493</v>
      </c>
      <c r="BA21" s="203">
        <f>SUM(BA23:BA32)</f>
        <v>0</v>
      </c>
    </row>
    <row r="22" ht="15.0" customHeight="1">
      <c r="A22" s="116" t="s">
        <v>2496</v>
      </c>
      <c r="B22" s="182">
        <v>46748.0</v>
      </c>
      <c r="C22" s="182">
        <v>46010.0</v>
      </c>
      <c r="D22" s="57" t="s">
        <v>295</v>
      </c>
      <c r="E22" s="3">
        <f t="array" ref="E22">XLOOKUP(D22,RUC!$B$3:$B$110,RUC!$D$3:$D$110)</f>
        <v>20601769396</v>
      </c>
      <c r="G22" s="141">
        <v>18.0</v>
      </c>
      <c r="H22" s="3" t="s">
        <v>40</v>
      </c>
      <c r="I22" s="6">
        <v>1.36</v>
      </c>
      <c r="J22" s="58">
        <v>9.95</v>
      </c>
      <c r="K22" s="6">
        <f t="shared" si="2"/>
        <v>1.225</v>
      </c>
      <c r="L22" s="139">
        <v>0.542</v>
      </c>
      <c r="M22" s="60">
        <f t="shared" si="3"/>
        <v>0.509</v>
      </c>
      <c r="N22" s="62">
        <f t="shared" si="4"/>
        <v>0.509</v>
      </c>
      <c r="O22" s="60">
        <f t="shared" si="5"/>
        <v>0.509</v>
      </c>
      <c r="P22" s="63">
        <v>88.0</v>
      </c>
      <c r="Q22" s="58">
        <v>88.75</v>
      </c>
      <c r="R22" s="65">
        <v>4337.6</v>
      </c>
      <c r="S22" s="66">
        <f t="array" ref="S22">IF((XLOOKUP(D22,RUC!$B$3:$B$106,RUC!$E$3:$E$106)+ROUNDDOWN(O22,1)*100)&lt;95,95,((XLOOKUP(D22,RUC!$B$3:$B$106,RUC!$E$3:$E$106)+ROUNDDOWN(O22,1)*100)))</f>
        <v>140</v>
      </c>
      <c r="U22" s="67">
        <f t="array" ref="U22">XLOOKUP(D22,RUC!$B$3:$B$110,RUC!$F$3:$F$110)</f>
        <v>120</v>
      </c>
      <c r="V22" s="67">
        <v>1.1023</v>
      </c>
      <c r="Y22" s="199">
        <v>30.0</v>
      </c>
      <c r="Z22" s="140">
        <v>40.0</v>
      </c>
      <c r="AA22" s="70">
        <f t="shared" si="6"/>
        <v>70</v>
      </c>
      <c r="AB22" s="71">
        <f t="shared" si="22"/>
        <v>1850.92417</v>
      </c>
      <c r="AC22" s="71">
        <f>+(S22-T22)*V22-'data 1'!$F$4</f>
        <v>74.322</v>
      </c>
      <c r="AD22" s="71">
        <f t="shared" si="8"/>
        <v>18.89843085</v>
      </c>
      <c r="AE22" s="71">
        <f t="shared" si="9"/>
        <v>7.161</v>
      </c>
      <c r="AF22" s="71">
        <f t="shared" si="10"/>
        <v>136.1593588</v>
      </c>
      <c r="AG22" s="72">
        <f t="shared" si="11"/>
        <v>253.5407897</v>
      </c>
      <c r="AH22" s="193">
        <f t="shared" si="12"/>
        <v>20.203</v>
      </c>
      <c r="AI22" s="193">
        <f t="shared" si="13"/>
        <v>22.764</v>
      </c>
      <c r="AJ22" s="73">
        <f t="shared" si="14"/>
        <v>208.0637657</v>
      </c>
      <c r="AK22" s="73">
        <f t="shared" si="15"/>
        <v>18.81246099</v>
      </c>
      <c r="AM22" s="51">
        <f t="shared" si="16"/>
        <v>2267.382108</v>
      </c>
      <c r="AN22" s="51" t="str">
        <f t="array" ref="AN22">XLOOKUP(D22,RUC!$B$3:$B$565,RUC!$M$3:$M$565)</f>
        <v>Evelyn</v>
      </c>
      <c r="AO22" s="131" t="s">
        <v>558</v>
      </c>
      <c r="AP22" s="57" t="s">
        <v>2154</v>
      </c>
      <c r="AQ22" s="57" t="s">
        <v>2493</v>
      </c>
      <c r="AV22" s="3"/>
      <c r="AW22" s="3" t="s">
        <v>14</v>
      </c>
      <c r="AX22" s="3" t="s">
        <v>683</v>
      </c>
      <c r="AY22" s="3" t="s">
        <v>686</v>
      </c>
      <c r="AZ22" s="204" t="s">
        <v>700</v>
      </c>
      <c r="BA22" s="3" t="s">
        <v>687</v>
      </c>
    </row>
    <row r="23" ht="15.0" customHeight="1">
      <c r="A23" s="116" t="s">
        <v>2497</v>
      </c>
      <c r="B23" s="182">
        <v>46018.0</v>
      </c>
      <c r="C23" s="182">
        <v>46010.0</v>
      </c>
      <c r="D23" s="57" t="s">
        <v>295</v>
      </c>
      <c r="E23" s="3">
        <f t="array" ref="E23">XLOOKUP(D23,RUC!$B$3:$B$110,RUC!$D$3:$D$110)</f>
        <v>20601769396</v>
      </c>
      <c r="G23" s="141">
        <v>31.0</v>
      </c>
      <c r="H23" s="3" t="s">
        <v>40</v>
      </c>
      <c r="I23" s="6">
        <v>1.03</v>
      </c>
      <c r="J23" s="58">
        <v>15.22</v>
      </c>
      <c r="K23" s="6">
        <f t="shared" si="2"/>
        <v>0.873</v>
      </c>
      <c r="L23" s="139">
        <v>0.467</v>
      </c>
      <c r="M23" s="60">
        <f t="shared" si="3"/>
        <v>0.439</v>
      </c>
      <c r="N23" s="62">
        <f t="shared" si="4"/>
        <v>0.439</v>
      </c>
      <c r="O23" s="60">
        <f t="shared" si="5"/>
        <v>0.439</v>
      </c>
      <c r="P23" s="63">
        <v>90.0</v>
      </c>
      <c r="Q23" s="58">
        <v>97.22</v>
      </c>
      <c r="R23" s="65">
        <v>4337.6</v>
      </c>
      <c r="S23" s="66">
        <f t="array" ref="S23">IF((XLOOKUP(D23,RUC!$B$3:$B$106,RUC!$E$3:$E$106)+ROUNDDOWN(O23,1)*100)&lt;95,95,((XLOOKUP(D23,RUC!$B$3:$B$106,RUC!$E$3:$E$106)+ROUNDDOWN(O23,1)*100)))</f>
        <v>130</v>
      </c>
      <c r="U23" s="67">
        <f t="array" ref="U23">XLOOKUP(D23,RUC!$B$3:$B$110,RUC!$F$3:$F$110)</f>
        <v>120</v>
      </c>
      <c r="V23" s="67">
        <v>1.1023</v>
      </c>
      <c r="Y23" s="199">
        <v>30.0</v>
      </c>
      <c r="Z23" s="140">
        <v>40.0</v>
      </c>
      <c r="AA23" s="70">
        <f t="shared" si="6"/>
        <v>70</v>
      </c>
      <c r="AB23" s="71">
        <f t="shared" si="22"/>
        <v>1616.383796</v>
      </c>
      <c r="AC23" s="71">
        <f>+(S23-T23)*V23-'data 1'!$F$4</f>
        <v>63.299</v>
      </c>
      <c r="AD23" s="71">
        <f t="shared" si="8"/>
        <v>156.7542318</v>
      </c>
      <c r="AE23" s="71">
        <f t="shared" si="9"/>
        <v>7.161</v>
      </c>
      <c r="AF23" s="71">
        <f t="shared" si="10"/>
        <v>126.5548648</v>
      </c>
      <c r="AG23" s="72">
        <f t="shared" si="11"/>
        <v>370.7690966</v>
      </c>
      <c r="AH23" s="193">
        <f t="shared" si="12"/>
        <v>13.589</v>
      </c>
      <c r="AI23" s="193">
        <f t="shared" si="13"/>
        <v>13.978</v>
      </c>
      <c r="AJ23" s="73">
        <f t="shared" si="14"/>
        <v>196.3818303</v>
      </c>
      <c r="AK23" s="73">
        <f t="shared" si="15"/>
        <v>11.8257949</v>
      </c>
      <c r="AM23" s="51">
        <f t="shared" si="16"/>
        <v>1411.103054</v>
      </c>
      <c r="AN23" s="51" t="str">
        <f t="array" ref="AN23">XLOOKUP(D23,RUC!$B$3:$B$565,RUC!$M$3:$M$565)</f>
        <v>Evelyn</v>
      </c>
      <c r="AO23" s="131" t="s">
        <v>558</v>
      </c>
      <c r="AP23" s="57" t="s">
        <v>2154</v>
      </c>
      <c r="AQ23" s="57" t="s">
        <v>2493</v>
      </c>
      <c r="AV23" s="152" t="s">
        <v>558</v>
      </c>
      <c r="AW23" s="154">
        <f t="shared" ref="AW23:AW32" si="25">SUMIF($AO$4:$AO$1045,AV23,$K$4:$K$1045)</f>
        <v>130.864</v>
      </c>
      <c r="AX23" s="154"/>
      <c r="AY23" s="157">
        <f t="shared" ref="AY23:AY32" si="26">AW23*AX23*31.1035*1.1023</f>
        <v>0</v>
      </c>
      <c r="AZ23" s="58"/>
      <c r="BA23" s="159">
        <f t="shared" ref="BA23:BA32" si="27">AY23*AZ23/100</f>
        <v>0</v>
      </c>
      <c r="BB23" s="449" t="s">
        <v>2498</v>
      </c>
      <c r="BC23" s="450">
        <f>+BB6</f>
        <v>4578.661</v>
      </c>
    </row>
    <row r="24" ht="15.0" customHeight="1">
      <c r="A24" s="116" t="s">
        <v>2499</v>
      </c>
      <c r="B24" s="182">
        <v>45287.0</v>
      </c>
      <c r="C24" s="182">
        <v>46010.0</v>
      </c>
      <c r="D24" s="57" t="s">
        <v>295</v>
      </c>
      <c r="E24" s="3">
        <f t="array" ref="E24">XLOOKUP(D24,RUC!$B$3:$B$110,RUC!$D$3:$D$110)</f>
        <v>20601769396</v>
      </c>
      <c r="G24" s="141">
        <v>61.0</v>
      </c>
      <c r="H24" s="3" t="s">
        <v>40</v>
      </c>
      <c r="I24" s="6">
        <v>1.88</v>
      </c>
      <c r="J24" s="58">
        <v>16.78</v>
      </c>
      <c r="K24" s="6">
        <f t="shared" si="2"/>
        <v>1.565</v>
      </c>
      <c r="L24" s="139">
        <v>0.17</v>
      </c>
      <c r="M24" s="60">
        <f t="shared" si="3"/>
        <v>0.152</v>
      </c>
      <c r="N24" s="62">
        <f t="shared" si="4"/>
        <v>0.152</v>
      </c>
      <c r="O24" s="60">
        <f t="shared" si="5"/>
        <v>0.152</v>
      </c>
      <c r="P24" s="63">
        <v>90.0</v>
      </c>
      <c r="Q24" s="58">
        <v>90.59</v>
      </c>
      <c r="R24" s="65">
        <v>4337.6</v>
      </c>
      <c r="S24" s="66">
        <f t="array" ref="S24">IF((XLOOKUP(D24,RUC!$B$3:$B$106,RUC!$E$3:$E$106)+ROUNDDOWN(O24,1)*100)&lt;95,95,((XLOOKUP(D24,RUC!$B$3:$B$106,RUC!$E$3:$E$106)+ROUNDDOWN(O24,1)*100)))</f>
        <v>100</v>
      </c>
      <c r="U24" s="67">
        <f t="array" ref="U24">XLOOKUP(D24,RUC!$B$3:$B$110,RUC!$F$3:$F$110)</f>
        <v>120</v>
      </c>
      <c r="V24" s="67">
        <v>1.1023</v>
      </c>
      <c r="Y24" s="199">
        <v>30.0</v>
      </c>
      <c r="Z24" s="140">
        <v>40.0</v>
      </c>
      <c r="AA24" s="70">
        <f t="shared" si="6"/>
        <v>70</v>
      </c>
      <c r="AB24" s="71">
        <f t="shared" si="22"/>
        <v>448.6004737</v>
      </c>
      <c r="AC24" s="71">
        <f>+(S24-T24)*V24-'data 1'!$F$4</f>
        <v>30.23</v>
      </c>
      <c r="AD24" s="71">
        <f t="shared" si="8"/>
        <v>4.663007661</v>
      </c>
      <c r="AE24" s="71">
        <f t="shared" si="9"/>
        <v>7.161</v>
      </c>
      <c r="AF24" s="71">
        <f t="shared" si="10"/>
        <v>75.80851</v>
      </c>
      <c r="AG24" s="72">
        <f t="shared" si="11"/>
        <v>134.8625177</v>
      </c>
      <c r="AH24" s="193">
        <f t="shared" si="12"/>
        <v>8.263</v>
      </c>
      <c r="AI24" s="193">
        <f t="shared" si="13"/>
        <v>9.122</v>
      </c>
      <c r="AJ24" s="73">
        <f t="shared" si="14"/>
        <v>66.61284571</v>
      </c>
      <c r="AK24" s="73">
        <f t="shared" si="15"/>
        <v>7.340227298</v>
      </c>
      <c r="AM24" s="51">
        <f t="shared" si="16"/>
        <v>702.0597413</v>
      </c>
      <c r="AN24" s="51" t="str">
        <f t="array" ref="AN24">XLOOKUP(D24,RUC!$B$3:$B$565,RUC!$M$3:$M$565)</f>
        <v>Evelyn</v>
      </c>
      <c r="AO24" s="131" t="s">
        <v>558</v>
      </c>
      <c r="AP24" s="57" t="s">
        <v>2154</v>
      </c>
      <c r="AQ24" s="57" t="s">
        <v>2493</v>
      </c>
      <c r="AV24" s="160" t="s">
        <v>551</v>
      </c>
      <c r="AW24" s="6">
        <f t="shared" si="25"/>
        <v>157.523</v>
      </c>
      <c r="AX24" s="6"/>
      <c r="AY24" s="58">
        <f t="shared" si="26"/>
        <v>0</v>
      </c>
      <c r="AZ24" s="58"/>
      <c r="BA24" s="162">
        <f t="shared" si="27"/>
        <v>0</v>
      </c>
      <c r="BB24" s="451" t="s">
        <v>2500</v>
      </c>
      <c r="BC24" s="452">
        <f>+'34'!BC26+'34'!BC27</f>
        <v>1106.09</v>
      </c>
    </row>
    <row r="25" ht="15.0" customHeight="1">
      <c r="A25" s="116" t="s">
        <v>2501</v>
      </c>
      <c r="B25" s="182">
        <v>44557.0</v>
      </c>
      <c r="C25" s="182">
        <v>46010.0</v>
      </c>
      <c r="D25" s="57" t="s">
        <v>295</v>
      </c>
      <c r="E25" s="3">
        <f t="array" ref="E25">XLOOKUP(D25,RUC!$B$3:$B$110,RUC!$D$3:$D$110)</f>
        <v>20601769396</v>
      </c>
      <c r="G25" s="141">
        <v>116.0</v>
      </c>
      <c r="H25" s="3" t="s">
        <v>40</v>
      </c>
      <c r="I25" s="6">
        <v>3.29</v>
      </c>
      <c r="J25" s="58">
        <v>16.4</v>
      </c>
      <c r="K25" s="6">
        <f t="shared" si="2"/>
        <v>2.75</v>
      </c>
      <c r="L25" s="139">
        <v>0.3</v>
      </c>
      <c r="M25" s="60">
        <f t="shared" si="3"/>
        <v>0.282</v>
      </c>
      <c r="N25" s="62">
        <f t="shared" si="4"/>
        <v>0.282</v>
      </c>
      <c r="O25" s="60">
        <f t="shared" si="5"/>
        <v>0.282</v>
      </c>
      <c r="P25" s="63">
        <v>90.0</v>
      </c>
      <c r="Q25" s="58">
        <v>97.0</v>
      </c>
      <c r="R25" s="65">
        <v>4337.6</v>
      </c>
      <c r="S25" s="66">
        <f t="array" ref="S25">IF((XLOOKUP(D25,RUC!$B$3:$B$106,RUC!$E$3:$E$106)+ROUNDDOWN(O25,1)*100)&lt;95,95,((XLOOKUP(D25,RUC!$B$3:$B$106,RUC!$E$3:$E$106)+ROUNDDOWN(O25,1)*100)))</f>
        <v>110</v>
      </c>
      <c r="U25" s="67">
        <f t="array" ref="U25">XLOOKUP(D25,RUC!$B$3:$B$110,RUC!$F$3:$F$110)</f>
        <v>120</v>
      </c>
      <c r="V25" s="67">
        <v>1.1023</v>
      </c>
      <c r="Y25" s="199">
        <v>30.0</v>
      </c>
      <c r="Z25" s="140">
        <v>40.0</v>
      </c>
      <c r="AA25" s="70">
        <f t="shared" si="6"/>
        <v>70</v>
      </c>
      <c r="AB25" s="71">
        <f t="shared" si="22"/>
        <v>981.5175498</v>
      </c>
      <c r="AC25" s="71">
        <f>+(S25-T25)*V25-'data 1'!$F$4</f>
        <v>41.253</v>
      </c>
      <c r="AD25" s="71">
        <f t="shared" si="8"/>
        <v>97.63027008</v>
      </c>
      <c r="AE25" s="71">
        <f t="shared" si="9"/>
        <v>7.161</v>
      </c>
      <c r="AF25" s="71">
        <f t="shared" si="10"/>
        <v>81.17259598</v>
      </c>
      <c r="AG25" s="72">
        <f t="shared" si="11"/>
        <v>244.2168661</v>
      </c>
      <c r="AH25" s="193">
        <f t="shared" si="12"/>
        <v>27.437</v>
      </c>
      <c r="AI25" s="193">
        <f t="shared" si="13"/>
        <v>28.285</v>
      </c>
      <c r="AJ25" s="73">
        <f t="shared" si="14"/>
        <v>125.8698733</v>
      </c>
      <c r="AK25" s="73">
        <f t="shared" si="15"/>
        <v>23.92948659</v>
      </c>
      <c r="AM25" s="51">
        <f t="shared" si="16"/>
        <v>2699.173262</v>
      </c>
      <c r="AN25" s="51" t="str">
        <f t="array" ref="AN25">XLOOKUP(D25,RUC!$B$3:$B$565,RUC!$M$3:$M$565)</f>
        <v>Evelyn</v>
      </c>
      <c r="AO25" s="131" t="s">
        <v>558</v>
      </c>
      <c r="AP25" s="57" t="s">
        <v>2154</v>
      </c>
      <c r="AQ25" s="57" t="s">
        <v>2493</v>
      </c>
      <c r="AV25" s="160" t="s">
        <v>547</v>
      </c>
      <c r="AW25" s="6">
        <f t="shared" si="25"/>
        <v>163.845</v>
      </c>
      <c r="AX25" s="6"/>
      <c r="AY25" s="58">
        <f t="shared" si="26"/>
        <v>0</v>
      </c>
      <c r="AZ25" s="58"/>
      <c r="BA25" s="162">
        <f t="shared" si="27"/>
        <v>0</v>
      </c>
      <c r="BB25" s="454" t="s">
        <v>2502</v>
      </c>
      <c r="BC25" s="459">
        <v>4907.62</v>
      </c>
    </row>
    <row r="26" ht="15.0" customHeight="1">
      <c r="A26" s="116" t="s">
        <v>2503</v>
      </c>
      <c r="B26" s="182">
        <v>43826.0</v>
      </c>
      <c r="C26" s="182">
        <v>46010.0</v>
      </c>
      <c r="D26" s="57" t="s">
        <v>295</v>
      </c>
      <c r="E26" s="3">
        <f t="array" ref="E26">XLOOKUP(D26,RUC!$B$3:$B$110,RUC!$D$3:$D$110)</f>
        <v>20601769396</v>
      </c>
      <c r="G26" s="141">
        <v>100.0</v>
      </c>
      <c r="H26" s="3" t="s">
        <v>40</v>
      </c>
      <c r="I26" s="6">
        <v>3.05</v>
      </c>
      <c r="J26" s="58">
        <v>17.58</v>
      </c>
      <c r="K26" s="6">
        <f t="shared" si="2"/>
        <v>2.514</v>
      </c>
      <c r="L26" s="139">
        <v>0.489</v>
      </c>
      <c r="M26" s="60">
        <f t="shared" si="3"/>
        <v>0.46</v>
      </c>
      <c r="N26" s="62">
        <f t="shared" si="4"/>
        <v>0.46</v>
      </c>
      <c r="O26" s="60">
        <f t="shared" si="5"/>
        <v>0.46</v>
      </c>
      <c r="P26" s="63">
        <v>90.0</v>
      </c>
      <c r="Q26" s="58">
        <v>94.07</v>
      </c>
      <c r="R26" s="65">
        <v>4337.6</v>
      </c>
      <c r="S26" s="66">
        <f t="array" ref="S26">IF((XLOOKUP(D26,RUC!$B$3:$B$106,RUC!$E$3:$E$106)+ROUNDDOWN(O26,1)*100)&lt;95,95,((XLOOKUP(D26,RUC!$B$3:$B$106,RUC!$E$3:$E$106)+ROUNDDOWN(O26,1)*100)))</f>
        <v>130</v>
      </c>
      <c r="U26" s="67">
        <f t="array" ref="U26">XLOOKUP(D26,RUC!$B$3:$B$110,RUC!$F$3:$F$110)</f>
        <v>120</v>
      </c>
      <c r="V26" s="67">
        <v>1.1023</v>
      </c>
      <c r="Y26" s="199">
        <v>30.0</v>
      </c>
      <c r="Z26" s="140">
        <v>40.0</v>
      </c>
      <c r="AA26" s="70">
        <f t="shared" si="6"/>
        <v>70</v>
      </c>
      <c r="AB26" s="71">
        <f t="shared" si="22"/>
        <v>1704.251039</v>
      </c>
      <c r="AC26" s="71">
        <f>+(S26-T26)*V26-'data 1'!$F$4</f>
        <v>63.299</v>
      </c>
      <c r="AD26" s="71">
        <f t="shared" si="8"/>
        <v>92.52699639</v>
      </c>
      <c r="AE26" s="71">
        <f t="shared" si="9"/>
        <v>7.161</v>
      </c>
      <c r="AF26" s="71">
        <f t="shared" si="10"/>
        <v>126.8277646</v>
      </c>
      <c r="AG26" s="72">
        <f t="shared" si="11"/>
        <v>306.814761</v>
      </c>
      <c r="AH26" s="193">
        <f t="shared" si="12"/>
        <v>39.649</v>
      </c>
      <c r="AI26" s="193">
        <f t="shared" si="13"/>
        <v>42.149</v>
      </c>
      <c r="AJ26" s="73">
        <f t="shared" si="14"/>
        <v>198.970554</v>
      </c>
      <c r="AK26" s="73">
        <f t="shared" si="15"/>
        <v>35.68409474</v>
      </c>
      <c r="AM26" s="51">
        <f t="shared" si="16"/>
        <v>4284.487111</v>
      </c>
      <c r="AN26" s="51" t="str">
        <f t="array" ref="AN26">XLOOKUP(D26,RUC!$B$3:$B$565,RUC!$M$3:$M$565)</f>
        <v>Evelyn</v>
      </c>
      <c r="AO26" s="131" t="s">
        <v>558</v>
      </c>
      <c r="AP26" s="57" t="s">
        <v>2154</v>
      </c>
      <c r="AQ26" s="57" t="s">
        <v>2493</v>
      </c>
      <c r="AV26" s="160" t="s">
        <v>549</v>
      </c>
      <c r="AW26" s="6">
        <f t="shared" si="25"/>
        <v>0</v>
      </c>
      <c r="AX26" s="6"/>
      <c r="AY26" s="58">
        <f t="shared" si="26"/>
        <v>0</v>
      </c>
      <c r="AZ26" s="58"/>
      <c r="BA26" s="162">
        <f t="shared" si="27"/>
        <v>0</v>
      </c>
      <c r="BB26" s="454" t="s">
        <v>2504</v>
      </c>
      <c r="BC26" s="459">
        <v>843.275</v>
      </c>
    </row>
    <row r="27" ht="15.0" customHeight="1">
      <c r="A27" s="116" t="s">
        <v>2505</v>
      </c>
      <c r="B27" s="182">
        <v>43096.0</v>
      </c>
      <c r="C27" s="182">
        <v>46010.0</v>
      </c>
      <c r="D27" s="57" t="s">
        <v>295</v>
      </c>
      <c r="E27" s="3">
        <f t="array" ref="E27">XLOOKUP(D27,RUC!$B$3:$B$110,RUC!$D$3:$D$110)</f>
        <v>20601769396</v>
      </c>
      <c r="G27" s="141">
        <v>100.0</v>
      </c>
      <c r="H27" s="3" t="s">
        <v>40</v>
      </c>
      <c r="I27" s="6">
        <v>3.13</v>
      </c>
      <c r="J27" s="58">
        <v>15.67</v>
      </c>
      <c r="K27" s="6">
        <f t="shared" si="2"/>
        <v>2.64</v>
      </c>
      <c r="L27" s="139">
        <v>0.427</v>
      </c>
      <c r="M27" s="60">
        <f t="shared" si="3"/>
        <v>0.401</v>
      </c>
      <c r="N27" s="62">
        <f t="shared" si="4"/>
        <v>0.401</v>
      </c>
      <c r="O27" s="60">
        <f t="shared" si="5"/>
        <v>0.401</v>
      </c>
      <c r="P27" s="63">
        <v>90.0</v>
      </c>
      <c r="Q27" s="58">
        <v>96.72</v>
      </c>
      <c r="R27" s="65">
        <v>4337.6</v>
      </c>
      <c r="S27" s="66">
        <f t="array" ref="S27">IF((XLOOKUP(D27,RUC!$B$3:$B$106,RUC!$E$3:$E$106)+ROUNDDOWN(O27,1)*100)&lt;95,95,((XLOOKUP(D27,RUC!$B$3:$B$106,RUC!$E$3:$E$106)+ROUNDDOWN(O27,1)*100)))</f>
        <v>130</v>
      </c>
      <c r="U27" s="67">
        <f t="array" ref="U27">XLOOKUP(D27,RUC!$B$3:$B$110,RUC!$F$3:$F$110)</f>
        <v>120</v>
      </c>
      <c r="V27" s="67">
        <v>1.1023</v>
      </c>
      <c r="Y27" s="199">
        <v>30.0</v>
      </c>
      <c r="Z27" s="140">
        <v>40.0</v>
      </c>
      <c r="AA27" s="70">
        <f t="shared" si="6"/>
        <v>70</v>
      </c>
      <c r="AB27" s="71">
        <f t="shared" si="22"/>
        <v>1457.385927</v>
      </c>
      <c r="AC27" s="71">
        <f>+(S27-T27)*V27-'data 1'!$F$4</f>
        <v>63.299</v>
      </c>
      <c r="AD27" s="71">
        <f t="shared" si="8"/>
        <v>133.402001</v>
      </c>
      <c r="AE27" s="71">
        <f t="shared" si="9"/>
        <v>7.161</v>
      </c>
      <c r="AF27" s="71">
        <f t="shared" si="10"/>
        <v>116.9108537</v>
      </c>
      <c r="AG27" s="72">
        <f t="shared" si="11"/>
        <v>337.7728547</v>
      </c>
      <c r="AH27" s="193">
        <f t="shared" si="12"/>
        <v>37.382</v>
      </c>
      <c r="AI27" s="193">
        <f t="shared" si="13"/>
        <v>38.649</v>
      </c>
      <c r="AJ27" s="73">
        <f t="shared" si="14"/>
        <v>178.6376385</v>
      </c>
      <c r="AK27" s="73">
        <f t="shared" si="15"/>
        <v>32.66629488</v>
      </c>
      <c r="AM27" s="51">
        <f t="shared" si="16"/>
        <v>3847.498848</v>
      </c>
      <c r="AN27" s="51" t="str">
        <f t="array" ref="AN27">XLOOKUP(D27,RUC!$B$3:$B$565,RUC!$M$3:$M$565)</f>
        <v>Evelyn</v>
      </c>
      <c r="AO27" s="131" t="s">
        <v>558</v>
      </c>
      <c r="AP27" s="57" t="s">
        <v>2154</v>
      </c>
      <c r="AQ27" s="57" t="s">
        <v>2493</v>
      </c>
      <c r="AV27" s="160" t="s">
        <v>561</v>
      </c>
      <c r="AW27" s="6">
        <f t="shared" si="25"/>
        <v>0</v>
      </c>
      <c r="AX27" s="6"/>
      <c r="AY27" s="58">
        <f t="shared" si="26"/>
        <v>0</v>
      </c>
      <c r="AZ27" s="58"/>
      <c r="BA27" s="162">
        <f t="shared" si="27"/>
        <v>0</v>
      </c>
      <c r="BB27" s="454" t="s">
        <v>2506</v>
      </c>
      <c r="BC27" s="459">
        <v>145.308</v>
      </c>
    </row>
    <row r="28" ht="15.0" customHeight="1">
      <c r="A28" s="192" t="s">
        <v>2507</v>
      </c>
      <c r="B28" s="194">
        <v>42365.0</v>
      </c>
      <c r="C28" s="182">
        <v>46010.0</v>
      </c>
      <c r="D28" s="57" t="s">
        <v>295</v>
      </c>
      <c r="E28" s="3">
        <f t="array" ref="E28">XLOOKUP(D28,RUC!$B$3:$B$110,RUC!$D$3:$D$110)</f>
        <v>20601769396</v>
      </c>
      <c r="G28" s="141">
        <v>100.0</v>
      </c>
      <c r="H28" s="3" t="s">
        <v>40</v>
      </c>
      <c r="I28" s="6">
        <v>3.24</v>
      </c>
      <c r="J28" s="58">
        <v>16.7</v>
      </c>
      <c r="K28" s="6">
        <f t="shared" si="2"/>
        <v>2.699</v>
      </c>
      <c r="L28" s="139">
        <v>0.097</v>
      </c>
      <c r="M28" s="60">
        <f t="shared" si="3"/>
        <v>0.079</v>
      </c>
      <c r="N28" s="62">
        <f t="shared" si="4"/>
        <v>0.079</v>
      </c>
      <c r="O28" s="60">
        <f t="shared" si="5"/>
        <v>0.079</v>
      </c>
      <c r="P28" s="63">
        <v>80.0</v>
      </c>
      <c r="Q28" s="58">
        <v>92.78</v>
      </c>
      <c r="R28" s="65">
        <v>4337.6</v>
      </c>
      <c r="S28" s="66">
        <f t="array" ref="S28">IF((XLOOKUP(D28,RUC!$B$3:$B$106,RUC!$E$3:$E$106)+ROUNDDOWN(O28,1)*100)&lt;95,95,((XLOOKUP(D28,RUC!$B$3:$B$106,RUC!$E$3:$E$106)+ROUNDDOWN(O28,1)*100)))</f>
        <v>95</v>
      </c>
      <c r="U28" s="67">
        <f t="array" ref="U28">XLOOKUP(D28,RUC!$B$3:$B$110,RUC!$F$3:$F$110)</f>
        <v>120</v>
      </c>
      <c r="V28" s="67">
        <v>1.1023</v>
      </c>
      <c r="Y28" s="199">
        <v>30.0</v>
      </c>
      <c r="Z28" s="140">
        <v>40.0</v>
      </c>
      <c r="AA28" s="70">
        <f t="shared" si="6"/>
        <v>70</v>
      </c>
      <c r="AB28" s="71">
        <v>0.001</v>
      </c>
      <c r="AC28" s="71">
        <f>+(S28-T28)*V28-'data 1'!$F$4</f>
        <v>24.7185</v>
      </c>
      <c r="AD28" s="71">
        <f t="shared" si="8"/>
        <v>57.63254315</v>
      </c>
      <c r="AE28" s="71">
        <f t="shared" si="9"/>
        <v>7.161</v>
      </c>
      <c r="AF28" s="71">
        <f t="shared" si="10"/>
        <v>77.64116964</v>
      </c>
      <c r="AG28" s="72">
        <f>AC28+AD28+AE28+AF28+70-53+11.94</f>
        <v>196.0932128</v>
      </c>
      <c r="AH28" s="193">
        <f t="shared" si="12"/>
        <v>8.328</v>
      </c>
      <c r="AI28" s="193">
        <f t="shared" si="13"/>
        <v>8.976</v>
      </c>
      <c r="AJ28" s="73">
        <f t="shared" si="14"/>
        <v>38.92735616</v>
      </c>
      <c r="AK28" s="73">
        <f t="shared" si="15"/>
        <v>5.84829178</v>
      </c>
      <c r="AM28" s="51">
        <f t="shared" si="16"/>
        <v>0.002699</v>
      </c>
      <c r="AN28" s="51" t="str">
        <f t="array" ref="AN28">XLOOKUP(D28,RUC!$B$3:$B$565,RUC!$M$3:$M$565)</f>
        <v>Evelyn</v>
      </c>
      <c r="AO28" s="131" t="s">
        <v>558</v>
      </c>
      <c r="AP28" s="57" t="s">
        <v>2154</v>
      </c>
      <c r="AQ28" s="57" t="s">
        <v>2493</v>
      </c>
      <c r="AV28" s="160" t="s">
        <v>689</v>
      </c>
      <c r="AW28" s="6">
        <f t="shared" si="25"/>
        <v>0</v>
      </c>
      <c r="AY28" s="58">
        <f t="shared" si="26"/>
        <v>0</v>
      </c>
      <c r="BA28" s="162">
        <f t="shared" si="27"/>
        <v>0</v>
      </c>
      <c r="BB28" s="456" t="s">
        <v>1206</v>
      </c>
      <c r="BC28" s="457">
        <f>-BC23-BC24+BC25+BC26+BC27</f>
        <v>211.452</v>
      </c>
    </row>
    <row r="29" ht="15.0" customHeight="1">
      <c r="A29" s="192" t="s">
        <v>2508</v>
      </c>
      <c r="B29" s="194">
        <v>41635.0</v>
      </c>
      <c r="C29" s="182">
        <v>46010.0</v>
      </c>
      <c r="D29" s="57" t="s">
        <v>295</v>
      </c>
      <c r="E29" s="3">
        <f t="array" ref="E29">XLOOKUP(D29,RUC!$B$3:$B$110,RUC!$D$3:$D$110)</f>
        <v>20601769396</v>
      </c>
      <c r="G29" s="141">
        <v>100.0</v>
      </c>
      <c r="H29" s="3" t="s">
        <v>40</v>
      </c>
      <c r="I29" s="6">
        <v>3.29</v>
      </c>
      <c r="J29" s="58">
        <v>19.53</v>
      </c>
      <c r="K29" s="6">
        <f t="shared" si="2"/>
        <v>2.647</v>
      </c>
      <c r="L29" s="139">
        <v>0.101</v>
      </c>
      <c r="M29" s="60">
        <f t="shared" si="3"/>
        <v>0.083</v>
      </c>
      <c r="N29" s="62">
        <f t="shared" si="4"/>
        <v>0.083</v>
      </c>
      <c r="O29" s="60">
        <f t="shared" si="5"/>
        <v>0.083</v>
      </c>
      <c r="P29" s="63">
        <v>80.0</v>
      </c>
      <c r="Q29" s="58">
        <v>92.08</v>
      </c>
      <c r="R29" s="65">
        <v>4337.6</v>
      </c>
      <c r="S29" s="66">
        <f t="array" ref="S29">IF((XLOOKUP(D29,RUC!$B$3:$B$106,RUC!$E$3:$E$106)+ROUNDDOWN(O29,1)*100)&lt;95,95,((XLOOKUP(D29,RUC!$B$3:$B$106,RUC!$E$3:$E$106)+ROUNDDOWN(O29,1)*100)))</f>
        <v>95</v>
      </c>
      <c r="U29" s="67">
        <f t="array" ref="U29">XLOOKUP(D29,RUC!$B$3:$B$110,RUC!$F$3:$F$110)</f>
        <v>120</v>
      </c>
      <c r="V29" s="67">
        <v>1.1023</v>
      </c>
      <c r="Y29" s="199">
        <v>30.0</v>
      </c>
      <c r="Z29" s="140">
        <v>40.0</v>
      </c>
      <c r="AA29" s="70">
        <f t="shared" si="6"/>
        <v>70</v>
      </c>
      <c r="AB29" s="71">
        <v>0.001</v>
      </c>
      <c r="AC29" s="71">
        <f>+(S29-T29)*V29-'data 1'!$F$4</f>
        <v>24.7185</v>
      </c>
      <c r="AD29" s="71">
        <f t="shared" si="8"/>
        <v>56.7222571</v>
      </c>
      <c r="AE29" s="71">
        <f t="shared" si="9"/>
        <v>7.161</v>
      </c>
      <c r="AF29" s="71">
        <f t="shared" si="10"/>
        <v>77.05538802</v>
      </c>
      <c r="AG29" s="72">
        <f>AC29+AD29+AE29+AF29+70-53+126.82</f>
        <v>309.4771451</v>
      </c>
      <c r="AH29" s="193">
        <f t="shared" si="12"/>
        <v>8.44</v>
      </c>
      <c r="AI29" s="193">
        <f t="shared" si="13"/>
        <v>9.166</v>
      </c>
      <c r="AJ29" s="73">
        <f t="shared" si="14"/>
        <v>40.22680039</v>
      </c>
      <c r="AK29" s="73">
        <f t="shared" si="15"/>
        <v>6.026027232</v>
      </c>
      <c r="AM29" s="51">
        <f t="shared" si="16"/>
        <v>0.002647</v>
      </c>
      <c r="AN29" s="51" t="str">
        <f t="array" ref="AN29">XLOOKUP(D29,RUC!$B$3:$B$565,RUC!$M$3:$M$565)</f>
        <v>Evelyn</v>
      </c>
      <c r="AO29" s="131" t="s">
        <v>558</v>
      </c>
      <c r="AP29" s="57" t="s">
        <v>2154</v>
      </c>
      <c r="AQ29" s="57" t="s">
        <v>2493</v>
      </c>
      <c r="AV29" s="160" t="s">
        <v>690</v>
      </c>
      <c r="AW29" s="6">
        <f t="shared" si="25"/>
        <v>0</v>
      </c>
      <c r="AY29" s="58">
        <f t="shared" si="26"/>
        <v>0</v>
      </c>
      <c r="BA29" s="162">
        <f t="shared" si="27"/>
        <v>0</v>
      </c>
    </row>
    <row r="30" ht="15.0" customHeight="1">
      <c r="A30" s="192" t="s">
        <v>2509</v>
      </c>
      <c r="B30" s="194">
        <v>40904.0</v>
      </c>
      <c r="C30" s="182">
        <v>46010.0</v>
      </c>
      <c r="D30" s="57" t="s">
        <v>295</v>
      </c>
      <c r="E30" s="3">
        <f t="array" ref="E30">XLOOKUP(D30,RUC!$B$3:$B$110,RUC!$D$3:$D$110)</f>
        <v>20601769396</v>
      </c>
      <c r="G30" s="141">
        <v>100.0</v>
      </c>
      <c r="H30" s="3" t="s">
        <v>40</v>
      </c>
      <c r="I30" s="6">
        <v>3.31</v>
      </c>
      <c r="J30" s="58">
        <v>17.88</v>
      </c>
      <c r="K30" s="6">
        <f t="shared" si="2"/>
        <v>2.718</v>
      </c>
      <c r="L30" s="139">
        <v>0.106</v>
      </c>
      <c r="M30" s="60">
        <f t="shared" si="3"/>
        <v>0.088</v>
      </c>
      <c r="N30" s="62">
        <f t="shared" si="4"/>
        <v>0.088</v>
      </c>
      <c r="O30" s="60">
        <f t="shared" si="5"/>
        <v>0.088</v>
      </c>
      <c r="P30" s="63">
        <v>80.0</v>
      </c>
      <c r="Q30" s="58">
        <v>94.34</v>
      </c>
      <c r="R30" s="65">
        <v>4337.6</v>
      </c>
      <c r="S30" s="66">
        <f t="array" ref="S30">IF((XLOOKUP(D30,RUC!$B$3:$B$106,RUC!$E$3:$E$106)+ROUNDDOWN(O30,1)*100)&lt;95,95,((XLOOKUP(D30,RUC!$B$3:$B$106,RUC!$E$3:$E$106)+ROUNDDOWN(O30,1)*100)))</f>
        <v>95</v>
      </c>
      <c r="U30" s="67">
        <f t="array" ref="U30">XLOOKUP(D30,RUC!$B$3:$B$110,RUC!$F$3:$F$110)</f>
        <v>120</v>
      </c>
      <c r="V30" s="67">
        <v>1.1023</v>
      </c>
      <c r="Y30" s="199">
        <v>30.0</v>
      </c>
      <c r="Z30" s="140">
        <v>40.0</v>
      </c>
      <c r="AA30" s="70">
        <f t="shared" si="6"/>
        <v>70</v>
      </c>
      <c r="AB30" s="71">
        <v>0.001</v>
      </c>
      <c r="AC30" s="71">
        <f>+(S30-T30)*V30-'data 1'!$F$4</f>
        <v>24.7185</v>
      </c>
      <c r="AD30" s="71">
        <f t="shared" si="8"/>
        <v>70.66757892</v>
      </c>
      <c r="AE30" s="71">
        <f t="shared" si="9"/>
        <v>7.161</v>
      </c>
      <c r="AF30" s="71">
        <f t="shared" si="10"/>
        <v>78.94662582</v>
      </c>
      <c r="AG30" s="72">
        <f>AC30+AD30+AE30+AF30+70-53+145.41</f>
        <v>343.9037047</v>
      </c>
      <c r="AH30" s="193">
        <f t="shared" si="12"/>
        <v>9.319</v>
      </c>
      <c r="AI30" s="193">
        <f t="shared" si="13"/>
        <v>9.878</v>
      </c>
      <c r="AJ30" s="73">
        <f t="shared" si="14"/>
        <v>43.25442502</v>
      </c>
      <c r="AK30" s="73">
        <f t="shared" si="15"/>
        <v>6.560413004</v>
      </c>
      <c r="AM30" s="51">
        <f t="shared" si="16"/>
        <v>0.002718</v>
      </c>
      <c r="AN30" s="51" t="str">
        <f t="array" ref="AN30">XLOOKUP(D30,RUC!$B$3:$B$565,RUC!$M$3:$M$565)</f>
        <v>Evelyn</v>
      </c>
      <c r="AO30" s="131" t="s">
        <v>558</v>
      </c>
      <c r="AP30" s="57" t="s">
        <v>2154</v>
      </c>
      <c r="AQ30" s="57" t="s">
        <v>2493</v>
      </c>
      <c r="AV30" s="160" t="s">
        <v>691</v>
      </c>
      <c r="AW30" s="6">
        <f t="shared" si="25"/>
        <v>0</v>
      </c>
      <c r="AY30" s="58">
        <f t="shared" si="26"/>
        <v>0</v>
      </c>
      <c r="BA30" s="162">
        <f t="shared" si="27"/>
        <v>0</v>
      </c>
    </row>
    <row r="31" ht="15.0" customHeight="1">
      <c r="A31" s="116" t="s">
        <v>2510</v>
      </c>
      <c r="B31" s="182">
        <v>46020.0</v>
      </c>
      <c r="C31" s="182">
        <v>46010.0</v>
      </c>
      <c r="D31" s="57" t="s">
        <v>602</v>
      </c>
      <c r="E31" s="3">
        <f t="array" ref="E31">XLOOKUP(D31,RUC!$B$3:$B$110,RUC!$D$3:$D$110)</f>
        <v>20169040231</v>
      </c>
      <c r="G31" s="141">
        <v>17.0</v>
      </c>
      <c r="H31" s="3" t="s">
        <v>40</v>
      </c>
      <c r="I31" s="6">
        <v>1.69</v>
      </c>
      <c r="J31" s="58">
        <v>23.35</v>
      </c>
      <c r="K31" s="6">
        <f t="shared" si="2"/>
        <v>1.295</v>
      </c>
      <c r="L31" s="139">
        <v>1.411</v>
      </c>
      <c r="M31" s="60">
        <f t="shared" si="3"/>
        <v>1.326</v>
      </c>
      <c r="N31" s="62">
        <f t="shared" si="4"/>
        <v>1.326</v>
      </c>
      <c r="O31" s="60">
        <f t="shared" si="5"/>
        <v>1.326</v>
      </c>
      <c r="P31" s="63">
        <v>90.0</v>
      </c>
      <c r="Q31" s="58">
        <v>96.46</v>
      </c>
      <c r="R31" s="65">
        <v>4337.6</v>
      </c>
      <c r="S31" s="66">
        <f t="array" ref="S31">IF((XLOOKUP(D31,RUC!$B$3:$B$106,RUC!$E$3:$E$106)+ROUNDDOWN(O31,1)*100)&lt;95,95,((XLOOKUP(D31,RUC!$B$3:$B$106,RUC!$E$3:$E$106)+ROUNDDOWN(O31,1)*100)))</f>
        <v>215</v>
      </c>
      <c r="U31" s="67">
        <f t="array" ref="U31">XLOOKUP(D31,RUC!$B$3:$B$110,RUC!$F$3:$F$110)</f>
        <v>120</v>
      </c>
      <c r="V31" s="67">
        <v>1.1023</v>
      </c>
      <c r="Y31" s="199">
        <v>25.0</v>
      </c>
      <c r="Z31" s="140">
        <v>38.0</v>
      </c>
      <c r="AA31" s="70">
        <f t="shared" si="6"/>
        <v>63</v>
      </c>
      <c r="AB31" s="71">
        <f t="shared" ref="AB31:AB97" si="28">+((O31*P31*(R31-U31)/100)-S31-AA31+T31)*V31</f>
        <v>5241.749377</v>
      </c>
      <c r="AC31" s="71">
        <f>+(S31-T31)*V31-'data 1'!$F$4</f>
        <v>156.9945</v>
      </c>
      <c r="AD31" s="71">
        <f t="shared" si="8"/>
        <v>423.7646522</v>
      </c>
      <c r="AE31" s="71">
        <f t="shared" si="9"/>
        <v>-0.5551</v>
      </c>
      <c r="AF31" s="71">
        <f t="shared" si="10"/>
        <v>381.1811178</v>
      </c>
      <c r="AG31" s="72">
        <f t="shared" ref="AG31:AG38" si="29">AC31+AD31+AE31+AF31+70-53</f>
        <v>978.38517</v>
      </c>
      <c r="AH31" s="193">
        <f t="shared" si="12"/>
        <v>60.43</v>
      </c>
      <c r="AI31" s="193">
        <f t="shared" si="13"/>
        <v>62.648</v>
      </c>
      <c r="AJ31" s="73">
        <f t="shared" si="14"/>
        <v>588.7122564</v>
      </c>
      <c r="AK31" s="73">
        <f t="shared" si="15"/>
        <v>52.98645582</v>
      </c>
      <c r="AM31" s="51">
        <f t="shared" si="16"/>
        <v>6788.065443</v>
      </c>
      <c r="AN31" s="51" t="str">
        <f t="array" ref="AN31">XLOOKUP(D31,RUC!$B$3:$B$565,RUC!$M$3:$M$565)</f>
        <v>Ronald Miranda</v>
      </c>
      <c r="AO31" s="131" t="s">
        <v>547</v>
      </c>
      <c r="AP31" s="57" t="s">
        <v>2511</v>
      </c>
      <c r="AQ31" s="57" t="s">
        <v>2512</v>
      </c>
      <c r="AV31" s="160" t="s">
        <v>692</v>
      </c>
      <c r="AW31" s="6">
        <f t="shared" si="25"/>
        <v>0</v>
      </c>
      <c r="AY31" s="58">
        <f t="shared" si="26"/>
        <v>0</v>
      </c>
      <c r="BA31" s="162">
        <f t="shared" si="27"/>
        <v>0</v>
      </c>
    </row>
    <row r="32" ht="15.0" customHeight="1">
      <c r="A32" s="116" t="s">
        <v>2513</v>
      </c>
      <c r="B32" s="182">
        <v>46020.0</v>
      </c>
      <c r="C32" s="182">
        <v>46010.0</v>
      </c>
      <c r="D32" s="57" t="s">
        <v>665</v>
      </c>
      <c r="E32" s="3">
        <f t="array" ref="E32">XLOOKUP(D32,RUC!$B$3:$B$110,RUC!$D$3:$D$110)</f>
        <v>20608774000</v>
      </c>
      <c r="G32" s="141">
        <v>25.0</v>
      </c>
      <c r="H32" s="3" t="s">
        <v>47</v>
      </c>
      <c r="I32" s="6">
        <v>1.9</v>
      </c>
      <c r="J32" s="58">
        <v>1.2</v>
      </c>
      <c r="K32" s="6">
        <f t="shared" si="2"/>
        <v>1.877</v>
      </c>
      <c r="L32" s="139">
        <v>0.394</v>
      </c>
      <c r="M32" s="60">
        <f t="shared" si="3"/>
        <v>0.37</v>
      </c>
      <c r="N32" s="62">
        <f t="shared" si="4"/>
        <v>0.37</v>
      </c>
      <c r="O32" s="60">
        <f t="shared" si="5"/>
        <v>0.37</v>
      </c>
      <c r="P32" s="63">
        <v>90.0</v>
      </c>
      <c r="Q32" s="58">
        <v>92.89</v>
      </c>
      <c r="R32" s="65">
        <v>4337.6</v>
      </c>
      <c r="S32" s="66">
        <f t="array" ref="S32">IF((XLOOKUP(D32,RUC!$B$3:$B$106,RUC!$E$3:$E$106)+ROUNDDOWN(O32,1)*100)&lt;95,95,((XLOOKUP(D32,RUC!$B$3:$B$106,RUC!$E$3:$E$106)+ROUNDDOWN(O32,1)*100)))</f>
        <v>115</v>
      </c>
      <c r="U32" s="67">
        <f t="array" ref="U32">XLOOKUP(D32,RUC!$B$3:$B$110,RUC!$F$3:$F$110)</f>
        <v>120</v>
      </c>
      <c r="V32" s="67">
        <v>1.1023</v>
      </c>
      <c r="Y32" s="199">
        <v>25.0</v>
      </c>
      <c r="Z32" s="140">
        <v>35.0</v>
      </c>
      <c r="AA32" s="70">
        <f t="shared" si="6"/>
        <v>60</v>
      </c>
      <c r="AB32" s="71">
        <f t="shared" si="28"/>
        <v>1355.23464</v>
      </c>
      <c r="AC32" s="71">
        <f>+(S32-T32)*V32-'data 1'!$F$4</f>
        <v>46.7645</v>
      </c>
      <c r="AD32" s="71">
        <f t="shared" si="8"/>
        <v>52.93699206</v>
      </c>
      <c r="AE32" s="71">
        <f t="shared" si="9"/>
        <v>-3.862</v>
      </c>
      <c r="AF32" s="71">
        <f t="shared" si="10"/>
        <v>103.6442947</v>
      </c>
      <c r="AG32" s="72">
        <f t="shared" si="29"/>
        <v>216.4837868</v>
      </c>
      <c r="AH32" s="193">
        <f t="shared" si="12"/>
        <v>23.553</v>
      </c>
      <c r="AI32" s="193">
        <f t="shared" si="13"/>
        <v>25.355</v>
      </c>
      <c r="AJ32" s="73">
        <f t="shared" si="14"/>
        <v>158.3047663</v>
      </c>
      <c r="AK32" s="73">
        <f t="shared" si="15"/>
        <v>21.42977323</v>
      </c>
      <c r="AM32" s="51">
        <f t="shared" si="16"/>
        <v>2543.775419</v>
      </c>
      <c r="AN32" s="51" t="str">
        <f t="array" ref="AN32">XLOOKUP(D32,RUC!$B$3:$B$565,RUC!$M$3:$M$565)</f>
        <v>Ronald Miranda</v>
      </c>
      <c r="AO32" s="131" t="s">
        <v>547</v>
      </c>
      <c r="AP32" s="57" t="s">
        <v>2514</v>
      </c>
      <c r="AQ32" s="57" t="s">
        <v>2515</v>
      </c>
      <c r="AV32" s="163" t="s">
        <v>693</v>
      </c>
      <c r="AW32" s="165">
        <f t="shared" si="25"/>
        <v>0</v>
      </c>
      <c r="AX32" s="170"/>
      <c r="AY32" s="168">
        <f t="shared" si="26"/>
        <v>0</v>
      </c>
      <c r="AZ32" s="170"/>
      <c r="BA32" s="171">
        <f t="shared" si="27"/>
        <v>0</v>
      </c>
    </row>
    <row r="33" ht="15.0" customHeight="1">
      <c r="A33" s="116" t="s">
        <v>2516</v>
      </c>
      <c r="B33" s="182">
        <v>46020.0</v>
      </c>
      <c r="C33" s="182">
        <v>46010.0</v>
      </c>
      <c r="D33" s="57" t="s">
        <v>665</v>
      </c>
      <c r="E33" s="3">
        <f t="array" ref="E33">XLOOKUP(D33,RUC!$B$3:$B$110,RUC!$D$3:$D$110)</f>
        <v>20608774000</v>
      </c>
      <c r="G33" s="141">
        <v>100.0</v>
      </c>
      <c r="H33" s="3" t="s">
        <v>47</v>
      </c>
      <c r="I33" s="6">
        <v>8.3</v>
      </c>
      <c r="J33" s="58">
        <v>1.35</v>
      </c>
      <c r="K33" s="6">
        <f t="shared" si="2"/>
        <v>8.188</v>
      </c>
      <c r="L33" s="139">
        <v>0.367</v>
      </c>
      <c r="M33" s="60">
        <f t="shared" si="3"/>
        <v>0.345</v>
      </c>
      <c r="N33" s="62">
        <f t="shared" si="4"/>
        <v>0.345</v>
      </c>
      <c r="O33" s="60">
        <f t="shared" si="5"/>
        <v>0.345</v>
      </c>
      <c r="P33" s="63">
        <v>90.0</v>
      </c>
      <c r="Q33" s="58">
        <v>95.91</v>
      </c>
      <c r="R33" s="65">
        <v>4337.6</v>
      </c>
      <c r="S33" s="66">
        <f t="array" ref="S33">IF((XLOOKUP(D33,RUC!$B$3:$B$106,RUC!$E$3:$E$106)+ROUNDDOWN(O33,1)*100)&lt;95,95,((XLOOKUP(D33,RUC!$B$3:$B$106,RUC!$E$3:$E$106)+ROUNDDOWN(O33,1)*100)))</f>
        <v>115</v>
      </c>
      <c r="U33" s="67">
        <f t="array" ref="U33">XLOOKUP(D33,RUC!$B$3:$B$110,RUC!$F$3:$F$110)</f>
        <v>120</v>
      </c>
      <c r="V33" s="67">
        <v>1.1023</v>
      </c>
      <c r="Y33" s="199">
        <v>25.0</v>
      </c>
      <c r="Z33" s="140">
        <v>35.0</v>
      </c>
      <c r="AA33" s="70">
        <f t="shared" si="6"/>
        <v>60</v>
      </c>
      <c r="AB33" s="71">
        <f t="shared" si="28"/>
        <v>1250.630779</v>
      </c>
      <c r="AC33" s="71">
        <f>+(S33-T33)*V33-'data 1'!$F$4</f>
        <v>46.7645</v>
      </c>
      <c r="AD33" s="71">
        <f t="shared" si="8"/>
        <v>100.8367271</v>
      </c>
      <c r="AE33" s="71">
        <f t="shared" si="9"/>
        <v>-3.862</v>
      </c>
      <c r="AF33" s="71">
        <f t="shared" si="10"/>
        <v>98.09610594</v>
      </c>
      <c r="AG33" s="72">
        <f t="shared" si="29"/>
        <v>258.835333</v>
      </c>
      <c r="AH33" s="193">
        <f t="shared" si="12"/>
        <v>98.814</v>
      </c>
      <c r="AI33" s="193">
        <f t="shared" si="13"/>
        <v>103.027</v>
      </c>
      <c r="AJ33" s="73">
        <f t="shared" si="14"/>
        <v>152.2505119</v>
      </c>
      <c r="AK33" s="73">
        <f t="shared" si="15"/>
        <v>87.16627916</v>
      </c>
      <c r="AM33" s="51">
        <f t="shared" si="16"/>
        <v>10240.16482</v>
      </c>
      <c r="AN33" s="51" t="str">
        <f t="array" ref="AN33">XLOOKUP(D33,RUC!$B$3:$B$565,RUC!$M$3:$M$565)</f>
        <v>Ronald Miranda</v>
      </c>
      <c r="AO33" s="131" t="s">
        <v>547</v>
      </c>
      <c r="AP33" s="57" t="s">
        <v>2514</v>
      </c>
      <c r="AQ33" s="57" t="s">
        <v>2515</v>
      </c>
    </row>
    <row r="34" ht="15.0" customHeight="1">
      <c r="A34" s="116" t="s">
        <v>2517</v>
      </c>
      <c r="B34" s="182">
        <v>46020.0</v>
      </c>
      <c r="C34" s="182">
        <v>46010.0</v>
      </c>
      <c r="D34" s="57" t="s">
        <v>665</v>
      </c>
      <c r="E34" s="3">
        <f t="array" ref="E34">XLOOKUP(D34,RUC!$B$3:$B$110,RUC!$D$3:$D$110)</f>
        <v>20608774000</v>
      </c>
      <c r="G34" s="141">
        <v>24.0</v>
      </c>
      <c r="H34" s="3" t="s">
        <v>40</v>
      </c>
      <c r="I34" s="6">
        <v>2.01</v>
      </c>
      <c r="J34" s="58">
        <v>32.18</v>
      </c>
      <c r="K34" s="6">
        <f t="shared" si="2"/>
        <v>1.363</v>
      </c>
      <c r="L34" s="139">
        <v>7.843</v>
      </c>
      <c r="M34" s="60">
        <f t="shared" ref="M34:M36" si="30">ROUND(+IF(AN34="Melchor Vera",IF(L34&gt;0.467,L34*0.985,(L34-0.007)),IF(L34&gt;0.3,L34*0.93,(L34-0.018))),3)</f>
        <v>7.294</v>
      </c>
      <c r="N34" s="75">
        <v>8.13</v>
      </c>
      <c r="O34" s="60">
        <f t="shared" si="5"/>
        <v>7.712</v>
      </c>
      <c r="P34" s="63">
        <v>85.0</v>
      </c>
      <c r="Q34" s="58">
        <v>86.69</v>
      </c>
      <c r="R34" s="65">
        <v>4337.6</v>
      </c>
      <c r="S34" s="66">
        <f t="array" ref="S34">IF((XLOOKUP(D34,RUC!$B$3:$B$106,RUC!$E$3:$E$106)+ROUNDDOWN(O34,1)*100)&lt;95,95,((XLOOKUP(D34,RUC!$B$3:$B$106,RUC!$E$3:$E$106)+ROUNDDOWN(O34,1)*100)))</f>
        <v>855</v>
      </c>
      <c r="U34" s="67">
        <f t="array" ref="U34">XLOOKUP(D34,RUC!$B$3:$B$110,RUC!$F$3:$F$110)</f>
        <v>120</v>
      </c>
      <c r="V34" s="67">
        <v>1.1023</v>
      </c>
      <c r="Y34" s="199">
        <v>25.0</v>
      </c>
      <c r="Z34" s="140">
        <v>35.0</v>
      </c>
      <c r="AA34" s="70">
        <f t="shared" si="6"/>
        <v>60</v>
      </c>
      <c r="AB34" s="71">
        <f t="shared" si="28"/>
        <v>29466.91676</v>
      </c>
      <c r="AC34" s="71">
        <f>+(S34-T34)*V34-'data 1'!$F$4</f>
        <v>862.4665</v>
      </c>
      <c r="AD34" s="71">
        <f t="shared" si="8"/>
        <v>616.2176247</v>
      </c>
      <c r="AE34" s="71">
        <f t="shared" si="9"/>
        <v>-3.862</v>
      </c>
      <c r="AF34" s="71">
        <f t="shared" si="10"/>
        <v>527.9654394</v>
      </c>
      <c r="AG34" s="72">
        <f t="shared" si="29"/>
        <v>2019.787564</v>
      </c>
      <c r="AH34" s="193">
        <f t="shared" si="12"/>
        <v>317.728</v>
      </c>
      <c r="AI34" s="193">
        <f t="shared" si="13"/>
        <v>366.511</v>
      </c>
      <c r="AJ34" s="73">
        <f t="shared" si="14"/>
        <v>2940.89842</v>
      </c>
      <c r="AK34" s="73">
        <f t="shared" si="15"/>
        <v>306.3309457</v>
      </c>
      <c r="AM34" s="51">
        <f t="shared" si="16"/>
        <v>40163.40754</v>
      </c>
      <c r="AN34" s="51" t="str">
        <f t="array" ref="AN34">XLOOKUP(D34,RUC!$B$3:$B$565,RUC!$M$3:$M$565)</f>
        <v>Ronald Miranda</v>
      </c>
      <c r="AO34" s="131" t="s">
        <v>551</v>
      </c>
      <c r="AP34" s="57" t="s">
        <v>2514</v>
      </c>
      <c r="AQ34" s="57" t="s">
        <v>2515</v>
      </c>
      <c r="AR34" s="57" t="s">
        <v>2211</v>
      </c>
    </row>
    <row r="35" ht="15.0" customHeight="1">
      <c r="A35" s="116" t="s">
        <v>2518</v>
      </c>
      <c r="B35" s="182">
        <v>46020.0</v>
      </c>
      <c r="C35" s="182">
        <v>46010.0</v>
      </c>
      <c r="D35" s="57" t="s">
        <v>665</v>
      </c>
      <c r="E35" s="3">
        <f t="array" ref="E35">XLOOKUP(D35,RUC!$B$3:$B$110,RUC!$D$3:$D$110)</f>
        <v>20608774000</v>
      </c>
      <c r="G35" s="141">
        <v>5.0</v>
      </c>
      <c r="H35" s="3" t="s">
        <v>40</v>
      </c>
      <c r="I35" s="6">
        <v>0.42</v>
      </c>
      <c r="J35" s="58">
        <v>29.93</v>
      </c>
      <c r="K35" s="6">
        <f t="shared" si="2"/>
        <v>0.294</v>
      </c>
      <c r="L35" s="139">
        <v>11.853</v>
      </c>
      <c r="M35" s="60">
        <f t="shared" si="30"/>
        <v>11.023</v>
      </c>
      <c r="N35" s="75">
        <v>11.775</v>
      </c>
      <c r="O35" s="60">
        <f t="shared" si="5"/>
        <v>11.399</v>
      </c>
      <c r="P35" s="63">
        <v>87.0</v>
      </c>
      <c r="Q35" s="58">
        <v>88.48</v>
      </c>
      <c r="R35" s="65">
        <v>4337.6</v>
      </c>
      <c r="S35" s="66">
        <f t="array" ref="S35">IF((XLOOKUP(D35,RUC!$B$3:$B$106,RUC!$E$3:$E$106)+ROUNDDOWN(O35,1)*100)&lt;95,95,((XLOOKUP(D35,RUC!$B$3:$B$106,RUC!$E$3:$E$106)+ROUNDDOWN(O35,1)*100)))</f>
        <v>1215</v>
      </c>
      <c r="U35" s="67">
        <f t="array" ref="U35">XLOOKUP(D35,RUC!$B$3:$B$110,RUC!$F$3:$F$110)</f>
        <v>120</v>
      </c>
      <c r="V35" s="67">
        <v>1.1023</v>
      </c>
      <c r="Y35" s="199">
        <v>25.0</v>
      </c>
      <c r="Z35" s="140">
        <v>35.0</v>
      </c>
      <c r="AA35" s="70">
        <f t="shared" si="6"/>
        <v>60</v>
      </c>
      <c r="AB35" s="71">
        <f t="shared" si="28"/>
        <v>44699.90466</v>
      </c>
      <c r="AC35" s="71">
        <f>+(S35-T35)*V35-'data 1'!$F$4</f>
        <v>1259.2945</v>
      </c>
      <c r="AD35" s="71">
        <f t="shared" si="8"/>
        <v>815.5586453</v>
      </c>
      <c r="AE35" s="71">
        <f t="shared" si="9"/>
        <v>-3.862</v>
      </c>
      <c r="AF35" s="71">
        <f t="shared" si="10"/>
        <v>1867.523876</v>
      </c>
      <c r="AG35" s="72">
        <f t="shared" si="29"/>
        <v>3955.515021</v>
      </c>
      <c r="AH35" s="193">
        <f t="shared" si="12"/>
        <v>105.713</v>
      </c>
      <c r="AI35" s="193">
        <f t="shared" si="13"/>
        <v>119.477</v>
      </c>
      <c r="AJ35" s="73">
        <f t="shared" si="14"/>
        <v>4536.304558</v>
      </c>
      <c r="AK35" s="73">
        <f t="shared" si="15"/>
        <v>99.96371922</v>
      </c>
      <c r="AM35" s="51">
        <f t="shared" si="16"/>
        <v>13141.77197</v>
      </c>
      <c r="AN35" s="51" t="str">
        <f t="array" ref="AN35">XLOOKUP(D35,RUC!$B$3:$B$565,RUC!$M$3:$M$565)</f>
        <v>Ronald Miranda</v>
      </c>
      <c r="AO35" s="131" t="s">
        <v>551</v>
      </c>
      <c r="AP35" s="57" t="s">
        <v>2514</v>
      </c>
      <c r="AQ35" s="57" t="s">
        <v>2515</v>
      </c>
      <c r="AR35" s="57" t="s">
        <v>2211</v>
      </c>
    </row>
    <row r="36" ht="15.0" customHeight="1">
      <c r="A36" s="116" t="s">
        <v>2519</v>
      </c>
      <c r="B36" s="182">
        <v>46020.0</v>
      </c>
      <c r="C36" s="182">
        <v>46010.0</v>
      </c>
      <c r="D36" s="57" t="s">
        <v>665</v>
      </c>
      <c r="E36" s="3">
        <f t="array" ref="E36">XLOOKUP(D36,RUC!$B$3:$B$110,RUC!$D$3:$D$110)</f>
        <v>20608774000</v>
      </c>
      <c r="G36" s="141">
        <v>22.0</v>
      </c>
      <c r="H36" s="3" t="s">
        <v>40</v>
      </c>
      <c r="I36" s="6">
        <v>1.87</v>
      </c>
      <c r="J36" s="58">
        <v>32.82</v>
      </c>
      <c r="K36" s="6">
        <f t="shared" si="2"/>
        <v>1.256</v>
      </c>
      <c r="L36" s="139">
        <v>4.686</v>
      </c>
      <c r="M36" s="60">
        <f t="shared" si="30"/>
        <v>4.358</v>
      </c>
      <c r="N36" s="62">
        <f t="shared" ref="N36:N37" si="31">+M36</f>
        <v>4.358</v>
      </c>
      <c r="O36" s="60">
        <f t="shared" si="5"/>
        <v>4.358</v>
      </c>
      <c r="P36" s="63">
        <v>84.0</v>
      </c>
      <c r="Q36" s="58">
        <v>84.17</v>
      </c>
      <c r="R36" s="65">
        <v>4337.6</v>
      </c>
      <c r="S36" s="66">
        <f t="array" ref="S36">IF((XLOOKUP(D36,RUC!$B$3:$B$106,RUC!$E$3:$E$106)+ROUNDDOWN(O36,1)*100)&lt;95,95,((XLOOKUP(D36,RUC!$B$3:$B$106,RUC!$E$3:$E$106)+ROUNDDOWN(O36,1)*100)))</f>
        <v>515</v>
      </c>
      <c r="U36" s="67">
        <f t="array" ref="U36">XLOOKUP(D36,RUC!$B$3:$B$110,RUC!$F$3:$F$110)</f>
        <v>120</v>
      </c>
      <c r="V36" s="67">
        <v>1.1023</v>
      </c>
      <c r="Y36" s="199">
        <v>25.0</v>
      </c>
      <c r="Z36" s="140">
        <v>35.0</v>
      </c>
      <c r="AA36" s="70">
        <f t="shared" si="6"/>
        <v>60</v>
      </c>
      <c r="AB36" s="71">
        <f t="shared" si="28"/>
        <v>16385.08618</v>
      </c>
      <c r="AC36" s="71">
        <f>+(S36-T36)*V36-'data 1'!$F$4</f>
        <v>487.6845</v>
      </c>
      <c r="AD36" s="71">
        <f t="shared" si="8"/>
        <v>37.0353456</v>
      </c>
      <c r="AE36" s="71">
        <f t="shared" si="9"/>
        <v>-3.862</v>
      </c>
      <c r="AF36" s="71">
        <f t="shared" si="10"/>
        <v>1283.50146</v>
      </c>
      <c r="AG36" s="72">
        <f t="shared" si="29"/>
        <v>1821.359305</v>
      </c>
      <c r="AH36" s="193">
        <f t="shared" si="12"/>
        <v>169.847</v>
      </c>
      <c r="AI36" s="193">
        <f t="shared" si="13"/>
        <v>201.791</v>
      </c>
      <c r="AJ36" s="73">
        <f t="shared" si="14"/>
        <v>1706.036889</v>
      </c>
      <c r="AK36" s="73">
        <f t="shared" si="15"/>
        <v>157.6395624</v>
      </c>
      <c r="AM36" s="51">
        <f t="shared" si="16"/>
        <v>20579.66824</v>
      </c>
      <c r="AN36" s="51" t="str">
        <f t="array" ref="AN36">XLOOKUP(D36,RUC!$B$3:$B$565,RUC!$M$3:$M$565)</f>
        <v>Ronald Miranda</v>
      </c>
      <c r="AO36" s="131" t="s">
        <v>547</v>
      </c>
      <c r="AP36" s="57" t="s">
        <v>2514</v>
      </c>
      <c r="AQ36" s="57" t="s">
        <v>2515</v>
      </c>
      <c r="AR36" s="57" t="s">
        <v>2211</v>
      </c>
    </row>
    <row r="37" ht="15.0" customHeight="1">
      <c r="A37" s="116" t="s">
        <v>2520</v>
      </c>
      <c r="B37" s="182">
        <v>46020.0</v>
      </c>
      <c r="C37" s="182">
        <v>46010.0</v>
      </c>
      <c r="D37" s="57" t="s">
        <v>665</v>
      </c>
      <c r="E37" s="3">
        <f t="array" ref="E37">XLOOKUP(D37,RUC!$B$3:$B$110,RUC!$D$3:$D$110)</f>
        <v>20608774000</v>
      </c>
      <c r="G37" s="141">
        <v>100.0</v>
      </c>
      <c r="H37" s="3" t="s">
        <v>47</v>
      </c>
      <c r="I37" s="6">
        <v>8.31</v>
      </c>
      <c r="J37" s="58">
        <v>1.25</v>
      </c>
      <c r="K37" s="6">
        <f t="shared" si="2"/>
        <v>8.206</v>
      </c>
      <c r="L37" s="139">
        <v>0.375</v>
      </c>
      <c r="M37" s="60">
        <f t="shared" ref="M37:M38" si="32">ROUND(+IF(AN37="Melchor Vera",IF(L37&gt;0.467,L37*0.985,(L37-0.007)),IF(L37&gt;0.3,L37*0.94,(L37-0.018))),3)</f>
        <v>0.353</v>
      </c>
      <c r="N37" s="62">
        <f t="shared" si="31"/>
        <v>0.353</v>
      </c>
      <c r="O37" s="60">
        <f t="shared" si="5"/>
        <v>0.353</v>
      </c>
      <c r="P37" s="63">
        <v>90.0</v>
      </c>
      <c r="Q37" s="58">
        <v>93.87</v>
      </c>
      <c r="R37" s="65">
        <v>4337.6</v>
      </c>
      <c r="S37" s="66">
        <f t="array" ref="S37">IF((XLOOKUP(D37,RUC!$B$3:$B$106,RUC!$E$3:$E$106)+ROUNDDOWN(O37,1)*100)&lt;95,95,((XLOOKUP(D37,RUC!$B$3:$B$106,RUC!$E$3:$E$106)+ROUNDDOWN(O37,1)*100)))</f>
        <v>115</v>
      </c>
      <c r="U37" s="67">
        <f t="array" ref="U37">XLOOKUP(D37,RUC!$B$3:$B$110,RUC!$F$3:$F$110)</f>
        <v>120</v>
      </c>
      <c r="V37" s="67">
        <v>1.1023</v>
      </c>
      <c r="Y37" s="199">
        <v>25.0</v>
      </c>
      <c r="Z37" s="140">
        <v>35.0</v>
      </c>
      <c r="AA37" s="70">
        <f t="shared" si="6"/>
        <v>60</v>
      </c>
      <c r="AB37" s="71">
        <f t="shared" si="28"/>
        <v>1284.104014</v>
      </c>
      <c r="AC37" s="71">
        <f>+(S37-T37)*V37-'data 1'!$F$4</f>
        <v>46.7645</v>
      </c>
      <c r="AD37" s="71">
        <f t="shared" si="8"/>
        <v>67.46949022</v>
      </c>
      <c r="AE37" s="71">
        <f t="shared" si="9"/>
        <v>-3.862</v>
      </c>
      <c r="AF37" s="71">
        <f t="shared" si="10"/>
        <v>96.0096076</v>
      </c>
      <c r="AG37" s="72">
        <f t="shared" si="29"/>
        <v>223.3815978</v>
      </c>
      <c r="AH37" s="193">
        <f t="shared" si="12"/>
        <v>99.037</v>
      </c>
      <c r="AI37" s="193">
        <f t="shared" si="13"/>
        <v>105.505</v>
      </c>
      <c r="AJ37" s="73">
        <f t="shared" si="14"/>
        <v>152.2603738</v>
      </c>
      <c r="AK37" s="73">
        <f t="shared" si="15"/>
        <v>89.38359063</v>
      </c>
      <c r="AM37" s="51">
        <f t="shared" si="16"/>
        <v>10537.35754</v>
      </c>
      <c r="AN37" s="51" t="str">
        <f t="array" ref="AN37">XLOOKUP(D37,RUC!$B$3:$B$565,RUC!$M$3:$M$565)</f>
        <v>Ronald Miranda</v>
      </c>
      <c r="AO37" s="131" t="s">
        <v>547</v>
      </c>
      <c r="AP37" s="57" t="s">
        <v>2514</v>
      </c>
      <c r="AQ37" s="57" t="s">
        <v>2515</v>
      </c>
    </row>
    <row r="38" ht="15.0" customHeight="1">
      <c r="A38" s="116" t="s">
        <v>2521</v>
      </c>
      <c r="B38" s="182">
        <v>46024.0</v>
      </c>
      <c r="C38" s="182">
        <v>46011.0</v>
      </c>
      <c r="D38" s="57" t="s">
        <v>295</v>
      </c>
      <c r="E38" s="3">
        <f t="array" ref="E38">XLOOKUP(D38,RUC!$B$3:$B$110,RUC!$D$3:$D$110)</f>
        <v>20601769396</v>
      </c>
      <c r="G38" s="141">
        <v>53.0</v>
      </c>
      <c r="H38" s="3" t="s">
        <v>40</v>
      </c>
      <c r="I38" s="6">
        <v>3.94</v>
      </c>
      <c r="J38" s="58">
        <v>4.7</v>
      </c>
      <c r="K38" s="6">
        <f t="shared" si="2"/>
        <v>3.755</v>
      </c>
      <c r="L38" s="139">
        <v>0.157</v>
      </c>
      <c r="M38" s="60">
        <f t="shared" si="32"/>
        <v>0.139</v>
      </c>
      <c r="N38" s="75">
        <v>0.2</v>
      </c>
      <c r="O38" s="60">
        <f t="shared" si="5"/>
        <v>0.17</v>
      </c>
      <c r="P38" s="63">
        <v>90.0</v>
      </c>
      <c r="Q38" s="58">
        <v>90.45</v>
      </c>
      <c r="R38" s="65">
        <v>4337.6</v>
      </c>
      <c r="S38" s="66">
        <f t="array" ref="S38">IF((XLOOKUP(D38,RUC!$B$3:$B$106,RUC!$E$3:$E$106)+ROUNDDOWN(O38,1)*100)&lt;95,95,((XLOOKUP(D38,RUC!$B$3:$B$106,RUC!$E$3:$E$106)+ROUNDDOWN(O38,1)*100)))</f>
        <v>100</v>
      </c>
      <c r="U38" s="67">
        <f t="array" ref="U38">XLOOKUP(D38,RUC!$B$3:$B$110,RUC!$F$3:$F$110)</f>
        <v>120</v>
      </c>
      <c r="V38" s="67">
        <v>1.1023</v>
      </c>
      <c r="Y38" s="199">
        <v>50.0</v>
      </c>
      <c r="Z38" s="140">
        <v>40.0</v>
      </c>
      <c r="AA38" s="70">
        <f t="shared" si="6"/>
        <v>90</v>
      </c>
      <c r="AB38" s="71">
        <f t="shared" si="28"/>
        <v>501.8692534</v>
      </c>
      <c r="AC38" s="71">
        <f>+(S38-T38)*V38-'data 1'!$F$4</f>
        <v>30.23</v>
      </c>
      <c r="AD38" s="71">
        <f t="shared" si="8"/>
        <v>3.284561229</v>
      </c>
      <c r="AE38" s="71">
        <f t="shared" si="9"/>
        <v>29.207</v>
      </c>
      <c r="AF38" s="71">
        <f t="shared" si="10"/>
        <v>-54.66597765</v>
      </c>
      <c r="AG38" s="72">
        <f t="shared" si="29"/>
        <v>25.05558358</v>
      </c>
      <c r="AH38" s="193">
        <f t="shared" si="12"/>
        <v>18.282</v>
      </c>
      <c r="AI38" s="193">
        <f t="shared" si="13"/>
        <v>20.212</v>
      </c>
      <c r="AJ38" s="73">
        <f t="shared" si="14"/>
        <v>61.42384937</v>
      </c>
      <c r="AK38" s="73">
        <f t="shared" si="15"/>
        <v>19.69746972</v>
      </c>
      <c r="AM38" s="51">
        <f t="shared" si="16"/>
        <v>1884.519047</v>
      </c>
      <c r="AN38" s="51" t="str">
        <f t="array" ref="AN38">XLOOKUP(D38,RUC!$B$3:$B$565,RUC!$M$3:$M$565)</f>
        <v>Evelyn</v>
      </c>
      <c r="AO38" s="131" t="s">
        <v>547</v>
      </c>
      <c r="AP38" s="57" t="s">
        <v>2522</v>
      </c>
      <c r="AQ38" s="57" t="s">
        <v>2523</v>
      </c>
    </row>
    <row r="39" ht="15.0" customHeight="1">
      <c r="A39" s="116" t="s">
        <v>2524</v>
      </c>
      <c r="B39" s="182">
        <v>46021.0</v>
      </c>
      <c r="C39" s="182">
        <v>46011.0</v>
      </c>
      <c r="D39" s="57" t="s">
        <v>306</v>
      </c>
      <c r="E39" s="3">
        <f t="array" ref="E39">XLOOKUP(D39,RUC!$B$3:$B$110,RUC!$D$3:$D$110)</f>
        <v>20612921866</v>
      </c>
      <c r="G39" s="141" t="s">
        <v>735</v>
      </c>
      <c r="H39" s="3" t="s">
        <v>47</v>
      </c>
      <c r="I39" s="6">
        <v>23.31</v>
      </c>
      <c r="J39" s="58">
        <v>1.25</v>
      </c>
      <c r="K39" s="6">
        <f t="shared" si="2"/>
        <v>23.019</v>
      </c>
      <c r="L39" s="139">
        <v>0.197</v>
      </c>
      <c r="M39" s="60">
        <v>0.14</v>
      </c>
      <c r="N39" s="75">
        <v>0.188</v>
      </c>
      <c r="O39" s="60">
        <f t="shared" si="5"/>
        <v>0.164</v>
      </c>
      <c r="P39" s="63">
        <v>90.0</v>
      </c>
      <c r="Q39" s="58">
        <v>91.11</v>
      </c>
      <c r="R39" s="65">
        <v>4337.6</v>
      </c>
      <c r="S39" s="66">
        <f t="array" ref="S39">IF((XLOOKUP(D39,RUC!$B$3:$B$106,RUC!$E$3:$E$106)+ROUNDDOWN(O39,1)*100)&lt;95,95,((XLOOKUP(D39,RUC!$B$3:$B$106,RUC!$E$3:$E$106)+ROUNDDOWN(O39,1)*100)))</f>
        <v>95</v>
      </c>
      <c r="U39" s="67">
        <f t="array" ref="U39">XLOOKUP(D39,RUC!$B$3:$B$110,RUC!$F$3:$F$110)</f>
        <v>100</v>
      </c>
      <c r="V39" s="67">
        <v>1.1023</v>
      </c>
      <c r="Y39" s="57" t="str">
        <f t="array" ref="Y39">XLOOKUP(D39,RUC!$B$3:$B$110,RUC!$G$3:$G$110)</f>
        <v/>
      </c>
      <c r="Z39" s="69">
        <f t="array" ref="Z39">XLOOKUP(D39,RUC!$B$3:$B$110,RUC!$H$3:$H$110)</f>
        <v>30</v>
      </c>
      <c r="AA39" s="70">
        <f t="shared" si="6"/>
        <v>30</v>
      </c>
      <c r="AB39" s="71">
        <f t="shared" si="28"/>
        <v>551.6678164</v>
      </c>
      <c r="AC39" s="71">
        <f>+(S39-T39)*V39-'data 1'!$F$4</f>
        <v>24.7185</v>
      </c>
      <c r="AD39" s="71">
        <f t="shared" si="8"/>
        <v>10.21430854</v>
      </c>
      <c r="AE39" s="71">
        <f t="shared" si="9"/>
        <v>-36.931</v>
      </c>
      <c r="AF39" s="71">
        <f t="shared" si="10"/>
        <v>140.4428888</v>
      </c>
      <c r="AG39" s="72">
        <f>AC39+AD39+AE39+AF39+70-10</f>
        <v>198.4446973</v>
      </c>
      <c r="AH39" s="193">
        <f t="shared" si="12"/>
        <v>141.654</v>
      </c>
      <c r="AI39" s="193">
        <f t="shared" si="13"/>
        <v>155.475</v>
      </c>
      <c r="AJ39" s="73">
        <f t="shared" si="14"/>
        <v>73.67866574</v>
      </c>
      <c r="AK39" s="73">
        <f t="shared" si="15"/>
        <v>116.4881853</v>
      </c>
      <c r="AM39" s="51">
        <f t="shared" si="16"/>
        <v>12698.84147</v>
      </c>
      <c r="AN39" s="51" t="str">
        <f t="array" ref="AN39">XLOOKUP(D39,RUC!$B$3:$B$565,RUC!$M$3:$M$565)</f>
        <v>Ronald Garibay</v>
      </c>
      <c r="AO39" s="131" t="s">
        <v>558</v>
      </c>
      <c r="AP39" s="57" t="s">
        <v>2525</v>
      </c>
      <c r="AQ39" s="57" t="s">
        <v>2526</v>
      </c>
    </row>
    <row r="40" ht="15.0" customHeight="1">
      <c r="A40" s="116" t="s">
        <v>2527</v>
      </c>
      <c r="B40" s="182">
        <v>46024.0</v>
      </c>
      <c r="C40" s="182">
        <v>46011.0</v>
      </c>
      <c r="D40" s="57" t="s">
        <v>295</v>
      </c>
      <c r="E40" s="3">
        <f t="array" ref="E40">XLOOKUP(D40,RUC!$B$3:$B$110,RUC!$D$3:$D$110)</f>
        <v>20601769396</v>
      </c>
      <c r="G40" s="141">
        <v>54.0</v>
      </c>
      <c r="H40" s="3" t="s">
        <v>40</v>
      </c>
      <c r="I40" s="6">
        <v>3.97</v>
      </c>
      <c r="J40" s="58">
        <v>2.15</v>
      </c>
      <c r="K40" s="6">
        <f t="shared" si="2"/>
        <v>3.885</v>
      </c>
      <c r="L40" s="139">
        <v>0.146</v>
      </c>
      <c r="M40" s="60">
        <f t="shared" ref="M40:M41" si="33">ROUND(+IF(AN40="Melchor Vera",IF(L40&gt;0.467,L40*0.985,(L40-0.007)),IF(L40&gt;0.3,L40*0.94,(L40-0.018))),3)</f>
        <v>0.128</v>
      </c>
      <c r="N40" s="75">
        <v>0.188</v>
      </c>
      <c r="O40" s="60">
        <f t="shared" si="5"/>
        <v>0.158</v>
      </c>
      <c r="P40" s="63">
        <v>80.0</v>
      </c>
      <c r="Q40" s="58">
        <v>84.25</v>
      </c>
      <c r="R40" s="65">
        <v>4337.6</v>
      </c>
      <c r="S40" s="66">
        <f t="array" ref="S40">IF((XLOOKUP(D40,RUC!$B$3:$B$106,RUC!$E$3:$E$106)+ROUNDDOWN(O40,1)*100)&lt;95,95,((XLOOKUP(D40,RUC!$B$3:$B$106,RUC!$E$3:$E$106)+ROUNDDOWN(O40,1)*100)))</f>
        <v>100</v>
      </c>
      <c r="U40" s="67">
        <f t="array" ref="U40">XLOOKUP(D40,RUC!$B$3:$B$110,RUC!$F$3:$F$110)</f>
        <v>120</v>
      </c>
      <c r="V40" s="67">
        <v>1.1023</v>
      </c>
      <c r="Y40" s="199">
        <v>50.0</v>
      </c>
      <c r="Z40" s="140">
        <v>40.0</v>
      </c>
      <c r="AA40" s="70">
        <f t="shared" si="6"/>
        <v>90</v>
      </c>
      <c r="AB40" s="71">
        <f t="shared" si="28"/>
        <v>378.2042447</v>
      </c>
      <c r="AC40" s="71">
        <f>+(S40-T40)*V40-'data 1'!$F$4</f>
        <v>30.23</v>
      </c>
      <c r="AD40" s="71">
        <f t="shared" si="8"/>
        <v>28.84742028</v>
      </c>
      <c r="AE40" s="71">
        <f t="shared" si="9"/>
        <v>29.207</v>
      </c>
      <c r="AF40" s="71">
        <f t="shared" si="10"/>
        <v>-47.00200145</v>
      </c>
      <c r="AG40" s="72">
        <f t="shared" ref="AG40:AG51" si="34">AC40+AD40+AE40+AF40+70-53</f>
        <v>58.28241883</v>
      </c>
      <c r="AH40" s="193">
        <f t="shared" si="12"/>
        <v>16.384</v>
      </c>
      <c r="AI40" s="193">
        <f t="shared" si="13"/>
        <v>19.447</v>
      </c>
      <c r="AJ40" s="73">
        <f t="shared" si="14"/>
        <v>53.20489267</v>
      </c>
      <c r="AK40" s="73">
        <f t="shared" si="15"/>
        <v>16.8363198</v>
      </c>
      <c r="AM40" s="51">
        <f t="shared" si="16"/>
        <v>1469.323491</v>
      </c>
      <c r="AN40" s="51" t="str">
        <f t="array" ref="AN40">XLOOKUP(D40,RUC!$B$3:$B$565,RUC!$M$3:$M$565)</f>
        <v>Evelyn</v>
      </c>
      <c r="AO40" s="131" t="s">
        <v>547</v>
      </c>
      <c r="AP40" s="57" t="s">
        <v>2522</v>
      </c>
      <c r="AQ40" s="57" t="s">
        <v>2523</v>
      </c>
    </row>
    <row r="41" ht="15.0" customHeight="1">
      <c r="A41" s="116" t="s">
        <v>2528</v>
      </c>
      <c r="B41" s="182">
        <v>46024.0</v>
      </c>
      <c r="C41" s="182">
        <v>46011.0</v>
      </c>
      <c r="D41" s="57" t="s">
        <v>295</v>
      </c>
      <c r="E41" s="3">
        <f t="array" ref="E41">XLOOKUP(D41,RUC!$B$3:$B$110,RUC!$D$3:$D$110)</f>
        <v>20601769396</v>
      </c>
      <c r="G41" s="141">
        <v>54.0</v>
      </c>
      <c r="H41" s="3" t="s">
        <v>40</v>
      </c>
      <c r="I41" s="6">
        <v>3.96</v>
      </c>
      <c r="J41" s="58">
        <v>3.75</v>
      </c>
      <c r="K41" s="6">
        <f t="shared" si="2"/>
        <v>3.812</v>
      </c>
      <c r="L41" s="139">
        <v>0.214</v>
      </c>
      <c r="M41" s="60">
        <f t="shared" si="33"/>
        <v>0.196</v>
      </c>
      <c r="N41" s="75">
        <v>0.264</v>
      </c>
      <c r="O41" s="60">
        <f t="shared" si="5"/>
        <v>0.23</v>
      </c>
      <c r="P41" s="63">
        <v>90.0</v>
      </c>
      <c r="Q41" s="58">
        <v>90.65</v>
      </c>
      <c r="R41" s="65">
        <v>4337.6</v>
      </c>
      <c r="S41" s="66">
        <f t="array" ref="S41">IF((XLOOKUP(D41,RUC!$B$3:$B$106,RUC!$E$3:$E$106)+ROUNDDOWN(O41,1)*100)&lt;95,95,((XLOOKUP(D41,RUC!$B$3:$B$106,RUC!$E$3:$E$106)+ROUNDDOWN(O41,1)*100)))</f>
        <v>110</v>
      </c>
      <c r="U41" s="67">
        <f t="array" ref="U41">XLOOKUP(D41,RUC!$B$3:$B$110,RUC!$F$3:$F$110)</f>
        <v>120</v>
      </c>
      <c r="V41" s="67">
        <v>1.1023</v>
      </c>
      <c r="Y41" s="199">
        <v>50.0</v>
      </c>
      <c r="Z41" s="140">
        <v>40.0</v>
      </c>
      <c r="AA41" s="70">
        <f t="shared" si="6"/>
        <v>90</v>
      </c>
      <c r="AB41" s="71">
        <f t="shared" si="28"/>
        <v>741.8955194</v>
      </c>
      <c r="AC41" s="71">
        <f>+(S41-T41)*V41-'data 1'!$F$4</f>
        <v>41.253</v>
      </c>
      <c r="AD41" s="71">
        <f t="shared" si="8"/>
        <v>6.466843128</v>
      </c>
      <c r="AE41" s="71">
        <f t="shared" si="9"/>
        <v>29.207</v>
      </c>
      <c r="AF41" s="71">
        <f t="shared" si="10"/>
        <v>-67.4299732</v>
      </c>
      <c r="AG41" s="72">
        <f t="shared" si="34"/>
        <v>26.49686993</v>
      </c>
      <c r="AH41" s="193">
        <f t="shared" si="12"/>
        <v>25.354</v>
      </c>
      <c r="AI41" s="193">
        <f t="shared" si="13"/>
        <v>27.969</v>
      </c>
      <c r="AJ41" s="73">
        <f t="shared" si="14"/>
        <v>83.909356</v>
      </c>
      <c r="AK41" s="73">
        <f t="shared" si="15"/>
        <v>27.05405114</v>
      </c>
      <c r="AM41" s="51">
        <f t="shared" si="16"/>
        <v>2828.10572</v>
      </c>
      <c r="AN41" s="51" t="str">
        <f t="array" ref="AN41">XLOOKUP(D41,RUC!$B$3:$B$565,RUC!$M$3:$M$565)</f>
        <v>Evelyn</v>
      </c>
      <c r="AO41" s="131" t="s">
        <v>547</v>
      </c>
      <c r="AP41" s="57" t="s">
        <v>2522</v>
      </c>
      <c r="AQ41" s="57" t="s">
        <v>2523</v>
      </c>
    </row>
    <row r="42" ht="15.0" customHeight="1">
      <c r="A42" s="116" t="s">
        <v>2529</v>
      </c>
      <c r="B42" s="182">
        <v>46018.0</v>
      </c>
      <c r="C42" s="182">
        <v>46011.0</v>
      </c>
      <c r="D42" s="57" t="s">
        <v>295</v>
      </c>
      <c r="E42" s="3">
        <f t="array" ref="E42">XLOOKUP(D42,RUC!$B$3:$B$110,RUC!$D$3:$D$110)</f>
        <v>20601769396</v>
      </c>
      <c r="G42" s="141">
        <v>50.0</v>
      </c>
      <c r="H42" s="3" t="s">
        <v>339</v>
      </c>
      <c r="I42" s="6">
        <v>3.38</v>
      </c>
      <c r="J42" s="58">
        <v>13.7</v>
      </c>
      <c r="K42" s="6">
        <f t="shared" si="2"/>
        <v>2.917</v>
      </c>
      <c r="L42" s="139">
        <v>0.26</v>
      </c>
      <c r="M42" s="60">
        <f t="shared" ref="M42:M45" si="35">ROUND(+IF(AN42="Melchor Vera",IF(L42&gt;0.467,L42*0.985,(L42-0.007)),IF(L42&gt;0.3,L42*0.94,(L42-0.019))),3)</f>
        <v>0.241</v>
      </c>
      <c r="N42" s="62">
        <f t="shared" ref="N42:N47" si="36">+M42</f>
        <v>0.241</v>
      </c>
      <c r="O42" s="60">
        <f t="shared" si="5"/>
        <v>0.241</v>
      </c>
      <c r="P42" s="63">
        <v>90.0</v>
      </c>
      <c r="Q42" s="58">
        <v>93.85</v>
      </c>
      <c r="R42" s="65">
        <v>4337.6</v>
      </c>
      <c r="S42" s="66">
        <f t="array" ref="S42">IF((XLOOKUP(D42,RUC!$B$3:$B$106,RUC!$E$3:$E$106)+ROUNDDOWN(O42,1)*100)&lt;95,95,((XLOOKUP(D42,RUC!$B$3:$B$106,RUC!$E$3:$E$106)+ROUNDDOWN(O42,1)*100)))</f>
        <v>110</v>
      </c>
      <c r="U42" s="67">
        <f t="array" ref="U42">XLOOKUP(D42,RUC!$B$3:$B$110,RUC!$F$3:$F$110)</f>
        <v>120</v>
      </c>
      <c r="V42" s="67">
        <v>1.1023</v>
      </c>
      <c r="Y42" s="199">
        <v>30.0</v>
      </c>
      <c r="Z42" s="140">
        <v>40.0</v>
      </c>
      <c r="AA42" s="70">
        <f t="shared" si="6"/>
        <v>70</v>
      </c>
      <c r="AB42" s="71">
        <f t="shared" si="28"/>
        <v>809.9672181</v>
      </c>
      <c r="AC42" s="71">
        <f>+(S42-T42)*V42-'data 1'!$F$4</f>
        <v>41.253</v>
      </c>
      <c r="AD42" s="71">
        <f t="shared" si="8"/>
        <v>46.5370954</v>
      </c>
      <c r="AE42" s="71">
        <f t="shared" si="9"/>
        <v>7.161</v>
      </c>
      <c r="AF42" s="71">
        <f t="shared" si="10"/>
        <v>82.89972195</v>
      </c>
      <c r="AG42" s="72">
        <f t="shared" si="34"/>
        <v>194.8508174</v>
      </c>
      <c r="AH42" s="193">
        <f t="shared" si="12"/>
        <v>24.404</v>
      </c>
      <c r="AI42" s="193">
        <f t="shared" si="13"/>
        <v>26.003</v>
      </c>
      <c r="AJ42" s="73">
        <f t="shared" si="14"/>
        <v>105.5447003</v>
      </c>
      <c r="AK42" s="73">
        <f t="shared" si="15"/>
        <v>21.69227245</v>
      </c>
      <c r="AM42" s="51">
        <f t="shared" si="16"/>
        <v>2362.674375</v>
      </c>
      <c r="AN42" s="51" t="str">
        <f t="array" ref="AN42">XLOOKUP(D42,RUC!$B$3:$B$565,RUC!$M$3:$M$565)</f>
        <v>Evelyn</v>
      </c>
      <c r="AO42" s="131" t="s">
        <v>558</v>
      </c>
      <c r="AP42" s="57" t="s">
        <v>2522</v>
      </c>
      <c r="AQ42" s="57" t="s">
        <v>2523</v>
      </c>
    </row>
    <row r="43" ht="15.0" customHeight="1">
      <c r="A43" s="116" t="s">
        <v>2530</v>
      </c>
      <c r="B43" s="182">
        <v>46018.0</v>
      </c>
      <c r="C43" s="182">
        <v>46011.0</v>
      </c>
      <c r="D43" s="57" t="s">
        <v>295</v>
      </c>
      <c r="E43" s="3">
        <f t="array" ref="E43">XLOOKUP(D43,RUC!$B$3:$B$110,RUC!$D$3:$D$110)</f>
        <v>20601769396</v>
      </c>
      <c r="G43" s="141">
        <v>52.0</v>
      </c>
      <c r="H43" s="3" t="s">
        <v>339</v>
      </c>
      <c r="I43" s="6">
        <v>3.55</v>
      </c>
      <c r="J43" s="58">
        <v>9.7</v>
      </c>
      <c r="K43" s="6">
        <f t="shared" si="2"/>
        <v>3.206</v>
      </c>
      <c r="L43" s="139">
        <v>0.245</v>
      </c>
      <c r="M43" s="60">
        <f t="shared" si="35"/>
        <v>0.226</v>
      </c>
      <c r="N43" s="62">
        <f t="shared" si="36"/>
        <v>0.226</v>
      </c>
      <c r="O43" s="60">
        <f t="shared" si="5"/>
        <v>0.226</v>
      </c>
      <c r="P43" s="63">
        <v>90.0</v>
      </c>
      <c r="Q43" s="58">
        <v>95.1</v>
      </c>
      <c r="R43" s="65">
        <v>4337.6</v>
      </c>
      <c r="S43" s="66">
        <f t="array" ref="S43">IF((XLOOKUP(D43,RUC!$B$3:$B$106,RUC!$E$3:$E$106)+ROUNDDOWN(O43,1)*100)&lt;95,95,((XLOOKUP(D43,RUC!$B$3:$B$106,RUC!$E$3:$E$106)+ROUNDDOWN(O43,1)*100)))</f>
        <v>110</v>
      </c>
      <c r="U43" s="67">
        <f t="array" ref="U43">XLOOKUP(D43,RUC!$B$3:$B$110,RUC!$F$3:$F$110)</f>
        <v>120</v>
      </c>
      <c r="V43" s="67">
        <v>1.1023</v>
      </c>
      <c r="Y43" s="199">
        <v>30.0</v>
      </c>
      <c r="Z43" s="140">
        <v>40.0</v>
      </c>
      <c r="AA43" s="70">
        <f t="shared" si="6"/>
        <v>70</v>
      </c>
      <c r="AB43" s="71">
        <f t="shared" si="28"/>
        <v>747.2049016</v>
      </c>
      <c r="AC43" s="71">
        <f>+(S43-T43)*V43-'data 1'!$F$4</f>
        <v>41.253</v>
      </c>
      <c r="AD43" s="71">
        <f t="shared" si="8"/>
        <v>58.0900107</v>
      </c>
      <c r="AE43" s="71">
        <f t="shared" si="9"/>
        <v>7.161</v>
      </c>
      <c r="AF43" s="71">
        <f t="shared" si="10"/>
        <v>84.00387381</v>
      </c>
      <c r="AG43" s="72">
        <f t="shared" si="34"/>
        <v>207.5078845</v>
      </c>
      <c r="AH43" s="193">
        <f t="shared" si="12"/>
        <v>25.611</v>
      </c>
      <c r="AI43" s="193">
        <f t="shared" si="13"/>
        <v>26.93</v>
      </c>
      <c r="AJ43" s="73">
        <f t="shared" si="14"/>
        <v>100.7802444</v>
      </c>
      <c r="AK43" s="73">
        <f t="shared" si="15"/>
        <v>22.35751526</v>
      </c>
      <c r="AM43" s="51">
        <f t="shared" si="16"/>
        <v>2395.538915</v>
      </c>
      <c r="AN43" s="51" t="str">
        <f t="array" ref="AN43">XLOOKUP(D43,RUC!$B$3:$B$565,RUC!$M$3:$M$565)</f>
        <v>Evelyn</v>
      </c>
      <c r="AO43" s="131" t="s">
        <v>558</v>
      </c>
      <c r="AP43" s="57" t="s">
        <v>2522</v>
      </c>
      <c r="AQ43" s="57" t="s">
        <v>2523</v>
      </c>
    </row>
    <row r="44" ht="15.0" customHeight="1">
      <c r="A44" s="116" t="s">
        <v>2531</v>
      </c>
      <c r="B44" s="182">
        <v>46018.0</v>
      </c>
      <c r="C44" s="182">
        <v>46011.0</v>
      </c>
      <c r="D44" s="57" t="s">
        <v>295</v>
      </c>
      <c r="E44" s="3">
        <f t="array" ref="E44">XLOOKUP(D44,RUC!$B$3:$B$110,RUC!$D$3:$D$110)</f>
        <v>20601769396</v>
      </c>
      <c r="G44" s="141">
        <v>52.0</v>
      </c>
      <c r="H44" s="3" t="s">
        <v>339</v>
      </c>
      <c r="I44" s="6">
        <v>3.49</v>
      </c>
      <c r="J44" s="58">
        <v>12.68</v>
      </c>
      <c r="K44" s="6">
        <f t="shared" si="2"/>
        <v>3.047</v>
      </c>
      <c r="L44" s="139">
        <v>0.226</v>
      </c>
      <c r="M44" s="60">
        <f t="shared" si="35"/>
        <v>0.207</v>
      </c>
      <c r="N44" s="62">
        <f t="shared" si="36"/>
        <v>0.207</v>
      </c>
      <c r="O44" s="60">
        <f t="shared" si="5"/>
        <v>0.207</v>
      </c>
      <c r="P44" s="63">
        <v>90.0</v>
      </c>
      <c r="Q44" s="58">
        <v>94.69</v>
      </c>
      <c r="R44" s="65">
        <v>4337.6</v>
      </c>
      <c r="S44" s="66">
        <f t="array" ref="S44">IF((XLOOKUP(D44,RUC!$B$3:$B$106,RUC!$E$3:$E$106)+ROUNDDOWN(O44,1)*100)&lt;95,95,((XLOOKUP(D44,RUC!$B$3:$B$106,RUC!$E$3:$E$106)+ROUNDDOWN(O44,1)*100)))</f>
        <v>110</v>
      </c>
      <c r="U44" s="67">
        <f t="array" ref="U44">XLOOKUP(D44,RUC!$B$3:$B$110,RUC!$F$3:$F$110)</f>
        <v>120</v>
      </c>
      <c r="V44" s="67">
        <v>1.1023</v>
      </c>
      <c r="Y44" s="199">
        <v>30.0</v>
      </c>
      <c r="Z44" s="140">
        <v>40.0</v>
      </c>
      <c r="AA44" s="70">
        <f t="shared" si="6"/>
        <v>70</v>
      </c>
      <c r="AB44" s="71">
        <f t="shared" si="28"/>
        <v>667.7059674</v>
      </c>
      <c r="AC44" s="71">
        <f>+(S44-T44)*V44-'data 1'!$F$4</f>
        <v>41.253</v>
      </c>
      <c r="AD44" s="71">
        <f t="shared" si="8"/>
        <v>49.27725165</v>
      </c>
      <c r="AE44" s="71">
        <f t="shared" si="9"/>
        <v>7.161</v>
      </c>
      <c r="AF44" s="71">
        <f t="shared" si="10"/>
        <v>83.641712</v>
      </c>
      <c r="AG44" s="72">
        <f t="shared" si="34"/>
        <v>198.3329637</v>
      </c>
      <c r="AH44" s="193">
        <f t="shared" si="12"/>
        <v>22.356</v>
      </c>
      <c r="AI44" s="193">
        <f t="shared" si="13"/>
        <v>23.61</v>
      </c>
      <c r="AJ44" s="73">
        <f t="shared" si="14"/>
        <v>92.56383975</v>
      </c>
      <c r="AK44" s="73">
        <f t="shared" si="15"/>
        <v>19.46230967</v>
      </c>
      <c r="AM44" s="51">
        <f t="shared" si="16"/>
        <v>2034.500083</v>
      </c>
      <c r="AN44" s="51" t="str">
        <f t="array" ref="AN44">XLOOKUP(D44,RUC!$B$3:$B$565,RUC!$M$3:$M$565)</f>
        <v>Evelyn</v>
      </c>
      <c r="AO44" s="131" t="s">
        <v>558</v>
      </c>
      <c r="AP44" s="57" t="s">
        <v>2522</v>
      </c>
      <c r="AQ44" s="57" t="s">
        <v>2523</v>
      </c>
    </row>
    <row r="45" ht="15.0" customHeight="1">
      <c r="A45" s="116" t="s">
        <v>2532</v>
      </c>
      <c r="B45" s="182">
        <v>46018.0</v>
      </c>
      <c r="C45" s="182">
        <v>46011.0</v>
      </c>
      <c r="D45" s="57" t="s">
        <v>295</v>
      </c>
      <c r="E45" s="3">
        <f t="array" ref="E45">XLOOKUP(D45,RUC!$B$3:$B$110,RUC!$D$3:$D$110)</f>
        <v>20601769396</v>
      </c>
      <c r="G45" s="141">
        <v>52.0</v>
      </c>
      <c r="H45" s="3" t="s">
        <v>339</v>
      </c>
      <c r="I45" s="6">
        <v>3.5</v>
      </c>
      <c r="J45" s="58">
        <v>9.25</v>
      </c>
      <c r="K45" s="6">
        <f t="shared" si="2"/>
        <v>3.176</v>
      </c>
      <c r="L45" s="139">
        <v>0.283</v>
      </c>
      <c r="M45" s="60">
        <f t="shared" si="35"/>
        <v>0.264</v>
      </c>
      <c r="N45" s="62">
        <f t="shared" si="36"/>
        <v>0.264</v>
      </c>
      <c r="O45" s="60">
        <f t="shared" si="5"/>
        <v>0.264</v>
      </c>
      <c r="P45" s="63">
        <v>90.0</v>
      </c>
      <c r="Q45" s="58">
        <v>94.35</v>
      </c>
      <c r="R45" s="65">
        <v>4337.6</v>
      </c>
      <c r="S45" s="66">
        <f t="array" ref="S45">IF((XLOOKUP(D45,RUC!$B$3:$B$106,RUC!$E$3:$E$106)+ROUNDDOWN(O45,1)*100)&lt;95,95,((XLOOKUP(D45,RUC!$B$3:$B$106,RUC!$E$3:$E$106)+ROUNDDOWN(O45,1)*100)))</f>
        <v>110</v>
      </c>
      <c r="U45" s="67">
        <f t="array" ref="U45">XLOOKUP(D45,RUC!$B$3:$B$110,RUC!$F$3:$F$110)</f>
        <v>120</v>
      </c>
      <c r="V45" s="67">
        <v>1.1023</v>
      </c>
      <c r="Y45" s="199">
        <v>30.0</v>
      </c>
      <c r="Z45" s="140">
        <v>40.0</v>
      </c>
      <c r="AA45" s="70">
        <f t="shared" si="6"/>
        <v>70</v>
      </c>
      <c r="AB45" s="71">
        <f t="shared" si="28"/>
        <v>906.20277</v>
      </c>
      <c r="AC45" s="71">
        <f>+(S45-T45)*V45-'data 1'!$F$4</f>
        <v>41.253</v>
      </c>
      <c r="AD45" s="71">
        <f t="shared" si="8"/>
        <v>57.23225904</v>
      </c>
      <c r="AE45" s="71">
        <f t="shared" si="9"/>
        <v>7.161</v>
      </c>
      <c r="AF45" s="71">
        <f t="shared" si="10"/>
        <v>83.34138269</v>
      </c>
      <c r="AG45" s="72">
        <f t="shared" si="34"/>
        <v>205.9876417</v>
      </c>
      <c r="AH45" s="193">
        <f t="shared" si="12"/>
        <v>29.075</v>
      </c>
      <c r="AI45" s="193">
        <f t="shared" si="13"/>
        <v>30.816</v>
      </c>
      <c r="AJ45" s="73">
        <f t="shared" si="14"/>
        <v>115.4933945</v>
      </c>
      <c r="AK45" s="73">
        <f t="shared" si="15"/>
        <v>25.87235725</v>
      </c>
      <c r="AM45" s="51">
        <f t="shared" si="16"/>
        <v>2878.099998</v>
      </c>
      <c r="AN45" s="51" t="str">
        <f t="array" ref="AN45">XLOOKUP(D45,RUC!$B$3:$B$565,RUC!$M$3:$M$565)</f>
        <v>Evelyn</v>
      </c>
      <c r="AO45" s="131" t="s">
        <v>558</v>
      </c>
      <c r="AP45" s="57" t="s">
        <v>2522</v>
      </c>
      <c r="AQ45" s="57" t="s">
        <v>2523</v>
      </c>
    </row>
    <row r="46" ht="15.0" customHeight="1">
      <c r="A46" s="116" t="s">
        <v>2533</v>
      </c>
      <c r="B46" s="182">
        <v>46028.0</v>
      </c>
      <c r="C46" s="182">
        <v>46012.0</v>
      </c>
      <c r="D46" s="57" t="s">
        <v>602</v>
      </c>
      <c r="E46" s="3">
        <f t="array" ref="E46">XLOOKUP(D46,RUC!$B$3:$B$110,RUC!$D$3:$D$110)</f>
        <v>20169040231</v>
      </c>
      <c r="G46" s="141">
        <v>52.0</v>
      </c>
      <c r="H46" s="3" t="s">
        <v>47</v>
      </c>
      <c r="I46" s="6">
        <v>4.63</v>
      </c>
      <c r="J46" s="58">
        <v>1.2</v>
      </c>
      <c r="K46" s="6">
        <f t="shared" si="2"/>
        <v>4.574</v>
      </c>
      <c r="L46" s="139">
        <v>0.518</v>
      </c>
      <c r="M46" s="60">
        <f t="shared" ref="M46:M47" si="37">ROUND(+IF(AN46="Melchor Vera",IF(L46&gt;0.467,L46*0.985,(L46-0.007)),IF(L46&gt;0.3,L46*0.94,(L46-0.018))),3)</f>
        <v>0.487</v>
      </c>
      <c r="N46" s="62">
        <f t="shared" si="36"/>
        <v>0.487</v>
      </c>
      <c r="O46" s="60">
        <f t="shared" si="5"/>
        <v>0.487</v>
      </c>
      <c r="P46" s="63">
        <v>90.0</v>
      </c>
      <c r="Q46" s="58">
        <v>95.72</v>
      </c>
      <c r="R46" s="65">
        <v>4421.65</v>
      </c>
      <c r="S46" s="66">
        <f t="array" ref="S46">IF((XLOOKUP(D46,RUC!$B$3:$B$106,RUC!$E$3:$E$106)+ROUNDDOWN(O46,1)*100)&lt;95,95,((XLOOKUP(D46,RUC!$B$3:$B$106,RUC!$E$3:$E$106)+ROUNDDOWN(O46,1)*100)))</f>
        <v>125</v>
      </c>
      <c r="U46" s="67">
        <f t="array" ref="U46">XLOOKUP(D46,RUC!$B$3:$B$110,RUC!$F$3:$F$110)</f>
        <v>120</v>
      </c>
      <c r="V46" s="67">
        <v>1.1023</v>
      </c>
      <c r="Y46" s="199">
        <v>45.0</v>
      </c>
      <c r="Z46" s="140">
        <v>38.0</v>
      </c>
      <c r="AA46" s="70">
        <f t="shared" si="6"/>
        <v>83</v>
      </c>
      <c r="AB46" s="71">
        <f t="shared" si="28"/>
        <v>1849.012565</v>
      </c>
      <c r="AC46" s="71">
        <f>+(S46-T46)*V46-'data 1'!$F$4</f>
        <v>57.7875</v>
      </c>
      <c r="AD46" s="71">
        <f t="shared" si="8"/>
        <v>140.4949349</v>
      </c>
      <c r="AE46" s="71">
        <f t="shared" si="9"/>
        <v>21.4909</v>
      </c>
      <c r="AF46" s="71">
        <f t="shared" si="10"/>
        <v>140.7016734</v>
      </c>
      <c r="AG46" s="72">
        <f t="shared" si="34"/>
        <v>377.4750083</v>
      </c>
      <c r="AH46" s="193">
        <f t="shared" si="12"/>
        <v>77.757</v>
      </c>
      <c r="AI46" s="193">
        <f t="shared" si="13"/>
        <v>81.233</v>
      </c>
      <c r="AJ46" s="73">
        <f t="shared" si="14"/>
        <v>168.5296077</v>
      </c>
      <c r="AK46" s="73">
        <f t="shared" si="15"/>
        <v>68.73480425</v>
      </c>
      <c r="AM46" s="51">
        <f t="shared" si="16"/>
        <v>8457.383472</v>
      </c>
      <c r="AN46" s="51" t="str">
        <f t="array" ref="AN46">XLOOKUP(D46,RUC!$B$3:$B$565,RUC!$M$3:$M$565)</f>
        <v>Ronald Miranda</v>
      </c>
      <c r="AO46" s="131" t="s">
        <v>547</v>
      </c>
      <c r="AP46" s="57" t="s">
        <v>2534</v>
      </c>
      <c r="AQ46" s="57" t="s">
        <v>2535</v>
      </c>
    </row>
    <row r="47" ht="15.0" customHeight="1">
      <c r="A47" s="116" t="s">
        <v>2536</v>
      </c>
      <c r="B47" s="182">
        <v>46021.0</v>
      </c>
      <c r="C47" s="182">
        <v>46012.0</v>
      </c>
      <c r="D47" s="57" t="s">
        <v>602</v>
      </c>
      <c r="E47" s="3">
        <f t="array" ref="E47">XLOOKUP(D47,RUC!$B$3:$B$110,RUC!$D$3:$D$110)</f>
        <v>20169040231</v>
      </c>
      <c r="G47" s="141">
        <v>59.0</v>
      </c>
      <c r="H47" s="3" t="s">
        <v>47</v>
      </c>
      <c r="I47" s="6">
        <v>5.63</v>
      </c>
      <c r="J47" s="58">
        <v>5.0</v>
      </c>
      <c r="K47" s="6">
        <f t="shared" si="2"/>
        <v>5.349</v>
      </c>
      <c r="L47" s="139">
        <v>0.316</v>
      </c>
      <c r="M47" s="60">
        <f t="shared" si="37"/>
        <v>0.297</v>
      </c>
      <c r="N47" s="62">
        <f t="shared" si="36"/>
        <v>0.297</v>
      </c>
      <c r="O47" s="60">
        <f t="shared" si="5"/>
        <v>0.297</v>
      </c>
      <c r="P47" s="63">
        <v>90.0</v>
      </c>
      <c r="Q47" s="58">
        <v>97.15</v>
      </c>
      <c r="R47" s="65">
        <v>4421.65</v>
      </c>
      <c r="S47" s="66">
        <f t="array" ref="S47">IF((XLOOKUP(D47,RUC!$B$3:$B$106,RUC!$E$3:$E$106)+ROUNDDOWN(O47,1)*100)&lt;95,95,((XLOOKUP(D47,RUC!$B$3:$B$106,RUC!$E$3:$E$106)+ROUNDDOWN(O47,1)*100)))</f>
        <v>105</v>
      </c>
      <c r="U47" s="67">
        <f t="array" ref="U47">XLOOKUP(D47,RUC!$B$3:$B$110,RUC!$F$3:$F$110)</f>
        <v>120</v>
      </c>
      <c r="V47" s="67">
        <v>1.1023</v>
      </c>
      <c r="Y47" s="199">
        <v>25.0</v>
      </c>
      <c r="Z47" s="140">
        <v>38.0</v>
      </c>
      <c r="AA47" s="70">
        <f t="shared" si="6"/>
        <v>63</v>
      </c>
      <c r="AB47" s="71">
        <f t="shared" si="28"/>
        <v>1082.272361</v>
      </c>
      <c r="AC47" s="71">
        <f>+(S47-T47)*V47-'data 1'!$F$4</f>
        <v>35.7415</v>
      </c>
      <c r="AD47" s="71">
        <f t="shared" si="8"/>
        <v>107.1341685</v>
      </c>
      <c r="AE47" s="71">
        <f t="shared" si="9"/>
        <v>-0.5551</v>
      </c>
      <c r="AF47" s="71">
        <f t="shared" si="10"/>
        <v>87.52483179</v>
      </c>
      <c r="AG47" s="72">
        <f t="shared" si="34"/>
        <v>246.8454003</v>
      </c>
      <c r="AH47" s="193">
        <f t="shared" si="12"/>
        <v>56.3</v>
      </c>
      <c r="AI47" s="193">
        <f t="shared" si="13"/>
        <v>57.952</v>
      </c>
      <c r="AJ47" s="73">
        <f t="shared" si="14"/>
        <v>104.3454816</v>
      </c>
      <c r="AK47" s="73">
        <f t="shared" si="15"/>
        <v>49.02082612</v>
      </c>
      <c r="AM47" s="51">
        <f t="shared" si="16"/>
        <v>5789.074858</v>
      </c>
      <c r="AN47" s="51" t="str">
        <f t="array" ref="AN47">XLOOKUP(D47,RUC!$B$3:$B$565,RUC!$M$3:$M$565)</f>
        <v>Ronald Miranda</v>
      </c>
      <c r="AO47" s="131" t="s">
        <v>547</v>
      </c>
      <c r="AP47" s="57" t="s">
        <v>2534</v>
      </c>
      <c r="AQ47" s="57" t="s">
        <v>2535</v>
      </c>
    </row>
    <row r="48" ht="15.75" customHeight="1">
      <c r="A48" s="116" t="s">
        <v>2537</v>
      </c>
      <c r="B48" s="182">
        <v>46028.0</v>
      </c>
      <c r="C48" s="182">
        <v>46012.0</v>
      </c>
      <c r="D48" s="57" t="s">
        <v>602</v>
      </c>
      <c r="E48" s="3">
        <f t="array" ref="E48">XLOOKUP(D48,RUC!$B$3:$B$110,RUC!$D$3:$D$110)</f>
        <v>20169040231</v>
      </c>
      <c r="G48" s="141">
        <v>78.0</v>
      </c>
      <c r="H48" s="3" t="s">
        <v>40</v>
      </c>
      <c r="I48" s="6">
        <v>6.63</v>
      </c>
      <c r="J48" s="58">
        <v>31.3</v>
      </c>
      <c r="K48" s="6">
        <f t="shared" si="2"/>
        <v>4.555</v>
      </c>
      <c r="L48" s="139">
        <v>0.863</v>
      </c>
      <c r="M48" s="75">
        <v>0.812</v>
      </c>
      <c r="N48" s="75">
        <v>0.878</v>
      </c>
      <c r="O48" s="60">
        <f t="shared" si="5"/>
        <v>0.845</v>
      </c>
      <c r="P48" s="63">
        <v>68.0</v>
      </c>
      <c r="Q48" s="58">
        <v>68.98</v>
      </c>
      <c r="R48" s="65">
        <v>4421.65</v>
      </c>
      <c r="S48" s="66">
        <f t="array" ref="S48">IF((XLOOKUP(D48,RUC!$B$3:$B$106,RUC!$E$3:$E$106)+ROUNDDOWN(O48,1)*100)&lt;95,95,((XLOOKUP(D48,RUC!$B$3:$B$106,RUC!$E$3:$E$106)+ROUNDDOWN(O48,1)*100)))</f>
        <v>165</v>
      </c>
      <c r="U48" s="67">
        <f t="array" ref="U48">XLOOKUP(D48,RUC!$B$3:$B$110,RUC!$F$3:$F$110)</f>
        <v>120</v>
      </c>
      <c r="V48" s="67">
        <v>1.1023</v>
      </c>
      <c r="Y48" s="199">
        <v>35.0</v>
      </c>
      <c r="Z48" s="140">
        <v>48.0</v>
      </c>
      <c r="AA48" s="70">
        <f t="shared" si="6"/>
        <v>83</v>
      </c>
      <c r="AB48" s="71">
        <f t="shared" si="28"/>
        <v>2451.215474</v>
      </c>
      <c r="AC48" s="71">
        <f>+(S48-T48)*V48-'data 1'!$F$4</f>
        <v>101.8795</v>
      </c>
      <c r="AD48" s="71">
        <f t="shared" si="8"/>
        <v>40.10252796</v>
      </c>
      <c r="AE48" s="71">
        <f t="shared" si="9"/>
        <v>21.4909</v>
      </c>
      <c r="AF48" s="71">
        <f t="shared" si="10"/>
        <v>58.87495308</v>
      </c>
      <c r="AG48" s="72">
        <f t="shared" si="34"/>
        <v>239.347881</v>
      </c>
      <c r="AH48" s="193">
        <f t="shared" si="12"/>
        <v>92.968</v>
      </c>
      <c r="AI48" s="193">
        <f t="shared" si="13"/>
        <v>134.775</v>
      </c>
      <c r="AJ48" s="73">
        <f t="shared" si="14"/>
        <v>202.3381365</v>
      </c>
      <c r="AK48" s="73">
        <f t="shared" si="15"/>
        <v>89.735249</v>
      </c>
      <c r="AM48" s="51">
        <f t="shared" si="16"/>
        <v>11165.28648</v>
      </c>
      <c r="AN48" s="51" t="str">
        <f t="array" ref="AN48">XLOOKUP(D48,RUC!$B$3:$B$565,RUC!$M$3:$M$565)</f>
        <v>Ronald Miranda</v>
      </c>
      <c r="AO48" s="131" t="s">
        <v>547</v>
      </c>
      <c r="AP48" s="57" t="s">
        <v>2534</v>
      </c>
      <c r="AQ48" s="57" t="s">
        <v>2535</v>
      </c>
      <c r="AR48" s="2" t="s">
        <v>2538</v>
      </c>
    </row>
    <row r="49" ht="15.0" customHeight="1">
      <c r="A49" s="116" t="s">
        <v>2539</v>
      </c>
      <c r="B49" s="182">
        <v>46024.0</v>
      </c>
      <c r="C49" s="182">
        <v>46012.0</v>
      </c>
      <c r="D49" s="57" t="s">
        <v>225</v>
      </c>
      <c r="E49" s="3">
        <f t="array" ref="E49">XLOOKUP(D49,RUC!$B$3:$B$110,RUC!$D$3:$D$110)</f>
        <v>10761932735</v>
      </c>
      <c r="G49" s="141">
        <v>15.0</v>
      </c>
      <c r="H49" s="3" t="s">
        <v>47</v>
      </c>
      <c r="I49" s="6">
        <v>1.2</v>
      </c>
      <c r="J49" s="58">
        <v>15.08</v>
      </c>
      <c r="K49" s="6">
        <f t="shared" si="2"/>
        <v>1.019</v>
      </c>
      <c r="L49" s="139">
        <v>0.187</v>
      </c>
      <c r="M49" s="60">
        <f>ROUND(+IF(AN49="Melchor Vera",IF(L49&gt;0.467,L49*0.985,(L49-0.007)),IF(L49&gt;0.3,L49*0.94,(L49-0.019))),3)</f>
        <v>0.168</v>
      </c>
      <c r="N49" s="62">
        <f t="shared" ref="N49:N81" si="38">+M49</f>
        <v>0.168</v>
      </c>
      <c r="O49" s="60">
        <f t="shared" si="5"/>
        <v>0.168</v>
      </c>
      <c r="P49" s="63">
        <v>90.0</v>
      </c>
      <c r="Q49" s="58">
        <v>96.79</v>
      </c>
      <c r="R49" s="65">
        <v>4421.65</v>
      </c>
      <c r="S49" s="66">
        <f t="array" ref="S49">IF((XLOOKUP(D49,RUC!$B$3:$B$106,RUC!$E$3:$E$106)+ROUNDDOWN(O49,1)*100)&lt;95,95,((XLOOKUP(D49,RUC!$B$3:$B$106,RUC!$E$3:$E$106)+ROUNDDOWN(O49,1)*100)))</f>
        <v>100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6"/>
        <v>50</v>
      </c>
      <c r="AB49" s="71">
        <f t="shared" si="28"/>
        <v>551.6013698</v>
      </c>
      <c r="AC49" s="71">
        <f>+(S49-T49)*V49-'data 1'!$F$4</f>
        <v>30.23</v>
      </c>
      <c r="AD49" s="71">
        <f t="shared" si="8"/>
        <v>60.20689908</v>
      </c>
      <c r="AE49" s="71">
        <f t="shared" si="9"/>
        <v>-14.885</v>
      </c>
      <c r="AF49" s="71">
        <f t="shared" si="10"/>
        <v>87.20049891</v>
      </c>
      <c r="AG49" s="72">
        <f t="shared" si="34"/>
        <v>179.752398</v>
      </c>
      <c r="AH49" s="193">
        <f t="shared" si="12"/>
        <v>6.323</v>
      </c>
      <c r="AI49" s="193">
        <f t="shared" si="13"/>
        <v>6.533</v>
      </c>
      <c r="AJ49" s="73">
        <f t="shared" si="14"/>
        <v>61.51993339</v>
      </c>
      <c r="AK49" s="73">
        <f t="shared" si="15"/>
        <v>5.282445736</v>
      </c>
      <c r="AM49" s="51">
        <f t="shared" si="16"/>
        <v>562.0817958</v>
      </c>
      <c r="AN49" s="51" t="str">
        <f t="array" ref="AN49">XLOOKUP(D49,RUC!$B$3:$B$565,RUC!$M$3:$M$565)</f>
        <v>Richard Sapacayo</v>
      </c>
      <c r="AO49" s="131" t="s">
        <v>551</v>
      </c>
      <c r="AP49" s="57" t="s">
        <v>2540</v>
      </c>
      <c r="AQ49" s="57" t="s">
        <v>2541</v>
      </c>
    </row>
    <row r="50" ht="15.0" customHeight="1">
      <c r="A50" s="116" t="s">
        <v>2542</v>
      </c>
      <c r="B50" s="182">
        <v>46024.0</v>
      </c>
      <c r="C50" s="182">
        <v>46012.0</v>
      </c>
      <c r="D50" s="57" t="s">
        <v>225</v>
      </c>
      <c r="E50" s="3">
        <f t="array" ref="E50">XLOOKUP(D50,RUC!$B$3:$B$110,RUC!$D$3:$D$110)</f>
        <v>10761932735</v>
      </c>
      <c r="G50" s="141">
        <v>56.0</v>
      </c>
      <c r="H50" s="3" t="s">
        <v>47</v>
      </c>
      <c r="I50" s="6">
        <v>4.76</v>
      </c>
      <c r="J50" s="58">
        <v>9.45</v>
      </c>
      <c r="K50" s="6">
        <f t="shared" si="2"/>
        <v>4.31</v>
      </c>
      <c r="L50" s="139">
        <v>0.242</v>
      </c>
      <c r="M50" s="60">
        <f t="shared" ref="M50:M51" si="39">ROUND(+IF(AN50="Melchor Vera",IF(L50&gt;0.467,L50*0.985,(L50-0.007)),IF(L50&gt;0.3,L50*0.94,(L50-0.018))),3)</f>
        <v>0.224</v>
      </c>
      <c r="N50" s="62">
        <f t="shared" si="38"/>
        <v>0.224</v>
      </c>
      <c r="O50" s="60">
        <f t="shared" si="5"/>
        <v>0.224</v>
      </c>
      <c r="P50" s="63">
        <v>88.0</v>
      </c>
      <c r="Q50" s="58">
        <v>88.02</v>
      </c>
      <c r="R50" s="65">
        <v>4421.65</v>
      </c>
      <c r="S50" s="66">
        <f t="array" ref="S50">IF((XLOOKUP(D50,RUC!$B$3:$B$106,RUC!$E$3:$E$106)+ROUNDDOWN(O50,1)*100)&lt;95,95,((XLOOKUP(D50,RUC!$B$3:$B$106,RUC!$E$3:$E$106)+ROUNDDOWN(O50,1)*100)))</f>
        <v>110</v>
      </c>
      <c r="U50" s="67">
        <f t="array" ref="U50">XLOOKUP(D50,RUC!$B$3:$B$110,RUC!$F$3:$F$110)</f>
        <v>120</v>
      </c>
      <c r="V50" s="67">
        <v>1.1023</v>
      </c>
      <c r="Y50" s="57">
        <f t="array" ref="Y50">XLOOKUP(D50,RUC!$B$3:$B$110,RUC!$G$3:$G$110)</f>
        <v>20</v>
      </c>
      <c r="Z50" s="69">
        <f t="array" ref="Z50">XLOOKUP(D50,RUC!$B$3:$B$110,RUC!$H$3:$H$110)</f>
        <v>30</v>
      </c>
      <c r="AA50" s="70">
        <f t="shared" si="6"/>
        <v>50</v>
      </c>
      <c r="AB50" s="71">
        <f t="shared" si="28"/>
        <v>758.3176377</v>
      </c>
      <c r="AC50" s="71">
        <f>+(S50-T50)*V50-'data 1'!$F$4</f>
        <v>41.253</v>
      </c>
      <c r="AD50" s="71">
        <f t="shared" si="8"/>
        <v>0.2294987057</v>
      </c>
      <c r="AE50" s="71">
        <f t="shared" si="9"/>
        <v>-14.885</v>
      </c>
      <c r="AF50" s="71">
        <f t="shared" si="10"/>
        <v>75.12573746</v>
      </c>
      <c r="AG50" s="72">
        <f t="shared" si="34"/>
        <v>118.7232362</v>
      </c>
      <c r="AH50" s="193">
        <f t="shared" si="12"/>
        <v>31.476</v>
      </c>
      <c r="AI50" s="193">
        <f t="shared" si="13"/>
        <v>35.76</v>
      </c>
      <c r="AJ50" s="73">
        <f t="shared" si="14"/>
        <v>72.40032078</v>
      </c>
      <c r="AK50" s="73">
        <f t="shared" si="15"/>
        <v>29.12842683</v>
      </c>
      <c r="AM50" s="51">
        <f t="shared" si="16"/>
        <v>3268.349018</v>
      </c>
      <c r="AN50" s="51" t="str">
        <f t="array" ref="AN50">XLOOKUP(D50,RUC!$B$3:$B$565,RUC!$M$3:$M$565)</f>
        <v>Richard Sapacayo</v>
      </c>
      <c r="AO50" s="131" t="s">
        <v>551</v>
      </c>
      <c r="AP50" s="57" t="s">
        <v>2540</v>
      </c>
      <c r="AQ50" s="57" t="s">
        <v>2541</v>
      </c>
    </row>
    <row r="51" ht="15.0" customHeight="1">
      <c r="A51" s="116" t="s">
        <v>2543</v>
      </c>
      <c r="B51" s="182">
        <v>46024.0</v>
      </c>
      <c r="C51" s="182">
        <v>46012.0</v>
      </c>
      <c r="D51" s="57" t="s">
        <v>225</v>
      </c>
      <c r="E51" s="3">
        <f t="array" ref="E51">XLOOKUP(D51,RUC!$B$3:$B$110,RUC!$D$3:$D$110)</f>
        <v>10761932735</v>
      </c>
      <c r="G51" s="141">
        <v>33.0</v>
      </c>
      <c r="H51" s="3" t="s">
        <v>47</v>
      </c>
      <c r="I51" s="6">
        <v>2.8</v>
      </c>
      <c r="J51" s="58">
        <v>15.55</v>
      </c>
      <c r="K51" s="6">
        <f t="shared" si="2"/>
        <v>2.365</v>
      </c>
      <c r="L51" s="139">
        <v>0.441</v>
      </c>
      <c r="M51" s="60">
        <f t="shared" si="39"/>
        <v>0.415</v>
      </c>
      <c r="N51" s="62">
        <f t="shared" si="38"/>
        <v>0.415</v>
      </c>
      <c r="O51" s="60">
        <f t="shared" si="5"/>
        <v>0.415</v>
      </c>
      <c r="P51" s="63">
        <v>87.0</v>
      </c>
      <c r="Q51" s="58">
        <v>87.76</v>
      </c>
      <c r="R51" s="65">
        <v>4421.65</v>
      </c>
      <c r="S51" s="66">
        <f t="array" ref="S51">IF((XLOOKUP(D51,RUC!$B$3:$B$106,RUC!$E$3:$E$106)+ROUNDDOWN(O51,1)*100)&lt;95,95,((XLOOKUP(D51,RUC!$B$3:$B$106,RUC!$E$3:$E$106)+ROUNDDOWN(O51,1)*100)))</f>
        <v>130</v>
      </c>
      <c r="U51" s="67">
        <f t="array" ref="U51">XLOOKUP(D51,RUC!$B$3:$B$110,RUC!$F$3:$F$110)</f>
        <v>120</v>
      </c>
      <c r="V51" s="67">
        <v>1.1023</v>
      </c>
      <c r="Y51" s="57">
        <f t="array" ref="Y51">XLOOKUP(D51,RUC!$B$3:$B$110,RUC!$G$3:$G$110)</f>
        <v>20</v>
      </c>
      <c r="Z51" s="69">
        <f t="array" ref="Z51">XLOOKUP(D51,RUC!$B$3:$B$110,RUC!$H$3:$H$110)</f>
        <v>30</v>
      </c>
      <c r="AA51" s="70">
        <f t="shared" si="6"/>
        <v>50</v>
      </c>
      <c r="AB51" s="71">
        <f t="shared" si="28"/>
        <v>1513.57996</v>
      </c>
      <c r="AC51" s="71">
        <f>+(S51-T51)*V51-'data 1'!$F$4</f>
        <v>63.299</v>
      </c>
      <c r="AD51" s="71">
        <f t="shared" si="8"/>
        <v>15.8923112</v>
      </c>
      <c r="AE51" s="71">
        <f t="shared" si="9"/>
        <v>-14.885</v>
      </c>
      <c r="AF51" s="71">
        <f t="shared" si="10"/>
        <v>108.1944146</v>
      </c>
      <c r="AG51" s="72">
        <f t="shared" si="34"/>
        <v>189.5007258</v>
      </c>
      <c r="AH51" s="193">
        <f t="shared" si="12"/>
        <v>31.382</v>
      </c>
      <c r="AI51" s="193">
        <f t="shared" si="13"/>
        <v>35.758</v>
      </c>
      <c r="AJ51" s="73">
        <f t="shared" si="14"/>
        <v>131.546399</v>
      </c>
      <c r="AK51" s="73">
        <f t="shared" si="15"/>
        <v>29.27571858</v>
      </c>
      <c r="AM51" s="51">
        <f t="shared" si="16"/>
        <v>3579.616606</v>
      </c>
      <c r="AN51" s="51" t="str">
        <f t="array" ref="AN51">XLOOKUP(D51,RUC!$B$3:$B$565,RUC!$M$3:$M$565)</f>
        <v>Richard Sapacayo</v>
      </c>
      <c r="AO51" s="131" t="s">
        <v>551</v>
      </c>
      <c r="AP51" s="57" t="s">
        <v>2540</v>
      </c>
      <c r="AQ51" s="57" t="s">
        <v>2541</v>
      </c>
    </row>
    <row r="52" ht="15.0" customHeight="1">
      <c r="A52" s="466" t="s">
        <v>2544</v>
      </c>
      <c r="B52" s="182">
        <v>46020.0</v>
      </c>
      <c r="C52" s="182">
        <v>46012.0</v>
      </c>
      <c r="D52" s="57" t="s">
        <v>2545</v>
      </c>
      <c r="E52" s="3">
        <f t="array" ref="E52">XLOOKUP(D52,RUC!$B$3:$B$110,RUC!$D$3:$D$110)</f>
        <v>20506072248</v>
      </c>
      <c r="G52" s="141">
        <v>0.0</v>
      </c>
      <c r="H52" s="3" t="s">
        <v>47</v>
      </c>
      <c r="I52" s="6">
        <v>0.0</v>
      </c>
      <c r="J52" s="58">
        <v>0.0</v>
      </c>
      <c r="K52" s="6">
        <f t="shared" si="2"/>
        <v>0</v>
      </c>
      <c r="L52" s="139">
        <v>0.0</v>
      </c>
      <c r="M52" s="60">
        <v>0.0</v>
      </c>
      <c r="N52" s="62">
        <f t="shared" si="38"/>
        <v>0</v>
      </c>
      <c r="O52" s="60">
        <f t="shared" si="5"/>
        <v>0</v>
      </c>
      <c r="P52" s="63">
        <v>0.0</v>
      </c>
      <c r="Q52" s="58">
        <v>0.0</v>
      </c>
      <c r="R52" s="65">
        <v>4421.65</v>
      </c>
      <c r="S52" s="133">
        <v>0.0</v>
      </c>
      <c r="U52" s="67">
        <v>0.0</v>
      </c>
      <c r="V52" s="67">
        <v>0.0</v>
      </c>
      <c r="Y52" s="57" t="str">
        <f t="array" ref="Y52">XLOOKUP(D52,RUC!$B$3:$B$110,RUC!$G$3:$G$110)</f>
        <v/>
      </c>
      <c r="Z52" s="69">
        <v>0.0</v>
      </c>
      <c r="AA52" s="70">
        <f t="shared" si="6"/>
        <v>0</v>
      </c>
      <c r="AB52" s="71">
        <f t="shared" si="28"/>
        <v>0</v>
      </c>
      <c r="AC52" s="71">
        <v>0.0</v>
      </c>
      <c r="AD52" s="71">
        <f t="shared" si="8"/>
        <v>0</v>
      </c>
      <c r="AE52" s="71">
        <v>0.0</v>
      </c>
      <c r="AF52" s="71">
        <f t="shared" si="10"/>
        <v>0</v>
      </c>
      <c r="AG52" s="72">
        <f t="shared" ref="AG52:AG58" si="40">AC52+AD52+AE52+AF52</f>
        <v>0</v>
      </c>
      <c r="AH52" s="193">
        <f t="shared" si="12"/>
        <v>0</v>
      </c>
      <c r="AI52" s="193">
        <f t="shared" si="13"/>
        <v>0</v>
      </c>
      <c r="AJ52" s="73">
        <f t="shared" si="14"/>
        <v>0</v>
      </c>
      <c r="AK52" s="73">
        <f t="shared" si="15"/>
        <v>0</v>
      </c>
      <c r="AM52" s="51">
        <f t="shared" si="16"/>
        <v>0</v>
      </c>
      <c r="AN52" s="51" t="str">
        <f t="array" ref="AN52">XLOOKUP(D52,RUC!$B$3:$B$565,RUC!$M$3:$M$565)</f>
        <v>Melchor Vera</v>
      </c>
      <c r="AO52" s="131" t="s">
        <v>731</v>
      </c>
      <c r="AP52" s="57" t="s">
        <v>2546</v>
      </c>
      <c r="AQ52" s="57" t="s">
        <v>2547</v>
      </c>
    </row>
    <row r="53" ht="15.0" customHeight="1">
      <c r="A53" s="466" t="s">
        <v>2548</v>
      </c>
      <c r="B53" s="182">
        <v>46020.0</v>
      </c>
      <c r="C53" s="182">
        <v>46012.0</v>
      </c>
      <c r="D53" s="57" t="s">
        <v>2545</v>
      </c>
      <c r="E53" s="3">
        <f t="array" ref="E53">XLOOKUP(D53,RUC!$B$3:$B$110,RUC!$D$3:$D$110)</f>
        <v>20506072248</v>
      </c>
      <c r="G53" s="141">
        <v>0.0</v>
      </c>
      <c r="H53" s="3" t="s">
        <v>47</v>
      </c>
      <c r="I53" s="6">
        <v>0.0</v>
      </c>
      <c r="J53" s="58">
        <v>0.0</v>
      </c>
      <c r="K53" s="6">
        <f t="shared" si="2"/>
        <v>0</v>
      </c>
      <c r="L53" s="139">
        <v>0.0</v>
      </c>
      <c r="M53" s="60">
        <v>0.0</v>
      </c>
      <c r="N53" s="62">
        <f t="shared" si="38"/>
        <v>0</v>
      </c>
      <c r="O53" s="60">
        <f t="shared" si="5"/>
        <v>0</v>
      </c>
      <c r="P53" s="63">
        <v>0.0</v>
      </c>
      <c r="Q53" s="58">
        <v>0.0</v>
      </c>
      <c r="R53" s="65">
        <v>4421.65</v>
      </c>
      <c r="S53" s="133">
        <v>0.0</v>
      </c>
      <c r="U53" s="67">
        <v>0.0</v>
      </c>
      <c r="V53" s="67">
        <v>0.0</v>
      </c>
      <c r="Y53" s="57" t="str">
        <f t="array" ref="Y53">XLOOKUP(D53,RUC!$B$3:$B$110,RUC!$G$3:$G$110)</f>
        <v/>
      </c>
      <c r="Z53" s="69">
        <v>0.0</v>
      </c>
      <c r="AA53" s="70">
        <f t="shared" si="6"/>
        <v>0</v>
      </c>
      <c r="AB53" s="71">
        <f t="shared" si="28"/>
        <v>0</v>
      </c>
      <c r="AC53" s="71">
        <v>0.0</v>
      </c>
      <c r="AD53" s="71">
        <f t="shared" si="8"/>
        <v>0</v>
      </c>
      <c r="AE53" s="71">
        <v>0.0</v>
      </c>
      <c r="AF53" s="71">
        <f t="shared" si="10"/>
        <v>0</v>
      </c>
      <c r="AG53" s="72">
        <f t="shared" si="40"/>
        <v>0</v>
      </c>
      <c r="AH53" s="193">
        <f t="shared" si="12"/>
        <v>0</v>
      </c>
      <c r="AI53" s="193">
        <f t="shared" si="13"/>
        <v>0</v>
      </c>
      <c r="AJ53" s="73">
        <f t="shared" si="14"/>
        <v>0</v>
      </c>
      <c r="AK53" s="73">
        <f t="shared" si="15"/>
        <v>0</v>
      </c>
      <c r="AM53" s="51">
        <f t="shared" si="16"/>
        <v>0</v>
      </c>
      <c r="AN53" s="51" t="str">
        <f t="array" ref="AN53">XLOOKUP(D53,RUC!$B$3:$B$565,RUC!$M$3:$M$565)</f>
        <v>Melchor Vera</v>
      </c>
      <c r="AO53" s="131" t="s">
        <v>731</v>
      </c>
      <c r="AP53" s="57" t="s">
        <v>2546</v>
      </c>
      <c r="AQ53" s="57" t="s">
        <v>2547</v>
      </c>
    </row>
    <row r="54" ht="15.0" customHeight="1">
      <c r="A54" s="466" t="s">
        <v>2549</v>
      </c>
      <c r="B54" s="182">
        <v>46020.0</v>
      </c>
      <c r="C54" s="182">
        <v>46012.0</v>
      </c>
      <c r="D54" s="57" t="s">
        <v>2545</v>
      </c>
      <c r="E54" s="3">
        <f t="array" ref="E54">XLOOKUP(D54,RUC!$B$3:$B$110,RUC!$D$3:$D$110)</f>
        <v>20506072248</v>
      </c>
      <c r="G54" s="141">
        <v>0.0</v>
      </c>
      <c r="H54" s="3" t="s">
        <v>47</v>
      </c>
      <c r="I54" s="6">
        <v>0.0</v>
      </c>
      <c r="J54" s="58">
        <v>0.0</v>
      </c>
      <c r="K54" s="6">
        <f t="shared" si="2"/>
        <v>0</v>
      </c>
      <c r="L54" s="139">
        <v>0.0</v>
      </c>
      <c r="M54" s="60">
        <v>0.0</v>
      </c>
      <c r="N54" s="62">
        <f t="shared" si="38"/>
        <v>0</v>
      </c>
      <c r="O54" s="60">
        <f t="shared" si="5"/>
        <v>0</v>
      </c>
      <c r="P54" s="63">
        <v>0.0</v>
      </c>
      <c r="Q54" s="58">
        <v>0.0</v>
      </c>
      <c r="R54" s="65">
        <v>4421.65</v>
      </c>
      <c r="S54" s="133">
        <v>0.0</v>
      </c>
      <c r="U54" s="67">
        <v>0.0</v>
      </c>
      <c r="V54" s="67">
        <v>0.0</v>
      </c>
      <c r="Y54" s="57" t="str">
        <f t="array" ref="Y54">XLOOKUP(D54,RUC!$B$3:$B$110,RUC!$G$3:$G$110)</f>
        <v/>
      </c>
      <c r="Z54" s="69">
        <v>0.0</v>
      </c>
      <c r="AA54" s="70">
        <f t="shared" si="6"/>
        <v>0</v>
      </c>
      <c r="AB54" s="71">
        <f t="shared" si="28"/>
        <v>0</v>
      </c>
      <c r="AC54" s="71">
        <v>0.0</v>
      </c>
      <c r="AD54" s="71">
        <f t="shared" si="8"/>
        <v>0</v>
      </c>
      <c r="AE54" s="71">
        <v>0.0</v>
      </c>
      <c r="AF54" s="71">
        <f t="shared" si="10"/>
        <v>0</v>
      </c>
      <c r="AG54" s="72">
        <f t="shared" si="40"/>
        <v>0</v>
      </c>
      <c r="AH54" s="193">
        <f t="shared" si="12"/>
        <v>0</v>
      </c>
      <c r="AI54" s="193">
        <f t="shared" si="13"/>
        <v>0</v>
      </c>
      <c r="AJ54" s="73">
        <f t="shared" si="14"/>
        <v>0</v>
      </c>
      <c r="AK54" s="73">
        <f t="shared" si="15"/>
        <v>0</v>
      </c>
      <c r="AM54" s="51">
        <f t="shared" si="16"/>
        <v>0</v>
      </c>
      <c r="AN54" s="51" t="str">
        <f t="array" ref="AN54">XLOOKUP(D54,RUC!$B$3:$B$565,RUC!$M$3:$M$565)</f>
        <v>Melchor Vera</v>
      </c>
      <c r="AO54" s="131" t="s">
        <v>731</v>
      </c>
      <c r="AP54" s="57" t="s">
        <v>2546</v>
      </c>
      <c r="AQ54" s="57" t="s">
        <v>2547</v>
      </c>
    </row>
    <row r="55" ht="15.0" customHeight="1">
      <c r="A55" s="466" t="s">
        <v>2550</v>
      </c>
      <c r="B55" s="182">
        <v>46020.0</v>
      </c>
      <c r="C55" s="182">
        <v>46012.0</v>
      </c>
      <c r="D55" s="57" t="s">
        <v>2545</v>
      </c>
      <c r="E55" s="3">
        <f t="array" ref="E55">XLOOKUP(D55,RUC!$B$3:$B$110,RUC!$D$3:$D$110)</f>
        <v>20506072248</v>
      </c>
      <c r="G55" s="141">
        <v>0.0</v>
      </c>
      <c r="H55" s="3" t="s">
        <v>47</v>
      </c>
      <c r="I55" s="6">
        <v>0.0</v>
      </c>
      <c r="J55" s="58">
        <v>0.0</v>
      </c>
      <c r="K55" s="6">
        <f t="shared" si="2"/>
        <v>0</v>
      </c>
      <c r="L55" s="139">
        <v>0.0</v>
      </c>
      <c r="M55" s="60">
        <v>0.0</v>
      </c>
      <c r="N55" s="62">
        <f t="shared" si="38"/>
        <v>0</v>
      </c>
      <c r="O55" s="60">
        <f t="shared" si="5"/>
        <v>0</v>
      </c>
      <c r="P55" s="63">
        <v>0.0</v>
      </c>
      <c r="Q55" s="58">
        <v>0.0</v>
      </c>
      <c r="R55" s="65">
        <v>4421.65</v>
      </c>
      <c r="S55" s="133">
        <v>0.0</v>
      </c>
      <c r="U55" s="67">
        <v>0.0</v>
      </c>
      <c r="V55" s="67">
        <v>0.0</v>
      </c>
      <c r="Y55" s="57" t="str">
        <f t="array" ref="Y55">XLOOKUP(D55,RUC!$B$3:$B$110,RUC!$G$3:$G$110)</f>
        <v/>
      </c>
      <c r="Z55" s="69">
        <v>0.0</v>
      </c>
      <c r="AA55" s="70">
        <f t="shared" si="6"/>
        <v>0</v>
      </c>
      <c r="AB55" s="71">
        <f t="shared" si="28"/>
        <v>0</v>
      </c>
      <c r="AC55" s="71">
        <v>0.0</v>
      </c>
      <c r="AD55" s="71">
        <f t="shared" si="8"/>
        <v>0</v>
      </c>
      <c r="AE55" s="71">
        <v>0.0</v>
      </c>
      <c r="AF55" s="71">
        <f t="shared" si="10"/>
        <v>0</v>
      </c>
      <c r="AG55" s="72">
        <f t="shared" si="40"/>
        <v>0</v>
      </c>
      <c r="AH55" s="193">
        <f t="shared" si="12"/>
        <v>0</v>
      </c>
      <c r="AI55" s="193">
        <f t="shared" si="13"/>
        <v>0</v>
      </c>
      <c r="AJ55" s="73">
        <f t="shared" si="14"/>
        <v>0</v>
      </c>
      <c r="AK55" s="73">
        <f t="shared" si="15"/>
        <v>0</v>
      </c>
      <c r="AM55" s="51">
        <f t="shared" si="16"/>
        <v>0</v>
      </c>
      <c r="AN55" s="51" t="str">
        <f t="array" ref="AN55">XLOOKUP(D55,RUC!$B$3:$B$565,RUC!$M$3:$M$565)</f>
        <v>Melchor Vera</v>
      </c>
      <c r="AO55" s="131" t="s">
        <v>731</v>
      </c>
      <c r="AP55" s="57" t="s">
        <v>2546</v>
      </c>
      <c r="AQ55" s="57" t="s">
        <v>2547</v>
      </c>
    </row>
    <row r="56" ht="15.0" customHeight="1">
      <c r="A56" s="466" t="s">
        <v>2551</v>
      </c>
      <c r="B56" s="182">
        <v>46020.0</v>
      </c>
      <c r="C56" s="182">
        <v>46012.0</v>
      </c>
      <c r="D56" s="57" t="s">
        <v>2545</v>
      </c>
      <c r="E56" s="3">
        <f t="array" ref="E56">XLOOKUP(D56,RUC!$B$3:$B$110,RUC!$D$3:$D$110)</f>
        <v>20506072248</v>
      </c>
      <c r="G56" s="141">
        <v>0.0</v>
      </c>
      <c r="H56" s="3" t="s">
        <v>47</v>
      </c>
      <c r="I56" s="6">
        <v>0.0</v>
      </c>
      <c r="J56" s="58">
        <v>0.0</v>
      </c>
      <c r="K56" s="6">
        <f t="shared" si="2"/>
        <v>0</v>
      </c>
      <c r="L56" s="139">
        <v>0.0</v>
      </c>
      <c r="M56" s="60">
        <v>0.0</v>
      </c>
      <c r="N56" s="62">
        <f t="shared" si="38"/>
        <v>0</v>
      </c>
      <c r="O56" s="60">
        <f t="shared" si="5"/>
        <v>0</v>
      </c>
      <c r="P56" s="63">
        <v>0.0</v>
      </c>
      <c r="Q56" s="58">
        <v>0.0</v>
      </c>
      <c r="R56" s="65">
        <v>4421.65</v>
      </c>
      <c r="S56" s="133">
        <v>0.0</v>
      </c>
      <c r="U56" s="67">
        <v>0.0</v>
      </c>
      <c r="V56" s="67">
        <v>0.0</v>
      </c>
      <c r="Y56" s="57" t="str">
        <f t="array" ref="Y56">XLOOKUP(D56,RUC!$B$3:$B$110,RUC!$G$3:$G$110)</f>
        <v/>
      </c>
      <c r="Z56" s="69">
        <v>0.0</v>
      </c>
      <c r="AA56" s="70">
        <f t="shared" si="6"/>
        <v>0</v>
      </c>
      <c r="AB56" s="71">
        <f t="shared" si="28"/>
        <v>0</v>
      </c>
      <c r="AC56" s="71">
        <v>0.0</v>
      </c>
      <c r="AD56" s="71">
        <f t="shared" si="8"/>
        <v>0</v>
      </c>
      <c r="AE56" s="71">
        <v>0.0</v>
      </c>
      <c r="AF56" s="71">
        <f t="shared" si="10"/>
        <v>0</v>
      </c>
      <c r="AG56" s="72">
        <f t="shared" si="40"/>
        <v>0</v>
      </c>
      <c r="AH56" s="193">
        <f t="shared" si="12"/>
        <v>0</v>
      </c>
      <c r="AI56" s="193">
        <f t="shared" si="13"/>
        <v>0</v>
      </c>
      <c r="AJ56" s="73">
        <f t="shared" si="14"/>
        <v>0</v>
      </c>
      <c r="AK56" s="73">
        <f t="shared" si="15"/>
        <v>0</v>
      </c>
      <c r="AM56" s="51">
        <f t="shared" si="16"/>
        <v>0</v>
      </c>
      <c r="AN56" s="51" t="str">
        <f t="array" ref="AN56">XLOOKUP(D56,RUC!$B$3:$B$565,RUC!$M$3:$M$565)</f>
        <v>Melchor Vera</v>
      </c>
      <c r="AO56" s="131" t="s">
        <v>731</v>
      </c>
      <c r="AP56" s="57" t="s">
        <v>2546</v>
      </c>
      <c r="AQ56" s="57" t="s">
        <v>2547</v>
      </c>
    </row>
    <row r="57" ht="15.0" customHeight="1">
      <c r="A57" s="466" t="s">
        <v>2552</v>
      </c>
      <c r="B57" s="182">
        <v>46020.0</v>
      </c>
      <c r="C57" s="182">
        <v>46012.0</v>
      </c>
      <c r="D57" s="57" t="s">
        <v>2545</v>
      </c>
      <c r="E57" s="3">
        <f t="array" ref="E57">XLOOKUP(D57,RUC!$B$3:$B$110,RUC!$D$3:$D$110)</f>
        <v>20506072248</v>
      </c>
      <c r="G57" s="141">
        <v>0.0</v>
      </c>
      <c r="H57" s="3" t="s">
        <v>47</v>
      </c>
      <c r="I57" s="6">
        <v>0.0</v>
      </c>
      <c r="J57" s="58">
        <v>0.0</v>
      </c>
      <c r="K57" s="6">
        <f t="shared" si="2"/>
        <v>0</v>
      </c>
      <c r="L57" s="139">
        <v>0.0</v>
      </c>
      <c r="M57" s="60">
        <v>0.0</v>
      </c>
      <c r="N57" s="62">
        <f t="shared" si="38"/>
        <v>0</v>
      </c>
      <c r="O57" s="60">
        <f t="shared" si="5"/>
        <v>0</v>
      </c>
      <c r="P57" s="63">
        <v>0.0</v>
      </c>
      <c r="Q57" s="58">
        <v>0.0</v>
      </c>
      <c r="R57" s="65">
        <v>4421.65</v>
      </c>
      <c r="S57" s="133">
        <v>0.0</v>
      </c>
      <c r="U57" s="67">
        <v>0.0</v>
      </c>
      <c r="V57" s="67">
        <v>0.0</v>
      </c>
      <c r="Y57" s="57" t="str">
        <f t="array" ref="Y57">XLOOKUP(D57,RUC!$B$3:$B$110,RUC!$G$3:$G$110)</f>
        <v/>
      </c>
      <c r="Z57" s="69">
        <v>0.0</v>
      </c>
      <c r="AA57" s="70">
        <f t="shared" si="6"/>
        <v>0</v>
      </c>
      <c r="AB57" s="71">
        <f t="shared" si="28"/>
        <v>0</v>
      </c>
      <c r="AC57" s="71">
        <v>0.0</v>
      </c>
      <c r="AD57" s="71">
        <f t="shared" si="8"/>
        <v>0</v>
      </c>
      <c r="AE57" s="71">
        <v>0.0</v>
      </c>
      <c r="AF57" s="71">
        <f t="shared" si="10"/>
        <v>0</v>
      </c>
      <c r="AG57" s="72">
        <f t="shared" si="40"/>
        <v>0</v>
      </c>
      <c r="AH57" s="193">
        <f t="shared" si="12"/>
        <v>0</v>
      </c>
      <c r="AI57" s="193">
        <f t="shared" si="13"/>
        <v>0</v>
      </c>
      <c r="AJ57" s="73">
        <f t="shared" si="14"/>
        <v>0</v>
      </c>
      <c r="AK57" s="73">
        <f t="shared" si="15"/>
        <v>0</v>
      </c>
      <c r="AM57" s="51">
        <f t="shared" si="16"/>
        <v>0</v>
      </c>
      <c r="AN57" s="51" t="str">
        <f t="array" ref="AN57">XLOOKUP(D57,RUC!$B$3:$B$565,RUC!$M$3:$M$565)</f>
        <v>Melchor Vera</v>
      </c>
      <c r="AO57" s="131" t="s">
        <v>731</v>
      </c>
      <c r="AP57" s="57" t="s">
        <v>2546</v>
      </c>
      <c r="AQ57" s="57" t="s">
        <v>2547</v>
      </c>
    </row>
    <row r="58" ht="15.0" customHeight="1">
      <c r="A58" s="466" t="s">
        <v>2553</v>
      </c>
      <c r="B58" s="182">
        <v>46020.0</v>
      </c>
      <c r="C58" s="182">
        <v>46012.0</v>
      </c>
      <c r="D58" s="57" t="s">
        <v>2545</v>
      </c>
      <c r="E58" s="3">
        <f t="array" ref="E58">XLOOKUP(D58,RUC!$B$3:$B$110,RUC!$D$3:$D$110)</f>
        <v>20506072248</v>
      </c>
      <c r="G58" s="141">
        <v>0.0</v>
      </c>
      <c r="H58" s="3" t="s">
        <v>47</v>
      </c>
      <c r="I58" s="6">
        <v>0.0</v>
      </c>
      <c r="J58" s="58">
        <v>0.0</v>
      </c>
      <c r="K58" s="6">
        <f t="shared" si="2"/>
        <v>0</v>
      </c>
      <c r="L58" s="139">
        <v>0.0</v>
      </c>
      <c r="M58" s="60">
        <v>0.0</v>
      </c>
      <c r="N58" s="62">
        <f t="shared" si="38"/>
        <v>0</v>
      </c>
      <c r="O58" s="60">
        <f t="shared" si="5"/>
        <v>0</v>
      </c>
      <c r="P58" s="63">
        <v>0.0</v>
      </c>
      <c r="Q58" s="58">
        <v>0.0</v>
      </c>
      <c r="R58" s="65">
        <v>4421.65</v>
      </c>
      <c r="S58" s="133">
        <v>0.0</v>
      </c>
      <c r="U58" s="67">
        <v>0.0</v>
      </c>
      <c r="V58" s="67">
        <v>0.0</v>
      </c>
      <c r="Y58" s="57" t="str">
        <f t="array" ref="Y58">XLOOKUP(D58,RUC!$B$3:$B$110,RUC!$G$3:$G$110)</f>
        <v/>
      </c>
      <c r="Z58" s="69">
        <v>0.0</v>
      </c>
      <c r="AA58" s="70">
        <f t="shared" si="6"/>
        <v>0</v>
      </c>
      <c r="AB58" s="71">
        <f t="shared" si="28"/>
        <v>0</v>
      </c>
      <c r="AC58" s="71">
        <v>0.0</v>
      </c>
      <c r="AD58" s="71">
        <f t="shared" si="8"/>
        <v>0</v>
      </c>
      <c r="AE58" s="71">
        <v>0.0</v>
      </c>
      <c r="AF58" s="71">
        <f t="shared" si="10"/>
        <v>0</v>
      </c>
      <c r="AG58" s="72">
        <f t="shared" si="40"/>
        <v>0</v>
      </c>
      <c r="AH58" s="193">
        <f t="shared" si="12"/>
        <v>0</v>
      </c>
      <c r="AI58" s="193">
        <f t="shared" si="13"/>
        <v>0</v>
      </c>
      <c r="AJ58" s="73">
        <f t="shared" si="14"/>
        <v>0</v>
      </c>
      <c r="AK58" s="73">
        <f t="shared" si="15"/>
        <v>0</v>
      </c>
      <c r="AM58" s="51">
        <f t="shared" si="16"/>
        <v>0</v>
      </c>
      <c r="AN58" s="51" t="str">
        <f t="array" ref="AN58">XLOOKUP(D58,RUC!$B$3:$B$565,RUC!$M$3:$M$565)</f>
        <v>Melchor Vera</v>
      </c>
      <c r="AO58" s="131" t="s">
        <v>731</v>
      </c>
      <c r="AP58" s="57" t="s">
        <v>2546</v>
      </c>
      <c r="AQ58" s="57" t="s">
        <v>2547</v>
      </c>
    </row>
    <row r="59" ht="15.0" customHeight="1">
      <c r="A59" s="116" t="s">
        <v>2554</v>
      </c>
      <c r="B59" s="182">
        <v>46021.0</v>
      </c>
      <c r="C59" s="182">
        <v>46013.0</v>
      </c>
      <c r="D59" s="57" t="s">
        <v>665</v>
      </c>
      <c r="E59" s="3">
        <f t="array" ref="E59">XLOOKUP(D59,RUC!$B$3:$B$110,RUC!$D$3:$D$110)</f>
        <v>20608774000</v>
      </c>
      <c r="G59" s="141">
        <v>50.0</v>
      </c>
      <c r="H59" s="3" t="s">
        <v>339</v>
      </c>
      <c r="I59" s="6">
        <v>3.51</v>
      </c>
      <c r="J59" s="58">
        <v>26.65</v>
      </c>
      <c r="K59" s="6">
        <f t="shared" si="2"/>
        <v>2.575</v>
      </c>
      <c r="L59" s="139">
        <v>0.323</v>
      </c>
      <c r="M59" s="60">
        <f t="shared" ref="M59:M100" si="41">ROUND(+IF(AN59="Melchor Vera",IF(L59&gt;0.467,L59*0.985,(L59-0.007)),IF(L59&gt;0.3,L59*0.94,(L59-0.019))),3)</f>
        <v>0.304</v>
      </c>
      <c r="N59" s="62">
        <f t="shared" si="38"/>
        <v>0.304</v>
      </c>
      <c r="O59" s="60">
        <f t="shared" si="5"/>
        <v>0.304</v>
      </c>
      <c r="P59" s="63">
        <v>90.0</v>
      </c>
      <c r="Q59" s="58">
        <v>94.61</v>
      </c>
      <c r="R59" s="65">
        <v>4421.65</v>
      </c>
      <c r="S59" s="66">
        <f t="array" ref="S59">IF((XLOOKUP(D59,RUC!$B$3:$B$106,RUC!$E$3:$E$106)+ROUNDDOWN(O59,1)*100)&lt;95,95,((XLOOKUP(D59,RUC!$B$3:$B$106,RUC!$E$3:$E$106)+ROUNDDOWN(O59,1)*100)))</f>
        <v>115</v>
      </c>
      <c r="U59" s="67">
        <f t="array" ref="U59">XLOOKUP(D59,RUC!$B$3:$B$110,RUC!$F$3:$F$110)</f>
        <v>120</v>
      </c>
      <c r="V59" s="67">
        <v>1.1023</v>
      </c>
      <c r="Y59" s="199">
        <v>25.0</v>
      </c>
      <c r="Z59" s="140">
        <v>35.0</v>
      </c>
      <c r="AA59" s="70">
        <f t="shared" si="6"/>
        <v>60</v>
      </c>
      <c r="AB59" s="71">
        <f t="shared" si="28"/>
        <v>1104.429026</v>
      </c>
      <c r="AC59" s="71">
        <f>+(S59-T59)*V59-'data 1'!$F$4</f>
        <v>46.7645</v>
      </c>
      <c r="AD59" s="71">
        <f t="shared" si="8"/>
        <v>70.60546647</v>
      </c>
      <c r="AE59" s="71">
        <f t="shared" ref="AE59:AE119" si="42">+(Y59*V59-70)+V59*(Z59-IF(D59="UNTUCA",IF(+((W59-3)*2.5+(X59-3)*3.1)&gt;0,+((W59-3)*1.5+(X59-3)*3.1),0),IF(+((W59-3)*1.5+(X59-3)*3.1)&gt;0,+((W59-3)*1.5+(X59-3)*3.1),0)))</f>
        <v>-3.862</v>
      </c>
      <c r="AF59" s="71">
        <f t="shared" si="10"/>
        <v>85.23648313</v>
      </c>
      <c r="AG59" s="72">
        <f t="shared" ref="AG59:AG77" si="43">AC59+AD59+AE59+AF59+70-53</f>
        <v>215.7444496</v>
      </c>
      <c r="AH59" s="193">
        <f t="shared" si="12"/>
        <v>26.979</v>
      </c>
      <c r="AI59" s="193">
        <f t="shared" si="13"/>
        <v>28.516</v>
      </c>
      <c r="AJ59" s="73">
        <f t="shared" si="14"/>
        <v>103.8683721</v>
      </c>
      <c r="AK59" s="73">
        <f t="shared" si="15"/>
        <v>24.15474159</v>
      </c>
      <c r="AM59" s="51">
        <f t="shared" si="16"/>
        <v>2843.904743</v>
      </c>
      <c r="AN59" s="51" t="str">
        <f t="array" ref="AN59">XLOOKUP(D59,RUC!$B$3:$B$565,RUC!$M$3:$M$565)</f>
        <v>Ronald Miranda</v>
      </c>
      <c r="AO59" s="131" t="s">
        <v>551</v>
      </c>
      <c r="AP59" s="57" t="s">
        <v>2555</v>
      </c>
      <c r="AQ59" s="57" t="s">
        <v>1446</v>
      </c>
    </row>
    <row r="60" ht="15.0" customHeight="1">
      <c r="A60" s="116" t="s">
        <v>2556</v>
      </c>
      <c r="B60" s="182">
        <v>46021.0</v>
      </c>
      <c r="C60" s="182">
        <v>46013.0</v>
      </c>
      <c r="D60" s="57" t="s">
        <v>665</v>
      </c>
      <c r="E60" s="3">
        <f t="array" ref="E60">XLOOKUP(D60,RUC!$B$3:$B$110,RUC!$D$3:$D$110)</f>
        <v>20608774000</v>
      </c>
      <c r="G60" s="141">
        <v>50.0</v>
      </c>
      <c r="H60" s="3" t="s">
        <v>339</v>
      </c>
      <c r="I60" s="6">
        <v>3.45</v>
      </c>
      <c r="J60" s="58">
        <v>27.48</v>
      </c>
      <c r="K60" s="6">
        <f t="shared" si="2"/>
        <v>2.502</v>
      </c>
      <c r="L60" s="139">
        <v>0.283</v>
      </c>
      <c r="M60" s="60">
        <f t="shared" si="41"/>
        <v>0.264</v>
      </c>
      <c r="N60" s="62">
        <f t="shared" si="38"/>
        <v>0.264</v>
      </c>
      <c r="O60" s="60">
        <f t="shared" si="5"/>
        <v>0.264</v>
      </c>
      <c r="P60" s="63">
        <v>90.0</v>
      </c>
      <c r="Q60" s="58">
        <v>92.93</v>
      </c>
      <c r="R60" s="65">
        <v>4421.65</v>
      </c>
      <c r="S60" s="66">
        <f t="array" ref="S60">IF((XLOOKUP(D60,RUC!$B$3:$B$106,RUC!$E$3:$E$106)+ROUNDDOWN(O60,1)*100)&lt;95,95,((XLOOKUP(D60,RUC!$B$3:$B$106,RUC!$E$3:$E$106)+ROUNDDOWN(O60,1)*100)))</f>
        <v>105</v>
      </c>
      <c r="U60" s="67">
        <f t="array" ref="U60">XLOOKUP(D60,RUC!$B$3:$B$110,RUC!$F$3:$F$110)</f>
        <v>120</v>
      </c>
      <c r="V60" s="67">
        <v>1.1023</v>
      </c>
      <c r="Y60" s="199">
        <v>25.0</v>
      </c>
      <c r="Z60" s="140">
        <v>35.0</v>
      </c>
      <c r="AA60" s="70">
        <f t="shared" si="6"/>
        <v>60</v>
      </c>
      <c r="AB60" s="71">
        <f t="shared" si="28"/>
        <v>944.7505097</v>
      </c>
      <c r="AC60" s="71">
        <f>+(S60-T60)*V60-'data 1'!$F$4</f>
        <v>35.7415</v>
      </c>
      <c r="AD60" s="71">
        <f t="shared" si="8"/>
        <v>39.31777516</v>
      </c>
      <c r="AE60" s="71">
        <f t="shared" si="42"/>
        <v>-3.862</v>
      </c>
      <c r="AF60" s="71">
        <f t="shared" si="10"/>
        <v>83.72292968</v>
      </c>
      <c r="AG60" s="72">
        <f t="shared" si="43"/>
        <v>171.9202048</v>
      </c>
      <c r="AH60" s="193">
        <f t="shared" si="12"/>
        <v>22.56</v>
      </c>
      <c r="AI60" s="193">
        <f t="shared" si="13"/>
        <v>24.276</v>
      </c>
      <c r="AJ60" s="73">
        <f t="shared" si="14"/>
        <v>89.38942277</v>
      </c>
      <c r="AK60" s="73">
        <f t="shared" si="15"/>
        <v>20.38181292</v>
      </c>
      <c r="AM60" s="51">
        <f t="shared" si="16"/>
        <v>2363.765775</v>
      </c>
      <c r="AN60" s="51" t="str">
        <f t="array" ref="AN60">XLOOKUP(D60,RUC!$B$3:$B$565,RUC!$M$3:$M$565)</f>
        <v>Ronald Miranda</v>
      </c>
      <c r="AO60" s="131" t="s">
        <v>551</v>
      </c>
      <c r="AP60" s="57" t="s">
        <v>2555</v>
      </c>
      <c r="AQ60" s="57" t="s">
        <v>1446</v>
      </c>
    </row>
    <row r="61" ht="15.0" customHeight="1">
      <c r="A61" s="116" t="s">
        <v>2557</v>
      </c>
      <c r="B61" s="182">
        <v>46021.0</v>
      </c>
      <c r="C61" s="182">
        <v>46013.0</v>
      </c>
      <c r="D61" s="57" t="s">
        <v>665</v>
      </c>
      <c r="E61" s="3">
        <f t="array" ref="E61">XLOOKUP(D61,RUC!$B$3:$B$110,RUC!$D$3:$D$110)</f>
        <v>20608774000</v>
      </c>
      <c r="G61" s="141">
        <v>50.0</v>
      </c>
      <c r="H61" s="3" t="s">
        <v>339</v>
      </c>
      <c r="I61" s="6">
        <v>3.32</v>
      </c>
      <c r="J61" s="58">
        <v>24.9</v>
      </c>
      <c r="K61" s="6">
        <f t="shared" si="2"/>
        <v>2.493</v>
      </c>
      <c r="L61" s="139">
        <v>0.295</v>
      </c>
      <c r="M61" s="60">
        <f t="shared" si="41"/>
        <v>0.276</v>
      </c>
      <c r="N61" s="62">
        <f t="shared" si="38"/>
        <v>0.276</v>
      </c>
      <c r="O61" s="60">
        <f t="shared" si="5"/>
        <v>0.276</v>
      </c>
      <c r="P61" s="63">
        <v>90.0</v>
      </c>
      <c r="Q61" s="58">
        <v>91.53</v>
      </c>
      <c r="R61" s="65">
        <v>4421.65</v>
      </c>
      <c r="S61" s="66">
        <f t="array" ref="S61">IF((XLOOKUP(D61,RUC!$B$3:$B$106,RUC!$E$3:$E$106)+ROUNDDOWN(O61,1)*100)&lt;95,95,((XLOOKUP(D61,RUC!$B$3:$B$106,RUC!$E$3:$E$106)+ROUNDDOWN(O61,1)*100)))</f>
        <v>105</v>
      </c>
      <c r="U61" s="67">
        <f t="array" ref="U61">XLOOKUP(D61,RUC!$B$3:$B$110,RUC!$F$3:$F$110)</f>
        <v>120</v>
      </c>
      <c r="V61" s="67">
        <v>1.1023</v>
      </c>
      <c r="Y61" s="199">
        <v>25.0</v>
      </c>
      <c r="Z61" s="140">
        <v>35.0</v>
      </c>
      <c r="AA61" s="70">
        <f t="shared" si="6"/>
        <v>60</v>
      </c>
      <c r="AB61" s="71">
        <f t="shared" si="28"/>
        <v>995.9609647</v>
      </c>
      <c r="AC61" s="71">
        <f>+(S61-T61)*V61-'data 1'!$F$4</f>
        <v>35.7415</v>
      </c>
      <c r="AD61" s="71">
        <f t="shared" si="8"/>
        <v>21.40170265</v>
      </c>
      <c r="AE61" s="71">
        <f t="shared" si="42"/>
        <v>-3.862</v>
      </c>
      <c r="AF61" s="71">
        <f t="shared" si="10"/>
        <v>82.46163514</v>
      </c>
      <c r="AG61" s="72">
        <f t="shared" si="43"/>
        <v>152.7428378</v>
      </c>
      <c r="AH61" s="193">
        <f t="shared" si="12"/>
        <v>23.079</v>
      </c>
      <c r="AI61" s="193">
        <f t="shared" si="13"/>
        <v>25.215</v>
      </c>
      <c r="AJ61" s="73">
        <f t="shared" si="14"/>
        <v>91.77602392</v>
      </c>
      <c r="AK61" s="73">
        <f t="shared" si="15"/>
        <v>21.23161055</v>
      </c>
      <c r="AM61" s="51">
        <f t="shared" si="16"/>
        <v>2482.930685</v>
      </c>
      <c r="AN61" s="51" t="str">
        <f t="array" ref="AN61">XLOOKUP(D61,RUC!$B$3:$B$565,RUC!$M$3:$M$565)</f>
        <v>Ronald Miranda</v>
      </c>
      <c r="AO61" s="131" t="s">
        <v>551</v>
      </c>
      <c r="AP61" s="57" t="s">
        <v>2555</v>
      </c>
      <c r="AQ61" s="57" t="s">
        <v>1446</v>
      </c>
    </row>
    <row r="62" ht="15.0" customHeight="1">
      <c r="A62" s="116" t="s">
        <v>2558</v>
      </c>
      <c r="B62" s="182">
        <v>46020.0</v>
      </c>
      <c r="C62" s="182">
        <v>46013.0</v>
      </c>
      <c r="D62" s="57" t="s">
        <v>665</v>
      </c>
      <c r="E62" s="3">
        <f t="array" ref="E62">XLOOKUP(D62,RUC!$B$3:$B$110,RUC!$D$3:$D$110)</f>
        <v>20608774000</v>
      </c>
      <c r="G62" s="141">
        <v>31.0</v>
      </c>
      <c r="H62" s="3" t="s">
        <v>47</v>
      </c>
      <c r="I62" s="6">
        <v>2.99</v>
      </c>
      <c r="J62" s="58">
        <v>1.2</v>
      </c>
      <c r="K62" s="6">
        <f t="shared" si="2"/>
        <v>2.954</v>
      </c>
      <c r="L62" s="139">
        <v>0.396</v>
      </c>
      <c r="M62" s="60">
        <f t="shared" si="41"/>
        <v>0.372</v>
      </c>
      <c r="N62" s="62">
        <f t="shared" si="38"/>
        <v>0.372</v>
      </c>
      <c r="O62" s="60">
        <f t="shared" si="5"/>
        <v>0.372</v>
      </c>
      <c r="P62" s="63">
        <v>90.0</v>
      </c>
      <c r="Q62" s="58">
        <v>95.2</v>
      </c>
      <c r="R62" s="65">
        <v>4421.65</v>
      </c>
      <c r="S62" s="66">
        <f t="array" ref="S62">IF((XLOOKUP(D62,RUC!$B$3:$B$106,RUC!$E$3:$E$106)+ROUNDDOWN(O62,1)*100)&lt;95,95,((XLOOKUP(D62,RUC!$B$3:$B$106,RUC!$E$3:$E$106)+ROUNDDOWN(O62,1)*100)))</f>
        <v>115</v>
      </c>
      <c r="U62" s="67">
        <f t="array" ref="U62">XLOOKUP(D62,RUC!$B$3:$B$110,RUC!$F$3:$F$110)</f>
        <v>120</v>
      </c>
      <c r="V62" s="67">
        <v>1.1023</v>
      </c>
      <c r="Y62" s="199">
        <v>25.0</v>
      </c>
      <c r="Z62" s="140">
        <v>35.0</v>
      </c>
      <c r="AA62" s="70">
        <f t="shared" si="6"/>
        <v>60</v>
      </c>
      <c r="AB62" s="71">
        <f t="shared" si="28"/>
        <v>1394.621605</v>
      </c>
      <c r="AC62" s="71">
        <f>+(S62-T62)*V62-'data 1'!$F$4</f>
        <v>46.7645</v>
      </c>
      <c r="AD62" s="71">
        <f t="shared" si="8"/>
        <v>97.64126751</v>
      </c>
      <c r="AE62" s="71">
        <f t="shared" si="42"/>
        <v>-3.862</v>
      </c>
      <c r="AF62" s="71">
        <f t="shared" si="10"/>
        <v>108.3385625</v>
      </c>
      <c r="AG62" s="72">
        <f t="shared" si="43"/>
        <v>265.8823301</v>
      </c>
      <c r="AH62" s="193">
        <f t="shared" si="12"/>
        <v>38.181</v>
      </c>
      <c r="AI62" s="193">
        <f t="shared" si="13"/>
        <v>40.106</v>
      </c>
      <c r="AJ62" s="73">
        <f t="shared" si="14"/>
        <v>128.1373961</v>
      </c>
      <c r="AK62" s="73">
        <f t="shared" si="15"/>
        <v>33.90822135</v>
      </c>
      <c r="AM62" s="51">
        <f t="shared" si="16"/>
        <v>4119.71222</v>
      </c>
      <c r="AN62" s="51" t="str">
        <f t="array" ref="AN62">XLOOKUP(D62,RUC!$B$3:$B$565,RUC!$M$3:$M$565)</f>
        <v>Ronald Miranda</v>
      </c>
      <c r="AO62" s="131" t="s">
        <v>547</v>
      </c>
      <c r="AP62" s="57" t="s">
        <v>2555</v>
      </c>
      <c r="AQ62" s="57" t="s">
        <v>1446</v>
      </c>
    </row>
    <row r="63" ht="15.0" customHeight="1">
      <c r="A63" s="116" t="s">
        <v>2559</v>
      </c>
      <c r="B63" s="182">
        <v>46024.0</v>
      </c>
      <c r="C63" s="182">
        <v>46013.0</v>
      </c>
      <c r="D63" s="57" t="s">
        <v>295</v>
      </c>
      <c r="E63" s="3">
        <f t="array" ref="E63">XLOOKUP(D63,RUC!$B$3:$B$110,RUC!$D$3:$D$110)</f>
        <v>20601769396</v>
      </c>
      <c r="G63" s="141">
        <v>40.0</v>
      </c>
      <c r="H63" s="3" t="s">
        <v>339</v>
      </c>
      <c r="I63" s="6">
        <v>2.85</v>
      </c>
      <c r="J63" s="58">
        <v>10.4</v>
      </c>
      <c r="K63" s="6">
        <f t="shared" si="2"/>
        <v>2.554</v>
      </c>
      <c r="L63" s="139">
        <v>0.389</v>
      </c>
      <c r="M63" s="60">
        <f t="shared" si="41"/>
        <v>0.366</v>
      </c>
      <c r="N63" s="62">
        <f t="shared" si="38"/>
        <v>0.366</v>
      </c>
      <c r="O63" s="60">
        <f t="shared" si="5"/>
        <v>0.366</v>
      </c>
      <c r="P63" s="63">
        <v>90.0</v>
      </c>
      <c r="Q63" s="58">
        <v>92.8</v>
      </c>
      <c r="R63" s="65">
        <v>4421.65</v>
      </c>
      <c r="S63" s="66">
        <f t="array" ref="S63">IF((XLOOKUP(D63,RUC!$B$3:$B$106,RUC!$E$3:$E$106)+ROUNDDOWN(O63,1)*100)&lt;95,95,((XLOOKUP(D63,RUC!$B$3:$B$106,RUC!$E$3:$E$106)+ROUNDDOWN(O63,1)*100)))</f>
        <v>120</v>
      </c>
      <c r="U63" s="67">
        <f t="array" ref="U63">XLOOKUP(D63,RUC!$B$3:$B$110,RUC!$F$3:$F$110)</f>
        <v>120</v>
      </c>
      <c r="V63" s="67">
        <v>1.1023</v>
      </c>
      <c r="Y63" s="57">
        <f t="array" ref="Y63">XLOOKUP(D63,RUC!$B$3:$B$110,RUC!$G$3:$G$110)</f>
        <v>20</v>
      </c>
      <c r="Z63" s="69">
        <f t="array" ref="Z63">XLOOKUP(D63,RUC!$B$3:$B$110,RUC!$H$3:$H$110)</f>
        <v>30</v>
      </c>
      <c r="AA63" s="70">
        <f t="shared" si="6"/>
        <v>50</v>
      </c>
      <c r="AB63" s="71">
        <f t="shared" si="28"/>
        <v>1374.527877</v>
      </c>
      <c r="AC63" s="71">
        <f>+(S63-T63)*V63-'data 1'!$F$4</f>
        <v>52.276</v>
      </c>
      <c r="AD63" s="71">
        <f t="shared" si="8"/>
        <v>51.6466922</v>
      </c>
      <c r="AE63" s="71">
        <f t="shared" si="42"/>
        <v>-14.885</v>
      </c>
      <c r="AF63" s="71">
        <f t="shared" si="10"/>
        <v>101.2070325</v>
      </c>
      <c r="AG63" s="72">
        <f t="shared" si="43"/>
        <v>207.2447247</v>
      </c>
      <c r="AH63" s="193">
        <f t="shared" si="12"/>
        <v>31.61</v>
      </c>
      <c r="AI63" s="193">
        <f t="shared" si="13"/>
        <v>34.063</v>
      </c>
      <c r="AJ63" s="73">
        <f t="shared" si="14"/>
        <v>122.6990889</v>
      </c>
      <c r="AK63" s="73">
        <f t="shared" si="15"/>
        <v>28.84387183</v>
      </c>
      <c r="AM63" s="51">
        <f t="shared" si="16"/>
        <v>3510.544198</v>
      </c>
      <c r="AN63" s="51" t="str">
        <f t="array" ref="AN63">XLOOKUP(D63,RUC!$B$3:$B$565,RUC!$M$3:$M$565)</f>
        <v>Evelyn</v>
      </c>
      <c r="AO63" s="131" t="s">
        <v>551</v>
      </c>
      <c r="AP63" s="57" t="s">
        <v>2171</v>
      </c>
      <c r="AQ63" s="57" t="s">
        <v>1424</v>
      </c>
    </row>
    <row r="64" ht="15.0" customHeight="1">
      <c r="A64" s="116" t="s">
        <v>2560</v>
      </c>
      <c r="B64" s="182">
        <v>46024.0</v>
      </c>
      <c r="C64" s="182">
        <v>46013.0</v>
      </c>
      <c r="D64" s="57" t="s">
        <v>295</v>
      </c>
      <c r="E64" s="3">
        <f t="array" ref="E64">XLOOKUP(D64,RUC!$B$3:$B$110,RUC!$D$3:$D$110)</f>
        <v>20601769396</v>
      </c>
      <c r="G64" s="141">
        <v>55.0</v>
      </c>
      <c r="H64" s="3" t="s">
        <v>339</v>
      </c>
      <c r="I64" s="6">
        <v>4.02</v>
      </c>
      <c r="J64" s="58">
        <v>10.15</v>
      </c>
      <c r="K64" s="6">
        <f t="shared" si="2"/>
        <v>3.612</v>
      </c>
      <c r="L64" s="139">
        <v>0.172</v>
      </c>
      <c r="M64" s="60">
        <f t="shared" si="41"/>
        <v>0.153</v>
      </c>
      <c r="N64" s="62">
        <f t="shared" si="38"/>
        <v>0.153</v>
      </c>
      <c r="O64" s="60">
        <f t="shared" si="5"/>
        <v>0.153</v>
      </c>
      <c r="P64" s="63">
        <v>85.0</v>
      </c>
      <c r="Q64" s="58">
        <v>91.28</v>
      </c>
      <c r="R64" s="65">
        <v>4421.65</v>
      </c>
      <c r="S64" s="66">
        <f t="array" ref="S64">IF((XLOOKUP(D64,RUC!$B$3:$B$106,RUC!$E$3:$E$106)+ROUNDDOWN(O64,1)*100)&lt;95,95,((XLOOKUP(D64,RUC!$B$3:$B$106,RUC!$E$3:$E$106)+ROUNDDOWN(O64,1)*100)))</f>
        <v>100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69">
        <f t="array" ref="Z64">XLOOKUP(D64,RUC!$B$3:$B$110,RUC!$H$3:$H$110)</f>
        <v>30</v>
      </c>
      <c r="AA64" s="70">
        <f t="shared" si="6"/>
        <v>50</v>
      </c>
      <c r="AB64" s="71">
        <f t="shared" si="28"/>
        <v>451.3142288</v>
      </c>
      <c r="AC64" s="71">
        <f>+(S64-T64)*V64-'data 1'!$F$4</f>
        <v>30.23</v>
      </c>
      <c r="AD64" s="71">
        <f t="shared" si="8"/>
        <v>51.21804172</v>
      </c>
      <c r="AE64" s="71">
        <f t="shared" si="42"/>
        <v>-14.885</v>
      </c>
      <c r="AF64" s="71">
        <f t="shared" si="10"/>
        <v>82.23640397</v>
      </c>
      <c r="AG64" s="72">
        <f t="shared" si="43"/>
        <v>165.7994457</v>
      </c>
      <c r="AH64" s="193">
        <f t="shared" si="12"/>
        <v>19.443</v>
      </c>
      <c r="AI64" s="193">
        <f t="shared" si="13"/>
        <v>21.3</v>
      </c>
      <c r="AJ64" s="73">
        <f t="shared" si="14"/>
        <v>53.36393402</v>
      </c>
      <c r="AK64" s="73">
        <f t="shared" si="15"/>
        <v>16.10523875</v>
      </c>
      <c r="AM64" s="51">
        <f t="shared" si="16"/>
        <v>1630.146994</v>
      </c>
      <c r="AN64" s="51" t="str">
        <f t="array" ref="AN64">XLOOKUP(D64,RUC!$B$3:$B$565,RUC!$M$3:$M$565)</f>
        <v>Evelyn</v>
      </c>
      <c r="AO64" s="131" t="s">
        <v>551</v>
      </c>
      <c r="AP64" s="57" t="s">
        <v>2171</v>
      </c>
      <c r="AQ64" s="57" t="s">
        <v>1424</v>
      </c>
    </row>
    <row r="65" ht="15.0" customHeight="1">
      <c r="A65" s="116" t="s">
        <v>2561</v>
      </c>
      <c r="B65" s="182">
        <v>46024.0</v>
      </c>
      <c r="C65" s="182">
        <v>46013.0</v>
      </c>
      <c r="D65" s="57" t="s">
        <v>295</v>
      </c>
      <c r="E65" s="3">
        <f t="array" ref="E65">XLOOKUP(D65,RUC!$B$3:$B$110,RUC!$D$3:$D$110)</f>
        <v>20601769396</v>
      </c>
      <c r="G65" s="141">
        <v>55.0</v>
      </c>
      <c r="H65" s="3" t="s">
        <v>339</v>
      </c>
      <c r="I65" s="6">
        <v>4.05</v>
      </c>
      <c r="J65" s="58">
        <v>11.22</v>
      </c>
      <c r="K65" s="6">
        <f t="shared" si="2"/>
        <v>3.596</v>
      </c>
      <c r="L65" s="139">
        <v>0.219</v>
      </c>
      <c r="M65" s="60">
        <f t="shared" si="41"/>
        <v>0.2</v>
      </c>
      <c r="N65" s="62">
        <f t="shared" si="38"/>
        <v>0.2</v>
      </c>
      <c r="O65" s="60">
        <f t="shared" si="5"/>
        <v>0.2</v>
      </c>
      <c r="P65" s="63">
        <v>90.0</v>
      </c>
      <c r="Q65" s="58">
        <v>90.87</v>
      </c>
      <c r="R65" s="65">
        <v>4421.65</v>
      </c>
      <c r="S65" s="66">
        <f t="array" ref="S65">IF((XLOOKUP(D65,RUC!$B$3:$B$106,RUC!$E$3:$E$106)+ROUNDDOWN(O65,1)*100)&lt;95,95,((XLOOKUP(D65,RUC!$B$3:$B$106,RUC!$E$3:$E$106)+ROUNDDOWN(O65,1)*100)))</f>
        <v>110</v>
      </c>
      <c r="U65" s="67">
        <f t="array" ref="U65">XLOOKUP(D65,RUC!$B$3:$B$110,RUC!$F$3:$F$110)</f>
        <v>120</v>
      </c>
      <c r="V65" s="67">
        <v>1.1023</v>
      </c>
      <c r="Y65" s="57">
        <f t="array" ref="Y65">XLOOKUP(D65,RUC!$B$3:$B$110,RUC!$G$3:$G$110)</f>
        <v>20</v>
      </c>
      <c r="Z65" s="69">
        <f t="array" ref="Z65">XLOOKUP(D65,RUC!$B$3:$B$110,RUC!$H$3:$H$110)</f>
        <v>30</v>
      </c>
      <c r="AA65" s="70">
        <f t="shared" si="6"/>
        <v>50</v>
      </c>
      <c r="AB65" s="71">
        <f t="shared" si="28"/>
        <v>677.1395831</v>
      </c>
      <c r="AC65" s="71">
        <f>+(S65-T65)*V65-'data 1'!$F$4</f>
        <v>41.253</v>
      </c>
      <c r="AD65" s="71">
        <f t="shared" si="8"/>
        <v>9.034377767</v>
      </c>
      <c r="AE65" s="71">
        <f t="shared" si="42"/>
        <v>-14.885</v>
      </c>
      <c r="AF65" s="71">
        <f t="shared" si="10"/>
        <v>81.86702486</v>
      </c>
      <c r="AG65" s="72">
        <f t="shared" si="43"/>
        <v>134.2694026</v>
      </c>
      <c r="AH65" s="193">
        <f t="shared" si="12"/>
        <v>24.535</v>
      </c>
      <c r="AI65" s="193">
        <f t="shared" si="13"/>
        <v>27.001</v>
      </c>
      <c r="AJ65" s="73">
        <f t="shared" si="14"/>
        <v>67.64074823</v>
      </c>
      <c r="AK65" s="73">
        <f t="shared" si="15"/>
        <v>22.19224598</v>
      </c>
      <c r="AM65" s="51">
        <f t="shared" si="16"/>
        <v>2434.993941</v>
      </c>
      <c r="AN65" s="51" t="str">
        <f t="array" ref="AN65">XLOOKUP(D65,RUC!$B$3:$B$565,RUC!$M$3:$M$565)</f>
        <v>Evelyn</v>
      </c>
      <c r="AO65" s="131" t="s">
        <v>551</v>
      </c>
      <c r="AP65" s="57" t="s">
        <v>2171</v>
      </c>
      <c r="AQ65" s="57" t="s">
        <v>1424</v>
      </c>
    </row>
    <row r="66" ht="15.0" customHeight="1">
      <c r="A66" s="116" t="s">
        <v>2562</v>
      </c>
      <c r="B66" s="182">
        <v>46024.0</v>
      </c>
      <c r="C66" s="182">
        <v>46013.0</v>
      </c>
      <c r="D66" s="57" t="s">
        <v>295</v>
      </c>
      <c r="E66" s="3">
        <f t="array" ref="E66">XLOOKUP(D66,RUC!$B$3:$B$110,RUC!$D$3:$D$110)</f>
        <v>20601769396</v>
      </c>
      <c r="G66" s="141">
        <v>29.0</v>
      </c>
      <c r="H66" s="3" t="s">
        <v>40</v>
      </c>
      <c r="I66" s="6">
        <v>2.08</v>
      </c>
      <c r="J66" s="58">
        <v>14.15</v>
      </c>
      <c r="K66" s="6">
        <f t="shared" si="2"/>
        <v>1.786</v>
      </c>
      <c r="L66" s="139">
        <v>1.161</v>
      </c>
      <c r="M66" s="60">
        <f t="shared" si="41"/>
        <v>1.091</v>
      </c>
      <c r="N66" s="62">
        <f t="shared" si="38"/>
        <v>1.091</v>
      </c>
      <c r="O66" s="60">
        <f t="shared" si="5"/>
        <v>1.091</v>
      </c>
      <c r="P66" s="63">
        <v>90.0</v>
      </c>
      <c r="Q66" s="58">
        <v>95.95</v>
      </c>
      <c r="R66" s="65">
        <v>4421.65</v>
      </c>
      <c r="S66" s="66">
        <f t="array" ref="S66">IF((XLOOKUP(D66,RUC!$B$3:$B$106,RUC!$E$3:$E$106)+ROUNDDOWN(O66,1)*100)&lt;95,95,((XLOOKUP(D66,RUC!$B$3:$B$106,RUC!$E$3:$E$106)+ROUNDDOWN(O66,1)*100)))</f>
        <v>190</v>
      </c>
      <c r="U66" s="67">
        <f t="array" ref="U66">XLOOKUP(D66,RUC!$B$3:$B$110,RUC!$F$3:$F$110)</f>
        <v>120</v>
      </c>
      <c r="V66" s="67">
        <v>1.1023</v>
      </c>
      <c r="Y66" s="199">
        <v>30.0</v>
      </c>
      <c r="Z66" s="140">
        <v>40.0</v>
      </c>
      <c r="AA66" s="70">
        <f t="shared" si="6"/>
        <v>70</v>
      </c>
      <c r="AB66" s="71">
        <f t="shared" si="28"/>
        <v>4369.285866</v>
      </c>
      <c r="AC66" s="71">
        <f>+(S66-T66)*V66-'data 1'!$F$4</f>
        <v>129.437</v>
      </c>
      <c r="AD66" s="71">
        <f t="shared" si="8"/>
        <v>327.5548727</v>
      </c>
      <c r="AE66" s="71">
        <f t="shared" si="42"/>
        <v>7.161</v>
      </c>
      <c r="AF66" s="71">
        <f t="shared" si="10"/>
        <v>318.4768712</v>
      </c>
      <c r="AG66" s="72">
        <f t="shared" si="43"/>
        <v>799.6297439</v>
      </c>
      <c r="AH66" s="193">
        <f t="shared" si="12"/>
        <v>68.213</v>
      </c>
      <c r="AI66" s="193">
        <f t="shared" si="13"/>
        <v>71.092</v>
      </c>
      <c r="AJ66" s="73">
        <f t="shared" si="14"/>
        <v>378.6351765</v>
      </c>
      <c r="AK66" s="73">
        <f t="shared" si="15"/>
        <v>60.12537303</v>
      </c>
      <c r="AM66" s="51">
        <f t="shared" si="16"/>
        <v>7803.544556</v>
      </c>
      <c r="AN66" s="51" t="str">
        <f t="array" ref="AN66">XLOOKUP(D66,RUC!$B$3:$B$565,RUC!$M$3:$M$565)</f>
        <v>Evelyn</v>
      </c>
      <c r="AO66" s="131" t="s">
        <v>551</v>
      </c>
      <c r="AP66" s="57" t="s">
        <v>2171</v>
      </c>
      <c r="AQ66" s="57" t="s">
        <v>1424</v>
      </c>
    </row>
    <row r="67" ht="15.0" customHeight="1">
      <c r="A67" s="116" t="s">
        <v>2563</v>
      </c>
      <c r="B67" s="182">
        <v>46024.0</v>
      </c>
      <c r="C67" s="182">
        <v>46014.0</v>
      </c>
      <c r="D67" s="57" t="s">
        <v>295</v>
      </c>
      <c r="E67" s="3">
        <f t="array" ref="E67">XLOOKUP(D67,RUC!$B$3:$B$110,RUC!$D$3:$D$110)</f>
        <v>20601769396</v>
      </c>
      <c r="G67" s="141">
        <v>49.0</v>
      </c>
      <c r="H67" s="3" t="s">
        <v>40</v>
      </c>
      <c r="I67" s="6">
        <v>4.53</v>
      </c>
      <c r="J67" s="58">
        <v>10.75</v>
      </c>
      <c r="K67" s="6">
        <f t="shared" si="2"/>
        <v>4.043</v>
      </c>
      <c r="L67" s="139">
        <v>0.681</v>
      </c>
      <c r="M67" s="60">
        <f t="shared" si="41"/>
        <v>0.64</v>
      </c>
      <c r="N67" s="62">
        <f t="shared" si="38"/>
        <v>0.64</v>
      </c>
      <c r="O67" s="60">
        <f t="shared" si="5"/>
        <v>0.64</v>
      </c>
      <c r="P67" s="63">
        <v>90.0</v>
      </c>
      <c r="Q67" s="58">
        <v>92.95</v>
      </c>
      <c r="R67" s="65">
        <v>4449.4</v>
      </c>
      <c r="S67" s="66">
        <f t="array" ref="S67">IF((XLOOKUP(D67,RUC!$B$3:$B$106,RUC!$E$3:$E$106)+ROUNDDOWN(O67,1)*100)&lt;95,95,((XLOOKUP(D67,RUC!$B$3:$B$106,RUC!$E$3:$E$106)+ROUNDDOWN(O67,1)*100)))</f>
        <v>150</v>
      </c>
      <c r="U67" s="67">
        <f t="array" ref="U67">XLOOKUP(D67,RUC!$B$3:$B$110,RUC!$F$3:$F$110)</f>
        <v>120</v>
      </c>
      <c r="V67" s="67">
        <v>1.1023</v>
      </c>
      <c r="Y67" s="199">
        <v>30.0</v>
      </c>
      <c r="Z67" s="140">
        <v>40.0</v>
      </c>
      <c r="AA67" s="70">
        <f t="shared" si="6"/>
        <v>70</v>
      </c>
      <c r="AB67" s="71">
        <f t="shared" si="28"/>
        <v>2506.337429</v>
      </c>
      <c r="AC67" s="71">
        <f>+(S67-T67)*V67-'data 1'!$F$4</f>
        <v>85.345</v>
      </c>
      <c r="AD67" s="71">
        <f t="shared" si="8"/>
        <v>95.87307304</v>
      </c>
      <c r="AE67" s="71">
        <f t="shared" si="42"/>
        <v>7.161</v>
      </c>
      <c r="AF67" s="71">
        <f t="shared" si="10"/>
        <v>181.8698761</v>
      </c>
      <c r="AG67" s="72">
        <f t="shared" si="43"/>
        <v>387.2489492</v>
      </c>
      <c r="AH67" s="193">
        <f t="shared" si="12"/>
        <v>87.742</v>
      </c>
      <c r="AI67" s="193">
        <f t="shared" si="13"/>
        <v>94.397</v>
      </c>
      <c r="AJ67" s="73">
        <f t="shared" si="14"/>
        <v>195.7870578</v>
      </c>
      <c r="AK67" s="73">
        <f t="shared" si="15"/>
        <v>79.84271456</v>
      </c>
      <c r="AM67" s="51">
        <f t="shared" si="16"/>
        <v>10133.12223</v>
      </c>
      <c r="AN67" s="51" t="str">
        <f t="array" ref="AN67">XLOOKUP(D67,RUC!$B$3:$B$565,RUC!$M$3:$M$565)</f>
        <v>Evelyn</v>
      </c>
      <c r="AO67" s="131" t="s">
        <v>551</v>
      </c>
      <c r="AP67" s="57" t="s">
        <v>2564</v>
      </c>
      <c r="AQ67" s="57" t="s">
        <v>1164</v>
      </c>
    </row>
    <row r="68" ht="15.0" customHeight="1">
      <c r="A68" s="116" t="s">
        <v>2565</v>
      </c>
      <c r="B68" s="182">
        <v>46024.0</v>
      </c>
      <c r="C68" s="182">
        <v>46014.0</v>
      </c>
      <c r="D68" s="57" t="s">
        <v>295</v>
      </c>
      <c r="E68" s="3">
        <f t="array" ref="E68">XLOOKUP(D68,RUC!$B$3:$B$110,RUC!$D$3:$D$110)</f>
        <v>20601769396</v>
      </c>
      <c r="G68" s="141">
        <v>25.0</v>
      </c>
      <c r="H68" s="3" t="s">
        <v>40</v>
      </c>
      <c r="I68" s="6">
        <v>2.2</v>
      </c>
      <c r="J68" s="58">
        <v>9.05</v>
      </c>
      <c r="K68" s="6">
        <f t="shared" si="2"/>
        <v>2.001</v>
      </c>
      <c r="L68" s="139">
        <v>0.573</v>
      </c>
      <c r="M68" s="60">
        <f t="shared" si="41"/>
        <v>0.539</v>
      </c>
      <c r="N68" s="62">
        <f t="shared" si="38"/>
        <v>0.539</v>
      </c>
      <c r="O68" s="60">
        <f t="shared" si="5"/>
        <v>0.539</v>
      </c>
      <c r="P68" s="63">
        <v>87.0</v>
      </c>
      <c r="Q68" s="58">
        <v>87.96</v>
      </c>
      <c r="R68" s="65">
        <v>4449.4</v>
      </c>
      <c r="S68" s="66">
        <f t="array" ref="S68">IF((XLOOKUP(D68,RUC!$B$3:$B$106,RUC!$E$3:$E$106)+ROUNDDOWN(O68,1)*100)&lt;95,95,((XLOOKUP(D68,RUC!$B$3:$B$106,RUC!$E$3:$E$106)+ROUNDDOWN(O68,1)*100)))</f>
        <v>140</v>
      </c>
      <c r="U68" s="67">
        <f t="array" ref="U68">XLOOKUP(D68,RUC!$B$3:$B$110,RUC!$F$3:$F$110)</f>
        <v>120</v>
      </c>
      <c r="V68" s="67">
        <v>1.1023</v>
      </c>
      <c r="Y68" s="199">
        <v>30.0</v>
      </c>
      <c r="Z68" s="140">
        <v>40.0</v>
      </c>
      <c r="AA68" s="70">
        <f t="shared" si="6"/>
        <v>70</v>
      </c>
      <c r="AB68" s="71">
        <f t="shared" si="28"/>
        <v>2006.390523</v>
      </c>
      <c r="AC68" s="71">
        <f>+(S68-T68)*V68-'data 1'!$F$4</f>
        <v>74.322</v>
      </c>
      <c r="AD68" s="71">
        <f t="shared" si="8"/>
        <v>26.25145475</v>
      </c>
      <c r="AE68" s="71">
        <f t="shared" si="42"/>
        <v>7.161</v>
      </c>
      <c r="AF68" s="71">
        <f t="shared" si="10"/>
        <v>142.7222415</v>
      </c>
      <c r="AG68" s="72">
        <f t="shared" si="43"/>
        <v>267.4566963</v>
      </c>
      <c r="AH68" s="193">
        <f t="shared" si="12"/>
        <v>34.578</v>
      </c>
      <c r="AI68" s="193">
        <f t="shared" si="13"/>
        <v>39.311</v>
      </c>
      <c r="AJ68" s="73">
        <f t="shared" si="14"/>
        <v>155.893252</v>
      </c>
      <c r="AK68" s="73">
        <f t="shared" si="15"/>
        <v>32.17097148</v>
      </c>
      <c r="AM68" s="51">
        <f t="shared" si="16"/>
        <v>4014.787436</v>
      </c>
      <c r="AN68" s="51" t="str">
        <f t="array" ref="AN68">XLOOKUP(D68,RUC!$B$3:$B$565,RUC!$M$3:$M$565)</f>
        <v>Evelyn</v>
      </c>
      <c r="AO68" s="131" t="s">
        <v>551</v>
      </c>
      <c r="AP68" s="57" t="s">
        <v>2564</v>
      </c>
      <c r="AQ68" s="57" t="s">
        <v>1164</v>
      </c>
    </row>
    <row r="69" ht="15.0" customHeight="1">
      <c r="A69" s="116" t="s">
        <v>2566</v>
      </c>
      <c r="B69" s="182">
        <v>46020.0</v>
      </c>
      <c r="C69" s="182">
        <v>46014.0</v>
      </c>
      <c r="D69" s="57" t="s">
        <v>2222</v>
      </c>
      <c r="E69" s="3" t="str">
        <f t="array" ref="E69">XLOOKUP(D69,RUC!$B$3:$B$110,RUC!$D$3:$D$110)</f>
        <v>20601769396*</v>
      </c>
      <c r="G69" s="141">
        <v>31.0</v>
      </c>
      <c r="H69" s="3" t="s">
        <v>40</v>
      </c>
      <c r="I69" s="6">
        <v>0.94</v>
      </c>
      <c r="J69" s="58">
        <v>15.65</v>
      </c>
      <c r="K69" s="6">
        <f t="shared" si="2"/>
        <v>0.793</v>
      </c>
      <c r="L69" s="139">
        <v>1.048</v>
      </c>
      <c r="M69" s="60">
        <f t="shared" si="41"/>
        <v>0.985</v>
      </c>
      <c r="N69" s="62">
        <f t="shared" si="38"/>
        <v>0.985</v>
      </c>
      <c r="O69" s="60">
        <f t="shared" si="5"/>
        <v>0.985</v>
      </c>
      <c r="P69" s="63">
        <v>88.0</v>
      </c>
      <c r="Q69" s="58">
        <v>89.6</v>
      </c>
      <c r="R69" s="65">
        <v>4449.4</v>
      </c>
      <c r="S69" s="66">
        <f t="array" ref="S69">IF((XLOOKUP(D69,RUC!$B$3:$B$106,RUC!$E$3:$E$106)+ROUNDDOWN(O69,1)*100)&lt;95,95,((XLOOKUP(D69,RUC!$B$3:$B$106,RUC!$E$3:$E$106)+ROUNDDOWN(O69,1)*100)))</f>
        <v>180</v>
      </c>
      <c r="U69" s="67">
        <f t="array" ref="U69">XLOOKUP(D69,RUC!$B$3:$B$110,RUC!$F$3:$F$110)</f>
        <v>120</v>
      </c>
      <c r="V69" s="67">
        <v>1.1023</v>
      </c>
      <c r="Y69" s="199">
        <v>30.0</v>
      </c>
      <c r="Z69" s="140">
        <v>40.0</v>
      </c>
      <c r="AA69" s="70">
        <f t="shared" si="6"/>
        <v>70</v>
      </c>
      <c r="AB69" s="71">
        <f t="shared" si="28"/>
        <v>3861.052577</v>
      </c>
      <c r="AC69" s="71">
        <f>+(S69-T69)*V69-'data 1'!$F$4</f>
        <v>118.414</v>
      </c>
      <c r="AD69" s="71">
        <f t="shared" si="8"/>
        <v>80.02188649</v>
      </c>
      <c r="AE69" s="71">
        <f t="shared" si="42"/>
        <v>7.161</v>
      </c>
      <c r="AF69" s="71">
        <f t="shared" si="10"/>
        <v>269.3866561</v>
      </c>
      <c r="AG69" s="72">
        <f t="shared" si="43"/>
        <v>491.9835425</v>
      </c>
      <c r="AH69" s="193">
        <f t="shared" si="12"/>
        <v>25.53</v>
      </c>
      <c r="AI69" s="193">
        <f t="shared" si="13"/>
        <v>28.493</v>
      </c>
      <c r="AJ69" s="73">
        <f t="shared" si="14"/>
        <v>290.4402263</v>
      </c>
      <c r="AK69" s="73">
        <f t="shared" si="15"/>
        <v>23.56682947</v>
      </c>
      <c r="AM69" s="51">
        <f t="shared" si="16"/>
        <v>3061.814694</v>
      </c>
      <c r="AN69" s="51" t="str">
        <f t="array" ref="AN69">XLOOKUP(D69,RUC!$B$3:$B$565,RUC!$M$3:$M$565)</f>
        <v>Zudaire</v>
      </c>
      <c r="AO69" s="131" t="s">
        <v>558</v>
      </c>
      <c r="AP69" s="57" t="s">
        <v>2567</v>
      </c>
      <c r="AQ69" s="57" t="s">
        <v>1334</v>
      </c>
    </row>
    <row r="70" ht="15.0" customHeight="1">
      <c r="A70" s="116" t="s">
        <v>2568</v>
      </c>
      <c r="B70" s="182">
        <v>46020.0</v>
      </c>
      <c r="C70" s="182">
        <v>46014.0</v>
      </c>
      <c r="D70" s="57" t="s">
        <v>2222</v>
      </c>
      <c r="E70" s="3" t="str">
        <f t="array" ref="E70">XLOOKUP(D70,RUC!$B$3:$B$110,RUC!$D$3:$D$110)</f>
        <v>20601769396*</v>
      </c>
      <c r="G70" s="141">
        <v>105.0</v>
      </c>
      <c r="H70" s="3" t="s">
        <v>40</v>
      </c>
      <c r="I70" s="6">
        <v>3.03</v>
      </c>
      <c r="J70" s="58">
        <v>19.9</v>
      </c>
      <c r="K70" s="6">
        <f t="shared" si="2"/>
        <v>2.427</v>
      </c>
      <c r="L70" s="139">
        <v>0.837</v>
      </c>
      <c r="M70" s="60">
        <f t="shared" si="41"/>
        <v>0.787</v>
      </c>
      <c r="N70" s="62">
        <f t="shared" si="38"/>
        <v>0.787</v>
      </c>
      <c r="O70" s="60">
        <f t="shared" si="5"/>
        <v>0.787</v>
      </c>
      <c r="P70" s="63">
        <v>90.0</v>
      </c>
      <c r="Q70" s="58">
        <v>93.91</v>
      </c>
      <c r="R70" s="65">
        <v>4449.4</v>
      </c>
      <c r="S70" s="66">
        <f t="array" ref="S70">IF((XLOOKUP(D70,RUC!$B$3:$B$106,RUC!$E$3:$E$106)+ROUNDDOWN(O70,1)*100)&lt;95,95,((XLOOKUP(D70,RUC!$B$3:$B$106,RUC!$E$3:$E$106)+ROUNDDOWN(O70,1)*100)))</f>
        <v>160</v>
      </c>
      <c r="U70" s="67">
        <f t="array" ref="U70">XLOOKUP(D70,RUC!$B$3:$B$110,RUC!$F$3:$F$110)</f>
        <v>120</v>
      </c>
      <c r="V70" s="67">
        <v>1.1023</v>
      </c>
      <c r="Y70" s="199">
        <v>30.0</v>
      </c>
      <c r="Z70" s="140">
        <v>40.0</v>
      </c>
      <c r="AA70" s="70">
        <f t="shared" si="6"/>
        <v>70</v>
      </c>
      <c r="AB70" s="71">
        <f t="shared" si="28"/>
        <v>3126.689404</v>
      </c>
      <c r="AC70" s="71">
        <f>+(S70-T70)*V70-'data 1'!$F$4</f>
        <v>96.368</v>
      </c>
      <c r="AD70" s="71">
        <f t="shared" si="8"/>
        <v>156.1815525</v>
      </c>
      <c r="AE70" s="71">
        <f t="shared" si="42"/>
        <v>7.161</v>
      </c>
      <c r="AF70" s="71">
        <f t="shared" si="10"/>
        <v>224.0832347</v>
      </c>
      <c r="AG70" s="72">
        <f t="shared" si="43"/>
        <v>500.7937873</v>
      </c>
      <c r="AH70" s="193">
        <f t="shared" si="12"/>
        <v>65.406</v>
      </c>
      <c r="AI70" s="193">
        <f t="shared" si="13"/>
        <v>69.647</v>
      </c>
      <c r="AJ70" s="73">
        <f t="shared" si="14"/>
        <v>243.1222871</v>
      </c>
      <c r="AK70" s="73">
        <f t="shared" si="15"/>
        <v>58.93809404</v>
      </c>
      <c r="AM70" s="51">
        <f t="shared" si="16"/>
        <v>7588.475184</v>
      </c>
      <c r="AN70" s="51" t="str">
        <f t="array" ref="AN70">XLOOKUP(D70,RUC!$B$3:$B$565,RUC!$M$3:$M$565)</f>
        <v>Zudaire</v>
      </c>
      <c r="AO70" s="131" t="s">
        <v>558</v>
      </c>
      <c r="AP70" s="57" t="s">
        <v>2567</v>
      </c>
      <c r="AQ70" s="57" t="s">
        <v>1334</v>
      </c>
    </row>
    <row r="71" ht="15.0" customHeight="1">
      <c r="A71" s="116" t="s">
        <v>2569</v>
      </c>
      <c r="B71" s="182">
        <v>46020.0</v>
      </c>
      <c r="C71" s="182">
        <v>46014.0</v>
      </c>
      <c r="D71" s="57" t="s">
        <v>2222</v>
      </c>
      <c r="E71" s="3" t="str">
        <f t="array" ref="E71">XLOOKUP(D71,RUC!$B$3:$B$110,RUC!$D$3:$D$110)</f>
        <v>20601769396*</v>
      </c>
      <c r="G71" s="141">
        <v>166.0</v>
      </c>
      <c r="H71" s="3" t="s">
        <v>40</v>
      </c>
      <c r="I71" s="6">
        <v>4.08</v>
      </c>
      <c r="J71" s="58">
        <v>18.87</v>
      </c>
      <c r="K71" s="6">
        <f t="shared" si="2"/>
        <v>3.31</v>
      </c>
      <c r="L71" s="139">
        <v>0.306</v>
      </c>
      <c r="M71" s="60">
        <f t="shared" si="41"/>
        <v>0.288</v>
      </c>
      <c r="N71" s="62">
        <f t="shared" si="38"/>
        <v>0.288</v>
      </c>
      <c r="O71" s="60">
        <f t="shared" si="5"/>
        <v>0.288</v>
      </c>
      <c r="P71" s="63">
        <v>90.0</v>
      </c>
      <c r="Q71" s="58">
        <v>91.83</v>
      </c>
      <c r="R71" s="65">
        <v>4449.4</v>
      </c>
      <c r="S71" s="66">
        <f t="array" ref="S71">IF((XLOOKUP(D71,RUC!$B$3:$B$106,RUC!$E$3:$E$106)+ROUNDDOWN(O71,1)*100)&lt;95,95,((XLOOKUP(D71,RUC!$B$3:$B$106,RUC!$E$3:$E$106)+ROUNDDOWN(O71,1)*100)))</f>
        <v>110</v>
      </c>
      <c r="U71" s="67">
        <f t="array" ref="U71">XLOOKUP(D71,RUC!$B$3:$B$110,RUC!$F$3:$F$110)</f>
        <v>120</v>
      </c>
      <c r="V71" s="67">
        <v>1.1023</v>
      </c>
      <c r="Y71" s="199">
        <v>30.0</v>
      </c>
      <c r="Z71" s="140">
        <v>40.0</v>
      </c>
      <c r="AA71" s="70">
        <f t="shared" si="6"/>
        <v>70</v>
      </c>
      <c r="AB71" s="71">
        <f t="shared" si="28"/>
        <v>1038.565543</v>
      </c>
      <c r="AC71" s="71">
        <f>+(S71-T71)*V71-'data 1'!$F$4</f>
        <v>41.253</v>
      </c>
      <c r="AD71" s="71">
        <f t="shared" si="8"/>
        <v>26.72391221</v>
      </c>
      <c r="AE71" s="71">
        <f t="shared" si="42"/>
        <v>7.161</v>
      </c>
      <c r="AF71" s="71">
        <f t="shared" si="10"/>
        <v>78.88321628</v>
      </c>
      <c r="AG71" s="72">
        <f t="shared" si="43"/>
        <v>171.0211285</v>
      </c>
      <c r="AH71" s="193">
        <f t="shared" si="12"/>
        <v>31.889</v>
      </c>
      <c r="AI71" s="193">
        <f t="shared" si="13"/>
        <v>34.726</v>
      </c>
      <c r="AJ71" s="73">
        <f t="shared" si="14"/>
        <v>86.91474992</v>
      </c>
      <c r="AK71" s="73">
        <f t="shared" si="15"/>
        <v>29.41521725</v>
      </c>
      <c r="AM71" s="51">
        <f t="shared" si="16"/>
        <v>3437.651948</v>
      </c>
      <c r="AN71" s="51" t="str">
        <f t="array" ref="AN71">XLOOKUP(D71,RUC!$B$3:$B$565,RUC!$M$3:$M$565)</f>
        <v>Zudaire</v>
      </c>
      <c r="AO71" s="131" t="s">
        <v>558</v>
      </c>
      <c r="AP71" s="57" t="s">
        <v>2567</v>
      </c>
      <c r="AQ71" s="57" t="s">
        <v>1334</v>
      </c>
    </row>
    <row r="72" ht="15.0" customHeight="1">
      <c r="A72" s="116" t="s">
        <v>2570</v>
      </c>
      <c r="B72" s="182">
        <v>46020.0</v>
      </c>
      <c r="C72" s="182">
        <v>46014.0</v>
      </c>
      <c r="D72" s="57" t="s">
        <v>2222</v>
      </c>
      <c r="E72" s="3" t="str">
        <f t="array" ref="E72">XLOOKUP(D72,RUC!$B$3:$B$110,RUC!$D$3:$D$110)</f>
        <v>20601769396*</v>
      </c>
      <c r="G72" s="141">
        <v>50.0</v>
      </c>
      <c r="H72" s="3" t="s">
        <v>40</v>
      </c>
      <c r="I72" s="6">
        <v>1.56</v>
      </c>
      <c r="J72" s="58">
        <v>18.72</v>
      </c>
      <c r="K72" s="6">
        <f t="shared" si="2"/>
        <v>1.268</v>
      </c>
      <c r="L72" s="139">
        <v>0.706</v>
      </c>
      <c r="M72" s="60">
        <f t="shared" si="41"/>
        <v>0.664</v>
      </c>
      <c r="N72" s="62">
        <f t="shared" si="38"/>
        <v>0.664</v>
      </c>
      <c r="O72" s="60">
        <f t="shared" si="5"/>
        <v>0.664</v>
      </c>
      <c r="P72" s="63">
        <v>90.0</v>
      </c>
      <c r="Q72" s="58">
        <v>95.04</v>
      </c>
      <c r="R72" s="65">
        <v>4449.4</v>
      </c>
      <c r="S72" s="66">
        <f t="array" ref="S72">IF((XLOOKUP(D72,RUC!$B$3:$B$106,RUC!$E$3:$E$106)+ROUNDDOWN(O72,1)*100)&lt;95,95,((XLOOKUP(D72,RUC!$B$3:$B$106,RUC!$E$3:$E$106)+ROUNDDOWN(O72,1)*100)))</f>
        <v>150</v>
      </c>
      <c r="U72" s="67">
        <f t="array" ref="U72">XLOOKUP(D72,RUC!$B$3:$B$110,RUC!$F$3:$F$110)</f>
        <v>120</v>
      </c>
      <c r="V72" s="67">
        <v>1.1023</v>
      </c>
      <c r="Y72" s="199">
        <v>30.0</v>
      </c>
      <c r="Z72" s="140">
        <v>40.0</v>
      </c>
      <c r="AA72" s="70">
        <f t="shared" si="6"/>
        <v>70</v>
      </c>
      <c r="AB72" s="71">
        <f t="shared" si="28"/>
        <v>2609.419058</v>
      </c>
      <c r="AC72" s="71">
        <f>+(S72-T72)*V72-'data 1'!$F$4</f>
        <v>85.345</v>
      </c>
      <c r="AD72" s="71">
        <f t="shared" si="8"/>
        <v>169.8098028</v>
      </c>
      <c r="AE72" s="71">
        <f t="shared" si="42"/>
        <v>7.161</v>
      </c>
      <c r="AF72" s="71">
        <f t="shared" si="10"/>
        <v>190.4948496</v>
      </c>
      <c r="AG72" s="72">
        <f t="shared" si="43"/>
        <v>469.8106525</v>
      </c>
      <c r="AH72" s="193">
        <f t="shared" si="12"/>
        <v>29.17</v>
      </c>
      <c r="AI72" s="193">
        <f t="shared" si="13"/>
        <v>30.693</v>
      </c>
      <c r="AJ72" s="73">
        <f t="shared" si="14"/>
        <v>207.5384662</v>
      </c>
      <c r="AK72" s="73">
        <f t="shared" si="15"/>
        <v>25.97998594</v>
      </c>
      <c r="AM72" s="51">
        <f t="shared" si="16"/>
        <v>3308.743365</v>
      </c>
      <c r="AN72" s="51" t="str">
        <f t="array" ref="AN72">XLOOKUP(D72,RUC!$B$3:$B$565,RUC!$M$3:$M$565)</f>
        <v>Zudaire</v>
      </c>
      <c r="AO72" s="131" t="s">
        <v>558</v>
      </c>
      <c r="AP72" s="57" t="s">
        <v>2567</v>
      </c>
      <c r="AQ72" s="57" t="s">
        <v>1334</v>
      </c>
    </row>
    <row r="73" ht="15.0" customHeight="1">
      <c r="A73" s="116" t="s">
        <v>2571</v>
      </c>
      <c r="B73" s="182">
        <v>46020.0</v>
      </c>
      <c r="C73" s="182">
        <v>46014.0</v>
      </c>
      <c r="D73" s="57" t="s">
        <v>2222</v>
      </c>
      <c r="E73" s="3" t="str">
        <f t="array" ref="E73">XLOOKUP(D73,RUC!$B$3:$B$110,RUC!$D$3:$D$110)</f>
        <v>20601769396*</v>
      </c>
      <c r="G73" s="141">
        <v>23.0</v>
      </c>
      <c r="H73" s="3" t="s">
        <v>40</v>
      </c>
      <c r="I73" s="6">
        <v>1.36</v>
      </c>
      <c r="J73" s="58">
        <v>18.5</v>
      </c>
      <c r="K73" s="6">
        <f t="shared" si="2"/>
        <v>1.108</v>
      </c>
      <c r="L73" s="139">
        <v>0.791</v>
      </c>
      <c r="M73" s="60">
        <f t="shared" si="41"/>
        <v>0.744</v>
      </c>
      <c r="N73" s="62">
        <f t="shared" si="38"/>
        <v>0.744</v>
      </c>
      <c r="O73" s="60">
        <f t="shared" si="5"/>
        <v>0.744</v>
      </c>
      <c r="P73" s="63">
        <v>90.0</v>
      </c>
      <c r="Q73" s="58">
        <v>96.33</v>
      </c>
      <c r="R73" s="65">
        <v>4449.4</v>
      </c>
      <c r="S73" s="66">
        <f t="array" ref="S73">IF((XLOOKUP(D73,RUC!$B$3:$B$106,RUC!$E$3:$E$106)+ROUNDDOWN(O73,1)*100)&lt;95,95,((XLOOKUP(D73,RUC!$B$3:$B$106,RUC!$E$3:$E$106)+ROUNDDOWN(O73,1)*100)))</f>
        <v>160</v>
      </c>
      <c r="U73" s="67">
        <f t="array" ref="U73">XLOOKUP(D73,RUC!$B$3:$B$110,RUC!$F$3:$F$110)</f>
        <v>120</v>
      </c>
      <c r="V73" s="67">
        <v>1.1023</v>
      </c>
      <c r="Y73" s="199">
        <v>30.0</v>
      </c>
      <c r="Z73" s="140">
        <v>40.0</v>
      </c>
      <c r="AA73" s="70">
        <f t="shared" si="6"/>
        <v>70</v>
      </c>
      <c r="AB73" s="71">
        <f t="shared" si="28"/>
        <v>2942.001486</v>
      </c>
      <c r="AC73" s="71">
        <f>+(S73-T73)*V73-'data 1'!$F$4</f>
        <v>96.368</v>
      </c>
      <c r="AD73" s="71">
        <f t="shared" si="8"/>
        <v>238.9503735</v>
      </c>
      <c r="AE73" s="71">
        <f t="shared" si="42"/>
        <v>7.161</v>
      </c>
      <c r="AF73" s="71">
        <f t="shared" si="10"/>
        <v>216.066252</v>
      </c>
      <c r="AG73" s="72">
        <f t="shared" si="43"/>
        <v>575.5456255</v>
      </c>
      <c r="AH73" s="193">
        <f t="shared" si="12"/>
        <v>28.946</v>
      </c>
      <c r="AI73" s="193">
        <f t="shared" si="13"/>
        <v>30.049</v>
      </c>
      <c r="AJ73" s="73">
        <f t="shared" si="14"/>
        <v>235.6815132</v>
      </c>
      <c r="AK73" s="73">
        <f t="shared" si="15"/>
        <v>25.43690539</v>
      </c>
      <c r="AM73" s="51">
        <f t="shared" si="16"/>
        <v>3259.737647</v>
      </c>
      <c r="AN73" s="51" t="str">
        <f t="array" ref="AN73">XLOOKUP(D73,RUC!$B$3:$B$565,RUC!$M$3:$M$565)</f>
        <v>Zudaire</v>
      </c>
      <c r="AO73" s="131" t="s">
        <v>558</v>
      </c>
      <c r="AP73" s="57" t="s">
        <v>2567</v>
      </c>
      <c r="AQ73" s="57" t="s">
        <v>1334</v>
      </c>
    </row>
    <row r="74" ht="15.0" customHeight="1">
      <c r="A74" s="116" t="s">
        <v>2572</v>
      </c>
      <c r="B74" s="182">
        <v>46020.0</v>
      </c>
      <c r="C74" s="182">
        <v>46015.0</v>
      </c>
      <c r="D74" s="57" t="s">
        <v>2222</v>
      </c>
      <c r="E74" s="3" t="str">
        <f t="array" ref="E74">XLOOKUP(D74,RUC!$B$3:$B$110,RUC!$D$3:$D$110)</f>
        <v>20601769396*</v>
      </c>
      <c r="G74" s="141">
        <v>45.0</v>
      </c>
      <c r="H74" s="3" t="s">
        <v>40</v>
      </c>
      <c r="I74" s="6">
        <v>3.24</v>
      </c>
      <c r="J74" s="58">
        <v>18.65</v>
      </c>
      <c r="K74" s="6">
        <f t="shared" si="2"/>
        <v>2.636</v>
      </c>
      <c r="L74" s="139">
        <v>0.274</v>
      </c>
      <c r="M74" s="60">
        <f t="shared" si="41"/>
        <v>0.255</v>
      </c>
      <c r="N74" s="62">
        <f t="shared" si="38"/>
        <v>0.255</v>
      </c>
      <c r="O74" s="60">
        <f t="shared" si="5"/>
        <v>0.255</v>
      </c>
      <c r="P74" s="63">
        <v>88.0</v>
      </c>
      <c r="Q74" s="58">
        <v>88.69</v>
      </c>
      <c r="R74" s="65">
        <v>4480.8</v>
      </c>
      <c r="S74" s="66">
        <f t="array" ref="S74">IF((XLOOKUP(D74,RUC!$B$3:$B$106,RUC!$E$3:$E$106)+ROUNDDOWN(O74,1)*100)&lt;95,95,((XLOOKUP(D74,RUC!$B$3:$B$106,RUC!$E$3:$E$106)+ROUNDDOWN(O74,1)*100)))</f>
        <v>110</v>
      </c>
      <c r="U74" s="67">
        <f t="array" ref="U74">XLOOKUP(D74,RUC!$B$3:$B$110,RUC!$F$3:$F$110)</f>
        <v>120</v>
      </c>
      <c r="V74" s="67">
        <v>1.1023</v>
      </c>
      <c r="Y74" s="199">
        <v>30.0</v>
      </c>
      <c r="Z74" s="140">
        <v>40.0</v>
      </c>
      <c r="AA74" s="70">
        <f t="shared" si="6"/>
        <v>70</v>
      </c>
      <c r="AB74" s="71">
        <f t="shared" si="28"/>
        <v>880.2565681</v>
      </c>
      <c r="AC74" s="71">
        <f>+(S74-T74)*V74-'data 1'!$F$4</f>
        <v>41.253</v>
      </c>
      <c r="AD74" s="71">
        <f t="shared" si="8"/>
        <v>9.087943744</v>
      </c>
      <c r="AE74" s="71">
        <f t="shared" si="42"/>
        <v>7.161</v>
      </c>
      <c r="AF74" s="71">
        <f t="shared" si="10"/>
        <v>81.0017184</v>
      </c>
      <c r="AG74" s="72">
        <f t="shared" si="43"/>
        <v>155.5036621</v>
      </c>
      <c r="AH74" s="193">
        <f t="shared" si="12"/>
        <v>21.962</v>
      </c>
      <c r="AI74" s="193">
        <f t="shared" si="13"/>
        <v>24.763</v>
      </c>
      <c r="AJ74" s="73">
        <f t="shared" si="14"/>
        <v>66.75334963</v>
      </c>
      <c r="AK74" s="73">
        <f t="shared" si="15"/>
        <v>20.28043788</v>
      </c>
      <c r="AM74" s="51">
        <f t="shared" si="16"/>
        <v>2320.356314</v>
      </c>
      <c r="AN74" s="51" t="str">
        <f t="array" ref="AN74">XLOOKUP(D74,RUC!$B$3:$B$565,RUC!$M$3:$M$565)</f>
        <v>Zudaire</v>
      </c>
      <c r="AO74" s="131" t="s">
        <v>558</v>
      </c>
      <c r="AP74" s="57" t="s">
        <v>2567</v>
      </c>
      <c r="AQ74" s="57" t="s">
        <v>1334</v>
      </c>
    </row>
    <row r="75" ht="15.0" customHeight="1">
      <c r="A75" s="116" t="s">
        <v>2573</v>
      </c>
      <c r="B75" s="182">
        <v>46020.0</v>
      </c>
      <c r="C75" s="182">
        <v>46015.0</v>
      </c>
      <c r="D75" s="57" t="s">
        <v>2222</v>
      </c>
      <c r="E75" s="3" t="str">
        <f t="array" ref="E75">XLOOKUP(D75,RUC!$B$3:$B$110,RUC!$D$3:$D$110)</f>
        <v>20601769396*</v>
      </c>
      <c r="G75" s="141">
        <v>155.0</v>
      </c>
      <c r="H75" s="3" t="s">
        <v>40</v>
      </c>
      <c r="I75" s="6">
        <v>4.64</v>
      </c>
      <c r="J75" s="58">
        <v>18.25</v>
      </c>
      <c r="K75" s="6">
        <f t="shared" si="2"/>
        <v>3.793</v>
      </c>
      <c r="L75" s="139">
        <v>0.512</v>
      </c>
      <c r="M75" s="60">
        <f t="shared" si="41"/>
        <v>0.481</v>
      </c>
      <c r="N75" s="62">
        <f t="shared" si="38"/>
        <v>0.481</v>
      </c>
      <c r="O75" s="60">
        <f t="shared" si="5"/>
        <v>0.481</v>
      </c>
      <c r="P75" s="63">
        <v>90.0</v>
      </c>
      <c r="Q75" s="58">
        <v>92.97</v>
      </c>
      <c r="R75" s="65">
        <v>4480.8</v>
      </c>
      <c r="S75" s="66">
        <f t="array" ref="S75">IF((XLOOKUP(D75,RUC!$B$3:$B$106,RUC!$E$3:$E$106)+ROUNDDOWN(O75,1)*100)&lt;95,95,((XLOOKUP(D75,RUC!$B$3:$B$106,RUC!$E$3:$E$106)+ROUNDDOWN(O75,1)*100)))</f>
        <v>130</v>
      </c>
      <c r="U75" s="67">
        <f t="array" ref="U75">XLOOKUP(D75,RUC!$B$3:$B$110,RUC!$F$3:$F$110)</f>
        <v>120</v>
      </c>
      <c r="V75" s="67">
        <v>1.1023</v>
      </c>
      <c r="Y75" s="199">
        <v>30.0</v>
      </c>
      <c r="Z75" s="140">
        <v>40.0</v>
      </c>
      <c r="AA75" s="70">
        <f t="shared" si="6"/>
        <v>70</v>
      </c>
      <c r="AB75" s="71">
        <f t="shared" si="28"/>
        <v>1860.45127</v>
      </c>
      <c r="AC75" s="71">
        <f>+(S75-T75)*V75-'data 1'!$F$4</f>
        <v>63.299</v>
      </c>
      <c r="AD75" s="71">
        <f t="shared" si="8"/>
        <v>73.09579379</v>
      </c>
      <c r="AE75" s="71">
        <f t="shared" si="42"/>
        <v>7.161</v>
      </c>
      <c r="AF75" s="71">
        <f t="shared" si="10"/>
        <v>138.5385064</v>
      </c>
      <c r="AG75" s="72">
        <f t="shared" si="43"/>
        <v>299.0943002</v>
      </c>
      <c r="AH75" s="193">
        <f t="shared" si="12"/>
        <v>61.902</v>
      </c>
      <c r="AI75" s="193">
        <f t="shared" si="13"/>
        <v>66.583</v>
      </c>
      <c r="AJ75" s="73">
        <f t="shared" si="14"/>
        <v>130.7557022</v>
      </c>
      <c r="AK75" s="73">
        <f t="shared" si="15"/>
        <v>56.29625404</v>
      </c>
      <c r="AM75" s="51">
        <f t="shared" si="16"/>
        <v>7056.691666</v>
      </c>
      <c r="AN75" s="51" t="str">
        <f t="array" ref="AN75">XLOOKUP(D75,RUC!$B$3:$B$565,RUC!$M$3:$M$565)</f>
        <v>Zudaire</v>
      </c>
      <c r="AO75" s="131" t="s">
        <v>558</v>
      </c>
      <c r="AP75" s="57" t="s">
        <v>2567</v>
      </c>
      <c r="AQ75" s="57" t="s">
        <v>1334</v>
      </c>
    </row>
    <row r="76" ht="15.0" customHeight="1">
      <c r="A76" s="116" t="s">
        <v>2574</v>
      </c>
      <c r="B76" s="182">
        <v>46020.0</v>
      </c>
      <c r="C76" s="182">
        <v>46015.0</v>
      </c>
      <c r="D76" s="57" t="s">
        <v>2222</v>
      </c>
      <c r="E76" s="3" t="str">
        <f t="array" ref="E76">XLOOKUP(D76,RUC!$B$3:$B$110,RUC!$D$3:$D$110)</f>
        <v>20601769396*</v>
      </c>
      <c r="G76" s="141">
        <v>105.0</v>
      </c>
      <c r="H76" s="3" t="s">
        <v>40</v>
      </c>
      <c r="I76" s="6">
        <v>3.16</v>
      </c>
      <c r="J76" s="58">
        <v>18.1</v>
      </c>
      <c r="K76" s="6">
        <f t="shared" si="2"/>
        <v>2.588</v>
      </c>
      <c r="L76" s="139">
        <v>0.422</v>
      </c>
      <c r="M76" s="60">
        <f t="shared" si="41"/>
        <v>0.397</v>
      </c>
      <c r="N76" s="62">
        <f t="shared" si="38"/>
        <v>0.397</v>
      </c>
      <c r="O76" s="60">
        <f t="shared" si="5"/>
        <v>0.397</v>
      </c>
      <c r="P76" s="63">
        <v>90.0</v>
      </c>
      <c r="Q76" s="58">
        <v>93.13</v>
      </c>
      <c r="R76" s="65">
        <v>4480.8</v>
      </c>
      <c r="S76" s="66">
        <f t="array" ref="S76">IF((XLOOKUP(D76,RUC!$B$3:$B$106,RUC!$E$3:$E$106)+ROUNDDOWN(O76,1)*100)&lt;95,95,((XLOOKUP(D76,RUC!$B$3:$B$106,RUC!$E$3:$E$106)+ROUNDDOWN(O76,1)*100)))</f>
        <v>120</v>
      </c>
      <c r="U76" s="67">
        <f t="array" ref="U76">XLOOKUP(D76,RUC!$B$3:$B$110,RUC!$F$3:$F$110)</f>
        <v>120</v>
      </c>
      <c r="V76" s="67">
        <v>1.1023</v>
      </c>
      <c r="Y76" s="199">
        <v>30.0</v>
      </c>
      <c r="Z76" s="140">
        <v>40.0</v>
      </c>
      <c r="AA76" s="70">
        <f t="shared" si="6"/>
        <v>70</v>
      </c>
      <c r="AB76" s="71">
        <f t="shared" si="28"/>
        <v>1508.071886</v>
      </c>
      <c r="AC76" s="71">
        <f>+(S76-T76)*V76-'data 1'!$F$4</f>
        <v>52.276</v>
      </c>
      <c r="AD76" s="71">
        <f t="shared" si="8"/>
        <v>63.49254931</v>
      </c>
      <c r="AE76" s="71">
        <f t="shared" si="42"/>
        <v>7.161</v>
      </c>
      <c r="AF76" s="71">
        <f t="shared" si="10"/>
        <v>111.9168783</v>
      </c>
      <c r="AG76" s="72">
        <f t="shared" si="43"/>
        <v>251.8464277</v>
      </c>
      <c r="AH76" s="193">
        <f t="shared" si="12"/>
        <v>34.872</v>
      </c>
      <c r="AI76" s="193">
        <f t="shared" si="13"/>
        <v>37.444</v>
      </c>
      <c r="AJ76" s="73">
        <f t="shared" si="14"/>
        <v>107.9567742</v>
      </c>
      <c r="AK76" s="73">
        <f t="shared" si="15"/>
        <v>31.70343776</v>
      </c>
      <c r="AM76" s="51">
        <f t="shared" si="16"/>
        <v>3902.890041</v>
      </c>
      <c r="AN76" s="51" t="str">
        <f t="array" ref="AN76">XLOOKUP(D76,RUC!$B$3:$B$565,RUC!$M$3:$M$565)</f>
        <v>Zudaire</v>
      </c>
      <c r="AO76" s="131" t="s">
        <v>558</v>
      </c>
      <c r="AP76" s="57" t="s">
        <v>2567</v>
      </c>
      <c r="AQ76" s="57" t="s">
        <v>1334</v>
      </c>
    </row>
    <row r="77" ht="15.0" customHeight="1">
      <c r="A77" s="116" t="s">
        <v>2575</v>
      </c>
      <c r="B77" s="182">
        <v>46020.0</v>
      </c>
      <c r="C77" s="182">
        <v>46015.0</v>
      </c>
      <c r="D77" s="57" t="s">
        <v>2222</v>
      </c>
      <c r="E77" s="3" t="str">
        <f t="array" ref="E77">XLOOKUP(D77,RUC!$B$3:$B$110,RUC!$D$3:$D$110)</f>
        <v>20601769396*</v>
      </c>
      <c r="G77" s="141">
        <v>98.0</v>
      </c>
      <c r="H77" s="3" t="s">
        <v>40</v>
      </c>
      <c r="I77" s="6">
        <v>3.04</v>
      </c>
      <c r="J77" s="58">
        <v>17.3</v>
      </c>
      <c r="K77" s="6">
        <f t="shared" si="2"/>
        <v>2.514</v>
      </c>
      <c r="L77" s="139">
        <v>0.222</v>
      </c>
      <c r="M77" s="60">
        <f t="shared" si="41"/>
        <v>0.203</v>
      </c>
      <c r="N77" s="62">
        <f t="shared" si="38"/>
        <v>0.203</v>
      </c>
      <c r="O77" s="60">
        <f t="shared" si="5"/>
        <v>0.203</v>
      </c>
      <c r="P77" s="63">
        <v>84.0</v>
      </c>
      <c r="Q77" s="58">
        <v>84.23</v>
      </c>
      <c r="R77" s="65">
        <v>4480.8</v>
      </c>
      <c r="S77" s="66">
        <f t="array" ref="S77">IF((XLOOKUP(D77,RUC!$B$3:$B$106,RUC!$E$3:$E$106)+ROUNDDOWN(O77,1)*100)&lt;95,95,((XLOOKUP(D77,RUC!$B$3:$B$106,RUC!$E$3:$E$106)+ROUNDDOWN(O77,1)*100)))</f>
        <v>110</v>
      </c>
      <c r="U77" s="67">
        <f t="array" ref="U77">XLOOKUP(D77,RUC!$B$3:$B$110,RUC!$F$3:$F$110)</f>
        <v>120</v>
      </c>
      <c r="V77" s="67">
        <v>1.1023</v>
      </c>
      <c r="Y77" s="199">
        <v>30.0</v>
      </c>
      <c r="Z77" s="140">
        <v>40.0</v>
      </c>
      <c r="AA77" s="70">
        <f t="shared" si="6"/>
        <v>70</v>
      </c>
      <c r="AB77" s="71">
        <f t="shared" si="28"/>
        <v>621.2602659</v>
      </c>
      <c r="AC77" s="71">
        <f>+(S77-T77)*V77-'data 1'!$F$4</f>
        <v>41.253</v>
      </c>
      <c r="AD77" s="71">
        <f t="shared" si="8"/>
        <v>2.454408164</v>
      </c>
      <c r="AE77" s="71">
        <f t="shared" si="42"/>
        <v>7.161</v>
      </c>
      <c r="AF77" s="71">
        <f t="shared" si="10"/>
        <v>76.92834301</v>
      </c>
      <c r="AG77" s="72">
        <f t="shared" si="43"/>
        <v>144.7967512</v>
      </c>
      <c r="AH77" s="193">
        <f t="shared" si="12"/>
        <v>16.117</v>
      </c>
      <c r="AI77" s="193">
        <f t="shared" si="13"/>
        <v>19.135</v>
      </c>
      <c r="AJ77" s="73">
        <f t="shared" si="14"/>
        <v>51.3650388</v>
      </c>
      <c r="AK77" s="73">
        <f t="shared" si="15"/>
        <v>14.69770975</v>
      </c>
      <c r="AM77" s="51">
        <f t="shared" si="16"/>
        <v>1561.848309</v>
      </c>
      <c r="AN77" s="51" t="str">
        <f t="array" ref="AN77">XLOOKUP(D77,RUC!$B$3:$B$565,RUC!$M$3:$M$565)</f>
        <v>Zudaire</v>
      </c>
      <c r="AO77" s="131" t="s">
        <v>558</v>
      </c>
      <c r="AP77" s="57" t="s">
        <v>2567</v>
      </c>
      <c r="AQ77" s="57" t="s">
        <v>1334</v>
      </c>
    </row>
    <row r="78" ht="15.0" customHeight="1">
      <c r="A78" s="116" t="s">
        <v>2576</v>
      </c>
      <c r="B78" s="182">
        <v>46024.0</v>
      </c>
      <c r="C78" s="182">
        <v>46015.0</v>
      </c>
      <c r="D78" s="57" t="s">
        <v>306</v>
      </c>
      <c r="E78" s="3">
        <f t="array" ref="E78">XLOOKUP(D78,RUC!$B$3:$B$110,RUC!$D$3:$D$110)</f>
        <v>20612921866</v>
      </c>
      <c r="G78" s="141">
        <v>50.0</v>
      </c>
      <c r="H78" s="3" t="s">
        <v>47</v>
      </c>
      <c r="I78" s="6">
        <v>5.35</v>
      </c>
      <c r="J78" s="58">
        <v>1.3</v>
      </c>
      <c r="K78" s="6">
        <f t="shared" si="2"/>
        <v>5.28</v>
      </c>
      <c r="L78" s="139">
        <v>0.414</v>
      </c>
      <c r="M78" s="60">
        <f t="shared" si="41"/>
        <v>0.389</v>
      </c>
      <c r="N78" s="62">
        <f t="shared" si="38"/>
        <v>0.389</v>
      </c>
      <c r="O78" s="60">
        <f t="shared" si="5"/>
        <v>0.389</v>
      </c>
      <c r="P78" s="63">
        <v>90.0</v>
      </c>
      <c r="Q78" s="58">
        <v>95.89</v>
      </c>
      <c r="R78" s="65">
        <v>4480.8</v>
      </c>
      <c r="S78" s="66">
        <f t="array" ref="S78">IF((XLOOKUP(D78,RUC!$B$3:$B$106,RUC!$E$3:$E$106)+ROUNDDOWN(O78,1)*100)&lt;95,95,((XLOOKUP(D78,RUC!$B$3:$B$106,RUC!$E$3:$E$106)+ROUNDDOWN(O78,1)*100)))</f>
        <v>110</v>
      </c>
      <c r="U78" s="67">
        <f t="array" ref="U78">XLOOKUP(D78,RUC!$B$3:$B$110,RUC!$F$3:$F$110)</f>
        <v>100</v>
      </c>
      <c r="V78" s="67">
        <v>1.1023</v>
      </c>
      <c r="Y78" s="57" t="str">
        <f t="array" ref="Y78">XLOOKUP(D78,RUC!$B$3:$B$110,RUC!$G$3:$G$110)</f>
        <v/>
      </c>
      <c r="Z78" s="69">
        <f t="array" ref="Z78">XLOOKUP(D78,RUC!$B$3:$B$110,RUC!$H$3:$H$110)</f>
        <v>30</v>
      </c>
      <c r="AA78" s="70">
        <f t="shared" si="6"/>
        <v>30</v>
      </c>
      <c r="AB78" s="71">
        <f t="shared" si="28"/>
        <v>1536.29544</v>
      </c>
      <c r="AC78" s="71">
        <f>+(S78-T78)*V78-'data 1'!$F$4</f>
        <v>41.253</v>
      </c>
      <c r="AD78" s="71">
        <f t="shared" si="8"/>
        <v>117.7521566</v>
      </c>
      <c r="AE78" s="71">
        <f t="shared" si="42"/>
        <v>-36.931</v>
      </c>
      <c r="AF78" s="71">
        <f t="shared" si="10"/>
        <v>115.7621439</v>
      </c>
      <c r="AG78" s="72">
        <f t="shared" ref="AG78:AG79" si="44">AC78+AD78+AE78+AF78+70-10</f>
        <v>297.8363005</v>
      </c>
      <c r="AH78" s="193">
        <f t="shared" si="12"/>
        <v>71.865</v>
      </c>
      <c r="AI78" s="193">
        <f t="shared" si="13"/>
        <v>74.945</v>
      </c>
      <c r="AJ78" s="73">
        <f t="shared" si="14"/>
        <v>100.2970318</v>
      </c>
      <c r="AK78" s="73">
        <f t="shared" si="15"/>
        <v>63.3774998</v>
      </c>
      <c r="AM78" s="51">
        <f t="shared" si="16"/>
        <v>8111.639921</v>
      </c>
      <c r="AN78" s="51" t="str">
        <f t="array" ref="AN78">XLOOKUP(D78,RUC!$B$3:$B$565,RUC!$M$3:$M$565)</f>
        <v>Ronald Garibay</v>
      </c>
      <c r="AO78" s="131" t="s">
        <v>547</v>
      </c>
      <c r="AP78" s="57" t="s">
        <v>778</v>
      </c>
      <c r="AQ78" s="57" t="s">
        <v>2577</v>
      </c>
    </row>
    <row r="79" ht="15.0" customHeight="1">
      <c r="A79" s="116" t="s">
        <v>2578</v>
      </c>
      <c r="B79" s="182">
        <v>46024.0</v>
      </c>
      <c r="C79" s="182">
        <v>46015.0</v>
      </c>
      <c r="D79" s="57" t="s">
        <v>306</v>
      </c>
      <c r="E79" s="3">
        <f t="array" ref="E79">XLOOKUP(D79,RUC!$B$3:$B$110,RUC!$D$3:$D$110)</f>
        <v>20612921866</v>
      </c>
      <c r="G79" s="141">
        <v>50.0</v>
      </c>
      <c r="H79" s="3" t="s">
        <v>47</v>
      </c>
      <c r="I79" s="6">
        <v>5.33</v>
      </c>
      <c r="J79" s="58">
        <v>1.35</v>
      </c>
      <c r="K79" s="6">
        <f t="shared" si="2"/>
        <v>5.258</v>
      </c>
      <c r="L79" s="139">
        <v>0.36</v>
      </c>
      <c r="M79" s="60">
        <f t="shared" si="41"/>
        <v>0.338</v>
      </c>
      <c r="N79" s="62">
        <f t="shared" si="38"/>
        <v>0.338</v>
      </c>
      <c r="O79" s="60">
        <f t="shared" si="5"/>
        <v>0.338</v>
      </c>
      <c r="P79" s="63">
        <v>90.0</v>
      </c>
      <c r="Q79" s="58">
        <v>93.89</v>
      </c>
      <c r="R79" s="65">
        <v>4480.8</v>
      </c>
      <c r="S79" s="66">
        <f t="array" ref="S79">IF((XLOOKUP(D79,RUC!$B$3:$B$106,RUC!$E$3:$E$106)+ROUNDDOWN(O79,1)*100)&lt;95,95,((XLOOKUP(D79,RUC!$B$3:$B$106,RUC!$E$3:$E$106)+ROUNDDOWN(O79,1)*100)))</f>
        <v>110</v>
      </c>
      <c r="U79" s="67">
        <f t="array" ref="U79">XLOOKUP(D79,RUC!$B$3:$B$110,RUC!$F$3:$F$110)</f>
        <v>100</v>
      </c>
      <c r="V79" s="67">
        <v>1.1023</v>
      </c>
      <c r="Y79" s="57" t="str">
        <f t="array" ref="Y79">XLOOKUP(D79,RUC!$B$3:$B$110,RUC!$G$3:$G$110)</f>
        <v/>
      </c>
      <c r="Z79" s="69">
        <f t="array" ref="Z79">XLOOKUP(D79,RUC!$B$3:$B$110,RUC!$H$3:$H$110)</f>
        <v>30</v>
      </c>
      <c r="AA79" s="70">
        <f t="shared" si="6"/>
        <v>30</v>
      </c>
      <c r="AB79" s="71">
        <f t="shared" si="28"/>
        <v>1314.646367</v>
      </c>
      <c r="AC79" s="71">
        <f>+(S79-T79)*V79-'data 1'!$F$4</f>
        <v>41.253</v>
      </c>
      <c r="AD79" s="71">
        <f t="shared" si="8"/>
        <v>67.62469758</v>
      </c>
      <c r="AE79" s="71">
        <f t="shared" si="42"/>
        <v>-36.931</v>
      </c>
      <c r="AF79" s="71">
        <f t="shared" si="10"/>
        <v>99.74594604</v>
      </c>
      <c r="AG79" s="72">
        <f t="shared" si="44"/>
        <v>231.6926436</v>
      </c>
      <c r="AH79" s="193">
        <f t="shared" si="12"/>
        <v>60.933</v>
      </c>
      <c r="AI79" s="193">
        <f t="shared" si="13"/>
        <v>64.898</v>
      </c>
      <c r="AJ79" s="73">
        <f t="shared" si="14"/>
        <v>85.39575067</v>
      </c>
      <c r="AK79" s="73">
        <f t="shared" si="15"/>
        <v>54.83891591</v>
      </c>
      <c r="AM79" s="51">
        <f t="shared" si="16"/>
        <v>6912.410595</v>
      </c>
      <c r="AN79" s="51" t="str">
        <f t="array" ref="AN79">XLOOKUP(D79,RUC!$B$3:$B$565,RUC!$M$3:$M$565)</f>
        <v>Ronald Garibay</v>
      </c>
      <c r="AO79" s="131" t="s">
        <v>547</v>
      </c>
      <c r="AP79" s="57" t="s">
        <v>778</v>
      </c>
      <c r="AQ79" s="57" t="s">
        <v>2577</v>
      </c>
    </row>
    <row r="80" ht="15.0" customHeight="1">
      <c r="A80" s="116" t="s">
        <v>2579</v>
      </c>
      <c r="B80" s="182">
        <v>46024.0</v>
      </c>
      <c r="C80" s="182">
        <v>46015.0</v>
      </c>
      <c r="D80" s="57" t="s">
        <v>665</v>
      </c>
      <c r="E80" s="3">
        <f t="array" ref="E80">XLOOKUP(D80,RUC!$B$3:$B$110,RUC!$D$3:$D$110)</f>
        <v>20608774000</v>
      </c>
      <c r="G80" s="141">
        <v>30.0</v>
      </c>
      <c r="H80" s="3" t="s">
        <v>47</v>
      </c>
      <c r="I80" s="6">
        <v>2.84</v>
      </c>
      <c r="J80" s="58">
        <v>1.5</v>
      </c>
      <c r="K80" s="6">
        <f t="shared" si="2"/>
        <v>2.797</v>
      </c>
      <c r="L80" s="139">
        <v>0.25</v>
      </c>
      <c r="M80" s="60">
        <f t="shared" si="41"/>
        <v>0.231</v>
      </c>
      <c r="N80" s="62">
        <f t="shared" si="38"/>
        <v>0.231</v>
      </c>
      <c r="O80" s="60">
        <f t="shared" si="5"/>
        <v>0.231</v>
      </c>
      <c r="P80" s="63">
        <v>90.0</v>
      </c>
      <c r="Q80" s="58">
        <v>94.4</v>
      </c>
      <c r="R80" s="65">
        <v>4480.8</v>
      </c>
      <c r="S80" s="66">
        <f t="array" ref="S80">IF((XLOOKUP(D80,RUC!$B$3:$B$106,RUC!$E$3:$E$106)+ROUNDDOWN(O80,1)*100)&lt;95,95,((XLOOKUP(D80,RUC!$B$3:$B$106,RUC!$E$3:$E$106)+ROUNDDOWN(O80,1)*100)))</f>
        <v>105</v>
      </c>
      <c r="U80" s="67">
        <f t="array" ref="U80">XLOOKUP(D80,RUC!$B$3:$B$110,RUC!$F$3:$F$110)</f>
        <v>120</v>
      </c>
      <c r="V80" s="67">
        <v>1.1023</v>
      </c>
      <c r="Y80" s="199">
        <v>25.0</v>
      </c>
      <c r="Z80" s="140">
        <v>35.0</v>
      </c>
      <c r="AA80" s="70">
        <f t="shared" si="6"/>
        <v>60</v>
      </c>
      <c r="AB80" s="71">
        <f t="shared" si="28"/>
        <v>817.4770557</v>
      </c>
      <c r="AC80" s="71">
        <f>+(S80-T80)*V80-'data 1'!$F$4</f>
        <v>35.7415</v>
      </c>
      <c r="AD80" s="71">
        <f t="shared" si="8"/>
        <v>52.87600824</v>
      </c>
      <c r="AE80" s="71">
        <f t="shared" si="42"/>
        <v>-3.862</v>
      </c>
      <c r="AF80" s="71">
        <f t="shared" si="10"/>
        <v>86.21673489</v>
      </c>
      <c r="AG80" s="72">
        <f t="shared" ref="AG80:AG91" si="45">AC80+AD80+AE80+AF80+70-53</f>
        <v>187.9722431</v>
      </c>
      <c r="AH80" s="193">
        <f t="shared" si="12"/>
        <v>22.632</v>
      </c>
      <c r="AI80" s="193">
        <f t="shared" si="13"/>
        <v>23.974</v>
      </c>
      <c r="AJ80" s="73">
        <f t="shared" si="14"/>
        <v>64.82758576</v>
      </c>
      <c r="AK80" s="73">
        <f t="shared" si="15"/>
        <v>19.9368263</v>
      </c>
      <c r="AM80" s="51">
        <f t="shared" si="16"/>
        <v>2286.483325</v>
      </c>
      <c r="AN80" s="51" t="str">
        <f t="array" ref="AN80">XLOOKUP(D80,RUC!$B$3:$B$565,RUC!$M$3:$M$565)</f>
        <v>Ronald Miranda</v>
      </c>
      <c r="AO80" s="131" t="s">
        <v>551</v>
      </c>
      <c r="AP80" s="57" t="s">
        <v>2580</v>
      </c>
      <c r="AQ80" s="57" t="s">
        <v>2144</v>
      </c>
    </row>
    <row r="81" ht="15.0" customHeight="1">
      <c r="A81" s="116" t="s">
        <v>2581</v>
      </c>
      <c r="B81" s="182">
        <v>46024.0</v>
      </c>
      <c r="C81" s="182">
        <v>46015.0</v>
      </c>
      <c r="D81" s="57" t="s">
        <v>665</v>
      </c>
      <c r="E81" s="3">
        <f t="array" ref="E81">XLOOKUP(D81,RUC!$B$3:$B$110,RUC!$D$3:$D$110)</f>
        <v>20608774000</v>
      </c>
      <c r="G81" s="141">
        <v>60.0</v>
      </c>
      <c r="H81" s="3" t="s">
        <v>47</v>
      </c>
      <c r="I81" s="6">
        <v>4.81</v>
      </c>
      <c r="J81" s="58">
        <v>1.2</v>
      </c>
      <c r="K81" s="6">
        <f t="shared" si="2"/>
        <v>4.752</v>
      </c>
      <c r="L81" s="139">
        <v>0.538</v>
      </c>
      <c r="M81" s="60">
        <f t="shared" si="41"/>
        <v>0.506</v>
      </c>
      <c r="N81" s="114">
        <f t="shared" si="38"/>
        <v>0.506</v>
      </c>
      <c r="O81" s="60">
        <f t="shared" si="5"/>
        <v>0.506</v>
      </c>
      <c r="P81" s="63">
        <v>78.0</v>
      </c>
      <c r="Q81" s="130">
        <v>78.25</v>
      </c>
      <c r="R81" s="65">
        <v>4480.8</v>
      </c>
      <c r="S81" s="66">
        <f t="array" ref="S81">IF((XLOOKUP(D81,RUC!$B$3:$B$106,RUC!$E$3:$E$106)+ROUNDDOWN(O81,1)*100)&lt;95,95,((XLOOKUP(D81,RUC!$B$3:$B$106,RUC!$E$3:$E$106)+ROUNDDOWN(O81,1)*100)))</f>
        <v>135</v>
      </c>
      <c r="U81" s="67">
        <f t="array" ref="U81">XLOOKUP(D81,RUC!$B$3:$B$110,RUC!$F$3:$F$110)</f>
        <v>120</v>
      </c>
      <c r="V81" s="67">
        <v>1.1023</v>
      </c>
      <c r="Y81" s="199">
        <v>25.0</v>
      </c>
      <c r="Z81" s="140">
        <v>35.0</v>
      </c>
      <c r="AA81" s="70">
        <f t="shared" si="6"/>
        <v>60</v>
      </c>
      <c r="AB81" s="71">
        <f t="shared" si="28"/>
        <v>1682.242676</v>
      </c>
      <c r="AC81" s="71">
        <f>+(S81-T81)*V81-'data 1'!$F$4</f>
        <v>68.8105</v>
      </c>
      <c r="AD81" s="71">
        <f t="shared" si="8"/>
        <v>6.465293735</v>
      </c>
      <c r="AE81" s="71">
        <f t="shared" si="42"/>
        <v>-3.862</v>
      </c>
      <c r="AF81" s="71">
        <f t="shared" si="10"/>
        <v>120.3650224</v>
      </c>
      <c r="AG81" s="72">
        <f t="shared" si="45"/>
        <v>208.7788161</v>
      </c>
      <c r="AH81" s="193">
        <f t="shared" si="12"/>
        <v>68.589</v>
      </c>
      <c r="AI81" s="193">
        <f t="shared" si="13"/>
        <v>87.653</v>
      </c>
      <c r="AJ81" s="73">
        <f t="shared" si="14"/>
        <v>115.6417</v>
      </c>
      <c r="AK81" s="73">
        <f t="shared" si="15"/>
        <v>64.30290905</v>
      </c>
      <c r="AM81" s="51">
        <f t="shared" si="16"/>
        <v>7994.017195</v>
      </c>
      <c r="AN81" s="51" t="str">
        <f t="array" ref="AN81">XLOOKUP(D81,RUC!$B$3:$B$565,RUC!$M$3:$M$565)</f>
        <v>Ronald Miranda</v>
      </c>
      <c r="AO81" s="131" t="s">
        <v>547</v>
      </c>
      <c r="AP81" s="57" t="s">
        <v>2580</v>
      </c>
      <c r="AQ81" s="57" t="s">
        <v>2144</v>
      </c>
    </row>
    <row r="82" ht="15.0" customHeight="1">
      <c r="A82" s="116" t="s">
        <v>2582</v>
      </c>
      <c r="B82" s="182">
        <v>46024.0</v>
      </c>
      <c r="C82" s="182">
        <v>46016.0</v>
      </c>
      <c r="D82" s="57" t="s">
        <v>2583</v>
      </c>
      <c r="E82" s="3">
        <f t="array" ref="E82">XLOOKUP(D82,RUC!$B$3:$B$110,RUC!$D$3:$D$110)</f>
        <v>10239291240</v>
      </c>
      <c r="G82" s="141" t="s">
        <v>735</v>
      </c>
      <c r="H82" s="3" t="s">
        <v>47</v>
      </c>
      <c r="I82" s="6">
        <v>30.14</v>
      </c>
      <c r="J82" s="58">
        <v>4.1</v>
      </c>
      <c r="K82" s="6">
        <f t="shared" si="2"/>
        <v>28.904</v>
      </c>
      <c r="L82" s="139">
        <v>0.197</v>
      </c>
      <c r="M82" s="60">
        <f t="shared" si="41"/>
        <v>0.178</v>
      </c>
      <c r="N82" s="75">
        <v>0.219</v>
      </c>
      <c r="O82" s="60">
        <f t="shared" si="5"/>
        <v>0.199</v>
      </c>
      <c r="P82" s="63">
        <v>90.0</v>
      </c>
      <c r="Q82" s="58">
        <v>90.86</v>
      </c>
      <c r="R82" s="65">
        <v>4480.8</v>
      </c>
      <c r="S82" s="66">
        <f t="array" ref="S82">IF((XLOOKUP(D82,RUC!$B$3:$B$106,RUC!$E$3:$E$106)+ROUNDDOWN(O82,1)*100)&lt;95,95,((XLOOKUP(D82,RUC!$B$3:$B$106,RUC!$E$3:$E$106)+ROUNDDOWN(O82,1)*100)))</f>
        <v>95</v>
      </c>
      <c r="U82" s="67">
        <f t="array" ref="U82">XLOOKUP(D82,RUC!$B$3:$B$110,RUC!$F$3:$F$110)</f>
        <v>100</v>
      </c>
      <c r="V82" s="67">
        <v>1.1023</v>
      </c>
      <c r="Y82" s="57" t="str">
        <f t="array" ref="Y82">XLOOKUP(D82,RUC!$B$3:$B$110,RUC!$G$3:$G$110)</f>
        <v/>
      </c>
      <c r="Z82" s="69">
        <f t="array" ref="Z82">XLOOKUP(D82,RUC!$B$3:$B$110,RUC!$H$3:$H$110)</f>
        <v>30</v>
      </c>
      <c r="AA82" s="70">
        <f t="shared" si="6"/>
        <v>30</v>
      </c>
      <c r="AB82" s="71">
        <f t="shared" si="28"/>
        <v>727.0784909</v>
      </c>
      <c r="AC82" s="71">
        <f>+(S82-T82)*V82-'data 1'!$F$4</f>
        <v>24.7185</v>
      </c>
      <c r="AD82" s="71">
        <f t="shared" si="8"/>
        <v>8.181216984</v>
      </c>
      <c r="AE82" s="71">
        <f t="shared" si="42"/>
        <v>-36.931</v>
      </c>
      <c r="AF82" s="71">
        <f t="shared" si="10"/>
        <v>-8.775178552</v>
      </c>
      <c r="AG82" s="72">
        <f t="shared" si="45"/>
        <v>4.193538432</v>
      </c>
      <c r="AH82" s="193">
        <f t="shared" si="12"/>
        <v>177.381</v>
      </c>
      <c r="AI82" s="193">
        <f t="shared" si="13"/>
        <v>195.224</v>
      </c>
      <c r="AJ82" s="73">
        <f t="shared" si="14"/>
        <v>45.22237629</v>
      </c>
      <c r="AK82" s="73">
        <f t="shared" si="15"/>
        <v>177.4853877</v>
      </c>
      <c r="AM82" s="51">
        <f t="shared" si="16"/>
        <v>21015.4767</v>
      </c>
      <c r="AN82" s="51" t="str">
        <f t="array" ref="AN82">XLOOKUP(D82,RUC!$B$3:$B$565,RUC!$M$3:$M$565)</f>
        <v>Alfred Torres  *</v>
      </c>
      <c r="AO82" s="131" t="s">
        <v>551</v>
      </c>
      <c r="AP82" s="57" t="s">
        <v>1902</v>
      </c>
      <c r="AQ82" s="57" t="s">
        <v>2584</v>
      </c>
    </row>
    <row r="83" ht="15.0" customHeight="1">
      <c r="A83" s="116" t="s">
        <v>2585</v>
      </c>
      <c r="B83" s="182">
        <v>46024.0</v>
      </c>
      <c r="C83" s="182">
        <v>46016.0</v>
      </c>
      <c r="D83" s="57" t="s">
        <v>295</v>
      </c>
      <c r="E83" s="3">
        <f t="array" ref="E83">XLOOKUP(D83,RUC!$B$3:$B$110,RUC!$D$3:$D$110)</f>
        <v>20601769396</v>
      </c>
      <c r="G83" s="141">
        <v>57.0</v>
      </c>
      <c r="H83" s="3" t="s">
        <v>40</v>
      </c>
      <c r="I83" s="6">
        <v>1.89</v>
      </c>
      <c r="J83" s="58">
        <v>16.75</v>
      </c>
      <c r="K83" s="6">
        <f t="shared" si="2"/>
        <v>1.573</v>
      </c>
      <c r="L83" s="139">
        <v>0.12</v>
      </c>
      <c r="M83" s="60">
        <f t="shared" si="41"/>
        <v>0.101</v>
      </c>
      <c r="N83" s="75">
        <v>0.155</v>
      </c>
      <c r="O83" s="60">
        <f t="shared" si="5"/>
        <v>0.128</v>
      </c>
      <c r="P83" s="63">
        <v>80.0</v>
      </c>
      <c r="Q83" s="58">
        <v>85.0</v>
      </c>
      <c r="R83" s="65">
        <v>4480.8</v>
      </c>
      <c r="S83" s="66">
        <f t="array" ref="S83">IF((XLOOKUP(D83,RUC!$B$3:$B$106,RUC!$E$3:$E$106)+ROUNDDOWN(O83,1)*100)&lt;95,95,((XLOOKUP(D83,RUC!$B$3:$B$106,RUC!$E$3:$E$106)+ROUNDDOWN(O83,1)*100)))</f>
        <v>100</v>
      </c>
      <c r="U83" s="67">
        <f t="array" ref="U83">XLOOKUP(D83,RUC!$B$3:$B$110,RUC!$F$3:$F$110)</f>
        <v>120</v>
      </c>
      <c r="V83" s="67">
        <v>1.1023</v>
      </c>
      <c r="Y83" s="199">
        <v>40.0</v>
      </c>
      <c r="Z83" s="140">
        <v>40.0</v>
      </c>
      <c r="AA83" s="70">
        <f t="shared" si="6"/>
        <v>80</v>
      </c>
      <c r="AB83" s="71">
        <f t="shared" si="28"/>
        <v>293.8135676</v>
      </c>
      <c r="AC83" s="71">
        <f>+(S83-T83)*V83-'data 1'!$F$4</f>
        <v>30.23</v>
      </c>
      <c r="AD83" s="71">
        <f t="shared" si="8"/>
        <v>28.84145904</v>
      </c>
      <c r="AE83" s="71">
        <f t="shared" si="42"/>
        <v>18.184</v>
      </c>
      <c r="AF83" s="71">
        <f t="shared" si="10"/>
        <v>-32.68698691</v>
      </c>
      <c r="AG83" s="72">
        <f t="shared" si="45"/>
        <v>61.56847213</v>
      </c>
      <c r="AH83" s="193">
        <f t="shared" si="12"/>
        <v>5.501</v>
      </c>
      <c r="AI83" s="193">
        <f t="shared" si="13"/>
        <v>6.472</v>
      </c>
      <c r="AJ83" s="73">
        <f t="shared" si="14"/>
        <v>28.01870232</v>
      </c>
      <c r="AK83" s="73">
        <f t="shared" si="15"/>
        <v>5.522525737</v>
      </c>
      <c r="AM83" s="51">
        <f t="shared" si="16"/>
        <v>462.1687419</v>
      </c>
      <c r="AN83" s="51" t="str">
        <f t="array" ref="AN83">XLOOKUP(D83,RUC!$B$3:$B$565,RUC!$M$3:$M$565)</f>
        <v>Evelyn</v>
      </c>
      <c r="AO83" s="131" t="s">
        <v>551</v>
      </c>
      <c r="AP83" s="57" t="s">
        <v>1824</v>
      </c>
      <c r="AQ83" s="57" t="s">
        <v>2586</v>
      </c>
    </row>
    <row r="84" ht="15.0" customHeight="1">
      <c r="A84" s="116" t="s">
        <v>2587</v>
      </c>
      <c r="B84" s="182">
        <v>46024.0</v>
      </c>
      <c r="C84" s="182">
        <v>46016.0</v>
      </c>
      <c r="D84" s="57" t="s">
        <v>295</v>
      </c>
      <c r="E84" s="3">
        <f t="array" ref="E84">XLOOKUP(D84,RUC!$B$3:$B$110,RUC!$D$3:$D$110)</f>
        <v>20601769396</v>
      </c>
      <c r="G84" s="141">
        <v>89.0</v>
      </c>
      <c r="H84" s="3" t="s">
        <v>40</v>
      </c>
      <c r="I84" s="6">
        <v>3.2</v>
      </c>
      <c r="J84" s="58">
        <v>15.77</v>
      </c>
      <c r="K84" s="6">
        <f t="shared" si="2"/>
        <v>2.695</v>
      </c>
      <c r="L84" s="139">
        <v>0.149</v>
      </c>
      <c r="M84" s="60">
        <f t="shared" si="41"/>
        <v>0.13</v>
      </c>
      <c r="N84" s="62">
        <f t="shared" ref="N84:N86" si="46">+M84</f>
        <v>0.13</v>
      </c>
      <c r="O84" s="60">
        <f t="shared" si="5"/>
        <v>0.13</v>
      </c>
      <c r="P84" s="63">
        <v>85.0</v>
      </c>
      <c r="Q84" s="58">
        <v>85.23</v>
      </c>
      <c r="R84" s="65">
        <v>4480.8</v>
      </c>
      <c r="S84" s="66">
        <f t="array" ref="S84">IF((XLOOKUP(D84,RUC!$B$3:$B$106,RUC!$E$3:$E$106)+ROUNDDOWN(O84,1)*100)&lt;95,95,((XLOOKUP(D84,RUC!$B$3:$B$106,RUC!$E$3:$E$106)+ROUNDDOWN(O84,1)*100)))</f>
        <v>100</v>
      </c>
      <c r="U84" s="67">
        <f t="array" ref="U84">XLOOKUP(D84,RUC!$B$3:$B$110,RUC!$F$3:$F$110)</f>
        <v>120</v>
      </c>
      <c r="V84" s="67">
        <v>1.1023</v>
      </c>
      <c r="Y84" s="199">
        <v>30.0</v>
      </c>
      <c r="Z84" s="140">
        <v>40.0</v>
      </c>
      <c r="AA84" s="70">
        <f t="shared" si="6"/>
        <v>70</v>
      </c>
      <c r="AB84" s="71">
        <f t="shared" si="28"/>
        <v>343.7725373</v>
      </c>
      <c r="AC84" s="71">
        <f>+(S84-T84)*V84-'data 1'!$F$4</f>
        <v>30.23</v>
      </c>
      <c r="AD84" s="71">
        <f t="shared" si="8"/>
        <v>1.647328002</v>
      </c>
      <c r="AE84" s="71">
        <f t="shared" si="42"/>
        <v>7.161</v>
      </c>
      <c r="AF84" s="71">
        <f t="shared" si="10"/>
        <v>77.84165588</v>
      </c>
      <c r="AG84" s="72">
        <f t="shared" si="45"/>
        <v>133.8799839</v>
      </c>
      <c r="AH84" s="193">
        <f t="shared" si="12"/>
        <v>11.734</v>
      </c>
      <c r="AI84" s="193">
        <f t="shared" si="13"/>
        <v>13.767</v>
      </c>
      <c r="AJ84" s="73">
        <f t="shared" si="14"/>
        <v>34.88402606</v>
      </c>
      <c r="AK84" s="73">
        <f t="shared" si="15"/>
        <v>10.21010285</v>
      </c>
      <c r="AM84" s="51">
        <f t="shared" si="16"/>
        <v>926.4669881</v>
      </c>
      <c r="AN84" s="51" t="str">
        <f t="array" ref="AN84">XLOOKUP(D84,RUC!$B$3:$B$565,RUC!$M$3:$M$565)</f>
        <v>Evelyn</v>
      </c>
      <c r="AO84" s="131" t="s">
        <v>551</v>
      </c>
      <c r="AP84" s="57" t="s">
        <v>1824</v>
      </c>
      <c r="AQ84" s="57" t="s">
        <v>2586</v>
      </c>
    </row>
    <row r="85" ht="15.0" customHeight="1">
      <c r="A85" s="116" t="s">
        <v>2588</v>
      </c>
      <c r="B85" s="182">
        <v>46024.0</v>
      </c>
      <c r="C85" s="182">
        <v>46016.0</v>
      </c>
      <c r="D85" s="57" t="s">
        <v>295</v>
      </c>
      <c r="E85" s="3">
        <f t="array" ref="E85">XLOOKUP(D85,RUC!$B$3:$B$110,RUC!$D$3:$D$110)</f>
        <v>20601769396</v>
      </c>
      <c r="G85" s="141">
        <v>74.0</v>
      </c>
      <c r="H85" s="3" t="s">
        <v>40</v>
      </c>
      <c r="I85" s="6">
        <v>2.53</v>
      </c>
      <c r="J85" s="58">
        <v>17.9</v>
      </c>
      <c r="K85" s="6">
        <f t="shared" si="2"/>
        <v>2.077</v>
      </c>
      <c r="L85" s="139">
        <v>0.155</v>
      </c>
      <c r="M85" s="60">
        <f t="shared" si="41"/>
        <v>0.136</v>
      </c>
      <c r="N85" s="62">
        <f t="shared" si="46"/>
        <v>0.136</v>
      </c>
      <c r="O85" s="60">
        <f t="shared" si="5"/>
        <v>0.136</v>
      </c>
      <c r="P85" s="63">
        <v>85.0</v>
      </c>
      <c r="Q85" s="58">
        <v>87.74</v>
      </c>
      <c r="R85" s="65">
        <v>4480.8</v>
      </c>
      <c r="S85" s="66">
        <f t="array" ref="S85">IF((XLOOKUP(D85,RUC!$B$3:$B$106,RUC!$E$3:$E$106)+ROUNDDOWN(O85,1)*100)&lt;95,95,((XLOOKUP(D85,RUC!$B$3:$B$106,RUC!$E$3:$E$106)+ROUNDDOWN(O85,1)*100)))</f>
        <v>100</v>
      </c>
      <c r="U85" s="67">
        <f t="array" ref="U85">XLOOKUP(D85,RUC!$B$3:$B$110,RUC!$F$3:$F$110)</f>
        <v>120</v>
      </c>
      <c r="V85" s="67">
        <v>1.1023</v>
      </c>
      <c r="Y85" s="199">
        <v>30.0</v>
      </c>
      <c r="Z85" s="140">
        <v>40.0</v>
      </c>
      <c r="AA85" s="70">
        <f t="shared" si="6"/>
        <v>70</v>
      </c>
      <c r="AB85" s="71">
        <f t="shared" si="28"/>
        <v>368.2877775</v>
      </c>
      <c r="AC85" s="71">
        <f>+(S85-T85)*V85-'data 1'!$F$4</f>
        <v>30.23</v>
      </c>
      <c r="AD85" s="71">
        <f t="shared" si="8"/>
        <v>20.41494609</v>
      </c>
      <c r="AE85" s="71">
        <f t="shared" si="42"/>
        <v>7.161</v>
      </c>
      <c r="AF85" s="71">
        <f t="shared" si="10"/>
        <v>80.13407118</v>
      </c>
      <c r="AG85" s="72">
        <f t="shared" si="45"/>
        <v>154.9400173</v>
      </c>
      <c r="AH85" s="193">
        <f t="shared" si="12"/>
        <v>9.684</v>
      </c>
      <c r="AI85" s="193">
        <f t="shared" si="13"/>
        <v>11.038</v>
      </c>
      <c r="AJ85" s="73">
        <f t="shared" si="14"/>
        <v>37.35744568</v>
      </c>
      <c r="AK85" s="73">
        <f t="shared" si="15"/>
        <v>8.231962813</v>
      </c>
      <c r="AM85" s="51">
        <f t="shared" si="16"/>
        <v>764.9337139</v>
      </c>
      <c r="AN85" s="51" t="str">
        <f t="array" ref="AN85">XLOOKUP(D85,RUC!$B$3:$B$565,RUC!$M$3:$M$565)</f>
        <v>Evelyn</v>
      </c>
      <c r="AO85" s="131" t="s">
        <v>551</v>
      </c>
      <c r="AP85" s="57" t="s">
        <v>1824</v>
      </c>
      <c r="AQ85" s="57" t="s">
        <v>2586</v>
      </c>
    </row>
    <row r="86" ht="15.0" customHeight="1">
      <c r="A86" s="116" t="s">
        <v>2589</v>
      </c>
      <c r="B86" s="182">
        <v>46024.0</v>
      </c>
      <c r="C86" s="182">
        <v>46016.0</v>
      </c>
      <c r="D86" s="57" t="s">
        <v>295</v>
      </c>
      <c r="E86" s="3">
        <f t="array" ref="E86">XLOOKUP(D86,RUC!$B$3:$B$110,RUC!$D$3:$D$110)</f>
        <v>20601769396</v>
      </c>
      <c r="G86" s="141">
        <v>57.0</v>
      </c>
      <c r="H86" s="3" t="s">
        <v>40</v>
      </c>
      <c r="I86" s="6">
        <v>1.9</v>
      </c>
      <c r="J86" s="58">
        <v>16.9</v>
      </c>
      <c r="K86" s="6">
        <f t="shared" si="2"/>
        <v>1.579</v>
      </c>
      <c r="L86" s="139">
        <v>0.226</v>
      </c>
      <c r="M86" s="60">
        <f t="shared" si="41"/>
        <v>0.207</v>
      </c>
      <c r="N86" s="62">
        <f t="shared" si="46"/>
        <v>0.207</v>
      </c>
      <c r="O86" s="60">
        <f t="shared" si="5"/>
        <v>0.207</v>
      </c>
      <c r="P86" s="63">
        <v>90.0</v>
      </c>
      <c r="Q86" s="58">
        <v>90.27</v>
      </c>
      <c r="R86" s="65">
        <v>4480.8</v>
      </c>
      <c r="S86" s="66">
        <f t="array" ref="S86">IF((XLOOKUP(D86,RUC!$B$3:$B$106,RUC!$E$3:$E$106)+ROUNDDOWN(O86,1)*100)&lt;95,95,((XLOOKUP(D86,RUC!$B$3:$B$106,RUC!$E$3:$E$106)+ROUNDDOWN(O86,1)*100)))</f>
        <v>110</v>
      </c>
      <c r="U86" s="67">
        <f t="array" ref="U86">XLOOKUP(D86,RUC!$B$3:$B$110,RUC!$F$3:$F$110)</f>
        <v>120</v>
      </c>
      <c r="V86" s="67">
        <v>1.1023</v>
      </c>
      <c r="Y86" s="199">
        <v>30.0</v>
      </c>
      <c r="Z86" s="140">
        <v>40.0</v>
      </c>
      <c r="AA86" s="70">
        <f t="shared" si="6"/>
        <v>70</v>
      </c>
      <c r="AB86" s="71">
        <f t="shared" si="28"/>
        <v>697.1133032</v>
      </c>
      <c r="AC86" s="71">
        <f>+(S86-T86)*V86-'data 1'!$F$4</f>
        <v>41.253</v>
      </c>
      <c r="AD86" s="71">
        <f t="shared" si="8"/>
        <v>2.933176384</v>
      </c>
      <c r="AE86" s="71">
        <f t="shared" si="42"/>
        <v>7.161</v>
      </c>
      <c r="AF86" s="71">
        <f t="shared" si="10"/>
        <v>82.44475274</v>
      </c>
      <c r="AG86" s="72">
        <f t="shared" si="45"/>
        <v>150.7919291</v>
      </c>
      <c r="AH86" s="193">
        <f t="shared" si="12"/>
        <v>11.044</v>
      </c>
      <c r="AI86" s="193">
        <f t="shared" si="13"/>
        <v>12.235</v>
      </c>
      <c r="AJ86" s="73">
        <f t="shared" si="14"/>
        <v>56.04020651</v>
      </c>
      <c r="AK86" s="73">
        <f t="shared" si="15"/>
        <v>10.08565375</v>
      </c>
      <c r="AM86" s="51">
        <f t="shared" si="16"/>
        <v>1100.741906</v>
      </c>
      <c r="AN86" s="51" t="str">
        <f t="array" ref="AN86">XLOOKUP(D86,RUC!$B$3:$B$565,RUC!$M$3:$M$565)</f>
        <v>Evelyn</v>
      </c>
      <c r="AO86" s="131" t="s">
        <v>551</v>
      </c>
      <c r="AP86" s="57" t="s">
        <v>1824</v>
      </c>
      <c r="AQ86" s="57" t="s">
        <v>2586</v>
      </c>
    </row>
    <row r="87" ht="15.0" customHeight="1">
      <c r="A87" s="116" t="s">
        <v>2590</v>
      </c>
      <c r="B87" s="182">
        <v>46024.0</v>
      </c>
      <c r="C87" s="182">
        <v>46016.0</v>
      </c>
      <c r="D87" s="57" t="s">
        <v>295</v>
      </c>
      <c r="E87" s="3">
        <f t="array" ref="E87">XLOOKUP(D87,RUC!$B$3:$B$110,RUC!$D$3:$D$110)</f>
        <v>20601769396</v>
      </c>
      <c r="G87" s="141">
        <v>84.0</v>
      </c>
      <c r="H87" s="3" t="s">
        <v>40</v>
      </c>
      <c r="I87" s="6">
        <v>2.75</v>
      </c>
      <c r="J87" s="58">
        <v>15.08</v>
      </c>
      <c r="K87" s="6">
        <f t="shared" si="2"/>
        <v>2.335</v>
      </c>
      <c r="L87" s="139">
        <v>1.132</v>
      </c>
      <c r="M87" s="60">
        <f t="shared" si="41"/>
        <v>1.064</v>
      </c>
      <c r="N87" s="75">
        <v>1.127</v>
      </c>
      <c r="O87" s="60">
        <f t="shared" si="5"/>
        <v>1.096</v>
      </c>
      <c r="P87" s="63">
        <v>90.0</v>
      </c>
      <c r="Q87" s="58">
        <v>93.02</v>
      </c>
      <c r="R87" s="65">
        <v>4480.8</v>
      </c>
      <c r="S87" s="66">
        <f t="array" ref="S87">IF((XLOOKUP(D87,RUC!$B$3:$B$106,RUC!$E$3:$E$106)+ROUNDDOWN(O87,1)*100)&lt;95,95,((XLOOKUP(D87,RUC!$B$3:$B$106,RUC!$E$3:$E$106)+ROUNDDOWN(O87,1)*100)))</f>
        <v>190</v>
      </c>
      <c r="U87" s="67">
        <f t="array" ref="U87">XLOOKUP(D87,RUC!$B$3:$B$110,RUC!$F$3:$F$110)</f>
        <v>120</v>
      </c>
      <c r="V87" s="67">
        <v>1.1023</v>
      </c>
      <c r="Y87" s="199">
        <v>40.0</v>
      </c>
      <c r="Z87" s="140">
        <v>40.0</v>
      </c>
      <c r="AA87" s="70">
        <f t="shared" si="6"/>
        <v>80</v>
      </c>
      <c r="AB87" s="71">
        <f t="shared" si="28"/>
        <v>4443.914866</v>
      </c>
      <c r="AC87" s="71">
        <f>+(S87-T87)*V87-'data 1'!$F$4</f>
        <v>129.437</v>
      </c>
      <c r="AD87" s="71">
        <f t="shared" si="8"/>
        <v>164.3309426</v>
      </c>
      <c r="AE87" s="71">
        <f t="shared" si="42"/>
        <v>18.184</v>
      </c>
      <c r="AF87" s="71">
        <f t="shared" si="10"/>
        <v>160.9699512</v>
      </c>
      <c r="AG87" s="72">
        <f t="shared" si="45"/>
        <v>489.9218937</v>
      </c>
      <c r="AH87" s="193">
        <f t="shared" si="12"/>
        <v>84.298</v>
      </c>
      <c r="AI87" s="193">
        <f t="shared" si="13"/>
        <v>90.624</v>
      </c>
      <c r="AJ87" s="73">
        <f t="shared" si="14"/>
        <v>289.2481617</v>
      </c>
      <c r="AK87" s="73">
        <f t="shared" si="15"/>
        <v>78.96761431</v>
      </c>
      <c r="AM87" s="51">
        <f t="shared" si="16"/>
        <v>10376.54121</v>
      </c>
      <c r="AN87" s="51" t="str">
        <f t="array" ref="AN87">XLOOKUP(D87,RUC!$B$3:$B$565,RUC!$M$3:$M$565)</f>
        <v>Evelyn</v>
      </c>
      <c r="AO87" s="131" t="s">
        <v>547</v>
      </c>
      <c r="AP87" s="57" t="s">
        <v>1824</v>
      </c>
      <c r="AQ87" s="57" t="s">
        <v>2586</v>
      </c>
    </row>
    <row r="88" ht="15.0" customHeight="1">
      <c r="A88" s="116" t="s">
        <v>2591</v>
      </c>
      <c r="B88" s="182">
        <v>46024.0</v>
      </c>
      <c r="C88" s="182">
        <v>46016.0</v>
      </c>
      <c r="D88" s="57" t="s">
        <v>295</v>
      </c>
      <c r="E88" s="3">
        <f t="array" ref="E88">XLOOKUP(D88,RUC!$B$3:$B$110,RUC!$D$3:$D$110)</f>
        <v>20601769396</v>
      </c>
      <c r="G88" s="141">
        <v>20.0</v>
      </c>
      <c r="H88" s="3" t="s">
        <v>40</v>
      </c>
      <c r="I88" s="6">
        <v>0.69</v>
      </c>
      <c r="J88" s="58">
        <v>13.83</v>
      </c>
      <c r="K88" s="6">
        <f t="shared" si="2"/>
        <v>0.595</v>
      </c>
      <c r="L88" s="139">
        <v>0.136</v>
      </c>
      <c r="M88" s="60">
        <f t="shared" si="41"/>
        <v>0.117</v>
      </c>
      <c r="N88" s="62">
        <f t="shared" ref="N88:N104" si="47">+M88</f>
        <v>0.117</v>
      </c>
      <c r="O88" s="60">
        <f t="shared" si="5"/>
        <v>0.117</v>
      </c>
      <c r="P88" s="63">
        <v>80.0</v>
      </c>
      <c r="Q88" s="58">
        <v>88.97</v>
      </c>
      <c r="R88" s="65">
        <v>4480.8</v>
      </c>
      <c r="S88" s="66">
        <f t="array" ref="S88">IF((XLOOKUP(D88,RUC!$B$3:$B$106,RUC!$E$3:$E$106)+ROUNDDOWN(O88,1)*100)&lt;95,95,((XLOOKUP(D88,RUC!$B$3:$B$106,RUC!$E$3:$E$106)+ROUNDDOWN(O88,1)*100)))</f>
        <v>100</v>
      </c>
      <c r="U88" s="67">
        <f t="array" ref="U88">XLOOKUP(D88,RUC!$B$3:$B$110,RUC!$F$3:$F$110)</f>
        <v>120</v>
      </c>
      <c r="V88" s="67">
        <v>1.1023</v>
      </c>
      <c r="Y88" s="199">
        <v>30.0</v>
      </c>
      <c r="Z88" s="140">
        <v>40.0</v>
      </c>
      <c r="AA88" s="70">
        <f t="shared" si="6"/>
        <v>70</v>
      </c>
      <c r="AB88" s="71">
        <f t="shared" si="28"/>
        <v>262.535761</v>
      </c>
      <c r="AC88" s="71">
        <f>+(S88-T88)*V88-'data 1'!$F$4</f>
        <v>30.23</v>
      </c>
      <c r="AD88" s="71">
        <f t="shared" si="8"/>
        <v>58.64045452</v>
      </c>
      <c r="AE88" s="71">
        <f t="shared" si="42"/>
        <v>7.161</v>
      </c>
      <c r="AF88" s="71">
        <f t="shared" si="10"/>
        <v>81.25744601</v>
      </c>
      <c r="AG88" s="72">
        <f t="shared" si="45"/>
        <v>194.2889005</v>
      </c>
      <c r="AH88" s="193">
        <f t="shared" si="12"/>
        <v>2.468</v>
      </c>
      <c r="AI88" s="193">
        <f t="shared" si="13"/>
        <v>2.774</v>
      </c>
      <c r="AJ88" s="73">
        <f t="shared" si="14"/>
        <v>33.23765261</v>
      </c>
      <c r="AK88" s="73">
        <f t="shared" si="15"/>
        <v>1.909421831</v>
      </c>
      <c r="AM88" s="51">
        <f t="shared" si="16"/>
        <v>156.2087778</v>
      </c>
      <c r="AN88" s="51" t="str">
        <f t="array" ref="AN88">XLOOKUP(D88,RUC!$B$3:$B$565,RUC!$M$3:$M$565)</f>
        <v>Evelyn</v>
      </c>
      <c r="AO88" s="131" t="s">
        <v>551</v>
      </c>
      <c r="AP88" s="57" t="s">
        <v>1824</v>
      </c>
      <c r="AQ88" s="57" t="s">
        <v>2586</v>
      </c>
    </row>
    <row r="89" ht="15.0" customHeight="1">
      <c r="A89" s="116" t="s">
        <v>2592</v>
      </c>
      <c r="B89" s="182">
        <v>46024.0</v>
      </c>
      <c r="C89" s="182">
        <v>46016.0</v>
      </c>
      <c r="D89" s="57" t="s">
        <v>295</v>
      </c>
      <c r="E89" s="3">
        <f t="array" ref="E89">XLOOKUP(D89,RUC!$B$3:$B$110,RUC!$D$3:$D$110)</f>
        <v>20601769396</v>
      </c>
      <c r="G89" s="141">
        <v>64.0</v>
      </c>
      <c r="H89" s="3" t="s">
        <v>40</v>
      </c>
      <c r="I89" s="6">
        <v>1.87</v>
      </c>
      <c r="J89" s="58">
        <v>15.25</v>
      </c>
      <c r="K89" s="6">
        <f t="shared" si="2"/>
        <v>1.585</v>
      </c>
      <c r="L89" s="139">
        <v>0.143</v>
      </c>
      <c r="M89" s="60">
        <f t="shared" si="41"/>
        <v>0.124</v>
      </c>
      <c r="N89" s="62">
        <f t="shared" si="47"/>
        <v>0.124</v>
      </c>
      <c r="O89" s="60">
        <f t="shared" si="5"/>
        <v>0.124</v>
      </c>
      <c r="P89" s="63">
        <v>80.0</v>
      </c>
      <c r="Q89" s="58">
        <v>84.62</v>
      </c>
      <c r="R89" s="65">
        <v>4480.8</v>
      </c>
      <c r="S89" s="66">
        <f t="array" ref="S89">IF((XLOOKUP(D89,RUC!$B$3:$B$106,RUC!$E$3:$E$106)+ROUNDDOWN(O89,1)*100)&lt;95,95,((XLOOKUP(D89,RUC!$B$3:$B$106,RUC!$E$3:$E$106)+ROUNDDOWN(O89,1)*100)))</f>
        <v>100</v>
      </c>
      <c r="U89" s="67">
        <f t="array" ref="U89">XLOOKUP(D89,RUC!$B$3:$B$110,RUC!$F$3:$F$110)</f>
        <v>120</v>
      </c>
      <c r="V89" s="67">
        <v>1.1023</v>
      </c>
      <c r="Y89" s="199">
        <v>30.0</v>
      </c>
      <c r="Z89" s="140">
        <v>40.0</v>
      </c>
      <c r="AA89" s="70">
        <f t="shared" si="6"/>
        <v>70</v>
      </c>
      <c r="AB89" s="71">
        <f t="shared" si="28"/>
        <v>289.4544561</v>
      </c>
      <c r="AC89" s="71">
        <f>+(S89-T89)*V89-'data 1'!$F$4</f>
        <v>30.23</v>
      </c>
      <c r="AD89" s="71">
        <f t="shared" si="8"/>
        <v>31.75733055</v>
      </c>
      <c r="AE89" s="71">
        <f t="shared" si="42"/>
        <v>7.161</v>
      </c>
      <c r="AF89" s="71">
        <f t="shared" si="10"/>
        <v>77.28453503</v>
      </c>
      <c r="AG89" s="72">
        <f t="shared" si="45"/>
        <v>163.4328656</v>
      </c>
      <c r="AH89" s="193">
        <f t="shared" si="12"/>
        <v>6.576</v>
      </c>
      <c r="AI89" s="193">
        <f t="shared" si="13"/>
        <v>7.771</v>
      </c>
      <c r="AJ89" s="73">
        <f t="shared" si="14"/>
        <v>33.23968533</v>
      </c>
      <c r="AK89" s="73">
        <f t="shared" si="15"/>
        <v>5.390760134</v>
      </c>
      <c r="AM89" s="51">
        <f t="shared" si="16"/>
        <v>458.785313</v>
      </c>
      <c r="AN89" s="51" t="str">
        <f t="array" ref="AN89">XLOOKUP(D89,RUC!$B$3:$B$565,RUC!$M$3:$M$565)</f>
        <v>Evelyn</v>
      </c>
      <c r="AO89" s="131" t="s">
        <v>551</v>
      </c>
      <c r="AP89" s="57" t="s">
        <v>1824</v>
      </c>
      <c r="AQ89" s="57" t="s">
        <v>2586</v>
      </c>
    </row>
    <row r="90" ht="15.0" customHeight="1">
      <c r="A90" s="116" t="s">
        <v>2593</v>
      </c>
      <c r="B90" s="182">
        <v>46024.0</v>
      </c>
      <c r="C90" s="182">
        <v>46016.0</v>
      </c>
      <c r="D90" s="57" t="s">
        <v>225</v>
      </c>
      <c r="E90" s="3">
        <f t="array" ref="E90">XLOOKUP(D90,RUC!$B$3:$B$110,RUC!$D$3:$D$110)</f>
        <v>10761932735</v>
      </c>
      <c r="G90" s="141" t="s">
        <v>735</v>
      </c>
      <c r="H90" s="3" t="s">
        <v>47</v>
      </c>
      <c r="I90" s="6">
        <v>18.77</v>
      </c>
      <c r="J90" s="58">
        <v>15.8</v>
      </c>
      <c r="K90" s="6">
        <f t="shared" si="2"/>
        <v>15.804</v>
      </c>
      <c r="L90" s="139">
        <v>0.183</v>
      </c>
      <c r="M90" s="60">
        <f t="shared" si="41"/>
        <v>0.164</v>
      </c>
      <c r="N90" s="62">
        <f t="shared" si="47"/>
        <v>0.164</v>
      </c>
      <c r="O90" s="60">
        <f t="shared" si="5"/>
        <v>0.164</v>
      </c>
      <c r="P90" s="63">
        <v>89.0</v>
      </c>
      <c r="Q90" s="58">
        <v>89.07</v>
      </c>
      <c r="R90" s="65">
        <v>4480.8</v>
      </c>
      <c r="S90" s="66">
        <f t="array" ref="S90">IF((XLOOKUP(D90,RUC!$B$3:$B$106,RUC!$E$3:$E$106)+ROUNDDOWN(O90,1)*100)&lt;95,95,((XLOOKUP(D90,RUC!$B$3:$B$106,RUC!$E$3:$E$106)+ROUNDDOWN(O90,1)*100)))</f>
        <v>100</v>
      </c>
      <c r="U90" s="67">
        <f t="array" ref="U90">XLOOKUP(D90,RUC!$B$3:$B$110,RUC!$F$3:$F$110)</f>
        <v>120</v>
      </c>
      <c r="V90" s="67">
        <v>1.1023</v>
      </c>
      <c r="Y90" s="57">
        <f t="array" ref="Y90">XLOOKUP(D90,RUC!$B$3:$B$110,RUC!$G$3:$G$110)</f>
        <v>20</v>
      </c>
      <c r="Z90" s="69">
        <f t="array" ref="Z90">XLOOKUP(D90,RUC!$B$3:$B$110,RUC!$H$3:$H$110)</f>
        <v>30</v>
      </c>
      <c r="AA90" s="70">
        <f t="shared" si="6"/>
        <v>50</v>
      </c>
      <c r="AB90" s="71">
        <f t="shared" si="28"/>
        <v>536.2715602</v>
      </c>
      <c r="AC90" s="71">
        <f>+(S90-T90)*V90-'data 1'!$F$4</f>
        <v>30.23</v>
      </c>
      <c r="AD90" s="71">
        <f t="shared" si="8"/>
        <v>0.6157651505</v>
      </c>
      <c r="AE90" s="71">
        <f t="shared" si="42"/>
        <v>-14.885</v>
      </c>
      <c r="AF90" s="71">
        <f t="shared" si="10"/>
        <v>81.3487773</v>
      </c>
      <c r="AG90" s="72">
        <f t="shared" si="45"/>
        <v>114.3095424</v>
      </c>
      <c r="AH90" s="193">
        <f t="shared" si="12"/>
        <v>88.32</v>
      </c>
      <c r="AI90" s="193">
        <f t="shared" si="13"/>
        <v>99.158</v>
      </c>
      <c r="AJ90" s="73">
        <f t="shared" si="14"/>
        <v>44.77446316</v>
      </c>
      <c r="AK90" s="73">
        <f t="shared" si="15"/>
        <v>79.08788197</v>
      </c>
      <c r="AM90" s="51">
        <f t="shared" si="16"/>
        <v>8475.235738</v>
      </c>
      <c r="AN90" s="51" t="str">
        <f t="array" ref="AN90">XLOOKUP(D90,RUC!$B$3:$B$565,RUC!$M$3:$M$565)</f>
        <v>Richard Sapacayo</v>
      </c>
      <c r="AO90" s="131" t="s">
        <v>547</v>
      </c>
      <c r="AP90" s="57" t="s">
        <v>2594</v>
      </c>
      <c r="AQ90" s="57" t="s">
        <v>2595</v>
      </c>
    </row>
    <row r="91" ht="15.0" customHeight="1">
      <c r="A91" s="116" t="s">
        <v>2596</v>
      </c>
      <c r="B91" s="182">
        <v>46024.0</v>
      </c>
      <c r="C91" s="182">
        <v>46016.0</v>
      </c>
      <c r="D91" s="57" t="s">
        <v>295</v>
      </c>
      <c r="E91" s="3">
        <f t="array" ref="E91">XLOOKUP(D91,RUC!$B$3:$B$110,RUC!$D$3:$D$110)</f>
        <v>20601769396</v>
      </c>
      <c r="G91" s="141">
        <v>81.0</v>
      </c>
      <c r="H91" s="3" t="s">
        <v>40</v>
      </c>
      <c r="I91" s="6">
        <v>2.65</v>
      </c>
      <c r="J91" s="58">
        <v>14.25</v>
      </c>
      <c r="K91" s="6">
        <f t="shared" si="2"/>
        <v>2.272</v>
      </c>
      <c r="L91" s="139">
        <v>0.135</v>
      </c>
      <c r="M91" s="60">
        <f t="shared" si="41"/>
        <v>0.116</v>
      </c>
      <c r="N91" s="62">
        <f t="shared" si="47"/>
        <v>0.116</v>
      </c>
      <c r="O91" s="60">
        <f t="shared" si="5"/>
        <v>0.116</v>
      </c>
      <c r="P91" s="63">
        <v>80.0</v>
      </c>
      <c r="Q91" s="58">
        <v>88.15</v>
      </c>
      <c r="R91" s="65">
        <v>4480.8</v>
      </c>
      <c r="S91" s="66">
        <f t="array" ref="S91">IF((XLOOKUP(D91,RUC!$B$3:$B$106,RUC!$E$3:$E$106)+ROUNDDOWN(O91,1)*100)&lt;95,95,((XLOOKUP(D91,RUC!$B$3:$B$106,RUC!$E$3:$E$106)+ROUNDDOWN(O91,1)*100)))</f>
        <v>100</v>
      </c>
      <c r="U91" s="67">
        <f t="array" ref="U91">XLOOKUP(D91,RUC!$B$3:$B$110,RUC!$F$3:$F$110)</f>
        <v>120</v>
      </c>
      <c r="V91" s="67">
        <v>1.1023</v>
      </c>
      <c r="Y91" s="199">
        <v>30.0</v>
      </c>
      <c r="Z91" s="140">
        <v>40.0</v>
      </c>
      <c r="AA91" s="70">
        <f t="shared" si="6"/>
        <v>70</v>
      </c>
      <c r="AB91" s="71">
        <f t="shared" si="28"/>
        <v>258.6902332</v>
      </c>
      <c r="AC91" s="71">
        <f>+(S91-T91)*V91-'data 1'!$F$4</f>
        <v>30.23</v>
      </c>
      <c r="AD91" s="71">
        <f t="shared" si="8"/>
        <v>52.88802551</v>
      </c>
      <c r="AE91" s="71">
        <f t="shared" si="42"/>
        <v>7.161</v>
      </c>
      <c r="AF91" s="71">
        <f t="shared" si="10"/>
        <v>80.50852946</v>
      </c>
      <c r="AG91" s="72">
        <f t="shared" si="45"/>
        <v>187.787555</v>
      </c>
      <c r="AH91" s="193">
        <f t="shared" si="12"/>
        <v>9.27</v>
      </c>
      <c r="AI91" s="193">
        <f t="shared" si="13"/>
        <v>10.516</v>
      </c>
      <c r="AJ91" s="73">
        <f t="shared" si="14"/>
        <v>32.68917277</v>
      </c>
      <c r="AK91" s="73">
        <f t="shared" si="15"/>
        <v>7.228786073</v>
      </c>
      <c r="AM91" s="51">
        <f t="shared" si="16"/>
        <v>587.7442097</v>
      </c>
      <c r="AN91" s="51" t="str">
        <f t="array" ref="AN91">XLOOKUP(D91,RUC!$B$3:$B$565,RUC!$M$3:$M$565)</f>
        <v>Evelyn</v>
      </c>
      <c r="AO91" s="131" t="s">
        <v>551</v>
      </c>
      <c r="AP91" s="57" t="s">
        <v>1824</v>
      </c>
      <c r="AQ91" s="57" t="s">
        <v>2586</v>
      </c>
    </row>
    <row r="92" ht="15.0" customHeight="1">
      <c r="A92" s="116" t="s">
        <v>2597</v>
      </c>
      <c r="B92" s="182">
        <v>46028.0</v>
      </c>
      <c r="C92" s="182">
        <v>46016.0</v>
      </c>
      <c r="D92" s="57" t="s">
        <v>852</v>
      </c>
      <c r="E92" s="3">
        <f t="array" ref="E92">XLOOKUP(D92,RUC!$B$3:$B$110,RUC!$D$3:$D$110)</f>
        <v>20610807004</v>
      </c>
      <c r="G92" s="141">
        <v>30.0</v>
      </c>
      <c r="H92" s="3" t="s">
        <v>339</v>
      </c>
      <c r="I92" s="6">
        <v>2.31</v>
      </c>
      <c r="J92" s="58">
        <v>19.1</v>
      </c>
      <c r="K92" s="6">
        <f t="shared" si="2"/>
        <v>1.869</v>
      </c>
      <c r="L92" s="139">
        <v>0.282</v>
      </c>
      <c r="M92" s="60">
        <f t="shared" si="41"/>
        <v>0.263</v>
      </c>
      <c r="N92" s="62">
        <f t="shared" si="47"/>
        <v>0.263</v>
      </c>
      <c r="O92" s="60">
        <f t="shared" si="5"/>
        <v>0.263</v>
      </c>
      <c r="P92" s="63">
        <v>89.0</v>
      </c>
      <c r="Q92" s="58">
        <v>89.01</v>
      </c>
      <c r="R92" s="65">
        <v>4480.8</v>
      </c>
      <c r="S92" s="66">
        <f t="array" ref="S92">IF((XLOOKUP(D92,RUC!$B$3:$B$106,RUC!$E$3:$E$106)+ROUNDDOWN(O92,1)*100)&lt;95,95,((XLOOKUP(D92,RUC!$B$3:$B$106,RUC!$E$3:$E$106)+ROUNDDOWN(O92,1)*100)))</f>
        <v>105</v>
      </c>
      <c r="U92" s="67">
        <f t="array" ref="U92">XLOOKUP(D92,RUC!$B$3:$B$110,RUC!$F$3:$F$110)</f>
        <v>120</v>
      </c>
      <c r="V92" s="67">
        <v>1.1023</v>
      </c>
      <c r="Y92" s="57">
        <f t="array" ref="Y92">XLOOKUP(D92,RUC!$B$3:$B$110,RUC!$G$3:$G$110)</f>
        <v>20</v>
      </c>
      <c r="Z92" s="69">
        <f t="array" ref="Z92">XLOOKUP(D92,RUC!$B$3:$B$110,RUC!$H$3:$H$110)</f>
        <v>30</v>
      </c>
      <c r="AA92" s="70">
        <f t="shared" si="6"/>
        <v>50</v>
      </c>
      <c r="AB92" s="71">
        <f t="shared" si="28"/>
        <v>954.2968862</v>
      </c>
      <c r="AC92" s="71">
        <f>+(S92-T92)*V92-'data 1'!$F$4</f>
        <v>35.7415</v>
      </c>
      <c r="AD92" s="71">
        <f t="shared" si="8"/>
        <v>0.1355548575</v>
      </c>
      <c r="AE92" s="71">
        <f t="shared" si="42"/>
        <v>-14.885</v>
      </c>
      <c r="AF92" s="71">
        <f t="shared" si="10"/>
        <v>81.29397852</v>
      </c>
      <c r="AG92" s="72">
        <f t="shared" ref="AG92:AG95" si="48">AC92+AD92+AE92+AF92+70</f>
        <v>172.2860334</v>
      </c>
      <c r="AH92" s="193">
        <f t="shared" si="12"/>
        <v>16.084</v>
      </c>
      <c r="AI92" s="193">
        <f t="shared" si="13"/>
        <v>18.07</v>
      </c>
      <c r="AJ92" s="73">
        <f t="shared" si="14"/>
        <v>68.95023564</v>
      </c>
      <c r="AK92" s="73">
        <f t="shared" si="15"/>
        <v>14.99906288</v>
      </c>
      <c r="AM92" s="51">
        <f t="shared" si="16"/>
        <v>1783.58088</v>
      </c>
      <c r="AN92" s="51" t="str">
        <f t="array" ref="AN92">XLOOKUP(D92,RUC!$B$3:$B$565,RUC!$M$3:$M$565)</f>
        <v>Renzo</v>
      </c>
      <c r="AO92" s="131" t="s">
        <v>551</v>
      </c>
      <c r="AP92" s="57" t="s">
        <v>1291</v>
      </c>
      <c r="AQ92" s="57" t="s">
        <v>878</v>
      </c>
    </row>
    <row r="93" ht="15.0" customHeight="1">
      <c r="A93" s="116" t="s">
        <v>2598</v>
      </c>
      <c r="B93" s="182">
        <v>46028.0</v>
      </c>
      <c r="C93" s="182">
        <v>46016.0</v>
      </c>
      <c r="D93" s="57" t="s">
        <v>852</v>
      </c>
      <c r="E93" s="3">
        <f t="array" ref="E93">XLOOKUP(D93,RUC!$B$3:$B$110,RUC!$D$3:$D$110)</f>
        <v>20610807004</v>
      </c>
      <c r="G93" s="141">
        <v>30.0</v>
      </c>
      <c r="H93" s="3" t="s">
        <v>47</v>
      </c>
      <c r="I93" s="6">
        <v>2.69</v>
      </c>
      <c r="J93" s="58">
        <v>9.5</v>
      </c>
      <c r="K93" s="6">
        <f t="shared" si="2"/>
        <v>2.434</v>
      </c>
      <c r="L93" s="139">
        <v>0.227</v>
      </c>
      <c r="M93" s="60">
        <f t="shared" si="41"/>
        <v>0.208</v>
      </c>
      <c r="N93" s="62">
        <f t="shared" si="47"/>
        <v>0.208</v>
      </c>
      <c r="O93" s="60">
        <f t="shared" si="5"/>
        <v>0.208</v>
      </c>
      <c r="P93" s="63">
        <v>90.0</v>
      </c>
      <c r="Q93" s="58">
        <v>91.63</v>
      </c>
      <c r="R93" s="65">
        <v>4480.8</v>
      </c>
      <c r="S93" s="66">
        <f t="array" ref="S93">IF((XLOOKUP(D93,RUC!$B$3:$B$106,RUC!$E$3:$E$106)+ROUNDDOWN(O93,1)*100)&lt;95,95,((XLOOKUP(D93,RUC!$B$3:$B$106,RUC!$E$3:$E$106)+ROUNDDOWN(O93,1)*100)))</f>
        <v>105</v>
      </c>
      <c r="U93" s="67">
        <f t="array" ref="U93">XLOOKUP(D93,RUC!$B$3:$B$110,RUC!$F$3:$F$110)</f>
        <v>120</v>
      </c>
      <c r="V93" s="67">
        <v>1.1023</v>
      </c>
      <c r="Y93" s="57">
        <f t="array" ref="Y93">XLOOKUP(D93,RUC!$B$3:$B$110,RUC!$G$3:$G$110)</f>
        <v>20</v>
      </c>
      <c r="Z93" s="69">
        <f t="array" ref="Z93">XLOOKUP(D93,RUC!$B$3:$B$110,RUC!$H$3:$H$110)</f>
        <v>30</v>
      </c>
      <c r="AA93" s="70">
        <f t="shared" si="6"/>
        <v>50</v>
      </c>
      <c r="AB93" s="71">
        <f t="shared" si="28"/>
        <v>728.997022</v>
      </c>
      <c r="AC93" s="71">
        <f>+(S93-T93)*V93-'data 1'!$F$4</f>
        <v>35.7415</v>
      </c>
      <c r="AD93" s="71">
        <f t="shared" si="8"/>
        <v>17.7860471</v>
      </c>
      <c r="AE93" s="71">
        <f t="shared" si="42"/>
        <v>-14.885</v>
      </c>
      <c r="AF93" s="71">
        <f t="shared" si="10"/>
        <v>83.68685824</v>
      </c>
      <c r="AG93" s="72">
        <f t="shared" si="48"/>
        <v>192.3294053</v>
      </c>
      <c r="AH93" s="193">
        <f t="shared" si="12"/>
        <v>17.358</v>
      </c>
      <c r="AI93" s="193">
        <f t="shared" si="13"/>
        <v>18.943</v>
      </c>
      <c r="AJ93" s="73">
        <f t="shared" si="14"/>
        <v>57.13620475</v>
      </c>
      <c r="AK93" s="73">
        <f t="shared" si="15"/>
        <v>15.62195878</v>
      </c>
      <c r="AM93" s="51">
        <f t="shared" si="16"/>
        <v>1774.378752</v>
      </c>
      <c r="AN93" s="51" t="str">
        <f t="array" ref="AN93">XLOOKUP(D93,RUC!$B$3:$B$565,RUC!$M$3:$M$565)</f>
        <v>Renzo</v>
      </c>
      <c r="AO93" s="131" t="s">
        <v>551</v>
      </c>
      <c r="AP93" s="57" t="s">
        <v>1291</v>
      </c>
      <c r="AQ93" s="57" t="s">
        <v>878</v>
      </c>
    </row>
    <row r="94" ht="15.0" customHeight="1">
      <c r="A94" s="116" t="s">
        <v>2599</v>
      </c>
      <c r="B94" s="182">
        <v>46028.0</v>
      </c>
      <c r="C94" s="182">
        <v>46016.0</v>
      </c>
      <c r="D94" s="57" t="s">
        <v>852</v>
      </c>
      <c r="E94" s="3">
        <f t="array" ref="E94">XLOOKUP(D94,RUC!$B$3:$B$110,RUC!$D$3:$D$110)</f>
        <v>20610807004</v>
      </c>
      <c r="G94" s="141">
        <v>30.0</v>
      </c>
      <c r="H94" s="3" t="s">
        <v>47</v>
      </c>
      <c r="I94" s="6">
        <v>2.57</v>
      </c>
      <c r="J94" s="58">
        <v>9.75</v>
      </c>
      <c r="K94" s="6">
        <f t="shared" si="2"/>
        <v>2.319</v>
      </c>
      <c r="L94" s="139">
        <v>0.298</v>
      </c>
      <c r="M94" s="60">
        <f t="shared" si="41"/>
        <v>0.279</v>
      </c>
      <c r="N94" s="62">
        <f t="shared" si="47"/>
        <v>0.279</v>
      </c>
      <c r="O94" s="60">
        <f t="shared" si="5"/>
        <v>0.279</v>
      </c>
      <c r="P94" s="63">
        <v>90.0</v>
      </c>
      <c r="Q94" s="58">
        <v>92.62</v>
      </c>
      <c r="R94" s="65">
        <v>4480.8</v>
      </c>
      <c r="S94" s="66">
        <f t="array" ref="S94">IF((XLOOKUP(D94,RUC!$B$3:$B$106,RUC!$E$3:$E$106)+ROUNDDOWN(O94,1)*100)&lt;95,95,((XLOOKUP(D94,RUC!$B$3:$B$106,RUC!$E$3:$E$106)+ROUNDDOWN(O94,1)*100)))</f>
        <v>105</v>
      </c>
      <c r="U94" s="67">
        <f t="array" ref="U94">XLOOKUP(D94,RUC!$B$3:$B$110,RUC!$F$3:$F$110)</f>
        <v>120</v>
      </c>
      <c r="V94" s="67">
        <v>1.1023</v>
      </c>
      <c r="Y94" s="57">
        <f t="array" ref="Y94">XLOOKUP(D94,RUC!$B$3:$B$110,RUC!$G$3:$G$110)</f>
        <v>20</v>
      </c>
      <c r="Z94" s="69">
        <f t="array" ref="Z94">XLOOKUP(D94,RUC!$B$3:$B$110,RUC!$H$3:$H$110)</f>
        <v>30</v>
      </c>
      <c r="AA94" s="70">
        <f t="shared" si="6"/>
        <v>50</v>
      </c>
      <c r="AB94" s="71">
        <f t="shared" si="28"/>
        <v>1036.158561</v>
      </c>
      <c r="AC94" s="71">
        <f>+(S94-T94)*V94-'data 1'!$F$4</f>
        <v>35.7415</v>
      </c>
      <c r="AD94" s="71">
        <f t="shared" si="8"/>
        <v>37.53042927</v>
      </c>
      <c r="AE94" s="71">
        <f t="shared" si="42"/>
        <v>-14.885</v>
      </c>
      <c r="AF94" s="71">
        <f t="shared" si="10"/>
        <v>84.59103798</v>
      </c>
      <c r="AG94" s="72">
        <f t="shared" si="48"/>
        <v>212.9779672</v>
      </c>
      <c r="AH94" s="193">
        <f t="shared" si="12"/>
        <v>21.945</v>
      </c>
      <c r="AI94" s="193">
        <f t="shared" si="13"/>
        <v>23.693</v>
      </c>
      <c r="AJ94" s="73">
        <f t="shared" si="14"/>
        <v>75.81739983</v>
      </c>
      <c r="AK94" s="73">
        <f t="shared" si="15"/>
        <v>19.96441232</v>
      </c>
      <c r="AM94" s="51">
        <f t="shared" si="16"/>
        <v>2402.851703</v>
      </c>
      <c r="AN94" s="51" t="str">
        <f t="array" ref="AN94">XLOOKUP(D94,RUC!$B$3:$B$565,RUC!$M$3:$M$565)</f>
        <v>Renzo</v>
      </c>
      <c r="AO94" s="131" t="s">
        <v>551</v>
      </c>
      <c r="AP94" s="57" t="s">
        <v>1291</v>
      </c>
      <c r="AQ94" s="57" t="s">
        <v>878</v>
      </c>
    </row>
    <row r="95" ht="15.0" customHeight="1">
      <c r="A95" s="116" t="s">
        <v>2600</v>
      </c>
      <c r="B95" s="182">
        <v>46028.0</v>
      </c>
      <c r="C95" s="182">
        <v>46016.0</v>
      </c>
      <c r="D95" s="57" t="s">
        <v>852</v>
      </c>
      <c r="E95" s="3">
        <f t="array" ref="E95">XLOOKUP(D95,RUC!$B$3:$B$110,RUC!$D$3:$D$110)</f>
        <v>20610807004</v>
      </c>
      <c r="G95" s="141">
        <v>30.0</v>
      </c>
      <c r="H95" s="3" t="s">
        <v>339</v>
      </c>
      <c r="I95" s="6">
        <v>2.41</v>
      </c>
      <c r="J95" s="58">
        <v>15.05</v>
      </c>
      <c r="K95" s="6">
        <f t="shared" si="2"/>
        <v>2.047</v>
      </c>
      <c r="L95" s="139">
        <v>0.183</v>
      </c>
      <c r="M95" s="60">
        <f t="shared" si="41"/>
        <v>0.164</v>
      </c>
      <c r="N95" s="62">
        <f t="shared" si="47"/>
        <v>0.164</v>
      </c>
      <c r="O95" s="60">
        <f t="shared" si="5"/>
        <v>0.164</v>
      </c>
      <c r="P95" s="63">
        <v>85.0</v>
      </c>
      <c r="Q95" s="58">
        <v>92.9</v>
      </c>
      <c r="R95" s="65">
        <v>4480.8</v>
      </c>
      <c r="S95" s="66">
        <f t="array" ref="S95">IF((XLOOKUP(D95,RUC!$B$3:$B$106,RUC!$E$3:$E$106)+ROUNDDOWN(O95,1)*100)&lt;95,95,((XLOOKUP(D95,RUC!$B$3:$B$106,RUC!$E$3:$E$106)+ROUNDDOWN(O95,1)*100)))</f>
        <v>95</v>
      </c>
      <c r="U95" s="67">
        <f t="array" ref="U95">XLOOKUP(D95,RUC!$B$3:$B$110,RUC!$F$3:$F$110)</f>
        <v>120</v>
      </c>
      <c r="V95" s="67">
        <v>1.1023</v>
      </c>
      <c r="Y95" s="57">
        <f t="array" ref="Y95">XLOOKUP(D95,RUC!$B$3:$B$110,RUC!$G$3:$G$110)</f>
        <v>20</v>
      </c>
      <c r="Z95" s="69">
        <f t="array" ref="Z95">XLOOKUP(D95,RUC!$B$3:$B$110,RUC!$H$3:$H$110)</f>
        <v>30</v>
      </c>
      <c r="AA95" s="70">
        <f t="shared" si="6"/>
        <v>50</v>
      </c>
      <c r="AB95" s="71">
        <f t="shared" si="28"/>
        <v>510.2497317</v>
      </c>
      <c r="AC95" s="71">
        <f>+(S95-T95)*V95-'data 1'!$F$4</f>
        <v>24.7185</v>
      </c>
      <c r="AD95" s="71">
        <f t="shared" si="8"/>
        <v>69.49349556</v>
      </c>
      <c r="AE95" s="71">
        <f t="shared" si="42"/>
        <v>-14.885</v>
      </c>
      <c r="AF95" s="71">
        <f t="shared" si="10"/>
        <v>84.84676559</v>
      </c>
      <c r="AG95" s="72">
        <f t="shared" si="48"/>
        <v>234.1737611</v>
      </c>
      <c r="AH95" s="193">
        <f t="shared" si="12"/>
        <v>11.931</v>
      </c>
      <c r="AI95" s="193">
        <f t="shared" si="13"/>
        <v>12.843</v>
      </c>
      <c r="AJ95" s="73">
        <f t="shared" si="14"/>
        <v>46.69976005</v>
      </c>
      <c r="AK95" s="73">
        <f t="shared" si="15"/>
        <v>9.783397194</v>
      </c>
      <c r="AM95" s="51">
        <f t="shared" si="16"/>
        <v>1044.481201</v>
      </c>
      <c r="AN95" s="51" t="str">
        <f t="array" ref="AN95">XLOOKUP(D95,RUC!$B$3:$B$565,RUC!$M$3:$M$565)</f>
        <v>Renzo</v>
      </c>
      <c r="AO95" s="131" t="s">
        <v>551</v>
      </c>
      <c r="AP95" s="57" t="s">
        <v>1291</v>
      </c>
      <c r="AQ95" s="57" t="s">
        <v>878</v>
      </c>
    </row>
    <row r="96" ht="15.0" customHeight="1">
      <c r="A96" s="116" t="s">
        <v>2601</v>
      </c>
      <c r="B96" s="182">
        <v>46024.0</v>
      </c>
      <c r="C96" s="182">
        <v>46016.0</v>
      </c>
      <c r="D96" s="57" t="s">
        <v>665</v>
      </c>
      <c r="E96" s="3">
        <f t="array" ref="E96">XLOOKUP(D96,RUC!$B$3:$B$110,RUC!$D$3:$D$110)</f>
        <v>20608774000</v>
      </c>
      <c r="G96" s="141">
        <v>24.0</v>
      </c>
      <c r="H96" s="3" t="s">
        <v>47</v>
      </c>
      <c r="I96" s="6">
        <v>2.07</v>
      </c>
      <c r="J96" s="58">
        <v>1.3</v>
      </c>
      <c r="K96" s="6">
        <f t="shared" si="2"/>
        <v>2.043</v>
      </c>
      <c r="L96" s="139">
        <v>0.172</v>
      </c>
      <c r="M96" s="60">
        <f t="shared" si="41"/>
        <v>0.153</v>
      </c>
      <c r="N96" s="62">
        <f t="shared" si="47"/>
        <v>0.153</v>
      </c>
      <c r="O96" s="60">
        <f t="shared" si="5"/>
        <v>0.153</v>
      </c>
      <c r="P96" s="63">
        <v>85.0</v>
      </c>
      <c r="Q96" s="58">
        <v>90.53</v>
      </c>
      <c r="R96" s="65">
        <v>4480.8</v>
      </c>
      <c r="S96" s="66">
        <f t="array" ref="S96">IF((XLOOKUP(D96,RUC!$B$3:$B$106,RUC!$E$3:$E$106)+ROUNDDOWN(O96,1)*100)&lt;95,95,((XLOOKUP(D96,RUC!$B$3:$B$106,RUC!$E$3:$E$106)+ROUNDDOWN(O96,1)*100)))</f>
        <v>95</v>
      </c>
      <c r="U96" s="67">
        <f t="array" ref="U96">XLOOKUP(D96,RUC!$B$3:$B$110,RUC!$F$3:$F$110)</f>
        <v>120</v>
      </c>
      <c r="V96" s="67">
        <v>1.1023</v>
      </c>
      <c r="Y96" s="199">
        <v>25.0</v>
      </c>
      <c r="Z96" s="140">
        <v>35.0</v>
      </c>
      <c r="AA96" s="70">
        <f t="shared" si="6"/>
        <v>60</v>
      </c>
      <c r="AB96" s="71">
        <f t="shared" si="28"/>
        <v>454.2821247</v>
      </c>
      <c r="AC96" s="71">
        <f>+(S96-T96)*V96-'data 1'!$F$4</f>
        <v>24.7185</v>
      </c>
      <c r="AD96" s="71">
        <f t="shared" si="8"/>
        <v>45.72140363</v>
      </c>
      <c r="AE96" s="71">
        <f t="shared" si="42"/>
        <v>-3.862</v>
      </c>
      <c r="AF96" s="71">
        <f t="shared" si="10"/>
        <v>82.68221408</v>
      </c>
      <c r="AG96" s="72">
        <f>AC96+AD96+AE96+AF96+70-53</f>
        <v>166.2601177</v>
      </c>
      <c r="AH96" s="193">
        <f t="shared" si="12"/>
        <v>10.907</v>
      </c>
      <c r="AI96" s="193">
        <f t="shared" si="13"/>
        <v>12.048</v>
      </c>
      <c r="AJ96" s="73">
        <f t="shared" si="14"/>
        <v>42.77291145</v>
      </c>
      <c r="AK96" s="73">
        <f t="shared" si="15"/>
        <v>9.109358465</v>
      </c>
      <c r="AM96" s="51">
        <f t="shared" si="16"/>
        <v>928.0983807</v>
      </c>
      <c r="AN96" s="51" t="str">
        <f t="array" ref="AN96">XLOOKUP(D96,RUC!$B$3:$B$565,RUC!$M$3:$M$565)</f>
        <v>Ronald Miranda</v>
      </c>
      <c r="AO96" s="131" t="s">
        <v>547</v>
      </c>
      <c r="AP96" s="57" t="s">
        <v>2602</v>
      </c>
      <c r="AQ96" s="57" t="s">
        <v>2603</v>
      </c>
    </row>
    <row r="97" ht="15.0" customHeight="1">
      <c r="A97" s="116" t="s">
        <v>2604</v>
      </c>
      <c r="B97" s="182">
        <v>46028.0</v>
      </c>
      <c r="C97" s="182">
        <v>46016.0</v>
      </c>
      <c r="D97" s="57" t="s">
        <v>852</v>
      </c>
      <c r="E97" s="3">
        <f t="array" ref="E97">XLOOKUP(D97,RUC!$B$3:$B$110,RUC!$D$3:$D$110)</f>
        <v>20610807004</v>
      </c>
      <c r="G97" s="141">
        <v>30.0</v>
      </c>
      <c r="H97" s="3" t="s">
        <v>339</v>
      </c>
      <c r="I97" s="6">
        <v>2.41</v>
      </c>
      <c r="J97" s="58">
        <v>10.55</v>
      </c>
      <c r="K97" s="6">
        <f t="shared" si="2"/>
        <v>2.156</v>
      </c>
      <c r="L97" s="139">
        <v>0.247</v>
      </c>
      <c r="M97" s="60">
        <f t="shared" si="41"/>
        <v>0.228</v>
      </c>
      <c r="N97" s="62">
        <f t="shared" si="47"/>
        <v>0.228</v>
      </c>
      <c r="O97" s="60">
        <f t="shared" si="5"/>
        <v>0.228</v>
      </c>
      <c r="P97" s="63">
        <v>90.0</v>
      </c>
      <c r="Q97" s="58">
        <v>93.52</v>
      </c>
      <c r="R97" s="65">
        <v>4480.8</v>
      </c>
      <c r="S97" s="66">
        <f t="array" ref="S97">IF((XLOOKUP(D97,RUC!$B$3:$B$106,RUC!$E$3:$E$106)+ROUNDDOWN(O97,1)*100)&lt;95,95,((XLOOKUP(D97,RUC!$B$3:$B$106,RUC!$E$3:$E$106)+ROUNDDOWN(O97,1)*100)))</f>
        <v>105</v>
      </c>
      <c r="U97" s="67">
        <f t="array" ref="U97">XLOOKUP(D97,RUC!$B$3:$B$110,RUC!$F$3:$F$110)</f>
        <v>120</v>
      </c>
      <c r="V97" s="67">
        <v>1.1023</v>
      </c>
      <c r="Y97" s="57">
        <f t="array" ref="Y97">XLOOKUP(D97,RUC!$B$3:$B$110,RUC!$G$3:$G$110)</f>
        <v>20</v>
      </c>
      <c r="Z97" s="69">
        <f t="array" ref="Z97">XLOOKUP(D97,RUC!$B$3:$B$110,RUC!$H$3:$H$110)</f>
        <v>30</v>
      </c>
      <c r="AA97" s="70">
        <f t="shared" si="6"/>
        <v>50</v>
      </c>
      <c r="AB97" s="71">
        <f t="shared" si="28"/>
        <v>815.5213992</v>
      </c>
      <c r="AC97" s="71">
        <f>+(S97-T97)*V97-'data 1'!$F$4</f>
        <v>35.7415</v>
      </c>
      <c r="AD97" s="71">
        <f t="shared" si="8"/>
        <v>41.79319691</v>
      </c>
      <c r="AE97" s="71">
        <f t="shared" si="42"/>
        <v>-14.885</v>
      </c>
      <c r="AF97" s="71">
        <f t="shared" si="10"/>
        <v>85.41301956</v>
      </c>
      <c r="AG97" s="72">
        <f t="shared" ref="AG97:AG98" si="49">AC97+AD97+AE97+AF97+70</f>
        <v>218.0627165</v>
      </c>
      <c r="AH97" s="193">
        <f t="shared" si="12"/>
        <v>17.075</v>
      </c>
      <c r="AI97" s="193">
        <f t="shared" si="13"/>
        <v>18.258</v>
      </c>
      <c r="AJ97" s="73">
        <f t="shared" si="14"/>
        <v>63.45258168</v>
      </c>
      <c r="AK97" s="73">
        <f t="shared" si="15"/>
        <v>15.16823967</v>
      </c>
      <c r="AM97" s="51">
        <f t="shared" si="16"/>
        <v>1758.264137</v>
      </c>
      <c r="AN97" s="51" t="str">
        <f t="array" ref="AN97">XLOOKUP(D97,RUC!$B$3:$B$565,RUC!$M$3:$M$565)</f>
        <v>Renzo</v>
      </c>
      <c r="AO97" s="131" t="s">
        <v>551</v>
      </c>
      <c r="AP97" s="57" t="s">
        <v>1291</v>
      </c>
      <c r="AQ97" s="57" t="s">
        <v>878</v>
      </c>
    </row>
    <row r="98" ht="15.0" customHeight="1">
      <c r="A98" s="192" t="s">
        <v>2605</v>
      </c>
      <c r="B98" s="194">
        <v>46028.0</v>
      </c>
      <c r="C98" s="182">
        <v>46016.0</v>
      </c>
      <c r="D98" s="57" t="s">
        <v>852</v>
      </c>
      <c r="E98" s="3">
        <f t="array" ref="E98">XLOOKUP(D98,RUC!$B$3:$B$110,RUC!$D$3:$D$110)</f>
        <v>20610807004</v>
      </c>
      <c r="G98" s="141">
        <v>30.0</v>
      </c>
      <c r="H98" s="3" t="s">
        <v>47</v>
      </c>
      <c r="I98" s="6">
        <v>2.01</v>
      </c>
      <c r="J98" s="58">
        <v>1.6</v>
      </c>
      <c r="K98" s="6">
        <f t="shared" si="2"/>
        <v>1.978</v>
      </c>
      <c r="L98" s="139">
        <v>0.072</v>
      </c>
      <c r="M98" s="60">
        <f t="shared" si="41"/>
        <v>0.053</v>
      </c>
      <c r="N98" s="62">
        <f t="shared" si="47"/>
        <v>0.053</v>
      </c>
      <c r="O98" s="60">
        <f t="shared" si="5"/>
        <v>0.053</v>
      </c>
      <c r="P98" s="63">
        <v>56.0</v>
      </c>
      <c r="Q98" s="130">
        <v>56.34</v>
      </c>
      <c r="R98" s="65">
        <v>4480.8</v>
      </c>
      <c r="S98" s="66">
        <f t="array" ref="S98">IF((XLOOKUP(D98,RUC!$B$3:$B$106,RUC!$E$3:$E$106)+ROUNDDOWN(O98,1)*100)&lt;95,95,((XLOOKUP(D98,RUC!$B$3:$B$106,RUC!$E$3:$E$106)+ROUNDDOWN(O98,1)*100)))</f>
        <v>95</v>
      </c>
      <c r="U98" s="67">
        <f t="array" ref="U98">XLOOKUP(D98,RUC!$B$3:$B$110,RUC!$F$3:$F$110)</f>
        <v>120</v>
      </c>
      <c r="V98" s="67">
        <v>1.1023</v>
      </c>
      <c r="Y98" s="57">
        <f t="array" ref="Y98">XLOOKUP(D98,RUC!$B$3:$B$110,RUC!$G$3:$G$110)</f>
        <v>20</v>
      </c>
      <c r="Z98" s="69">
        <f t="array" ref="Z98">XLOOKUP(D98,RUC!$B$3:$B$110,RUC!$H$3:$H$110)</f>
        <v>30</v>
      </c>
      <c r="AA98" s="70">
        <f t="shared" si="6"/>
        <v>50</v>
      </c>
      <c r="AB98" s="71">
        <v>0.0</v>
      </c>
      <c r="AC98" s="71">
        <f>+(S98-T98)*V98-'data 1'!$F$4</f>
        <v>24.7185</v>
      </c>
      <c r="AD98" s="71">
        <f t="shared" si="8"/>
        <v>1.176731529</v>
      </c>
      <c r="AE98" s="71">
        <f t="shared" si="42"/>
        <v>-14.885</v>
      </c>
      <c r="AF98" s="71">
        <f t="shared" si="10"/>
        <v>51.45604707</v>
      </c>
      <c r="AG98" s="72">
        <f t="shared" si="49"/>
        <v>132.4662786</v>
      </c>
      <c r="AH98" s="193">
        <f t="shared" si="12"/>
        <v>2.751</v>
      </c>
      <c r="AI98" s="193">
        <f t="shared" si="13"/>
        <v>4.883</v>
      </c>
      <c r="AJ98" s="73">
        <f t="shared" si="14"/>
        <v>11.1428731</v>
      </c>
      <c r="AK98" s="73">
        <f t="shared" si="15"/>
        <v>2.012793648</v>
      </c>
      <c r="AM98" s="51">
        <f t="shared" si="16"/>
        <v>0</v>
      </c>
      <c r="AN98" s="51" t="str">
        <f t="array" ref="AN98">XLOOKUP(D98,RUC!$B$3:$B$565,RUC!$M$3:$M$565)</f>
        <v>Renzo</v>
      </c>
      <c r="AO98" s="131" t="s">
        <v>547</v>
      </c>
      <c r="AP98" s="57" t="s">
        <v>1291</v>
      </c>
      <c r="AQ98" s="57" t="s">
        <v>878</v>
      </c>
    </row>
    <row r="99" ht="15.0" customHeight="1">
      <c r="A99" s="192" t="s">
        <v>2606</v>
      </c>
      <c r="B99" s="194">
        <v>46028.0</v>
      </c>
      <c r="C99" s="182">
        <v>46016.0</v>
      </c>
      <c r="D99" s="57" t="s">
        <v>852</v>
      </c>
      <c r="E99" s="3">
        <f t="array" ref="E99">XLOOKUP(D99,RUC!$B$3:$B$110,RUC!$D$3:$D$110)</f>
        <v>20610807004</v>
      </c>
      <c r="G99" s="141">
        <v>25.0</v>
      </c>
      <c r="H99" s="3" t="s">
        <v>47</v>
      </c>
      <c r="I99" s="6">
        <v>2.06</v>
      </c>
      <c r="J99" s="58">
        <v>2.0</v>
      </c>
      <c r="K99" s="6">
        <f t="shared" si="2"/>
        <v>2.019</v>
      </c>
      <c r="L99" s="139">
        <v>0.096</v>
      </c>
      <c r="M99" s="60">
        <f t="shared" si="41"/>
        <v>0.077</v>
      </c>
      <c r="N99" s="62">
        <f t="shared" si="47"/>
        <v>0.077</v>
      </c>
      <c r="O99" s="60">
        <f t="shared" si="5"/>
        <v>0.077</v>
      </c>
      <c r="P99" s="63">
        <v>80.0</v>
      </c>
      <c r="Q99" s="58">
        <v>86.05</v>
      </c>
      <c r="R99" s="65">
        <v>4480.8</v>
      </c>
      <c r="S99" s="66">
        <f t="array" ref="S99">IF((XLOOKUP(D99,RUC!$B$3:$B$106,RUC!$E$3:$E$106)+ROUNDDOWN(O99,1)*100)&lt;95,95,((XLOOKUP(D99,RUC!$B$3:$B$106,RUC!$E$3:$E$106)+ROUNDDOWN(O99,1)*100)))</f>
        <v>95</v>
      </c>
      <c r="U99" s="67">
        <f t="array" ref="U99">XLOOKUP(D99,RUC!$B$3:$B$110,RUC!$F$3:$F$110)</f>
        <v>120</v>
      </c>
      <c r="V99" s="67">
        <v>1.1023</v>
      </c>
      <c r="Y99" s="57">
        <f t="array" ref="Y99">XLOOKUP(D99,RUC!$B$3:$B$110,RUC!$G$3:$G$110)</f>
        <v>20</v>
      </c>
      <c r="Z99" s="69">
        <f t="array" ref="Z99">XLOOKUP(D99,RUC!$B$3:$B$110,RUC!$H$3:$H$110)</f>
        <v>30</v>
      </c>
      <c r="AA99" s="70">
        <f t="shared" si="6"/>
        <v>50</v>
      </c>
      <c r="AB99" s="71">
        <v>0.0</v>
      </c>
      <c r="AC99" s="71">
        <f>+(S99-T99)*V99-'data 1'!$F$4</f>
        <v>24.7185</v>
      </c>
      <c r="AD99" s="71">
        <f t="shared" si="8"/>
        <v>27.91853235</v>
      </c>
      <c r="AE99" s="71">
        <f t="shared" si="42"/>
        <v>-14.885</v>
      </c>
      <c r="AF99" s="71">
        <f t="shared" si="10"/>
        <v>78.59057243</v>
      </c>
      <c r="AG99" s="72">
        <f>AC99+AD99+AE99+AF99+70+136.27</f>
        <v>322.6126048</v>
      </c>
      <c r="AH99" s="193">
        <f t="shared" si="12"/>
        <v>5.718</v>
      </c>
      <c r="AI99" s="193">
        <f t="shared" si="13"/>
        <v>6.645</v>
      </c>
      <c r="AJ99" s="73">
        <f t="shared" si="14"/>
        <v>22.69185256</v>
      </c>
      <c r="AK99" s="73">
        <f t="shared" si="15"/>
        <v>4.264087426</v>
      </c>
      <c r="AM99" s="51">
        <f t="shared" si="16"/>
        <v>0</v>
      </c>
      <c r="AN99" s="51" t="str">
        <f t="array" ref="AN99">XLOOKUP(D99,RUC!$B$3:$B$565,RUC!$M$3:$M$565)</f>
        <v>Renzo</v>
      </c>
      <c r="AO99" s="131" t="s">
        <v>551</v>
      </c>
      <c r="AP99" s="57" t="s">
        <v>1291</v>
      </c>
      <c r="AQ99" s="57" t="s">
        <v>878</v>
      </c>
    </row>
    <row r="100" ht="15.0" customHeight="1">
      <c r="A100" s="116" t="s">
        <v>2607</v>
      </c>
      <c r="B100" s="182">
        <v>46028.0</v>
      </c>
      <c r="C100" s="182">
        <v>46016.0</v>
      </c>
      <c r="D100" s="57" t="s">
        <v>852</v>
      </c>
      <c r="E100" s="3">
        <f t="array" ref="E100">XLOOKUP(D100,RUC!$B$3:$B$110,RUC!$D$3:$D$110)</f>
        <v>20610807004</v>
      </c>
      <c r="G100" s="141">
        <v>25.0</v>
      </c>
      <c r="H100" s="3" t="s">
        <v>47</v>
      </c>
      <c r="I100" s="6">
        <v>2.09</v>
      </c>
      <c r="J100" s="58">
        <v>4.05</v>
      </c>
      <c r="K100" s="6">
        <f t="shared" si="2"/>
        <v>2.005</v>
      </c>
      <c r="L100" s="139">
        <v>0.173</v>
      </c>
      <c r="M100" s="60">
        <f t="shared" si="41"/>
        <v>0.154</v>
      </c>
      <c r="N100" s="62">
        <f t="shared" si="47"/>
        <v>0.154</v>
      </c>
      <c r="O100" s="60">
        <f t="shared" si="5"/>
        <v>0.154</v>
      </c>
      <c r="P100" s="63">
        <v>85.0</v>
      </c>
      <c r="Q100" s="58">
        <v>91.33</v>
      </c>
      <c r="R100" s="65">
        <v>4480.8</v>
      </c>
      <c r="S100" s="66">
        <f t="array" ref="S100">IF((XLOOKUP(D100,RUC!$B$3:$B$106,RUC!$E$3:$E$106)+ROUNDDOWN(O100,1)*100)&lt;95,95,((XLOOKUP(D100,RUC!$B$3:$B$106,RUC!$E$3:$E$106)+ROUNDDOWN(O100,1)*100)))</f>
        <v>95</v>
      </c>
      <c r="U100" s="67">
        <f t="array" ref="U100">XLOOKUP(D100,RUC!$B$3:$B$110,RUC!$F$3:$F$110)</f>
        <v>120</v>
      </c>
      <c r="V100" s="67">
        <v>1.1023</v>
      </c>
      <c r="Y100" s="57">
        <f t="array" ref="Y100">XLOOKUP(D100,RUC!$B$3:$B$110,RUC!$G$3:$G$110)</f>
        <v>20</v>
      </c>
      <c r="Z100" s="69">
        <f t="array" ref="Z100">XLOOKUP(D100,RUC!$B$3:$B$110,RUC!$H$3:$H$110)</f>
        <v>30</v>
      </c>
      <c r="AA100" s="70">
        <f t="shared" si="6"/>
        <v>50</v>
      </c>
      <c r="AB100" s="71">
        <f t="shared" ref="AB100:AB121" si="50">+((O100*P100*(R100-U100)/100)-S100-AA100+T100)*V100</f>
        <v>469.3909981</v>
      </c>
      <c r="AC100" s="71">
        <f>+(S100-T100)*V100-'data 1'!$F$4</f>
        <v>24.7185</v>
      </c>
      <c r="AD100" s="71">
        <f t="shared" si="8"/>
        <v>52.63998897</v>
      </c>
      <c r="AE100" s="71">
        <f t="shared" si="42"/>
        <v>-14.885</v>
      </c>
      <c r="AF100" s="71">
        <f t="shared" si="10"/>
        <v>83.41286438</v>
      </c>
      <c r="AG100" s="72">
        <f>AC100+AD100+AE100+AF100+70</f>
        <v>215.8863533</v>
      </c>
      <c r="AH100" s="193">
        <f t="shared" si="12"/>
        <v>10.861</v>
      </c>
      <c r="AI100" s="193">
        <f t="shared" si="13"/>
        <v>11.892</v>
      </c>
      <c r="AJ100" s="73">
        <f t="shared" si="14"/>
        <v>43.4017665</v>
      </c>
      <c r="AK100" s="73">
        <f t="shared" si="15"/>
        <v>8.998354378</v>
      </c>
      <c r="AM100" s="51">
        <f t="shared" si="16"/>
        <v>941.1289511</v>
      </c>
      <c r="AN100" s="51" t="str">
        <f t="array" ref="AN100">XLOOKUP(D100,RUC!$B$3:$B$565,RUC!$M$3:$M$565)</f>
        <v>Renzo</v>
      </c>
      <c r="AO100" s="131" t="s">
        <v>551</v>
      </c>
      <c r="AP100" s="57" t="s">
        <v>1291</v>
      </c>
      <c r="AQ100" s="57" t="s">
        <v>878</v>
      </c>
    </row>
    <row r="101" ht="15.0" customHeight="1">
      <c r="A101" s="116" t="s">
        <v>2608</v>
      </c>
      <c r="B101" s="182">
        <v>46028.0</v>
      </c>
      <c r="C101" s="182">
        <v>46016.0</v>
      </c>
      <c r="D101" s="57" t="s">
        <v>602</v>
      </c>
      <c r="E101" s="3">
        <f t="array" ref="E101">XLOOKUP(D101,RUC!$B$3:$B$110,RUC!$D$3:$D$110)</f>
        <v>20169040231</v>
      </c>
      <c r="G101" s="141">
        <v>16.0</v>
      </c>
      <c r="H101" s="3" t="s">
        <v>40</v>
      </c>
      <c r="I101" s="6">
        <v>1.32</v>
      </c>
      <c r="J101" s="58">
        <v>30.1</v>
      </c>
      <c r="K101" s="6">
        <f t="shared" si="2"/>
        <v>0.923</v>
      </c>
      <c r="L101" s="139">
        <v>2.86</v>
      </c>
      <c r="M101" s="60">
        <v>2.605</v>
      </c>
      <c r="N101" s="62">
        <f t="shared" si="47"/>
        <v>2.605</v>
      </c>
      <c r="O101" s="60">
        <f t="shared" si="5"/>
        <v>2.605</v>
      </c>
      <c r="P101" s="63">
        <v>90.0</v>
      </c>
      <c r="Q101" s="58">
        <v>93.64</v>
      </c>
      <c r="R101" s="65">
        <v>4480.8</v>
      </c>
      <c r="S101" s="66">
        <f t="array" ref="S101">IF((XLOOKUP(D101,RUC!$B$3:$B$106,RUC!$E$3:$E$106)+ROUNDDOWN(O101,1)*100)&lt;95,95,((XLOOKUP(D101,RUC!$B$3:$B$106,RUC!$E$3:$E$106)+ROUNDDOWN(O101,1)*100)))</f>
        <v>345</v>
      </c>
      <c r="U101" s="67">
        <f t="array" ref="U101">XLOOKUP(D101,RUC!$B$3:$B$110,RUC!$F$3:$F$110)</f>
        <v>120</v>
      </c>
      <c r="V101" s="67">
        <v>1.1023</v>
      </c>
      <c r="Y101" s="199">
        <v>35.0</v>
      </c>
      <c r="Z101" s="140">
        <v>48.0</v>
      </c>
      <c r="AA101" s="70">
        <f t="shared" si="6"/>
        <v>83</v>
      </c>
      <c r="AB101" s="71">
        <f t="shared" si="50"/>
        <v>10798.01572</v>
      </c>
      <c r="AC101" s="71">
        <f>+(S101-T101)*V101-'data 1'!$F$4</f>
        <v>300.2935</v>
      </c>
      <c r="AD101" s="71">
        <f t="shared" si="8"/>
        <v>500.418542</v>
      </c>
      <c r="AE101" s="71">
        <f t="shared" si="42"/>
        <v>21.4909</v>
      </c>
      <c r="AF101" s="71">
        <f t="shared" si="10"/>
        <v>1147.803545</v>
      </c>
      <c r="AG101" s="72">
        <f>AC101+AD101+AE101+AF101+70-53</f>
        <v>1987.006487</v>
      </c>
      <c r="AH101" s="193">
        <f t="shared" si="12"/>
        <v>84.75</v>
      </c>
      <c r="AI101" s="193">
        <f t="shared" si="13"/>
        <v>90.506</v>
      </c>
      <c r="AJ101" s="73">
        <f t="shared" si="14"/>
        <v>735.6568506</v>
      </c>
      <c r="AK101" s="73">
        <f t="shared" si="15"/>
        <v>74.19267118</v>
      </c>
      <c r="AM101" s="51">
        <f t="shared" si="16"/>
        <v>9966.568509</v>
      </c>
      <c r="AN101" s="51" t="str">
        <f t="array" ref="AN101">XLOOKUP(D101,RUC!$B$3:$B$565,RUC!$M$3:$M$565)</f>
        <v>Ronald Miranda</v>
      </c>
      <c r="AO101" s="131" t="s">
        <v>547</v>
      </c>
      <c r="AP101" s="57" t="s">
        <v>2609</v>
      </c>
      <c r="AQ101" s="57" t="s">
        <v>2610</v>
      </c>
    </row>
    <row r="102" ht="15.0" customHeight="1">
      <c r="A102" s="116" t="s">
        <v>2611</v>
      </c>
      <c r="B102" s="182">
        <v>46028.0</v>
      </c>
      <c r="C102" s="182">
        <v>46016.0</v>
      </c>
      <c r="D102" s="57" t="s">
        <v>852</v>
      </c>
      <c r="E102" s="3">
        <f t="array" ref="E102">XLOOKUP(D102,RUC!$B$3:$B$110,RUC!$D$3:$D$110)</f>
        <v>20610807004</v>
      </c>
      <c r="G102" s="141">
        <v>25.0</v>
      </c>
      <c r="H102" s="3" t="s">
        <v>47</v>
      </c>
      <c r="I102" s="6">
        <v>2.24</v>
      </c>
      <c r="J102" s="58">
        <v>13.7</v>
      </c>
      <c r="K102" s="6">
        <f t="shared" si="2"/>
        <v>1.933</v>
      </c>
      <c r="L102" s="139">
        <v>0.217</v>
      </c>
      <c r="M102" s="60">
        <f t="shared" ref="M102:M112" si="51">ROUND(+IF(AN102="Melchor Vera",IF(L102&gt;0.467,L102*0.985,(L102-0.007)),IF(L102&gt;0.3,L102*0.94,(L102-0.019))),3)</f>
        <v>0.198</v>
      </c>
      <c r="N102" s="62">
        <f t="shared" si="47"/>
        <v>0.198</v>
      </c>
      <c r="O102" s="60">
        <f t="shared" si="5"/>
        <v>0.198</v>
      </c>
      <c r="P102" s="63">
        <v>85.0</v>
      </c>
      <c r="Q102" s="58">
        <v>93.01</v>
      </c>
      <c r="R102" s="65">
        <v>4480.8</v>
      </c>
      <c r="S102" s="66">
        <f t="array" ref="S102">IF((XLOOKUP(D102,RUC!$B$3:$B$106,RUC!$E$3:$E$106)+ROUNDDOWN(O102,1)*100)&lt;95,95,((XLOOKUP(D102,RUC!$B$3:$B$106,RUC!$E$3:$E$106)+ROUNDDOWN(O102,1)*100)))</f>
        <v>95</v>
      </c>
      <c r="U102" s="67">
        <f t="array" ref="U102">XLOOKUP(D102,RUC!$B$3:$B$110,RUC!$F$3:$F$110)</f>
        <v>120</v>
      </c>
      <c r="V102" s="67">
        <v>1.1023</v>
      </c>
      <c r="Y102" s="57">
        <f t="array" ref="Y102">XLOOKUP(D102,RUC!$B$3:$B$110,RUC!$G$3:$G$110)</f>
        <v>20</v>
      </c>
      <c r="Z102" s="69">
        <f t="array" ref="Z102">XLOOKUP(D102,RUC!$B$3:$B$110,RUC!$H$3:$H$110)</f>
        <v>30</v>
      </c>
      <c r="AA102" s="70">
        <f t="shared" si="6"/>
        <v>50</v>
      </c>
      <c r="AB102" s="71">
        <f t="shared" si="50"/>
        <v>649.1694261</v>
      </c>
      <c r="AC102" s="71">
        <f>+(S102-T102)*V102-'data 1'!$F$4</f>
        <v>24.7185</v>
      </c>
      <c r="AD102" s="71">
        <f t="shared" si="8"/>
        <v>83.55226477</v>
      </c>
      <c r="AE102" s="71">
        <f t="shared" si="42"/>
        <v>-14.885</v>
      </c>
      <c r="AF102" s="71">
        <f t="shared" si="10"/>
        <v>84.94723</v>
      </c>
      <c r="AG102" s="72">
        <f>AC102+AD102+AE102+AF102+70</f>
        <v>248.3329948</v>
      </c>
      <c r="AH102" s="193">
        <f t="shared" si="12"/>
        <v>13.376</v>
      </c>
      <c r="AI102" s="193">
        <f t="shared" si="13"/>
        <v>14.381</v>
      </c>
      <c r="AJ102" s="73">
        <f t="shared" si="14"/>
        <v>55.44178746</v>
      </c>
      <c r="AK102" s="73">
        <f t="shared" si="15"/>
        <v>11.15385615</v>
      </c>
      <c r="AM102" s="51">
        <f t="shared" si="16"/>
        <v>1254.844501</v>
      </c>
      <c r="AN102" s="51" t="str">
        <f t="array" ref="AN102">XLOOKUP(D102,RUC!$B$3:$B$565,RUC!$M$3:$M$565)</f>
        <v>Renzo</v>
      </c>
      <c r="AO102" s="131" t="s">
        <v>551</v>
      </c>
      <c r="AP102" s="57" t="s">
        <v>1291</v>
      </c>
      <c r="AQ102" s="57" t="s">
        <v>878</v>
      </c>
    </row>
    <row r="103" ht="15.0" customHeight="1">
      <c r="A103" s="116" t="s">
        <v>2612</v>
      </c>
      <c r="B103" s="182">
        <v>46028.0</v>
      </c>
      <c r="C103" s="182">
        <v>46017.0</v>
      </c>
      <c r="D103" s="57" t="s">
        <v>602</v>
      </c>
      <c r="E103" s="3">
        <f t="array" ref="E103">XLOOKUP(D103,RUC!$B$3:$B$110,RUC!$D$3:$D$110)</f>
        <v>20169040231</v>
      </c>
      <c r="G103" s="141">
        <v>28.0</v>
      </c>
      <c r="H103" s="3" t="s">
        <v>47</v>
      </c>
      <c r="I103" s="6">
        <v>2.71</v>
      </c>
      <c r="J103" s="58">
        <v>6.15</v>
      </c>
      <c r="K103" s="6">
        <f t="shared" si="2"/>
        <v>2.543</v>
      </c>
      <c r="L103" s="139">
        <v>0.361</v>
      </c>
      <c r="M103" s="60">
        <f t="shared" si="51"/>
        <v>0.339</v>
      </c>
      <c r="N103" s="62">
        <f t="shared" si="47"/>
        <v>0.339</v>
      </c>
      <c r="O103" s="60">
        <f t="shared" si="5"/>
        <v>0.339</v>
      </c>
      <c r="P103" s="63">
        <v>90.0</v>
      </c>
      <c r="Q103" s="58">
        <v>98.91</v>
      </c>
      <c r="R103" s="65">
        <v>4480.8</v>
      </c>
      <c r="S103" s="66">
        <f t="array" ref="S103">IF((XLOOKUP(D103,RUC!$B$3:$B$106,RUC!$E$3:$E$106)+ROUNDDOWN(O103,1)*100)&lt;95,95,((XLOOKUP(D103,RUC!$B$3:$B$106,RUC!$E$3:$E$106)+ROUNDDOWN(O103,1)*100)))</f>
        <v>115</v>
      </c>
      <c r="U103" s="67">
        <f t="array" ref="U103">XLOOKUP(D103,RUC!$B$3:$B$110,RUC!$F$3:$F$110)</f>
        <v>120</v>
      </c>
      <c r="V103" s="67">
        <v>1.1023</v>
      </c>
      <c r="Y103" s="199">
        <v>25.0</v>
      </c>
      <c r="Z103" s="140">
        <v>38.0</v>
      </c>
      <c r="AA103" s="70">
        <f t="shared" si="6"/>
        <v>63</v>
      </c>
      <c r="AB103" s="71">
        <f t="shared" si="50"/>
        <v>1270.378792</v>
      </c>
      <c r="AC103" s="71">
        <f>+(S103-T103)*V103-'data 1'!$F$4</f>
        <v>46.7645</v>
      </c>
      <c r="AD103" s="71">
        <f t="shared" si="8"/>
        <v>154.6147357</v>
      </c>
      <c r="AE103" s="71">
        <f t="shared" si="42"/>
        <v>-0.5551</v>
      </c>
      <c r="AF103" s="71">
        <f t="shared" si="10"/>
        <v>104.5993195</v>
      </c>
      <c r="AG103" s="72">
        <f t="shared" ref="AG103:AG112" si="52">AC103+AD103+AE103+AF103+70-53</f>
        <v>322.4234552</v>
      </c>
      <c r="AH103" s="193">
        <f t="shared" si="12"/>
        <v>31.132</v>
      </c>
      <c r="AI103" s="193">
        <f t="shared" si="13"/>
        <v>31.475</v>
      </c>
      <c r="AJ103" s="73">
        <f t="shared" si="14"/>
        <v>98.08334064</v>
      </c>
      <c r="AK103" s="73">
        <f t="shared" si="15"/>
        <v>26.60098003</v>
      </c>
      <c r="AM103" s="51">
        <f t="shared" si="16"/>
        <v>3230.573269</v>
      </c>
      <c r="AN103" s="51" t="str">
        <f t="array" ref="AN103">XLOOKUP(D103,RUC!$B$3:$B$565,RUC!$M$3:$M$565)</f>
        <v>Ronald Miranda</v>
      </c>
      <c r="AO103" s="131" t="s">
        <v>547</v>
      </c>
      <c r="AP103" s="57" t="s">
        <v>2609</v>
      </c>
      <c r="AQ103" s="57" t="s">
        <v>2610</v>
      </c>
    </row>
    <row r="104" ht="15.0" customHeight="1">
      <c r="A104" s="116" t="s">
        <v>2613</v>
      </c>
      <c r="B104" s="182">
        <v>46024.0</v>
      </c>
      <c r="C104" s="182">
        <v>46017.0</v>
      </c>
      <c r="D104" s="57" t="s">
        <v>665</v>
      </c>
      <c r="E104" s="3">
        <f t="array" ref="E104">XLOOKUP(D104,RUC!$B$3:$B$110,RUC!$D$3:$D$110)</f>
        <v>20608774000</v>
      </c>
      <c r="G104" s="141">
        <v>14.0</v>
      </c>
      <c r="H104" s="3" t="s">
        <v>47</v>
      </c>
      <c r="I104" s="6">
        <v>1.17</v>
      </c>
      <c r="J104" s="58">
        <v>1.2</v>
      </c>
      <c r="K104" s="6">
        <f t="shared" si="2"/>
        <v>1.156</v>
      </c>
      <c r="L104" s="139">
        <v>0.358</v>
      </c>
      <c r="M104" s="60">
        <f t="shared" si="51"/>
        <v>0.337</v>
      </c>
      <c r="N104" s="62">
        <f t="shared" si="47"/>
        <v>0.337</v>
      </c>
      <c r="O104" s="60">
        <f t="shared" si="5"/>
        <v>0.337</v>
      </c>
      <c r="P104" s="63">
        <v>90.0</v>
      </c>
      <c r="Q104" s="58">
        <v>95.81</v>
      </c>
      <c r="R104" s="65">
        <v>4480.8</v>
      </c>
      <c r="S104" s="66">
        <f t="array" ref="S104">IF((XLOOKUP(D104,RUC!$B$3:$B$106,RUC!$E$3:$E$106)+ROUNDDOWN(O104,1)*100)&lt;95,95,((XLOOKUP(D104,RUC!$B$3:$B$106,RUC!$E$3:$E$106)+ROUNDDOWN(O104,1)*100)))</f>
        <v>115</v>
      </c>
      <c r="U104" s="67">
        <f t="array" ref="U104">XLOOKUP(D104,RUC!$B$3:$B$110,RUC!$F$3:$F$110)</f>
        <v>120</v>
      </c>
      <c r="V104" s="67">
        <v>1.1023</v>
      </c>
      <c r="Y104" s="199">
        <v>25.0</v>
      </c>
      <c r="Z104" s="140">
        <v>35.0</v>
      </c>
      <c r="AA104" s="70">
        <f t="shared" si="6"/>
        <v>60</v>
      </c>
      <c r="AB104" s="71">
        <f t="shared" si="50"/>
        <v>1265.033254</v>
      </c>
      <c r="AC104" s="71">
        <f>+(S104-T104)*V104-'data 1'!$F$4</f>
        <v>46.7645</v>
      </c>
      <c r="AD104" s="71">
        <f t="shared" si="8"/>
        <v>99.98276329</v>
      </c>
      <c r="AE104" s="71">
        <f t="shared" si="42"/>
        <v>-3.862</v>
      </c>
      <c r="AF104" s="71">
        <f t="shared" si="10"/>
        <v>96.71550667</v>
      </c>
      <c r="AG104" s="72">
        <f t="shared" si="52"/>
        <v>256.60077</v>
      </c>
      <c r="AH104" s="193">
        <f t="shared" si="12"/>
        <v>13.594</v>
      </c>
      <c r="AI104" s="193">
        <f t="shared" si="13"/>
        <v>14.189</v>
      </c>
      <c r="AJ104" s="73">
        <f t="shared" si="14"/>
        <v>94.21969894</v>
      </c>
      <c r="AK104" s="73">
        <f t="shared" si="15"/>
        <v>12.02096447</v>
      </c>
      <c r="AM104" s="51">
        <f t="shared" si="16"/>
        <v>1462.378442</v>
      </c>
      <c r="AN104" s="51" t="str">
        <f t="array" ref="AN104">XLOOKUP(D104,RUC!$B$3:$B$565,RUC!$M$3:$M$565)</f>
        <v>Ronald Miranda</v>
      </c>
      <c r="AO104" s="131" t="s">
        <v>547</v>
      </c>
      <c r="AP104" s="57" t="s">
        <v>2602</v>
      </c>
      <c r="AQ104" s="57" t="s">
        <v>2603</v>
      </c>
    </row>
    <row r="105" ht="15.0" customHeight="1">
      <c r="A105" s="116" t="s">
        <v>2614</v>
      </c>
      <c r="B105" s="182">
        <v>46024.0</v>
      </c>
      <c r="C105" s="182">
        <v>46017.0</v>
      </c>
      <c r="D105" s="57" t="s">
        <v>602</v>
      </c>
      <c r="E105" s="3">
        <f t="array" ref="E105">XLOOKUP(D105,RUC!$B$3:$B$110,RUC!$D$3:$D$110)</f>
        <v>20169040231</v>
      </c>
      <c r="G105" s="141">
        <v>56.0</v>
      </c>
      <c r="H105" s="3" t="s">
        <v>47</v>
      </c>
      <c r="I105" s="6">
        <v>4.7</v>
      </c>
      <c r="J105" s="58">
        <v>1.3</v>
      </c>
      <c r="K105" s="6">
        <f t="shared" si="2"/>
        <v>4.639</v>
      </c>
      <c r="L105" s="139">
        <v>0.376</v>
      </c>
      <c r="M105" s="60">
        <f t="shared" si="51"/>
        <v>0.353</v>
      </c>
      <c r="N105" s="62">
        <v>0.353</v>
      </c>
      <c r="O105" s="60">
        <f t="shared" si="5"/>
        <v>0.353</v>
      </c>
      <c r="P105" s="63">
        <v>88.0</v>
      </c>
      <c r="Q105" s="58">
        <v>88.03</v>
      </c>
      <c r="R105" s="65">
        <v>4480.8</v>
      </c>
      <c r="S105" s="66">
        <f t="array" ref="S105">IF((XLOOKUP(D105,RUC!$B$3:$B$106,RUC!$E$3:$E$106)+ROUNDDOWN(O105,1)*100)&lt;95,95,((XLOOKUP(D105,RUC!$B$3:$B$106,RUC!$E$3:$E$106)+ROUNDDOWN(O105,1)*100)))</f>
        <v>115</v>
      </c>
      <c r="U105" s="67">
        <f t="array" ref="U105">XLOOKUP(D105,RUC!$B$3:$B$110,RUC!$F$3:$F$110)</f>
        <v>120</v>
      </c>
      <c r="V105" s="67">
        <v>1.1023</v>
      </c>
      <c r="Y105" s="199">
        <v>25.0</v>
      </c>
      <c r="Z105" s="140">
        <v>38.0</v>
      </c>
      <c r="AA105" s="70">
        <f t="shared" si="6"/>
        <v>63</v>
      </c>
      <c r="AB105" s="71">
        <f t="shared" si="50"/>
        <v>1297.009073</v>
      </c>
      <c r="AC105" s="71">
        <f>+(S105-T105)*V105-'data 1'!$F$4</f>
        <v>46.7645</v>
      </c>
      <c r="AD105" s="71">
        <f t="shared" si="8"/>
        <v>0.54221943</v>
      </c>
      <c r="AE105" s="71">
        <f t="shared" si="42"/>
        <v>-0.5551</v>
      </c>
      <c r="AF105" s="71">
        <f t="shared" si="10"/>
        <v>97.32502284</v>
      </c>
      <c r="AG105" s="72">
        <f t="shared" si="52"/>
        <v>161.0766423</v>
      </c>
      <c r="AH105" s="193">
        <f t="shared" si="12"/>
        <v>52.644</v>
      </c>
      <c r="AI105" s="193">
        <f t="shared" si="13"/>
        <v>59.803</v>
      </c>
      <c r="AJ105" s="73">
        <f t="shared" si="14"/>
        <v>90.92145817</v>
      </c>
      <c r="AK105" s="73">
        <f t="shared" si="15"/>
        <v>49.40726565</v>
      </c>
      <c r="AM105" s="51">
        <f t="shared" si="16"/>
        <v>6016.825088</v>
      </c>
      <c r="AN105" s="51" t="str">
        <f t="array" ref="AN105">XLOOKUP(D105,RUC!$B$3:$B$565,RUC!$M$3:$M$565)</f>
        <v>Ronald Miranda</v>
      </c>
      <c r="AO105" s="131" t="s">
        <v>547</v>
      </c>
      <c r="AP105" s="57" t="s">
        <v>2609</v>
      </c>
      <c r="AQ105" s="57" t="s">
        <v>2610</v>
      </c>
    </row>
    <row r="106" ht="15.0" customHeight="1">
      <c r="A106" s="116" t="s">
        <v>2615</v>
      </c>
      <c r="B106" s="182">
        <v>46029.0</v>
      </c>
      <c r="C106" s="182">
        <v>46019.0</v>
      </c>
      <c r="D106" s="57" t="s">
        <v>225</v>
      </c>
      <c r="E106" s="3">
        <f t="array" ref="E106">XLOOKUP(D106,RUC!$B$3:$B$110,RUC!$D$3:$D$110)</f>
        <v>10761932735</v>
      </c>
      <c r="G106" s="141">
        <v>60.0</v>
      </c>
      <c r="H106" s="3" t="s">
        <v>47</v>
      </c>
      <c r="I106" s="6">
        <v>5.47</v>
      </c>
      <c r="J106" s="58">
        <v>7.05</v>
      </c>
      <c r="K106" s="6">
        <f t="shared" si="2"/>
        <v>5.084</v>
      </c>
      <c r="L106" s="139">
        <v>0.179</v>
      </c>
      <c r="M106" s="60">
        <f t="shared" si="51"/>
        <v>0.16</v>
      </c>
      <c r="N106" s="62">
        <f t="shared" ref="N106:N107" si="53">+M106</f>
        <v>0.16</v>
      </c>
      <c r="O106" s="60">
        <f t="shared" si="5"/>
        <v>0.16</v>
      </c>
      <c r="P106" s="63">
        <v>88.0</v>
      </c>
      <c r="Q106" s="58">
        <v>88.83</v>
      </c>
      <c r="R106" s="65">
        <v>4480.8</v>
      </c>
      <c r="S106" s="66">
        <f t="array" ref="S106">IF((XLOOKUP(D106,RUC!$B$3:$B$106,RUC!$E$3:$E$106)+ROUNDDOWN(O106,1)*100)&lt;95,95,((XLOOKUP(D106,RUC!$B$3:$B$106,RUC!$E$3:$E$106)+ROUNDDOWN(O106,1)*100)))</f>
        <v>100</v>
      </c>
      <c r="U106" s="67">
        <f t="array" ref="U106">XLOOKUP(D106,RUC!$B$3:$B$110,RUC!$F$3:$F$110)</f>
        <v>120</v>
      </c>
      <c r="V106" s="67">
        <v>1.1023</v>
      </c>
      <c r="Y106" s="57">
        <f t="array" ref="Y106">XLOOKUP(D106,RUC!$B$3:$B$110,RUC!$G$3:$G$110)</f>
        <v>20</v>
      </c>
      <c r="Z106" s="69">
        <f t="array" ref="Z106">XLOOKUP(D106,RUC!$B$3:$B$110,RUC!$H$3:$H$110)</f>
        <v>30</v>
      </c>
      <c r="AA106" s="70">
        <f t="shared" si="6"/>
        <v>50</v>
      </c>
      <c r="AB106" s="71">
        <f t="shared" si="50"/>
        <v>511.4679055</v>
      </c>
      <c r="AC106" s="71">
        <f>+(S106-T106)*V106-'data 1'!$F$4</f>
        <v>30.23</v>
      </c>
      <c r="AD106" s="71">
        <f t="shared" si="8"/>
        <v>7.141625949</v>
      </c>
      <c r="AE106" s="71">
        <f t="shared" si="42"/>
        <v>-14.885</v>
      </c>
      <c r="AF106" s="71">
        <f t="shared" si="10"/>
        <v>81.12958221</v>
      </c>
      <c r="AG106" s="72">
        <f t="shared" si="52"/>
        <v>120.6162082</v>
      </c>
      <c r="AH106" s="193">
        <f t="shared" si="12"/>
        <v>27.716</v>
      </c>
      <c r="AI106" s="193">
        <f t="shared" si="13"/>
        <v>31.201</v>
      </c>
      <c r="AJ106" s="73">
        <f t="shared" si="14"/>
        <v>43.67777819</v>
      </c>
      <c r="AK106" s="73">
        <f t="shared" si="15"/>
        <v>24.54241333</v>
      </c>
      <c r="AM106" s="51">
        <f t="shared" si="16"/>
        <v>2600.302831</v>
      </c>
      <c r="AN106" s="51" t="str">
        <f t="array" ref="AN106">XLOOKUP(D106,RUC!$B$3:$B$565,RUC!$M$3:$M$565)</f>
        <v>Richard Sapacayo</v>
      </c>
      <c r="AO106" s="131" t="s">
        <v>547</v>
      </c>
      <c r="AP106" s="57" t="s">
        <v>2234</v>
      </c>
      <c r="AQ106" s="57" t="s">
        <v>2616</v>
      </c>
    </row>
    <row r="107" ht="15.0" customHeight="1">
      <c r="A107" s="116" t="s">
        <v>2617</v>
      </c>
      <c r="B107" s="182">
        <v>46029.0</v>
      </c>
      <c r="C107" s="182">
        <v>46019.0</v>
      </c>
      <c r="D107" s="57" t="s">
        <v>225</v>
      </c>
      <c r="E107" s="3">
        <f t="array" ref="E107">XLOOKUP(D107,RUC!$B$3:$B$110,RUC!$D$3:$D$110)</f>
        <v>10761932735</v>
      </c>
      <c r="G107" s="141">
        <v>296.0</v>
      </c>
      <c r="H107" s="3" t="s">
        <v>47</v>
      </c>
      <c r="I107" s="6">
        <v>9.55</v>
      </c>
      <c r="J107" s="58">
        <v>15.8</v>
      </c>
      <c r="K107" s="6">
        <f t="shared" si="2"/>
        <v>8.041</v>
      </c>
      <c r="L107" s="139">
        <v>0.207</v>
      </c>
      <c r="M107" s="60">
        <f t="shared" si="51"/>
        <v>0.188</v>
      </c>
      <c r="N107" s="62">
        <f t="shared" si="53"/>
        <v>0.188</v>
      </c>
      <c r="O107" s="60">
        <f t="shared" si="5"/>
        <v>0.188</v>
      </c>
      <c r="P107" s="63">
        <v>90.0</v>
      </c>
      <c r="Q107" s="58">
        <v>97.1</v>
      </c>
      <c r="R107" s="65">
        <v>4480.8</v>
      </c>
      <c r="S107" s="66">
        <f t="array" ref="S107">IF((XLOOKUP(D107,RUC!$B$3:$B$106,RUC!$E$3:$E$106)+ROUNDDOWN(O107,1)*100)&lt;95,95,((XLOOKUP(D107,RUC!$B$3:$B$106,RUC!$E$3:$E$106)+ROUNDDOWN(O107,1)*100)))</f>
        <v>100</v>
      </c>
      <c r="U107" s="67">
        <f t="array" ref="U107">XLOOKUP(D107,RUC!$B$3:$B$110,RUC!$F$3:$F$110)</f>
        <v>120</v>
      </c>
      <c r="V107" s="67">
        <v>1.1023</v>
      </c>
      <c r="Y107" s="57">
        <f t="array" ref="Y107">XLOOKUP(D107,RUC!$B$3:$B$110,RUC!$G$3:$G$110)</f>
        <v>20</v>
      </c>
      <c r="Z107" s="69">
        <f t="array" ref="Z107">XLOOKUP(D107,RUC!$B$3:$B$110,RUC!$H$3:$H$110)</f>
        <v>30</v>
      </c>
      <c r="AA107" s="70">
        <f t="shared" si="6"/>
        <v>50</v>
      </c>
      <c r="AB107" s="71">
        <f t="shared" si="50"/>
        <v>647.9841449</v>
      </c>
      <c r="AC107" s="71">
        <f>+(S107-T107)*V107-'data 1'!$F$4</f>
        <v>30.23</v>
      </c>
      <c r="AD107" s="71">
        <f t="shared" si="8"/>
        <v>70.64715392</v>
      </c>
      <c r="AE107" s="71">
        <f t="shared" si="42"/>
        <v>-14.885</v>
      </c>
      <c r="AF107" s="71">
        <f t="shared" si="10"/>
        <v>88.68267964</v>
      </c>
      <c r="AG107" s="72">
        <f t="shared" si="52"/>
        <v>191.6748336</v>
      </c>
      <c r="AH107" s="193">
        <f t="shared" si="12"/>
        <v>55.413</v>
      </c>
      <c r="AI107" s="193">
        <f t="shared" si="13"/>
        <v>57.068</v>
      </c>
      <c r="AJ107" s="73">
        <f t="shared" si="14"/>
        <v>55.21250108</v>
      </c>
      <c r="AK107" s="73">
        <f t="shared" si="15"/>
        <v>46.64654586</v>
      </c>
      <c r="AM107" s="51">
        <f t="shared" si="16"/>
        <v>5210.440509</v>
      </c>
      <c r="AN107" s="51" t="str">
        <f t="array" ref="AN107">XLOOKUP(D107,RUC!$B$3:$B$565,RUC!$M$3:$M$565)</f>
        <v>Richard Sapacayo</v>
      </c>
      <c r="AO107" s="131" t="s">
        <v>547</v>
      </c>
      <c r="AP107" s="57" t="s">
        <v>2234</v>
      </c>
      <c r="AQ107" s="57" t="s">
        <v>2616</v>
      </c>
    </row>
    <row r="108" ht="15.0" customHeight="1">
      <c r="A108" s="116" t="s">
        <v>2618</v>
      </c>
      <c r="B108" s="182">
        <v>46029.0</v>
      </c>
      <c r="C108" s="182">
        <v>46019.0</v>
      </c>
      <c r="D108" s="57" t="s">
        <v>225</v>
      </c>
      <c r="E108" s="3">
        <f t="array" ref="E108">XLOOKUP(D108,RUC!$B$3:$B$110,RUC!$D$3:$D$110)</f>
        <v>10761932735</v>
      </c>
      <c r="G108" s="141">
        <v>36.0</v>
      </c>
      <c r="H108" s="3" t="s">
        <v>47</v>
      </c>
      <c r="I108" s="6">
        <v>3.26</v>
      </c>
      <c r="J108" s="58">
        <v>7.15</v>
      </c>
      <c r="K108" s="6">
        <f t="shared" si="2"/>
        <v>3.027</v>
      </c>
      <c r="L108" s="139">
        <v>0.176</v>
      </c>
      <c r="M108" s="60">
        <f t="shared" si="51"/>
        <v>0.157</v>
      </c>
      <c r="N108" s="75">
        <v>0.243</v>
      </c>
      <c r="O108" s="60">
        <f t="shared" si="5"/>
        <v>0.2</v>
      </c>
      <c r="P108" s="63">
        <v>90.0</v>
      </c>
      <c r="Q108" s="58">
        <v>96.02</v>
      </c>
      <c r="R108" s="65">
        <v>4480.8</v>
      </c>
      <c r="S108" s="66">
        <f t="array" ref="S108">IF((XLOOKUP(D108,RUC!$B$3:$B$106,RUC!$E$3:$E$106)+ROUNDDOWN(O108,1)*100)&lt;95,95,((XLOOKUP(D108,RUC!$B$3:$B$106,RUC!$E$3:$E$106)+ROUNDDOWN(O108,1)*100)))</f>
        <v>110</v>
      </c>
      <c r="U108" s="67">
        <f t="array" ref="U108">XLOOKUP(D108,RUC!$B$3:$B$110,RUC!$F$3:$F$110)</f>
        <v>120</v>
      </c>
      <c r="V108" s="67">
        <v>1.1023</v>
      </c>
      <c r="Y108" s="199">
        <v>40.0</v>
      </c>
      <c r="Z108" s="69">
        <f t="array" ref="Z108">XLOOKUP(D108,RUC!$B$3:$B$110,RUC!$H$3:$H$110)</f>
        <v>30</v>
      </c>
      <c r="AA108" s="70">
        <f t="shared" si="6"/>
        <v>70</v>
      </c>
      <c r="AB108" s="71">
        <f t="shared" si="50"/>
        <v>666.8297712</v>
      </c>
      <c r="AC108" s="71">
        <f>+(S108-T108)*V108-'data 1'!$F$4</f>
        <v>41.253</v>
      </c>
      <c r="AD108" s="71">
        <f t="shared" si="8"/>
        <v>50.93017114</v>
      </c>
      <c r="AE108" s="71">
        <f t="shared" si="42"/>
        <v>7.161</v>
      </c>
      <c r="AF108" s="71">
        <f t="shared" si="10"/>
        <v>-110.7742759</v>
      </c>
      <c r="AG108" s="72">
        <f t="shared" si="52"/>
        <v>5.569895256</v>
      </c>
      <c r="AH108" s="193">
        <f t="shared" si="12"/>
        <v>17.539</v>
      </c>
      <c r="AI108" s="193">
        <f t="shared" si="13"/>
        <v>18.266</v>
      </c>
      <c r="AJ108" s="73">
        <f t="shared" si="14"/>
        <v>46.42182551</v>
      </c>
      <c r="AK108" s="73">
        <f t="shared" si="15"/>
        <v>18.68073653</v>
      </c>
      <c r="AM108" s="51">
        <f t="shared" si="16"/>
        <v>2018.493717</v>
      </c>
      <c r="AN108" s="51" t="str">
        <f t="array" ref="AN108">XLOOKUP(D108,RUC!$B$3:$B$565,RUC!$M$3:$M$565)</f>
        <v>Richard Sapacayo</v>
      </c>
      <c r="AO108" s="131" t="s">
        <v>547</v>
      </c>
      <c r="AP108" s="57" t="s">
        <v>2234</v>
      </c>
      <c r="AQ108" s="57" t="s">
        <v>2616</v>
      </c>
    </row>
    <row r="109" ht="15.0" customHeight="1">
      <c r="A109" s="116" t="s">
        <v>2619</v>
      </c>
      <c r="B109" s="182">
        <v>46027.0</v>
      </c>
      <c r="C109" s="182">
        <v>46021.0</v>
      </c>
      <c r="D109" s="57" t="s">
        <v>225</v>
      </c>
      <c r="E109" s="3">
        <f t="array" ref="E109">XLOOKUP(D109,RUC!$B$3:$B$110,RUC!$D$3:$D$110)</f>
        <v>10761932735</v>
      </c>
      <c r="G109" s="141" t="s">
        <v>735</v>
      </c>
      <c r="H109" s="3" t="s">
        <v>47</v>
      </c>
      <c r="I109" s="6">
        <v>30.3</v>
      </c>
      <c r="J109" s="58">
        <v>3.55</v>
      </c>
      <c r="K109" s="6">
        <f t="shared" si="2"/>
        <v>29.224</v>
      </c>
      <c r="L109" s="139">
        <v>0.143</v>
      </c>
      <c r="M109" s="60">
        <f t="shared" si="51"/>
        <v>0.124</v>
      </c>
      <c r="N109" s="62">
        <f t="shared" ref="N109:N110" si="54">+M109</f>
        <v>0.124</v>
      </c>
      <c r="O109" s="60">
        <f t="shared" si="5"/>
        <v>0.124</v>
      </c>
      <c r="P109" s="63">
        <v>80.0</v>
      </c>
      <c r="Q109" s="58">
        <v>97.2</v>
      </c>
      <c r="R109" s="65">
        <v>4367.8</v>
      </c>
      <c r="S109" s="66">
        <f t="array" ref="S109">IF((XLOOKUP(D109,RUC!$B$3:$B$106,RUC!$E$3:$E$106)+ROUNDDOWN(O109,1)*100)&lt;95,95,((XLOOKUP(D109,RUC!$B$3:$B$106,RUC!$E$3:$E$106)+ROUNDDOWN(O109,1)*100)))</f>
        <v>100</v>
      </c>
      <c r="U109" s="67">
        <f t="array" ref="U109">XLOOKUP(D109,RUC!$B$3:$B$110,RUC!$F$3:$F$110)</f>
        <v>120</v>
      </c>
      <c r="V109" s="67">
        <v>1.1023</v>
      </c>
      <c r="Y109" s="57">
        <f t="array" ref="Y109">XLOOKUP(D109,RUC!$B$3:$B$110,RUC!$G$3:$G$110)</f>
        <v>20</v>
      </c>
      <c r="Z109" s="69">
        <f t="array" ref="Z109">XLOOKUP(D109,RUC!$B$3:$B$110,RUC!$H$3:$H$110)</f>
        <v>30</v>
      </c>
      <c r="AA109" s="70">
        <f t="shared" si="6"/>
        <v>50</v>
      </c>
      <c r="AB109" s="71">
        <f t="shared" si="50"/>
        <v>299.144114</v>
      </c>
      <c r="AC109" s="71">
        <f>+(S109-T109)*V109-'data 1'!$F$4</f>
        <v>30.23</v>
      </c>
      <c r="AD109" s="71">
        <f t="shared" si="8"/>
        <v>115.1670791</v>
      </c>
      <c r="AE109" s="71">
        <f t="shared" si="42"/>
        <v>-14.885</v>
      </c>
      <c r="AF109" s="71">
        <f t="shared" si="10"/>
        <v>86.47363869</v>
      </c>
      <c r="AG109" s="72">
        <f t="shared" si="52"/>
        <v>233.9857178</v>
      </c>
      <c r="AH109" s="193">
        <f t="shared" si="12"/>
        <v>139.268</v>
      </c>
      <c r="AI109" s="193">
        <f t="shared" si="13"/>
        <v>143.28</v>
      </c>
      <c r="AJ109" s="73">
        <f t="shared" si="14"/>
        <v>55.49457833</v>
      </c>
      <c r="AK109" s="73">
        <f t="shared" si="15"/>
        <v>99.39405309</v>
      </c>
      <c r="AM109" s="51">
        <f t="shared" si="16"/>
        <v>8742.187589</v>
      </c>
      <c r="AN109" s="51" t="str">
        <f t="array" ref="AN109">XLOOKUP(D109,RUC!$B$3:$B$565,RUC!$M$3:$M$565)</f>
        <v>Richard Sapacayo</v>
      </c>
      <c r="AO109" s="131" t="s">
        <v>547</v>
      </c>
      <c r="AP109" s="57" t="s">
        <v>2620</v>
      </c>
      <c r="AQ109" s="57" t="s">
        <v>1221</v>
      </c>
    </row>
    <row r="110" ht="15.0" customHeight="1">
      <c r="A110" s="116" t="s">
        <v>2621</v>
      </c>
      <c r="B110" s="182">
        <v>46027.0</v>
      </c>
      <c r="C110" s="182">
        <v>46021.0</v>
      </c>
      <c r="D110" s="57" t="s">
        <v>225</v>
      </c>
      <c r="E110" s="3">
        <f t="array" ref="E110">XLOOKUP(D110,RUC!$B$3:$B$110,RUC!$D$3:$D$110)</f>
        <v>10761932735</v>
      </c>
      <c r="G110" s="141">
        <v>75.0</v>
      </c>
      <c r="H110" s="3" t="s">
        <v>47</v>
      </c>
      <c r="I110" s="6">
        <v>7.09</v>
      </c>
      <c r="J110" s="58">
        <v>7.65</v>
      </c>
      <c r="K110" s="6">
        <f t="shared" si="2"/>
        <v>6.548</v>
      </c>
      <c r="L110" s="139">
        <v>0.221</v>
      </c>
      <c r="M110" s="60">
        <f t="shared" si="51"/>
        <v>0.202</v>
      </c>
      <c r="N110" s="62">
        <f t="shared" si="54"/>
        <v>0.202</v>
      </c>
      <c r="O110" s="60">
        <f t="shared" si="5"/>
        <v>0.202</v>
      </c>
      <c r="P110" s="63">
        <v>90.0</v>
      </c>
      <c r="Q110" s="58">
        <v>94.17</v>
      </c>
      <c r="R110" s="65">
        <v>4367.8</v>
      </c>
      <c r="S110" s="66">
        <f t="array" ref="S110">IF((XLOOKUP(D110,RUC!$B$3:$B$106,RUC!$E$3:$E$106)+ROUNDDOWN(O110,1)*100)&lt;95,95,((XLOOKUP(D110,RUC!$B$3:$B$106,RUC!$E$3:$E$106)+ROUNDDOWN(O110,1)*100)))</f>
        <v>110</v>
      </c>
      <c r="U110" s="67">
        <f t="array" ref="U110">XLOOKUP(D110,RUC!$B$3:$B$110,RUC!$F$3:$F$110)</f>
        <v>120</v>
      </c>
      <c r="V110" s="67">
        <v>1.1023</v>
      </c>
      <c r="Y110" s="57">
        <f t="array" ref="Y110">XLOOKUP(D110,RUC!$B$3:$B$110,RUC!$G$3:$G$110)</f>
        <v>20</v>
      </c>
      <c r="Z110" s="69">
        <f t="array" ref="Z110">XLOOKUP(D110,RUC!$B$3:$B$110,RUC!$H$3:$H$110)</f>
        <v>30</v>
      </c>
      <c r="AA110" s="70">
        <f t="shared" si="6"/>
        <v>50</v>
      </c>
      <c r="AB110" s="71">
        <f t="shared" si="50"/>
        <v>674.8832191</v>
      </c>
      <c r="AC110" s="71">
        <f>+(S110-T110)*V110-'data 1'!$F$4</f>
        <v>41.253</v>
      </c>
      <c r="AD110" s="71">
        <f t="shared" si="8"/>
        <v>43.15113234</v>
      </c>
      <c r="AE110" s="71">
        <f t="shared" si="42"/>
        <v>-14.885</v>
      </c>
      <c r="AF110" s="71">
        <f t="shared" si="10"/>
        <v>83.77800983</v>
      </c>
      <c r="AG110" s="72">
        <f t="shared" si="52"/>
        <v>170.2971422</v>
      </c>
      <c r="AH110" s="193">
        <f t="shared" si="12"/>
        <v>46.722</v>
      </c>
      <c r="AI110" s="193">
        <f t="shared" si="13"/>
        <v>49.615</v>
      </c>
      <c r="AJ110" s="73">
        <f t="shared" si="14"/>
        <v>83.09083006</v>
      </c>
      <c r="AK110" s="73">
        <f t="shared" si="15"/>
        <v>40.81423107</v>
      </c>
      <c r="AM110" s="51">
        <f t="shared" si="16"/>
        <v>4419.135319</v>
      </c>
      <c r="AN110" s="51" t="str">
        <f t="array" ref="AN110">XLOOKUP(D110,RUC!$B$3:$B$565,RUC!$M$3:$M$565)</f>
        <v>Richard Sapacayo</v>
      </c>
      <c r="AO110" s="131" t="s">
        <v>551</v>
      </c>
      <c r="AP110" s="57" t="s">
        <v>2622</v>
      </c>
      <c r="AQ110" s="57" t="s">
        <v>2623</v>
      </c>
    </row>
    <row r="111" ht="15.0" customHeight="1">
      <c r="A111" s="116" t="s">
        <v>2624</v>
      </c>
      <c r="B111" s="182">
        <v>46027.0</v>
      </c>
      <c r="C111" s="182">
        <v>46021.0</v>
      </c>
      <c r="D111" s="57" t="s">
        <v>225</v>
      </c>
      <c r="E111" s="3">
        <f t="array" ref="E111">XLOOKUP(D111,RUC!$B$3:$B$110,RUC!$D$3:$D$110)</f>
        <v>10761932735</v>
      </c>
      <c r="G111" s="141">
        <v>108.0</v>
      </c>
      <c r="H111" s="3" t="s">
        <v>47</v>
      </c>
      <c r="I111" s="6">
        <v>8.84</v>
      </c>
      <c r="J111" s="58">
        <v>8.75</v>
      </c>
      <c r="K111" s="6">
        <f t="shared" si="2"/>
        <v>8.067</v>
      </c>
      <c r="L111" s="139">
        <v>0.13</v>
      </c>
      <c r="M111" s="60">
        <f t="shared" si="51"/>
        <v>0.111</v>
      </c>
      <c r="N111" s="75">
        <v>0.152</v>
      </c>
      <c r="O111" s="60">
        <f t="shared" si="5"/>
        <v>0.132</v>
      </c>
      <c r="P111" s="63">
        <v>85.0</v>
      </c>
      <c r="Q111" s="58">
        <v>91.11</v>
      </c>
      <c r="R111" s="65">
        <v>4367.8</v>
      </c>
      <c r="S111" s="66">
        <f t="array" ref="S111">IF((XLOOKUP(D111,RUC!$B$3:$B$106,RUC!$E$3:$E$106)+ROUNDDOWN(O111,1)*100)&lt;95,95,((XLOOKUP(D111,RUC!$B$3:$B$106,RUC!$E$3:$E$106)+ROUNDDOWN(O111,1)*100)))</f>
        <v>100</v>
      </c>
      <c r="U111" s="67">
        <f t="array" ref="U111">XLOOKUP(D111,RUC!$B$3:$B$110,RUC!$F$3:$F$110)</f>
        <v>120</v>
      </c>
      <c r="V111" s="67">
        <v>1.1023</v>
      </c>
      <c r="Y111" s="199">
        <v>30.0</v>
      </c>
      <c r="Z111" s="69">
        <f t="array" ref="Z111">XLOOKUP(D111,RUC!$B$3:$B$110,RUC!$H$3:$H$110)</f>
        <v>30</v>
      </c>
      <c r="AA111" s="70">
        <f t="shared" si="6"/>
        <v>60</v>
      </c>
      <c r="AB111" s="71">
        <f t="shared" si="50"/>
        <v>348.9916633</v>
      </c>
      <c r="AC111" s="71">
        <f>+(S111-T111)*V111-'data 1'!$F$4</f>
        <v>30.23</v>
      </c>
      <c r="AD111" s="71">
        <f t="shared" si="8"/>
        <v>37.19190557</v>
      </c>
      <c r="AE111" s="71">
        <f t="shared" si="42"/>
        <v>-3.862</v>
      </c>
      <c r="AF111" s="71">
        <f t="shared" si="10"/>
        <v>-8.532178061</v>
      </c>
      <c r="AG111" s="72">
        <f t="shared" si="52"/>
        <v>72.02772751</v>
      </c>
      <c r="AH111" s="193">
        <f t="shared" si="12"/>
        <v>32.759</v>
      </c>
      <c r="AI111" s="193">
        <f t="shared" si="13"/>
        <v>35.955</v>
      </c>
      <c r="AJ111" s="73">
        <f t="shared" si="14"/>
        <v>47.28873019</v>
      </c>
      <c r="AK111" s="73">
        <f t="shared" si="15"/>
        <v>31.03230129</v>
      </c>
      <c r="AM111" s="51">
        <f t="shared" si="16"/>
        <v>2815.315748</v>
      </c>
      <c r="AN111" s="51" t="str">
        <f t="array" ref="AN111">XLOOKUP(D111,RUC!$B$3:$B$565,RUC!$M$3:$M$565)</f>
        <v>Richard Sapacayo</v>
      </c>
      <c r="AO111" s="131" t="s">
        <v>551</v>
      </c>
      <c r="AP111" s="57" t="s">
        <v>2622</v>
      </c>
      <c r="AQ111" s="57" t="s">
        <v>2623</v>
      </c>
    </row>
    <row r="112" ht="15.0" customHeight="1">
      <c r="A112" s="116" t="s">
        <v>2625</v>
      </c>
      <c r="B112" s="182">
        <v>46027.0</v>
      </c>
      <c r="C112" s="182">
        <v>46021.0</v>
      </c>
      <c r="D112" s="57" t="s">
        <v>225</v>
      </c>
      <c r="E112" s="3">
        <f t="array" ref="E112">XLOOKUP(D112,RUC!$B$3:$B$110,RUC!$D$3:$D$110)</f>
        <v>10761932735</v>
      </c>
      <c r="G112" s="141" t="s">
        <v>735</v>
      </c>
      <c r="H112" s="3" t="s">
        <v>47</v>
      </c>
      <c r="I112" s="6">
        <v>23.05</v>
      </c>
      <c r="J112" s="58">
        <v>4.33</v>
      </c>
      <c r="K112" s="6">
        <f t="shared" si="2"/>
        <v>22.052</v>
      </c>
      <c r="L112" s="139">
        <v>0.13</v>
      </c>
      <c r="M112" s="60">
        <f t="shared" si="51"/>
        <v>0.111</v>
      </c>
      <c r="N112" s="62">
        <f>+M112</f>
        <v>0.111</v>
      </c>
      <c r="O112" s="60">
        <f t="shared" si="5"/>
        <v>0.111</v>
      </c>
      <c r="P112" s="63">
        <v>80.0</v>
      </c>
      <c r="Q112" s="58">
        <v>95.38</v>
      </c>
      <c r="R112" s="65">
        <v>4367.8</v>
      </c>
      <c r="S112" s="66">
        <f t="array" ref="S112">IF((XLOOKUP(D112,RUC!$B$3:$B$106,RUC!$E$3:$E$106)+ROUNDDOWN(O112,1)*100)&lt;95,95,((XLOOKUP(D112,RUC!$B$3:$B$106,RUC!$E$3:$E$106)+ROUNDDOWN(O112,1)*100)))</f>
        <v>100</v>
      </c>
      <c r="U112" s="67">
        <f t="array" ref="U112">XLOOKUP(D112,RUC!$B$3:$B$110,RUC!$F$3:$F$110)</f>
        <v>120</v>
      </c>
      <c r="V112" s="67">
        <v>1.1023</v>
      </c>
      <c r="Y112" s="57">
        <f t="array" ref="Y112">XLOOKUP(D112,RUC!$B$3:$B$110,RUC!$G$3:$G$110)</f>
        <v>20</v>
      </c>
      <c r="Z112" s="69">
        <f t="array" ref="Z112">XLOOKUP(D112,RUC!$B$3:$B$110,RUC!$H$3:$H$110)</f>
        <v>30</v>
      </c>
      <c r="AA112" s="70">
        <f t="shared" si="6"/>
        <v>50</v>
      </c>
      <c r="AB112" s="71">
        <f t="shared" si="50"/>
        <v>250.4476747</v>
      </c>
      <c r="AC112" s="71">
        <f>+(S112-T112)*V112-'data 1'!$F$4</f>
        <v>30.23</v>
      </c>
      <c r="AD112" s="71">
        <f t="shared" si="8"/>
        <v>93.6189047</v>
      </c>
      <c r="AE112" s="71">
        <f t="shared" si="42"/>
        <v>-14.885</v>
      </c>
      <c r="AF112" s="71">
        <f t="shared" si="10"/>
        <v>84.85448208</v>
      </c>
      <c r="AG112" s="72">
        <f t="shared" si="52"/>
        <v>210.8183868</v>
      </c>
      <c r="AH112" s="193">
        <f t="shared" si="12"/>
        <v>93.747</v>
      </c>
      <c r="AI112" s="193">
        <f t="shared" si="13"/>
        <v>98.288</v>
      </c>
      <c r="AJ112" s="73">
        <f t="shared" si="14"/>
        <v>49.50498392</v>
      </c>
      <c r="AK112" s="73">
        <f t="shared" si="15"/>
        <v>67.1382503</v>
      </c>
      <c r="AM112" s="51">
        <f t="shared" si="16"/>
        <v>5522.872122</v>
      </c>
      <c r="AN112" s="51" t="str">
        <f t="array" ref="AN112">XLOOKUP(D112,RUC!$B$3:$B$565,RUC!$M$3:$M$565)</f>
        <v>Richard Sapacayo</v>
      </c>
      <c r="AO112" s="131" t="s">
        <v>547</v>
      </c>
      <c r="AP112" s="57" t="s">
        <v>2626</v>
      </c>
      <c r="AQ112" s="57" t="s">
        <v>1932</v>
      </c>
    </row>
    <row r="113" ht="15.0" customHeight="1">
      <c r="A113" s="116" t="s">
        <v>2627</v>
      </c>
      <c r="B113" s="182">
        <v>46027.0</v>
      </c>
      <c r="C113" s="182">
        <v>46022.0</v>
      </c>
      <c r="D113" s="2" t="s">
        <v>74</v>
      </c>
      <c r="E113" s="3">
        <f t="array" ref="E113">XLOOKUP(D113,RUC!$B$3:$B$110,RUC!$D$3:$D$110)</f>
        <v>10082235774</v>
      </c>
      <c r="G113" s="141">
        <v>61.0</v>
      </c>
      <c r="H113" s="3" t="s">
        <v>47</v>
      </c>
      <c r="I113" s="6">
        <v>6.31</v>
      </c>
      <c r="J113" s="58">
        <v>1.3</v>
      </c>
      <c r="K113" s="6">
        <f t="shared" si="2"/>
        <v>6.228</v>
      </c>
      <c r="L113" s="139">
        <v>0.804</v>
      </c>
      <c r="M113" s="60">
        <f t="shared" ref="M113:M119" si="55">ROUND(+IF(AN113="Melchor Vera",IF(L113&gt;0.467,L113*0.985,(L113-0.007)),IF(L113&gt;0.3,L113*0.94,(L113-0.018))),3)</f>
        <v>0.792</v>
      </c>
      <c r="N113" s="75">
        <v>0.842</v>
      </c>
      <c r="O113" s="60">
        <f t="shared" si="5"/>
        <v>0.817</v>
      </c>
      <c r="P113" s="63">
        <v>90.0</v>
      </c>
      <c r="Q113" s="58">
        <v>89.43</v>
      </c>
      <c r="R113" s="65">
        <v>4421.65</v>
      </c>
      <c r="S113" s="133">
        <v>140.0</v>
      </c>
      <c r="U113" s="67">
        <f t="array" ref="U113">XLOOKUP(D113,RUC!$B$3:$B$110,RUC!$F$3:$F$110)</f>
        <v>80</v>
      </c>
      <c r="V113" s="67">
        <v>1.1023</v>
      </c>
      <c r="Y113" s="57" t="str">
        <f t="array" ref="Y113">XLOOKUP(D113,RUC!$B$3:$B$110,RUC!$G$3:$G$110)</f>
        <v/>
      </c>
      <c r="Z113" s="69">
        <f t="array" ref="Z113">XLOOKUP(D113,RUC!$B$3:$B$110,RUC!$H$3:$H$110)</f>
        <v>10</v>
      </c>
      <c r="AA113" s="70">
        <f t="shared" si="6"/>
        <v>10</v>
      </c>
      <c r="AB113" s="71">
        <f t="shared" si="50"/>
        <v>3353.654325</v>
      </c>
      <c r="AC113" s="71">
        <f>+(S113-T113)*V113-'data 1'!$F$4</f>
        <v>74.322</v>
      </c>
      <c r="AD113" s="71">
        <f t="shared" si="8"/>
        <v>-21.93236788</v>
      </c>
      <c r="AE113" s="71">
        <f t="shared" si="42"/>
        <v>-58.977</v>
      </c>
      <c r="AF113" s="71">
        <f t="shared" si="10"/>
        <v>-55.63924146</v>
      </c>
      <c r="AG113" s="72">
        <f t="shared" ref="AG113:AG119" si="56">AC113+AD113+AE113+AF113+70</f>
        <v>7.773390654</v>
      </c>
      <c r="AH113" s="193">
        <f t="shared" si="12"/>
        <v>153.531</v>
      </c>
      <c r="AI113" s="193">
        <f t="shared" si="13"/>
        <v>171.678</v>
      </c>
      <c r="AJ113" s="73">
        <f t="shared" si="14"/>
        <v>212.6868732</v>
      </c>
      <c r="AK113" s="73">
        <f t="shared" si="15"/>
        <v>157.0081654</v>
      </c>
      <c r="AM113" s="51">
        <f t="shared" si="16"/>
        <v>20886.55913</v>
      </c>
      <c r="AN113" s="51" t="str">
        <f t="array" ref="AN113">XLOOKUP(D113,RUC!$B$3:$B$565,RUC!$M$3:$M$565)</f>
        <v>Melchor Vera</v>
      </c>
      <c r="AO113" s="131" t="s">
        <v>558</v>
      </c>
      <c r="AP113" s="57" t="s">
        <v>2628</v>
      </c>
      <c r="AQ113" s="57" t="s">
        <v>1067</v>
      </c>
      <c r="AR113" s="2" t="s">
        <v>2629</v>
      </c>
    </row>
    <row r="114" ht="15.0" customHeight="1">
      <c r="A114" s="116" t="s">
        <v>2630</v>
      </c>
      <c r="B114" s="182">
        <v>46027.0</v>
      </c>
      <c r="C114" s="182">
        <v>46022.0</v>
      </c>
      <c r="D114" s="2" t="s">
        <v>74</v>
      </c>
      <c r="E114" s="3">
        <f t="array" ref="E114">XLOOKUP(D114,RUC!$B$3:$B$110,RUC!$D$3:$D$110)</f>
        <v>10082235774</v>
      </c>
      <c r="G114" s="141">
        <v>63.0</v>
      </c>
      <c r="H114" s="3" t="s">
        <v>47</v>
      </c>
      <c r="I114" s="6">
        <v>6.12</v>
      </c>
      <c r="J114" s="58">
        <v>2.0</v>
      </c>
      <c r="K114" s="6">
        <f t="shared" si="2"/>
        <v>5.998</v>
      </c>
      <c r="L114" s="139">
        <v>0.205</v>
      </c>
      <c r="M114" s="60">
        <f t="shared" si="55"/>
        <v>0.198</v>
      </c>
      <c r="N114" s="62">
        <f>+M114</f>
        <v>0.198</v>
      </c>
      <c r="O114" s="60">
        <f t="shared" si="5"/>
        <v>0.198</v>
      </c>
      <c r="P114" s="63">
        <v>85.0</v>
      </c>
      <c r="Q114" s="58">
        <v>98.54</v>
      </c>
      <c r="R114" s="65">
        <v>4421.65</v>
      </c>
      <c r="S114" s="133">
        <v>95.0</v>
      </c>
      <c r="U114" s="67">
        <f t="array" ref="U114">XLOOKUP(D114,RUC!$B$3:$B$110,RUC!$F$3:$F$110)</f>
        <v>80</v>
      </c>
      <c r="V114" s="67">
        <v>1.1023</v>
      </c>
      <c r="Y114" s="57" t="str">
        <f t="array" ref="Y114">XLOOKUP(D114,RUC!$B$3:$B$110,RUC!$G$3:$G$110)</f>
        <v/>
      </c>
      <c r="Z114" s="69">
        <f t="array" ref="Z114">XLOOKUP(D114,RUC!$B$3:$B$110,RUC!$H$3:$H$110)</f>
        <v>10</v>
      </c>
      <c r="AA114" s="70">
        <f t="shared" si="6"/>
        <v>10</v>
      </c>
      <c r="AB114" s="71">
        <f t="shared" si="50"/>
        <v>689.7087738</v>
      </c>
      <c r="AC114" s="71">
        <f>+(S114-T114)*V114-'data 1'!$F$4</f>
        <v>24.7185</v>
      </c>
      <c r="AD114" s="71">
        <f t="shared" si="8"/>
        <v>132.8394727</v>
      </c>
      <c r="AE114" s="71">
        <f t="shared" si="42"/>
        <v>-58.977</v>
      </c>
      <c r="AF114" s="71">
        <f t="shared" si="10"/>
        <v>33.01149672</v>
      </c>
      <c r="AG114" s="72">
        <f t="shared" si="56"/>
        <v>201.5924694</v>
      </c>
      <c r="AH114" s="193">
        <f t="shared" si="12"/>
        <v>41.541</v>
      </c>
      <c r="AI114" s="193">
        <f t="shared" si="13"/>
        <v>42.157</v>
      </c>
      <c r="AJ114" s="73">
        <f t="shared" si="14"/>
        <v>59.75411603</v>
      </c>
      <c r="AK114" s="73">
        <f t="shared" si="15"/>
        <v>34.60984439</v>
      </c>
      <c r="AM114" s="51">
        <f t="shared" si="16"/>
        <v>4136.873225</v>
      </c>
      <c r="AN114" s="51" t="str">
        <f t="array" ref="AN114">XLOOKUP(D114,RUC!$B$3:$B$565,RUC!$M$3:$M$565)</f>
        <v>Melchor Vera</v>
      </c>
      <c r="AO114" s="131" t="s">
        <v>551</v>
      </c>
      <c r="AP114" s="57" t="s">
        <v>2628</v>
      </c>
      <c r="AQ114" s="57" t="s">
        <v>1067</v>
      </c>
      <c r="AR114" s="2" t="s">
        <v>2629</v>
      </c>
    </row>
    <row r="115" ht="15.0" customHeight="1">
      <c r="A115" s="116" t="s">
        <v>2631</v>
      </c>
      <c r="B115" s="182">
        <v>46027.0</v>
      </c>
      <c r="C115" s="182">
        <v>46022.0</v>
      </c>
      <c r="D115" s="2" t="s">
        <v>74</v>
      </c>
      <c r="E115" s="3">
        <f t="array" ref="E115">XLOOKUP(D115,RUC!$B$3:$B$110,RUC!$D$3:$D$110)</f>
        <v>10082235774</v>
      </c>
      <c r="G115" s="141">
        <v>65.0</v>
      </c>
      <c r="H115" s="3" t="s">
        <v>47</v>
      </c>
      <c r="I115" s="6">
        <v>6.52</v>
      </c>
      <c r="J115" s="58">
        <v>3.2</v>
      </c>
      <c r="K115" s="6">
        <f t="shared" si="2"/>
        <v>6.311</v>
      </c>
      <c r="L115" s="139">
        <v>0.385</v>
      </c>
      <c r="M115" s="60">
        <f t="shared" si="55"/>
        <v>0.378</v>
      </c>
      <c r="N115" s="75">
        <v>0.398</v>
      </c>
      <c r="O115" s="60">
        <f t="shared" si="5"/>
        <v>0.388</v>
      </c>
      <c r="P115" s="63">
        <v>90.0</v>
      </c>
      <c r="Q115" s="58">
        <v>90.13</v>
      </c>
      <c r="R115" s="65">
        <v>4421.65</v>
      </c>
      <c r="S115" s="133">
        <v>110.0</v>
      </c>
      <c r="U115" s="67">
        <f t="array" ref="U115">XLOOKUP(D115,RUC!$B$3:$B$110,RUC!$F$3:$F$110)</f>
        <v>80</v>
      </c>
      <c r="V115" s="67">
        <v>1.1023</v>
      </c>
      <c r="Y115" s="57" t="str">
        <f t="array" ref="Y115">XLOOKUP(D115,RUC!$B$3:$B$110,RUC!$G$3:$G$110)</f>
        <v/>
      </c>
      <c r="Z115" s="69">
        <f t="array" ref="Z115">XLOOKUP(D115,RUC!$B$3:$B$110,RUC!$H$3:$H$110)</f>
        <v>10</v>
      </c>
      <c r="AA115" s="70">
        <f t="shared" si="6"/>
        <v>10</v>
      </c>
      <c r="AB115" s="71">
        <f t="shared" si="50"/>
        <v>1538.925638</v>
      </c>
      <c r="AC115" s="71">
        <f>+(S115-T115)*V115-'data 1'!$F$4</f>
        <v>41.253</v>
      </c>
      <c r="AD115" s="71">
        <f t="shared" si="8"/>
        <v>2.395293298</v>
      </c>
      <c r="AE115" s="71">
        <f t="shared" si="42"/>
        <v>-58.977</v>
      </c>
      <c r="AF115" s="71">
        <f t="shared" si="10"/>
        <v>-12.94032677</v>
      </c>
      <c r="AG115" s="72">
        <f t="shared" si="56"/>
        <v>41.73096653</v>
      </c>
      <c r="AH115" s="193">
        <f t="shared" si="12"/>
        <v>75.082</v>
      </c>
      <c r="AI115" s="193">
        <f t="shared" si="13"/>
        <v>83.304</v>
      </c>
      <c r="AJ115" s="73">
        <f t="shared" si="14"/>
        <v>102.643513</v>
      </c>
      <c r="AK115" s="73">
        <f t="shared" si="15"/>
        <v>75.55817933</v>
      </c>
      <c r="AM115" s="51">
        <f t="shared" si="16"/>
        <v>9712.159699</v>
      </c>
      <c r="AN115" s="51" t="str">
        <f t="array" ref="AN115">XLOOKUP(D115,RUC!$B$3:$B$565,RUC!$M$3:$M$565)</f>
        <v>Melchor Vera</v>
      </c>
      <c r="AO115" s="131" t="s">
        <v>558</v>
      </c>
      <c r="AP115" s="57" t="s">
        <v>2628</v>
      </c>
      <c r="AQ115" s="57" t="s">
        <v>1067</v>
      </c>
      <c r="AR115" s="2" t="s">
        <v>2629</v>
      </c>
    </row>
    <row r="116" ht="15.0" customHeight="1">
      <c r="A116" s="116" t="s">
        <v>2632</v>
      </c>
      <c r="B116" s="182">
        <v>46027.0</v>
      </c>
      <c r="C116" s="182">
        <v>46022.0</v>
      </c>
      <c r="D116" s="2" t="s">
        <v>74</v>
      </c>
      <c r="E116" s="3">
        <f t="array" ref="E116">XLOOKUP(D116,RUC!$B$3:$B$110,RUC!$D$3:$D$110)</f>
        <v>10082235774</v>
      </c>
      <c r="G116" s="141">
        <v>70.0</v>
      </c>
      <c r="H116" s="3" t="s">
        <v>47</v>
      </c>
      <c r="I116" s="6">
        <v>6.78</v>
      </c>
      <c r="J116" s="58">
        <v>1.25</v>
      </c>
      <c r="K116" s="6">
        <f t="shared" si="2"/>
        <v>6.695</v>
      </c>
      <c r="L116" s="139">
        <v>0.219</v>
      </c>
      <c r="M116" s="60">
        <f t="shared" si="55"/>
        <v>0.212</v>
      </c>
      <c r="N116" s="62">
        <f>+M116</f>
        <v>0.212</v>
      </c>
      <c r="O116" s="60">
        <f t="shared" si="5"/>
        <v>0.212</v>
      </c>
      <c r="P116" s="63">
        <v>85.0</v>
      </c>
      <c r="Q116" s="58">
        <v>98.63</v>
      </c>
      <c r="R116" s="65">
        <v>4421.65</v>
      </c>
      <c r="S116" s="133">
        <v>105.0</v>
      </c>
      <c r="U116" s="67">
        <f t="array" ref="U116">XLOOKUP(D116,RUC!$B$3:$B$110,RUC!$F$3:$F$110)</f>
        <v>80</v>
      </c>
      <c r="V116" s="67">
        <v>1.1023</v>
      </c>
      <c r="Y116" s="57" t="str">
        <f t="array" ref="Y116">XLOOKUP(D116,RUC!$B$3:$B$110,RUC!$G$3:$G$110)</f>
        <v/>
      </c>
      <c r="Z116" s="69">
        <f t="array" ref="Z116">XLOOKUP(D116,RUC!$B$3:$B$110,RUC!$H$3:$H$110)</f>
        <v>10</v>
      </c>
      <c r="AA116" s="70">
        <f t="shared" si="6"/>
        <v>10</v>
      </c>
      <c r="AB116" s="71">
        <f t="shared" si="50"/>
        <v>735.6368033</v>
      </c>
      <c r="AC116" s="71">
        <f>+(S116-T116)*V116-'data 1'!$F$4</f>
        <v>35.7415</v>
      </c>
      <c r="AD116" s="71">
        <f t="shared" si="8"/>
        <v>142.854718</v>
      </c>
      <c r="AE116" s="71">
        <f t="shared" si="42"/>
        <v>-58.977</v>
      </c>
      <c r="AF116" s="71">
        <f t="shared" si="10"/>
        <v>33.04164727</v>
      </c>
      <c r="AG116" s="72">
        <f t="shared" si="56"/>
        <v>222.6608653</v>
      </c>
      <c r="AH116" s="193">
        <f t="shared" si="12"/>
        <v>49.581</v>
      </c>
      <c r="AI116" s="193">
        <f t="shared" si="13"/>
        <v>50.269</v>
      </c>
      <c r="AJ116" s="73">
        <f t="shared" si="14"/>
        <v>63.89318754</v>
      </c>
      <c r="AK116" s="73">
        <f t="shared" si="15"/>
        <v>41.36322927</v>
      </c>
      <c r="AM116" s="51">
        <f t="shared" si="16"/>
        <v>4925.088398</v>
      </c>
      <c r="AN116" s="51" t="str">
        <f t="array" ref="AN116">XLOOKUP(D116,RUC!$B$3:$B$565,RUC!$M$3:$M$565)</f>
        <v>Melchor Vera</v>
      </c>
      <c r="AO116" s="131" t="s">
        <v>558</v>
      </c>
      <c r="AP116" s="57" t="s">
        <v>2628</v>
      </c>
      <c r="AQ116" s="57" t="s">
        <v>1067</v>
      </c>
      <c r="AR116" s="2" t="s">
        <v>2629</v>
      </c>
    </row>
    <row r="117" ht="15.0" customHeight="1">
      <c r="A117" s="116" t="s">
        <v>2633</v>
      </c>
      <c r="B117" s="182">
        <v>46027.0</v>
      </c>
      <c r="C117" s="182">
        <v>46022.0</v>
      </c>
      <c r="D117" s="2" t="s">
        <v>74</v>
      </c>
      <c r="E117" s="3">
        <f t="array" ref="E117">XLOOKUP(D117,RUC!$B$3:$B$110,RUC!$D$3:$D$110)</f>
        <v>10082235774</v>
      </c>
      <c r="G117" s="141">
        <v>36.0</v>
      </c>
      <c r="H117" s="3" t="s">
        <v>47</v>
      </c>
      <c r="I117" s="6">
        <v>3.11</v>
      </c>
      <c r="J117" s="58">
        <v>2.35</v>
      </c>
      <c r="K117" s="6">
        <f t="shared" si="2"/>
        <v>3.037</v>
      </c>
      <c r="L117" s="139">
        <v>0.187</v>
      </c>
      <c r="M117" s="60">
        <f t="shared" si="55"/>
        <v>0.18</v>
      </c>
      <c r="N117" s="75">
        <v>0.201</v>
      </c>
      <c r="O117" s="60">
        <f t="shared" si="5"/>
        <v>0.191</v>
      </c>
      <c r="P117" s="63">
        <v>85.0</v>
      </c>
      <c r="Q117" s="58">
        <v>92.9</v>
      </c>
      <c r="R117" s="65">
        <v>4421.65</v>
      </c>
      <c r="S117" s="133">
        <v>105.0</v>
      </c>
      <c r="U117" s="67">
        <f t="array" ref="U117">XLOOKUP(D117,RUC!$B$3:$B$110,RUC!$F$3:$F$110)</f>
        <v>80</v>
      </c>
      <c r="V117" s="67">
        <v>1.1023</v>
      </c>
      <c r="Y117" s="57" t="str">
        <f t="array" ref="Y117">XLOOKUP(D117,RUC!$B$3:$B$110,RUC!$G$3:$G$110)</f>
        <v/>
      </c>
      <c r="Z117" s="69">
        <f t="array" ref="Z117">XLOOKUP(D117,RUC!$B$3:$B$110,RUC!$H$3:$H$110)</f>
        <v>10</v>
      </c>
      <c r="AA117" s="70">
        <f t="shared" si="6"/>
        <v>10</v>
      </c>
      <c r="AB117" s="71">
        <f t="shared" si="50"/>
        <v>650.2102591</v>
      </c>
      <c r="AC117" s="71">
        <f>+(S117-T117)*V117-'data 1'!$F$4</f>
        <v>35.7415</v>
      </c>
      <c r="AD117" s="71">
        <f t="shared" si="8"/>
        <v>70.70063514</v>
      </c>
      <c r="AE117" s="71">
        <f t="shared" si="42"/>
        <v>-58.977</v>
      </c>
      <c r="AF117" s="71">
        <f t="shared" si="10"/>
        <v>-17.78403575</v>
      </c>
      <c r="AG117" s="72">
        <f t="shared" si="56"/>
        <v>99.68109939</v>
      </c>
      <c r="AH117" s="193">
        <f t="shared" si="12"/>
        <v>18.089</v>
      </c>
      <c r="AI117" s="193">
        <f t="shared" si="13"/>
        <v>19.471</v>
      </c>
      <c r="AJ117" s="73">
        <f t="shared" si="14"/>
        <v>51.38764646</v>
      </c>
      <c r="AK117" s="73">
        <f t="shared" si="15"/>
        <v>16.90464886</v>
      </c>
      <c r="AM117" s="51">
        <f t="shared" si="16"/>
        <v>1974.688557</v>
      </c>
      <c r="AN117" s="51" t="str">
        <f t="array" ref="AN117">XLOOKUP(D117,RUC!$B$3:$B$565,RUC!$M$3:$M$565)</f>
        <v>Melchor Vera</v>
      </c>
      <c r="AO117" s="131" t="s">
        <v>558</v>
      </c>
      <c r="AP117" s="57" t="s">
        <v>2628</v>
      </c>
      <c r="AQ117" s="57" t="s">
        <v>1067</v>
      </c>
      <c r="AR117" s="2" t="s">
        <v>2629</v>
      </c>
    </row>
    <row r="118" ht="15.0" customHeight="1">
      <c r="A118" s="116" t="s">
        <v>2634</v>
      </c>
      <c r="B118" s="182">
        <v>46027.0</v>
      </c>
      <c r="C118" s="182">
        <v>46022.0</v>
      </c>
      <c r="D118" s="2" t="s">
        <v>74</v>
      </c>
      <c r="E118" s="3">
        <f t="array" ref="E118">XLOOKUP(D118,RUC!$B$3:$B$110,RUC!$D$3:$D$110)</f>
        <v>10082235774</v>
      </c>
      <c r="G118" s="141">
        <v>29.0</v>
      </c>
      <c r="H118" s="3" t="s">
        <v>47</v>
      </c>
      <c r="I118" s="6">
        <v>2.66</v>
      </c>
      <c r="J118" s="58">
        <v>1.25</v>
      </c>
      <c r="K118" s="6">
        <f t="shared" si="2"/>
        <v>2.627</v>
      </c>
      <c r="L118" s="139">
        <v>0.26</v>
      </c>
      <c r="M118" s="60">
        <f t="shared" si="55"/>
        <v>0.253</v>
      </c>
      <c r="N118" s="62">
        <f>+M118</f>
        <v>0.253</v>
      </c>
      <c r="O118" s="60">
        <f t="shared" si="5"/>
        <v>0.253</v>
      </c>
      <c r="P118" s="63">
        <v>90.0</v>
      </c>
      <c r="Q118" s="58">
        <v>92.31</v>
      </c>
      <c r="R118" s="65">
        <v>4421.65</v>
      </c>
      <c r="S118" s="133">
        <v>105.0</v>
      </c>
      <c r="U118" s="67">
        <f t="array" ref="U118">XLOOKUP(D118,RUC!$B$3:$B$110,RUC!$F$3:$F$110)</f>
        <v>80</v>
      </c>
      <c r="V118" s="67">
        <v>1.1023</v>
      </c>
      <c r="Y118" s="57" t="str">
        <f t="array" ref="Y118">XLOOKUP(D118,RUC!$B$3:$B$110,RUC!$G$3:$G$110)</f>
        <v/>
      </c>
      <c r="Z118" s="69">
        <f t="array" ref="Z118">XLOOKUP(D118,RUC!$B$3:$B$110,RUC!$H$3:$H$110)</f>
        <v>10</v>
      </c>
      <c r="AA118" s="70">
        <f t="shared" si="6"/>
        <v>10</v>
      </c>
      <c r="AB118" s="71">
        <f t="shared" si="50"/>
        <v>962.962341</v>
      </c>
      <c r="AC118" s="71">
        <f>+(S118-T118)*V118-'data 1'!$F$4</f>
        <v>35.7415</v>
      </c>
      <c r="AD118" s="71">
        <f t="shared" si="8"/>
        <v>28.74351957</v>
      </c>
      <c r="AE118" s="71">
        <f t="shared" si="42"/>
        <v>-58.977</v>
      </c>
      <c r="AF118" s="71">
        <f t="shared" si="10"/>
        <v>30.924409</v>
      </c>
      <c r="AG118" s="72">
        <f t="shared" si="56"/>
        <v>106.4324286</v>
      </c>
      <c r="AH118" s="193">
        <f t="shared" si="12"/>
        <v>21.617</v>
      </c>
      <c r="AI118" s="193">
        <f t="shared" si="13"/>
        <v>23.418</v>
      </c>
      <c r="AJ118" s="73">
        <f t="shared" si="14"/>
        <v>70.99430401</v>
      </c>
      <c r="AK118" s="73">
        <f t="shared" si="15"/>
        <v>20.50841857</v>
      </c>
      <c r="AM118" s="51">
        <f t="shared" si="16"/>
        <v>2529.70207</v>
      </c>
      <c r="AN118" s="51" t="str">
        <f t="array" ref="AN118">XLOOKUP(D118,RUC!$B$3:$B$565,RUC!$M$3:$M$565)</f>
        <v>Melchor Vera</v>
      </c>
      <c r="AO118" s="131" t="s">
        <v>558</v>
      </c>
      <c r="AP118" s="57" t="s">
        <v>2628</v>
      </c>
      <c r="AQ118" s="57" t="s">
        <v>1067</v>
      </c>
      <c r="AR118" s="2" t="s">
        <v>2629</v>
      </c>
    </row>
    <row r="119" ht="15.0" customHeight="1">
      <c r="A119" s="116" t="s">
        <v>2635</v>
      </c>
      <c r="B119" s="182">
        <v>46027.0</v>
      </c>
      <c r="C119" s="182">
        <v>46022.0</v>
      </c>
      <c r="D119" s="2" t="s">
        <v>74</v>
      </c>
      <c r="E119" s="3">
        <f t="array" ref="E119">XLOOKUP(D119,RUC!$B$3:$B$110,RUC!$D$3:$D$110)</f>
        <v>10082235774</v>
      </c>
      <c r="G119" s="141">
        <v>30.0</v>
      </c>
      <c r="H119" s="3" t="s">
        <v>47</v>
      </c>
      <c r="I119" s="6">
        <v>2.7</v>
      </c>
      <c r="J119" s="58">
        <v>2.3</v>
      </c>
      <c r="K119" s="6">
        <f t="shared" si="2"/>
        <v>2.638</v>
      </c>
      <c r="L119" s="139">
        <v>0.139</v>
      </c>
      <c r="M119" s="60">
        <f t="shared" si="55"/>
        <v>0.132</v>
      </c>
      <c r="N119" s="75">
        <v>0.153</v>
      </c>
      <c r="O119" s="60">
        <f t="shared" si="5"/>
        <v>0.143</v>
      </c>
      <c r="P119" s="63">
        <v>85.0</v>
      </c>
      <c r="Q119" s="58">
        <v>91.37</v>
      </c>
      <c r="R119" s="65">
        <v>4421.65</v>
      </c>
      <c r="S119" s="133">
        <v>95.0</v>
      </c>
      <c r="U119" s="67">
        <f t="array" ref="U119">XLOOKUP(D119,RUC!$B$3:$B$110,RUC!$F$3:$F$110)</f>
        <v>80</v>
      </c>
      <c r="V119" s="67">
        <v>1.1023</v>
      </c>
      <c r="Y119" s="57" t="str">
        <f t="array" ref="Y119">XLOOKUP(D119,RUC!$B$3:$B$110,RUC!$G$3:$G$110)</f>
        <v/>
      </c>
      <c r="Z119" s="69">
        <f t="array" ref="Z119">XLOOKUP(D119,RUC!$B$3:$B$110,RUC!$H$3:$H$110)</f>
        <v>10</v>
      </c>
      <c r="AA119" s="70">
        <f t="shared" si="6"/>
        <v>10</v>
      </c>
      <c r="AB119" s="71">
        <f t="shared" si="50"/>
        <v>465.9725866</v>
      </c>
      <c r="AC119" s="71">
        <f>+(S119-T119)*V119-'data 1'!$F$4</f>
        <v>24.7185</v>
      </c>
      <c r="AD119" s="71">
        <f t="shared" si="8"/>
        <v>42.37491598</v>
      </c>
      <c r="AE119" s="71">
        <f t="shared" si="42"/>
        <v>-58.977</v>
      </c>
      <c r="AF119" s="71">
        <f t="shared" si="10"/>
        <v>-17.49114475</v>
      </c>
      <c r="AG119" s="72">
        <f t="shared" si="56"/>
        <v>60.62527123</v>
      </c>
      <c r="AH119" s="193">
        <f t="shared" si="12"/>
        <v>11.487</v>
      </c>
      <c r="AI119" s="193">
        <f t="shared" si="13"/>
        <v>12.572</v>
      </c>
      <c r="AJ119" s="73">
        <f t="shared" si="14"/>
        <v>37.56815198</v>
      </c>
      <c r="AK119" s="73">
        <f t="shared" si="15"/>
        <v>10.99357196</v>
      </c>
      <c r="AM119" s="51">
        <f t="shared" si="16"/>
        <v>1229.235684</v>
      </c>
      <c r="AN119" s="51" t="str">
        <f t="array" ref="AN119">XLOOKUP(D119,RUC!$B$3:$B$565,RUC!$M$3:$M$565)</f>
        <v>Melchor Vera</v>
      </c>
      <c r="AO119" s="131" t="s">
        <v>558</v>
      </c>
      <c r="AP119" s="57" t="s">
        <v>2628</v>
      </c>
      <c r="AQ119" s="57" t="s">
        <v>1067</v>
      </c>
      <c r="AR119" s="2" t="s">
        <v>2629</v>
      </c>
    </row>
    <row r="120" ht="15.0" customHeight="1">
      <c r="A120" s="466" t="s">
        <v>2636</v>
      </c>
      <c r="B120" s="3"/>
      <c r="C120" s="182">
        <v>46022.0</v>
      </c>
      <c r="D120" s="57" t="s">
        <v>306</v>
      </c>
      <c r="E120" s="3">
        <f t="array" ref="E120">XLOOKUP(D120,RUC!$B$3:$B$110,RUC!$D$3:$D$110)</f>
        <v>20612921866</v>
      </c>
      <c r="G120" s="141">
        <v>50.0</v>
      </c>
      <c r="H120" s="3" t="s">
        <v>47</v>
      </c>
      <c r="I120" s="6">
        <v>0.0</v>
      </c>
      <c r="J120" s="58">
        <v>0.0</v>
      </c>
      <c r="K120" s="6">
        <v>0.0</v>
      </c>
      <c r="L120" s="139">
        <v>0.0</v>
      </c>
      <c r="M120" s="60">
        <v>0.0</v>
      </c>
      <c r="N120" s="62">
        <v>0.0</v>
      </c>
      <c r="O120" s="60">
        <v>0.0</v>
      </c>
      <c r="P120" s="63">
        <v>90.0</v>
      </c>
      <c r="Q120" s="58">
        <v>96.92</v>
      </c>
      <c r="R120" s="65">
        <v>4307.95</v>
      </c>
      <c r="S120" s="133">
        <v>0.0</v>
      </c>
      <c r="U120" s="67">
        <v>0.0</v>
      </c>
      <c r="V120" s="67">
        <v>0.0</v>
      </c>
      <c r="Y120" s="57" t="str">
        <f t="array" ref="Y120">XLOOKUP(D120,RUC!$B$3:$B$110,RUC!$G$3:$G$110)</f>
        <v/>
      </c>
      <c r="Z120" s="69">
        <v>0.0</v>
      </c>
      <c r="AA120" s="70">
        <f t="shared" si="6"/>
        <v>0</v>
      </c>
      <c r="AB120" s="71">
        <f t="shared" si="50"/>
        <v>0</v>
      </c>
      <c r="AC120" s="71">
        <v>0.0</v>
      </c>
      <c r="AD120" s="71">
        <f t="shared" si="8"/>
        <v>0</v>
      </c>
      <c r="AE120" s="71">
        <v>0.0</v>
      </c>
      <c r="AF120" s="71">
        <f t="shared" si="10"/>
        <v>0</v>
      </c>
      <c r="AG120" s="72">
        <f t="shared" ref="AG120:AG121" si="57">AC120+AD120+AE120+AF120</f>
        <v>0</v>
      </c>
      <c r="AH120" s="193">
        <f t="shared" si="12"/>
        <v>0</v>
      </c>
      <c r="AI120" s="193">
        <f t="shared" si="13"/>
        <v>0</v>
      </c>
      <c r="AJ120" s="73">
        <f t="shared" si="14"/>
        <v>0</v>
      </c>
      <c r="AK120" s="73">
        <f t="shared" si="15"/>
        <v>0</v>
      </c>
      <c r="AM120" s="51">
        <f t="shared" si="16"/>
        <v>0</v>
      </c>
      <c r="AN120" s="51" t="str">
        <f t="array" ref="AN120">XLOOKUP(D120,RUC!$B$3:$B$565,RUC!$M$3:$M$565)</f>
        <v>Ronald Garibay</v>
      </c>
      <c r="AO120" s="131" t="s">
        <v>731</v>
      </c>
      <c r="AP120" s="57" t="s">
        <v>2637</v>
      </c>
      <c r="AQ120" s="57" t="s">
        <v>2638</v>
      </c>
    </row>
    <row r="121" ht="15.0" customHeight="1">
      <c r="A121" s="466" t="s">
        <v>2639</v>
      </c>
      <c r="B121" s="3"/>
      <c r="C121" s="182">
        <v>46022.0</v>
      </c>
      <c r="D121" s="57" t="s">
        <v>306</v>
      </c>
      <c r="E121" s="3">
        <f t="array" ref="E121">XLOOKUP(D121,RUC!$B$3:$B$110,RUC!$D$3:$D$110)</f>
        <v>20612921866</v>
      </c>
      <c r="G121" s="141">
        <v>50.0</v>
      </c>
      <c r="H121" s="3" t="s">
        <v>47</v>
      </c>
      <c r="I121" s="6">
        <v>0.0</v>
      </c>
      <c r="J121" s="58">
        <v>0.0</v>
      </c>
      <c r="K121" s="6">
        <v>0.0</v>
      </c>
      <c r="L121" s="139">
        <v>0.0</v>
      </c>
      <c r="M121" s="60">
        <v>0.0</v>
      </c>
      <c r="N121" s="62">
        <v>0.0</v>
      </c>
      <c r="O121" s="60">
        <v>0.0</v>
      </c>
      <c r="P121" s="63">
        <v>90.0</v>
      </c>
      <c r="Q121" s="58">
        <v>94.74</v>
      </c>
      <c r="R121" s="65">
        <v>4307.95</v>
      </c>
      <c r="S121" s="133">
        <v>0.0</v>
      </c>
      <c r="U121" s="67">
        <v>0.0</v>
      </c>
      <c r="V121" s="67">
        <v>0.0</v>
      </c>
      <c r="Y121" s="57" t="str">
        <f t="array" ref="Y121">XLOOKUP(D121,RUC!$B$3:$B$110,RUC!$G$3:$G$110)</f>
        <v/>
      </c>
      <c r="Z121" s="69">
        <v>0.0</v>
      </c>
      <c r="AA121" s="70">
        <f t="shared" si="6"/>
        <v>0</v>
      </c>
      <c r="AB121" s="71">
        <f t="shared" si="50"/>
        <v>0</v>
      </c>
      <c r="AC121" s="71">
        <v>0.0</v>
      </c>
      <c r="AD121" s="71">
        <f t="shared" si="8"/>
        <v>0</v>
      </c>
      <c r="AE121" s="71">
        <v>0.0</v>
      </c>
      <c r="AF121" s="71">
        <f t="shared" si="10"/>
        <v>0</v>
      </c>
      <c r="AG121" s="72">
        <f t="shared" si="57"/>
        <v>0</v>
      </c>
      <c r="AH121" s="193">
        <f t="shared" si="12"/>
        <v>0</v>
      </c>
      <c r="AI121" s="193">
        <f t="shared" si="13"/>
        <v>0</v>
      </c>
      <c r="AJ121" s="73">
        <f t="shared" si="14"/>
        <v>0</v>
      </c>
      <c r="AK121" s="73">
        <f t="shared" si="15"/>
        <v>0</v>
      </c>
      <c r="AM121" s="51">
        <f t="shared" si="16"/>
        <v>0</v>
      </c>
      <c r="AN121" s="51" t="str">
        <f t="array" ref="AN121">XLOOKUP(D121,RUC!$B$3:$B$565,RUC!$M$3:$M$565)</f>
        <v>Ronald Garibay</v>
      </c>
      <c r="AO121" s="131" t="s">
        <v>731</v>
      </c>
      <c r="AP121" s="57" t="s">
        <v>2637</v>
      </c>
      <c r="AQ121" s="57" t="s">
        <v>2638</v>
      </c>
    </row>
    <row r="122" ht="15.0" customHeight="1">
      <c r="B122" s="3"/>
      <c r="C122" s="3"/>
      <c r="H122" s="3"/>
      <c r="R122" s="65"/>
      <c r="AG122" s="91"/>
    </row>
    <row r="123" ht="15.0" customHeight="1">
      <c r="B123" s="3"/>
      <c r="C123" s="3"/>
      <c r="H123" s="3"/>
      <c r="R123" s="65"/>
      <c r="AG123" s="91"/>
    </row>
    <row r="124" ht="15.0" customHeight="1">
      <c r="B124" s="3"/>
      <c r="C124" s="3"/>
      <c r="H124" s="3"/>
      <c r="R124" s="65"/>
      <c r="AG124" s="91"/>
    </row>
    <row r="125" ht="15.0" customHeight="1">
      <c r="B125" s="3"/>
      <c r="C125" s="3"/>
      <c r="H125" s="3"/>
      <c r="R125" s="65"/>
      <c r="AG125" s="91"/>
    </row>
    <row r="126" ht="15.0" customHeight="1">
      <c r="B126" s="3"/>
      <c r="C126" s="3"/>
      <c r="H126" s="3"/>
      <c r="R126" s="65"/>
      <c r="AG126" s="91"/>
    </row>
    <row r="127" ht="15.0" customHeight="1">
      <c r="B127" s="3"/>
      <c r="C127" s="3"/>
      <c r="H127" s="3"/>
      <c r="R127" s="65"/>
      <c r="AG127" s="91"/>
    </row>
    <row r="128" ht="15.0" customHeight="1">
      <c r="B128" s="3"/>
      <c r="C128" s="3"/>
      <c r="H128" s="3"/>
      <c r="R128" s="65"/>
      <c r="AG128" s="91"/>
    </row>
    <row r="129" ht="15.0" customHeight="1">
      <c r="B129" s="3"/>
      <c r="C129" s="3"/>
      <c r="H129" s="3"/>
      <c r="R129" s="65"/>
      <c r="AG129" s="91"/>
    </row>
    <row r="130" ht="15.0" customHeight="1">
      <c r="B130" s="3"/>
      <c r="C130" s="3"/>
      <c r="H130" s="3"/>
      <c r="R130" s="65"/>
      <c r="AG130" s="91"/>
    </row>
    <row r="131" ht="15.0" customHeight="1">
      <c r="B131" s="3"/>
      <c r="C131" s="3"/>
      <c r="H131" s="3"/>
      <c r="R131" s="65"/>
      <c r="AG131" s="91"/>
    </row>
    <row r="132" ht="15.0" customHeight="1">
      <c r="B132" s="3"/>
      <c r="C132" s="3"/>
      <c r="H132" s="3"/>
      <c r="R132" s="65"/>
      <c r="AG132" s="91"/>
    </row>
    <row r="133" ht="15.0" customHeight="1">
      <c r="B133" s="3"/>
      <c r="C133" s="3"/>
      <c r="H133" s="3"/>
      <c r="R133" s="65"/>
      <c r="AG133" s="91"/>
    </row>
    <row r="134" ht="15.0" customHeight="1">
      <c r="B134" s="3"/>
      <c r="C134" s="3"/>
      <c r="H134" s="3"/>
      <c r="R134" s="65"/>
      <c r="AG134" s="91"/>
    </row>
    <row r="135" ht="15.0" customHeight="1">
      <c r="B135" s="3"/>
      <c r="C135" s="3"/>
      <c r="H135" s="3"/>
      <c r="R135" s="65"/>
      <c r="AG135" s="91"/>
    </row>
    <row r="136" ht="15.0" customHeight="1">
      <c r="B136" s="3"/>
      <c r="C136" s="3"/>
      <c r="H136" s="3"/>
      <c r="R136" s="65"/>
      <c r="AG136" s="91"/>
    </row>
    <row r="137" ht="15.0" customHeight="1">
      <c r="B137" s="3"/>
      <c r="C137" s="3"/>
      <c r="H137" s="3"/>
      <c r="R137" s="65"/>
      <c r="AG137" s="91"/>
    </row>
    <row r="138" ht="15.0" customHeight="1">
      <c r="B138" s="3"/>
      <c r="C138" s="3"/>
      <c r="H138" s="3"/>
      <c r="R138" s="65"/>
      <c r="AG138" s="91"/>
    </row>
    <row r="139" ht="15.0" customHeight="1">
      <c r="B139" s="3"/>
      <c r="C139" s="3"/>
      <c r="H139" s="3"/>
      <c r="R139" s="65"/>
      <c r="AG139" s="91"/>
    </row>
    <row r="140" ht="15.0" customHeight="1">
      <c r="B140" s="3"/>
      <c r="C140" s="3"/>
      <c r="H140" s="3"/>
      <c r="R140" s="65"/>
      <c r="AG140" s="91"/>
    </row>
    <row r="141" ht="15.0" customHeight="1">
      <c r="B141" s="3"/>
      <c r="C141" s="3"/>
      <c r="H141" s="3"/>
      <c r="R141" s="65"/>
      <c r="AG141" s="91"/>
    </row>
    <row r="142" ht="15.0" customHeight="1">
      <c r="B142" s="3"/>
      <c r="C142" s="3"/>
      <c r="H142" s="3"/>
      <c r="R142" s="65"/>
      <c r="AG142" s="91"/>
    </row>
    <row r="143" ht="15.0" customHeight="1">
      <c r="B143" s="3"/>
      <c r="C143" s="3"/>
      <c r="H143" s="3"/>
      <c r="R143" s="65"/>
      <c r="AG143" s="91"/>
    </row>
    <row r="144" ht="15.0" customHeight="1">
      <c r="B144" s="3"/>
      <c r="C144" s="3"/>
      <c r="H144" s="3"/>
      <c r="R144" s="65"/>
      <c r="AG144" s="91"/>
    </row>
    <row r="145" ht="15.0" customHeight="1">
      <c r="B145" s="3"/>
      <c r="C145" s="3"/>
      <c r="H145" s="3"/>
      <c r="R145" s="65"/>
      <c r="AG145" s="91"/>
    </row>
    <row r="146" ht="15.0" customHeight="1">
      <c r="B146" s="3"/>
      <c r="C146" s="3"/>
      <c r="H146" s="3"/>
      <c r="R146" s="65"/>
      <c r="AG146" s="91"/>
    </row>
    <row r="147" ht="15.0" customHeight="1">
      <c r="B147" s="3"/>
      <c r="C147" s="3"/>
      <c r="H147" s="3"/>
      <c r="R147" s="65"/>
      <c r="AG147" s="91"/>
    </row>
    <row r="148" ht="15.0" customHeight="1">
      <c r="B148" s="3"/>
      <c r="C148" s="3"/>
      <c r="H148" s="3"/>
      <c r="R148" s="65"/>
      <c r="AG148" s="91"/>
    </row>
    <row r="149" ht="15.0" customHeight="1">
      <c r="B149" s="3"/>
      <c r="C149" s="3"/>
      <c r="H149" s="3"/>
      <c r="R149" s="65"/>
      <c r="AG149" s="91"/>
    </row>
    <row r="150" ht="15.0" customHeight="1">
      <c r="B150" s="3"/>
      <c r="C150" s="3"/>
      <c r="H150" s="3"/>
      <c r="R150" s="65"/>
      <c r="AG150" s="91"/>
    </row>
    <row r="151" ht="15.0" customHeight="1">
      <c r="B151" s="3"/>
      <c r="C151" s="3"/>
      <c r="H151" s="3"/>
      <c r="R151" s="65"/>
      <c r="AG151" s="91"/>
    </row>
    <row r="152" ht="15.75" customHeight="1">
      <c r="B152" s="3"/>
      <c r="C152" s="3"/>
      <c r="H152" s="3"/>
      <c r="AG152" s="91"/>
    </row>
    <row r="153" ht="15.75" customHeight="1">
      <c r="B153" s="3"/>
      <c r="C153" s="3"/>
      <c r="H153" s="3"/>
      <c r="AG153" s="91"/>
    </row>
    <row r="154" ht="15.75" customHeight="1">
      <c r="B154" s="3"/>
      <c r="C154" s="3"/>
      <c r="H154" s="3"/>
      <c r="AG154" s="91"/>
    </row>
    <row r="155" ht="15.75" customHeight="1">
      <c r="B155" s="3"/>
      <c r="C155" s="3"/>
      <c r="H155" s="3"/>
      <c r="AG155" s="91"/>
    </row>
    <row r="156" ht="15.75" customHeight="1">
      <c r="B156" s="3"/>
      <c r="C156" s="3"/>
      <c r="H156" s="3"/>
      <c r="AG156" s="91"/>
    </row>
    <row r="157" ht="15.75" customHeight="1">
      <c r="B157" s="3"/>
      <c r="C157" s="3"/>
      <c r="H157" s="3"/>
      <c r="AG157" s="91"/>
    </row>
    <row r="158" ht="15.75" customHeight="1">
      <c r="B158" s="3"/>
      <c r="C158" s="3"/>
      <c r="H158" s="3"/>
      <c r="AG158" s="91"/>
    </row>
    <row r="159" ht="15.75" customHeight="1">
      <c r="B159" s="3"/>
      <c r="C159" s="3"/>
      <c r="H159" s="3"/>
      <c r="AG159" s="91"/>
    </row>
    <row r="160" ht="15.75" customHeight="1">
      <c r="B160" s="3"/>
      <c r="C160" s="3"/>
      <c r="H160" s="3"/>
      <c r="AG160" s="91"/>
    </row>
    <row r="161" ht="15.75" customHeight="1">
      <c r="B161" s="3"/>
      <c r="C161" s="3"/>
      <c r="H161" s="3"/>
      <c r="AG161" s="91"/>
    </row>
    <row r="162" ht="15.75" customHeight="1">
      <c r="B162" s="3"/>
      <c r="C162" s="3"/>
      <c r="H162" s="3"/>
      <c r="AG162" s="91"/>
    </row>
    <row r="163" ht="15.75" customHeight="1">
      <c r="B163" s="3"/>
      <c r="C163" s="3"/>
      <c r="H163" s="3"/>
      <c r="AG163" s="91"/>
    </row>
    <row r="164" ht="15.75" customHeight="1">
      <c r="B164" s="3"/>
      <c r="C164" s="3"/>
      <c r="H164" s="3"/>
      <c r="AG164" s="91"/>
    </row>
    <row r="165" ht="15.75" customHeight="1">
      <c r="B165" s="3"/>
      <c r="C165" s="3"/>
      <c r="H165" s="3"/>
      <c r="AG165" s="91"/>
    </row>
    <row r="166" ht="15.75" customHeight="1">
      <c r="B166" s="3"/>
      <c r="C166" s="3"/>
      <c r="H166" s="3"/>
      <c r="AG166" s="91"/>
    </row>
    <row r="167" ht="15.75" customHeight="1">
      <c r="B167" s="3"/>
      <c r="C167" s="3"/>
      <c r="H167" s="3"/>
      <c r="AG167" s="91"/>
    </row>
    <row r="168" ht="15.75" customHeight="1">
      <c r="B168" s="3"/>
      <c r="C168" s="3"/>
      <c r="H168" s="3"/>
      <c r="AG168" s="91"/>
    </row>
    <row r="169" ht="15.75" customHeight="1">
      <c r="B169" s="3"/>
      <c r="C169" s="3"/>
      <c r="H169" s="3"/>
      <c r="AG169" s="91"/>
    </row>
    <row r="170" ht="15.75" customHeight="1">
      <c r="B170" s="3"/>
      <c r="C170" s="3"/>
      <c r="H170" s="3"/>
      <c r="AG170" s="91"/>
    </row>
    <row r="171" ht="15.75" customHeight="1">
      <c r="B171" s="3"/>
      <c r="C171" s="3"/>
      <c r="H171" s="3"/>
      <c r="AG171" s="91"/>
    </row>
    <row r="172" ht="15.75" customHeight="1">
      <c r="B172" s="3"/>
      <c r="C172" s="3"/>
      <c r="H172" s="3"/>
      <c r="AG172" s="91"/>
    </row>
    <row r="173" ht="15.75" customHeight="1">
      <c r="B173" s="3"/>
      <c r="C173" s="3"/>
      <c r="H173" s="3"/>
      <c r="AG173" s="91"/>
    </row>
    <row r="174" ht="15.75" customHeight="1">
      <c r="B174" s="3"/>
      <c r="C174" s="3"/>
      <c r="H174" s="3"/>
      <c r="AG174" s="91"/>
    </row>
    <row r="175" ht="15.75" customHeight="1">
      <c r="B175" s="3"/>
      <c r="C175" s="3"/>
      <c r="H175" s="3"/>
      <c r="AG175" s="91"/>
    </row>
    <row r="176" ht="15.75" customHeight="1">
      <c r="B176" s="3"/>
      <c r="C176" s="3"/>
      <c r="H176" s="3"/>
      <c r="AG176" s="91"/>
    </row>
    <row r="177" ht="15.75" customHeight="1">
      <c r="B177" s="3"/>
      <c r="C177" s="3"/>
      <c r="H177" s="3"/>
      <c r="AG177" s="91"/>
    </row>
    <row r="178" ht="15.75" customHeight="1">
      <c r="B178" s="3"/>
      <c r="C178" s="3"/>
      <c r="H178" s="3"/>
      <c r="AG178" s="91"/>
    </row>
    <row r="179" ht="15.75" customHeight="1">
      <c r="B179" s="3"/>
      <c r="C179" s="3"/>
      <c r="H179" s="3"/>
      <c r="AG179" s="91"/>
    </row>
    <row r="180" ht="15.75" customHeight="1">
      <c r="B180" s="3"/>
      <c r="C180" s="3"/>
      <c r="H180" s="3"/>
      <c r="AG180" s="91"/>
    </row>
    <row r="181" ht="15.75" customHeight="1">
      <c r="B181" s="3"/>
      <c r="C181" s="3"/>
      <c r="H181" s="3"/>
      <c r="AG181" s="91"/>
    </row>
    <row r="182" ht="15.75" customHeight="1">
      <c r="B182" s="3"/>
      <c r="C182" s="3"/>
      <c r="H182" s="3"/>
      <c r="AG182" s="91"/>
    </row>
    <row r="183" ht="15.75" customHeight="1">
      <c r="B183" s="3"/>
      <c r="C183" s="3"/>
      <c r="H183" s="3"/>
      <c r="AG183" s="91"/>
    </row>
    <row r="184" ht="15.75" customHeight="1">
      <c r="B184" s="3"/>
      <c r="C184" s="3"/>
      <c r="H184" s="3"/>
      <c r="AG184" s="91"/>
    </row>
    <row r="185" ht="15.75" customHeight="1">
      <c r="B185" s="3"/>
      <c r="C185" s="3"/>
      <c r="H185" s="3"/>
      <c r="AG185" s="91"/>
    </row>
    <row r="186" ht="15.75" customHeight="1">
      <c r="B186" s="3"/>
      <c r="C186" s="3"/>
      <c r="H186" s="3"/>
      <c r="AG186" s="91"/>
    </row>
    <row r="187" ht="15.75" customHeight="1">
      <c r="B187" s="3"/>
      <c r="C187" s="3"/>
      <c r="H187" s="3"/>
      <c r="AG187" s="91"/>
    </row>
    <row r="188" ht="15.75" customHeight="1">
      <c r="B188" s="3"/>
      <c r="C188" s="3"/>
      <c r="H188" s="3"/>
      <c r="AG188" s="91"/>
    </row>
    <row r="189" ht="15.75" customHeight="1">
      <c r="B189" s="3"/>
      <c r="C189" s="3"/>
      <c r="H189" s="3"/>
      <c r="AG189" s="91"/>
    </row>
    <row r="190" ht="15.75" customHeight="1">
      <c r="B190" s="3"/>
      <c r="C190" s="3"/>
      <c r="H190" s="3"/>
      <c r="AG190" s="91"/>
    </row>
    <row r="191" ht="15.75" customHeight="1">
      <c r="B191" s="3"/>
      <c r="C191" s="3"/>
      <c r="H191" s="3"/>
      <c r="AG191" s="91"/>
    </row>
    <row r="192" ht="15.75" customHeight="1">
      <c r="B192" s="3"/>
      <c r="C192" s="3"/>
      <c r="H192" s="3"/>
      <c r="AG192" s="91"/>
    </row>
    <row r="193" ht="15.75" customHeight="1">
      <c r="B193" s="3"/>
      <c r="C193" s="3"/>
      <c r="H193" s="3"/>
      <c r="AG193" s="91"/>
    </row>
    <row r="194" ht="15.75" customHeight="1">
      <c r="B194" s="3"/>
      <c r="C194" s="3"/>
      <c r="H194" s="3"/>
      <c r="AG194" s="91"/>
    </row>
    <row r="195" ht="15.75" customHeight="1">
      <c r="B195" s="3"/>
      <c r="C195" s="3"/>
      <c r="H195" s="3"/>
      <c r="AG195" s="91"/>
    </row>
    <row r="196" ht="15.75" customHeight="1">
      <c r="B196" s="3"/>
      <c r="C196" s="3"/>
      <c r="H196" s="3"/>
      <c r="AG196" s="91"/>
    </row>
    <row r="197" ht="15.75" customHeight="1">
      <c r="B197" s="3"/>
      <c r="C197" s="3"/>
      <c r="H197" s="3"/>
      <c r="AG197" s="91"/>
    </row>
    <row r="198" ht="15.75" customHeight="1">
      <c r="B198" s="3"/>
      <c r="C198" s="3"/>
      <c r="H198" s="3"/>
      <c r="AG198" s="91"/>
    </row>
    <row r="199" ht="15.75" customHeight="1">
      <c r="B199" s="3"/>
      <c r="C199" s="3"/>
      <c r="H199" s="3"/>
      <c r="AG199" s="91"/>
    </row>
    <row r="200" ht="15.75" customHeight="1">
      <c r="B200" s="3"/>
      <c r="C200" s="3"/>
      <c r="H200" s="3"/>
      <c r="AG200" s="91"/>
    </row>
    <row r="201" ht="15.75" customHeight="1">
      <c r="B201" s="3"/>
      <c r="C201" s="3"/>
      <c r="H201" s="3"/>
      <c r="AG201" s="91"/>
    </row>
    <row r="202" ht="15.75" customHeight="1">
      <c r="B202" s="3"/>
      <c r="C202" s="3"/>
      <c r="H202" s="3"/>
      <c r="AG202" s="91"/>
    </row>
    <row r="203" ht="15.75" customHeight="1">
      <c r="B203" s="3"/>
      <c r="C203" s="3"/>
      <c r="H203" s="3"/>
      <c r="AG203" s="91"/>
    </row>
    <row r="204" ht="15.75" customHeight="1">
      <c r="B204" s="3"/>
      <c r="C204" s="3"/>
      <c r="H204" s="3"/>
      <c r="AG204" s="91"/>
    </row>
    <row r="205" ht="15.75" customHeight="1">
      <c r="B205" s="3"/>
      <c r="C205" s="3"/>
      <c r="H205" s="3"/>
      <c r="AG205" s="91"/>
    </row>
    <row r="206" ht="15.75" customHeight="1">
      <c r="B206" s="3"/>
      <c r="C206" s="3"/>
      <c r="H206" s="3"/>
      <c r="AG206" s="91"/>
    </row>
    <row r="207" ht="15.75" customHeight="1">
      <c r="B207" s="3"/>
      <c r="C207" s="3"/>
      <c r="H207" s="3"/>
      <c r="AG207" s="91"/>
    </row>
    <row r="208" ht="15.75" customHeight="1">
      <c r="B208" s="3"/>
      <c r="C208" s="3"/>
      <c r="H208" s="3"/>
      <c r="AG208" s="91"/>
    </row>
    <row r="209" ht="15.75" customHeight="1">
      <c r="B209" s="3"/>
      <c r="C209" s="3"/>
      <c r="H209" s="3"/>
      <c r="AG209" s="91"/>
    </row>
    <row r="210" ht="15.75" customHeight="1">
      <c r="B210" s="3"/>
      <c r="C210" s="3"/>
      <c r="H210" s="3"/>
      <c r="AG210" s="91"/>
    </row>
    <row r="211" ht="15.75" customHeight="1">
      <c r="B211" s="3"/>
      <c r="C211" s="3"/>
      <c r="H211" s="3"/>
      <c r="AG211" s="91"/>
    </row>
    <row r="212" ht="15.75" customHeight="1">
      <c r="B212" s="3"/>
      <c r="C212" s="3"/>
      <c r="H212" s="3"/>
      <c r="AG212" s="91"/>
    </row>
    <row r="213" ht="15.75" customHeight="1">
      <c r="B213" s="3"/>
      <c r="C213" s="3"/>
      <c r="H213" s="3"/>
      <c r="AG213" s="91"/>
    </row>
    <row r="214" ht="15.75" customHeight="1">
      <c r="B214" s="3"/>
      <c r="C214" s="3"/>
      <c r="H214" s="3"/>
      <c r="AG214" s="91"/>
    </row>
    <row r="215" ht="15.75" customHeight="1">
      <c r="B215" s="3"/>
      <c r="C215" s="3"/>
      <c r="H215" s="3"/>
      <c r="AG215" s="91"/>
    </row>
    <row r="216" ht="15.75" customHeight="1">
      <c r="B216" s="3"/>
      <c r="C216" s="3"/>
      <c r="H216" s="3"/>
      <c r="AG216" s="91"/>
    </row>
    <row r="217" ht="15.75" customHeight="1">
      <c r="B217" s="3"/>
      <c r="C217" s="3"/>
      <c r="H217" s="3"/>
      <c r="AG217" s="91"/>
    </row>
    <row r="218" ht="15.75" customHeight="1">
      <c r="B218" s="3"/>
      <c r="C218" s="3"/>
      <c r="H218" s="3"/>
      <c r="AG218" s="91"/>
    </row>
    <row r="219" ht="15.75" customHeight="1">
      <c r="B219" s="3"/>
      <c r="C219" s="3"/>
      <c r="H219" s="3"/>
      <c r="AG219" s="91"/>
    </row>
    <row r="220" ht="15.75" customHeight="1">
      <c r="B220" s="3"/>
      <c r="C220" s="3"/>
      <c r="H220" s="3"/>
      <c r="AG220" s="91"/>
    </row>
    <row r="221" ht="15.75" customHeight="1">
      <c r="B221" s="3"/>
      <c r="C221" s="3"/>
      <c r="H221" s="3"/>
      <c r="AG221" s="91"/>
    </row>
    <row r="222" ht="15.75" customHeight="1">
      <c r="B222" s="3"/>
      <c r="C222" s="3"/>
      <c r="H222" s="3"/>
      <c r="AG222" s="91"/>
    </row>
    <row r="223" ht="15.75" customHeight="1">
      <c r="B223" s="3"/>
      <c r="C223" s="3"/>
      <c r="H223" s="3"/>
      <c r="AG223" s="91"/>
    </row>
    <row r="224" ht="15.75" customHeight="1">
      <c r="B224" s="3"/>
      <c r="C224" s="3"/>
      <c r="H224" s="3"/>
      <c r="AG224" s="91"/>
    </row>
    <row r="225" ht="15.75" customHeight="1">
      <c r="B225" s="3"/>
      <c r="C225" s="3"/>
      <c r="H225" s="3"/>
      <c r="AG225" s="91"/>
    </row>
    <row r="226" ht="15.75" customHeight="1">
      <c r="B226" s="3"/>
      <c r="C226" s="3"/>
      <c r="H226" s="3"/>
      <c r="AG226" s="91"/>
    </row>
    <row r="227" ht="15.75" customHeight="1">
      <c r="B227" s="3"/>
      <c r="C227" s="3"/>
      <c r="H227" s="3"/>
      <c r="AG227" s="91"/>
    </row>
    <row r="228" ht="15.75" customHeight="1">
      <c r="B228" s="3"/>
      <c r="C228" s="3"/>
      <c r="H228" s="3"/>
      <c r="AG228" s="91"/>
    </row>
    <row r="229" ht="15.75" customHeight="1">
      <c r="B229" s="3"/>
      <c r="C229" s="3"/>
      <c r="H229" s="3"/>
      <c r="AG229" s="91"/>
    </row>
    <row r="230" ht="15.75" customHeight="1">
      <c r="B230" s="3"/>
      <c r="C230" s="3"/>
      <c r="H230" s="3"/>
      <c r="AG230" s="91"/>
    </row>
    <row r="231" ht="15.75" customHeight="1">
      <c r="B231" s="3"/>
      <c r="C231" s="3"/>
      <c r="H231" s="3"/>
      <c r="AG231" s="91"/>
    </row>
    <row r="232" ht="15.75" customHeight="1">
      <c r="B232" s="3"/>
      <c r="C232" s="3"/>
      <c r="H232" s="3"/>
      <c r="AG232" s="91"/>
    </row>
    <row r="233" ht="15.75" customHeight="1">
      <c r="B233" s="3"/>
      <c r="C233" s="3"/>
      <c r="H233" s="3"/>
      <c r="AG233" s="91"/>
    </row>
    <row r="234" ht="15.75" customHeight="1">
      <c r="B234" s="3"/>
      <c r="C234" s="3"/>
      <c r="H234" s="3"/>
      <c r="AG234" s="91"/>
    </row>
    <row r="235" ht="15.75" customHeight="1">
      <c r="B235" s="3"/>
      <c r="C235" s="3"/>
      <c r="H235" s="3"/>
      <c r="AG235" s="91"/>
    </row>
    <row r="236" ht="15.75" customHeight="1">
      <c r="B236" s="3"/>
      <c r="C236" s="3"/>
      <c r="H236" s="3"/>
      <c r="AG236" s="91"/>
    </row>
    <row r="237" ht="15.75" customHeight="1">
      <c r="B237" s="3"/>
      <c r="C237" s="3"/>
      <c r="H237" s="3"/>
      <c r="AG237" s="91"/>
    </row>
    <row r="238" ht="15.75" customHeight="1">
      <c r="B238" s="3"/>
      <c r="C238" s="3"/>
      <c r="H238" s="3"/>
      <c r="AG238" s="91"/>
    </row>
    <row r="239" ht="15.75" customHeight="1">
      <c r="B239" s="3"/>
      <c r="C239" s="3"/>
      <c r="H239" s="3"/>
      <c r="AG239" s="91"/>
    </row>
    <row r="240" ht="15.75" customHeight="1">
      <c r="B240" s="3"/>
      <c r="C240" s="3"/>
      <c r="H240" s="3"/>
      <c r="AG240" s="91"/>
    </row>
    <row r="241" ht="15.75" customHeight="1">
      <c r="B241" s="3"/>
      <c r="C241" s="3"/>
      <c r="H241" s="3"/>
      <c r="AG241" s="91"/>
    </row>
    <row r="242" ht="15.75" customHeight="1">
      <c r="B242" s="3"/>
      <c r="C242" s="3"/>
      <c r="H242" s="3"/>
      <c r="AG242" s="91"/>
    </row>
    <row r="243" ht="15.75" customHeight="1">
      <c r="B243" s="3"/>
      <c r="C243" s="3"/>
      <c r="H243" s="3"/>
      <c r="AG243" s="91"/>
    </row>
    <row r="244" ht="15.75" customHeight="1">
      <c r="B244" s="3"/>
      <c r="C244" s="3"/>
      <c r="H244" s="3"/>
      <c r="AG244" s="91"/>
    </row>
    <row r="245" ht="15.75" customHeight="1">
      <c r="B245" s="3"/>
      <c r="C245" s="3"/>
      <c r="H245" s="3"/>
      <c r="AG245" s="91"/>
    </row>
    <row r="246" ht="15.75" customHeight="1">
      <c r="B246" s="3"/>
      <c r="C246" s="3"/>
      <c r="H246" s="3"/>
      <c r="AG246" s="91"/>
    </row>
    <row r="247" ht="15.75" customHeight="1">
      <c r="B247" s="3"/>
      <c r="C247" s="3"/>
      <c r="H247" s="3"/>
      <c r="AG247" s="91"/>
    </row>
    <row r="248" ht="15.75" customHeight="1">
      <c r="B248" s="3"/>
      <c r="C248" s="3"/>
      <c r="H248" s="3"/>
      <c r="AG248" s="91"/>
    </row>
    <row r="249" ht="15.75" customHeight="1">
      <c r="B249" s="3"/>
      <c r="C249" s="3"/>
      <c r="H249" s="3"/>
      <c r="AG249" s="91"/>
    </row>
    <row r="250" ht="15.75" customHeight="1">
      <c r="B250" s="3"/>
      <c r="C250" s="3"/>
      <c r="H250" s="3"/>
      <c r="AG250" s="91"/>
    </row>
    <row r="251" ht="15.75" customHeight="1">
      <c r="B251" s="3"/>
      <c r="C251" s="3"/>
      <c r="H251" s="3"/>
      <c r="AG251" s="91"/>
    </row>
    <row r="252" ht="15.75" customHeight="1">
      <c r="B252" s="3"/>
      <c r="C252" s="3"/>
      <c r="H252" s="3"/>
      <c r="AG252" s="91"/>
    </row>
    <row r="253" ht="15.75" customHeight="1">
      <c r="B253" s="3"/>
      <c r="C253" s="3"/>
      <c r="H253" s="3"/>
      <c r="AG253" s="91"/>
    </row>
    <row r="254" ht="15.75" customHeight="1">
      <c r="B254" s="3"/>
      <c r="C254" s="3"/>
      <c r="H254" s="3"/>
      <c r="AG254" s="91"/>
    </row>
    <row r="255" ht="15.75" customHeight="1">
      <c r="B255" s="3"/>
      <c r="C255" s="3"/>
      <c r="H255" s="3"/>
      <c r="AG255" s="91"/>
    </row>
    <row r="256" ht="15.75" customHeight="1">
      <c r="B256" s="3"/>
      <c r="C256" s="3"/>
      <c r="H256" s="3"/>
      <c r="AG256" s="91"/>
    </row>
    <row r="257" ht="15.75" customHeight="1">
      <c r="B257" s="3"/>
      <c r="C257" s="3"/>
      <c r="H257" s="3"/>
      <c r="AG257" s="91"/>
    </row>
    <row r="258" ht="15.75" customHeight="1">
      <c r="B258" s="3"/>
      <c r="C258" s="3"/>
      <c r="H258" s="3"/>
      <c r="AG258" s="91"/>
    </row>
    <row r="259" ht="15.75" customHeight="1">
      <c r="B259" s="3"/>
      <c r="C259" s="3"/>
      <c r="H259" s="3"/>
      <c r="AG259" s="91"/>
    </row>
    <row r="260" ht="15.75" customHeight="1">
      <c r="B260" s="3"/>
      <c r="C260" s="3"/>
      <c r="H260" s="3"/>
      <c r="AG260" s="91"/>
    </row>
    <row r="261" ht="15.75" customHeight="1">
      <c r="B261" s="3"/>
      <c r="C261" s="3"/>
      <c r="H261" s="3"/>
      <c r="AG261" s="91"/>
    </row>
    <row r="262" ht="15.75" customHeight="1">
      <c r="B262" s="3"/>
      <c r="C262" s="3"/>
      <c r="H262" s="3"/>
      <c r="AG262" s="91"/>
    </row>
    <row r="263" ht="15.75" customHeight="1">
      <c r="B263" s="3"/>
      <c r="C263" s="3"/>
      <c r="H263" s="3"/>
      <c r="AG263" s="91"/>
    </row>
    <row r="264" ht="15.75" customHeight="1">
      <c r="B264" s="3"/>
      <c r="C264" s="3"/>
      <c r="H264" s="3"/>
      <c r="AG264" s="91"/>
    </row>
    <row r="265" ht="15.75" customHeight="1">
      <c r="B265" s="3"/>
      <c r="C265" s="3"/>
      <c r="H265" s="3"/>
      <c r="AG265" s="91"/>
    </row>
    <row r="266" ht="15.75" customHeight="1">
      <c r="B266" s="3"/>
      <c r="C266" s="3"/>
      <c r="H266" s="3"/>
      <c r="AG266" s="91"/>
    </row>
    <row r="267" ht="15.75" customHeight="1">
      <c r="B267" s="3"/>
      <c r="C267" s="3"/>
      <c r="H267" s="3"/>
      <c r="AG267" s="91"/>
    </row>
    <row r="268" ht="15.75" customHeight="1">
      <c r="B268" s="3"/>
      <c r="C268" s="3"/>
      <c r="H268" s="3"/>
      <c r="AG268" s="91"/>
    </row>
    <row r="269" ht="15.75" customHeight="1">
      <c r="B269" s="3"/>
      <c r="C269" s="3"/>
      <c r="H269" s="3"/>
      <c r="AG269" s="91"/>
    </row>
    <row r="270" ht="15.75" customHeight="1">
      <c r="B270" s="3"/>
      <c r="C270" s="3"/>
      <c r="H270" s="3"/>
      <c r="AG270" s="91"/>
    </row>
    <row r="271" ht="15.75" customHeight="1">
      <c r="B271" s="3"/>
      <c r="C271" s="3"/>
      <c r="H271" s="3"/>
      <c r="AG271" s="91"/>
    </row>
    <row r="272" ht="15.75" customHeight="1">
      <c r="B272" s="3"/>
      <c r="C272" s="3"/>
      <c r="H272" s="3"/>
      <c r="AG272" s="91"/>
    </row>
    <row r="273" ht="15.75" customHeight="1">
      <c r="B273" s="3"/>
      <c r="C273" s="3"/>
      <c r="H273" s="3"/>
      <c r="AG273" s="91"/>
    </row>
    <row r="274" ht="15.75" customHeight="1">
      <c r="B274" s="3"/>
      <c r="C274" s="3"/>
      <c r="H274" s="3"/>
      <c r="AG274" s="91"/>
    </row>
    <row r="275" ht="15.75" customHeight="1">
      <c r="B275" s="3"/>
      <c r="C275" s="3"/>
      <c r="H275" s="3"/>
      <c r="AG275" s="91"/>
    </row>
    <row r="276" ht="15.75" customHeight="1">
      <c r="B276" s="3"/>
      <c r="C276" s="3"/>
      <c r="H276" s="3"/>
      <c r="AG276" s="91"/>
    </row>
    <row r="277" ht="15.75" customHeight="1">
      <c r="B277" s="3"/>
      <c r="C277" s="3"/>
      <c r="H277" s="3"/>
      <c r="AG277" s="91"/>
    </row>
    <row r="278" ht="15.75" customHeight="1">
      <c r="B278" s="3"/>
      <c r="C278" s="3"/>
      <c r="H278" s="3"/>
      <c r="AG278" s="91"/>
    </row>
    <row r="279" ht="15.75" customHeight="1">
      <c r="B279" s="3"/>
      <c r="C279" s="3"/>
      <c r="H279" s="3"/>
      <c r="AG279" s="91"/>
    </row>
    <row r="280" ht="15.75" customHeight="1">
      <c r="B280" s="3"/>
      <c r="C280" s="3"/>
      <c r="H280" s="3"/>
      <c r="AG280" s="91"/>
    </row>
    <row r="281" ht="15.75" customHeight="1">
      <c r="B281" s="3"/>
      <c r="C281" s="3"/>
      <c r="H281" s="3"/>
      <c r="AG281" s="91"/>
    </row>
    <row r="282" ht="15.75" customHeight="1">
      <c r="B282" s="3"/>
      <c r="C282" s="3"/>
      <c r="H282" s="3"/>
      <c r="AG282" s="91"/>
    </row>
    <row r="283" ht="15.75" customHeight="1">
      <c r="B283" s="3"/>
      <c r="C283" s="3"/>
      <c r="H283" s="3"/>
      <c r="AG283" s="91"/>
    </row>
    <row r="284" ht="15.75" customHeight="1">
      <c r="B284" s="3"/>
      <c r="C284" s="3"/>
      <c r="H284" s="3"/>
      <c r="AG284" s="91"/>
    </row>
    <row r="285" ht="15.75" customHeight="1">
      <c r="B285" s="3"/>
      <c r="C285" s="3"/>
      <c r="H285" s="3"/>
      <c r="AG285" s="91"/>
    </row>
    <row r="286" ht="15.75" customHeight="1">
      <c r="B286" s="3"/>
      <c r="C286" s="3"/>
      <c r="H286" s="3"/>
      <c r="AG286" s="91"/>
    </row>
    <row r="287" ht="15.75" customHeight="1">
      <c r="B287" s="3"/>
      <c r="C287" s="3"/>
      <c r="H287" s="3"/>
      <c r="AG287" s="91"/>
    </row>
    <row r="288" ht="15.75" customHeight="1">
      <c r="B288" s="3"/>
      <c r="C288" s="3"/>
      <c r="H288" s="3"/>
      <c r="AG288" s="91"/>
    </row>
    <row r="289" ht="15.75" customHeight="1">
      <c r="B289" s="3"/>
      <c r="C289" s="3"/>
      <c r="H289" s="3"/>
      <c r="AG289" s="91"/>
    </row>
    <row r="290" ht="15.75" customHeight="1">
      <c r="B290" s="3"/>
      <c r="C290" s="3"/>
      <c r="H290" s="3"/>
      <c r="AG290" s="91"/>
    </row>
    <row r="291" ht="15.75" customHeight="1">
      <c r="B291" s="3"/>
      <c r="C291" s="3"/>
      <c r="H291" s="3"/>
      <c r="AG291" s="91"/>
    </row>
    <row r="292" ht="15.75" customHeight="1">
      <c r="B292" s="3"/>
      <c r="C292" s="3"/>
      <c r="H292" s="3"/>
      <c r="AG292" s="91"/>
    </row>
    <row r="293" ht="15.75" customHeight="1">
      <c r="B293" s="3"/>
      <c r="C293" s="3"/>
      <c r="H293" s="3"/>
      <c r="AG293" s="91"/>
    </row>
    <row r="294" ht="15.75" customHeight="1">
      <c r="B294" s="3"/>
      <c r="C294" s="3"/>
      <c r="H294" s="3"/>
      <c r="AG294" s="91"/>
    </row>
    <row r="295" ht="15.75" customHeight="1">
      <c r="B295" s="3"/>
      <c r="C295" s="3"/>
      <c r="H295" s="3"/>
      <c r="AG295" s="91"/>
    </row>
    <row r="296" ht="15.75" customHeight="1">
      <c r="B296" s="3"/>
      <c r="C296" s="3"/>
      <c r="H296" s="3"/>
      <c r="AG296" s="91"/>
    </row>
    <row r="297" ht="15.75" customHeight="1">
      <c r="B297" s="3"/>
      <c r="C297" s="3"/>
      <c r="H297" s="3"/>
      <c r="AG297" s="91"/>
    </row>
    <row r="298" ht="15.75" customHeight="1">
      <c r="B298" s="3"/>
      <c r="C298" s="3"/>
      <c r="H298" s="3"/>
      <c r="AG298" s="91"/>
    </row>
    <row r="299" ht="15.75" customHeight="1">
      <c r="B299" s="3"/>
      <c r="C299" s="3"/>
      <c r="H299" s="3"/>
      <c r="AG299" s="91"/>
    </row>
    <row r="300" ht="15.75" customHeight="1">
      <c r="B300" s="3"/>
      <c r="C300" s="3"/>
      <c r="H300" s="3"/>
      <c r="AG300" s="91"/>
    </row>
    <row r="301" ht="15.75" customHeight="1">
      <c r="B301" s="3"/>
      <c r="C301" s="3"/>
      <c r="H301" s="3"/>
      <c r="AG301" s="91"/>
    </row>
    <row r="302" ht="15.75" customHeight="1">
      <c r="B302" s="3"/>
      <c r="C302" s="3"/>
      <c r="H302" s="3"/>
      <c r="AG302" s="91"/>
    </row>
    <row r="303" ht="15.75" customHeight="1">
      <c r="B303" s="3"/>
      <c r="C303" s="3"/>
      <c r="H303" s="3"/>
      <c r="AG303" s="91"/>
    </row>
    <row r="304" ht="15.75" customHeight="1">
      <c r="B304" s="3"/>
      <c r="C304" s="3"/>
      <c r="H304" s="3"/>
      <c r="AG304" s="91"/>
    </row>
    <row r="305" ht="15.75" customHeight="1">
      <c r="B305" s="3"/>
      <c r="C305" s="3"/>
      <c r="H305" s="3"/>
      <c r="AG305" s="91"/>
    </row>
    <row r="306" ht="15.75" customHeight="1">
      <c r="B306" s="3"/>
      <c r="C306" s="3"/>
      <c r="H306" s="3"/>
      <c r="AG306" s="91"/>
    </row>
    <row r="307" ht="15.75" customHeight="1">
      <c r="B307" s="3"/>
      <c r="C307" s="3"/>
      <c r="H307" s="3"/>
      <c r="AG307" s="91"/>
    </row>
    <row r="308" ht="15.75" customHeight="1">
      <c r="B308" s="3"/>
      <c r="C308" s="3"/>
      <c r="H308" s="3"/>
      <c r="AG308" s="91"/>
    </row>
    <row r="309" ht="15.75" customHeight="1">
      <c r="B309" s="3"/>
      <c r="C309" s="3"/>
      <c r="H309" s="3"/>
      <c r="AG309" s="91"/>
    </row>
    <row r="310" ht="15.75" customHeight="1">
      <c r="B310" s="3"/>
      <c r="C310" s="3"/>
      <c r="H310" s="3"/>
      <c r="AG310" s="91"/>
    </row>
    <row r="311" ht="15.75" customHeight="1">
      <c r="B311" s="3"/>
      <c r="C311" s="3"/>
      <c r="H311" s="3"/>
      <c r="AG311" s="91"/>
    </row>
    <row r="312" ht="15.75" customHeight="1">
      <c r="B312" s="3"/>
      <c r="C312" s="3"/>
      <c r="H312" s="3"/>
      <c r="AG312" s="91"/>
    </row>
    <row r="313" ht="15.75" customHeight="1">
      <c r="B313" s="3"/>
      <c r="C313" s="3"/>
      <c r="H313" s="3"/>
      <c r="AG313" s="91"/>
    </row>
    <row r="314" ht="15.75" customHeight="1">
      <c r="B314" s="3"/>
      <c r="C314" s="3"/>
      <c r="H314" s="3"/>
      <c r="AG314" s="91"/>
    </row>
    <row r="315" ht="15.75" customHeight="1">
      <c r="B315" s="3"/>
      <c r="C315" s="3"/>
      <c r="H315" s="3"/>
      <c r="AG315" s="91"/>
    </row>
    <row r="316" ht="15.75" customHeight="1">
      <c r="B316" s="3"/>
      <c r="C316" s="3"/>
      <c r="H316" s="3"/>
      <c r="AG316" s="91"/>
    </row>
    <row r="317" ht="15.75" customHeight="1">
      <c r="B317" s="3"/>
      <c r="C317" s="3"/>
      <c r="H317" s="3"/>
      <c r="AG317" s="91"/>
    </row>
    <row r="318" ht="15.75" customHeight="1">
      <c r="B318" s="3"/>
      <c r="C318" s="3"/>
      <c r="H318" s="3"/>
      <c r="AG318" s="91"/>
    </row>
    <row r="319" ht="15.75" customHeight="1">
      <c r="B319" s="3"/>
      <c r="C319" s="3"/>
      <c r="H319" s="3"/>
      <c r="AG319" s="91"/>
    </row>
    <row r="320" ht="15.75" customHeight="1">
      <c r="B320" s="3"/>
      <c r="C320" s="3"/>
      <c r="H320" s="3"/>
      <c r="AG320" s="91"/>
    </row>
    <row r="321" ht="15.75" customHeight="1">
      <c r="B321" s="3"/>
      <c r="C321" s="3"/>
      <c r="H321" s="3"/>
      <c r="AG321" s="91"/>
    </row>
    <row r="322" ht="15.75" customHeight="1">
      <c r="B322" s="3"/>
      <c r="C322" s="3"/>
      <c r="H322" s="3"/>
      <c r="AG322" s="91"/>
    </row>
    <row r="323" ht="15.75" customHeight="1">
      <c r="B323" s="3"/>
      <c r="C323" s="3"/>
      <c r="H323" s="3"/>
      <c r="AG323" s="91"/>
    </row>
    <row r="324" ht="15.75" customHeight="1">
      <c r="B324" s="3"/>
      <c r="C324" s="3"/>
      <c r="H324" s="3"/>
      <c r="AG324" s="91"/>
    </row>
    <row r="325" ht="15.75" customHeight="1">
      <c r="B325" s="3"/>
      <c r="C325" s="3"/>
      <c r="H325" s="3"/>
      <c r="AG325" s="91"/>
    </row>
    <row r="326" ht="15.75" customHeight="1">
      <c r="B326" s="3"/>
      <c r="C326" s="3"/>
      <c r="H326" s="3"/>
      <c r="AG326" s="91"/>
    </row>
    <row r="327" ht="15.75" customHeight="1">
      <c r="B327" s="3"/>
      <c r="C327" s="3"/>
      <c r="H327" s="3"/>
      <c r="AG327" s="91"/>
    </row>
    <row r="328" ht="15.75" customHeight="1">
      <c r="B328" s="3"/>
      <c r="C328" s="3"/>
      <c r="H328" s="3"/>
      <c r="AG328" s="91"/>
    </row>
    <row r="329" ht="15.75" customHeight="1">
      <c r="B329" s="3"/>
      <c r="C329" s="3"/>
      <c r="H329" s="3"/>
      <c r="AG329" s="91"/>
    </row>
    <row r="330" ht="15.75" customHeight="1">
      <c r="B330" s="3"/>
      <c r="C330" s="3"/>
      <c r="H330" s="3"/>
      <c r="AG330" s="91"/>
    </row>
    <row r="331" ht="15.75" customHeight="1">
      <c r="B331" s="3"/>
      <c r="C331" s="3"/>
      <c r="H331" s="3"/>
      <c r="AG331" s="91"/>
    </row>
    <row r="332" ht="15.75" customHeight="1">
      <c r="B332" s="3"/>
      <c r="C332" s="3"/>
      <c r="H332" s="3"/>
      <c r="AG332" s="91"/>
    </row>
    <row r="333" ht="15.75" customHeight="1">
      <c r="B333" s="3"/>
      <c r="C333" s="3"/>
      <c r="H333" s="3"/>
      <c r="AG333" s="91"/>
    </row>
    <row r="334" ht="15.75" customHeight="1">
      <c r="B334" s="3"/>
      <c r="C334" s="3"/>
      <c r="H334" s="3"/>
      <c r="AG334" s="91"/>
    </row>
    <row r="335" ht="15.75" customHeight="1">
      <c r="B335" s="3"/>
      <c r="C335" s="3"/>
      <c r="H335" s="3"/>
      <c r="AG335" s="91"/>
    </row>
    <row r="336" ht="15.75" customHeight="1">
      <c r="B336" s="3"/>
      <c r="C336" s="3"/>
      <c r="H336" s="3"/>
      <c r="AG336" s="91"/>
    </row>
    <row r="337" ht="15.75" customHeight="1">
      <c r="B337" s="3"/>
      <c r="C337" s="3"/>
      <c r="H337" s="3"/>
      <c r="AG337" s="91"/>
    </row>
    <row r="338" ht="15.75" customHeight="1">
      <c r="B338" s="3"/>
      <c r="C338" s="3"/>
      <c r="H338" s="3"/>
      <c r="AG338" s="91"/>
    </row>
    <row r="339" ht="15.75" customHeight="1">
      <c r="B339" s="3"/>
      <c r="C339" s="3"/>
      <c r="H339" s="3"/>
      <c r="AG339" s="91"/>
    </row>
    <row r="340" ht="15.75" customHeight="1">
      <c r="B340" s="3"/>
      <c r="C340" s="3"/>
      <c r="H340" s="3"/>
      <c r="AG340" s="91"/>
    </row>
    <row r="341" ht="15.75" customHeight="1">
      <c r="B341" s="3"/>
      <c r="C341" s="3"/>
      <c r="H341" s="3"/>
      <c r="AG341" s="91"/>
    </row>
    <row r="342" ht="15.75" customHeight="1">
      <c r="B342" s="3"/>
      <c r="C342" s="3"/>
      <c r="H342" s="3"/>
      <c r="AG342" s="91"/>
    </row>
    <row r="343" ht="15.75" customHeight="1">
      <c r="B343" s="3"/>
      <c r="C343" s="3"/>
      <c r="H343" s="3"/>
      <c r="AG343" s="91"/>
    </row>
    <row r="344" ht="15.75" customHeight="1">
      <c r="B344" s="3"/>
      <c r="C344" s="3"/>
      <c r="H344" s="3"/>
      <c r="AG344" s="91"/>
    </row>
    <row r="345" ht="15.75" customHeight="1">
      <c r="B345" s="3"/>
      <c r="C345" s="3"/>
      <c r="H345" s="3"/>
      <c r="AG345" s="91"/>
    </row>
    <row r="346" ht="15.75" customHeight="1">
      <c r="B346" s="3"/>
      <c r="C346" s="3"/>
      <c r="H346" s="3"/>
      <c r="AG346" s="91"/>
    </row>
    <row r="347" ht="15.75" customHeight="1">
      <c r="B347" s="3"/>
      <c r="C347" s="3"/>
      <c r="H347" s="3"/>
      <c r="AG347" s="91"/>
    </row>
    <row r="348" ht="15.75" customHeight="1">
      <c r="B348" s="3"/>
      <c r="C348" s="3"/>
      <c r="H348" s="3"/>
      <c r="AG348" s="91"/>
    </row>
    <row r="349" ht="15.75" customHeight="1">
      <c r="B349" s="3"/>
      <c r="C349" s="3"/>
      <c r="H349" s="3"/>
      <c r="AG349" s="91"/>
    </row>
    <row r="350" ht="15.75" customHeight="1">
      <c r="B350" s="3"/>
      <c r="C350" s="3"/>
      <c r="H350" s="3"/>
      <c r="AG350" s="91"/>
    </row>
    <row r="351" ht="15.75" customHeight="1">
      <c r="B351" s="3"/>
      <c r="C351" s="3"/>
      <c r="H351" s="3"/>
      <c r="AG351" s="91"/>
    </row>
    <row r="352" ht="15.75" customHeight="1">
      <c r="B352" s="3"/>
      <c r="C352" s="3"/>
      <c r="H352" s="3"/>
      <c r="AG352" s="91"/>
    </row>
    <row r="353" ht="15.75" customHeight="1">
      <c r="B353" s="3"/>
      <c r="C353" s="3"/>
      <c r="H353" s="3"/>
      <c r="AG353" s="91"/>
    </row>
    <row r="354" ht="15.75" customHeight="1">
      <c r="B354" s="3"/>
      <c r="C354" s="3"/>
      <c r="H354" s="3"/>
      <c r="AG354" s="91"/>
    </row>
    <row r="355" ht="15.75" customHeight="1">
      <c r="B355" s="3"/>
      <c r="C355" s="3"/>
      <c r="H355" s="3"/>
      <c r="AG355" s="91"/>
    </row>
    <row r="356" ht="15.75" customHeight="1">
      <c r="B356" s="3"/>
      <c r="C356" s="3"/>
      <c r="H356" s="3"/>
      <c r="AG356" s="91"/>
    </row>
    <row r="357" ht="15.75" customHeight="1">
      <c r="B357" s="3"/>
      <c r="C357" s="3"/>
      <c r="H357" s="3"/>
      <c r="AG357" s="91"/>
    </row>
    <row r="358" ht="15.75" customHeight="1">
      <c r="B358" s="3"/>
      <c r="C358" s="3"/>
      <c r="H358" s="3"/>
      <c r="AG358" s="91"/>
    </row>
    <row r="359" ht="15.75" customHeight="1">
      <c r="B359" s="3"/>
      <c r="C359" s="3"/>
      <c r="H359" s="3"/>
      <c r="AG359" s="91"/>
    </row>
    <row r="360" ht="15.75" customHeight="1">
      <c r="B360" s="3"/>
      <c r="C360" s="3"/>
      <c r="H360" s="3"/>
      <c r="AG360" s="91"/>
    </row>
    <row r="361" ht="15.75" customHeight="1">
      <c r="B361" s="3"/>
      <c r="C361" s="3"/>
      <c r="H361" s="3"/>
      <c r="AG361" s="91"/>
    </row>
    <row r="362" ht="15.75" customHeight="1">
      <c r="B362" s="3"/>
      <c r="C362" s="3"/>
      <c r="H362" s="3"/>
      <c r="AG362" s="91"/>
    </row>
    <row r="363" ht="15.75" customHeight="1">
      <c r="B363" s="3"/>
      <c r="C363" s="3"/>
      <c r="H363" s="3"/>
      <c r="AG363" s="91"/>
    </row>
    <row r="364" ht="15.75" customHeight="1">
      <c r="B364" s="3"/>
      <c r="C364" s="3"/>
      <c r="H364" s="3"/>
      <c r="AG364" s="91"/>
    </row>
    <row r="365" ht="15.75" customHeight="1">
      <c r="B365" s="3"/>
      <c r="C365" s="3"/>
      <c r="H365" s="3"/>
      <c r="AG365" s="91"/>
    </row>
    <row r="366" ht="15.75" customHeight="1">
      <c r="B366" s="3"/>
      <c r="C366" s="3"/>
      <c r="H366" s="3"/>
      <c r="AG366" s="91"/>
    </row>
    <row r="367" ht="15.75" customHeight="1">
      <c r="B367" s="3"/>
      <c r="C367" s="3"/>
      <c r="H367" s="3"/>
      <c r="AG367" s="91"/>
    </row>
    <row r="368" ht="15.75" customHeight="1">
      <c r="B368" s="3"/>
      <c r="C368" s="3"/>
      <c r="H368" s="3"/>
      <c r="AG368" s="91"/>
    </row>
    <row r="369" ht="15.75" customHeight="1">
      <c r="B369" s="3"/>
      <c r="C369" s="3"/>
      <c r="H369" s="3"/>
      <c r="AG369" s="91"/>
    </row>
    <row r="370" ht="15.75" customHeight="1">
      <c r="B370" s="3"/>
      <c r="C370" s="3"/>
      <c r="H370" s="3"/>
      <c r="AG370" s="91"/>
    </row>
    <row r="371" ht="15.75" customHeight="1">
      <c r="B371" s="3"/>
      <c r="C371" s="3"/>
      <c r="H371" s="3"/>
      <c r="AG371" s="91"/>
    </row>
    <row r="372" ht="15.75" customHeight="1">
      <c r="B372" s="3"/>
      <c r="C372" s="3"/>
      <c r="H372" s="3"/>
      <c r="AG372" s="91"/>
    </row>
    <row r="373" ht="15.75" customHeight="1">
      <c r="B373" s="3"/>
      <c r="C373" s="3"/>
      <c r="H373" s="3"/>
      <c r="AG373" s="91"/>
    </row>
    <row r="374" ht="15.75" customHeight="1">
      <c r="B374" s="3"/>
      <c r="C374" s="3"/>
      <c r="H374" s="3"/>
      <c r="AG374" s="91"/>
    </row>
    <row r="375" ht="15.75" customHeight="1">
      <c r="B375" s="3"/>
      <c r="C375" s="3"/>
      <c r="H375" s="3"/>
      <c r="AG375" s="91"/>
    </row>
    <row r="376" ht="15.75" customHeight="1">
      <c r="B376" s="3"/>
      <c r="C376" s="3"/>
      <c r="H376" s="3"/>
      <c r="AG376" s="91"/>
    </row>
    <row r="377" ht="15.75" customHeight="1">
      <c r="B377" s="3"/>
      <c r="C377" s="3"/>
      <c r="H377" s="3"/>
      <c r="AG377" s="91"/>
    </row>
    <row r="378" ht="15.75" customHeight="1">
      <c r="B378" s="3"/>
      <c r="C378" s="3"/>
      <c r="H378" s="3"/>
      <c r="AG378" s="91"/>
    </row>
    <row r="379" ht="15.75" customHeight="1">
      <c r="B379" s="3"/>
      <c r="C379" s="3"/>
      <c r="H379" s="3"/>
      <c r="AG379" s="91"/>
    </row>
    <row r="380" ht="15.75" customHeight="1">
      <c r="B380" s="3"/>
      <c r="C380" s="3"/>
      <c r="H380" s="3"/>
      <c r="AG380" s="91"/>
    </row>
    <row r="381" ht="15.75" customHeight="1">
      <c r="B381" s="3"/>
      <c r="C381" s="3"/>
      <c r="H381" s="3"/>
      <c r="AG381" s="91"/>
    </row>
    <row r="382" ht="15.75" customHeight="1">
      <c r="B382" s="3"/>
      <c r="C382" s="3"/>
      <c r="H382" s="3"/>
      <c r="AG382" s="91"/>
    </row>
    <row r="383" ht="15.75" customHeight="1">
      <c r="B383" s="3"/>
      <c r="C383" s="3"/>
      <c r="H383" s="3"/>
      <c r="AG383" s="91"/>
    </row>
    <row r="384" ht="15.75" customHeight="1">
      <c r="B384" s="3"/>
      <c r="C384" s="3"/>
      <c r="H384" s="3"/>
      <c r="AG384" s="91"/>
    </row>
    <row r="385" ht="15.75" customHeight="1">
      <c r="B385" s="3"/>
      <c r="C385" s="3"/>
      <c r="H385" s="3"/>
      <c r="AG385" s="91"/>
    </row>
    <row r="386" ht="15.75" customHeight="1">
      <c r="B386" s="3"/>
      <c r="C386" s="3"/>
      <c r="H386" s="3"/>
      <c r="AG386" s="91"/>
    </row>
    <row r="387" ht="15.75" customHeight="1">
      <c r="B387" s="3"/>
      <c r="C387" s="3"/>
      <c r="H387" s="3"/>
      <c r="AG387" s="91"/>
    </row>
    <row r="388" ht="15.75" customHeight="1">
      <c r="B388" s="3"/>
      <c r="C388" s="3"/>
      <c r="H388" s="3"/>
      <c r="AG388" s="91"/>
    </row>
    <row r="389" ht="15.75" customHeight="1">
      <c r="B389" s="3"/>
      <c r="C389" s="3"/>
      <c r="H389" s="3"/>
      <c r="AG389" s="91"/>
    </row>
    <row r="390" ht="15.75" customHeight="1">
      <c r="B390" s="3"/>
      <c r="C390" s="3"/>
      <c r="H390" s="3"/>
      <c r="AG390" s="91"/>
    </row>
    <row r="391" ht="15.75" customHeight="1">
      <c r="B391" s="3"/>
      <c r="C391" s="3"/>
      <c r="H391" s="3"/>
      <c r="AG391" s="91"/>
    </row>
    <row r="392" ht="15.75" customHeight="1">
      <c r="B392" s="3"/>
      <c r="C392" s="3"/>
      <c r="H392" s="3"/>
      <c r="AG392" s="91"/>
    </row>
    <row r="393" ht="15.75" customHeight="1">
      <c r="B393" s="3"/>
      <c r="C393" s="3"/>
      <c r="H393" s="3"/>
      <c r="AG393" s="91"/>
    </row>
    <row r="394" ht="15.75" customHeight="1">
      <c r="B394" s="3"/>
      <c r="C394" s="3"/>
      <c r="H394" s="3"/>
      <c r="AG394" s="91"/>
    </row>
    <row r="395" ht="15.75" customHeight="1">
      <c r="B395" s="3"/>
      <c r="C395" s="3"/>
      <c r="H395" s="3"/>
      <c r="AG395" s="91"/>
    </row>
    <row r="396" ht="15.75" customHeight="1">
      <c r="B396" s="3"/>
      <c r="C396" s="3"/>
      <c r="H396" s="3"/>
      <c r="AG396" s="91"/>
    </row>
    <row r="397" ht="15.75" customHeight="1">
      <c r="B397" s="3"/>
      <c r="C397" s="3"/>
      <c r="H397" s="3"/>
      <c r="AG397" s="91"/>
    </row>
    <row r="398" ht="15.75" customHeight="1">
      <c r="B398" s="3"/>
      <c r="C398" s="3"/>
      <c r="H398" s="3"/>
      <c r="AG398" s="91"/>
    </row>
    <row r="399" ht="15.75" customHeight="1">
      <c r="B399" s="3"/>
      <c r="C399" s="3"/>
      <c r="H399" s="3"/>
      <c r="AG399" s="91"/>
    </row>
    <row r="400" ht="15.75" customHeight="1">
      <c r="B400" s="3"/>
      <c r="C400" s="3"/>
      <c r="H400" s="3"/>
      <c r="AG400" s="91"/>
    </row>
    <row r="401" ht="15.75" customHeight="1">
      <c r="B401" s="3"/>
      <c r="C401" s="3"/>
      <c r="H401" s="3"/>
      <c r="AG401" s="91"/>
    </row>
    <row r="402" ht="15.75" customHeight="1">
      <c r="B402" s="3"/>
      <c r="C402" s="3"/>
      <c r="H402" s="3"/>
      <c r="AG402" s="91"/>
    </row>
    <row r="403" ht="15.75" customHeight="1">
      <c r="B403" s="3"/>
      <c r="C403" s="3"/>
      <c r="H403" s="3"/>
      <c r="AG403" s="91"/>
    </row>
    <row r="404" ht="15.75" customHeight="1">
      <c r="B404" s="3"/>
      <c r="C404" s="3"/>
      <c r="H404" s="3"/>
      <c r="AG404" s="91"/>
    </row>
    <row r="405" ht="15.75" customHeight="1">
      <c r="B405" s="3"/>
      <c r="C405" s="3"/>
      <c r="H405" s="3"/>
      <c r="AG405" s="91"/>
    </row>
    <row r="406" ht="15.75" customHeight="1">
      <c r="B406" s="3"/>
      <c r="C406" s="3"/>
      <c r="H406" s="3"/>
      <c r="AG406" s="91"/>
    </row>
    <row r="407" ht="15.75" customHeight="1">
      <c r="B407" s="3"/>
      <c r="C407" s="3"/>
      <c r="H407" s="3"/>
      <c r="AG407" s="91"/>
    </row>
    <row r="408" ht="15.75" customHeight="1">
      <c r="B408" s="3"/>
      <c r="C408" s="3"/>
      <c r="H408" s="3"/>
      <c r="AG408" s="91"/>
    </row>
    <row r="409" ht="15.75" customHeight="1">
      <c r="B409" s="3"/>
      <c r="C409" s="3"/>
      <c r="H409" s="3"/>
      <c r="AG409" s="91"/>
    </row>
    <row r="410" ht="15.75" customHeight="1">
      <c r="B410" s="3"/>
      <c r="C410" s="3"/>
      <c r="H410" s="3"/>
      <c r="AG410" s="91"/>
    </row>
    <row r="411" ht="15.75" customHeight="1">
      <c r="B411" s="3"/>
      <c r="C411" s="3"/>
      <c r="H411" s="3"/>
      <c r="AG411" s="91"/>
    </row>
    <row r="412" ht="15.75" customHeight="1">
      <c r="B412" s="3"/>
      <c r="C412" s="3"/>
      <c r="H412" s="3"/>
      <c r="AG412" s="91"/>
    </row>
    <row r="413" ht="15.75" customHeight="1">
      <c r="B413" s="3"/>
      <c r="C413" s="3"/>
      <c r="H413" s="3"/>
      <c r="AG413" s="91"/>
    </row>
    <row r="414" ht="15.75" customHeight="1">
      <c r="B414" s="3"/>
      <c r="C414" s="3"/>
      <c r="H414" s="3"/>
      <c r="AG414" s="91"/>
    </row>
    <row r="415" ht="15.75" customHeight="1">
      <c r="B415" s="3"/>
      <c r="C415" s="3"/>
      <c r="H415" s="3"/>
      <c r="AG415" s="91"/>
    </row>
    <row r="416" ht="15.75" customHeight="1">
      <c r="B416" s="3"/>
      <c r="C416" s="3"/>
      <c r="H416" s="3"/>
      <c r="AG416" s="91"/>
    </row>
    <row r="417" ht="15.75" customHeight="1">
      <c r="B417" s="3"/>
      <c r="C417" s="3"/>
      <c r="H417" s="3"/>
      <c r="AG417" s="91"/>
    </row>
    <row r="418" ht="15.75" customHeight="1">
      <c r="B418" s="3"/>
      <c r="C418" s="3"/>
      <c r="H418" s="3"/>
      <c r="AG418" s="91"/>
    </row>
    <row r="419" ht="15.75" customHeight="1">
      <c r="B419" s="3"/>
      <c r="C419" s="3"/>
      <c r="H419" s="3"/>
      <c r="AG419" s="91"/>
    </row>
    <row r="420" ht="15.75" customHeight="1">
      <c r="B420" s="3"/>
      <c r="C420" s="3"/>
      <c r="H420" s="3"/>
      <c r="AG420" s="91"/>
    </row>
    <row r="421" ht="15.75" customHeight="1">
      <c r="B421" s="3"/>
      <c r="C421" s="3"/>
      <c r="H421" s="3"/>
      <c r="AG421" s="91"/>
    </row>
    <row r="422" ht="15.75" customHeight="1">
      <c r="B422" s="3"/>
      <c r="C422" s="3"/>
      <c r="H422" s="3"/>
      <c r="AG422" s="91"/>
    </row>
    <row r="423" ht="15.75" customHeight="1">
      <c r="B423" s="3"/>
      <c r="C423" s="3"/>
      <c r="H423" s="3"/>
      <c r="AG423" s="91"/>
    </row>
    <row r="424" ht="15.75" customHeight="1">
      <c r="B424" s="3"/>
      <c r="C424" s="3"/>
      <c r="H424" s="3"/>
      <c r="AG424" s="91"/>
    </row>
    <row r="425" ht="15.75" customHeight="1">
      <c r="B425" s="3"/>
      <c r="C425" s="3"/>
      <c r="H425" s="3"/>
      <c r="AG425" s="91"/>
    </row>
    <row r="426" ht="15.75" customHeight="1">
      <c r="B426" s="3"/>
      <c r="C426" s="3"/>
      <c r="H426" s="3"/>
      <c r="AG426" s="91"/>
    </row>
    <row r="427" ht="15.75" customHeight="1">
      <c r="B427" s="3"/>
      <c r="C427" s="3"/>
      <c r="H427" s="3"/>
      <c r="AG427" s="91"/>
    </row>
    <row r="428" ht="15.75" customHeight="1">
      <c r="B428" s="3"/>
      <c r="C428" s="3"/>
      <c r="H428" s="3"/>
      <c r="AG428" s="91"/>
    </row>
    <row r="429" ht="15.75" customHeight="1">
      <c r="B429" s="3"/>
      <c r="C429" s="3"/>
      <c r="H429" s="3"/>
      <c r="AG429" s="91"/>
    </row>
    <row r="430" ht="15.75" customHeight="1">
      <c r="B430" s="3"/>
      <c r="C430" s="3"/>
      <c r="H430" s="3"/>
      <c r="AG430" s="91"/>
    </row>
    <row r="431" ht="15.75" customHeight="1">
      <c r="B431" s="3"/>
      <c r="C431" s="3"/>
      <c r="H431" s="3"/>
      <c r="AG431" s="91"/>
    </row>
    <row r="432" ht="15.75" customHeight="1">
      <c r="B432" s="3"/>
      <c r="C432" s="3"/>
      <c r="H432" s="3"/>
      <c r="AG432" s="91"/>
    </row>
    <row r="433" ht="15.75" customHeight="1">
      <c r="B433" s="3"/>
      <c r="C433" s="3"/>
      <c r="H433" s="3"/>
      <c r="AG433" s="91"/>
    </row>
    <row r="434" ht="15.75" customHeight="1">
      <c r="B434" s="3"/>
      <c r="C434" s="3"/>
      <c r="H434" s="3"/>
      <c r="AG434" s="91"/>
    </row>
    <row r="435" ht="15.75" customHeight="1">
      <c r="B435" s="3"/>
      <c r="C435" s="3"/>
      <c r="H435" s="3"/>
      <c r="AG435" s="91"/>
    </row>
    <row r="436" ht="15.75" customHeight="1">
      <c r="B436" s="3"/>
      <c r="C436" s="3"/>
      <c r="H436" s="3"/>
      <c r="AG436" s="91"/>
    </row>
    <row r="437" ht="15.75" customHeight="1">
      <c r="B437" s="3"/>
      <c r="C437" s="3"/>
      <c r="H437" s="3"/>
      <c r="AG437" s="91"/>
    </row>
    <row r="438" ht="15.75" customHeight="1">
      <c r="B438" s="3"/>
      <c r="C438" s="3"/>
      <c r="H438" s="3"/>
      <c r="AG438" s="91"/>
    </row>
    <row r="439" ht="15.75" customHeight="1">
      <c r="B439" s="3"/>
      <c r="C439" s="3"/>
      <c r="H439" s="3"/>
      <c r="AG439" s="91"/>
    </row>
    <row r="440" ht="15.75" customHeight="1">
      <c r="B440" s="3"/>
      <c r="C440" s="3"/>
      <c r="H440" s="3"/>
      <c r="AG440" s="91"/>
    </row>
    <row r="441" ht="15.75" customHeight="1">
      <c r="B441" s="3"/>
      <c r="C441" s="3"/>
      <c r="H441" s="3"/>
      <c r="AG441" s="91"/>
    </row>
    <row r="442" ht="15.75" customHeight="1">
      <c r="B442" s="3"/>
      <c r="C442" s="3"/>
      <c r="H442" s="3"/>
      <c r="AG442" s="91"/>
    </row>
    <row r="443" ht="15.75" customHeight="1">
      <c r="B443" s="3"/>
      <c r="C443" s="3"/>
      <c r="H443" s="3"/>
      <c r="AG443" s="91"/>
    </row>
    <row r="444" ht="15.75" customHeight="1">
      <c r="B444" s="3"/>
      <c r="C444" s="3"/>
      <c r="H444" s="3"/>
      <c r="AG444" s="91"/>
    </row>
    <row r="445" ht="15.75" customHeight="1">
      <c r="B445" s="3"/>
      <c r="C445" s="3"/>
      <c r="H445" s="3"/>
      <c r="AG445" s="91"/>
    </row>
    <row r="446" ht="15.75" customHeight="1">
      <c r="B446" s="3"/>
      <c r="C446" s="3"/>
      <c r="H446" s="3"/>
      <c r="AG446" s="91"/>
    </row>
    <row r="447" ht="15.75" customHeight="1">
      <c r="B447" s="3"/>
      <c r="C447" s="3"/>
      <c r="H447" s="3"/>
      <c r="AG447" s="91"/>
    </row>
    <row r="448" ht="15.75" customHeight="1">
      <c r="B448" s="3"/>
      <c r="C448" s="3"/>
      <c r="H448" s="3"/>
      <c r="AG448" s="91"/>
    </row>
    <row r="449" ht="15.75" customHeight="1">
      <c r="B449" s="3"/>
      <c r="C449" s="3"/>
      <c r="H449" s="3"/>
      <c r="AG449" s="91"/>
    </row>
    <row r="450" ht="15.75" customHeight="1">
      <c r="B450" s="3"/>
      <c r="C450" s="3"/>
      <c r="H450" s="3"/>
      <c r="AG450" s="91"/>
    </row>
    <row r="451" ht="15.75" customHeight="1">
      <c r="B451" s="3"/>
      <c r="C451" s="3"/>
      <c r="H451" s="3"/>
      <c r="AG451" s="91"/>
    </row>
    <row r="452" ht="15.75" customHeight="1">
      <c r="B452" s="3"/>
      <c r="C452" s="3"/>
      <c r="H452" s="3"/>
      <c r="AG452" s="91"/>
    </row>
    <row r="453" ht="15.75" customHeight="1">
      <c r="B453" s="3"/>
      <c r="C453" s="3"/>
      <c r="H453" s="3"/>
      <c r="AG453" s="91"/>
    </row>
    <row r="454" ht="15.75" customHeight="1">
      <c r="B454" s="3"/>
      <c r="C454" s="3"/>
      <c r="H454" s="3"/>
      <c r="AG454" s="91"/>
    </row>
    <row r="455" ht="15.75" customHeight="1">
      <c r="B455" s="3"/>
      <c r="C455" s="3"/>
      <c r="H455" s="3"/>
      <c r="AG455" s="91"/>
    </row>
    <row r="456" ht="15.75" customHeight="1">
      <c r="B456" s="3"/>
      <c r="C456" s="3"/>
      <c r="H456" s="3"/>
      <c r="AG456" s="91"/>
    </row>
    <row r="457" ht="15.75" customHeight="1">
      <c r="B457" s="3"/>
      <c r="C457" s="3"/>
      <c r="H457" s="3"/>
      <c r="AG457" s="91"/>
    </row>
    <row r="458" ht="15.75" customHeight="1">
      <c r="B458" s="3"/>
      <c r="C458" s="3"/>
      <c r="H458" s="3"/>
      <c r="AG458" s="91"/>
    </row>
    <row r="459" ht="15.75" customHeight="1">
      <c r="B459" s="3"/>
      <c r="C459" s="3"/>
      <c r="H459" s="3"/>
      <c r="AG459" s="91"/>
    </row>
    <row r="460" ht="15.75" customHeight="1">
      <c r="B460" s="3"/>
      <c r="C460" s="3"/>
      <c r="H460" s="3"/>
      <c r="AG460" s="91"/>
    </row>
    <row r="461" ht="15.75" customHeight="1">
      <c r="B461" s="3"/>
      <c r="C461" s="3"/>
      <c r="H461" s="3"/>
      <c r="AG461" s="91"/>
    </row>
    <row r="462" ht="15.75" customHeight="1">
      <c r="B462" s="3"/>
      <c r="C462" s="3"/>
      <c r="H462" s="3"/>
      <c r="AG462" s="91"/>
    </row>
    <row r="463" ht="15.75" customHeight="1">
      <c r="B463" s="3"/>
      <c r="C463" s="3"/>
      <c r="H463" s="3"/>
      <c r="AG463" s="91"/>
    </row>
    <row r="464" ht="15.75" customHeight="1">
      <c r="B464" s="3"/>
      <c r="C464" s="3"/>
      <c r="H464" s="3"/>
      <c r="AG464" s="91"/>
    </row>
    <row r="465" ht="15.75" customHeight="1">
      <c r="B465" s="3"/>
      <c r="C465" s="3"/>
      <c r="H465" s="3"/>
      <c r="AG465" s="91"/>
    </row>
    <row r="466" ht="15.75" customHeight="1">
      <c r="B466" s="3"/>
      <c r="C466" s="3"/>
      <c r="H466" s="3"/>
      <c r="AG466" s="91"/>
    </row>
    <row r="467" ht="15.75" customHeight="1">
      <c r="B467" s="3"/>
      <c r="C467" s="3"/>
      <c r="H467" s="3"/>
      <c r="AG467" s="91"/>
    </row>
    <row r="468" ht="15.75" customHeight="1">
      <c r="B468" s="3"/>
      <c r="C468" s="3"/>
      <c r="H468" s="3"/>
      <c r="AG468" s="91"/>
    </row>
    <row r="469" ht="15.75" customHeight="1">
      <c r="B469" s="3"/>
      <c r="C469" s="3"/>
      <c r="H469" s="3"/>
      <c r="AG469" s="91"/>
    </row>
    <row r="470" ht="15.75" customHeight="1">
      <c r="B470" s="3"/>
      <c r="C470" s="3"/>
      <c r="H470" s="3"/>
      <c r="AG470" s="91"/>
    </row>
    <row r="471" ht="15.75" customHeight="1">
      <c r="B471" s="3"/>
      <c r="C471" s="3"/>
      <c r="H471" s="3"/>
      <c r="AG471" s="91"/>
    </row>
    <row r="472" ht="15.75" customHeight="1">
      <c r="B472" s="3"/>
      <c r="C472" s="3"/>
      <c r="H472" s="3"/>
      <c r="AG472" s="91"/>
    </row>
    <row r="473" ht="15.75" customHeight="1">
      <c r="B473" s="3"/>
      <c r="C473" s="3"/>
      <c r="H473" s="3"/>
      <c r="AG473" s="91"/>
    </row>
    <row r="474" ht="15.75" customHeight="1">
      <c r="B474" s="3"/>
      <c r="C474" s="3"/>
      <c r="H474" s="3"/>
      <c r="AG474" s="91"/>
    </row>
    <row r="475" ht="15.75" customHeight="1">
      <c r="B475" s="3"/>
      <c r="C475" s="3"/>
      <c r="H475" s="3"/>
      <c r="AG475" s="91"/>
    </row>
    <row r="476" ht="15.75" customHeight="1">
      <c r="B476" s="3"/>
      <c r="C476" s="3"/>
      <c r="H476" s="3"/>
      <c r="AG476" s="91"/>
    </row>
    <row r="477" ht="15.75" customHeight="1">
      <c r="B477" s="3"/>
      <c r="C477" s="3"/>
      <c r="H477" s="3"/>
      <c r="AG477" s="91"/>
    </row>
    <row r="478" ht="15.75" customHeight="1">
      <c r="B478" s="3"/>
      <c r="C478" s="3"/>
      <c r="H478" s="3"/>
      <c r="AG478" s="91"/>
    </row>
    <row r="479" ht="15.75" customHeight="1">
      <c r="B479" s="3"/>
      <c r="C479" s="3"/>
      <c r="H479" s="3"/>
      <c r="AG479" s="91"/>
    </row>
    <row r="480" ht="15.75" customHeight="1">
      <c r="B480" s="3"/>
      <c r="C480" s="3"/>
      <c r="H480" s="3"/>
      <c r="AG480" s="91"/>
    </row>
    <row r="481" ht="15.75" customHeight="1">
      <c r="B481" s="3"/>
      <c r="C481" s="3"/>
      <c r="H481" s="3"/>
      <c r="AG481" s="91"/>
    </row>
    <row r="482" ht="15.75" customHeight="1">
      <c r="B482" s="3"/>
      <c r="C482" s="3"/>
      <c r="H482" s="3"/>
      <c r="AG482" s="91"/>
    </row>
    <row r="483" ht="15.75" customHeight="1">
      <c r="B483" s="3"/>
      <c r="C483" s="3"/>
      <c r="H483" s="3"/>
      <c r="AG483" s="91"/>
    </row>
    <row r="484" ht="15.75" customHeight="1">
      <c r="B484" s="3"/>
      <c r="C484" s="3"/>
      <c r="H484" s="3"/>
      <c r="AG484" s="91"/>
    </row>
    <row r="485" ht="15.75" customHeight="1">
      <c r="B485" s="3"/>
      <c r="C485" s="3"/>
      <c r="H485" s="3"/>
      <c r="AG485" s="91"/>
    </row>
    <row r="486" ht="15.75" customHeight="1">
      <c r="B486" s="3"/>
      <c r="C486" s="3"/>
      <c r="H486" s="3"/>
      <c r="AG486" s="91"/>
    </row>
    <row r="487" ht="15.75" customHeight="1">
      <c r="B487" s="3"/>
      <c r="C487" s="3"/>
      <c r="H487" s="3"/>
      <c r="AG487" s="91"/>
    </row>
    <row r="488" ht="15.75" customHeight="1">
      <c r="B488" s="3"/>
      <c r="C488" s="3"/>
      <c r="H488" s="3"/>
      <c r="AG488" s="91"/>
    </row>
    <row r="489" ht="15.75" customHeight="1">
      <c r="B489" s="3"/>
      <c r="C489" s="3"/>
      <c r="H489" s="3"/>
      <c r="AG489" s="91"/>
    </row>
    <row r="490" ht="15.75" customHeight="1">
      <c r="B490" s="3"/>
      <c r="C490" s="3"/>
      <c r="H490" s="3"/>
      <c r="AG490" s="91"/>
    </row>
    <row r="491" ht="15.75" customHeight="1">
      <c r="B491" s="3"/>
      <c r="C491" s="3"/>
      <c r="H491" s="3"/>
      <c r="AG491" s="91"/>
    </row>
    <row r="492" ht="15.75" customHeight="1">
      <c r="B492" s="3"/>
      <c r="C492" s="3"/>
      <c r="H492" s="3"/>
      <c r="AG492" s="91"/>
    </row>
    <row r="493" ht="15.75" customHeight="1">
      <c r="B493" s="3"/>
      <c r="C493" s="3"/>
      <c r="H493" s="3"/>
      <c r="AG493" s="91"/>
    </row>
    <row r="494" ht="15.75" customHeight="1">
      <c r="B494" s="3"/>
      <c r="C494" s="3"/>
      <c r="H494" s="3"/>
      <c r="AG494" s="91"/>
    </row>
    <row r="495" ht="15.75" customHeight="1">
      <c r="B495" s="3"/>
      <c r="C495" s="3"/>
      <c r="H495" s="3"/>
      <c r="AG495" s="91"/>
    </row>
    <row r="496" ht="15.75" customHeight="1">
      <c r="B496" s="3"/>
      <c r="C496" s="3"/>
      <c r="H496" s="3"/>
      <c r="AG496" s="91"/>
    </row>
    <row r="497" ht="15.75" customHeight="1">
      <c r="B497" s="3"/>
      <c r="C497" s="3"/>
      <c r="H497" s="3"/>
      <c r="AG497" s="91"/>
    </row>
    <row r="498" ht="15.75" customHeight="1">
      <c r="B498" s="3"/>
      <c r="C498" s="3"/>
      <c r="H498" s="3"/>
      <c r="AG498" s="91"/>
    </row>
    <row r="499" ht="15.75" customHeight="1">
      <c r="B499" s="3"/>
      <c r="C499" s="3"/>
      <c r="H499" s="3"/>
      <c r="AG499" s="91"/>
    </row>
    <row r="500" ht="15.75" customHeight="1">
      <c r="B500" s="3"/>
      <c r="C500" s="3"/>
      <c r="H500" s="3"/>
      <c r="AG500" s="91"/>
    </row>
    <row r="501" ht="15.75" customHeight="1">
      <c r="B501" s="3"/>
      <c r="C501" s="3"/>
      <c r="H501" s="3"/>
      <c r="AG501" s="91"/>
    </row>
    <row r="502" ht="15.75" customHeight="1">
      <c r="B502" s="3"/>
      <c r="C502" s="3"/>
      <c r="H502" s="3"/>
      <c r="AG502" s="91"/>
    </row>
    <row r="503" ht="15.75" customHeight="1">
      <c r="B503" s="3"/>
      <c r="C503" s="3"/>
      <c r="H503" s="3"/>
      <c r="AG503" s="91"/>
    </row>
    <row r="504" ht="15.75" customHeight="1">
      <c r="B504" s="3"/>
      <c r="C504" s="3"/>
      <c r="H504" s="3"/>
      <c r="AG504" s="91"/>
    </row>
    <row r="505" ht="15.75" customHeight="1">
      <c r="B505" s="3"/>
      <c r="C505" s="3"/>
      <c r="H505" s="3"/>
      <c r="AG505" s="91"/>
    </row>
    <row r="506" ht="15.75" customHeight="1">
      <c r="B506" s="3"/>
      <c r="C506" s="3"/>
      <c r="H506" s="3"/>
      <c r="AG506" s="91"/>
    </row>
    <row r="507" ht="15.75" customHeight="1">
      <c r="B507" s="3"/>
      <c r="C507" s="3"/>
      <c r="H507" s="3"/>
      <c r="AG507" s="91"/>
    </row>
    <row r="508" ht="15.75" customHeight="1">
      <c r="B508" s="3"/>
      <c r="C508" s="3"/>
      <c r="H508" s="3"/>
      <c r="AG508" s="91"/>
    </row>
    <row r="509" ht="15.75" customHeight="1">
      <c r="B509" s="3"/>
      <c r="C509" s="3"/>
      <c r="H509" s="3"/>
      <c r="AG509" s="91"/>
    </row>
    <row r="510" ht="15.75" customHeight="1">
      <c r="B510" s="3"/>
      <c r="C510" s="3"/>
      <c r="H510" s="3"/>
      <c r="AG510" s="91"/>
    </row>
    <row r="511" ht="15.75" customHeight="1">
      <c r="B511" s="3"/>
      <c r="C511" s="3"/>
      <c r="H511" s="3"/>
      <c r="AG511" s="91"/>
    </row>
    <row r="512" ht="15.75" customHeight="1">
      <c r="B512" s="3"/>
      <c r="C512" s="3"/>
      <c r="H512" s="3"/>
      <c r="AG512" s="91"/>
    </row>
    <row r="513" ht="15.75" customHeight="1">
      <c r="B513" s="3"/>
      <c r="C513" s="3"/>
      <c r="H513" s="3"/>
      <c r="AG513" s="91"/>
    </row>
    <row r="514" ht="15.75" customHeight="1">
      <c r="B514" s="3"/>
      <c r="C514" s="3"/>
      <c r="H514" s="3"/>
      <c r="AG514" s="91"/>
    </row>
    <row r="515" ht="15.75" customHeight="1">
      <c r="B515" s="3"/>
      <c r="C515" s="3"/>
      <c r="H515" s="3"/>
      <c r="AG515" s="91"/>
    </row>
    <row r="516" ht="15.75" customHeight="1">
      <c r="B516" s="3"/>
      <c r="C516" s="3"/>
      <c r="H516" s="3"/>
      <c r="AG516" s="91"/>
    </row>
    <row r="517" ht="15.75" customHeight="1">
      <c r="B517" s="3"/>
      <c r="C517" s="3"/>
      <c r="H517" s="3"/>
      <c r="AG517" s="91"/>
    </row>
    <row r="518" ht="15.75" customHeight="1">
      <c r="B518" s="3"/>
      <c r="C518" s="3"/>
      <c r="H518" s="3"/>
      <c r="AG518" s="91"/>
    </row>
    <row r="519" ht="15.75" customHeight="1">
      <c r="B519" s="3"/>
      <c r="C519" s="3"/>
      <c r="H519" s="3"/>
      <c r="AG519" s="91"/>
    </row>
    <row r="520" ht="15.75" customHeight="1">
      <c r="B520" s="3"/>
      <c r="C520" s="3"/>
      <c r="H520" s="3"/>
      <c r="AG520" s="91"/>
    </row>
    <row r="521" ht="15.75" customHeight="1">
      <c r="B521" s="3"/>
      <c r="C521" s="3"/>
      <c r="H521" s="3"/>
      <c r="AG521" s="91"/>
    </row>
    <row r="522" ht="15.75" customHeight="1">
      <c r="B522" s="3"/>
      <c r="C522" s="3"/>
      <c r="H522" s="3"/>
      <c r="AG522" s="91"/>
    </row>
    <row r="523" ht="15.75" customHeight="1">
      <c r="B523" s="3"/>
      <c r="C523" s="3"/>
      <c r="H523" s="3"/>
      <c r="AG523" s="91"/>
    </row>
    <row r="524" ht="15.75" customHeight="1">
      <c r="B524" s="3"/>
      <c r="C524" s="3"/>
      <c r="H524" s="3"/>
      <c r="AG524" s="91"/>
    </row>
    <row r="525" ht="15.75" customHeight="1">
      <c r="B525" s="3"/>
      <c r="C525" s="3"/>
      <c r="H525" s="3"/>
      <c r="AG525" s="91"/>
    </row>
    <row r="526" ht="15.75" customHeight="1">
      <c r="B526" s="3"/>
      <c r="C526" s="3"/>
      <c r="H526" s="3"/>
      <c r="AG526" s="91"/>
    </row>
    <row r="527" ht="15.75" customHeight="1">
      <c r="B527" s="3"/>
      <c r="C527" s="3"/>
      <c r="H527" s="3"/>
      <c r="AG527" s="91"/>
    </row>
    <row r="528" ht="15.75" customHeight="1">
      <c r="B528" s="3"/>
      <c r="C528" s="3"/>
      <c r="H528" s="3"/>
      <c r="AG528" s="91"/>
    </row>
    <row r="529" ht="15.75" customHeight="1">
      <c r="B529" s="3"/>
      <c r="C529" s="3"/>
      <c r="H529" s="3"/>
      <c r="AG529" s="91"/>
    </row>
    <row r="530" ht="15.75" customHeight="1">
      <c r="B530" s="3"/>
      <c r="C530" s="3"/>
      <c r="H530" s="3"/>
      <c r="AG530" s="91"/>
    </row>
    <row r="531" ht="15.75" customHeight="1">
      <c r="B531" s="3"/>
      <c r="C531" s="3"/>
      <c r="H531" s="3"/>
      <c r="AG531" s="91"/>
    </row>
    <row r="532" ht="15.75" customHeight="1">
      <c r="B532" s="3"/>
      <c r="C532" s="3"/>
      <c r="H532" s="3"/>
      <c r="AG532" s="91"/>
    </row>
    <row r="533" ht="15.75" customHeight="1">
      <c r="B533" s="3"/>
      <c r="C533" s="3"/>
      <c r="H533" s="3"/>
      <c r="AG533" s="91"/>
    </row>
    <row r="534" ht="15.75" customHeight="1">
      <c r="B534" s="3"/>
      <c r="C534" s="3"/>
      <c r="H534" s="3"/>
      <c r="AG534" s="91"/>
    </row>
    <row r="535" ht="15.75" customHeight="1">
      <c r="B535" s="3"/>
      <c r="C535" s="3"/>
      <c r="H535" s="3"/>
      <c r="AG535" s="91"/>
    </row>
    <row r="536" ht="15.75" customHeight="1">
      <c r="B536" s="3"/>
      <c r="C536" s="3"/>
      <c r="H536" s="3"/>
      <c r="AG536" s="91"/>
    </row>
    <row r="537" ht="15.75" customHeight="1">
      <c r="B537" s="3"/>
      <c r="C537" s="3"/>
      <c r="H537" s="3"/>
      <c r="AG537" s="91"/>
    </row>
    <row r="538" ht="15.75" customHeight="1">
      <c r="B538" s="3"/>
      <c r="C538" s="3"/>
      <c r="H538" s="3"/>
      <c r="AG538" s="91"/>
    </row>
    <row r="539" ht="15.75" customHeight="1">
      <c r="B539" s="3"/>
      <c r="C539" s="3"/>
      <c r="H539" s="3"/>
      <c r="AG539" s="91"/>
    </row>
    <row r="540" ht="15.75" customHeight="1">
      <c r="B540" s="3"/>
      <c r="C540" s="3"/>
      <c r="H540" s="3"/>
      <c r="AG540" s="91"/>
    </row>
    <row r="541" ht="15.75" customHeight="1">
      <c r="B541" s="3"/>
      <c r="C541" s="3"/>
      <c r="H541" s="3"/>
      <c r="AG541" s="91"/>
    </row>
    <row r="542" ht="15.75" customHeight="1">
      <c r="B542" s="3"/>
      <c r="C542" s="3"/>
      <c r="H542" s="3"/>
      <c r="AG542" s="91"/>
    </row>
    <row r="543" ht="15.75" customHeight="1">
      <c r="B543" s="3"/>
      <c r="C543" s="3"/>
      <c r="H543" s="3"/>
      <c r="AG543" s="91"/>
    </row>
    <row r="544" ht="15.75" customHeight="1">
      <c r="B544" s="3"/>
      <c r="C544" s="3"/>
      <c r="H544" s="3"/>
      <c r="AG544" s="91"/>
    </row>
    <row r="545" ht="15.75" customHeight="1">
      <c r="B545" s="3"/>
      <c r="C545" s="3"/>
      <c r="H545" s="3"/>
      <c r="AG545" s="91"/>
    </row>
    <row r="546" ht="15.75" customHeight="1">
      <c r="B546" s="3"/>
      <c r="C546" s="3"/>
      <c r="H546" s="3"/>
      <c r="AG546" s="91"/>
    </row>
    <row r="547" ht="15.75" customHeight="1">
      <c r="B547" s="3"/>
      <c r="C547" s="3"/>
      <c r="H547" s="3"/>
      <c r="AG547" s="91"/>
    </row>
    <row r="548" ht="15.75" customHeight="1">
      <c r="B548" s="3"/>
      <c r="C548" s="3"/>
      <c r="H548" s="3"/>
      <c r="AG548" s="91"/>
    </row>
    <row r="549" ht="15.75" customHeight="1">
      <c r="B549" s="3"/>
      <c r="C549" s="3"/>
      <c r="H549" s="3"/>
      <c r="AG549" s="91"/>
    </row>
    <row r="550" ht="15.75" customHeight="1">
      <c r="B550" s="3"/>
      <c r="C550" s="3"/>
      <c r="H550" s="3"/>
      <c r="AG550" s="91"/>
    </row>
    <row r="551" ht="15.75" customHeight="1">
      <c r="B551" s="3"/>
      <c r="C551" s="3"/>
      <c r="H551" s="3"/>
      <c r="AG551" s="91"/>
    </row>
    <row r="552" ht="15.75" customHeight="1">
      <c r="B552" s="3"/>
      <c r="C552" s="3"/>
      <c r="H552" s="3"/>
      <c r="AG552" s="91"/>
    </row>
    <row r="553" ht="15.75" customHeight="1">
      <c r="B553" s="3"/>
      <c r="C553" s="3"/>
      <c r="H553" s="3"/>
      <c r="AG553" s="91"/>
    </row>
    <row r="554" ht="15.75" customHeight="1">
      <c r="B554" s="3"/>
      <c r="C554" s="3"/>
      <c r="H554" s="3"/>
      <c r="AG554" s="91"/>
    </row>
    <row r="555" ht="15.75" customHeight="1">
      <c r="B555" s="3"/>
      <c r="C555" s="3"/>
      <c r="H555" s="3"/>
      <c r="AG555" s="91"/>
    </row>
    <row r="556" ht="15.75" customHeight="1">
      <c r="B556" s="3"/>
      <c r="C556" s="3"/>
      <c r="H556" s="3"/>
      <c r="AG556" s="91"/>
    </row>
    <row r="557" ht="15.75" customHeight="1">
      <c r="B557" s="3"/>
      <c r="C557" s="3"/>
      <c r="H557" s="3"/>
      <c r="AG557" s="91"/>
    </row>
    <row r="558" ht="15.75" customHeight="1">
      <c r="B558" s="3"/>
      <c r="C558" s="3"/>
      <c r="H558" s="3"/>
      <c r="AG558" s="91"/>
    </row>
    <row r="559" ht="15.75" customHeight="1">
      <c r="B559" s="3"/>
      <c r="C559" s="3"/>
      <c r="H559" s="3"/>
      <c r="AG559" s="91"/>
    </row>
    <row r="560" ht="15.75" customHeight="1">
      <c r="B560" s="3"/>
      <c r="C560" s="3"/>
      <c r="H560" s="3"/>
      <c r="AG560" s="91"/>
    </row>
    <row r="561" ht="15.75" customHeight="1">
      <c r="B561" s="3"/>
      <c r="C561" s="3"/>
      <c r="H561" s="3"/>
      <c r="AG561" s="91"/>
    </row>
    <row r="562" ht="15.75" customHeight="1">
      <c r="B562" s="3"/>
      <c r="C562" s="3"/>
      <c r="H562" s="3"/>
      <c r="AG562" s="91"/>
    </row>
    <row r="563" ht="15.75" customHeight="1">
      <c r="B563" s="3"/>
      <c r="C563" s="3"/>
      <c r="H563" s="3"/>
      <c r="AG563" s="91"/>
    </row>
    <row r="564" ht="15.75" customHeight="1">
      <c r="B564" s="3"/>
      <c r="C564" s="3"/>
      <c r="H564" s="3"/>
      <c r="AG564" s="91"/>
    </row>
    <row r="565" ht="15.75" customHeight="1">
      <c r="B565" s="3"/>
      <c r="C565" s="3"/>
      <c r="H565" s="3"/>
      <c r="AG565" s="91"/>
    </row>
    <row r="566" ht="15.75" customHeight="1">
      <c r="B566" s="3"/>
      <c r="C566" s="3"/>
      <c r="H566" s="3"/>
      <c r="AG566" s="91"/>
    </row>
    <row r="567" ht="15.75" customHeight="1">
      <c r="B567" s="3"/>
      <c r="C567" s="3"/>
      <c r="H567" s="3"/>
      <c r="AG567" s="91"/>
    </row>
    <row r="568" ht="15.75" customHeight="1">
      <c r="B568" s="3"/>
      <c r="C568" s="3"/>
      <c r="H568" s="3"/>
      <c r="AG568" s="91"/>
    </row>
    <row r="569" ht="15.75" customHeight="1">
      <c r="B569" s="3"/>
      <c r="C569" s="3"/>
      <c r="H569" s="3"/>
      <c r="AG569" s="91"/>
    </row>
    <row r="570" ht="15.75" customHeight="1">
      <c r="B570" s="3"/>
      <c r="C570" s="3"/>
      <c r="H570" s="3"/>
      <c r="AG570" s="91"/>
    </row>
    <row r="571" ht="15.75" customHeight="1">
      <c r="B571" s="3"/>
      <c r="C571" s="3"/>
      <c r="H571" s="3"/>
      <c r="AG571" s="91"/>
    </row>
    <row r="572" ht="15.75" customHeight="1">
      <c r="B572" s="3"/>
      <c r="C572" s="3"/>
      <c r="H572" s="3"/>
      <c r="AG572" s="91"/>
    </row>
    <row r="573" ht="15.75" customHeight="1">
      <c r="B573" s="3"/>
      <c r="C573" s="3"/>
      <c r="H573" s="3"/>
      <c r="AG573" s="91"/>
    </row>
    <row r="574" ht="15.75" customHeight="1">
      <c r="B574" s="3"/>
      <c r="C574" s="3"/>
      <c r="H574" s="3"/>
      <c r="AG574" s="91"/>
    </row>
    <row r="575" ht="15.75" customHeight="1">
      <c r="B575" s="3"/>
      <c r="C575" s="3"/>
      <c r="H575" s="3"/>
      <c r="AG575" s="91"/>
    </row>
    <row r="576" ht="15.75" customHeight="1">
      <c r="B576" s="3"/>
      <c r="C576" s="3"/>
      <c r="H576" s="3"/>
      <c r="AG576" s="91"/>
    </row>
    <row r="577" ht="15.75" customHeight="1">
      <c r="B577" s="3"/>
      <c r="C577" s="3"/>
      <c r="H577" s="3"/>
      <c r="AG577" s="91"/>
    </row>
    <row r="578" ht="15.75" customHeight="1">
      <c r="B578" s="3"/>
      <c r="C578" s="3"/>
      <c r="H578" s="3"/>
      <c r="AG578" s="91"/>
    </row>
    <row r="579" ht="15.75" customHeight="1">
      <c r="B579" s="3"/>
      <c r="C579" s="3"/>
      <c r="H579" s="3"/>
      <c r="AG579" s="91"/>
    </row>
    <row r="580" ht="15.75" customHeight="1">
      <c r="B580" s="3"/>
      <c r="C580" s="3"/>
      <c r="H580" s="3"/>
      <c r="AG580" s="91"/>
    </row>
    <row r="581" ht="15.75" customHeight="1">
      <c r="B581" s="3"/>
      <c r="C581" s="3"/>
      <c r="H581" s="3"/>
      <c r="AG581" s="91"/>
    </row>
    <row r="582" ht="15.75" customHeight="1">
      <c r="B582" s="3"/>
      <c r="C582" s="3"/>
      <c r="H582" s="3"/>
      <c r="AG582" s="91"/>
    </row>
    <row r="583" ht="15.75" customHeight="1">
      <c r="B583" s="3"/>
      <c r="C583" s="3"/>
      <c r="H583" s="3"/>
      <c r="AG583" s="91"/>
    </row>
    <row r="584" ht="15.75" customHeight="1">
      <c r="B584" s="3"/>
      <c r="C584" s="3"/>
      <c r="H584" s="3"/>
      <c r="AG584" s="91"/>
    </row>
    <row r="585" ht="15.75" customHeight="1">
      <c r="B585" s="3"/>
      <c r="C585" s="3"/>
      <c r="H585" s="3"/>
      <c r="AG585" s="91"/>
    </row>
    <row r="586" ht="15.75" customHeight="1">
      <c r="B586" s="3"/>
      <c r="C586" s="3"/>
      <c r="H586" s="3"/>
      <c r="AG586" s="91"/>
    </row>
    <row r="587" ht="15.75" customHeight="1">
      <c r="B587" s="3"/>
      <c r="C587" s="3"/>
      <c r="H587" s="3"/>
      <c r="AG587" s="91"/>
    </row>
    <row r="588" ht="15.75" customHeight="1">
      <c r="B588" s="3"/>
      <c r="C588" s="3"/>
      <c r="H588" s="3"/>
      <c r="AG588" s="91"/>
    </row>
    <row r="589" ht="15.75" customHeight="1">
      <c r="B589" s="3"/>
      <c r="C589" s="3"/>
      <c r="H589" s="3"/>
      <c r="AG589" s="91"/>
    </row>
    <row r="590" ht="15.75" customHeight="1">
      <c r="B590" s="3"/>
      <c r="C590" s="3"/>
      <c r="H590" s="3"/>
      <c r="AG590" s="91"/>
    </row>
    <row r="591" ht="15.75" customHeight="1">
      <c r="B591" s="3"/>
      <c r="C591" s="3"/>
      <c r="H591" s="3"/>
      <c r="AG591" s="91"/>
    </row>
    <row r="592" ht="15.75" customHeight="1">
      <c r="B592" s="3"/>
      <c r="C592" s="3"/>
      <c r="H592" s="3"/>
      <c r="AG592" s="91"/>
    </row>
    <row r="593" ht="15.75" customHeight="1">
      <c r="B593" s="3"/>
      <c r="C593" s="3"/>
      <c r="H593" s="3"/>
      <c r="AG593" s="91"/>
    </row>
    <row r="594" ht="15.75" customHeight="1">
      <c r="B594" s="3"/>
      <c r="C594" s="3"/>
      <c r="H594" s="3"/>
      <c r="AG594" s="91"/>
    </row>
    <row r="595" ht="15.75" customHeight="1">
      <c r="B595" s="3"/>
      <c r="C595" s="3"/>
      <c r="H595" s="3"/>
      <c r="AG595" s="91"/>
    </row>
    <row r="596" ht="15.75" customHeight="1">
      <c r="B596" s="3"/>
      <c r="C596" s="3"/>
      <c r="H596" s="3"/>
      <c r="AG596" s="91"/>
    </row>
    <row r="597" ht="15.75" customHeight="1">
      <c r="B597" s="3"/>
      <c r="C597" s="3"/>
      <c r="H597" s="3"/>
      <c r="AG597" s="91"/>
    </row>
    <row r="598" ht="15.75" customHeight="1">
      <c r="B598" s="3"/>
      <c r="C598" s="3"/>
      <c r="H598" s="3"/>
      <c r="AG598" s="91"/>
    </row>
    <row r="599" ht="15.75" customHeight="1">
      <c r="B599" s="3"/>
      <c r="C599" s="3"/>
      <c r="H599" s="3"/>
      <c r="AG599" s="91"/>
    </row>
    <row r="600" ht="15.75" customHeight="1">
      <c r="B600" s="3"/>
      <c r="C600" s="3"/>
      <c r="H600" s="3"/>
      <c r="AG600" s="91"/>
    </row>
    <row r="601" ht="15.75" customHeight="1">
      <c r="B601" s="3"/>
      <c r="C601" s="3"/>
      <c r="H601" s="3"/>
      <c r="AG601" s="91"/>
    </row>
    <row r="602" ht="15.75" customHeight="1">
      <c r="B602" s="3"/>
      <c r="C602" s="3"/>
      <c r="H602" s="3"/>
      <c r="AG602" s="91"/>
    </row>
    <row r="603" ht="15.75" customHeight="1">
      <c r="B603" s="3"/>
      <c r="C603" s="3"/>
      <c r="H603" s="3"/>
      <c r="AG603" s="91"/>
    </row>
    <row r="604" ht="15.75" customHeight="1">
      <c r="B604" s="3"/>
      <c r="C604" s="3"/>
      <c r="H604" s="3"/>
      <c r="AG604" s="91"/>
    </row>
    <row r="605" ht="15.75" customHeight="1">
      <c r="B605" s="3"/>
      <c r="C605" s="3"/>
      <c r="H605" s="3"/>
      <c r="AG605" s="91"/>
    </row>
    <row r="606" ht="15.75" customHeight="1">
      <c r="B606" s="3"/>
      <c r="C606" s="3"/>
      <c r="H606" s="3"/>
      <c r="AG606" s="91"/>
    </row>
    <row r="607" ht="15.75" customHeight="1">
      <c r="B607" s="3"/>
      <c r="C607" s="3"/>
      <c r="H607" s="3"/>
      <c r="AG607" s="91"/>
    </row>
    <row r="608" ht="15.75" customHeight="1">
      <c r="B608" s="3"/>
      <c r="C608" s="3"/>
      <c r="H608" s="3"/>
      <c r="AG608" s="91"/>
    </row>
    <row r="609" ht="15.75" customHeight="1">
      <c r="B609" s="3"/>
      <c r="C609" s="3"/>
      <c r="H609" s="3"/>
      <c r="AG609" s="91"/>
    </row>
    <row r="610" ht="15.75" customHeight="1">
      <c r="B610" s="3"/>
      <c r="C610" s="3"/>
      <c r="H610" s="3"/>
      <c r="AG610" s="91"/>
    </row>
    <row r="611" ht="15.75" customHeight="1">
      <c r="B611" s="3"/>
      <c r="C611" s="3"/>
      <c r="H611" s="3"/>
      <c r="AG611" s="91"/>
    </row>
    <row r="612" ht="15.75" customHeight="1">
      <c r="B612" s="3"/>
      <c r="C612" s="3"/>
      <c r="H612" s="3"/>
      <c r="AG612" s="91"/>
    </row>
    <row r="613" ht="15.75" customHeight="1">
      <c r="B613" s="3"/>
      <c r="C613" s="3"/>
      <c r="H613" s="3"/>
      <c r="AG613" s="91"/>
    </row>
    <row r="614" ht="15.75" customHeight="1">
      <c r="B614" s="3"/>
      <c r="C614" s="3"/>
      <c r="H614" s="3"/>
      <c r="AG614" s="91"/>
    </row>
    <row r="615" ht="15.75" customHeight="1">
      <c r="B615" s="3"/>
      <c r="C615" s="3"/>
      <c r="H615" s="3"/>
      <c r="AG615" s="91"/>
    </row>
    <row r="616" ht="15.75" customHeight="1">
      <c r="B616" s="3"/>
      <c r="C616" s="3"/>
      <c r="H616" s="3"/>
      <c r="AG616" s="91"/>
    </row>
    <row r="617" ht="15.75" customHeight="1">
      <c r="B617" s="3"/>
      <c r="C617" s="3"/>
      <c r="H617" s="3"/>
      <c r="AG617" s="91"/>
    </row>
    <row r="618" ht="15.75" customHeight="1">
      <c r="B618" s="3"/>
      <c r="C618" s="3"/>
      <c r="H618" s="3"/>
      <c r="AG618" s="91"/>
    </row>
    <row r="619" ht="15.75" customHeight="1">
      <c r="B619" s="3"/>
      <c r="C619" s="3"/>
      <c r="H619" s="3"/>
      <c r="AG619" s="91"/>
    </row>
    <row r="620" ht="15.75" customHeight="1">
      <c r="B620" s="3"/>
      <c r="C620" s="3"/>
      <c r="H620" s="3"/>
      <c r="AG620" s="91"/>
    </row>
    <row r="621" ht="15.75" customHeight="1">
      <c r="B621" s="3"/>
      <c r="C621" s="3"/>
      <c r="H621" s="3"/>
      <c r="AG621" s="91"/>
    </row>
    <row r="622" ht="15.75" customHeight="1">
      <c r="B622" s="3"/>
      <c r="C622" s="3"/>
      <c r="H622" s="3"/>
      <c r="AG622" s="91"/>
    </row>
    <row r="623" ht="15.75" customHeight="1">
      <c r="B623" s="3"/>
      <c r="C623" s="3"/>
      <c r="H623" s="3"/>
      <c r="AG623" s="91"/>
    </row>
    <row r="624" ht="15.75" customHeight="1">
      <c r="B624" s="3"/>
      <c r="C624" s="3"/>
      <c r="H624" s="3"/>
      <c r="AG624" s="91"/>
    </row>
    <row r="625" ht="15.75" customHeight="1">
      <c r="B625" s="3"/>
      <c r="C625" s="3"/>
      <c r="H625" s="3"/>
      <c r="AG625" s="91"/>
    </row>
    <row r="626" ht="15.75" customHeight="1">
      <c r="B626" s="3"/>
      <c r="C626" s="3"/>
      <c r="H626" s="3"/>
      <c r="AG626" s="91"/>
    </row>
    <row r="627" ht="15.75" customHeight="1">
      <c r="B627" s="3"/>
      <c r="C627" s="3"/>
      <c r="H627" s="3"/>
      <c r="AG627" s="91"/>
    </row>
    <row r="628" ht="15.75" customHeight="1">
      <c r="B628" s="3"/>
      <c r="C628" s="3"/>
      <c r="H628" s="3"/>
      <c r="AG628" s="91"/>
    </row>
    <row r="629" ht="15.75" customHeight="1">
      <c r="B629" s="3"/>
      <c r="C629" s="3"/>
      <c r="H629" s="3"/>
      <c r="AG629" s="91"/>
    </row>
    <row r="630" ht="15.75" customHeight="1">
      <c r="B630" s="3"/>
      <c r="C630" s="3"/>
      <c r="H630" s="3"/>
      <c r="AG630" s="91"/>
    </row>
    <row r="631" ht="15.75" customHeight="1">
      <c r="B631" s="3"/>
      <c r="C631" s="3"/>
      <c r="H631" s="3"/>
      <c r="AG631" s="91"/>
    </row>
    <row r="632" ht="15.75" customHeight="1">
      <c r="B632" s="3"/>
      <c r="C632" s="3"/>
      <c r="H632" s="3"/>
      <c r="AG632" s="91"/>
    </row>
    <row r="633" ht="15.75" customHeight="1">
      <c r="B633" s="3"/>
      <c r="C633" s="3"/>
      <c r="H633" s="3"/>
      <c r="AG633" s="91"/>
    </row>
    <row r="634" ht="15.75" customHeight="1">
      <c r="B634" s="3"/>
      <c r="C634" s="3"/>
      <c r="H634" s="3"/>
      <c r="AG634" s="91"/>
    </row>
    <row r="635" ht="15.75" customHeight="1">
      <c r="B635" s="3"/>
      <c r="C635" s="3"/>
      <c r="H635" s="3"/>
      <c r="AG635" s="91"/>
    </row>
    <row r="636" ht="15.75" customHeight="1">
      <c r="B636" s="3"/>
      <c r="C636" s="3"/>
      <c r="H636" s="3"/>
      <c r="AG636" s="91"/>
    </row>
    <row r="637" ht="15.75" customHeight="1">
      <c r="B637" s="3"/>
      <c r="C637" s="3"/>
      <c r="H637" s="3"/>
      <c r="AG637" s="91"/>
    </row>
    <row r="638" ht="15.75" customHeight="1">
      <c r="B638" s="3"/>
      <c r="C638" s="3"/>
      <c r="H638" s="3"/>
      <c r="AG638" s="91"/>
    </row>
    <row r="639" ht="15.75" customHeight="1">
      <c r="B639" s="3"/>
      <c r="C639" s="3"/>
      <c r="H639" s="3"/>
      <c r="AG639" s="91"/>
    </row>
    <row r="640" ht="15.75" customHeight="1">
      <c r="B640" s="3"/>
      <c r="C640" s="3"/>
      <c r="H640" s="3"/>
      <c r="AG640" s="91"/>
    </row>
    <row r="641" ht="15.75" customHeight="1">
      <c r="B641" s="3"/>
      <c r="C641" s="3"/>
      <c r="H641" s="3"/>
      <c r="AG641" s="91"/>
    </row>
    <row r="642" ht="15.75" customHeight="1">
      <c r="B642" s="3"/>
      <c r="C642" s="3"/>
      <c r="H642" s="3"/>
      <c r="AG642" s="91"/>
    </row>
    <row r="643" ht="15.75" customHeight="1">
      <c r="B643" s="3"/>
      <c r="C643" s="3"/>
      <c r="H643" s="3"/>
      <c r="AG643" s="91"/>
    </row>
    <row r="644" ht="15.75" customHeight="1">
      <c r="B644" s="3"/>
      <c r="C644" s="3"/>
      <c r="H644" s="3"/>
      <c r="AG644" s="91"/>
    </row>
    <row r="645" ht="15.75" customHeight="1">
      <c r="B645" s="3"/>
      <c r="C645" s="3"/>
      <c r="H645" s="3"/>
      <c r="AG645" s="91"/>
    </row>
    <row r="646" ht="15.75" customHeight="1">
      <c r="B646" s="3"/>
      <c r="C646" s="3"/>
      <c r="H646" s="3"/>
      <c r="AG646" s="91"/>
    </row>
    <row r="647" ht="15.75" customHeight="1">
      <c r="B647" s="3"/>
      <c r="C647" s="3"/>
      <c r="H647" s="3"/>
      <c r="AG647" s="91"/>
    </row>
    <row r="648" ht="15.75" customHeight="1">
      <c r="B648" s="3"/>
      <c r="C648" s="3"/>
      <c r="H648" s="3"/>
      <c r="AG648" s="91"/>
    </row>
    <row r="649" ht="15.75" customHeight="1">
      <c r="B649" s="3"/>
      <c r="C649" s="3"/>
      <c r="H649" s="3"/>
      <c r="AG649" s="91"/>
    </row>
    <row r="650" ht="15.75" customHeight="1">
      <c r="B650" s="3"/>
      <c r="C650" s="3"/>
      <c r="H650" s="3"/>
      <c r="AG650" s="91"/>
    </row>
    <row r="651" ht="15.75" customHeight="1">
      <c r="B651" s="3"/>
      <c r="C651" s="3"/>
      <c r="H651" s="3"/>
      <c r="AG651" s="91"/>
    </row>
    <row r="652" ht="15.75" customHeight="1">
      <c r="B652" s="3"/>
      <c r="C652" s="3"/>
      <c r="H652" s="3"/>
      <c r="AG652" s="91"/>
    </row>
    <row r="653" ht="15.75" customHeight="1">
      <c r="B653" s="3"/>
      <c r="C653" s="3"/>
      <c r="H653" s="3"/>
      <c r="AG653" s="91"/>
    </row>
    <row r="654" ht="15.75" customHeight="1">
      <c r="B654" s="3"/>
      <c r="C654" s="3"/>
      <c r="H654" s="3"/>
      <c r="AG654" s="91"/>
    </row>
    <row r="655" ht="15.75" customHeight="1">
      <c r="B655" s="3"/>
      <c r="C655" s="3"/>
      <c r="H655" s="3"/>
      <c r="AG655" s="91"/>
    </row>
    <row r="656" ht="15.75" customHeight="1">
      <c r="B656" s="3"/>
      <c r="C656" s="3"/>
      <c r="H656" s="3"/>
      <c r="AG656" s="91"/>
    </row>
    <row r="657" ht="15.75" customHeight="1">
      <c r="B657" s="3"/>
      <c r="C657" s="3"/>
      <c r="H657" s="3"/>
      <c r="AG657" s="91"/>
    </row>
    <row r="658" ht="15.75" customHeight="1">
      <c r="B658" s="3"/>
      <c r="C658" s="3"/>
      <c r="H658" s="3"/>
      <c r="AG658" s="91"/>
    </row>
    <row r="659" ht="15.75" customHeight="1">
      <c r="B659" s="3"/>
      <c r="C659" s="3"/>
      <c r="H659" s="3"/>
      <c r="AG659" s="91"/>
    </row>
    <row r="660" ht="15.75" customHeight="1">
      <c r="B660" s="3"/>
      <c r="C660" s="3"/>
      <c r="H660" s="3"/>
      <c r="AG660" s="91"/>
    </row>
    <row r="661" ht="15.75" customHeight="1">
      <c r="B661" s="3"/>
      <c r="C661" s="3"/>
      <c r="H661" s="3"/>
      <c r="AG661" s="91"/>
    </row>
    <row r="662" ht="15.75" customHeight="1">
      <c r="B662" s="3"/>
      <c r="C662" s="3"/>
      <c r="H662" s="3"/>
      <c r="AG662" s="91"/>
    </row>
    <row r="663" ht="15.75" customHeight="1">
      <c r="B663" s="3"/>
      <c r="C663" s="3"/>
      <c r="H663" s="3"/>
      <c r="AG663" s="91"/>
    </row>
    <row r="664" ht="15.75" customHeight="1">
      <c r="B664" s="3"/>
      <c r="C664" s="3"/>
      <c r="H664" s="3"/>
      <c r="AG664" s="91"/>
    </row>
    <row r="665" ht="15.75" customHeight="1">
      <c r="B665" s="3"/>
      <c r="C665" s="3"/>
      <c r="H665" s="3"/>
      <c r="AG665" s="91"/>
    </row>
    <row r="666" ht="15.75" customHeight="1">
      <c r="B666" s="3"/>
      <c r="C666" s="3"/>
      <c r="H666" s="3"/>
      <c r="AG666" s="91"/>
    </row>
    <row r="667" ht="15.75" customHeight="1">
      <c r="B667" s="3"/>
      <c r="C667" s="3"/>
      <c r="H667" s="3"/>
      <c r="AG667" s="91"/>
    </row>
    <row r="668" ht="15.75" customHeight="1">
      <c r="B668" s="3"/>
      <c r="C668" s="3"/>
      <c r="H668" s="3"/>
      <c r="AG668" s="91"/>
    </row>
    <row r="669" ht="15.75" customHeight="1">
      <c r="B669" s="3"/>
      <c r="C669" s="3"/>
      <c r="H669" s="3"/>
      <c r="AG669" s="91"/>
    </row>
    <row r="670" ht="15.75" customHeight="1">
      <c r="B670" s="3"/>
      <c r="C670" s="3"/>
      <c r="H670" s="3"/>
      <c r="AG670" s="91"/>
    </row>
    <row r="671" ht="15.75" customHeight="1">
      <c r="B671" s="3"/>
      <c r="C671" s="3"/>
      <c r="H671" s="3"/>
      <c r="AG671" s="91"/>
    </row>
    <row r="672" ht="15.75" customHeight="1">
      <c r="B672" s="3"/>
      <c r="C672" s="3"/>
      <c r="H672" s="3"/>
      <c r="AG672" s="91"/>
    </row>
    <row r="673" ht="15.75" customHeight="1">
      <c r="B673" s="3"/>
      <c r="C673" s="3"/>
      <c r="H673" s="3"/>
      <c r="AG673" s="91"/>
    </row>
    <row r="674" ht="15.75" customHeight="1">
      <c r="B674" s="3"/>
      <c r="C674" s="3"/>
      <c r="H674" s="3"/>
      <c r="AG674" s="91"/>
    </row>
    <row r="675" ht="15.75" customHeight="1">
      <c r="B675" s="3"/>
      <c r="C675" s="3"/>
      <c r="H675" s="3"/>
      <c r="AG675" s="91"/>
    </row>
    <row r="676" ht="15.75" customHeight="1">
      <c r="B676" s="3"/>
      <c r="C676" s="3"/>
      <c r="H676" s="3"/>
      <c r="AG676" s="91"/>
    </row>
    <row r="677" ht="15.75" customHeight="1">
      <c r="B677" s="3"/>
      <c r="C677" s="3"/>
      <c r="H677" s="3"/>
      <c r="AG677" s="91"/>
    </row>
    <row r="678" ht="15.75" customHeight="1">
      <c r="B678" s="3"/>
      <c r="C678" s="3"/>
      <c r="H678" s="3"/>
      <c r="AG678" s="91"/>
    </row>
    <row r="679" ht="15.75" customHeight="1">
      <c r="B679" s="3"/>
      <c r="C679" s="3"/>
      <c r="H679" s="3"/>
      <c r="AG679" s="91"/>
    </row>
    <row r="680" ht="15.75" customHeight="1">
      <c r="B680" s="3"/>
      <c r="C680" s="3"/>
      <c r="H680" s="3"/>
      <c r="AG680" s="91"/>
    </row>
    <row r="681" ht="15.75" customHeight="1">
      <c r="B681" s="3"/>
      <c r="C681" s="3"/>
      <c r="H681" s="3"/>
      <c r="AG681" s="91"/>
    </row>
    <row r="682" ht="15.75" customHeight="1">
      <c r="B682" s="3"/>
      <c r="C682" s="3"/>
      <c r="H682" s="3"/>
      <c r="AG682" s="91"/>
    </row>
    <row r="683" ht="15.75" customHeight="1">
      <c r="B683" s="3"/>
      <c r="C683" s="3"/>
      <c r="H683" s="3"/>
      <c r="AG683" s="91"/>
    </row>
    <row r="684" ht="15.75" customHeight="1">
      <c r="B684" s="3"/>
      <c r="C684" s="3"/>
      <c r="H684" s="3"/>
      <c r="AG684" s="91"/>
    </row>
    <row r="685" ht="15.75" customHeight="1">
      <c r="B685" s="3"/>
      <c r="C685" s="3"/>
      <c r="H685" s="3"/>
      <c r="AG685" s="91"/>
    </row>
    <row r="686" ht="15.75" customHeight="1">
      <c r="B686" s="3"/>
      <c r="C686" s="3"/>
      <c r="H686" s="3"/>
      <c r="AG686" s="91"/>
    </row>
    <row r="687" ht="15.75" customHeight="1">
      <c r="B687" s="3"/>
      <c r="C687" s="3"/>
      <c r="H687" s="3"/>
      <c r="AG687" s="91"/>
    </row>
    <row r="688" ht="15.75" customHeight="1">
      <c r="B688" s="3"/>
      <c r="C688" s="3"/>
      <c r="H688" s="3"/>
      <c r="AG688" s="91"/>
    </row>
    <row r="689" ht="15.75" customHeight="1">
      <c r="B689" s="3"/>
      <c r="C689" s="3"/>
      <c r="H689" s="3"/>
      <c r="AG689" s="91"/>
    </row>
    <row r="690" ht="15.75" customHeight="1">
      <c r="B690" s="3"/>
      <c r="C690" s="3"/>
      <c r="H690" s="3"/>
      <c r="AG690" s="91"/>
    </row>
    <row r="691" ht="15.75" customHeight="1">
      <c r="B691" s="3"/>
      <c r="C691" s="3"/>
      <c r="H691" s="3"/>
      <c r="AG691" s="91"/>
    </row>
    <row r="692" ht="15.75" customHeight="1">
      <c r="B692" s="3"/>
      <c r="C692" s="3"/>
      <c r="H692" s="3"/>
      <c r="AG692" s="91"/>
    </row>
    <row r="693" ht="15.75" customHeight="1">
      <c r="B693" s="3"/>
      <c r="C693" s="3"/>
      <c r="H693" s="3"/>
      <c r="AG693" s="91"/>
    </row>
    <row r="694" ht="15.75" customHeight="1">
      <c r="B694" s="3"/>
      <c r="C694" s="3"/>
      <c r="H694" s="3"/>
      <c r="AG694" s="91"/>
    </row>
    <row r="695" ht="15.75" customHeight="1">
      <c r="B695" s="3"/>
      <c r="C695" s="3"/>
      <c r="H695" s="3"/>
      <c r="AG695" s="91"/>
    </row>
    <row r="696" ht="15.75" customHeight="1">
      <c r="B696" s="3"/>
      <c r="C696" s="3"/>
      <c r="H696" s="3"/>
      <c r="AG696" s="91"/>
    </row>
    <row r="697" ht="15.75" customHeight="1">
      <c r="B697" s="3"/>
      <c r="C697" s="3"/>
      <c r="H697" s="3"/>
      <c r="AG697" s="91"/>
    </row>
    <row r="698" ht="15.75" customHeight="1">
      <c r="B698" s="3"/>
      <c r="C698" s="3"/>
      <c r="H698" s="3"/>
      <c r="AG698" s="91"/>
    </row>
    <row r="699" ht="15.75" customHeight="1">
      <c r="B699" s="3"/>
      <c r="C699" s="3"/>
      <c r="H699" s="3"/>
      <c r="AG699" s="91"/>
    </row>
    <row r="700" ht="15.75" customHeight="1">
      <c r="B700" s="3"/>
      <c r="C700" s="3"/>
      <c r="H700" s="3"/>
      <c r="AG700" s="91"/>
    </row>
    <row r="701" ht="15.75" customHeight="1">
      <c r="B701" s="3"/>
      <c r="C701" s="3"/>
      <c r="H701" s="3"/>
      <c r="AG701" s="91"/>
    </row>
    <row r="702" ht="15.75" customHeight="1">
      <c r="B702" s="3"/>
      <c r="C702" s="3"/>
      <c r="H702" s="3"/>
      <c r="AG702" s="91"/>
    </row>
    <row r="703" ht="15.75" customHeight="1">
      <c r="B703" s="3"/>
      <c r="C703" s="3"/>
      <c r="H703" s="3"/>
      <c r="AG703" s="91"/>
    </row>
    <row r="704" ht="15.75" customHeight="1">
      <c r="B704" s="3"/>
      <c r="C704" s="3"/>
      <c r="H704" s="3"/>
      <c r="AG704" s="91"/>
    </row>
    <row r="705" ht="15.75" customHeight="1">
      <c r="B705" s="3"/>
      <c r="C705" s="3"/>
      <c r="H705" s="3"/>
      <c r="AG705" s="91"/>
    </row>
    <row r="706" ht="15.75" customHeight="1">
      <c r="B706" s="3"/>
      <c r="C706" s="3"/>
      <c r="H706" s="3"/>
      <c r="AG706" s="91"/>
    </row>
    <row r="707" ht="15.75" customHeight="1">
      <c r="B707" s="3"/>
      <c r="C707" s="3"/>
      <c r="H707" s="3"/>
      <c r="AG707" s="91"/>
    </row>
    <row r="708" ht="15.75" customHeight="1">
      <c r="B708" s="3"/>
      <c r="C708" s="3"/>
      <c r="H708" s="3"/>
      <c r="AG708" s="91"/>
    </row>
    <row r="709" ht="15.75" customHeight="1">
      <c r="B709" s="3"/>
      <c r="C709" s="3"/>
      <c r="H709" s="3"/>
      <c r="AG709" s="91"/>
    </row>
    <row r="710" ht="15.75" customHeight="1">
      <c r="B710" s="3"/>
      <c r="C710" s="3"/>
      <c r="H710" s="3"/>
      <c r="AG710" s="91"/>
    </row>
    <row r="711" ht="15.75" customHeight="1">
      <c r="B711" s="3"/>
      <c r="C711" s="3"/>
      <c r="H711" s="3"/>
      <c r="AG711" s="91"/>
    </row>
    <row r="712" ht="15.75" customHeight="1">
      <c r="B712" s="3"/>
      <c r="C712" s="3"/>
      <c r="H712" s="3"/>
      <c r="AG712" s="91"/>
    </row>
    <row r="713" ht="15.75" customHeight="1">
      <c r="B713" s="3"/>
      <c r="C713" s="3"/>
      <c r="H713" s="3"/>
      <c r="AG713" s="91"/>
    </row>
    <row r="714" ht="15.75" customHeight="1">
      <c r="B714" s="3"/>
      <c r="C714" s="3"/>
      <c r="H714" s="3"/>
      <c r="AG714" s="91"/>
    </row>
    <row r="715" ht="15.75" customHeight="1">
      <c r="B715" s="3"/>
      <c r="C715" s="3"/>
      <c r="H715" s="3"/>
      <c r="AG715" s="91"/>
    </row>
    <row r="716" ht="15.75" customHeight="1">
      <c r="B716" s="3"/>
      <c r="C716" s="3"/>
      <c r="H716" s="3"/>
      <c r="AG716" s="91"/>
    </row>
    <row r="717" ht="15.75" customHeight="1">
      <c r="B717" s="3"/>
      <c r="C717" s="3"/>
      <c r="H717" s="3"/>
      <c r="AG717" s="91"/>
    </row>
    <row r="718" ht="15.75" customHeight="1">
      <c r="B718" s="3"/>
      <c r="C718" s="3"/>
      <c r="H718" s="3"/>
      <c r="AG718" s="91"/>
    </row>
    <row r="719" ht="15.75" customHeight="1">
      <c r="B719" s="3"/>
      <c r="C719" s="3"/>
      <c r="H719" s="3"/>
      <c r="AG719" s="91"/>
    </row>
    <row r="720" ht="15.75" customHeight="1">
      <c r="B720" s="3"/>
      <c r="C720" s="3"/>
      <c r="H720" s="3"/>
      <c r="AG720" s="91"/>
    </row>
    <row r="721" ht="15.75" customHeight="1">
      <c r="B721" s="3"/>
      <c r="C721" s="3"/>
      <c r="H721" s="3"/>
      <c r="AG721" s="91"/>
    </row>
    <row r="722" ht="15.75" customHeight="1">
      <c r="B722" s="3"/>
      <c r="C722" s="3"/>
      <c r="H722" s="3"/>
      <c r="AG722" s="91"/>
    </row>
    <row r="723" ht="15.75" customHeight="1">
      <c r="B723" s="3"/>
      <c r="C723" s="3"/>
      <c r="H723" s="3"/>
      <c r="AG723" s="91"/>
    </row>
    <row r="724" ht="15.75" customHeight="1">
      <c r="B724" s="3"/>
      <c r="C724" s="3"/>
      <c r="H724" s="3"/>
      <c r="AG724" s="91"/>
    </row>
    <row r="725" ht="15.75" customHeight="1">
      <c r="B725" s="3"/>
      <c r="C725" s="3"/>
      <c r="H725" s="3"/>
      <c r="AG725" s="91"/>
    </row>
    <row r="726" ht="15.75" customHeight="1">
      <c r="B726" s="3"/>
      <c r="C726" s="3"/>
      <c r="H726" s="3"/>
      <c r="AG726" s="91"/>
    </row>
    <row r="727" ht="15.75" customHeight="1">
      <c r="B727" s="3"/>
      <c r="C727" s="3"/>
      <c r="H727" s="3"/>
      <c r="AG727" s="91"/>
    </row>
    <row r="728" ht="15.75" customHeight="1">
      <c r="B728" s="3"/>
      <c r="C728" s="3"/>
      <c r="H728" s="3"/>
      <c r="AG728" s="91"/>
    </row>
    <row r="729" ht="15.75" customHeight="1">
      <c r="B729" s="3"/>
      <c r="C729" s="3"/>
      <c r="H729" s="3"/>
      <c r="AG729" s="91"/>
    </row>
    <row r="730" ht="15.75" customHeight="1">
      <c r="B730" s="3"/>
      <c r="C730" s="3"/>
      <c r="H730" s="3"/>
      <c r="AG730" s="91"/>
    </row>
    <row r="731" ht="15.75" customHeight="1">
      <c r="B731" s="3"/>
      <c r="C731" s="3"/>
      <c r="H731" s="3"/>
      <c r="AG731" s="91"/>
    </row>
    <row r="732" ht="15.75" customHeight="1">
      <c r="B732" s="3"/>
      <c r="C732" s="3"/>
      <c r="H732" s="3"/>
      <c r="AG732" s="91"/>
    </row>
    <row r="733" ht="15.75" customHeight="1">
      <c r="B733" s="3"/>
      <c r="C733" s="3"/>
      <c r="H733" s="3"/>
      <c r="AG733" s="91"/>
    </row>
    <row r="734" ht="15.75" customHeight="1">
      <c r="B734" s="3"/>
      <c r="C734" s="3"/>
      <c r="H734" s="3"/>
      <c r="AG734" s="91"/>
    </row>
    <row r="735" ht="15.75" customHeight="1">
      <c r="B735" s="3"/>
      <c r="C735" s="3"/>
      <c r="H735" s="3"/>
      <c r="AG735" s="91"/>
    </row>
    <row r="736" ht="15.75" customHeight="1">
      <c r="B736" s="3"/>
      <c r="C736" s="3"/>
      <c r="H736" s="3"/>
      <c r="AG736" s="91"/>
    </row>
    <row r="737" ht="15.75" customHeight="1">
      <c r="B737" s="3"/>
      <c r="C737" s="3"/>
      <c r="H737" s="3"/>
      <c r="AG737" s="91"/>
    </row>
    <row r="738" ht="15.75" customHeight="1">
      <c r="B738" s="3"/>
      <c r="C738" s="3"/>
      <c r="H738" s="3"/>
      <c r="AG738" s="91"/>
    </row>
    <row r="739" ht="15.75" customHeight="1">
      <c r="B739" s="3"/>
      <c r="C739" s="3"/>
      <c r="H739" s="3"/>
      <c r="AG739" s="91"/>
    </row>
    <row r="740" ht="15.75" customHeight="1">
      <c r="B740" s="3"/>
      <c r="C740" s="3"/>
      <c r="H740" s="3"/>
      <c r="AG740" s="91"/>
    </row>
    <row r="741" ht="15.75" customHeight="1">
      <c r="B741" s="3"/>
      <c r="C741" s="3"/>
      <c r="H741" s="3"/>
      <c r="AG741" s="91"/>
    </row>
    <row r="742" ht="15.75" customHeight="1">
      <c r="B742" s="3"/>
      <c r="C742" s="3"/>
      <c r="H742" s="3"/>
      <c r="AG742" s="91"/>
    </row>
    <row r="743" ht="15.75" customHeight="1">
      <c r="B743" s="3"/>
      <c r="C743" s="3"/>
      <c r="H743" s="3"/>
      <c r="AG743" s="91"/>
    </row>
    <row r="744" ht="15.75" customHeight="1">
      <c r="B744" s="3"/>
      <c r="C744" s="3"/>
      <c r="H744" s="3"/>
      <c r="AG744" s="91"/>
    </row>
    <row r="745" ht="15.75" customHeight="1">
      <c r="B745" s="3"/>
      <c r="C745" s="3"/>
      <c r="H745" s="3"/>
      <c r="AG745" s="91"/>
    </row>
    <row r="746" ht="15.75" customHeight="1">
      <c r="B746" s="3"/>
      <c r="C746" s="3"/>
      <c r="H746" s="3"/>
      <c r="AG746" s="91"/>
    </row>
    <row r="747" ht="15.75" customHeight="1">
      <c r="B747" s="3"/>
      <c r="C747" s="3"/>
      <c r="H747" s="3"/>
      <c r="AG747" s="91"/>
    </row>
    <row r="748" ht="15.75" customHeight="1">
      <c r="B748" s="3"/>
      <c r="C748" s="3"/>
      <c r="H748" s="3"/>
      <c r="AG748" s="91"/>
    </row>
    <row r="749" ht="15.75" customHeight="1">
      <c r="B749" s="3"/>
      <c r="C749" s="3"/>
      <c r="H749" s="3"/>
      <c r="AG749" s="91"/>
    </row>
    <row r="750" ht="15.75" customHeight="1">
      <c r="B750" s="3"/>
      <c r="C750" s="3"/>
      <c r="H750" s="3"/>
      <c r="AG750" s="91"/>
    </row>
    <row r="751" ht="15.75" customHeight="1">
      <c r="B751" s="3"/>
      <c r="C751" s="3"/>
      <c r="H751" s="3"/>
      <c r="AG751" s="91"/>
    </row>
    <row r="752" ht="15.75" customHeight="1">
      <c r="B752" s="3"/>
      <c r="C752" s="3"/>
      <c r="H752" s="3"/>
      <c r="AG752" s="91"/>
    </row>
    <row r="753" ht="15.75" customHeight="1">
      <c r="B753" s="3"/>
      <c r="C753" s="3"/>
      <c r="H753" s="3"/>
      <c r="AG753" s="91"/>
    </row>
    <row r="754" ht="15.75" customHeight="1">
      <c r="B754" s="3"/>
      <c r="C754" s="3"/>
      <c r="H754" s="3"/>
      <c r="AG754" s="91"/>
    </row>
    <row r="755" ht="15.75" customHeight="1">
      <c r="B755" s="3"/>
      <c r="C755" s="3"/>
      <c r="H755" s="3"/>
      <c r="AG755" s="91"/>
    </row>
    <row r="756" ht="15.75" customHeight="1">
      <c r="B756" s="3"/>
      <c r="C756" s="3"/>
      <c r="H756" s="3"/>
      <c r="AG756" s="91"/>
    </row>
    <row r="757" ht="15.75" customHeight="1">
      <c r="B757" s="3"/>
      <c r="C757" s="3"/>
      <c r="H757" s="3"/>
      <c r="AG757" s="91"/>
    </row>
    <row r="758" ht="15.75" customHeight="1">
      <c r="B758" s="3"/>
      <c r="C758" s="3"/>
      <c r="H758" s="3"/>
      <c r="AG758" s="91"/>
    </row>
    <row r="759" ht="15.75" customHeight="1">
      <c r="B759" s="3"/>
      <c r="C759" s="3"/>
      <c r="H759" s="3"/>
      <c r="AG759" s="91"/>
    </row>
    <row r="760" ht="15.75" customHeight="1">
      <c r="B760" s="3"/>
      <c r="C760" s="3"/>
      <c r="H760" s="3"/>
      <c r="AG760" s="91"/>
    </row>
    <row r="761" ht="15.75" customHeight="1">
      <c r="B761" s="3"/>
      <c r="C761" s="3"/>
      <c r="H761" s="3"/>
      <c r="AG761" s="91"/>
    </row>
    <row r="762" ht="15.75" customHeight="1">
      <c r="B762" s="3"/>
      <c r="C762" s="3"/>
      <c r="H762" s="3"/>
      <c r="AG762" s="91"/>
    </row>
    <row r="763" ht="15.75" customHeight="1">
      <c r="B763" s="3"/>
      <c r="C763" s="3"/>
      <c r="H763" s="3"/>
      <c r="AG763" s="91"/>
    </row>
    <row r="764" ht="15.75" customHeight="1">
      <c r="B764" s="3"/>
      <c r="C764" s="3"/>
      <c r="H764" s="3"/>
      <c r="AG764" s="91"/>
    </row>
    <row r="765" ht="15.75" customHeight="1">
      <c r="B765" s="3"/>
      <c r="C765" s="3"/>
      <c r="H765" s="3"/>
      <c r="AG765" s="91"/>
    </row>
    <row r="766" ht="15.75" customHeight="1">
      <c r="B766" s="3"/>
      <c r="C766" s="3"/>
      <c r="H766" s="3"/>
      <c r="AG766" s="91"/>
    </row>
    <row r="767" ht="15.75" customHeight="1">
      <c r="B767" s="3"/>
      <c r="C767" s="3"/>
      <c r="H767" s="3"/>
      <c r="AG767" s="91"/>
    </row>
    <row r="768" ht="15.75" customHeight="1">
      <c r="B768" s="3"/>
      <c r="C768" s="3"/>
      <c r="H768" s="3"/>
      <c r="AG768" s="91"/>
    </row>
    <row r="769" ht="15.75" customHeight="1">
      <c r="B769" s="3"/>
      <c r="C769" s="3"/>
      <c r="H769" s="3"/>
      <c r="AG769" s="91"/>
    </row>
    <row r="770" ht="15.75" customHeight="1">
      <c r="B770" s="3"/>
      <c r="C770" s="3"/>
      <c r="H770" s="3"/>
      <c r="AG770" s="91"/>
    </row>
    <row r="771" ht="15.75" customHeight="1">
      <c r="B771" s="3"/>
      <c r="C771" s="3"/>
      <c r="H771" s="3"/>
      <c r="AG771" s="91"/>
    </row>
    <row r="772" ht="15.75" customHeight="1">
      <c r="B772" s="3"/>
      <c r="C772" s="3"/>
      <c r="H772" s="3"/>
      <c r="AG772" s="91"/>
    </row>
    <row r="773" ht="15.75" customHeight="1">
      <c r="B773" s="3"/>
      <c r="C773" s="3"/>
      <c r="H773" s="3"/>
      <c r="AG773" s="91"/>
    </row>
    <row r="774" ht="15.75" customHeight="1">
      <c r="B774" s="3"/>
      <c r="C774" s="3"/>
      <c r="H774" s="3"/>
      <c r="AG774" s="91"/>
    </row>
    <row r="775" ht="15.75" customHeight="1">
      <c r="B775" s="3"/>
      <c r="C775" s="3"/>
      <c r="H775" s="3"/>
      <c r="AG775" s="91"/>
    </row>
    <row r="776" ht="15.75" customHeight="1">
      <c r="B776" s="3"/>
      <c r="C776" s="3"/>
      <c r="H776" s="3"/>
      <c r="AG776" s="91"/>
    </row>
    <row r="777" ht="15.75" customHeight="1">
      <c r="B777" s="3"/>
      <c r="C777" s="3"/>
      <c r="H777" s="3"/>
      <c r="AG777" s="91"/>
    </row>
    <row r="778" ht="15.75" customHeight="1">
      <c r="B778" s="3"/>
      <c r="C778" s="3"/>
      <c r="H778" s="3"/>
      <c r="AG778" s="91"/>
    </row>
    <row r="779" ht="15.75" customHeight="1">
      <c r="B779" s="3"/>
      <c r="C779" s="3"/>
      <c r="H779" s="3"/>
      <c r="AG779" s="91"/>
    </row>
    <row r="780" ht="15.75" customHeight="1">
      <c r="B780" s="3"/>
      <c r="C780" s="3"/>
      <c r="H780" s="3"/>
      <c r="AG780" s="91"/>
    </row>
    <row r="781" ht="15.75" customHeight="1">
      <c r="B781" s="3"/>
      <c r="C781" s="3"/>
      <c r="H781" s="3"/>
      <c r="AG781" s="91"/>
    </row>
    <row r="782" ht="15.75" customHeight="1">
      <c r="B782" s="3"/>
      <c r="C782" s="3"/>
      <c r="H782" s="3"/>
      <c r="AG782" s="91"/>
    </row>
    <row r="783" ht="15.75" customHeight="1">
      <c r="B783" s="3"/>
      <c r="C783" s="3"/>
      <c r="H783" s="3"/>
      <c r="AG783" s="91"/>
    </row>
    <row r="784" ht="15.75" customHeight="1">
      <c r="B784" s="3"/>
      <c r="C784" s="3"/>
      <c r="H784" s="3"/>
      <c r="AG784" s="91"/>
    </row>
    <row r="785" ht="15.75" customHeight="1">
      <c r="B785" s="3"/>
      <c r="C785" s="3"/>
      <c r="H785" s="3"/>
      <c r="AG785" s="91"/>
    </row>
    <row r="786" ht="15.75" customHeight="1">
      <c r="B786" s="3"/>
      <c r="C786" s="3"/>
      <c r="H786" s="3"/>
      <c r="AG786" s="91"/>
    </row>
    <row r="787" ht="15.75" customHeight="1">
      <c r="B787" s="3"/>
      <c r="C787" s="3"/>
      <c r="H787" s="3"/>
      <c r="AG787" s="91"/>
    </row>
    <row r="788" ht="15.75" customHeight="1">
      <c r="B788" s="3"/>
      <c r="C788" s="3"/>
      <c r="H788" s="3"/>
      <c r="AG788" s="91"/>
    </row>
    <row r="789" ht="15.75" customHeight="1">
      <c r="B789" s="3"/>
      <c r="C789" s="3"/>
      <c r="H789" s="3"/>
      <c r="AG789" s="91"/>
    </row>
    <row r="790" ht="15.75" customHeight="1">
      <c r="B790" s="3"/>
      <c r="C790" s="3"/>
      <c r="H790" s="3"/>
      <c r="AG790" s="91"/>
    </row>
    <row r="791" ht="15.75" customHeight="1">
      <c r="B791" s="3"/>
      <c r="C791" s="3"/>
      <c r="H791" s="3"/>
      <c r="AG791" s="91"/>
    </row>
    <row r="792" ht="15.75" customHeight="1">
      <c r="B792" s="3"/>
      <c r="C792" s="3"/>
      <c r="H792" s="3"/>
      <c r="AG792" s="91"/>
    </row>
    <row r="793" ht="15.75" customHeight="1">
      <c r="B793" s="3"/>
      <c r="C793" s="3"/>
      <c r="H793" s="3"/>
      <c r="AG793" s="91"/>
    </row>
    <row r="794" ht="15.75" customHeight="1">
      <c r="B794" s="3"/>
      <c r="C794" s="3"/>
      <c r="H794" s="3"/>
      <c r="AG794" s="91"/>
    </row>
    <row r="795" ht="15.75" customHeight="1">
      <c r="B795" s="3"/>
      <c r="C795" s="3"/>
      <c r="H795" s="3"/>
      <c r="AG795" s="91"/>
    </row>
    <row r="796" ht="15.75" customHeight="1">
      <c r="B796" s="3"/>
      <c r="C796" s="3"/>
      <c r="H796" s="3"/>
      <c r="AG796" s="91"/>
    </row>
    <row r="797" ht="15.75" customHeight="1">
      <c r="B797" s="3"/>
      <c r="C797" s="3"/>
      <c r="H797" s="3"/>
      <c r="AG797" s="91"/>
    </row>
    <row r="798" ht="15.75" customHeight="1">
      <c r="B798" s="3"/>
      <c r="C798" s="3"/>
      <c r="H798" s="3"/>
      <c r="AG798" s="91"/>
    </row>
    <row r="799" ht="15.75" customHeight="1">
      <c r="B799" s="3"/>
      <c r="C799" s="3"/>
      <c r="H799" s="3"/>
      <c r="AG799" s="91"/>
    </row>
    <row r="800" ht="15.75" customHeight="1">
      <c r="B800" s="3"/>
      <c r="C800" s="3"/>
      <c r="H800" s="3"/>
      <c r="AG800" s="91"/>
    </row>
    <row r="801" ht="15.75" customHeight="1">
      <c r="B801" s="3"/>
      <c r="C801" s="3"/>
      <c r="H801" s="3"/>
      <c r="AG801" s="91"/>
    </row>
    <row r="802" ht="15.75" customHeight="1">
      <c r="B802" s="3"/>
      <c r="C802" s="3"/>
      <c r="H802" s="3"/>
      <c r="AG802" s="91"/>
    </row>
    <row r="803" ht="15.75" customHeight="1">
      <c r="B803" s="3"/>
      <c r="C803" s="3"/>
      <c r="H803" s="3"/>
      <c r="AG803" s="91"/>
    </row>
    <row r="804" ht="15.75" customHeight="1">
      <c r="B804" s="3"/>
      <c r="C804" s="3"/>
      <c r="H804" s="3"/>
      <c r="AG804" s="91"/>
    </row>
    <row r="805" ht="15.75" customHeight="1">
      <c r="B805" s="3"/>
      <c r="C805" s="3"/>
      <c r="H805" s="3"/>
      <c r="AG805" s="91"/>
    </row>
    <row r="806" ht="15.75" customHeight="1">
      <c r="B806" s="3"/>
      <c r="C806" s="3"/>
      <c r="H806" s="3"/>
      <c r="AG806" s="91"/>
    </row>
    <row r="807" ht="15.75" customHeight="1">
      <c r="B807" s="3"/>
      <c r="C807" s="3"/>
      <c r="H807" s="3"/>
      <c r="AG807" s="91"/>
    </row>
    <row r="808" ht="15.75" customHeight="1">
      <c r="B808" s="3"/>
      <c r="C808" s="3"/>
      <c r="H808" s="3"/>
      <c r="AG808" s="91"/>
    </row>
    <row r="809" ht="15.75" customHeight="1">
      <c r="B809" s="3"/>
      <c r="C809" s="3"/>
      <c r="H809" s="3"/>
      <c r="AG809" s="91"/>
    </row>
    <row r="810" ht="15.75" customHeight="1">
      <c r="B810" s="3"/>
      <c r="C810" s="3"/>
      <c r="H810" s="3"/>
      <c r="AG810" s="91"/>
    </row>
    <row r="811" ht="15.75" customHeight="1">
      <c r="B811" s="3"/>
      <c r="C811" s="3"/>
      <c r="H811" s="3"/>
      <c r="AG811" s="91"/>
    </row>
    <row r="812" ht="15.75" customHeight="1">
      <c r="B812" s="3"/>
      <c r="C812" s="3"/>
      <c r="H812" s="3"/>
      <c r="AG812" s="91"/>
    </row>
    <row r="813" ht="15.75" customHeight="1">
      <c r="B813" s="3"/>
      <c r="C813" s="3"/>
      <c r="H813" s="3"/>
      <c r="AG813" s="91"/>
    </row>
    <row r="814" ht="15.75" customHeight="1">
      <c r="B814" s="3"/>
      <c r="C814" s="3"/>
      <c r="H814" s="3"/>
      <c r="AG814" s="91"/>
    </row>
    <row r="815" ht="15.75" customHeight="1">
      <c r="B815" s="3"/>
      <c r="C815" s="3"/>
      <c r="H815" s="3"/>
      <c r="AG815" s="91"/>
    </row>
    <row r="816" ht="15.75" customHeight="1">
      <c r="B816" s="3"/>
      <c r="C816" s="3"/>
      <c r="H816" s="3"/>
      <c r="AG816" s="91"/>
    </row>
    <row r="817" ht="15.75" customHeight="1">
      <c r="B817" s="3"/>
      <c r="C817" s="3"/>
      <c r="H817" s="3"/>
      <c r="AG817" s="91"/>
    </row>
    <row r="818" ht="15.75" customHeight="1">
      <c r="B818" s="3"/>
      <c r="C818" s="3"/>
      <c r="H818" s="3"/>
      <c r="AG818" s="91"/>
    </row>
    <row r="819" ht="15.75" customHeight="1">
      <c r="B819" s="3"/>
      <c r="C819" s="3"/>
      <c r="H819" s="3"/>
      <c r="AG819" s="91"/>
    </row>
    <row r="820" ht="15.75" customHeight="1">
      <c r="B820" s="3"/>
      <c r="C820" s="3"/>
      <c r="H820" s="3"/>
      <c r="AG820" s="91"/>
    </row>
    <row r="821" ht="15.75" customHeight="1">
      <c r="B821" s="3"/>
      <c r="C821" s="3"/>
      <c r="H821" s="3"/>
      <c r="AG821" s="91"/>
    </row>
    <row r="822" ht="15.75" customHeight="1">
      <c r="B822" s="3"/>
      <c r="C822" s="3"/>
      <c r="H822" s="3"/>
      <c r="AG822" s="91"/>
    </row>
    <row r="823" ht="15.75" customHeight="1">
      <c r="B823" s="3"/>
      <c r="C823" s="3"/>
      <c r="H823" s="3"/>
      <c r="AG823" s="91"/>
    </row>
    <row r="824" ht="15.75" customHeight="1">
      <c r="B824" s="3"/>
      <c r="C824" s="3"/>
      <c r="H824" s="3"/>
      <c r="AG824" s="91"/>
    </row>
    <row r="825" ht="15.75" customHeight="1">
      <c r="B825" s="3"/>
      <c r="C825" s="3"/>
      <c r="H825" s="3"/>
      <c r="AG825" s="91"/>
    </row>
    <row r="826" ht="15.75" customHeight="1">
      <c r="B826" s="3"/>
      <c r="C826" s="3"/>
      <c r="H826" s="3"/>
      <c r="AG826" s="91"/>
    </row>
    <row r="827" ht="15.75" customHeight="1">
      <c r="B827" s="3"/>
      <c r="C827" s="3"/>
      <c r="H827" s="3"/>
      <c r="AG827" s="91"/>
    </row>
    <row r="828" ht="15.75" customHeight="1">
      <c r="B828" s="3"/>
      <c r="C828" s="3"/>
      <c r="H828" s="3"/>
      <c r="AG828" s="91"/>
    </row>
    <row r="829" ht="15.75" customHeight="1">
      <c r="B829" s="3"/>
      <c r="C829" s="3"/>
      <c r="H829" s="3"/>
      <c r="AG829" s="91"/>
    </row>
    <row r="830" ht="15.75" customHeight="1">
      <c r="B830" s="3"/>
      <c r="C830" s="3"/>
      <c r="H830" s="3"/>
      <c r="AG830" s="91"/>
    </row>
    <row r="831" ht="15.75" customHeight="1">
      <c r="B831" s="3"/>
      <c r="C831" s="3"/>
      <c r="H831" s="3"/>
      <c r="AG831" s="91"/>
    </row>
    <row r="832" ht="15.75" customHeight="1">
      <c r="B832" s="3"/>
      <c r="C832" s="3"/>
      <c r="H832" s="3"/>
      <c r="AG832" s="91"/>
    </row>
    <row r="833" ht="15.75" customHeight="1">
      <c r="B833" s="3"/>
      <c r="C833" s="3"/>
      <c r="H833" s="3"/>
      <c r="AG833" s="91"/>
    </row>
    <row r="834" ht="15.75" customHeight="1">
      <c r="B834" s="3"/>
      <c r="C834" s="3"/>
      <c r="H834" s="3"/>
      <c r="AG834" s="91"/>
    </row>
    <row r="835" ht="15.75" customHeight="1">
      <c r="B835" s="3"/>
      <c r="C835" s="3"/>
      <c r="H835" s="3"/>
      <c r="AG835" s="91"/>
    </row>
    <row r="836" ht="15.75" customHeight="1">
      <c r="B836" s="3"/>
      <c r="C836" s="3"/>
      <c r="H836" s="3"/>
      <c r="AG836" s="91"/>
    </row>
    <row r="837" ht="15.75" customHeight="1">
      <c r="B837" s="3"/>
      <c r="C837" s="3"/>
      <c r="H837" s="3"/>
      <c r="AG837" s="91"/>
    </row>
    <row r="838" ht="15.75" customHeight="1">
      <c r="B838" s="3"/>
      <c r="C838" s="3"/>
      <c r="H838" s="3"/>
      <c r="AG838" s="91"/>
    </row>
    <row r="839" ht="15.75" customHeight="1">
      <c r="B839" s="3"/>
      <c r="C839" s="3"/>
      <c r="H839" s="3"/>
      <c r="AG839" s="91"/>
    </row>
    <row r="840" ht="15.75" customHeight="1">
      <c r="B840" s="3"/>
      <c r="C840" s="3"/>
      <c r="H840" s="3"/>
      <c r="AG840" s="91"/>
    </row>
    <row r="841" ht="15.75" customHeight="1">
      <c r="B841" s="3"/>
      <c r="C841" s="3"/>
      <c r="H841" s="3"/>
      <c r="AG841" s="91"/>
    </row>
    <row r="842" ht="15.75" customHeight="1">
      <c r="B842" s="3"/>
      <c r="C842" s="3"/>
      <c r="H842" s="3"/>
      <c r="AG842" s="91"/>
    </row>
    <row r="843" ht="15.75" customHeight="1">
      <c r="B843" s="3"/>
      <c r="C843" s="3"/>
      <c r="H843" s="3"/>
      <c r="AG843" s="91"/>
    </row>
    <row r="844" ht="15.75" customHeight="1">
      <c r="B844" s="3"/>
      <c r="C844" s="3"/>
      <c r="H844" s="3"/>
      <c r="AG844" s="91"/>
    </row>
    <row r="845" ht="15.75" customHeight="1">
      <c r="B845" s="3"/>
      <c r="C845" s="3"/>
      <c r="H845" s="3"/>
      <c r="AG845" s="91"/>
    </row>
    <row r="846" ht="15.75" customHeight="1">
      <c r="B846" s="3"/>
      <c r="C846" s="3"/>
      <c r="H846" s="3"/>
      <c r="AG846" s="91"/>
    </row>
    <row r="847" ht="15.75" customHeight="1">
      <c r="B847" s="3"/>
      <c r="C847" s="3"/>
      <c r="H847" s="3"/>
      <c r="AG847" s="91"/>
    </row>
    <row r="848" ht="15.75" customHeight="1">
      <c r="B848" s="3"/>
      <c r="C848" s="3"/>
      <c r="H848" s="3"/>
      <c r="AG848" s="91"/>
    </row>
    <row r="849" ht="15.75" customHeight="1">
      <c r="B849" s="3"/>
      <c r="C849" s="3"/>
      <c r="H849" s="3"/>
      <c r="AG849" s="91"/>
    </row>
    <row r="850" ht="15.75" customHeight="1">
      <c r="B850" s="3"/>
      <c r="C850" s="3"/>
      <c r="H850" s="3"/>
      <c r="AG850" s="91"/>
    </row>
    <row r="851" ht="15.75" customHeight="1">
      <c r="B851" s="3"/>
      <c r="C851" s="3"/>
      <c r="H851" s="3"/>
      <c r="AG851" s="91"/>
    </row>
    <row r="852" ht="15.75" customHeight="1">
      <c r="B852" s="3"/>
      <c r="C852" s="3"/>
      <c r="H852" s="3"/>
      <c r="AG852" s="91"/>
    </row>
    <row r="853" ht="15.75" customHeight="1">
      <c r="B853" s="3"/>
      <c r="C853" s="3"/>
      <c r="H853" s="3"/>
      <c r="AG853" s="91"/>
    </row>
    <row r="854" ht="15.75" customHeight="1">
      <c r="B854" s="3"/>
      <c r="C854" s="3"/>
      <c r="H854" s="3"/>
      <c r="AG854" s="91"/>
    </row>
    <row r="855" ht="15.75" customHeight="1">
      <c r="B855" s="3"/>
      <c r="C855" s="3"/>
      <c r="H855" s="3"/>
      <c r="AG855" s="91"/>
    </row>
    <row r="856" ht="15.75" customHeight="1">
      <c r="B856" s="3"/>
      <c r="C856" s="3"/>
      <c r="H856" s="3"/>
      <c r="AG856" s="91"/>
    </row>
    <row r="857" ht="15.75" customHeight="1">
      <c r="B857" s="3"/>
      <c r="C857" s="3"/>
      <c r="H857" s="3"/>
      <c r="AG857" s="91"/>
    </row>
    <row r="858" ht="15.75" customHeight="1">
      <c r="B858" s="3"/>
      <c r="C858" s="3"/>
      <c r="H858" s="3"/>
      <c r="AG858" s="91"/>
    </row>
    <row r="859" ht="15.75" customHeight="1">
      <c r="B859" s="3"/>
      <c r="C859" s="3"/>
      <c r="H859" s="3"/>
      <c r="AG859" s="91"/>
    </row>
    <row r="860" ht="15.75" customHeight="1">
      <c r="B860" s="3"/>
      <c r="C860" s="3"/>
      <c r="H860" s="3"/>
      <c r="AG860" s="91"/>
    </row>
    <row r="861" ht="15.75" customHeight="1">
      <c r="B861" s="3"/>
      <c r="C861" s="3"/>
      <c r="H861" s="3"/>
      <c r="AG861" s="91"/>
    </row>
    <row r="862" ht="15.75" customHeight="1">
      <c r="B862" s="3"/>
      <c r="C862" s="3"/>
      <c r="H862" s="3"/>
      <c r="AG862" s="91"/>
    </row>
    <row r="863" ht="15.75" customHeight="1">
      <c r="B863" s="3"/>
      <c r="C863" s="3"/>
      <c r="H863" s="3"/>
      <c r="AG863" s="91"/>
    </row>
    <row r="864" ht="15.75" customHeight="1">
      <c r="B864" s="3"/>
      <c r="C864" s="3"/>
      <c r="H864" s="3"/>
      <c r="AG864" s="91"/>
    </row>
    <row r="865" ht="15.75" customHeight="1">
      <c r="B865" s="3"/>
      <c r="C865" s="3"/>
      <c r="H865" s="3"/>
      <c r="AG865" s="91"/>
    </row>
    <row r="866" ht="15.75" customHeight="1">
      <c r="B866" s="3"/>
      <c r="C866" s="3"/>
      <c r="H866" s="3"/>
      <c r="AG866" s="91"/>
    </row>
    <row r="867" ht="15.75" customHeight="1">
      <c r="B867" s="3"/>
      <c r="C867" s="3"/>
      <c r="H867" s="3"/>
      <c r="AG867" s="91"/>
    </row>
    <row r="868" ht="15.75" customHeight="1">
      <c r="B868" s="3"/>
      <c r="C868" s="3"/>
      <c r="H868" s="3"/>
      <c r="AG868" s="91"/>
    </row>
    <row r="869" ht="15.75" customHeight="1">
      <c r="B869" s="3"/>
      <c r="C869" s="3"/>
      <c r="H869" s="3"/>
      <c r="AG869" s="91"/>
    </row>
    <row r="870" ht="15.75" customHeight="1">
      <c r="B870" s="3"/>
      <c r="C870" s="3"/>
      <c r="H870" s="3"/>
      <c r="AG870" s="91"/>
    </row>
    <row r="871" ht="15.75" customHeight="1">
      <c r="B871" s="3"/>
      <c r="C871" s="3"/>
      <c r="H871" s="3"/>
      <c r="AG871" s="91"/>
    </row>
    <row r="872" ht="15.75" customHeight="1">
      <c r="B872" s="3"/>
      <c r="C872" s="3"/>
      <c r="H872" s="3"/>
      <c r="AG872" s="91"/>
    </row>
    <row r="873" ht="15.75" customHeight="1">
      <c r="B873" s="3"/>
      <c r="C873" s="3"/>
      <c r="H873" s="3"/>
      <c r="AG873" s="91"/>
    </row>
    <row r="874" ht="15.75" customHeight="1">
      <c r="B874" s="3"/>
      <c r="C874" s="3"/>
      <c r="H874" s="3"/>
      <c r="AG874" s="91"/>
    </row>
    <row r="875" ht="15.75" customHeight="1">
      <c r="B875" s="3"/>
      <c r="C875" s="3"/>
      <c r="H875" s="3"/>
      <c r="AG875" s="91"/>
    </row>
    <row r="876" ht="15.75" customHeight="1">
      <c r="B876" s="3"/>
      <c r="C876" s="3"/>
      <c r="H876" s="3"/>
      <c r="AG876" s="91"/>
    </row>
    <row r="877" ht="15.75" customHeight="1">
      <c r="B877" s="3"/>
      <c r="C877" s="3"/>
      <c r="H877" s="3"/>
      <c r="AG877" s="91"/>
    </row>
    <row r="878" ht="15.75" customHeight="1">
      <c r="B878" s="3"/>
      <c r="C878" s="3"/>
      <c r="H878" s="3"/>
      <c r="AG878" s="91"/>
    </row>
    <row r="879" ht="15.75" customHeight="1">
      <c r="B879" s="3"/>
      <c r="C879" s="3"/>
      <c r="H879" s="3"/>
      <c r="AG879" s="91"/>
    </row>
    <row r="880" ht="15.75" customHeight="1">
      <c r="B880" s="3"/>
      <c r="C880" s="3"/>
      <c r="H880" s="3"/>
      <c r="AG880" s="91"/>
    </row>
    <row r="881" ht="15.75" customHeight="1">
      <c r="B881" s="3"/>
      <c r="C881" s="3"/>
      <c r="H881" s="3"/>
      <c r="AG881" s="91"/>
    </row>
    <row r="882" ht="15.75" customHeight="1">
      <c r="B882" s="3"/>
      <c r="C882" s="3"/>
      <c r="H882" s="3"/>
      <c r="AG882" s="91"/>
    </row>
    <row r="883" ht="15.75" customHeight="1">
      <c r="B883" s="3"/>
      <c r="C883" s="3"/>
      <c r="H883" s="3"/>
      <c r="AG883" s="91"/>
    </row>
    <row r="884" ht="15.75" customHeight="1">
      <c r="B884" s="3"/>
      <c r="C884" s="3"/>
      <c r="H884" s="3"/>
      <c r="AG884" s="91"/>
    </row>
    <row r="885" ht="15.75" customHeight="1">
      <c r="B885" s="3"/>
      <c r="C885" s="3"/>
      <c r="H885" s="3"/>
      <c r="AG885" s="91"/>
    </row>
    <row r="886" ht="15.75" customHeight="1">
      <c r="B886" s="3"/>
      <c r="C886" s="3"/>
      <c r="H886" s="3"/>
      <c r="AG886" s="91"/>
    </row>
    <row r="887" ht="15.75" customHeight="1">
      <c r="B887" s="3"/>
      <c r="C887" s="3"/>
      <c r="H887" s="3"/>
      <c r="AG887" s="91"/>
    </row>
    <row r="888" ht="15.75" customHeight="1">
      <c r="B888" s="3"/>
      <c r="C888" s="3"/>
      <c r="H888" s="3"/>
      <c r="AG888" s="91"/>
    </row>
    <row r="889" ht="15.75" customHeight="1">
      <c r="B889" s="3"/>
      <c r="C889" s="3"/>
      <c r="H889" s="3"/>
      <c r="AG889" s="91"/>
    </row>
    <row r="890" ht="15.75" customHeight="1">
      <c r="B890" s="3"/>
      <c r="C890" s="3"/>
      <c r="H890" s="3"/>
      <c r="AG890" s="91"/>
    </row>
    <row r="891" ht="15.75" customHeight="1">
      <c r="B891" s="3"/>
      <c r="C891" s="3"/>
      <c r="H891" s="3"/>
      <c r="AG891" s="91"/>
    </row>
    <row r="892" ht="15.75" customHeight="1">
      <c r="B892" s="3"/>
      <c r="C892" s="3"/>
      <c r="H892" s="3"/>
      <c r="AG892" s="91"/>
    </row>
    <row r="893" ht="15.75" customHeight="1">
      <c r="B893" s="3"/>
      <c r="C893" s="3"/>
      <c r="H893" s="3"/>
      <c r="AG893" s="91"/>
    </row>
    <row r="894" ht="15.75" customHeight="1">
      <c r="B894" s="3"/>
      <c r="C894" s="3"/>
      <c r="H894" s="3"/>
      <c r="AG894" s="91"/>
    </row>
    <row r="895" ht="15.75" customHeight="1">
      <c r="B895" s="3"/>
      <c r="C895" s="3"/>
      <c r="H895" s="3"/>
      <c r="AG895" s="91"/>
    </row>
    <row r="896" ht="15.75" customHeight="1">
      <c r="B896" s="3"/>
      <c r="C896" s="3"/>
      <c r="H896" s="3"/>
      <c r="AG896" s="91"/>
    </row>
    <row r="897" ht="15.75" customHeight="1">
      <c r="B897" s="3"/>
      <c r="C897" s="3"/>
      <c r="H897" s="3"/>
      <c r="AG897" s="91"/>
    </row>
    <row r="898" ht="15.75" customHeight="1">
      <c r="B898" s="3"/>
      <c r="C898" s="3"/>
      <c r="H898" s="3"/>
      <c r="AG898" s="91"/>
    </row>
    <row r="899" ht="15.75" customHeight="1">
      <c r="B899" s="3"/>
      <c r="C899" s="3"/>
      <c r="H899" s="3"/>
      <c r="AG899" s="91"/>
    </row>
    <row r="900" ht="15.75" customHeight="1">
      <c r="B900" s="3"/>
      <c r="C900" s="3"/>
      <c r="H900" s="3"/>
      <c r="AG900" s="91"/>
    </row>
    <row r="901" ht="15.75" customHeight="1">
      <c r="B901" s="3"/>
      <c r="C901" s="3"/>
      <c r="H901" s="3"/>
      <c r="AG901" s="91"/>
    </row>
    <row r="902" ht="15.75" customHeight="1">
      <c r="B902" s="3"/>
      <c r="C902" s="3"/>
      <c r="H902" s="3"/>
      <c r="AG902" s="91"/>
    </row>
    <row r="903" ht="15.75" customHeight="1">
      <c r="B903" s="3"/>
      <c r="C903" s="3"/>
      <c r="H903" s="3"/>
      <c r="AG903" s="91"/>
    </row>
    <row r="904" ht="15.75" customHeight="1">
      <c r="B904" s="3"/>
      <c r="C904" s="3"/>
      <c r="H904" s="3"/>
      <c r="AG904" s="91"/>
    </row>
    <row r="905" ht="15.75" customHeight="1">
      <c r="B905" s="3"/>
      <c r="C905" s="3"/>
      <c r="H905" s="3"/>
      <c r="AG905" s="91"/>
    </row>
    <row r="906" ht="15.75" customHeight="1">
      <c r="B906" s="3"/>
      <c r="C906" s="3"/>
      <c r="H906" s="3"/>
      <c r="AG906" s="91"/>
    </row>
    <row r="907" ht="15.75" customHeight="1">
      <c r="B907" s="3"/>
      <c r="C907" s="3"/>
      <c r="H907" s="3"/>
      <c r="AG907" s="91"/>
    </row>
    <row r="908" ht="15.75" customHeight="1">
      <c r="B908" s="3"/>
      <c r="C908" s="3"/>
      <c r="H908" s="3"/>
      <c r="AG908" s="91"/>
    </row>
    <row r="909" ht="15.75" customHeight="1">
      <c r="B909" s="3"/>
      <c r="C909" s="3"/>
      <c r="H909" s="3"/>
      <c r="AG909" s="91"/>
    </row>
    <row r="910" ht="15.75" customHeight="1">
      <c r="B910" s="3"/>
      <c r="C910" s="3"/>
      <c r="H910" s="3"/>
      <c r="AG910" s="91"/>
    </row>
    <row r="911" ht="15.75" customHeight="1">
      <c r="B911" s="3"/>
      <c r="C911" s="3"/>
      <c r="H911" s="3"/>
      <c r="AG911" s="91"/>
    </row>
    <row r="912" ht="15.75" customHeight="1">
      <c r="B912" s="3"/>
      <c r="C912" s="3"/>
      <c r="H912" s="3"/>
      <c r="AG912" s="91"/>
    </row>
    <row r="913" ht="15.75" customHeight="1">
      <c r="B913" s="3"/>
      <c r="C913" s="3"/>
      <c r="H913" s="3"/>
      <c r="AG913" s="91"/>
    </row>
    <row r="914" ht="15.75" customHeight="1">
      <c r="B914" s="3"/>
      <c r="C914" s="3"/>
      <c r="H914" s="3"/>
      <c r="AG914" s="91"/>
    </row>
    <row r="915" ht="15.75" customHeight="1">
      <c r="B915" s="3"/>
      <c r="C915" s="3"/>
      <c r="H915" s="3"/>
      <c r="AG915" s="91"/>
    </row>
    <row r="916" ht="15.75" customHeight="1">
      <c r="B916" s="3"/>
      <c r="C916" s="3"/>
      <c r="H916" s="3"/>
      <c r="AG916" s="91"/>
    </row>
    <row r="917" ht="15.75" customHeight="1">
      <c r="B917" s="3"/>
      <c r="C917" s="3"/>
      <c r="H917" s="3"/>
      <c r="AG917" s="91"/>
    </row>
    <row r="918" ht="15.75" customHeight="1">
      <c r="B918" s="3"/>
      <c r="C918" s="3"/>
      <c r="H918" s="3"/>
      <c r="AG918" s="91"/>
    </row>
    <row r="919" ht="15.75" customHeight="1">
      <c r="B919" s="3"/>
      <c r="C919" s="3"/>
      <c r="H919" s="3"/>
      <c r="AG919" s="91"/>
    </row>
    <row r="920" ht="15.75" customHeight="1">
      <c r="B920" s="3"/>
      <c r="C920" s="3"/>
      <c r="H920" s="3"/>
      <c r="AG920" s="91"/>
    </row>
    <row r="921" ht="15.75" customHeight="1">
      <c r="B921" s="3"/>
      <c r="C921" s="3"/>
      <c r="H921" s="3"/>
      <c r="AG921" s="91"/>
    </row>
    <row r="922" ht="15.75" customHeight="1">
      <c r="B922" s="3"/>
      <c r="C922" s="3"/>
      <c r="H922" s="3"/>
      <c r="AG922" s="91"/>
    </row>
    <row r="923" ht="15.75" customHeight="1">
      <c r="B923" s="3"/>
      <c r="C923" s="3"/>
      <c r="H923" s="3"/>
      <c r="AG923" s="91"/>
    </row>
    <row r="924" ht="15.75" customHeight="1">
      <c r="B924" s="3"/>
      <c r="C924" s="3"/>
      <c r="H924" s="3"/>
      <c r="AG924" s="91"/>
    </row>
    <row r="925" ht="15.75" customHeight="1">
      <c r="B925" s="3"/>
      <c r="C925" s="3"/>
      <c r="H925" s="3"/>
      <c r="AG925" s="91"/>
    </row>
    <row r="926" ht="15.75" customHeight="1">
      <c r="B926" s="3"/>
      <c r="C926" s="3"/>
      <c r="H926" s="3"/>
      <c r="AG926" s="91"/>
    </row>
    <row r="927" ht="15.75" customHeight="1">
      <c r="B927" s="3"/>
      <c r="C927" s="3"/>
      <c r="H927" s="3"/>
      <c r="AG927" s="91"/>
    </row>
    <row r="928" ht="15.75" customHeight="1">
      <c r="B928" s="3"/>
      <c r="C928" s="3"/>
      <c r="H928" s="3"/>
      <c r="AG928" s="91"/>
    </row>
    <row r="929" ht="15.75" customHeight="1">
      <c r="B929" s="3"/>
      <c r="C929" s="3"/>
      <c r="H929" s="3"/>
      <c r="AG929" s="91"/>
    </row>
    <row r="930" ht="15.75" customHeight="1">
      <c r="B930" s="3"/>
      <c r="C930" s="3"/>
      <c r="H930" s="3"/>
      <c r="AG930" s="91"/>
    </row>
    <row r="931" ht="15.75" customHeight="1">
      <c r="B931" s="3"/>
      <c r="C931" s="3"/>
      <c r="H931" s="3"/>
      <c r="AG931" s="91"/>
    </row>
    <row r="932" ht="15.75" customHeight="1">
      <c r="B932" s="3"/>
      <c r="C932" s="3"/>
      <c r="H932" s="3"/>
      <c r="AG932" s="91"/>
    </row>
    <row r="933" ht="15.75" customHeight="1">
      <c r="B933" s="3"/>
      <c r="C933" s="3"/>
      <c r="H933" s="3"/>
      <c r="AG933" s="91"/>
    </row>
    <row r="934" ht="15.75" customHeight="1">
      <c r="B934" s="3"/>
      <c r="C934" s="3"/>
      <c r="H934" s="3"/>
      <c r="AG934" s="91"/>
    </row>
    <row r="935" ht="15.75" customHeight="1">
      <c r="B935" s="3"/>
      <c r="C935" s="3"/>
      <c r="H935" s="3"/>
      <c r="AG935" s="91"/>
    </row>
    <row r="936" ht="15.75" customHeight="1">
      <c r="B936" s="3"/>
      <c r="C936" s="3"/>
      <c r="H936" s="3"/>
      <c r="AG936" s="91"/>
    </row>
    <row r="937" ht="15.75" customHeight="1">
      <c r="B937" s="3"/>
      <c r="C937" s="3"/>
      <c r="H937" s="3"/>
      <c r="AG937" s="91"/>
    </row>
    <row r="938" ht="15.75" customHeight="1">
      <c r="B938" s="3"/>
      <c r="C938" s="3"/>
      <c r="H938" s="3"/>
      <c r="AG938" s="91"/>
    </row>
    <row r="939" ht="15.75" customHeight="1">
      <c r="B939" s="3"/>
      <c r="C939" s="3"/>
      <c r="H939" s="3"/>
      <c r="AG939" s="91"/>
    </row>
    <row r="940" ht="15.75" customHeight="1">
      <c r="B940" s="3"/>
      <c r="C940" s="3"/>
      <c r="H940" s="3"/>
      <c r="AG940" s="91"/>
    </row>
    <row r="941" ht="15.75" customHeight="1">
      <c r="B941" s="3"/>
      <c r="C941" s="3"/>
      <c r="H941" s="3"/>
      <c r="AG941" s="91"/>
    </row>
    <row r="942" ht="15.75" customHeight="1">
      <c r="B942" s="3"/>
      <c r="C942" s="3"/>
      <c r="H942" s="3"/>
      <c r="AG942" s="91"/>
    </row>
    <row r="943" ht="15.75" customHeight="1">
      <c r="B943" s="3"/>
      <c r="C943" s="3"/>
      <c r="H943" s="3"/>
      <c r="AG943" s="91"/>
    </row>
    <row r="944" ht="15.75" customHeight="1">
      <c r="B944" s="3"/>
      <c r="C944" s="3"/>
      <c r="H944" s="3"/>
      <c r="AG944" s="91"/>
    </row>
    <row r="945" ht="15.75" customHeight="1">
      <c r="B945" s="3"/>
      <c r="C945" s="3"/>
      <c r="H945" s="3"/>
      <c r="AG945" s="91"/>
    </row>
    <row r="946" ht="15.75" customHeight="1">
      <c r="B946" s="3"/>
      <c r="C946" s="3"/>
      <c r="H946" s="3"/>
      <c r="AG946" s="91"/>
    </row>
    <row r="947" ht="15.75" customHeight="1">
      <c r="B947" s="3"/>
      <c r="C947" s="3"/>
      <c r="H947" s="3"/>
      <c r="AG947" s="91"/>
    </row>
    <row r="948" ht="15.75" customHeight="1">
      <c r="B948" s="3"/>
      <c r="C948" s="3"/>
      <c r="H948" s="3"/>
      <c r="AG948" s="91"/>
    </row>
    <row r="949" ht="15.75" customHeight="1">
      <c r="B949" s="3"/>
      <c r="C949" s="3"/>
      <c r="H949" s="3"/>
      <c r="AG949" s="91"/>
    </row>
    <row r="950" ht="15.75" customHeight="1">
      <c r="B950" s="3"/>
      <c r="C950" s="3"/>
      <c r="H950" s="3"/>
      <c r="AG950" s="91"/>
    </row>
    <row r="951" ht="15.75" customHeight="1">
      <c r="B951" s="3"/>
      <c r="C951" s="3"/>
      <c r="H951" s="3"/>
      <c r="AG951" s="91"/>
    </row>
    <row r="952" ht="15.75" customHeight="1">
      <c r="B952" s="3"/>
      <c r="C952" s="3"/>
      <c r="H952" s="3"/>
      <c r="AG952" s="91"/>
    </row>
    <row r="953" ht="15.75" customHeight="1">
      <c r="B953" s="3"/>
      <c r="C953" s="3"/>
      <c r="H953" s="3"/>
      <c r="AG953" s="91"/>
    </row>
    <row r="954" ht="15.75" customHeight="1">
      <c r="B954" s="3"/>
      <c r="C954" s="3"/>
      <c r="H954" s="3"/>
      <c r="AG954" s="91"/>
    </row>
    <row r="955" ht="15.75" customHeight="1">
      <c r="B955" s="3"/>
      <c r="C955" s="3"/>
      <c r="H955" s="3"/>
      <c r="AG955" s="91"/>
    </row>
    <row r="956" ht="15.75" customHeight="1">
      <c r="B956" s="3"/>
      <c r="C956" s="3"/>
      <c r="H956" s="3"/>
      <c r="AG956" s="91"/>
    </row>
    <row r="957" ht="15.75" customHeight="1">
      <c r="B957" s="3"/>
      <c r="C957" s="3"/>
      <c r="H957" s="3"/>
      <c r="AG957" s="91"/>
    </row>
    <row r="958" ht="15.75" customHeight="1">
      <c r="B958" s="3"/>
      <c r="C958" s="3"/>
      <c r="H958" s="3"/>
      <c r="AG958" s="91"/>
    </row>
    <row r="959" ht="15.75" customHeight="1">
      <c r="B959" s="3"/>
      <c r="C959" s="3"/>
      <c r="H959" s="3"/>
      <c r="AG959" s="91"/>
    </row>
    <row r="960" ht="15.75" customHeight="1">
      <c r="B960" s="3"/>
      <c r="C960" s="3"/>
      <c r="H960" s="3"/>
      <c r="AG960" s="91"/>
    </row>
    <row r="961" ht="15.75" customHeight="1">
      <c r="B961" s="3"/>
      <c r="C961" s="3"/>
      <c r="H961" s="3"/>
      <c r="AG961" s="91"/>
    </row>
    <row r="962" ht="15.75" customHeight="1">
      <c r="B962" s="3"/>
      <c r="C962" s="3"/>
      <c r="H962" s="3"/>
      <c r="AG962" s="91"/>
    </row>
    <row r="963" ht="15.75" customHeight="1">
      <c r="B963" s="3"/>
      <c r="C963" s="3"/>
      <c r="H963" s="3"/>
      <c r="AG963" s="91"/>
    </row>
    <row r="964" ht="15.75" customHeight="1">
      <c r="B964" s="3"/>
      <c r="C964" s="3"/>
      <c r="H964" s="3"/>
      <c r="AG964" s="91"/>
    </row>
    <row r="965" ht="15.75" customHeight="1">
      <c r="B965" s="3"/>
      <c r="C965" s="3"/>
      <c r="H965" s="3"/>
      <c r="AG965" s="91"/>
    </row>
    <row r="966" ht="15.75" customHeight="1">
      <c r="B966" s="3"/>
      <c r="C966" s="3"/>
      <c r="H966" s="3"/>
      <c r="AG966" s="91"/>
    </row>
    <row r="967" ht="15.75" customHeight="1">
      <c r="B967" s="3"/>
      <c r="C967" s="3"/>
      <c r="H967" s="3"/>
      <c r="AG967" s="91"/>
    </row>
    <row r="968" ht="15.75" customHeight="1">
      <c r="B968" s="3"/>
      <c r="C968" s="3"/>
      <c r="H968" s="3"/>
      <c r="AG968" s="91"/>
    </row>
    <row r="969" ht="15.75" customHeight="1">
      <c r="B969" s="3"/>
      <c r="C969" s="3"/>
      <c r="H969" s="3"/>
      <c r="AG969" s="91"/>
    </row>
    <row r="970" ht="15.75" customHeight="1">
      <c r="B970" s="3"/>
      <c r="C970" s="3"/>
      <c r="H970" s="3"/>
      <c r="AG970" s="91"/>
    </row>
    <row r="971" ht="15.75" customHeight="1">
      <c r="B971" s="3"/>
      <c r="C971" s="3"/>
      <c r="H971" s="3"/>
      <c r="AG971" s="91"/>
    </row>
    <row r="972" ht="15.75" customHeight="1">
      <c r="B972" s="3"/>
      <c r="C972" s="3"/>
      <c r="H972" s="3"/>
      <c r="AG972" s="91"/>
    </row>
    <row r="973" ht="15.75" customHeight="1">
      <c r="B973" s="3"/>
      <c r="C973" s="3"/>
      <c r="H973" s="3"/>
      <c r="AG973" s="91"/>
    </row>
    <row r="974" ht="15.75" customHeight="1">
      <c r="B974" s="3"/>
      <c r="C974" s="3"/>
      <c r="H974" s="3"/>
      <c r="AG974" s="91"/>
    </row>
    <row r="975" ht="15.75" customHeight="1">
      <c r="B975" s="3"/>
      <c r="C975" s="3"/>
      <c r="H975" s="3"/>
      <c r="AG975" s="91"/>
    </row>
    <row r="976" ht="15.75" customHeight="1">
      <c r="B976" s="3"/>
      <c r="C976" s="3"/>
      <c r="H976" s="3"/>
      <c r="AG976" s="91"/>
    </row>
    <row r="977" ht="15.75" customHeight="1">
      <c r="B977" s="3"/>
      <c r="C977" s="3"/>
      <c r="H977" s="3"/>
      <c r="AG977" s="91"/>
    </row>
    <row r="978" ht="15.75" customHeight="1">
      <c r="B978" s="3"/>
      <c r="C978" s="3"/>
      <c r="H978" s="3"/>
      <c r="AG978" s="91"/>
    </row>
    <row r="979" ht="15.75" customHeight="1">
      <c r="B979" s="3"/>
      <c r="C979" s="3"/>
      <c r="H979" s="3"/>
      <c r="AG979" s="91"/>
    </row>
    <row r="980" ht="15.75" customHeight="1">
      <c r="B980" s="3"/>
      <c r="C980" s="3"/>
      <c r="H980" s="3"/>
      <c r="AG980" s="91"/>
    </row>
    <row r="981" ht="15.75" customHeight="1">
      <c r="B981" s="3"/>
      <c r="C981" s="3"/>
      <c r="H981" s="3"/>
      <c r="AG981" s="91"/>
    </row>
    <row r="982" ht="15.75" customHeight="1">
      <c r="B982" s="3"/>
      <c r="C982" s="3"/>
      <c r="H982" s="3"/>
      <c r="AG982" s="91"/>
    </row>
    <row r="983" ht="15.75" customHeight="1">
      <c r="B983" s="3"/>
      <c r="C983" s="3"/>
      <c r="H983" s="3"/>
      <c r="AG983" s="91"/>
    </row>
    <row r="984" ht="15.75" customHeight="1">
      <c r="B984" s="3"/>
      <c r="C984" s="3"/>
      <c r="H984" s="3"/>
      <c r="AG984" s="91"/>
    </row>
    <row r="985" ht="15.75" customHeight="1">
      <c r="B985" s="3"/>
      <c r="C985" s="3"/>
      <c r="H985" s="3"/>
      <c r="AG985" s="91"/>
    </row>
    <row r="986" ht="15.75" customHeight="1">
      <c r="B986" s="3"/>
      <c r="C986" s="3"/>
      <c r="H986" s="3"/>
      <c r="AG986" s="91"/>
    </row>
    <row r="987" ht="15.75" customHeight="1">
      <c r="B987" s="3"/>
      <c r="C987" s="3"/>
      <c r="H987" s="3"/>
      <c r="AG987" s="91"/>
    </row>
    <row r="988" ht="15.75" customHeight="1">
      <c r="B988" s="3"/>
      <c r="C988" s="3"/>
      <c r="H988" s="3"/>
      <c r="AG988" s="91"/>
    </row>
    <row r="989" ht="15.75" customHeight="1">
      <c r="B989" s="3"/>
      <c r="C989" s="3"/>
      <c r="H989" s="3"/>
      <c r="AG989" s="91"/>
    </row>
    <row r="990" ht="15.75" customHeight="1">
      <c r="B990" s="3"/>
      <c r="C990" s="3"/>
      <c r="H990" s="3"/>
      <c r="AG990" s="91"/>
    </row>
    <row r="991" ht="15.75" customHeight="1">
      <c r="B991" s="3"/>
      <c r="C991" s="3"/>
      <c r="H991" s="3"/>
      <c r="AG991" s="91"/>
    </row>
    <row r="992" ht="15.75" customHeight="1">
      <c r="B992" s="3"/>
      <c r="C992" s="3"/>
      <c r="H992" s="3"/>
      <c r="AG992" s="91"/>
    </row>
    <row r="993" ht="15.75" customHeight="1">
      <c r="B993" s="3"/>
      <c r="C993" s="3"/>
      <c r="H993" s="3"/>
      <c r="AG993" s="91"/>
    </row>
    <row r="994" ht="15.75" customHeight="1">
      <c r="B994" s="3"/>
      <c r="C994" s="3"/>
      <c r="H994" s="3"/>
      <c r="AG994" s="91"/>
    </row>
    <row r="995" ht="15.75" customHeight="1">
      <c r="B995" s="3"/>
      <c r="C995" s="3"/>
      <c r="H995" s="3"/>
      <c r="AG995" s="91"/>
    </row>
    <row r="996" ht="15.75" customHeight="1">
      <c r="B996" s="3"/>
      <c r="C996" s="3"/>
      <c r="H996" s="3"/>
      <c r="AG996" s="91"/>
    </row>
    <row r="997" ht="15.75" customHeight="1">
      <c r="B997" s="3"/>
      <c r="C997" s="3"/>
      <c r="H997" s="3"/>
      <c r="AG997" s="91"/>
    </row>
    <row r="998" ht="15.75" customHeight="1">
      <c r="B998" s="3"/>
      <c r="C998" s="3"/>
      <c r="H998" s="3"/>
      <c r="AG998" s="91"/>
    </row>
    <row r="999" ht="15.75" customHeight="1">
      <c r="B999" s="3"/>
      <c r="C999" s="3"/>
      <c r="H999" s="3"/>
      <c r="AG999" s="91"/>
    </row>
    <row r="1000" ht="15.75" customHeight="1">
      <c r="B1000" s="3"/>
      <c r="C1000" s="3"/>
      <c r="H1000" s="3"/>
      <c r="AG1000" s="91"/>
    </row>
  </sheetData>
  <autoFilter ref="$A$3:$AO$121"/>
  <mergeCells count="2">
    <mergeCell ref="AV5:BD5"/>
    <mergeCell ref="AV20:BA20"/>
  </mergeCells>
  <printOptions/>
  <pageMargins bottom="0.75" footer="0.0" header="0.0" left="0.7" right="0.7" top="0.75"/>
  <pageSetup fitToHeight="0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43"/>
    <col customWidth="1" min="3" max="3" width="11.71"/>
    <col customWidth="1" min="4" max="4" width="42.57"/>
    <col customWidth="1" min="5" max="5" width="13.14"/>
    <col customWidth="1" min="6" max="6" width="15.29"/>
    <col customWidth="1" min="7" max="7" width="13.29"/>
    <col customWidth="1" min="8" max="8" width="11.43"/>
    <col customWidth="1" min="9" max="9" width="11.57"/>
    <col customWidth="1" min="10" max="10" width="10.71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7.71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3"/>
      <c r="C1" s="3"/>
      <c r="D1" s="97" t="s">
        <v>540</v>
      </c>
      <c r="E1" s="98">
        <f>+AI3</f>
        <v>4356.509</v>
      </c>
      <c r="F1" s="97" t="s">
        <v>241</v>
      </c>
      <c r="G1" s="98">
        <f>+$AM3</f>
        <v>427530.7511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22"/>
      <c r="C2" s="3"/>
      <c r="D2" s="97" t="s">
        <v>242</v>
      </c>
      <c r="E2" s="98">
        <f>+AH3</f>
        <v>4034.222</v>
      </c>
      <c r="F2" s="99" t="s">
        <v>243</v>
      </c>
      <c r="G2" s="100">
        <f>+Q2</f>
        <v>92.9009695</v>
      </c>
      <c r="H2" s="13"/>
      <c r="I2" s="184">
        <f>SUBTOTAL(9,I4:I812)</f>
        <v>411.38</v>
      </c>
      <c r="J2" s="4"/>
      <c r="K2" s="14">
        <f>SUBTOTAL(9,K4:K812)</f>
        <v>379.852</v>
      </c>
      <c r="L2" s="126">
        <f>+SUMPRODUCT(L5:L812,K5:K812)/K2</f>
        <v>0.3345147452</v>
      </c>
      <c r="M2" s="2"/>
      <c r="O2" s="6"/>
      <c r="P2" s="16">
        <f>+SUMPRODUCT(P4:P812,AH4:AH812)/SUM(AH4:AH812)</f>
        <v>87.92997064</v>
      </c>
      <c r="Q2" s="16">
        <f>+SUMPRODUCT(Q4:Q812,AH4:AH812)/SUM(AH4:AH812)</f>
        <v>92.9009695</v>
      </c>
      <c r="R2" s="12">
        <f>+SUMPRODUCT(R4:R812,AH4:AH812)/SUM(AH4:AH812)</f>
        <v>4375.856617</v>
      </c>
      <c r="S2" s="2"/>
      <c r="AB2" s="7"/>
      <c r="AC2" s="7"/>
      <c r="AD2" s="7"/>
      <c r="AE2" s="7"/>
      <c r="AF2" s="7"/>
      <c r="AG2" s="17">
        <f>SUMPRODUCT($AG4:$AG812,$K4:$K812)/SUM($K4:$K812)</f>
        <v>202.5019409</v>
      </c>
      <c r="AH2" s="18"/>
      <c r="AI2" s="2"/>
      <c r="AJ2" s="19">
        <v>5090.0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3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SUBTOTAL(9,AH4:AH812)</f>
        <v>4034.222</v>
      </c>
      <c r="AI3" s="186">
        <f t="shared" si="1"/>
        <v>4356.509</v>
      </c>
      <c r="AJ3" s="187">
        <f>SUMPRODUCT(K4:K812,AJ4:AJ812)/K2</f>
        <v>257.682519</v>
      </c>
      <c r="AK3" s="39">
        <f>SUBTOTAL(9,AK4:AK812)</f>
        <v>3679.012929</v>
      </c>
      <c r="AL3" s="11"/>
      <c r="AM3" s="39">
        <f>SUBTOTAL(9,AM4:AM812)</f>
        <v>427530.7511</v>
      </c>
      <c r="AN3" s="127" t="s">
        <v>542</v>
      </c>
      <c r="AO3" s="128" t="s">
        <v>543</v>
      </c>
      <c r="AP3" s="57" t="s">
        <v>544</v>
      </c>
      <c r="AQ3" s="57" t="s">
        <v>545</v>
      </c>
      <c r="AS3" s="129"/>
    </row>
    <row r="4" ht="15.75" customHeight="1">
      <c r="A4" s="41"/>
      <c r="B4" s="43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92" t="s">
        <v>2640</v>
      </c>
      <c r="B5" s="116"/>
      <c r="C5" s="182">
        <v>45947.0</v>
      </c>
      <c r="D5" s="57" t="s">
        <v>306</v>
      </c>
      <c r="E5" s="3">
        <f t="array" ref="E5">XLOOKUP(D5,RUC!$B$3:$B$110,RUC!$D$3:$D$110)</f>
        <v>20612921866</v>
      </c>
      <c r="G5" s="141">
        <v>65.0</v>
      </c>
      <c r="H5" s="3" t="s">
        <v>47</v>
      </c>
      <c r="I5" s="6">
        <v>6.35</v>
      </c>
      <c r="J5" s="58">
        <v>1.1</v>
      </c>
      <c r="K5" s="6">
        <f t="shared" ref="K5:K18" si="2">ROUND(+I5-(I5*(J5/100)),3)</f>
        <v>6.28</v>
      </c>
      <c r="L5" s="467">
        <v>0.03</v>
      </c>
      <c r="M5" s="60">
        <v>0.015</v>
      </c>
      <c r="N5" s="62">
        <f t="shared" ref="N5:N15" si="3">+M5</f>
        <v>0.015</v>
      </c>
      <c r="O5" s="60">
        <f t="shared" ref="O5:O18" si="4">+ROUND((M5+N5)/2,3)</f>
        <v>0.015</v>
      </c>
      <c r="P5" s="63">
        <v>90.0</v>
      </c>
      <c r="Q5" s="58">
        <v>90.0</v>
      </c>
      <c r="R5" s="65">
        <v>4224.75</v>
      </c>
      <c r="S5" s="66">
        <f t="array" ref="S5">IF((XLOOKUP(D5,RUC!$B$3:$B$106,RUC!$E$3:$E$106)+ROUNDDOWN(O5,1)*100)&lt;95,95,((XLOOKUP(D5,RUC!$B$3:$B$106,RUC!$E$3:$E$106)+ROUNDDOWN(O5,1)*100)))</f>
        <v>95</v>
      </c>
      <c r="U5" s="67">
        <f t="array" ref="U5">XLOOKUP(D5,RUC!$B$3:$B$110,RUC!$F$3:$F$110)</f>
        <v>100</v>
      </c>
      <c r="V5" s="67">
        <v>1.1023</v>
      </c>
      <c r="Y5" s="57" t="str">
        <f t="array" ref="Y5">XLOOKUP(D5,RUC!$B$3:$B$110,RUC!$G$3:$G$110)</f>
        <v/>
      </c>
      <c r="Z5" s="69">
        <f t="array" ref="Z5">XLOOKUP(D5,RUC!$B$3:$B$110,RUC!$H$3:$H$110)</f>
        <v>30</v>
      </c>
      <c r="AA5" s="70">
        <f t="shared" ref="AA5:AA18" si="5">+Y5+Z5</f>
        <v>30</v>
      </c>
      <c r="AB5" s="71">
        <f>+((O5*P5*(R5-U5)/100)-S5-AA5+T5)*V5</f>
        <v>-76.40688901</v>
      </c>
      <c r="AC5" s="71">
        <f>+(S5-T5)*V5-'data 1'!$F$4</f>
        <v>24.7185</v>
      </c>
      <c r="AD5" s="71">
        <f t="shared" ref="AD5:AD18" si="6">+(Q5-P5)*(R5-U5)*L5*V5/100</f>
        <v>0</v>
      </c>
      <c r="AE5" s="71">
        <f t="shared" ref="AE5:AE18" si="7">+(Y5*V5-70)+V5*(Z5-IF(D5="UNTUCA",IF(+((W5-3)*2.5+(X5-3)*3.1)&gt;0,+((W5-3)*1.5+(X5-3)*3.1),0),IF(+((W5-3)*1.5+(X5-3)*3.1)&gt;0,+((W5-3)*1.5+(X5-3)*3.1),0)))</f>
        <v>-36.931</v>
      </c>
      <c r="AF5" s="71">
        <f t="shared" ref="AF5:AF18" si="8">(L5-O5)*(R5-U5)*Q5*V5/100</f>
        <v>61.38061099</v>
      </c>
      <c r="AG5" s="72">
        <f>AC5+AD5+AE5+AF5+70-10</f>
        <v>109.168111</v>
      </c>
      <c r="AH5" s="193">
        <f t="shared" ref="AH5:AH18" si="9">ROUND((31.1035*L5*Q5*1.1023*K5/100),3)</f>
        <v>5.813</v>
      </c>
      <c r="AI5" s="193">
        <f t="shared" ref="AI5:AI18" si="10">ROUND((31.1035*L5*1.1023*K5),3)</f>
        <v>6.459</v>
      </c>
      <c r="AJ5" s="73">
        <f t="shared" ref="AJ5:AJ18" si="11">+((+$AJ$2-R5+U5)*L5*Q5*V5)/100</f>
        <v>28.72786703</v>
      </c>
      <c r="AK5" s="73">
        <f t="shared" ref="AK5:AK18" si="12">31.1035*1.1023*K5*P5*O5/100</f>
        <v>2.906715199</v>
      </c>
      <c r="AL5" s="11"/>
      <c r="AM5" s="51">
        <f t="shared" ref="AM5:AM18" si="13">+IF(AB5*K5&gt;0,AB5*K5,0)</f>
        <v>0</v>
      </c>
      <c r="AN5" s="51" t="str">
        <f t="array" ref="AN5">XLOOKUP(D5,RUC!$B$3:$B$565,RUC!$M$3:$M$565)</f>
        <v>Ronald Garibay</v>
      </c>
      <c r="AO5" s="131" t="s">
        <v>547</v>
      </c>
      <c r="AP5" s="57" t="s">
        <v>2234</v>
      </c>
      <c r="AQ5" s="57" t="s">
        <v>2235</v>
      </c>
      <c r="AV5" s="149" t="s">
        <v>2641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92" t="s">
        <v>2642</v>
      </c>
      <c r="B6" s="3"/>
      <c r="C6" s="182">
        <v>45994.0</v>
      </c>
      <c r="D6" s="57" t="s">
        <v>306</v>
      </c>
      <c r="E6" s="3">
        <f t="array" ref="E6">XLOOKUP(D6,RUC!$B$3:$B$110,RUC!$D$3:$D$110)</f>
        <v>20612921866</v>
      </c>
      <c r="G6" s="141" t="s">
        <v>735</v>
      </c>
      <c r="H6" s="3" t="s">
        <v>47</v>
      </c>
      <c r="I6" s="6">
        <v>16.23</v>
      </c>
      <c r="J6" s="57">
        <v>2.3</v>
      </c>
      <c r="K6" s="6">
        <f t="shared" si="2"/>
        <v>15.857</v>
      </c>
      <c r="L6" s="141">
        <v>0.099</v>
      </c>
      <c r="M6" s="60">
        <f t="shared" ref="M6:M15" si="14">ROUND(+IF(AN6="Melchor Vera",IF(L6&gt;0.467,L6*0.985,(L6-0.007)),IF(L6&gt;0.3,L6*0.94,(L6-0.018))),3)</f>
        <v>0.081</v>
      </c>
      <c r="N6" s="62">
        <f t="shared" si="3"/>
        <v>0.081</v>
      </c>
      <c r="O6" s="60">
        <f t="shared" si="4"/>
        <v>0.081</v>
      </c>
      <c r="P6" s="63">
        <v>90.0</v>
      </c>
      <c r="Q6" s="58">
        <v>95.45</v>
      </c>
      <c r="R6" s="65">
        <v>4210.3</v>
      </c>
      <c r="S6" s="66">
        <f t="array" ref="S6">IF((XLOOKUP(D6,RUC!$B$3:$B$106,RUC!$E$3:$E$106)+ROUNDDOWN(O6,1)*100)&lt;95,95,((XLOOKUP(D6,RUC!$B$3:$B$106,RUC!$E$3:$E$106)+ROUNDDOWN(O6,1)*100)))</f>
        <v>95</v>
      </c>
      <c r="U6" s="67">
        <f t="array" ref="U6">XLOOKUP(D6,RUC!$B$3:$B$110,RUC!$F$3:$F$110)</f>
        <v>100</v>
      </c>
      <c r="V6" s="67">
        <v>1.1023</v>
      </c>
      <c r="Y6" s="57" t="str">
        <f t="array" ref="Y6">XLOOKUP(D6,RUC!$B$3:$B$110,RUC!$G$3:$G$110)</f>
        <v/>
      </c>
      <c r="Z6" s="69">
        <f t="array" ref="Z6">XLOOKUP(D6,RUC!$B$3:$B$110,RUC!$H$3:$H$110)</f>
        <v>30</v>
      </c>
      <c r="AA6" s="70">
        <f t="shared" si="5"/>
        <v>30</v>
      </c>
      <c r="AB6" s="71">
        <v>0.0</v>
      </c>
      <c r="AC6" s="71">
        <f>+(S6-T6)*V6-'data 1'!$F$4</f>
        <v>24.7185</v>
      </c>
      <c r="AD6" s="71">
        <f t="shared" si="6"/>
        <v>24.4458434</v>
      </c>
      <c r="AE6" s="71">
        <f t="shared" si="7"/>
        <v>-36.931</v>
      </c>
      <c r="AF6" s="71">
        <f t="shared" si="8"/>
        <v>77.84339458</v>
      </c>
      <c r="AG6" s="72">
        <f>AC6+AD6+AE6+AF6+70-10+129.51</f>
        <v>279.586738</v>
      </c>
      <c r="AH6" s="193">
        <f t="shared" si="9"/>
        <v>51.374</v>
      </c>
      <c r="AI6" s="193">
        <f t="shared" si="10"/>
        <v>53.823</v>
      </c>
      <c r="AJ6" s="73">
        <f t="shared" si="11"/>
        <v>102.0478931</v>
      </c>
      <c r="AK6" s="73">
        <f t="shared" si="12"/>
        <v>39.63306174</v>
      </c>
      <c r="AL6" s="11"/>
      <c r="AM6" s="51">
        <f t="shared" si="13"/>
        <v>0</v>
      </c>
      <c r="AN6" s="51" t="str">
        <f t="array" ref="AN6">XLOOKUP(D6,RUC!$B$3:$B$565,RUC!$M$3:$M$565)</f>
        <v>Ronald Garibay</v>
      </c>
      <c r="AO6" s="131" t="s">
        <v>558</v>
      </c>
      <c r="AP6" s="57" t="s">
        <v>867</v>
      </c>
      <c r="AQ6" s="57" t="s">
        <v>2643</v>
      </c>
      <c r="AV6" s="131"/>
      <c r="AW6" s="131"/>
      <c r="AX6" s="131"/>
      <c r="AY6" s="131"/>
      <c r="AZ6" s="131"/>
      <c r="BA6" s="131"/>
      <c r="BB6" s="131"/>
      <c r="BC6" s="131"/>
      <c r="BD6" s="131"/>
    </row>
    <row r="7" ht="15.0" customHeight="1">
      <c r="A7" s="116" t="s">
        <v>2644</v>
      </c>
      <c r="B7" s="182">
        <v>46005.0</v>
      </c>
      <c r="C7" s="182">
        <v>45996.0</v>
      </c>
      <c r="D7" s="57" t="s">
        <v>602</v>
      </c>
      <c r="E7" s="3">
        <f t="array" ref="E7">XLOOKUP(D7,RUC!$B$3:$B$110,RUC!$D$3:$D$110)</f>
        <v>20169040231</v>
      </c>
      <c r="G7" s="141">
        <v>96.0</v>
      </c>
      <c r="H7" s="3" t="s">
        <v>47</v>
      </c>
      <c r="I7" s="6">
        <v>8.77</v>
      </c>
      <c r="J7" s="58">
        <v>1.2</v>
      </c>
      <c r="K7" s="6">
        <f t="shared" si="2"/>
        <v>8.665</v>
      </c>
      <c r="L7" s="139">
        <v>2.36</v>
      </c>
      <c r="M7" s="60">
        <f t="shared" si="14"/>
        <v>2.218</v>
      </c>
      <c r="N7" s="62">
        <f t="shared" si="3"/>
        <v>2.218</v>
      </c>
      <c r="O7" s="60">
        <f t="shared" si="4"/>
        <v>2.218</v>
      </c>
      <c r="P7" s="63">
        <v>85.0</v>
      </c>
      <c r="Q7" s="58">
        <v>85.51</v>
      </c>
      <c r="R7" s="65">
        <v>4243.0</v>
      </c>
      <c r="S7" s="66">
        <f t="array" ref="S7">IF((XLOOKUP(D7,RUC!$B$3:$B$106,RUC!$E$3:$E$106)+ROUNDDOWN(O7,1)*100)&lt;95,95,((XLOOKUP(D7,RUC!$B$3:$B$106,RUC!$E$3:$E$106)+ROUNDDOWN(O7,1)*100)))</f>
        <v>305</v>
      </c>
      <c r="U7" s="67">
        <f t="array" ref="U7">XLOOKUP(D7,RUC!$B$3:$B$110,RUC!$F$3:$F$110)</f>
        <v>120</v>
      </c>
      <c r="V7" s="67">
        <v>1.1023</v>
      </c>
      <c r="Y7" s="57">
        <f t="array" ref="Y7">XLOOKUP(D7,RUC!$B$3:$B$110,RUC!$G$3:$G$110)</f>
        <v>20</v>
      </c>
      <c r="Z7" s="140">
        <v>35.0</v>
      </c>
      <c r="AA7" s="70">
        <f t="shared" si="5"/>
        <v>55</v>
      </c>
      <c r="AB7" s="71">
        <f>+((O7*P7*(R7-U7)/100)-S7-AA7+T7)*V7</f>
        <v>8171.451201</v>
      </c>
      <c r="AC7" s="71">
        <f>+(S7-T7)*V7-'data 1'!$F$4</f>
        <v>256.2015</v>
      </c>
      <c r="AD7" s="71">
        <f t="shared" si="6"/>
        <v>54.70100698</v>
      </c>
      <c r="AE7" s="71">
        <f t="shared" si="7"/>
        <v>-9.3735</v>
      </c>
      <c r="AF7" s="71">
        <f t="shared" si="8"/>
        <v>551.8466278</v>
      </c>
      <c r="AG7" s="72">
        <f>AC7+AD7+AE7+AF7+70-53</f>
        <v>870.3756348</v>
      </c>
      <c r="AH7" s="193">
        <f t="shared" si="9"/>
        <v>599.524</v>
      </c>
      <c r="AI7" s="193">
        <f t="shared" si="10"/>
        <v>701.116</v>
      </c>
      <c r="AJ7" s="73">
        <f t="shared" si="11"/>
        <v>2151.073207</v>
      </c>
      <c r="AK7" s="73">
        <f t="shared" si="12"/>
        <v>560.0903677</v>
      </c>
      <c r="AM7" s="51">
        <f t="shared" si="13"/>
        <v>70805.62466</v>
      </c>
      <c r="AN7" s="51" t="str">
        <f t="array" ref="AN7">XLOOKUP(D7,RUC!$B$3:$B$565,RUC!$M$3:$M$565)</f>
        <v>Ronald Miranda</v>
      </c>
      <c r="AO7" s="131" t="s">
        <v>551</v>
      </c>
      <c r="AP7" s="57" t="s">
        <v>2338</v>
      </c>
      <c r="AQ7" s="57" t="s">
        <v>2339</v>
      </c>
      <c r="AW7" s="195">
        <f>SUM(AW9:AW18)</f>
        <v>379.852</v>
      </c>
      <c r="AX7" s="196">
        <f>SUMPRODUCT(AW9:AW18,AX9:AX18)/SUM(AW9:AW18)</f>
        <v>0.3345147452</v>
      </c>
      <c r="AY7" s="197"/>
      <c r="AZ7" s="198">
        <f>SUMPRODUCT(AZ9:AZ18,$BB9:$BB18)/SUM($BB9:$BB18)/100</f>
        <v>0.929009695</v>
      </c>
      <c r="BA7" s="82">
        <f t="shared" ref="BA7:BB7" si="15">SUM(BA9:BA18)</f>
        <v>4356.510375</v>
      </c>
      <c r="BB7" s="82">
        <f t="shared" si="15"/>
        <v>4034.222</v>
      </c>
    </row>
    <row r="8" ht="15.0" customHeight="1">
      <c r="A8" s="192" t="s">
        <v>2645</v>
      </c>
      <c r="B8" s="3"/>
      <c r="C8" s="182">
        <v>46007.0</v>
      </c>
      <c r="D8" s="57" t="s">
        <v>306</v>
      </c>
      <c r="E8" s="3">
        <f t="array" ref="E8">XLOOKUP(D8,RUC!$B$3:$B$110,RUC!$D$3:$D$110)</f>
        <v>20612921866</v>
      </c>
      <c r="G8" s="141" t="s">
        <v>735</v>
      </c>
      <c r="H8" s="3" t="s">
        <v>47</v>
      </c>
      <c r="I8" s="6">
        <v>8.77</v>
      </c>
      <c r="J8" s="58">
        <v>1.25</v>
      </c>
      <c r="K8" s="6">
        <f t="shared" si="2"/>
        <v>8.66</v>
      </c>
      <c r="L8" s="139">
        <v>0.07</v>
      </c>
      <c r="M8" s="60">
        <f t="shared" si="14"/>
        <v>0.052</v>
      </c>
      <c r="N8" s="62">
        <f t="shared" si="3"/>
        <v>0.052</v>
      </c>
      <c r="O8" s="60">
        <f t="shared" si="4"/>
        <v>0.052</v>
      </c>
      <c r="P8" s="63">
        <v>90.0</v>
      </c>
      <c r="Q8" s="58">
        <v>92.86</v>
      </c>
      <c r="R8" s="65">
        <v>4324.2</v>
      </c>
      <c r="S8" s="66">
        <f t="array" ref="S8">IF((XLOOKUP(D8,RUC!$B$3:$B$106,RUC!$E$3:$E$106)+ROUNDDOWN(O8,1)*100)&lt;95,95,((XLOOKUP(D8,RUC!$B$3:$B$106,RUC!$E$3:$E$106)+ROUNDDOWN(O8,1)*100)))</f>
        <v>95</v>
      </c>
      <c r="U8" s="67">
        <f t="array" ref="U8">XLOOKUP(D8,RUC!$B$3:$B$110,RUC!$F$3:$F$110)</f>
        <v>100</v>
      </c>
      <c r="V8" s="67">
        <v>1.1023</v>
      </c>
      <c r="Y8" s="57" t="str">
        <f t="array" ref="Y8">XLOOKUP(D8,RUC!$B$3:$B$110,RUC!$G$3:$G$110)</f>
        <v/>
      </c>
      <c r="Z8" s="69">
        <f t="array" ref="Z8">XLOOKUP(D8,RUC!$B$3:$B$110,RUC!$H$3:$H$110)</f>
        <v>30</v>
      </c>
      <c r="AA8" s="70">
        <f t="shared" si="5"/>
        <v>30</v>
      </c>
      <c r="AB8" s="71">
        <v>0.0</v>
      </c>
      <c r="AC8" s="71">
        <f>+(S8-T8)*V8-'data 1'!$F$4</f>
        <v>24.7185</v>
      </c>
      <c r="AD8" s="71">
        <f t="shared" si="6"/>
        <v>9.321983991</v>
      </c>
      <c r="AE8" s="71">
        <f t="shared" si="7"/>
        <v>-36.931</v>
      </c>
      <c r="AF8" s="71">
        <f t="shared" si="8"/>
        <v>77.82971929</v>
      </c>
      <c r="AG8" s="72">
        <f>AC8+AD8+AE8+AF8+70-10+80.13</f>
        <v>215.0692033</v>
      </c>
      <c r="AH8" s="193">
        <f t="shared" si="9"/>
        <v>19.3</v>
      </c>
      <c r="AI8" s="193">
        <f t="shared" si="10"/>
        <v>20.784</v>
      </c>
      <c r="AJ8" s="73">
        <f t="shared" si="11"/>
        <v>62.03604584</v>
      </c>
      <c r="AK8" s="73">
        <f t="shared" si="12"/>
        <v>13.89545635</v>
      </c>
      <c r="AM8" s="51">
        <f t="shared" si="13"/>
        <v>0</v>
      </c>
      <c r="AN8" s="51" t="str">
        <f t="array" ref="AN8">XLOOKUP(D8,RUC!$B$3:$B$565,RUC!$M$3:$M$565)</f>
        <v>Ronald Garibay</v>
      </c>
      <c r="AO8" s="131" t="s">
        <v>547</v>
      </c>
      <c r="AP8" s="57" t="s">
        <v>2646</v>
      </c>
      <c r="AQ8" s="2" t="s">
        <v>2647</v>
      </c>
      <c r="AV8" s="3"/>
      <c r="AW8" s="3" t="s">
        <v>14</v>
      </c>
      <c r="AX8" s="3" t="s">
        <v>683</v>
      </c>
      <c r="AY8" s="143" t="s">
        <v>683</v>
      </c>
      <c r="AZ8" s="3" t="s">
        <v>685</v>
      </c>
      <c r="BA8" s="3" t="s">
        <v>686</v>
      </c>
      <c r="BB8" s="3" t="s">
        <v>687</v>
      </c>
      <c r="BC8" s="3" t="s">
        <v>698</v>
      </c>
      <c r="BD8" s="65" t="s">
        <v>699</v>
      </c>
    </row>
    <row r="9" ht="15.0" customHeight="1">
      <c r="A9" s="116" t="s">
        <v>2648</v>
      </c>
      <c r="B9" s="182">
        <v>46014.0</v>
      </c>
      <c r="C9" s="182">
        <v>46008.0</v>
      </c>
      <c r="D9" s="57" t="s">
        <v>295</v>
      </c>
      <c r="E9" s="3">
        <f t="array" ref="E9">XLOOKUP(D9,RUC!$B$3:$B$110,RUC!$D$3:$D$110)</f>
        <v>20601769396</v>
      </c>
      <c r="G9" s="141">
        <v>54.0</v>
      </c>
      <c r="H9" s="3" t="s">
        <v>339</v>
      </c>
      <c r="I9" s="6">
        <v>4.06</v>
      </c>
      <c r="J9" s="58">
        <v>10.45</v>
      </c>
      <c r="K9" s="6">
        <f t="shared" si="2"/>
        <v>3.636</v>
      </c>
      <c r="L9" s="139">
        <v>0.335</v>
      </c>
      <c r="M9" s="60">
        <f t="shared" si="14"/>
        <v>0.315</v>
      </c>
      <c r="N9" s="62">
        <f t="shared" si="3"/>
        <v>0.315</v>
      </c>
      <c r="O9" s="60">
        <f t="shared" si="4"/>
        <v>0.315</v>
      </c>
      <c r="P9" s="63">
        <v>90.0</v>
      </c>
      <c r="Q9" s="58">
        <v>92.54</v>
      </c>
      <c r="R9" s="65">
        <v>4342.1</v>
      </c>
      <c r="S9" s="66">
        <f t="array" ref="S9">IF((XLOOKUP(D9,RUC!$B$3:$B$106,RUC!$E$3:$E$106)+ROUNDDOWN(O9,1)*100)&lt;95,95,((XLOOKUP(D9,RUC!$B$3:$B$106,RUC!$E$3:$E$106)+ROUNDDOWN(O9,1)*100)))</f>
        <v>120</v>
      </c>
      <c r="U9" s="67">
        <f t="array" ref="U9">XLOOKUP(D9,RUC!$B$3:$B$110,RUC!$F$3:$F$110)</f>
        <v>120</v>
      </c>
      <c r="V9" s="67">
        <v>1.1023</v>
      </c>
      <c r="Y9" s="57">
        <f t="array" ref="Y9">XLOOKUP(D9,RUC!$B$3:$B$110,RUC!$G$3:$G$110)</f>
        <v>20</v>
      </c>
      <c r="Z9" s="69">
        <f t="array" ref="Z9">XLOOKUP(D9,RUC!$B$3:$B$110,RUC!$H$3:$H$110)</f>
        <v>30</v>
      </c>
      <c r="AA9" s="70">
        <f t="shared" si="5"/>
        <v>50</v>
      </c>
      <c r="AB9" s="71">
        <f t="shared" ref="AB9:AB18" si="16">+((O9*P9*(R9-U9)/100)-S9-AA9+T9)*V9</f>
        <v>1132.023905</v>
      </c>
      <c r="AC9" s="71">
        <f>+(S9-T9)*V9-'data 1'!$F$4</f>
        <v>52.276</v>
      </c>
      <c r="AD9" s="71">
        <f t="shared" si="6"/>
        <v>39.60106324</v>
      </c>
      <c r="AE9" s="71">
        <f t="shared" si="7"/>
        <v>-14.885</v>
      </c>
      <c r="AF9" s="71">
        <f t="shared" si="8"/>
        <v>86.13661752</v>
      </c>
      <c r="AG9" s="72">
        <f t="shared" ref="AG9:AG18" si="17">AC9+AD9+AE9+AF9+70-53</f>
        <v>180.1286808</v>
      </c>
      <c r="AH9" s="193">
        <f t="shared" si="9"/>
        <v>38.646</v>
      </c>
      <c r="AI9" s="193">
        <f t="shared" si="10"/>
        <v>41.762</v>
      </c>
      <c r="AJ9" s="73">
        <f t="shared" si="11"/>
        <v>296.5813229</v>
      </c>
      <c r="AK9" s="73">
        <f t="shared" si="12"/>
        <v>35.34158371</v>
      </c>
      <c r="AM9" s="51">
        <f t="shared" si="13"/>
        <v>4116.03892</v>
      </c>
      <c r="AN9" s="51" t="str">
        <f t="array" ref="AN9">XLOOKUP(D9,RUC!$B$3:$B$565,RUC!$M$3:$M$565)</f>
        <v>Evelyn</v>
      </c>
      <c r="AO9" s="131" t="s">
        <v>551</v>
      </c>
      <c r="AP9" s="57" t="s">
        <v>2130</v>
      </c>
      <c r="AQ9" s="57" t="s">
        <v>2649</v>
      </c>
      <c r="AV9" s="152" t="s">
        <v>558</v>
      </c>
      <c r="AW9" s="154">
        <f t="shared" ref="AW9:AW18" si="18">SUMIF($AO$4:$AO$920,AV9,$K$4:$K$920)</f>
        <v>94.535</v>
      </c>
      <c r="AX9" s="154">
        <f t="array" ref="AX9">+SUMPRODUCT(IF($AO$4:$AO$920=AV9,$L$4:$L$920*$K$4:$K$920/AW9))</f>
        <v>0.3302666843</v>
      </c>
      <c r="AY9" s="155">
        <f t="shared" ref="AY9:AY18" si="19">31.1035*1.1023*AX9*(100-AZ9)/100</f>
        <v>0.7674453872</v>
      </c>
      <c r="AZ9" s="157">
        <f t="array" ref="AZ9">+SUMPRODUCT(IF($AO$4:$AO$920=AV9,($Q$4:$Q$920*$AH$4:$AH$920)/SUMIF($AO$4:$AO$920,$AV9,$AH$4:$AH$920)))</f>
        <v>93.22243573</v>
      </c>
      <c r="BA9" s="200">
        <f t="shared" ref="BA9:BA18" si="20">+AX9*31.1035*1.1023*AW9</f>
        <v>1070.450191</v>
      </c>
      <c r="BB9" s="156">
        <f t="shared" ref="BB9:BB18" si="21">SUMIF($AO$4:$AO$64,$AV9,$AH$4:$AH$64)</f>
        <v>995.409</v>
      </c>
      <c r="BC9" s="157">
        <f>+BA9-BB9</f>
        <v>75.04119149</v>
      </c>
      <c r="BD9" s="158">
        <f>+AW9</f>
        <v>94.535</v>
      </c>
    </row>
    <row r="10" ht="15.0" customHeight="1">
      <c r="A10" s="116" t="s">
        <v>2650</v>
      </c>
      <c r="B10" s="182">
        <v>46014.0</v>
      </c>
      <c r="C10" s="182">
        <v>46008.0</v>
      </c>
      <c r="D10" s="57" t="s">
        <v>295</v>
      </c>
      <c r="E10" s="3">
        <f t="array" ref="E10">XLOOKUP(D10,RUC!$B$3:$B$110,RUC!$D$3:$D$110)</f>
        <v>20601769396</v>
      </c>
      <c r="G10" s="141">
        <v>49.0</v>
      </c>
      <c r="H10" s="3" t="s">
        <v>47</v>
      </c>
      <c r="I10" s="6">
        <v>3.44</v>
      </c>
      <c r="J10" s="58">
        <v>3.2</v>
      </c>
      <c r="K10" s="6">
        <f t="shared" si="2"/>
        <v>3.33</v>
      </c>
      <c r="L10" s="139">
        <v>0.132</v>
      </c>
      <c r="M10" s="60">
        <f t="shared" si="14"/>
        <v>0.114</v>
      </c>
      <c r="N10" s="62">
        <f t="shared" si="3"/>
        <v>0.114</v>
      </c>
      <c r="O10" s="60">
        <f t="shared" si="4"/>
        <v>0.114</v>
      </c>
      <c r="P10" s="63">
        <v>76.0</v>
      </c>
      <c r="Q10" s="58">
        <v>76.52</v>
      </c>
      <c r="R10" s="65">
        <v>4342.1</v>
      </c>
      <c r="S10" s="66">
        <f t="array" ref="S10">IF((XLOOKUP(D10,RUC!$B$3:$B$106,RUC!$E$3:$E$106)+ROUNDDOWN(O10,1)*100)&lt;95,95,((XLOOKUP(D10,RUC!$B$3:$B$106,RUC!$E$3:$E$106)+ROUNDDOWN(O10,1)*100)))</f>
        <v>100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69">
        <f t="array" ref="Z10">XLOOKUP(D10,RUC!$B$3:$B$110,RUC!$H$3:$H$110)</f>
        <v>30</v>
      </c>
      <c r="AA10" s="70">
        <f t="shared" si="5"/>
        <v>50</v>
      </c>
      <c r="AB10" s="71">
        <f t="shared" si="16"/>
        <v>237.8793647</v>
      </c>
      <c r="AC10" s="71">
        <f>+(S10-T10)*V10-'data 1'!$F$4</f>
        <v>30.23</v>
      </c>
      <c r="AD10" s="71">
        <f t="shared" si="6"/>
        <v>3.194519898</v>
      </c>
      <c r="AE10" s="71">
        <f t="shared" si="7"/>
        <v>-14.885</v>
      </c>
      <c r="AF10" s="71">
        <f t="shared" si="8"/>
        <v>64.1026213</v>
      </c>
      <c r="AG10" s="72">
        <f t="shared" si="17"/>
        <v>99.6421412</v>
      </c>
      <c r="AH10" s="193">
        <f t="shared" si="9"/>
        <v>11.532</v>
      </c>
      <c r="AI10" s="193">
        <f t="shared" si="10"/>
        <v>15.07</v>
      </c>
      <c r="AJ10" s="73">
        <f t="shared" si="11"/>
        <v>96.63142596</v>
      </c>
      <c r="AK10" s="73">
        <f t="shared" si="12"/>
        <v>9.891718449</v>
      </c>
      <c r="AM10" s="51">
        <f t="shared" si="13"/>
        <v>792.1382845</v>
      </c>
      <c r="AN10" s="51" t="str">
        <f t="array" ref="AN10">XLOOKUP(D10,RUC!$B$3:$B$565,RUC!$M$3:$M$565)</f>
        <v>Evelyn</v>
      </c>
      <c r="AO10" s="131" t="s">
        <v>551</v>
      </c>
      <c r="AP10" s="57" t="s">
        <v>2130</v>
      </c>
      <c r="AQ10" s="57" t="s">
        <v>2649</v>
      </c>
      <c r="AV10" s="160" t="s">
        <v>551</v>
      </c>
      <c r="AW10" s="6">
        <f t="shared" si="18"/>
        <v>164.81</v>
      </c>
      <c r="AX10" s="6">
        <f t="array" ref="AX10">+SUMPRODUCT(IF($AO$4:$AO$920=AV10,$L$4:$L$920*$K$4:$K$920/AW10))</f>
        <v>0.332026661</v>
      </c>
      <c r="AY10" s="145">
        <f t="shared" si="19"/>
        <v>1.005000604</v>
      </c>
      <c r="AZ10" s="58">
        <f t="array" ref="AZ10">+SUMPRODUCT(IF($AO$4:$AO$920=AV10,($Q$4:$Q$920*$AH$4:$AH$920)/SUMIF($AO$4:$AO$920,$AV10,$AH$4:$AH$920)))</f>
        <v>91.17155338</v>
      </c>
      <c r="BA10" s="5">
        <f t="shared" si="20"/>
        <v>1876.141485</v>
      </c>
      <c r="BB10" s="65">
        <f t="shared" si="21"/>
        <v>1703.594</v>
      </c>
      <c r="BC10" s="58">
        <f t="shared" ref="BC10:BC18" si="22">+BC9+BA10-BB10</f>
        <v>247.5886766</v>
      </c>
      <c r="BD10" s="161">
        <f t="shared" ref="BD10:BD18" si="23">+BD9+AW10</f>
        <v>259.345</v>
      </c>
    </row>
    <row r="11" ht="15.0" customHeight="1">
      <c r="A11" s="116" t="s">
        <v>2651</v>
      </c>
      <c r="B11" s="182">
        <v>46014.0</v>
      </c>
      <c r="C11" s="182">
        <v>46008.0</v>
      </c>
      <c r="D11" s="57" t="s">
        <v>295</v>
      </c>
      <c r="E11" s="3">
        <f t="array" ref="E11">XLOOKUP(D11,RUC!$B$3:$B$110,RUC!$D$3:$D$110)</f>
        <v>20601769396</v>
      </c>
      <c r="G11" s="141">
        <v>43.0</v>
      </c>
      <c r="H11" s="3" t="s">
        <v>339</v>
      </c>
      <c r="I11" s="6">
        <v>3.31</v>
      </c>
      <c r="J11" s="58">
        <v>13.9</v>
      </c>
      <c r="K11" s="6">
        <f t="shared" si="2"/>
        <v>2.85</v>
      </c>
      <c r="L11" s="139">
        <v>0.353</v>
      </c>
      <c r="M11" s="60">
        <f t="shared" si="14"/>
        <v>0.332</v>
      </c>
      <c r="N11" s="62">
        <f t="shared" si="3"/>
        <v>0.332</v>
      </c>
      <c r="O11" s="60">
        <f t="shared" si="4"/>
        <v>0.332</v>
      </c>
      <c r="P11" s="63">
        <v>88.0</v>
      </c>
      <c r="Q11" s="58">
        <v>88.1</v>
      </c>
      <c r="R11" s="65">
        <v>4342.1</v>
      </c>
      <c r="S11" s="66">
        <f t="array" ref="S11">IF((XLOOKUP(D11,RUC!$B$3:$B$106,RUC!$E$3:$E$106)+ROUNDDOWN(O11,1)*100)&lt;95,95,((XLOOKUP(D11,RUC!$B$3:$B$106,RUC!$E$3:$E$106)+ROUNDDOWN(O11,1)*100)))</f>
        <v>120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5"/>
        <v>50</v>
      </c>
      <c r="AB11" s="71">
        <f t="shared" si="16"/>
        <v>1172.327726</v>
      </c>
      <c r="AC11" s="71">
        <f>+(S11-T11)*V11-'data 1'!$F$4</f>
        <v>52.276</v>
      </c>
      <c r="AD11" s="71">
        <f t="shared" si="6"/>
        <v>1.642869353</v>
      </c>
      <c r="AE11" s="71">
        <f t="shared" si="7"/>
        <v>-14.885</v>
      </c>
      <c r="AF11" s="71">
        <f t="shared" si="8"/>
        <v>86.10403938</v>
      </c>
      <c r="AG11" s="72">
        <f t="shared" si="17"/>
        <v>142.1379087</v>
      </c>
      <c r="AH11" s="193">
        <f t="shared" si="9"/>
        <v>30.388</v>
      </c>
      <c r="AI11" s="193">
        <f t="shared" si="10"/>
        <v>34.493</v>
      </c>
      <c r="AJ11" s="73">
        <f t="shared" si="11"/>
        <v>297.5227021</v>
      </c>
      <c r="AK11" s="73">
        <f t="shared" si="12"/>
        <v>28.54793407</v>
      </c>
      <c r="AM11" s="51">
        <f t="shared" si="13"/>
        <v>3341.134018</v>
      </c>
      <c r="AN11" s="51" t="str">
        <f t="array" ref="AN11">XLOOKUP(D11,RUC!$B$3:$B$565,RUC!$M$3:$M$565)</f>
        <v>Evelyn</v>
      </c>
      <c r="AO11" s="131" t="s">
        <v>551</v>
      </c>
      <c r="AP11" s="57" t="s">
        <v>2130</v>
      </c>
      <c r="AQ11" s="57" t="s">
        <v>2649</v>
      </c>
      <c r="AV11" s="160" t="s">
        <v>547</v>
      </c>
      <c r="AW11" s="6">
        <f t="shared" si="18"/>
        <v>120.507</v>
      </c>
      <c r="AX11" s="6">
        <f t="array" ref="AX11">+SUMPRODUCT(IF($AO$4:$AO$920=AV11,$L$4:$L$920*$K$4:$K$920/AW11))</f>
        <v>0.3412500519</v>
      </c>
      <c r="AY11" s="145">
        <f t="shared" si="19"/>
        <v>0.6004544985</v>
      </c>
      <c r="AZ11" s="58">
        <f t="array" ref="AZ11">+SUMPRODUCT(IF($AO$4:$AO$920=AV11,($Q$4:$Q$920*$AH$4:$AH$920)/SUMIF($AO$4:$AO$920,$AV11,$AH$4:$AH$920)))</f>
        <v>94.86786222</v>
      </c>
      <c r="BA11" s="65">
        <f t="shared" si="20"/>
        <v>1409.918698</v>
      </c>
      <c r="BB11" s="65">
        <f t="shared" si="21"/>
        <v>1335.219</v>
      </c>
      <c r="BC11" s="58">
        <f t="shared" si="22"/>
        <v>322.2883751</v>
      </c>
      <c r="BD11" s="161">
        <f t="shared" si="23"/>
        <v>379.852</v>
      </c>
    </row>
    <row r="12" ht="15.0" customHeight="1">
      <c r="A12" s="116" t="s">
        <v>2652</v>
      </c>
      <c r="B12" s="182">
        <v>46014.0</v>
      </c>
      <c r="C12" s="182">
        <v>46008.0</v>
      </c>
      <c r="D12" s="57" t="s">
        <v>295</v>
      </c>
      <c r="E12" s="3">
        <f t="array" ref="E12">XLOOKUP(D12,RUC!$B$3:$B$110,RUC!$D$3:$D$110)</f>
        <v>20601769396</v>
      </c>
      <c r="G12" s="141">
        <v>43.0</v>
      </c>
      <c r="H12" s="3" t="s">
        <v>339</v>
      </c>
      <c r="I12" s="6">
        <v>3.3</v>
      </c>
      <c r="J12" s="58">
        <v>13.83</v>
      </c>
      <c r="K12" s="6">
        <f t="shared" si="2"/>
        <v>2.844</v>
      </c>
      <c r="L12" s="139">
        <v>0.348</v>
      </c>
      <c r="M12" s="60">
        <f t="shared" si="14"/>
        <v>0.327</v>
      </c>
      <c r="N12" s="62">
        <f t="shared" si="3"/>
        <v>0.327</v>
      </c>
      <c r="O12" s="60">
        <f t="shared" si="4"/>
        <v>0.327</v>
      </c>
      <c r="P12" s="63">
        <v>83.0</v>
      </c>
      <c r="Q12" s="58">
        <v>84.2</v>
      </c>
      <c r="R12" s="65">
        <v>4342.1</v>
      </c>
      <c r="S12" s="66">
        <f t="array" ref="S12">IF((XLOOKUP(D12,RUC!$B$3:$B$106,RUC!$E$3:$E$106)+ROUNDDOWN(O12,1)*100)&lt;95,95,((XLOOKUP(D12,RUC!$B$3:$B$106,RUC!$E$3:$E$106)+ROUNDDOWN(O12,1)*100)))</f>
        <v>120</v>
      </c>
      <c r="U12" s="67">
        <f t="array" ref="U12">XLOOKUP(D12,RUC!$B$3:$B$110,RUC!$F$3:$F$110)</f>
        <v>120</v>
      </c>
      <c r="V12" s="67">
        <v>1.1023</v>
      </c>
      <c r="Y12" s="57">
        <f t="array" ref="Y12">XLOOKUP(D12,RUC!$B$3:$B$110,RUC!$G$3:$G$110)</f>
        <v>20</v>
      </c>
      <c r="Z12" s="69">
        <f t="array" ref="Z12">XLOOKUP(D12,RUC!$B$3:$B$110,RUC!$H$3:$H$110)</f>
        <v>30</v>
      </c>
      <c r="AA12" s="70">
        <f t="shared" si="5"/>
        <v>50</v>
      </c>
      <c r="AB12" s="71">
        <f t="shared" si="16"/>
        <v>1075.756793</v>
      </c>
      <c r="AC12" s="71">
        <f>+(S12-T12)*V12-'data 1'!$F$4</f>
        <v>52.276</v>
      </c>
      <c r="AD12" s="71">
        <f t="shared" si="6"/>
        <v>19.43519099</v>
      </c>
      <c r="AE12" s="71">
        <f t="shared" si="7"/>
        <v>-14.885</v>
      </c>
      <c r="AF12" s="71">
        <f t="shared" si="8"/>
        <v>82.29239632</v>
      </c>
      <c r="AG12" s="72">
        <f t="shared" si="17"/>
        <v>156.1185873</v>
      </c>
      <c r="AH12" s="193">
        <f t="shared" si="9"/>
        <v>28.571</v>
      </c>
      <c r="AI12" s="193">
        <f t="shared" si="10"/>
        <v>33.933</v>
      </c>
      <c r="AJ12" s="73">
        <f t="shared" si="11"/>
        <v>280.3243548</v>
      </c>
      <c r="AK12" s="73">
        <f t="shared" si="12"/>
        <v>26.46454955</v>
      </c>
      <c r="AM12" s="51">
        <f t="shared" si="13"/>
        <v>3059.452321</v>
      </c>
      <c r="AN12" s="51" t="str">
        <f t="array" ref="AN12">XLOOKUP(D12,RUC!$B$3:$B$565,RUC!$M$3:$M$565)</f>
        <v>Evelyn</v>
      </c>
      <c r="AO12" s="131" t="s">
        <v>551</v>
      </c>
      <c r="AP12" s="57" t="s">
        <v>2130</v>
      </c>
      <c r="AQ12" s="57" t="s">
        <v>2649</v>
      </c>
      <c r="AV12" s="160" t="s">
        <v>549</v>
      </c>
      <c r="AW12" s="6">
        <f t="shared" si="18"/>
        <v>0</v>
      </c>
      <c r="AX12" s="6">
        <f t="array" ref="AX12">+SUMPRODUCT(IF($AO$4:$AO$920=AV12,$L$4:$L$920*$K$4:$K$920/AW12))</f>
        <v>0</v>
      </c>
      <c r="AY12" s="145">
        <f t="shared" si="19"/>
        <v>0</v>
      </c>
      <c r="AZ12" s="58">
        <f t="array" ref="AZ12">+SUMPRODUCT(IF($AO$4:$AO$920=AV12,($Q$4:$Q$920*$AH$4:$AH$920)/SUMIF($AO$4:$AO$920,$AV12,$AH$4:$AH$920)))</f>
        <v>0</v>
      </c>
      <c r="BA12" s="65">
        <f t="shared" si="20"/>
        <v>0</v>
      </c>
      <c r="BB12" s="65">
        <f t="shared" si="21"/>
        <v>0</v>
      </c>
      <c r="BC12" s="58">
        <f t="shared" si="22"/>
        <v>322.2883751</v>
      </c>
      <c r="BD12" s="161">
        <f t="shared" si="23"/>
        <v>379.852</v>
      </c>
    </row>
    <row r="13" ht="15.0" customHeight="1">
      <c r="A13" s="116" t="s">
        <v>2653</v>
      </c>
      <c r="B13" s="182">
        <v>46020.0</v>
      </c>
      <c r="C13" s="182">
        <v>46010.0</v>
      </c>
      <c r="D13" s="57" t="s">
        <v>665</v>
      </c>
      <c r="E13" s="3">
        <f t="array" ref="E13">XLOOKUP(D13,RUC!$B$3:$B$110,RUC!$D$3:$D$110)</f>
        <v>20608774000</v>
      </c>
      <c r="G13" s="141">
        <v>43.0</v>
      </c>
      <c r="H13" s="3" t="s">
        <v>339</v>
      </c>
      <c r="I13" s="6">
        <v>4.31</v>
      </c>
      <c r="J13" s="58">
        <v>3.6</v>
      </c>
      <c r="K13" s="6">
        <f t="shared" si="2"/>
        <v>4.155</v>
      </c>
      <c r="L13" s="139">
        <v>0.605</v>
      </c>
      <c r="M13" s="60">
        <f t="shared" si="14"/>
        <v>0.569</v>
      </c>
      <c r="N13" s="62">
        <f t="shared" si="3"/>
        <v>0.569</v>
      </c>
      <c r="O13" s="60">
        <f t="shared" si="4"/>
        <v>0.569</v>
      </c>
      <c r="P13" s="63">
        <v>90.0</v>
      </c>
      <c r="Q13" s="58">
        <v>94.71</v>
      </c>
      <c r="R13" s="65">
        <v>4337.6</v>
      </c>
      <c r="S13" s="66">
        <f t="array" ref="S13">IF((XLOOKUP(D13,RUC!$B$3:$B$106,RUC!$E$3:$E$106)+ROUNDDOWN(O13,1)*100)&lt;95,95,((XLOOKUP(D13,RUC!$B$3:$B$106,RUC!$E$3:$E$106)+ROUNDDOWN(O13,1)*100)))</f>
        <v>135</v>
      </c>
      <c r="U13" s="67">
        <f t="array" ref="U13">XLOOKUP(D13,RUC!$B$3:$B$110,RUC!$F$3:$F$110)</f>
        <v>120</v>
      </c>
      <c r="V13" s="67">
        <v>1.1023</v>
      </c>
      <c r="Y13" s="199">
        <v>25.0</v>
      </c>
      <c r="Z13" s="140">
        <v>35.0</v>
      </c>
      <c r="AA13" s="70">
        <f t="shared" si="5"/>
        <v>60</v>
      </c>
      <c r="AB13" s="71">
        <f t="shared" si="16"/>
        <v>2165.835372</v>
      </c>
      <c r="AC13" s="71">
        <f>+(S13-T13)*V13-'data 1'!$F$4</f>
        <v>68.8105</v>
      </c>
      <c r="AD13" s="71">
        <f t="shared" si="6"/>
        <v>132.4773029</v>
      </c>
      <c r="AE13" s="71">
        <f t="shared" si="7"/>
        <v>-3.862</v>
      </c>
      <c r="AF13" s="71">
        <f t="shared" si="8"/>
        <v>158.5125065</v>
      </c>
      <c r="AG13" s="72">
        <f t="shared" si="17"/>
        <v>372.9383094</v>
      </c>
      <c r="AH13" s="193">
        <f t="shared" si="9"/>
        <v>81.627</v>
      </c>
      <c r="AI13" s="193">
        <f t="shared" si="10"/>
        <v>86.186</v>
      </c>
      <c r="AJ13" s="73">
        <f t="shared" si="11"/>
        <v>551.0191286</v>
      </c>
      <c r="AK13" s="73">
        <f t="shared" si="12"/>
        <v>72.9516087</v>
      </c>
      <c r="AM13" s="51">
        <f t="shared" si="13"/>
        <v>8999.04597</v>
      </c>
      <c r="AN13" s="51" t="str">
        <f t="array" ref="AN13">XLOOKUP(D13,RUC!$B$3:$B$565,RUC!$M$3:$M$565)</f>
        <v>Ronald Miranda</v>
      </c>
      <c r="AO13" s="131" t="s">
        <v>558</v>
      </c>
      <c r="AP13" s="57" t="s">
        <v>2514</v>
      </c>
      <c r="AQ13" s="57" t="s">
        <v>2515</v>
      </c>
      <c r="AV13" s="160" t="s">
        <v>561</v>
      </c>
      <c r="AW13" s="6">
        <f t="shared" si="18"/>
        <v>0</v>
      </c>
      <c r="AX13" s="6">
        <f t="array" ref="AX13">+SUMPRODUCT(IF($AO$4:$AO$920=AV13,$L$4:$L$920*$K$4:$K$920/AW13))</f>
        <v>0</v>
      </c>
      <c r="AY13" s="145">
        <f t="shared" si="19"/>
        <v>0</v>
      </c>
      <c r="AZ13" s="58">
        <f t="array" ref="AZ13">+SUMPRODUCT(IF($AO$4:$AO$920=AV13,($Q$4:$Q$920*$AH$4:$AH$920)/SUMIF($AO$4:$AO$920,$AV13,$AH$4:$AH$920)))</f>
        <v>0</v>
      </c>
      <c r="BA13" s="65">
        <f t="shared" si="20"/>
        <v>0</v>
      </c>
      <c r="BB13" s="65">
        <f t="shared" si="21"/>
        <v>0</v>
      </c>
      <c r="BC13" s="58">
        <f t="shared" si="22"/>
        <v>322.2883751</v>
      </c>
      <c r="BD13" s="161">
        <f t="shared" si="23"/>
        <v>379.852</v>
      </c>
    </row>
    <row r="14" ht="15.0" customHeight="1">
      <c r="A14" s="116" t="s">
        <v>2654</v>
      </c>
      <c r="B14" s="182">
        <v>46017.0</v>
      </c>
      <c r="C14" s="182">
        <v>46011.0</v>
      </c>
      <c r="D14" s="57" t="s">
        <v>2166</v>
      </c>
      <c r="E14" s="3">
        <f t="array" ref="E14">XLOOKUP(D14,RUC!$B$3:$B$110,RUC!$D$3:$D$110)</f>
        <v>10408856049</v>
      </c>
      <c r="G14" s="141" t="s">
        <v>735</v>
      </c>
      <c r="H14" s="3" t="s">
        <v>47</v>
      </c>
      <c r="I14" s="6">
        <v>37.99</v>
      </c>
      <c r="J14" s="58">
        <v>11.48</v>
      </c>
      <c r="K14" s="6">
        <f t="shared" si="2"/>
        <v>33.629</v>
      </c>
      <c r="L14" s="139">
        <v>0.342</v>
      </c>
      <c r="M14" s="60">
        <f t="shared" si="14"/>
        <v>0.321</v>
      </c>
      <c r="N14" s="62">
        <f t="shared" si="3"/>
        <v>0.321</v>
      </c>
      <c r="O14" s="60">
        <f t="shared" si="4"/>
        <v>0.321</v>
      </c>
      <c r="P14" s="63">
        <v>90.0</v>
      </c>
      <c r="Q14" s="58">
        <v>97.08</v>
      </c>
      <c r="R14" s="65">
        <v>4337.6</v>
      </c>
      <c r="S14" s="66">
        <f t="array" ref="S14">IF((XLOOKUP(D14,RUC!$B$3:$B$106,RUC!$E$3:$E$106)+ROUNDDOWN(O14,1)*100)&lt;95,95,((XLOOKUP(D14,RUC!$B$3:$B$106,RUC!$E$3:$E$106)+ROUNDDOWN(O14,1)*100)))</f>
        <v>120</v>
      </c>
      <c r="U14" s="67">
        <f t="array" ref="U14">XLOOKUP(D14,RUC!$B$3:$B$110,RUC!$F$3:$F$110)</f>
        <v>120</v>
      </c>
      <c r="V14" s="67">
        <v>1.1023</v>
      </c>
      <c r="Y14" s="57">
        <f t="array" ref="Y14">XLOOKUP(D14,RUC!$B$3:$B$110,RUC!$G$3:$G$110)</f>
        <v>20</v>
      </c>
      <c r="Z14" s="69">
        <f t="array" ref="Z14">XLOOKUP(D14,RUC!$B$3:$B$110,RUC!$H$3:$H$110)</f>
        <v>30</v>
      </c>
      <c r="AA14" s="70">
        <f t="shared" si="5"/>
        <v>50</v>
      </c>
      <c r="AB14" s="71">
        <f t="shared" si="16"/>
        <v>1155.722573</v>
      </c>
      <c r="AC14" s="71">
        <f>+(S14-T14)*V14-'data 1'!$F$4</f>
        <v>52.276</v>
      </c>
      <c r="AD14" s="71">
        <f t="shared" si="6"/>
        <v>112.5704908</v>
      </c>
      <c r="AE14" s="71">
        <f t="shared" si="7"/>
        <v>-14.885</v>
      </c>
      <c r="AF14" s="71">
        <f t="shared" si="8"/>
        <v>94.77946619</v>
      </c>
      <c r="AG14" s="72">
        <f t="shared" si="17"/>
        <v>261.740957</v>
      </c>
      <c r="AH14" s="193">
        <f t="shared" si="9"/>
        <v>382.806</v>
      </c>
      <c r="AI14" s="193">
        <f t="shared" si="10"/>
        <v>394.32</v>
      </c>
      <c r="AJ14" s="73">
        <f t="shared" si="11"/>
        <v>319.279723</v>
      </c>
      <c r="AK14" s="73">
        <f t="shared" si="12"/>
        <v>333.0968796</v>
      </c>
      <c r="AM14" s="51">
        <f t="shared" si="13"/>
        <v>38865.7944</v>
      </c>
      <c r="AN14" s="51" t="str">
        <f t="array" ref="AN14">XLOOKUP(D14,RUC!$B$3:$B$565,RUC!$M$3:$M$565)</f>
        <v>Richard Sapacayo</v>
      </c>
      <c r="AO14" s="131" t="s">
        <v>551</v>
      </c>
      <c r="AP14" s="57" t="s">
        <v>606</v>
      </c>
      <c r="AQ14" s="57" t="s">
        <v>2655</v>
      </c>
      <c r="AV14" s="160" t="s">
        <v>689</v>
      </c>
      <c r="AW14" s="6">
        <f t="shared" si="18"/>
        <v>0</v>
      </c>
      <c r="AX14" s="6">
        <f t="array" ref="AX14">+SUMPRODUCT(IF($AO$4:$AO$920=AV14,$L$4:$L$920*$K$4:$K$920/AW14))</f>
        <v>0</v>
      </c>
      <c r="AY14" s="145">
        <f t="shared" si="19"/>
        <v>0</v>
      </c>
      <c r="AZ14" s="58">
        <f t="array" ref="AZ14">+SUMPRODUCT(IF('36'!$AO$4:$AO$812=AV14,('36'!$Q$4:$Q$812*'36'!$AH$4:$AH$812)/SUMIF('36'!$AO$4:$AO$812,#REF!,'36'!$AH$4:$AH$812)))</f>
        <v>0</v>
      </c>
      <c r="BA14" s="65">
        <f t="shared" si="20"/>
        <v>0</v>
      </c>
      <c r="BB14" s="65">
        <f t="shared" si="21"/>
        <v>0</v>
      </c>
      <c r="BC14" s="58">
        <f t="shared" si="22"/>
        <v>322.2883751</v>
      </c>
      <c r="BD14" s="161">
        <f t="shared" si="23"/>
        <v>379.852</v>
      </c>
    </row>
    <row r="15" ht="15.0" customHeight="1">
      <c r="A15" s="116" t="s">
        <v>2656</v>
      </c>
      <c r="B15" s="182">
        <v>46018.0</v>
      </c>
      <c r="C15" s="182">
        <v>46011.0</v>
      </c>
      <c r="D15" s="57" t="s">
        <v>2166</v>
      </c>
      <c r="E15" s="3">
        <f t="array" ref="E15">XLOOKUP(D15,RUC!$B$3:$B$110,RUC!$D$3:$D$110)</f>
        <v>10408856049</v>
      </c>
      <c r="G15" s="141" t="s">
        <v>735</v>
      </c>
      <c r="H15" s="3" t="s">
        <v>47</v>
      </c>
      <c r="I15" s="6">
        <v>39.62</v>
      </c>
      <c r="J15" s="58">
        <v>11.96</v>
      </c>
      <c r="K15" s="6">
        <f t="shared" si="2"/>
        <v>34.881</v>
      </c>
      <c r="L15" s="139">
        <v>0.311</v>
      </c>
      <c r="M15" s="60">
        <f t="shared" si="14"/>
        <v>0.292</v>
      </c>
      <c r="N15" s="62">
        <f t="shared" si="3"/>
        <v>0.292</v>
      </c>
      <c r="O15" s="60">
        <f t="shared" si="4"/>
        <v>0.292</v>
      </c>
      <c r="P15" s="63">
        <v>90.0</v>
      </c>
      <c r="Q15" s="58">
        <v>96.14</v>
      </c>
      <c r="R15" s="65">
        <v>4337.6</v>
      </c>
      <c r="S15" s="462">
        <v>115.0</v>
      </c>
      <c r="U15" s="2">
        <f t="array" ref="U15">XLOOKUP(D15,RUC!$B$3:$B$110,RUC!$F$3:$F$110)</f>
        <v>120</v>
      </c>
      <c r="V15" s="67">
        <v>1.1023</v>
      </c>
      <c r="Y15" s="57">
        <f t="array" ref="Y15">XLOOKUP(D15,RUC!$B$3:$B$110,RUC!$G$3:$G$110)</f>
        <v>20</v>
      </c>
      <c r="Z15" s="69">
        <f t="array" ref="Z15">XLOOKUP(D15,RUC!$B$3:$B$110,RUC!$H$3:$H$110)</f>
        <v>30</v>
      </c>
      <c r="AA15" s="70">
        <f t="shared" si="5"/>
        <v>50</v>
      </c>
      <c r="AB15" s="71">
        <f t="shared" si="16"/>
        <v>1039.893594</v>
      </c>
      <c r="AC15" s="71">
        <f>+(S15-T15)*V15-'data 1'!$F$4</f>
        <v>46.7645</v>
      </c>
      <c r="AD15" s="71">
        <f t="shared" si="6"/>
        <v>88.77566949</v>
      </c>
      <c r="AE15" s="71">
        <f t="shared" si="7"/>
        <v>-14.885</v>
      </c>
      <c r="AF15" s="71">
        <f t="shared" si="8"/>
        <v>84.92252816</v>
      </c>
      <c r="AG15" s="72">
        <f t="shared" si="17"/>
        <v>222.5776977</v>
      </c>
      <c r="AH15" s="193">
        <f t="shared" si="9"/>
        <v>357.571</v>
      </c>
      <c r="AI15" s="193">
        <f t="shared" si="10"/>
        <v>371.928</v>
      </c>
      <c r="AJ15" s="73">
        <f t="shared" si="11"/>
        <v>287.5278859</v>
      </c>
      <c r="AK15" s="73">
        <f t="shared" si="12"/>
        <v>314.2847855</v>
      </c>
      <c r="AM15" s="51">
        <f t="shared" si="13"/>
        <v>36272.52846</v>
      </c>
      <c r="AN15" s="51" t="str">
        <f t="array" ref="AN15">XLOOKUP(D15,RUC!$B$3:$B$565,RUC!$M$3:$M$565)</f>
        <v>Richard Sapacayo</v>
      </c>
      <c r="AO15" s="131" t="s">
        <v>547</v>
      </c>
      <c r="AP15" s="57" t="s">
        <v>573</v>
      </c>
      <c r="AQ15" s="57" t="s">
        <v>624</v>
      </c>
      <c r="AV15" s="160" t="s">
        <v>690</v>
      </c>
      <c r="AW15" s="6">
        <f t="shared" si="18"/>
        <v>0</v>
      </c>
      <c r="AX15" s="6">
        <f t="array" ref="AX15">+SUMPRODUCT(IF($AO$4:$AO$920=AV15,$L$4:$L$920*$K$4:$K$920/AW15))</f>
        <v>0</v>
      </c>
      <c r="AY15" s="145">
        <f t="shared" si="19"/>
        <v>0</v>
      </c>
      <c r="AZ15" s="58">
        <f t="array" ref="AZ15">+SUMPRODUCT(IF('36'!$AO$4:$AO$812=AV15,('36'!$Q$4:$Q$812*'36'!$AH$4:$AH$812)/SUMIF('36'!$AO$4:$AO$812,#REF!,'36'!$AH$4:$AH$812)))</f>
        <v>0</v>
      </c>
      <c r="BA15" s="65">
        <f t="shared" si="20"/>
        <v>0</v>
      </c>
      <c r="BB15" s="65">
        <f t="shared" si="21"/>
        <v>0</v>
      </c>
      <c r="BC15" s="58">
        <f t="shared" si="22"/>
        <v>322.2883751</v>
      </c>
      <c r="BD15" s="161">
        <f t="shared" si="23"/>
        <v>379.852</v>
      </c>
    </row>
    <row r="16" ht="15.0" customHeight="1">
      <c r="A16" s="116" t="s">
        <v>2657</v>
      </c>
      <c r="B16" s="182">
        <v>46028.0</v>
      </c>
      <c r="C16" s="182">
        <v>46012.0</v>
      </c>
      <c r="D16" s="57" t="s">
        <v>602</v>
      </c>
      <c r="E16" s="3">
        <f t="array" ref="E16">XLOOKUP(D16,RUC!$B$3:$B$110,RUC!$D$3:$D$110)</f>
        <v>20169040231</v>
      </c>
      <c r="G16" s="141">
        <v>9.0</v>
      </c>
      <c r="H16" s="3" t="s">
        <v>40</v>
      </c>
      <c r="I16" s="6">
        <v>0.71</v>
      </c>
      <c r="J16" s="58">
        <v>8.8</v>
      </c>
      <c r="K16" s="6">
        <f t="shared" si="2"/>
        <v>0.648</v>
      </c>
      <c r="L16" s="139">
        <v>2.296</v>
      </c>
      <c r="M16" s="75">
        <v>2.162</v>
      </c>
      <c r="N16" s="75">
        <v>2.356</v>
      </c>
      <c r="O16" s="60">
        <f t="shared" si="4"/>
        <v>2.259</v>
      </c>
      <c r="P16" s="63">
        <v>85.0</v>
      </c>
      <c r="Q16" s="58">
        <v>85.22</v>
      </c>
      <c r="R16" s="65">
        <v>4421.65</v>
      </c>
      <c r="S16" s="66">
        <f t="array" ref="S16">IF((XLOOKUP(D16,RUC!$B$3:$B$106,RUC!$E$3:$E$106)+ROUNDDOWN(O16,1)*100)&lt;95,95,((XLOOKUP(D16,RUC!$B$3:$B$106,RUC!$E$3:$E$106)+ROUNDDOWN(O16,1)*100)))</f>
        <v>305</v>
      </c>
      <c r="U16" s="67">
        <f t="array" ref="U16">XLOOKUP(D16,RUC!$B$3:$B$110,RUC!$F$3:$F$110)</f>
        <v>120</v>
      </c>
      <c r="V16" s="67">
        <v>1.1023</v>
      </c>
      <c r="Y16" s="199">
        <v>35.0</v>
      </c>
      <c r="Z16" s="140">
        <v>48.0</v>
      </c>
      <c r="AA16" s="70">
        <f t="shared" si="5"/>
        <v>83</v>
      </c>
      <c r="AB16" s="71">
        <f t="shared" si="16"/>
        <v>8677.099743</v>
      </c>
      <c r="AC16" s="71">
        <f>+(S16-T16)*V16-'data 1'!$F$4</f>
        <v>256.2015</v>
      </c>
      <c r="AD16" s="71">
        <f t="shared" si="6"/>
        <v>23.95131947</v>
      </c>
      <c r="AE16" s="71">
        <f t="shared" si="7"/>
        <v>21.4909</v>
      </c>
      <c r="AF16" s="71">
        <f t="shared" si="8"/>
        <v>149.5127167</v>
      </c>
      <c r="AG16" s="72">
        <f t="shared" si="17"/>
        <v>468.1564362</v>
      </c>
      <c r="AH16" s="193">
        <f t="shared" si="9"/>
        <v>43.471</v>
      </c>
      <c r="AI16" s="193">
        <f t="shared" si="10"/>
        <v>51.01</v>
      </c>
      <c r="AJ16" s="73">
        <f t="shared" si="11"/>
        <v>1700.326381</v>
      </c>
      <c r="AK16" s="73">
        <f t="shared" si="12"/>
        <v>42.65984094</v>
      </c>
      <c r="AM16" s="51">
        <f t="shared" si="13"/>
        <v>5622.760633</v>
      </c>
      <c r="AN16" s="51" t="str">
        <f t="array" ref="AN16">XLOOKUP(D16,RUC!$B$3:$B$565,RUC!$M$3:$M$565)</f>
        <v>Ronald Miranda</v>
      </c>
      <c r="AO16" s="131" t="s">
        <v>558</v>
      </c>
      <c r="AP16" s="57" t="s">
        <v>2534</v>
      </c>
      <c r="AQ16" s="57" t="s">
        <v>2535</v>
      </c>
      <c r="AR16" s="2" t="s">
        <v>2658</v>
      </c>
      <c r="AV16" s="160" t="s">
        <v>691</v>
      </c>
      <c r="AW16" s="6">
        <f t="shared" si="18"/>
        <v>0</v>
      </c>
      <c r="AX16" s="6">
        <f t="array" ref="AX16">+SUMPRODUCT(IF($AO$4:$AO$920=AV16,$L$4:$L$920*$K$4:$K$920/AW16))</f>
        <v>0</v>
      </c>
      <c r="AY16" s="145">
        <f t="shared" si="19"/>
        <v>0</v>
      </c>
      <c r="AZ16" s="58">
        <f t="array" ref="AZ16">+SUMPRODUCT(IF('36'!$AO$4:$AO$812=AV16,('36'!$Q$4:$Q$812*'36'!$AH$4:$AH$812)/SUMIF('36'!$AO$4:$AO$812,#REF!,'36'!$AH$4:$AH$812)))</f>
        <v>0</v>
      </c>
      <c r="BA16" s="65">
        <f t="shared" si="20"/>
        <v>0</v>
      </c>
      <c r="BB16" s="65">
        <f t="shared" si="21"/>
        <v>0</v>
      </c>
      <c r="BC16" s="58">
        <f t="shared" si="22"/>
        <v>322.2883751</v>
      </c>
      <c r="BD16" s="161">
        <f t="shared" si="23"/>
        <v>379.852</v>
      </c>
    </row>
    <row r="17" ht="15.0" customHeight="1">
      <c r="A17" s="116" t="s">
        <v>2659</v>
      </c>
      <c r="B17" s="182">
        <v>46028.0</v>
      </c>
      <c r="C17" s="182">
        <v>46012.0</v>
      </c>
      <c r="D17" s="57" t="s">
        <v>602</v>
      </c>
      <c r="E17" s="3">
        <f t="array" ref="E17">XLOOKUP(D17,RUC!$B$3:$B$110,RUC!$D$3:$D$110)</f>
        <v>20169040231</v>
      </c>
      <c r="G17" s="141">
        <v>17.0</v>
      </c>
      <c r="H17" s="3" t="s">
        <v>47</v>
      </c>
      <c r="I17" s="6">
        <v>1.52</v>
      </c>
      <c r="J17" s="58">
        <v>1.2</v>
      </c>
      <c r="K17" s="6">
        <f t="shared" si="2"/>
        <v>1.502</v>
      </c>
      <c r="L17" s="139">
        <v>0.205</v>
      </c>
      <c r="M17" s="60">
        <f t="shared" ref="M17:M18" si="24">ROUND(+IF(AN17="Melchor Vera",IF(L17&gt;0.467,L17*0.985,(L17-0.007)),IF(L17&gt;0.3,L17*0.94,(L17-0.018))),3)</f>
        <v>0.187</v>
      </c>
      <c r="N17" s="62">
        <f>+M17</f>
        <v>0.187</v>
      </c>
      <c r="O17" s="60">
        <f t="shared" si="4"/>
        <v>0.187</v>
      </c>
      <c r="P17" s="63">
        <v>85.0</v>
      </c>
      <c r="Q17" s="58">
        <v>91.23</v>
      </c>
      <c r="R17" s="65">
        <v>4421.65</v>
      </c>
      <c r="S17" s="66">
        <f t="array" ref="S17">IF((XLOOKUP(D17,RUC!$B$3:$B$106,RUC!$E$3:$E$106)+ROUNDDOWN(O17,1)*100)&lt;95,95,((XLOOKUP(D17,RUC!$B$3:$B$106,RUC!$E$3:$E$106)+ROUNDDOWN(O17,1)*100)))</f>
        <v>95</v>
      </c>
      <c r="U17" s="67">
        <f t="array" ref="U17">XLOOKUP(D17,RUC!$B$3:$B$110,RUC!$F$3:$F$110)</f>
        <v>120</v>
      </c>
      <c r="V17" s="67">
        <v>1.1023</v>
      </c>
      <c r="Y17" s="199">
        <v>45.0</v>
      </c>
      <c r="Z17" s="140">
        <v>38.0</v>
      </c>
      <c r="AA17" s="70">
        <f t="shared" si="5"/>
        <v>83</v>
      </c>
      <c r="AB17" s="71">
        <f t="shared" si="16"/>
        <v>557.485213</v>
      </c>
      <c r="AC17" s="71">
        <f>+(S17-T17)*V17-'data 1'!$F$4</f>
        <v>24.7185</v>
      </c>
      <c r="AD17" s="71">
        <f t="shared" si="6"/>
        <v>60.55873388</v>
      </c>
      <c r="AE17" s="71">
        <f t="shared" si="7"/>
        <v>21.4909</v>
      </c>
      <c r="AF17" s="71">
        <f t="shared" si="8"/>
        <v>77.86549681</v>
      </c>
      <c r="AG17" s="72">
        <f t="shared" si="17"/>
        <v>201.6336307</v>
      </c>
      <c r="AH17" s="193">
        <f t="shared" si="9"/>
        <v>9.631</v>
      </c>
      <c r="AI17" s="193">
        <f t="shared" si="10"/>
        <v>10.557</v>
      </c>
      <c r="AJ17" s="73">
        <f t="shared" si="11"/>
        <v>162.5213478</v>
      </c>
      <c r="AK17" s="73">
        <f t="shared" si="12"/>
        <v>8.185392971</v>
      </c>
      <c r="AM17" s="51">
        <f t="shared" si="13"/>
        <v>837.3427899</v>
      </c>
      <c r="AN17" s="51" t="str">
        <f t="array" ref="AN17">XLOOKUP(D17,RUC!$B$3:$B$565,RUC!$M$3:$M$565)</f>
        <v>Ronald Miranda</v>
      </c>
      <c r="AO17" s="131" t="s">
        <v>558</v>
      </c>
      <c r="AP17" s="57" t="s">
        <v>2534</v>
      </c>
      <c r="AQ17" s="57" t="s">
        <v>2535</v>
      </c>
      <c r="AV17" s="160" t="s">
        <v>692</v>
      </c>
      <c r="AW17" s="6">
        <f t="shared" si="18"/>
        <v>0</v>
      </c>
      <c r="AX17" s="6">
        <f t="array" ref="AX17">+SUMPRODUCT(IF($AO$4:$AO$920=AV17,$L$4:$L$920*$K$4:$K$920/AW17))</f>
        <v>0</v>
      </c>
      <c r="AY17" s="145">
        <f t="shared" si="19"/>
        <v>0</v>
      </c>
      <c r="AZ17" s="58">
        <f t="array" ref="AZ17">+SUMPRODUCT(IF('36'!$AO$4:$AO$812=AV17,('36'!$Q$4:$Q$812*'36'!$AH$4:$AH$812)/SUMIF('36'!$AO$4:$AO$812,#REF!,'36'!$AH$4:$AH$812)))</f>
        <v>0</v>
      </c>
      <c r="BA17" s="65">
        <f t="shared" si="20"/>
        <v>0</v>
      </c>
      <c r="BB17" s="65">
        <f t="shared" si="21"/>
        <v>0</v>
      </c>
      <c r="BC17" s="58">
        <f t="shared" si="22"/>
        <v>322.2883751</v>
      </c>
      <c r="BD17" s="161">
        <f t="shared" si="23"/>
        <v>379.852</v>
      </c>
    </row>
    <row r="18" ht="15.0" customHeight="1">
      <c r="A18" s="116" t="s">
        <v>2660</v>
      </c>
      <c r="B18" s="182">
        <v>46028.0</v>
      </c>
      <c r="C18" s="182">
        <v>46012.0</v>
      </c>
      <c r="D18" s="57" t="s">
        <v>602</v>
      </c>
      <c r="E18" s="3">
        <f t="array" ref="E18">XLOOKUP(D18,RUC!$B$3:$B$110,RUC!$D$3:$D$110)</f>
        <v>20169040231</v>
      </c>
      <c r="G18" s="141">
        <v>25.0</v>
      </c>
      <c r="H18" s="3" t="s">
        <v>40</v>
      </c>
      <c r="I18" s="6">
        <v>2.0</v>
      </c>
      <c r="J18" s="58">
        <v>2.45</v>
      </c>
      <c r="K18" s="6">
        <f t="shared" si="2"/>
        <v>1.951</v>
      </c>
      <c r="L18" s="139">
        <v>2.491</v>
      </c>
      <c r="M18" s="60">
        <f t="shared" si="24"/>
        <v>2.342</v>
      </c>
      <c r="N18" s="75">
        <v>2.51</v>
      </c>
      <c r="O18" s="60">
        <f t="shared" si="4"/>
        <v>2.426</v>
      </c>
      <c r="P18" s="63">
        <v>90.0</v>
      </c>
      <c r="Q18" s="58">
        <v>94.41</v>
      </c>
      <c r="R18" s="65">
        <v>4421.65</v>
      </c>
      <c r="S18" s="66">
        <f t="array" ref="S18">IF((XLOOKUP(D18,RUC!$B$3:$B$106,RUC!$E$3:$E$106)+ROUNDDOWN(O18,1)*100)&lt;95,95,((XLOOKUP(D18,RUC!$B$3:$B$106,RUC!$E$3:$E$106)+ROUNDDOWN(O18,1)*100)))</f>
        <v>325</v>
      </c>
      <c r="U18" s="67">
        <f t="array" ref="U18">XLOOKUP(D18,RUC!$B$3:$B$110,RUC!$F$3:$F$110)</f>
        <v>120</v>
      </c>
      <c r="V18" s="67">
        <v>1.1023</v>
      </c>
      <c r="Y18" s="199">
        <v>35.0</v>
      </c>
      <c r="Z18" s="140">
        <v>48.0</v>
      </c>
      <c r="AA18" s="70">
        <f t="shared" si="5"/>
        <v>83</v>
      </c>
      <c r="AB18" s="71">
        <f t="shared" si="16"/>
        <v>9903.308583</v>
      </c>
      <c r="AC18" s="71">
        <f>+(S18-T18)*V18-'data 1'!$F$4</f>
        <v>278.2475</v>
      </c>
      <c r="AD18" s="71">
        <f t="shared" si="6"/>
        <v>520.8914104</v>
      </c>
      <c r="AE18" s="71">
        <f t="shared" si="7"/>
        <v>21.4909</v>
      </c>
      <c r="AF18" s="71">
        <f t="shared" si="8"/>
        <v>290.9820728</v>
      </c>
      <c r="AG18" s="72">
        <f t="shared" si="17"/>
        <v>1128.611883</v>
      </c>
      <c r="AH18" s="193">
        <f t="shared" si="9"/>
        <v>157.311</v>
      </c>
      <c r="AI18" s="193">
        <f t="shared" si="10"/>
        <v>166.625</v>
      </c>
      <c r="AJ18" s="73">
        <f t="shared" si="11"/>
        <v>2043.669223</v>
      </c>
      <c r="AK18" s="73">
        <f t="shared" si="12"/>
        <v>146.0493554</v>
      </c>
      <c r="AM18" s="51">
        <f t="shared" si="13"/>
        <v>19321.35505</v>
      </c>
      <c r="AN18" s="51" t="str">
        <f t="array" ref="AN18">XLOOKUP(D18,RUC!$B$3:$B$565,RUC!$M$3:$M$565)</f>
        <v>Ronald Miranda</v>
      </c>
      <c r="AO18" s="131" t="s">
        <v>558</v>
      </c>
      <c r="AP18" s="57" t="s">
        <v>2534</v>
      </c>
      <c r="AQ18" s="57" t="s">
        <v>2535</v>
      </c>
      <c r="AV18" s="163" t="s">
        <v>693</v>
      </c>
      <c r="AW18" s="165">
        <f t="shared" si="18"/>
        <v>0</v>
      </c>
      <c r="AX18" s="165">
        <f t="array" ref="AX18">+SUMPRODUCT(IF('36'!$AO$4:$AO$812=AV18,'36'!$L$4:$L$812*'36'!$K$4:$K$812/AW18))</f>
        <v>0</v>
      </c>
      <c r="AY18" s="166">
        <f t="shared" si="19"/>
        <v>0</v>
      </c>
      <c r="AZ18" s="168">
        <f t="array" ref="AZ18">+SUMPRODUCT(IF('36'!$AO$4:$AO$812=AV18,('36'!$Q$4:$Q$812*'36'!$AH$4:$AH$812)/SUMIF('36'!$AO$4:$AO$812,#REF!,'36'!$AH$4:$AH$812)))</f>
        <v>0</v>
      </c>
      <c r="BA18" s="167">
        <f t="shared" si="20"/>
        <v>0</v>
      </c>
      <c r="BB18" s="167">
        <f t="shared" si="21"/>
        <v>0</v>
      </c>
      <c r="BC18" s="168">
        <f t="shared" si="22"/>
        <v>322.2883751</v>
      </c>
      <c r="BD18" s="169">
        <f t="shared" si="23"/>
        <v>379.852</v>
      </c>
    </row>
    <row r="19" ht="15.0" customHeight="1">
      <c r="A19" s="116" t="s">
        <v>2661</v>
      </c>
      <c r="B19" s="182">
        <v>46028.0</v>
      </c>
      <c r="C19" s="182">
        <v>46012.0</v>
      </c>
      <c r="D19" s="57" t="s">
        <v>602</v>
      </c>
      <c r="E19" s="3">
        <v>2.0169040231E10</v>
      </c>
      <c r="G19" s="141">
        <v>49.0</v>
      </c>
      <c r="H19" s="3" t="s">
        <v>40</v>
      </c>
      <c r="I19" s="6">
        <v>3.1</v>
      </c>
      <c r="J19" s="58">
        <v>7.4</v>
      </c>
      <c r="K19" s="6">
        <v>2.871</v>
      </c>
      <c r="L19" s="139">
        <v>0.672</v>
      </c>
      <c r="M19" s="60">
        <v>0.646</v>
      </c>
      <c r="N19" s="75">
        <v>0.697</v>
      </c>
      <c r="O19" s="60">
        <v>0.672</v>
      </c>
      <c r="P19" s="63">
        <v>79.0</v>
      </c>
      <c r="Q19" s="58">
        <v>79.76</v>
      </c>
      <c r="R19" s="65">
        <v>4421.65</v>
      </c>
      <c r="S19" s="66">
        <v>145.0</v>
      </c>
      <c r="U19" s="67">
        <v>120.0</v>
      </c>
      <c r="V19" s="67">
        <v>1.1023</v>
      </c>
      <c r="Y19" s="199">
        <v>35.0</v>
      </c>
      <c r="Z19" s="140">
        <v>48.0</v>
      </c>
      <c r="AA19" s="70">
        <v>83.0</v>
      </c>
      <c r="AB19" s="71">
        <v>2265.9539650896</v>
      </c>
      <c r="AC19" s="71">
        <v>79.83350000000002</v>
      </c>
      <c r="AD19" s="71">
        <v>24.216855157824167</v>
      </c>
      <c r="AE19" s="71">
        <v>21.490900000000003</v>
      </c>
      <c r="AF19" s="71">
        <v>0.0</v>
      </c>
      <c r="AG19" s="72">
        <v>142.5412551578242</v>
      </c>
      <c r="AH19" s="193">
        <v>52.759</v>
      </c>
      <c r="AI19" s="193">
        <v>66.147</v>
      </c>
      <c r="AJ19" s="73">
        <v>-207.7613925354238</v>
      </c>
      <c r="AK19" s="73">
        <v>52.256296365722065</v>
      </c>
      <c r="AM19" s="51">
        <v>6505.553833772241</v>
      </c>
      <c r="AN19" s="51" t="s">
        <v>2662</v>
      </c>
      <c r="AO19" s="131" t="s">
        <v>558</v>
      </c>
      <c r="AP19" s="57" t="s">
        <v>2534</v>
      </c>
      <c r="AQ19" s="57" t="s">
        <v>2535</v>
      </c>
      <c r="AR19" s="57" t="s">
        <v>2663</v>
      </c>
      <c r="AV19" s="2"/>
      <c r="AW19" s="6"/>
      <c r="AX19" s="6"/>
      <c r="AY19" s="145"/>
      <c r="AZ19" s="58"/>
      <c r="BA19" s="65"/>
      <c r="BB19" s="65"/>
      <c r="BC19" s="58"/>
      <c r="BD19" s="65"/>
    </row>
    <row r="20" ht="15.0" customHeight="1">
      <c r="A20" s="116" t="s">
        <v>2664</v>
      </c>
      <c r="B20" s="182">
        <v>46024.0</v>
      </c>
      <c r="C20" s="182">
        <v>46012.0</v>
      </c>
      <c r="D20" s="57" t="s">
        <v>225</v>
      </c>
      <c r="E20" s="3">
        <f t="array" ref="E20">XLOOKUP(D20,RUC!$B$3:$B$110,RUC!$D$3:$D$110)</f>
        <v>10761932735</v>
      </c>
      <c r="G20" s="141">
        <v>56.0</v>
      </c>
      <c r="H20" s="3" t="s">
        <v>47</v>
      </c>
      <c r="I20" s="6">
        <v>4.37</v>
      </c>
      <c r="J20" s="58">
        <v>4.2</v>
      </c>
      <c r="K20" s="6">
        <f t="shared" ref="K20:K38" si="25">ROUND(+I20-(I20*(J20/100)),3)</f>
        <v>4.186</v>
      </c>
      <c r="L20" s="139">
        <v>3.238</v>
      </c>
      <c r="M20" s="60">
        <f>ROUND(+IF(AN20="Melchor Vera",IF(L20&gt;0.467,L20*0.985,(L20-0.007)),IF(L20&gt;0.3,L20*0.94,(L20-0.018))),3)</f>
        <v>3.044</v>
      </c>
      <c r="N20" s="75">
        <v>3.28</v>
      </c>
      <c r="O20" s="60">
        <f t="shared" ref="O20:O38" si="26">+ROUND((M20+N20)/2,3)</f>
        <v>3.162</v>
      </c>
      <c r="P20" s="63">
        <v>90.0</v>
      </c>
      <c r="Q20" s="58">
        <v>96.29</v>
      </c>
      <c r="R20" s="65">
        <v>4421.65</v>
      </c>
      <c r="S20" s="66">
        <f t="array" ref="S20">IF((XLOOKUP(D20,RUC!$B$3:$B$106,RUC!$E$3:$E$106)+ROUNDDOWN(O20,1)*100)&lt;95,95,((XLOOKUP(D20,RUC!$B$3:$B$106,RUC!$E$3:$E$106)+ROUNDDOWN(O20,1)*100)))</f>
        <v>400</v>
      </c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69">
        <f t="array" ref="Z20">XLOOKUP(D20,RUC!$B$3:$B$110,RUC!$H$3:$H$110)</f>
        <v>30</v>
      </c>
      <c r="AA20" s="70">
        <f t="shared" ref="AA20:AA38" si="27">+Y20+Z20</f>
        <v>50</v>
      </c>
      <c r="AB20" s="71">
        <f t="shared" ref="AB20:AB38" si="28">+((O20*P20*(R20-U20)/100)-S20-AA20+T20)*V20</f>
        <v>12997.91989</v>
      </c>
      <c r="AC20" s="71">
        <f>+(S20-T20)*V20-'data 1'!$F$4</f>
        <v>360.92</v>
      </c>
      <c r="AD20" s="71">
        <f t="shared" ref="AD20:AD38" si="29">+(Q20-P20)*(R20-U20)*L20*V20/100</f>
        <v>965.7447786</v>
      </c>
      <c r="AE20" s="71">
        <f t="shared" ref="AE20:AE38" si="30">+(Y20*V20-70)+V20*(Z20-IF(D20="UNTUCA",IF(+((W20-3)*2.5+(X20-3)*3.1)&gt;0,+((W20-3)*1.5+(X20-3)*3.1),0),IF(+((W20-3)*1.5+(X20-3)*3.1)&gt;0,+((W20-3)*1.5+(X20-3)*3.1),0)))</f>
        <v>-14.885</v>
      </c>
      <c r="AF20" s="71">
        <f t="shared" ref="AF20:AF38" si="31">(L20-O20)*(R20-U20)*Q20*V20/100</f>
        <v>347.0001463</v>
      </c>
      <c r="AG20" s="72">
        <f t="shared" ref="AG20:AG38" si="32">AC20+AD20+AE20+AF20+70-53</f>
        <v>1675.779925</v>
      </c>
      <c r="AH20" s="193">
        <f t="shared" ref="AH20:AH38" si="33">ROUND((31.1035*L20*Q20*1.1023*K20/100),3)</f>
        <v>447.472</v>
      </c>
      <c r="AI20" s="193">
        <f t="shared" ref="AI20:AI38" si="34">ROUND((31.1035*L20*1.1023*K20),3)</f>
        <v>464.713</v>
      </c>
      <c r="AJ20" s="73">
        <f t="shared" ref="AJ20:AJ38" si="35">+((+$AJ$2-R20+U20)*L20*Q20*V20)/100</f>
        <v>2709.423607</v>
      </c>
      <c r="AK20" s="73">
        <f t="shared" ref="AK20:AK38" si="36">31.1035*1.1023*K20*P20*O20/100</f>
        <v>408.4253297</v>
      </c>
      <c r="AM20" s="51">
        <f t="shared" ref="AM20:AM38" si="37">+IF(AB20*K20&gt;0,AB20*K20,0)</f>
        <v>54409.29265</v>
      </c>
      <c r="AN20" s="51" t="str">
        <f t="array" ref="AN20">XLOOKUP(D20,RUC!$B$3:$B$565,RUC!$M$3:$M$565)</f>
        <v>Richard Sapacayo</v>
      </c>
      <c r="AO20" s="131" t="s">
        <v>547</v>
      </c>
      <c r="AP20" s="57" t="s">
        <v>2540</v>
      </c>
      <c r="AQ20" s="57" t="s">
        <v>2541</v>
      </c>
    </row>
    <row r="21" ht="15.0" customHeight="1">
      <c r="A21" s="116" t="s">
        <v>2665</v>
      </c>
      <c r="B21" s="182">
        <v>46024.0</v>
      </c>
      <c r="C21" s="182">
        <v>46012.0</v>
      </c>
      <c r="D21" s="57" t="s">
        <v>225</v>
      </c>
      <c r="E21" s="3">
        <f t="array" ref="E21">XLOOKUP(D21,RUC!$B$3:$B$110,RUC!$D$3:$D$110)</f>
        <v>10761932735</v>
      </c>
      <c r="G21" s="141">
        <v>58.0</v>
      </c>
      <c r="H21" s="3" t="s">
        <v>47</v>
      </c>
      <c r="I21" s="6">
        <v>5.12</v>
      </c>
      <c r="J21" s="58">
        <v>16.78</v>
      </c>
      <c r="K21" s="6">
        <f t="shared" si="25"/>
        <v>4.261</v>
      </c>
      <c r="L21" s="139">
        <v>0.548</v>
      </c>
      <c r="M21" s="60">
        <f t="shared" ref="M21:M38" si="38">ROUND(+IF(AN21="Melchor Vera",IF(L21&gt;0.467,L21*0.985,(L21-0.007)),IF(L21&gt;0.3,L21*0.94,(L21-0.019))),3)</f>
        <v>0.515</v>
      </c>
      <c r="N21" s="62">
        <f t="shared" ref="N21:N22" si="39">+M21</f>
        <v>0.515</v>
      </c>
      <c r="O21" s="60">
        <f t="shared" si="26"/>
        <v>0.515</v>
      </c>
      <c r="P21" s="63">
        <v>90.0</v>
      </c>
      <c r="Q21" s="58">
        <v>93.8</v>
      </c>
      <c r="R21" s="65">
        <v>4421.65</v>
      </c>
      <c r="S21" s="66">
        <f t="array" ref="S21">IF((XLOOKUP(D21,RUC!$B$3:$B$106,RUC!$E$3:$E$106)+ROUNDDOWN(O21,1)*100)&lt;95,95,((XLOOKUP(D21,RUC!$B$3:$B$106,RUC!$E$3:$E$106)+ROUNDDOWN(O21,1)*100)))</f>
        <v>140</v>
      </c>
      <c r="U21" s="67">
        <f t="array" ref="U21">XLOOKUP(D21,RUC!$B$3:$B$110,RUC!$F$3:$F$110)</f>
        <v>120</v>
      </c>
      <c r="V21" s="67">
        <v>1.1023</v>
      </c>
      <c r="Y21" s="57">
        <f t="array" ref="Y21">XLOOKUP(D21,RUC!$B$3:$B$110,RUC!$G$3:$G$110)</f>
        <v>20</v>
      </c>
      <c r="Z21" s="69">
        <f t="array" ref="Z21">XLOOKUP(D21,RUC!$B$3:$B$110,RUC!$H$3:$H$110)</f>
        <v>30</v>
      </c>
      <c r="AA21" s="70">
        <f t="shared" si="27"/>
        <v>50</v>
      </c>
      <c r="AB21" s="71">
        <f t="shared" si="28"/>
        <v>1988.345026</v>
      </c>
      <c r="AC21" s="71">
        <f>+(S21-T21)*V21-'data 1'!$F$4</f>
        <v>74.322</v>
      </c>
      <c r="AD21" s="71">
        <f t="shared" si="29"/>
        <v>98.74134395</v>
      </c>
      <c r="AE21" s="71">
        <f t="shared" si="30"/>
        <v>-14.885</v>
      </c>
      <c r="AF21" s="71">
        <f t="shared" si="31"/>
        <v>146.774854</v>
      </c>
      <c r="AG21" s="72">
        <f t="shared" si="32"/>
        <v>321.953198</v>
      </c>
      <c r="AH21" s="193">
        <f t="shared" si="33"/>
        <v>75.094</v>
      </c>
      <c r="AI21" s="193">
        <f t="shared" si="34"/>
        <v>80.057</v>
      </c>
      <c r="AJ21" s="73">
        <f t="shared" si="35"/>
        <v>446.6859333</v>
      </c>
      <c r="AK21" s="73">
        <f t="shared" si="36"/>
        <v>67.71273284</v>
      </c>
      <c r="AM21" s="51">
        <f t="shared" si="37"/>
        <v>8472.338158</v>
      </c>
      <c r="AN21" s="51" t="str">
        <f t="array" ref="AN21">XLOOKUP(D21,RUC!$B$3:$B$565,RUC!$M$3:$M$565)</f>
        <v>Richard Sapacayo</v>
      </c>
      <c r="AO21" s="131" t="s">
        <v>547</v>
      </c>
      <c r="AP21" s="57" t="s">
        <v>2540</v>
      </c>
      <c r="AQ21" s="57" t="s">
        <v>2541</v>
      </c>
    </row>
    <row r="22" ht="15.0" customHeight="1">
      <c r="A22" s="116" t="s">
        <v>2666</v>
      </c>
      <c r="B22" s="182">
        <v>46020.0</v>
      </c>
      <c r="C22" s="182">
        <v>46013.0</v>
      </c>
      <c r="D22" s="57" t="s">
        <v>602</v>
      </c>
      <c r="E22" s="3">
        <f t="array" ref="E22">XLOOKUP(D22,RUC!$B$3:$B$110,RUC!$D$3:$D$110)</f>
        <v>20169040231</v>
      </c>
      <c r="G22" s="141">
        <v>50.0</v>
      </c>
      <c r="H22" s="3" t="s">
        <v>47</v>
      </c>
      <c r="I22" s="6">
        <v>4.43</v>
      </c>
      <c r="J22" s="58">
        <v>3.95</v>
      </c>
      <c r="K22" s="6">
        <f t="shared" si="25"/>
        <v>4.255</v>
      </c>
      <c r="L22" s="139">
        <v>0.294</v>
      </c>
      <c r="M22" s="60">
        <f t="shared" si="38"/>
        <v>0.275</v>
      </c>
      <c r="N22" s="62">
        <f t="shared" si="39"/>
        <v>0.275</v>
      </c>
      <c r="O22" s="60">
        <f t="shared" si="26"/>
        <v>0.275</v>
      </c>
      <c r="P22" s="63">
        <v>90.0</v>
      </c>
      <c r="Q22" s="58">
        <v>93.54</v>
      </c>
      <c r="R22" s="65">
        <v>4421.65</v>
      </c>
      <c r="S22" s="66">
        <f t="array" ref="S22">IF((XLOOKUP(D22,RUC!$B$3:$B$106,RUC!$E$3:$E$106)+ROUNDDOWN(O22,1)*100)&lt;95,95,((XLOOKUP(D22,RUC!$B$3:$B$106,RUC!$E$3:$E$106)+ROUNDDOWN(O22,1)*100)))</f>
        <v>105</v>
      </c>
      <c r="U22" s="67">
        <f t="array" ref="U22">XLOOKUP(D22,RUC!$B$3:$B$110,RUC!$F$3:$F$110)</f>
        <v>120</v>
      </c>
      <c r="V22" s="67">
        <v>1.1023</v>
      </c>
      <c r="Y22" s="199">
        <v>25.0</v>
      </c>
      <c r="Z22" s="140">
        <v>38.0</v>
      </c>
      <c r="AA22" s="70">
        <f t="shared" si="27"/>
        <v>63</v>
      </c>
      <c r="AB22" s="71">
        <f t="shared" si="28"/>
        <v>988.3865268</v>
      </c>
      <c r="AC22" s="71">
        <f>+(S22-T22)*V22-'data 1'!$F$4</f>
        <v>35.7415</v>
      </c>
      <c r="AD22" s="71">
        <f t="shared" si="29"/>
        <v>49.34980845</v>
      </c>
      <c r="AE22" s="71">
        <f t="shared" si="30"/>
        <v>-0.5551</v>
      </c>
      <c r="AF22" s="71">
        <f t="shared" si="31"/>
        <v>84.27249373</v>
      </c>
      <c r="AG22" s="72">
        <f t="shared" si="32"/>
        <v>185.8087022</v>
      </c>
      <c r="AH22" s="193">
        <f t="shared" si="33"/>
        <v>40.119</v>
      </c>
      <c r="AI22" s="193">
        <f t="shared" si="34"/>
        <v>42.89</v>
      </c>
      <c r="AJ22" s="73">
        <f t="shared" si="35"/>
        <v>238.9811108</v>
      </c>
      <c r="AK22" s="73">
        <f t="shared" si="36"/>
        <v>36.10637072</v>
      </c>
      <c r="AM22" s="51">
        <f t="shared" si="37"/>
        <v>4205.584671</v>
      </c>
      <c r="AN22" s="51" t="str">
        <f t="array" ref="AN22">XLOOKUP(D22,RUC!$B$3:$B$565,RUC!$M$3:$M$565)</f>
        <v>Ronald Miranda</v>
      </c>
      <c r="AO22" s="131" t="s">
        <v>558</v>
      </c>
      <c r="AP22" s="57" t="s">
        <v>2667</v>
      </c>
      <c r="AQ22" s="57" t="s">
        <v>1450</v>
      </c>
    </row>
    <row r="23" ht="15.0" customHeight="1">
      <c r="A23" s="116" t="s">
        <v>2668</v>
      </c>
      <c r="B23" s="182">
        <v>46020.0</v>
      </c>
      <c r="C23" s="182">
        <v>46013.0</v>
      </c>
      <c r="D23" s="57" t="s">
        <v>665</v>
      </c>
      <c r="E23" s="3">
        <f t="array" ref="E23">XLOOKUP(D23,RUC!$B$3:$B$110,RUC!$D$3:$D$110)</f>
        <v>20608774000</v>
      </c>
      <c r="G23" s="141">
        <v>30.0</v>
      </c>
      <c r="H23" s="3" t="s">
        <v>47</v>
      </c>
      <c r="I23" s="6">
        <v>2.86</v>
      </c>
      <c r="J23" s="58">
        <v>1.4</v>
      </c>
      <c r="K23" s="6">
        <f t="shared" si="25"/>
        <v>2.82</v>
      </c>
      <c r="L23" s="139">
        <v>0.707</v>
      </c>
      <c r="M23" s="60">
        <f t="shared" si="38"/>
        <v>0.665</v>
      </c>
      <c r="N23" s="75">
        <v>0.764</v>
      </c>
      <c r="O23" s="60">
        <f t="shared" si="26"/>
        <v>0.715</v>
      </c>
      <c r="P23" s="63">
        <v>90.0</v>
      </c>
      <c r="Q23" s="58">
        <v>95.47</v>
      </c>
      <c r="R23" s="65">
        <v>4421.65</v>
      </c>
      <c r="S23" s="66">
        <f t="array" ref="S23">IF((XLOOKUP(D23,RUC!$B$3:$B$106,RUC!$E$3:$E$106)+ROUNDDOWN(O23,1)*100)&lt;95,95,((XLOOKUP(D23,RUC!$B$3:$B$106,RUC!$E$3:$E$106)+ROUNDDOWN(O23,1)*100)))</f>
        <v>155</v>
      </c>
      <c r="U23" s="67">
        <f t="array" ref="U23">XLOOKUP(D23,RUC!$B$3:$B$110,RUC!$F$3:$F$110)</f>
        <v>120</v>
      </c>
      <c r="V23" s="67">
        <v>1.1023</v>
      </c>
      <c r="Y23" s="199">
        <v>25.0</v>
      </c>
      <c r="Z23" s="140">
        <v>35.0</v>
      </c>
      <c r="AA23" s="70">
        <f t="shared" si="27"/>
        <v>60</v>
      </c>
      <c r="AB23" s="71">
        <f t="shared" si="28"/>
        <v>2814.29511</v>
      </c>
      <c r="AC23" s="71">
        <f>+(S23-T23)*V23-'data 1'!$F$4</f>
        <v>90.8565</v>
      </c>
      <c r="AD23" s="71">
        <f t="shared" si="29"/>
        <v>183.3756301</v>
      </c>
      <c r="AE23" s="71">
        <f t="shared" si="30"/>
        <v>-3.862</v>
      </c>
      <c r="AF23" s="71">
        <f t="shared" si="31"/>
        <v>-36.21527509</v>
      </c>
      <c r="AG23" s="72">
        <f t="shared" si="32"/>
        <v>251.154855</v>
      </c>
      <c r="AH23" s="193">
        <f t="shared" si="33"/>
        <v>65.26</v>
      </c>
      <c r="AI23" s="193">
        <f t="shared" si="34"/>
        <v>68.356</v>
      </c>
      <c r="AJ23" s="73">
        <f t="shared" si="35"/>
        <v>586.5502385</v>
      </c>
      <c r="AK23" s="73">
        <f t="shared" si="36"/>
        <v>62.21666513</v>
      </c>
      <c r="AM23" s="51">
        <f t="shared" si="37"/>
        <v>7936.312209</v>
      </c>
      <c r="AN23" s="51" t="str">
        <f t="array" ref="AN23">XLOOKUP(D23,RUC!$B$3:$B$565,RUC!$M$3:$M$565)</f>
        <v>Ronald Miranda</v>
      </c>
      <c r="AO23" s="131" t="s">
        <v>551</v>
      </c>
      <c r="AP23" s="57" t="s">
        <v>2555</v>
      </c>
      <c r="AQ23" s="57" t="s">
        <v>1446</v>
      </c>
    </row>
    <row r="24" ht="15.0" customHeight="1">
      <c r="A24" s="116" t="s">
        <v>2669</v>
      </c>
      <c r="B24" s="182">
        <v>46024.0</v>
      </c>
      <c r="C24" s="182">
        <v>46013.0</v>
      </c>
      <c r="D24" s="57" t="s">
        <v>295</v>
      </c>
      <c r="E24" s="3">
        <f t="array" ref="E24">XLOOKUP(D24,RUC!$B$3:$B$110,RUC!$D$3:$D$110)</f>
        <v>20601769396</v>
      </c>
      <c r="G24" s="141">
        <v>38.0</v>
      </c>
      <c r="H24" s="3" t="s">
        <v>40</v>
      </c>
      <c r="I24" s="6">
        <v>2.83</v>
      </c>
      <c r="J24" s="58">
        <v>16.08</v>
      </c>
      <c r="K24" s="6">
        <f t="shared" si="25"/>
        <v>2.375</v>
      </c>
      <c r="L24" s="139">
        <v>0.26</v>
      </c>
      <c r="M24" s="60">
        <f t="shared" si="38"/>
        <v>0.241</v>
      </c>
      <c r="N24" s="62">
        <f t="shared" ref="N24:N31" si="40">+M24</f>
        <v>0.241</v>
      </c>
      <c r="O24" s="60">
        <f t="shared" si="26"/>
        <v>0.241</v>
      </c>
      <c r="P24" s="63">
        <v>90.0</v>
      </c>
      <c r="Q24" s="58">
        <v>95.38</v>
      </c>
      <c r="R24" s="65">
        <v>4421.65</v>
      </c>
      <c r="S24" s="66">
        <f t="array" ref="S24">IF((XLOOKUP(D24,RUC!$B$3:$B$106,RUC!$E$3:$E$106)+ROUNDDOWN(O24,1)*100)&lt;95,95,((XLOOKUP(D24,RUC!$B$3:$B$106,RUC!$E$3:$E$106)+ROUNDDOWN(O24,1)*100)))</f>
        <v>110</v>
      </c>
      <c r="U24" s="67">
        <f t="array" ref="U24">XLOOKUP(D24,RUC!$B$3:$B$110,RUC!$F$3:$F$110)</f>
        <v>120</v>
      </c>
      <c r="V24" s="67">
        <v>1.1023</v>
      </c>
      <c r="Y24" s="199">
        <v>30.0</v>
      </c>
      <c r="Z24" s="140">
        <v>40.0</v>
      </c>
      <c r="AA24" s="70">
        <f t="shared" si="27"/>
        <v>70</v>
      </c>
      <c r="AB24" s="71">
        <f t="shared" si="28"/>
        <v>830.0626376</v>
      </c>
      <c r="AC24" s="71">
        <f>+(S24-T24)*V24-'data 1'!$F$4</f>
        <v>41.253</v>
      </c>
      <c r="AD24" s="71">
        <f t="shared" si="29"/>
        <v>66.32702262</v>
      </c>
      <c r="AE24" s="71">
        <f t="shared" si="30"/>
        <v>7.161</v>
      </c>
      <c r="AF24" s="71">
        <f t="shared" si="31"/>
        <v>85.93019512</v>
      </c>
      <c r="AG24" s="72">
        <f t="shared" si="32"/>
        <v>217.6712177</v>
      </c>
      <c r="AH24" s="193">
        <f t="shared" si="33"/>
        <v>20.193</v>
      </c>
      <c r="AI24" s="193">
        <f t="shared" si="34"/>
        <v>21.171</v>
      </c>
      <c r="AJ24" s="73">
        <f t="shared" si="35"/>
        <v>215.5011269</v>
      </c>
      <c r="AK24" s="73">
        <f t="shared" si="36"/>
        <v>17.66168909</v>
      </c>
      <c r="AM24" s="51">
        <f t="shared" si="37"/>
        <v>1971.398764</v>
      </c>
      <c r="AN24" s="51" t="str">
        <f t="array" ref="AN24">XLOOKUP(D24,RUC!$B$3:$B$565,RUC!$M$3:$M$565)</f>
        <v>Evelyn</v>
      </c>
      <c r="AO24" s="131" t="s">
        <v>551</v>
      </c>
      <c r="AP24" s="57" t="s">
        <v>2171</v>
      </c>
      <c r="AQ24" s="57" t="s">
        <v>1424</v>
      </c>
      <c r="BA24" s="203"/>
    </row>
    <row r="25" ht="15.0" customHeight="1">
      <c r="A25" s="116" t="s">
        <v>2670</v>
      </c>
      <c r="B25" s="182">
        <v>46024.0</v>
      </c>
      <c r="C25" s="182">
        <v>46013.0</v>
      </c>
      <c r="D25" s="57" t="s">
        <v>295</v>
      </c>
      <c r="E25" s="3">
        <f t="array" ref="E25">XLOOKUP(D25,RUC!$B$3:$B$110,RUC!$D$3:$D$110)</f>
        <v>20601769396</v>
      </c>
      <c r="G25" s="141">
        <v>38.0</v>
      </c>
      <c r="H25" s="3" t="s">
        <v>40</v>
      </c>
      <c r="I25" s="6">
        <v>2.74</v>
      </c>
      <c r="J25" s="58">
        <v>18.4</v>
      </c>
      <c r="K25" s="6">
        <f t="shared" si="25"/>
        <v>2.236</v>
      </c>
      <c r="L25" s="139">
        <v>0.225</v>
      </c>
      <c r="M25" s="60">
        <f t="shared" si="38"/>
        <v>0.206</v>
      </c>
      <c r="N25" s="62">
        <f t="shared" si="40"/>
        <v>0.206</v>
      </c>
      <c r="O25" s="60">
        <f t="shared" si="26"/>
        <v>0.206</v>
      </c>
      <c r="P25" s="63">
        <v>90.0</v>
      </c>
      <c r="Q25" s="58">
        <v>94.67</v>
      </c>
      <c r="R25" s="65">
        <v>4421.65</v>
      </c>
      <c r="S25" s="66">
        <f t="array" ref="S25">IF((XLOOKUP(D25,RUC!$B$3:$B$106,RUC!$E$3:$E$106)+ROUNDDOWN(O25,1)*100)&lt;95,95,((XLOOKUP(D25,RUC!$B$3:$B$106,RUC!$E$3:$E$106)+ROUNDDOWN(O25,1)*100)))</f>
        <v>110</v>
      </c>
      <c r="U25" s="67">
        <f t="array" ref="U25">XLOOKUP(D25,RUC!$B$3:$B$110,RUC!$F$3:$F$110)</f>
        <v>120</v>
      </c>
      <c r="V25" s="67">
        <v>1.1023</v>
      </c>
      <c r="Y25" s="199">
        <v>30.0</v>
      </c>
      <c r="Z25" s="140">
        <v>40.0</v>
      </c>
      <c r="AA25" s="70">
        <f t="shared" si="27"/>
        <v>70</v>
      </c>
      <c r="AB25" s="71">
        <f t="shared" si="28"/>
        <v>680.6988106</v>
      </c>
      <c r="AC25" s="71">
        <f>+(S25-T25)*V25-'data 1'!$F$4</f>
        <v>41.253</v>
      </c>
      <c r="AD25" s="71">
        <f t="shared" si="29"/>
        <v>49.82350516</v>
      </c>
      <c r="AE25" s="71">
        <f t="shared" si="30"/>
        <v>7.161</v>
      </c>
      <c r="AF25" s="71">
        <f t="shared" si="31"/>
        <v>85.29053861</v>
      </c>
      <c r="AG25" s="72">
        <f t="shared" si="32"/>
        <v>200.5280438</v>
      </c>
      <c r="AH25" s="193">
        <f t="shared" si="33"/>
        <v>16.33</v>
      </c>
      <c r="AI25" s="193">
        <f t="shared" si="34"/>
        <v>17.249</v>
      </c>
      <c r="AJ25" s="73">
        <f t="shared" si="35"/>
        <v>185.1031352</v>
      </c>
      <c r="AK25" s="73">
        <f t="shared" si="36"/>
        <v>14.21315847</v>
      </c>
      <c r="AM25" s="51">
        <f t="shared" si="37"/>
        <v>1522.04254</v>
      </c>
      <c r="AN25" s="51" t="str">
        <f t="array" ref="AN25">XLOOKUP(D25,RUC!$B$3:$B$565,RUC!$M$3:$M$565)</f>
        <v>Evelyn</v>
      </c>
      <c r="AO25" s="131" t="s">
        <v>551</v>
      </c>
      <c r="AP25" s="57" t="s">
        <v>2171</v>
      </c>
      <c r="AQ25" s="57" t="s">
        <v>1424</v>
      </c>
      <c r="BA25" s="203"/>
    </row>
    <row r="26" ht="15.0" customHeight="1">
      <c r="A26" s="116" t="s">
        <v>2671</v>
      </c>
      <c r="B26" s="182">
        <v>46024.0</v>
      </c>
      <c r="C26" s="182">
        <v>46013.0</v>
      </c>
      <c r="D26" s="57" t="s">
        <v>295</v>
      </c>
      <c r="E26" s="3">
        <f t="array" ref="E26">XLOOKUP(D26,RUC!$B$3:$B$110,RUC!$D$3:$D$110)</f>
        <v>20601769396</v>
      </c>
      <c r="G26" s="141">
        <v>38.0</v>
      </c>
      <c r="H26" s="3" t="s">
        <v>40</v>
      </c>
      <c r="I26" s="6">
        <v>2.76</v>
      </c>
      <c r="J26" s="58">
        <v>17.93</v>
      </c>
      <c r="K26" s="6">
        <f t="shared" si="25"/>
        <v>2.265</v>
      </c>
      <c r="L26" s="139">
        <v>0.273</v>
      </c>
      <c r="M26" s="60">
        <f t="shared" si="38"/>
        <v>0.254</v>
      </c>
      <c r="N26" s="62">
        <f t="shared" si="40"/>
        <v>0.254</v>
      </c>
      <c r="O26" s="60">
        <f t="shared" si="26"/>
        <v>0.254</v>
      </c>
      <c r="P26" s="63">
        <v>90.0</v>
      </c>
      <c r="Q26" s="58">
        <v>94.14</v>
      </c>
      <c r="R26" s="65">
        <v>4421.65</v>
      </c>
      <c r="S26" s="66">
        <f t="array" ref="S26">IF((XLOOKUP(D26,RUC!$B$3:$B$106,RUC!$E$3:$E$106)+ROUNDDOWN(O26,1)*100)&lt;95,95,((XLOOKUP(D26,RUC!$B$3:$B$106,RUC!$E$3:$E$106)+ROUNDDOWN(O26,1)*100)))</f>
        <v>110</v>
      </c>
      <c r="U26" s="67">
        <f t="array" ref="U26">XLOOKUP(D26,RUC!$B$3:$B$110,RUC!$F$3:$F$110)</f>
        <v>120</v>
      </c>
      <c r="V26" s="67">
        <v>1.1023</v>
      </c>
      <c r="Y26" s="199">
        <v>30.0</v>
      </c>
      <c r="Z26" s="140">
        <v>40.0</v>
      </c>
      <c r="AA26" s="70">
        <f t="shared" si="27"/>
        <v>70</v>
      </c>
      <c r="AB26" s="71">
        <f t="shared" si="28"/>
        <v>885.5406305</v>
      </c>
      <c r="AC26" s="71">
        <f>+(S26-T26)*V26-'data 1'!$F$4</f>
        <v>41.253</v>
      </c>
      <c r="AD26" s="71">
        <f t="shared" si="29"/>
        <v>53.59174114</v>
      </c>
      <c r="AE26" s="71">
        <f t="shared" si="30"/>
        <v>7.161</v>
      </c>
      <c r="AF26" s="71">
        <f t="shared" si="31"/>
        <v>84.81304853</v>
      </c>
      <c r="AG26" s="72">
        <f t="shared" si="32"/>
        <v>203.8187897</v>
      </c>
      <c r="AH26" s="193">
        <f t="shared" si="33"/>
        <v>19.958</v>
      </c>
      <c r="AI26" s="193">
        <f t="shared" si="34"/>
        <v>21.2</v>
      </c>
      <c r="AJ26" s="73">
        <f t="shared" si="35"/>
        <v>223.3344505</v>
      </c>
      <c r="AK26" s="73">
        <f t="shared" si="36"/>
        <v>17.75225394</v>
      </c>
      <c r="AM26" s="51">
        <f t="shared" si="37"/>
        <v>2005.749528</v>
      </c>
      <c r="AN26" s="51" t="str">
        <f t="array" ref="AN26">XLOOKUP(D26,RUC!$B$3:$B$565,RUC!$M$3:$M$565)</f>
        <v>Evelyn</v>
      </c>
      <c r="AO26" s="131" t="s">
        <v>551</v>
      </c>
      <c r="AP26" s="57" t="s">
        <v>2171</v>
      </c>
      <c r="AQ26" s="57" t="s">
        <v>1424</v>
      </c>
      <c r="AV26" s="149" t="s">
        <v>2672</v>
      </c>
      <c r="AW26" s="150"/>
      <c r="AX26" s="150"/>
      <c r="AY26" s="150"/>
      <c r="AZ26" s="150"/>
      <c r="BA26" s="151"/>
    </row>
    <row r="27" ht="15.0" customHeight="1">
      <c r="A27" s="116" t="s">
        <v>2673</v>
      </c>
      <c r="B27" s="182">
        <v>46024.0</v>
      </c>
      <c r="C27" s="182">
        <v>46014.0</v>
      </c>
      <c r="D27" s="57" t="s">
        <v>295</v>
      </c>
      <c r="E27" s="3">
        <f t="array" ref="E27">XLOOKUP(D27,RUC!$B$3:$B$110,RUC!$D$3:$D$110)</f>
        <v>20601769396</v>
      </c>
      <c r="G27" s="141">
        <v>49.0</v>
      </c>
      <c r="H27" s="3" t="s">
        <v>40</v>
      </c>
      <c r="I27" s="6">
        <v>4.51</v>
      </c>
      <c r="J27" s="58">
        <v>11.35</v>
      </c>
      <c r="K27" s="6">
        <f t="shared" si="25"/>
        <v>3.998</v>
      </c>
      <c r="L27" s="139">
        <v>0.569</v>
      </c>
      <c r="M27" s="60">
        <f t="shared" si="38"/>
        <v>0.535</v>
      </c>
      <c r="N27" s="62">
        <f t="shared" si="40"/>
        <v>0.535</v>
      </c>
      <c r="O27" s="60">
        <f t="shared" si="26"/>
        <v>0.535</v>
      </c>
      <c r="P27" s="63">
        <v>90.0</v>
      </c>
      <c r="Q27" s="58">
        <v>94.9</v>
      </c>
      <c r="R27" s="65">
        <v>4449.4</v>
      </c>
      <c r="S27" s="66">
        <f t="array" ref="S27">IF((XLOOKUP(D27,RUC!$B$3:$B$106,RUC!$E$3:$E$106)+ROUNDDOWN(O27,1)*100)&lt;95,95,((XLOOKUP(D27,RUC!$B$3:$B$106,RUC!$E$3:$E$106)+ROUNDDOWN(O27,1)*100)))</f>
        <v>140</v>
      </c>
      <c r="U27" s="67">
        <f t="array" ref="U27">XLOOKUP(D27,RUC!$B$3:$B$110,RUC!$F$3:$F$110)</f>
        <v>120</v>
      </c>
      <c r="V27" s="67">
        <v>1.1023</v>
      </c>
      <c r="Y27" s="199">
        <v>30.0</v>
      </c>
      <c r="Z27" s="140">
        <v>40.0</v>
      </c>
      <c r="AA27" s="70">
        <f t="shared" si="27"/>
        <v>70</v>
      </c>
      <c r="AB27" s="71">
        <f t="shared" si="28"/>
        <v>2066.378304</v>
      </c>
      <c r="AC27" s="71">
        <f>+(S27-T27)*V27-'data 1'!$F$4</f>
        <v>74.322</v>
      </c>
      <c r="AD27" s="71">
        <f t="shared" si="29"/>
        <v>133.0564299</v>
      </c>
      <c r="AE27" s="71">
        <f t="shared" si="30"/>
        <v>7.161</v>
      </c>
      <c r="AF27" s="71">
        <f t="shared" si="31"/>
        <v>153.982955</v>
      </c>
      <c r="AG27" s="72">
        <f t="shared" si="32"/>
        <v>385.522385</v>
      </c>
      <c r="AH27" s="193">
        <f t="shared" si="33"/>
        <v>74.017</v>
      </c>
      <c r="AI27" s="193">
        <f t="shared" si="34"/>
        <v>77.995</v>
      </c>
      <c r="AJ27" s="73">
        <f t="shared" si="35"/>
        <v>452.7251354</v>
      </c>
      <c r="AK27" s="73">
        <f t="shared" si="36"/>
        <v>66.00064056</v>
      </c>
      <c r="AM27" s="51">
        <f t="shared" si="37"/>
        <v>8261.38046</v>
      </c>
      <c r="AN27" s="51" t="str">
        <f t="array" ref="AN27">XLOOKUP(D27,RUC!$B$3:$B$565,RUC!$M$3:$M$565)</f>
        <v>Evelyn</v>
      </c>
      <c r="AO27" s="131" t="s">
        <v>551</v>
      </c>
      <c r="AP27" s="57" t="s">
        <v>2564</v>
      </c>
      <c r="AQ27" s="57" t="s">
        <v>1164</v>
      </c>
      <c r="BA27" s="203">
        <f>SUM(BA29:BA38)</f>
        <v>0</v>
      </c>
    </row>
    <row r="28" ht="15.0" customHeight="1">
      <c r="A28" s="116" t="s">
        <v>2674</v>
      </c>
      <c r="B28" s="182">
        <v>46024.0</v>
      </c>
      <c r="C28" s="182">
        <v>46014.0</v>
      </c>
      <c r="D28" s="57" t="s">
        <v>295</v>
      </c>
      <c r="E28" s="3">
        <f t="array" ref="E28">XLOOKUP(D28,RUC!$B$3:$B$110,RUC!$D$3:$D$110)</f>
        <v>20601769396</v>
      </c>
      <c r="G28" s="141">
        <v>32.0</v>
      </c>
      <c r="H28" s="3" t="s">
        <v>40</v>
      </c>
      <c r="I28" s="6">
        <v>2.72</v>
      </c>
      <c r="J28" s="58">
        <v>13.13</v>
      </c>
      <c r="K28" s="6">
        <f t="shared" si="25"/>
        <v>2.363</v>
      </c>
      <c r="L28" s="139">
        <v>0.345</v>
      </c>
      <c r="M28" s="60">
        <f t="shared" si="38"/>
        <v>0.324</v>
      </c>
      <c r="N28" s="62">
        <f t="shared" si="40"/>
        <v>0.324</v>
      </c>
      <c r="O28" s="60">
        <f t="shared" si="26"/>
        <v>0.324</v>
      </c>
      <c r="P28" s="63">
        <v>84.0</v>
      </c>
      <c r="Q28" s="58">
        <v>84.06</v>
      </c>
      <c r="R28" s="65">
        <v>4449.4</v>
      </c>
      <c r="S28" s="66">
        <f t="array" ref="S28">IF((XLOOKUP(D28,RUC!$B$3:$B$106,RUC!$E$3:$E$106)+ROUNDDOWN(O28,1)*100)&lt;95,95,((XLOOKUP(D28,RUC!$B$3:$B$106,RUC!$E$3:$E$106)+ROUNDDOWN(O28,1)*100)))</f>
        <v>120</v>
      </c>
      <c r="U28" s="67">
        <f t="array" ref="U28">XLOOKUP(D28,RUC!$B$3:$B$110,RUC!$F$3:$F$110)</f>
        <v>120</v>
      </c>
      <c r="V28" s="67">
        <v>1.1023</v>
      </c>
      <c r="Y28" s="199">
        <v>30.0</v>
      </c>
      <c r="Z28" s="140">
        <v>40.0</v>
      </c>
      <c r="AA28" s="70">
        <f t="shared" si="27"/>
        <v>70</v>
      </c>
      <c r="AB28" s="71">
        <f t="shared" si="28"/>
        <v>1089.39152</v>
      </c>
      <c r="AC28" s="71">
        <f>+(S28-T28)*V28-'data 1'!$F$4</f>
        <v>52.276</v>
      </c>
      <c r="AD28" s="71">
        <f t="shared" si="29"/>
        <v>0.9878656073</v>
      </c>
      <c r="AE28" s="71">
        <f t="shared" si="30"/>
        <v>7.161</v>
      </c>
      <c r="AF28" s="71">
        <f t="shared" si="31"/>
        <v>84.24346097</v>
      </c>
      <c r="AG28" s="72">
        <f t="shared" si="32"/>
        <v>161.6683266</v>
      </c>
      <c r="AH28" s="193">
        <f t="shared" si="33"/>
        <v>23.495</v>
      </c>
      <c r="AI28" s="193">
        <f t="shared" si="34"/>
        <v>27.951</v>
      </c>
      <c r="AJ28" s="73">
        <f t="shared" si="35"/>
        <v>243.1445891</v>
      </c>
      <c r="AK28" s="73">
        <f t="shared" si="36"/>
        <v>22.04941579</v>
      </c>
      <c r="AM28" s="51">
        <f t="shared" si="37"/>
        <v>2574.232162</v>
      </c>
      <c r="AN28" s="51" t="str">
        <f t="array" ref="AN28">XLOOKUP(D28,RUC!$B$3:$B$565,RUC!$M$3:$M$565)</f>
        <v>Evelyn</v>
      </c>
      <c r="AO28" s="131" t="s">
        <v>551</v>
      </c>
      <c r="AP28" s="57" t="s">
        <v>2564</v>
      </c>
      <c r="AQ28" s="57" t="s">
        <v>1164</v>
      </c>
      <c r="AV28" s="3"/>
      <c r="AW28" s="3" t="s">
        <v>14</v>
      </c>
      <c r="AX28" s="3" t="s">
        <v>683</v>
      </c>
      <c r="AY28" s="3" t="s">
        <v>686</v>
      </c>
      <c r="AZ28" s="204" t="s">
        <v>700</v>
      </c>
      <c r="BA28" s="3" t="s">
        <v>687</v>
      </c>
    </row>
    <row r="29" ht="15.0" customHeight="1">
      <c r="A29" s="116" t="s">
        <v>2675</v>
      </c>
      <c r="B29" s="182">
        <v>46027.0</v>
      </c>
      <c r="C29" s="182">
        <v>46014.0</v>
      </c>
      <c r="D29" s="57" t="s">
        <v>295</v>
      </c>
      <c r="E29" s="3">
        <f t="array" ref="E29">XLOOKUP(D29,RUC!$B$3:$B$110,RUC!$D$3:$D$110)</f>
        <v>20601769396</v>
      </c>
      <c r="G29" s="141">
        <v>50.0</v>
      </c>
      <c r="H29" s="3" t="s">
        <v>40</v>
      </c>
      <c r="I29" s="6">
        <v>4.7</v>
      </c>
      <c r="J29" s="58">
        <v>8.45</v>
      </c>
      <c r="K29" s="6">
        <f t="shared" si="25"/>
        <v>4.303</v>
      </c>
      <c r="L29" s="139">
        <v>0.2</v>
      </c>
      <c r="M29" s="60">
        <f t="shared" si="38"/>
        <v>0.181</v>
      </c>
      <c r="N29" s="62">
        <f t="shared" si="40"/>
        <v>0.181</v>
      </c>
      <c r="O29" s="60">
        <f t="shared" si="26"/>
        <v>0.181</v>
      </c>
      <c r="P29" s="63">
        <v>82.0</v>
      </c>
      <c r="Q29" s="58">
        <v>82.98</v>
      </c>
      <c r="R29" s="65">
        <v>4449.4</v>
      </c>
      <c r="S29" s="66">
        <f t="array" ref="S29">IF((XLOOKUP(D29,RUC!$B$3:$B$106,RUC!$E$3:$E$106)+ROUNDDOWN(O29,1)*100)&lt;95,95,((XLOOKUP(D29,RUC!$B$3:$B$106,RUC!$E$3:$E$106)+ROUNDDOWN(O29,1)*100)))</f>
        <v>100</v>
      </c>
      <c r="U29" s="67">
        <f t="array" ref="U29">XLOOKUP(D29,RUC!$B$3:$B$110,RUC!$F$3:$F$110)</f>
        <v>120</v>
      </c>
      <c r="V29" s="67">
        <v>1.1023</v>
      </c>
      <c r="Y29" s="199">
        <v>30.0</v>
      </c>
      <c r="Z29" s="140">
        <v>40.0</v>
      </c>
      <c r="AA29" s="70">
        <f t="shared" si="27"/>
        <v>70</v>
      </c>
      <c r="AB29" s="71">
        <f t="shared" si="28"/>
        <v>520.9134128</v>
      </c>
      <c r="AC29" s="71">
        <f>+(S29-T29)*V29-'data 1'!$F$4</f>
        <v>30.23</v>
      </c>
      <c r="AD29" s="71">
        <f t="shared" si="29"/>
        <v>9.353703335</v>
      </c>
      <c r="AE29" s="71">
        <f t="shared" si="30"/>
        <v>7.161</v>
      </c>
      <c r="AF29" s="71">
        <f t="shared" si="31"/>
        <v>75.24099874</v>
      </c>
      <c r="AG29" s="72">
        <f t="shared" si="32"/>
        <v>138.9857021</v>
      </c>
      <c r="AH29" s="193">
        <f t="shared" si="33"/>
        <v>24.484</v>
      </c>
      <c r="AI29" s="193">
        <f t="shared" si="34"/>
        <v>29.506</v>
      </c>
      <c r="AJ29" s="73">
        <f t="shared" si="35"/>
        <v>139.1424207</v>
      </c>
      <c r="AK29" s="73">
        <f t="shared" si="36"/>
        <v>21.89640628</v>
      </c>
      <c r="AM29" s="51">
        <f t="shared" si="37"/>
        <v>2241.490415</v>
      </c>
      <c r="AN29" s="51" t="str">
        <f t="array" ref="AN29">XLOOKUP(D29,RUC!$B$3:$B$565,RUC!$M$3:$M$565)</f>
        <v>Evelyn</v>
      </c>
      <c r="AO29" s="131" t="s">
        <v>551</v>
      </c>
      <c r="AP29" s="57" t="s">
        <v>2564</v>
      </c>
      <c r="AQ29" s="57" t="s">
        <v>1164</v>
      </c>
      <c r="AV29" s="152" t="s">
        <v>558</v>
      </c>
      <c r="AW29" s="154">
        <f t="shared" ref="AW29:AW38" si="41">SUMIF($AO$4:$AO$920,AV29,$K$4:$K$920)</f>
        <v>94.535</v>
      </c>
      <c r="AX29" s="154"/>
      <c r="AY29" s="157">
        <f t="shared" ref="AY29:AY38" si="42">AW29*AX29*31.1035*1.1023</f>
        <v>0</v>
      </c>
      <c r="AZ29" s="58"/>
      <c r="BA29" s="159">
        <f t="shared" ref="BA29:BA38" si="43">AY29*AZ29/100</f>
        <v>0</v>
      </c>
      <c r="BB29" s="449" t="s">
        <v>2676</v>
      </c>
      <c r="BC29" s="450">
        <f>+BB7</f>
        <v>4034.222</v>
      </c>
    </row>
    <row r="30" ht="15.0" customHeight="1">
      <c r="A30" s="116" t="s">
        <v>2677</v>
      </c>
      <c r="B30" s="182">
        <v>46027.0</v>
      </c>
      <c r="C30" s="182">
        <v>46014.0</v>
      </c>
      <c r="D30" s="57" t="s">
        <v>295</v>
      </c>
      <c r="E30" s="3">
        <f t="array" ref="E30">XLOOKUP(D30,RUC!$B$3:$B$110,RUC!$D$3:$D$110)</f>
        <v>20601769396</v>
      </c>
      <c r="G30" s="141">
        <v>50.0</v>
      </c>
      <c r="H30" s="3" t="s">
        <v>40</v>
      </c>
      <c r="I30" s="6">
        <v>4.64</v>
      </c>
      <c r="J30" s="58">
        <v>7.8</v>
      </c>
      <c r="K30" s="6">
        <f t="shared" si="25"/>
        <v>4.278</v>
      </c>
      <c r="L30" s="139">
        <v>0.13</v>
      </c>
      <c r="M30" s="60">
        <f t="shared" si="38"/>
        <v>0.111</v>
      </c>
      <c r="N30" s="62">
        <f t="shared" si="40"/>
        <v>0.111</v>
      </c>
      <c r="O30" s="60">
        <f t="shared" si="26"/>
        <v>0.111</v>
      </c>
      <c r="P30" s="63">
        <v>75.0</v>
      </c>
      <c r="Q30" s="58">
        <v>75.42</v>
      </c>
      <c r="R30" s="65">
        <v>4449.4</v>
      </c>
      <c r="S30" s="66">
        <f t="array" ref="S30">IF((XLOOKUP(D30,RUC!$B$3:$B$106,RUC!$E$3:$E$106)+ROUNDDOWN(O30,1)*100)&lt;95,95,((XLOOKUP(D30,RUC!$B$3:$B$106,RUC!$E$3:$E$106)+ROUNDDOWN(O30,1)*100)))</f>
        <v>100</v>
      </c>
      <c r="U30" s="67">
        <f t="array" ref="U30">XLOOKUP(D30,RUC!$B$3:$B$110,RUC!$F$3:$F$110)</f>
        <v>120</v>
      </c>
      <c r="V30" s="67">
        <v>1.1023</v>
      </c>
      <c r="Y30" s="199">
        <v>30.0</v>
      </c>
      <c r="Z30" s="140">
        <v>40.0</v>
      </c>
      <c r="AA30" s="70">
        <f t="shared" si="27"/>
        <v>70</v>
      </c>
      <c r="AB30" s="71">
        <f t="shared" si="28"/>
        <v>209.9027769</v>
      </c>
      <c r="AC30" s="71">
        <f>+(S30-T30)*V30-'data 1'!$F$4</f>
        <v>30.23</v>
      </c>
      <c r="AD30" s="71">
        <f t="shared" si="29"/>
        <v>2.605674501</v>
      </c>
      <c r="AE30" s="71">
        <f t="shared" si="30"/>
        <v>7.161</v>
      </c>
      <c r="AF30" s="71">
        <f t="shared" si="31"/>
        <v>68.38607044</v>
      </c>
      <c r="AG30" s="72">
        <f t="shared" si="32"/>
        <v>125.3827449</v>
      </c>
      <c r="AH30" s="193">
        <f t="shared" si="33"/>
        <v>14.381</v>
      </c>
      <c r="AI30" s="193">
        <f t="shared" si="34"/>
        <v>19.067</v>
      </c>
      <c r="AJ30" s="73">
        <f t="shared" si="35"/>
        <v>82.20268607</v>
      </c>
      <c r="AK30" s="73">
        <f t="shared" si="36"/>
        <v>12.2105181</v>
      </c>
      <c r="AM30" s="51">
        <f t="shared" si="37"/>
        <v>897.9640794</v>
      </c>
      <c r="AN30" s="51" t="str">
        <f t="array" ref="AN30">XLOOKUP(D30,RUC!$B$3:$B$565,RUC!$M$3:$M$565)</f>
        <v>Evelyn</v>
      </c>
      <c r="AO30" s="131" t="s">
        <v>551</v>
      </c>
      <c r="AP30" s="57" t="s">
        <v>2564</v>
      </c>
      <c r="AQ30" s="57" t="s">
        <v>1164</v>
      </c>
      <c r="AV30" s="160" t="s">
        <v>551</v>
      </c>
      <c r="AW30" s="6">
        <f t="shared" si="41"/>
        <v>164.81</v>
      </c>
      <c r="AX30" s="6"/>
      <c r="AY30" s="58">
        <f t="shared" si="42"/>
        <v>0</v>
      </c>
      <c r="AZ30" s="58"/>
      <c r="BA30" s="162">
        <f t="shared" si="43"/>
        <v>0</v>
      </c>
      <c r="BB30" s="451" t="s">
        <v>2678</v>
      </c>
      <c r="BC30" s="452">
        <f>+'35'!BC26+'35'!BC27</f>
        <v>988.583</v>
      </c>
    </row>
    <row r="31" ht="15.0" customHeight="1">
      <c r="A31" s="116" t="s">
        <v>2679</v>
      </c>
      <c r="B31" s="182">
        <v>46027.0</v>
      </c>
      <c r="C31" s="182">
        <v>46014.0</v>
      </c>
      <c r="D31" s="57" t="s">
        <v>295</v>
      </c>
      <c r="E31" s="3">
        <f t="array" ref="E31">XLOOKUP(D31,RUC!$B$3:$B$110,RUC!$D$3:$D$110)</f>
        <v>20601769396</v>
      </c>
      <c r="G31" s="141">
        <v>50.0</v>
      </c>
      <c r="H31" s="3" t="s">
        <v>40</v>
      </c>
      <c r="I31" s="6">
        <v>4.69</v>
      </c>
      <c r="J31" s="58">
        <v>6.6</v>
      </c>
      <c r="K31" s="6">
        <f t="shared" si="25"/>
        <v>4.38</v>
      </c>
      <c r="L31" s="139">
        <v>0.203</v>
      </c>
      <c r="M31" s="60">
        <f t="shared" si="38"/>
        <v>0.184</v>
      </c>
      <c r="N31" s="62">
        <f t="shared" si="40"/>
        <v>0.184</v>
      </c>
      <c r="O31" s="60">
        <f t="shared" si="26"/>
        <v>0.184</v>
      </c>
      <c r="P31" s="63">
        <v>82.0</v>
      </c>
      <c r="Q31" s="58">
        <v>82.93</v>
      </c>
      <c r="R31" s="65">
        <v>4449.4</v>
      </c>
      <c r="S31" s="66">
        <f t="array" ref="S31">IF((XLOOKUP(D31,RUC!$B$3:$B$106,RUC!$E$3:$E$106)+ROUNDDOWN(O31,1)*100)&lt;95,95,((XLOOKUP(D31,RUC!$B$3:$B$106,RUC!$E$3:$E$106)+ROUNDDOWN(O31,1)*100)))</f>
        <v>100</v>
      </c>
      <c r="U31" s="67">
        <f t="array" ref="U31">XLOOKUP(D31,RUC!$B$3:$B$110,RUC!$F$3:$F$110)</f>
        <v>120</v>
      </c>
      <c r="V31" s="67">
        <v>1.1023</v>
      </c>
      <c r="Y31" s="199">
        <v>30.0</v>
      </c>
      <c r="Z31" s="140">
        <v>40.0</v>
      </c>
      <c r="AA31" s="70">
        <f t="shared" si="27"/>
        <v>70</v>
      </c>
      <c r="AB31" s="71">
        <f t="shared" si="28"/>
        <v>532.6532649</v>
      </c>
      <c r="AC31" s="71">
        <f>+(S31-T31)*V31-'data 1'!$F$4</f>
        <v>30.23</v>
      </c>
      <c r="AD31" s="71">
        <f t="shared" si="29"/>
        <v>9.009620677</v>
      </c>
      <c r="AE31" s="71">
        <f t="shared" si="30"/>
        <v>7.161</v>
      </c>
      <c r="AF31" s="71">
        <f t="shared" si="31"/>
        <v>75.19566191</v>
      </c>
      <c r="AG31" s="72">
        <f t="shared" si="32"/>
        <v>138.5962826</v>
      </c>
      <c r="AH31" s="193">
        <f t="shared" si="33"/>
        <v>25.281</v>
      </c>
      <c r="AI31" s="193">
        <f t="shared" si="34"/>
        <v>30.485</v>
      </c>
      <c r="AJ31" s="73">
        <f t="shared" si="35"/>
        <v>141.1444585</v>
      </c>
      <c r="AK31" s="73">
        <f t="shared" si="36"/>
        <v>22.65764955</v>
      </c>
      <c r="AM31" s="51">
        <f t="shared" si="37"/>
        <v>2333.0213</v>
      </c>
      <c r="AN31" s="51" t="str">
        <f t="array" ref="AN31">XLOOKUP(D31,RUC!$B$3:$B$565,RUC!$M$3:$M$565)</f>
        <v>Evelyn</v>
      </c>
      <c r="AO31" s="131" t="s">
        <v>551</v>
      </c>
      <c r="AP31" s="57" t="s">
        <v>2564</v>
      </c>
      <c r="AQ31" s="57" t="s">
        <v>1164</v>
      </c>
      <c r="AV31" s="160" t="s">
        <v>547</v>
      </c>
      <c r="AW31" s="6">
        <f t="shared" si="41"/>
        <v>120.507</v>
      </c>
      <c r="AX31" s="6"/>
      <c r="AY31" s="58">
        <f t="shared" si="42"/>
        <v>0</v>
      </c>
      <c r="AZ31" s="58"/>
      <c r="BA31" s="162">
        <f t="shared" si="43"/>
        <v>0</v>
      </c>
      <c r="BB31" s="454" t="s">
        <v>2680</v>
      </c>
      <c r="BC31" s="459">
        <v>4208.01</v>
      </c>
    </row>
    <row r="32" ht="15.0" customHeight="1">
      <c r="A32" s="116" t="s">
        <v>2681</v>
      </c>
      <c r="B32" s="182">
        <v>46025.0</v>
      </c>
      <c r="C32" s="182">
        <v>46015.0</v>
      </c>
      <c r="D32" s="57" t="s">
        <v>225</v>
      </c>
      <c r="E32" s="3">
        <f t="array" ref="E32">XLOOKUP(D32,RUC!$B$3:$B$110,RUC!$D$3:$D$110)</f>
        <v>10761932735</v>
      </c>
      <c r="G32" s="141">
        <v>100.0</v>
      </c>
      <c r="H32" s="3" t="s">
        <v>47</v>
      </c>
      <c r="I32" s="6">
        <v>7.88</v>
      </c>
      <c r="J32" s="58">
        <v>3.9</v>
      </c>
      <c r="K32" s="6">
        <f t="shared" si="25"/>
        <v>7.573</v>
      </c>
      <c r="L32" s="139">
        <v>0.139</v>
      </c>
      <c r="M32" s="60">
        <f t="shared" si="38"/>
        <v>0.12</v>
      </c>
      <c r="N32" s="75">
        <v>0.199</v>
      </c>
      <c r="O32" s="60">
        <f t="shared" si="26"/>
        <v>0.16</v>
      </c>
      <c r="P32" s="63">
        <v>90.0</v>
      </c>
      <c r="Q32" s="58">
        <v>92.81</v>
      </c>
      <c r="R32" s="65">
        <v>4480.8</v>
      </c>
      <c r="S32" s="66">
        <f t="array" ref="S32">IF((XLOOKUP(D32,RUC!$B$3:$B$106,RUC!$E$3:$E$106)+ROUNDDOWN(O32,1)*100)&lt;95,95,((XLOOKUP(D32,RUC!$B$3:$B$106,RUC!$E$3:$E$106)+ROUNDDOWN(O32,1)*100)))</f>
        <v>100</v>
      </c>
      <c r="U32" s="67">
        <f t="array" ref="U32">XLOOKUP(D32,RUC!$B$3:$B$110,RUC!$F$3:$F$110)</f>
        <v>120</v>
      </c>
      <c r="V32" s="67">
        <v>1.1023</v>
      </c>
      <c r="Y32" s="57">
        <f t="array" ref="Y32">XLOOKUP(D32,RUC!$B$3:$B$110,RUC!$G$3:$G$110)</f>
        <v>20</v>
      </c>
      <c r="Z32" s="69">
        <f t="array" ref="Z32">XLOOKUP(D32,RUC!$B$3:$B$110,RUC!$H$3:$H$110)</f>
        <v>30</v>
      </c>
      <c r="AA32" s="70">
        <f t="shared" si="27"/>
        <v>50</v>
      </c>
      <c r="AB32" s="71">
        <f t="shared" si="28"/>
        <v>526.850017</v>
      </c>
      <c r="AC32" s="71">
        <f>+(S32-T32)*V32-'data 1'!$F$4</f>
        <v>30.23</v>
      </c>
      <c r="AD32" s="71">
        <f t="shared" si="29"/>
        <v>18.77530914</v>
      </c>
      <c r="AE32" s="71">
        <f t="shared" si="30"/>
        <v>-14.885</v>
      </c>
      <c r="AF32" s="71">
        <f t="shared" si="31"/>
        <v>-93.68715347</v>
      </c>
      <c r="AG32" s="72">
        <f t="shared" si="32"/>
        <v>-42.56684433</v>
      </c>
      <c r="AH32" s="193">
        <f t="shared" si="33"/>
        <v>33.496</v>
      </c>
      <c r="AI32" s="193">
        <f t="shared" si="34"/>
        <v>36.09</v>
      </c>
      <c r="AJ32" s="73">
        <f t="shared" si="35"/>
        <v>103.694576</v>
      </c>
      <c r="AK32" s="73">
        <f t="shared" si="36"/>
        <v>37.38862709</v>
      </c>
      <c r="AM32" s="51">
        <f t="shared" si="37"/>
        <v>3989.835178</v>
      </c>
      <c r="AN32" s="51" t="str">
        <f t="array" ref="AN32">XLOOKUP(D32,RUC!$B$3:$B$565,RUC!$M$3:$M$565)</f>
        <v>Richard Sapacayo</v>
      </c>
      <c r="AO32" s="131" t="s">
        <v>547</v>
      </c>
      <c r="AP32" s="57" t="s">
        <v>1616</v>
      </c>
      <c r="AQ32" s="57" t="s">
        <v>678</v>
      </c>
      <c r="AV32" s="160" t="s">
        <v>549</v>
      </c>
      <c r="AW32" s="6">
        <f t="shared" si="41"/>
        <v>0</v>
      </c>
      <c r="AX32" s="6"/>
      <c r="AY32" s="58">
        <f t="shared" si="42"/>
        <v>0</v>
      </c>
      <c r="AZ32" s="58"/>
      <c r="BA32" s="162">
        <f t="shared" si="43"/>
        <v>0</v>
      </c>
      <c r="BB32" s="454" t="s">
        <v>2682</v>
      </c>
      <c r="BC32" s="459">
        <v>902.53</v>
      </c>
    </row>
    <row r="33" ht="15.0" customHeight="1">
      <c r="A33" s="116" t="s">
        <v>2683</v>
      </c>
      <c r="B33" s="182">
        <v>46025.0</v>
      </c>
      <c r="C33" s="182">
        <v>46015.0</v>
      </c>
      <c r="D33" s="57" t="s">
        <v>225</v>
      </c>
      <c r="E33" s="3">
        <f t="array" ref="E33">XLOOKUP(D33,RUC!$B$3:$B$110,RUC!$D$3:$D$110)</f>
        <v>10761932735</v>
      </c>
      <c r="G33" s="141">
        <v>110.0</v>
      </c>
      <c r="H33" s="3" t="s">
        <v>47</v>
      </c>
      <c r="I33" s="6">
        <v>7.39</v>
      </c>
      <c r="J33" s="58">
        <v>2.5</v>
      </c>
      <c r="K33" s="6">
        <f t="shared" si="25"/>
        <v>7.205</v>
      </c>
      <c r="L33" s="139">
        <v>0.193</v>
      </c>
      <c r="M33" s="60">
        <f t="shared" si="38"/>
        <v>0.174</v>
      </c>
      <c r="N33" s="75">
        <v>0.247</v>
      </c>
      <c r="O33" s="60">
        <f t="shared" si="26"/>
        <v>0.211</v>
      </c>
      <c r="P33" s="63">
        <v>90.0</v>
      </c>
      <c r="Q33" s="58">
        <v>96.89</v>
      </c>
      <c r="R33" s="65">
        <v>4480.8</v>
      </c>
      <c r="S33" s="66">
        <f t="array" ref="S33">IF((XLOOKUP(D33,RUC!$B$3:$B$106,RUC!$E$3:$E$106)+ROUNDDOWN(O33,1)*100)&lt;95,95,((XLOOKUP(D33,RUC!$B$3:$B$106,RUC!$E$3:$E$106)+ROUNDDOWN(O33,1)*100)))</f>
        <v>110</v>
      </c>
      <c r="U33" s="67">
        <f t="array" ref="U33">XLOOKUP(D33,RUC!$B$3:$B$110,RUC!$F$3:$F$110)</f>
        <v>120</v>
      </c>
      <c r="V33" s="67">
        <v>1.1023</v>
      </c>
      <c r="Y33" s="57">
        <f t="array" ref="Y33">XLOOKUP(D33,RUC!$B$3:$B$110,RUC!$G$3:$G$110)</f>
        <v>20</v>
      </c>
      <c r="Z33" s="69">
        <f t="array" ref="Z33">XLOOKUP(D33,RUC!$B$3:$B$110,RUC!$H$3:$H$110)</f>
        <v>30</v>
      </c>
      <c r="AA33" s="70">
        <f t="shared" si="27"/>
        <v>50</v>
      </c>
      <c r="AB33" s="71">
        <f t="shared" si="28"/>
        <v>736.4641786</v>
      </c>
      <c r="AC33" s="71">
        <f>+(S33-T33)*V33-'data 1'!$F$4</f>
        <v>41.253</v>
      </c>
      <c r="AD33" s="71">
        <f t="shared" si="29"/>
        <v>63.92084498</v>
      </c>
      <c r="AE33" s="71">
        <f t="shared" si="30"/>
        <v>-14.885</v>
      </c>
      <c r="AF33" s="71">
        <f t="shared" si="31"/>
        <v>-83.83346899</v>
      </c>
      <c r="AG33" s="72">
        <f t="shared" si="32"/>
        <v>23.45537599</v>
      </c>
      <c r="AH33" s="193">
        <f t="shared" si="33"/>
        <v>46.193</v>
      </c>
      <c r="AI33" s="193">
        <f t="shared" si="34"/>
        <v>47.676</v>
      </c>
      <c r="AJ33" s="73">
        <f t="shared" si="35"/>
        <v>150.3082202</v>
      </c>
      <c r="AK33" s="73">
        <f t="shared" si="36"/>
        <v>46.91027935</v>
      </c>
      <c r="AM33" s="51">
        <f t="shared" si="37"/>
        <v>5306.224407</v>
      </c>
      <c r="AN33" s="51" t="str">
        <f t="array" ref="AN33">XLOOKUP(D33,RUC!$B$3:$B$565,RUC!$M$3:$M$565)</f>
        <v>Richard Sapacayo</v>
      </c>
      <c r="AO33" s="131" t="s">
        <v>547</v>
      </c>
      <c r="AP33" s="57" t="s">
        <v>1616</v>
      </c>
      <c r="AQ33" s="57" t="s">
        <v>678</v>
      </c>
      <c r="AV33" s="160" t="s">
        <v>561</v>
      </c>
      <c r="AW33" s="6">
        <f t="shared" si="41"/>
        <v>0</v>
      </c>
      <c r="AX33" s="6"/>
      <c r="AY33" s="58">
        <f t="shared" si="42"/>
        <v>0</v>
      </c>
      <c r="AZ33" s="58"/>
      <c r="BA33" s="162">
        <f t="shared" si="43"/>
        <v>0</v>
      </c>
      <c r="BB33" s="454" t="s">
        <v>2684</v>
      </c>
      <c r="BC33" s="459">
        <v>141.577</v>
      </c>
    </row>
    <row r="34" ht="15.0" customHeight="1">
      <c r="A34" s="116" t="s">
        <v>2685</v>
      </c>
      <c r="B34" s="182">
        <v>46024.0</v>
      </c>
      <c r="C34" s="182">
        <v>46015.0</v>
      </c>
      <c r="D34" s="57" t="s">
        <v>665</v>
      </c>
      <c r="E34" s="3">
        <f t="array" ref="E34">XLOOKUP(D34,RUC!$B$3:$B$110,RUC!$D$3:$D$110)</f>
        <v>20608774000</v>
      </c>
      <c r="G34" s="141">
        <v>25.0</v>
      </c>
      <c r="H34" s="3" t="s">
        <v>47</v>
      </c>
      <c r="I34" s="6">
        <v>2.38</v>
      </c>
      <c r="J34" s="58">
        <v>1.3</v>
      </c>
      <c r="K34" s="6">
        <f t="shared" si="25"/>
        <v>2.349</v>
      </c>
      <c r="L34" s="139">
        <v>0.364</v>
      </c>
      <c r="M34" s="60">
        <f t="shared" si="38"/>
        <v>0.342</v>
      </c>
      <c r="N34" s="62">
        <f t="shared" ref="N34:N38" si="44">+M34</f>
        <v>0.342</v>
      </c>
      <c r="O34" s="60">
        <f t="shared" si="26"/>
        <v>0.342</v>
      </c>
      <c r="P34" s="63">
        <v>85.0</v>
      </c>
      <c r="Q34" s="58">
        <v>85.16</v>
      </c>
      <c r="R34" s="65">
        <v>4480.8</v>
      </c>
      <c r="S34" s="66">
        <f t="array" ref="S34">IF((XLOOKUP(D34,RUC!$B$3:$B$106,RUC!$E$3:$E$106)+ROUNDDOWN(O34,1)*100)&lt;95,95,((XLOOKUP(D34,RUC!$B$3:$B$106,RUC!$E$3:$E$106)+ROUNDDOWN(O34,1)*100)))</f>
        <v>115</v>
      </c>
      <c r="U34" s="67">
        <f t="array" ref="U34">XLOOKUP(D34,RUC!$B$3:$B$110,RUC!$F$3:$F$110)</f>
        <v>120</v>
      </c>
      <c r="V34" s="67">
        <v>1.1023</v>
      </c>
      <c r="Y34" s="199">
        <v>25.0</v>
      </c>
      <c r="Z34" s="140">
        <v>35.0</v>
      </c>
      <c r="AA34" s="70">
        <f t="shared" si="27"/>
        <v>60</v>
      </c>
      <c r="AB34" s="71">
        <f t="shared" si="28"/>
        <v>1204.46619</v>
      </c>
      <c r="AC34" s="71">
        <f>+(S34-T34)*V34-'data 1'!$F$4</f>
        <v>46.7645</v>
      </c>
      <c r="AD34" s="71">
        <f t="shared" si="29"/>
        <v>2.799544291</v>
      </c>
      <c r="AE34" s="71">
        <f t="shared" si="30"/>
        <v>-3.862</v>
      </c>
      <c r="AF34" s="71">
        <f t="shared" si="31"/>
        <v>90.05841723</v>
      </c>
      <c r="AG34" s="72">
        <f t="shared" si="32"/>
        <v>152.7604615</v>
      </c>
      <c r="AH34" s="193">
        <f t="shared" si="33"/>
        <v>24.965</v>
      </c>
      <c r="AI34" s="193">
        <f t="shared" si="34"/>
        <v>29.315</v>
      </c>
      <c r="AJ34" s="73">
        <f t="shared" si="35"/>
        <v>249.1629728</v>
      </c>
      <c r="AK34" s="73">
        <f t="shared" si="36"/>
        <v>23.41192466</v>
      </c>
      <c r="AM34" s="51">
        <f t="shared" si="37"/>
        <v>2829.291081</v>
      </c>
      <c r="AN34" s="51" t="str">
        <f t="array" ref="AN34">XLOOKUP(D34,RUC!$B$3:$B$565,RUC!$M$3:$M$565)</f>
        <v>Ronald Miranda</v>
      </c>
      <c r="AO34" s="131" t="s">
        <v>558</v>
      </c>
      <c r="AP34" s="57" t="s">
        <v>2580</v>
      </c>
      <c r="AQ34" s="57" t="s">
        <v>2144</v>
      </c>
      <c r="AR34" s="2"/>
      <c r="AV34" s="160" t="s">
        <v>689</v>
      </c>
      <c r="AW34" s="6">
        <f t="shared" si="41"/>
        <v>0</v>
      </c>
      <c r="AY34" s="58">
        <f t="shared" si="42"/>
        <v>0</v>
      </c>
      <c r="BA34" s="162">
        <f t="shared" si="43"/>
        <v>0</v>
      </c>
      <c r="BB34" s="456" t="s">
        <v>1206</v>
      </c>
      <c r="BC34" s="457">
        <f>-BC29-BC30+BC31+BC32+BC33</f>
        <v>229.312</v>
      </c>
    </row>
    <row r="35" ht="15.0" customHeight="1">
      <c r="A35" s="116" t="s">
        <v>2686</v>
      </c>
      <c r="B35" s="182">
        <v>46024.0</v>
      </c>
      <c r="C35" s="182">
        <v>46015.0</v>
      </c>
      <c r="D35" s="57" t="s">
        <v>665</v>
      </c>
      <c r="E35" s="3">
        <f t="array" ref="E35">XLOOKUP(D35,RUC!$B$3:$B$110,RUC!$D$3:$D$110)</f>
        <v>20608774000</v>
      </c>
      <c r="G35" s="141">
        <v>14.0</v>
      </c>
      <c r="H35" s="3" t="s">
        <v>47</v>
      </c>
      <c r="I35" s="6">
        <v>1.29</v>
      </c>
      <c r="J35" s="58">
        <v>1.25</v>
      </c>
      <c r="K35" s="6">
        <f t="shared" si="25"/>
        <v>1.274</v>
      </c>
      <c r="L35" s="139">
        <v>0.39</v>
      </c>
      <c r="M35" s="60">
        <f t="shared" si="38"/>
        <v>0.367</v>
      </c>
      <c r="N35" s="62">
        <f t="shared" si="44"/>
        <v>0.367</v>
      </c>
      <c r="O35" s="60">
        <f t="shared" si="26"/>
        <v>0.367</v>
      </c>
      <c r="P35" s="63">
        <v>87.0</v>
      </c>
      <c r="Q35" s="58">
        <v>87.18</v>
      </c>
      <c r="R35" s="65">
        <v>4480.8</v>
      </c>
      <c r="S35" s="66">
        <f t="array" ref="S35">IF((XLOOKUP(D35,RUC!$B$3:$B$106,RUC!$E$3:$E$106)+ROUNDDOWN(O35,1)*100)&lt;95,95,((XLOOKUP(D35,RUC!$B$3:$B$106,RUC!$E$3:$E$106)+ROUNDDOWN(O35,1)*100)))</f>
        <v>115</v>
      </c>
      <c r="U35" s="67">
        <f t="array" ref="U35">XLOOKUP(D35,RUC!$B$3:$B$110,RUC!$F$3:$F$110)</f>
        <v>120</v>
      </c>
      <c r="V35" s="67">
        <v>1.1023</v>
      </c>
      <c r="Y35" s="199">
        <v>25.0</v>
      </c>
      <c r="Z35" s="140">
        <v>35.0</v>
      </c>
      <c r="AA35" s="70">
        <f t="shared" si="27"/>
        <v>60</v>
      </c>
      <c r="AB35" s="71">
        <f t="shared" si="28"/>
        <v>1341.895743</v>
      </c>
      <c r="AC35" s="71">
        <f>+(S35-T35)*V35-'data 1'!$F$4</f>
        <v>46.7645</v>
      </c>
      <c r="AD35" s="71">
        <f t="shared" si="29"/>
        <v>3.374450708</v>
      </c>
      <c r="AE35" s="71">
        <f t="shared" si="30"/>
        <v>-3.862</v>
      </c>
      <c r="AF35" s="71">
        <f t="shared" si="31"/>
        <v>96.38527197</v>
      </c>
      <c r="AG35" s="72">
        <f t="shared" si="32"/>
        <v>159.6622227</v>
      </c>
      <c r="AH35" s="193">
        <f t="shared" si="33"/>
        <v>14.851</v>
      </c>
      <c r="AI35" s="193">
        <f t="shared" si="34"/>
        <v>17.035</v>
      </c>
      <c r="AJ35" s="73">
        <f t="shared" si="35"/>
        <v>273.292642</v>
      </c>
      <c r="AK35" s="73">
        <f t="shared" si="36"/>
        <v>13.9464545</v>
      </c>
      <c r="AM35" s="51">
        <f t="shared" si="37"/>
        <v>1709.575176</v>
      </c>
      <c r="AN35" s="51" t="str">
        <f t="array" ref="AN35">XLOOKUP(D35,RUC!$B$3:$B$565,RUC!$M$3:$M$565)</f>
        <v>Ronald Miranda</v>
      </c>
      <c r="AO35" s="131" t="s">
        <v>558</v>
      </c>
      <c r="AP35" s="57" t="s">
        <v>2580</v>
      </c>
      <c r="AQ35" s="57" t="s">
        <v>2144</v>
      </c>
      <c r="AR35" s="2"/>
      <c r="AV35" s="160" t="s">
        <v>690</v>
      </c>
      <c r="AW35" s="6">
        <f t="shared" si="41"/>
        <v>0</v>
      </c>
      <c r="AY35" s="58">
        <f t="shared" si="42"/>
        <v>0</v>
      </c>
      <c r="BA35" s="162">
        <f t="shared" si="43"/>
        <v>0</v>
      </c>
    </row>
    <row r="36" ht="15.0" customHeight="1">
      <c r="A36" s="116" t="s">
        <v>2687</v>
      </c>
      <c r="B36" s="182">
        <v>45664.0</v>
      </c>
      <c r="C36" s="182">
        <v>46015.0</v>
      </c>
      <c r="D36" s="57" t="s">
        <v>665</v>
      </c>
      <c r="E36" s="3">
        <f t="array" ref="E36">XLOOKUP(D36,RUC!$B$3:$B$110,RUC!$D$3:$D$110)</f>
        <v>20608774000</v>
      </c>
      <c r="G36" s="141">
        <v>35.0</v>
      </c>
      <c r="H36" s="3" t="s">
        <v>47</v>
      </c>
      <c r="I36" s="6">
        <v>3.44</v>
      </c>
      <c r="J36" s="58">
        <v>1.2</v>
      </c>
      <c r="K36" s="6">
        <f t="shared" si="25"/>
        <v>3.399</v>
      </c>
      <c r="L36" s="139">
        <v>0.242</v>
      </c>
      <c r="M36" s="60">
        <f t="shared" si="38"/>
        <v>0.223</v>
      </c>
      <c r="N36" s="62">
        <f t="shared" si="44"/>
        <v>0.223</v>
      </c>
      <c r="O36" s="60">
        <f t="shared" si="26"/>
        <v>0.223</v>
      </c>
      <c r="P36" s="63">
        <v>72.0</v>
      </c>
      <c r="Q36" s="58">
        <v>72.44</v>
      </c>
      <c r="R36" s="65">
        <v>4480.8</v>
      </c>
      <c r="S36" s="66">
        <f t="array" ref="S36">IF((XLOOKUP(D36,RUC!$B$3:$B$106,RUC!$E$3:$E$106)+ROUNDDOWN(O36,1)*100)&lt;95,95,((XLOOKUP(D36,RUC!$B$3:$B$106,RUC!$E$3:$E$106)+ROUNDDOWN(O36,1)*100)))</f>
        <v>105</v>
      </c>
      <c r="U36" s="67">
        <f t="array" ref="U36">XLOOKUP(D36,RUC!$B$3:$B$110,RUC!$F$3:$F$110)</f>
        <v>120</v>
      </c>
      <c r="V36" s="67">
        <v>1.1023</v>
      </c>
      <c r="Y36" s="199">
        <v>25.0</v>
      </c>
      <c r="Z36" s="140">
        <v>35.0</v>
      </c>
      <c r="AA36" s="70">
        <f t="shared" si="27"/>
        <v>60</v>
      </c>
      <c r="AB36" s="71">
        <f t="shared" si="28"/>
        <v>589.9179439</v>
      </c>
      <c r="AC36" s="71">
        <f>+(S36-T36)*V36-'data 1'!$F$4</f>
        <v>35.7415</v>
      </c>
      <c r="AD36" s="71">
        <f t="shared" si="29"/>
        <v>5.118397598</v>
      </c>
      <c r="AE36" s="71">
        <f t="shared" si="30"/>
        <v>-3.862</v>
      </c>
      <c r="AF36" s="71">
        <f t="shared" si="31"/>
        <v>66.16038427</v>
      </c>
      <c r="AG36" s="72">
        <f t="shared" si="32"/>
        <v>120.1582819</v>
      </c>
      <c r="AH36" s="193">
        <f t="shared" si="33"/>
        <v>20.429</v>
      </c>
      <c r="AI36" s="193">
        <f t="shared" si="34"/>
        <v>28.202</v>
      </c>
      <c r="AJ36" s="73">
        <f t="shared" si="35"/>
        <v>140.9095004</v>
      </c>
      <c r="AK36" s="73">
        <f t="shared" si="36"/>
        <v>18.71102562</v>
      </c>
      <c r="AM36" s="51">
        <f t="shared" si="37"/>
        <v>2005.131091</v>
      </c>
      <c r="AN36" s="51" t="str">
        <f t="array" ref="AN36">XLOOKUP(D36,RUC!$B$3:$B$565,RUC!$M$3:$M$565)</f>
        <v>Ronald Miranda</v>
      </c>
      <c r="AO36" s="131" t="s">
        <v>547</v>
      </c>
      <c r="AP36" s="57" t="s">
        <v>2580</v>
      </c>
      <c r="AQ36" s="57" t="s">
        <v>2144</v>
      </c>
      <c r="AR36" s="57" t="s">
        <v>2688</v>
      </c>
      <c r="AV36" s="160" t="s">
        <v>691</v>
      </c>
      <c r="AW36" s="6">
        <f t="shared" si="41"/>
        <v>0</v>
      </c>
      <c r="AY36" s="58">
        <f t="shared" si="42"/>
        <v>0</v>
      </c>
      <c r="BA36" s="162">
        <f t="shared" si="43"/>
        <v>0</v>
      </c>
    </row>
    <row r="37" ht="15.0" customHeight="1">
      <c r="A37" s="116" t="s">
        <v>2689</v>
      </c>
      <c r="B37" s="182">
        <v>46028.0</v>
      </c>
      <c r="C37" s="182">
        <v>46016.0</v>
      </c>
      <c r="D37" s="57" t="s">
        <v>295</v>
      </c>
      <c r="E37" s="3">
        <f t="array" ref="E37">XLOOKUP(D37,RUC!$B$3:$B$110,RUC!$D$3:$D$110)</f>
        <v>20601769396</v>
      </c>
      <c r="G37" s="141">
        <v>50.0</v>
      </c>
      <c r="H37" s="3" t="s">
        <v>40</v>
      </c>
      <c r="I37" s="6">
        <v>3.85</v>
      </c>
      <c r="J37" s="58">
        <v>16.3</v>
      </c>
      <c r="K37" s="6">
        <f t="shared" si="25"/>
        <v>3.222</v>
      </c>
      <c r="L37" s="139">
        <v>0.123</v>
      </c>
      <c r="M37" s="60">
        <f t="shared" si="38"/>
        <v>0.104</v>
      </c>
      <c r="N37" s="62">
        <f t="shared" si="44"/>
        <v>0.104</v>
      </c>
      <c r="O37" s="60">
        <f t="shared" si="26"/>
        <v>0.104</v>
      </c>
      <c r="P37" s="63">
        <v>80.0</v>
      </c>
      <c r="Q37" s="58">
        <v>81.3</v>
      </c>
      <c r="R37" s="65">
        <v>4480.8</v>
      </c>
      <c r="S37" s="66">
        <f t="array" ref="S37">IF((XLOOKUP(D37,RUC!$B$3:$B$106,RUC!$E$3:$E$106)+ROUNDDOWN(O37,1)*100)&lt;95,95,((XLOOKUP(D37,RUC!$B$3:$B$106,RUC!$E$3:$E$106)+ROUNDDOWN(O37,1)*100)))</f>
        <v>100</v>
      </c>
      <c r="U37" s="67">
        <f t="array" ref="U37">XLOOKUP(D37,RUC!$B$3:$B$110,RUC!$F$3:$F$110)</f>
        <v>120</v>
      </c>
      <c r="V37" s="67">
        <v>1.1023</v>
      </c>
      <c r="Y37" s="199">
        <v>30.0</v>
      </c>
      <c r="Z37" s="140">
        <v>40.0</v>
      </c>
      <c r="AA37" s="70">
        <f t="shared" si="27"/>
        <v>70</v>
      </c>
      <c r="AB37" s="71">
        <f t="shared" si="28"/>
        <v>212.5438987</v>
      </c>
      <c r="AC37" s="71">
        <f>+(S37-T37)*V37-'data 1'!$F$4</f>
        <v>30.23</v>
      </c>
      <c r="AD37" s="71">
        <f t="shared" si="29"/>
        <v>7.686248834</v>
      </c>
      <c r="AE37" s="71">
        <f t="shared" si="30"/>
        <v>7.161</v>
      </c>
      <c r="AF37" s="71">
        <f t="shared" si="31"/>
        <v>74.2523363</v>
      </c>
      <c r="AG37" s="72">
        <f t="shared" si="32"/>
        <v>136.3295851</v>
      </c>
      <c r="AH37" s="193">
        <f t="shared" si="33"/>
        <v>11.047</v>
      </c>
      <c r="AI37" s="193">
        <f t="shared" si="34"/>
        <v>13.588</v>
      </c>
      <c r="AJ37" s="73">
        <f t="shared" si="35"/>
        <v>80.3789122</v>
      </c>
      <c r="AK37" s="73">
        <f t="shared" si="36"/>
        <v>9.190897689</v>
      </c>
      <c r="AM37" s="51">
        <f t="shared" si="37"/>
        <v>684.8164416</v>
      </c>
      <c r="AN37" s="51" t="str">
        <f t="array" ref="AN37">XLOOKUP(D37,RUC!$B$3:$B$565,RUC!$M$3:$M$565)</f>
        <v>Evelyn</v>
      </c>
      <c r="AO37" s="131" t="s">
        <v>547</v>
      </c>
      <c r="AP37" s="57" t="s">
        <v>1824</v>
      </c>
      <c r="AQ37" s="57" t="s">
        <v>2586</v>
      </c>
      <c r="AV37" s="160" t="s">
        <v>692</v>
      </c>
      <c r="AW37" s="6">
        <f t="shared" si="41"/>
        <v>0</v>
      </c>
      <c r="AY37" s="58">
        <f t="shared" si="42"/>
        <v>0</v>
      </c>
      <c r="BA37" s="162">
        <f t="shared" si="43"/>
        <v>0</v>
      </c>
    </row>
    <row r="38" ht="15.0" customHeight="1">
      <c r="A38" s="116" t="s">
        <v>2690</v>
      </c>
      <c r="B38" s="182">
        <v>46028.0</v>
      </c>
      <c r="C38" s="182">
        <v>46016.0</v>
      </c>
      <c r="D38" s="57" t="s">
        <v>295</v>
      </c>
      <c r="E38" s="3">
        <f t="array" ref="E38">XLOOKUP(D38,RUC!$B$3:$B$110,RUC!$D$3:$D$110)</f>
        <v>20601769396</v>
      </c>
      <c r="G38" s="141">
        <v>50.0</v>
      </c>
      <c r="H38" s="3" t="s">
        <v>40</v>
      </c>
      <c r="I38" s="6">
        <v>3.69</v>
      </c>
      <c r="J38" s="58">
        <v>17.2</v>
      </c>
      <c r="K38" s="6">
        <f t="shared" si="25"/>
        <v>3.055</v>
      </c>
      <c r="L38" s="139">
        <v>0.154</v>
      </c>
      <c r="M38" s="60">
        <f t="shared" si="38"/>
        <v>0.135</v>
      </c>
      <c r="N38" s="62">
        <f t="shared" si="44"/>
        <v>0.135</v>
      </c>
      <c r="O38" s="60">
        <f t="shared" si="26"/>
        <v>0.135</v>
      </c>
      <c r="P38" s="63">
        <v>85.0</v>
      </c>
      <c r="Q38" s="58">
        <v>85.06</v>
      </c>
      <c r="R38" s="65">
        <v>4480.8</v>
      </c>
      <c r="S38" s="66">
        <f t="array" ref="S38">IF((XLOOKUP(D38,RUC!$B$3:$B$106,RUC!$E$3:$E$106)+ROUNDDOWN(O38,1)*100)&lt;95,95,((XLOOKUP(D38,RUC!$B$3:$B$106,RUC!$E$3:$E$106)+ROUNDDOWN(O38,1)*100)))</f>
        <v>100</v>
      </c>
      <c r="U38" s="67">
        <f t="array" ref="U38">XLOOKUP(D38,RUC!$B$3:$B$110,RUC!$F$3:$F$110)</f>
        <v>120</v>
      </c>
      <c r="V38" s="67">
        <v>1.1023</v>
      </c>
      <c r="Y38" s="199">
        <v>30.0</v>
      </c>
      <c r="Z38" s="140">
        <v>40.0</v>
      </c>
      <c r="AA38" s="70">
        <f t="shared" si="27"/>
        <v>70</v>
      </c>
      <c r="AB38" s="71">
        <f t="shared" si="28"/>
        <v>364.2019041</v>
      </c>
      <c r="AC38" s="71">
        <f>+(S38-T38)*V38-'data 1'!$F$4</f>
        <v>30.23</v>
      </c>
      <c r="AD38" s="71">
        <f t="shared" si="29"/>
        <v>0.4441584692</v>
      </c>
      <c r="AE38" s="71">
        <f t="shared" si="30"/>
        <v>7.161</v>
      </c>
      <c r="AF38" s="71">
        <f t="shared" si="31"/>
        <v>77.68639269</v>
      </c>
      <c r="AG38" s="72">
        <f t="shared" si="32"/>
        <v>132.5215512</v>
      </c>
      <c r="AH38" s="193">
        <f t="shared" si="33"/>
        <v>13.72</v>
      </c>
      <c r="AI38" s="193">
        <f t="shared" si="34"/>
        <v>16.13</v>
      </c>
      <c r="AJ38" s="73">
        <f t="shared" si="35"/>
        <v>105.2913191</v>
      </c>
      <c r="AK38" s="73">
        <f t="shared" si="36"/>
        <v>12.01912849</v>
      </c>
      <c r="AM38" s="51">
        <f t="shared" si="37"/>
        <v>1112.636817</v>
      </c>
      <c r="AN38" s="51" t="str">
        <f t="array" ref="AN38">XLOOKUP(D38,RUC!$B$3:$B$565,RUC!$M$3:$M$565)</f>
        <v>Evelyn</v>
      </c>
      <c r="AO38" s="131" t="s">
        <v>547</v>
      </c>
      <c r="AP38" s="57" t="s">
        <v>1824</v>
      </c>
      <c r="AQ38" s="57" t="s">
        <v>2586</v>
      </c>
      <c r="AV38" s="163" t="s">
        <v>693</v>
      </c>
      <c r="AW38" s="165">
        <f t="shared" si="41"/>
        <v>0</v>
      </c>
      <c r="AX38" s="170"/>
      <c r="AY38" s="168">
        <f t="shared" si="42"/>
        <v>0</v>
      </c>
      <c r="AZ38" s="170"/>
      <c r="BA38" s="171">
        <f t="shared" si="43"/>
        <v>0</v>
      </c>
    </row>
    <row r="39" ht="15.0" customHeight="1">
      <c r="A39" s="116" t="s">
        <v>2691</v>
      </c>
      <c r="B39" s="182">
        <v>46024.0</v>
      </c>
      <c r="C39" s="182">
        <v>46016.0</v>
      </c>
      <c r="D39" s="57" t="s">
        <v>295</v>
      </c>
      <c r="E39" s="3">
        <v>2.0601769396E10</v>
      </c>
      <c r="G39" s="141">
        <v>60.0</v>
      </c>
      <c r="H39" s="3" t="s">
        <v>40</v>
      </c>
      <c r="I39" s="6">
        <v>1.59</v>
      </c>
      <c r="J39" s="58">
        <v>16.82</v>
      </c>
      <c r="K39" s="6">
        <v>1.323</v>
      </c>
      <c r="L39" s="139">
        <v>0.84</v>
      </c>
      <c r="M39" s="60">
        <v>0.79</v>
      </c>
      <c r="N39" s="75">
        <v>0.834</v>
      </c>
      <c r="O39" s="60">
        <v>0.812</v>
      </c>
      <c r="P39" s="63">
        <v>88.0</v>
      </c>
      <c r="Q39" s="58">
        <v>88.93</v>
      </c>
      <c r="R39" s="65">
        <v>4480.8</v>
      </c>
      <c r="S39" s="66">
        <v>170.0</v>
      </c>
      <c r="U39" s="67">
        <v>120.0</v>
      </c>
      <c r="V39" s="67">
        <v>1.1023</v>
      </c>
      <c r="Y39" s="199">
        <v>30.0</v>
      </c>
      <c r="Z39" s="140">
        <v>40.0</v>
      </c>
      <c r="AA39" s="70">
        <v>70.0</v>
      </c>
      <c r="AB39" s="71">
        <v>3170.2734952704004</v>
      </c>
      <c r="AC39" s="71">
        <v>107.39100000000002</v>
      </c>
      <c r="AD39" s="71">
        <v>37.55157967008028</v>
      </c>
      <c r="AE39" s="71">
        <v>7.161000000000001</v>
      </c>
      <c r="AF39" s="71">
        <v>119.69397777993566</v>
      </c>
      <c r="AG39" s="72">
        <v>288.797557450016</v>
      </c>
      <c r="AH39" s="193">
        <v>33.884</v>
      </c>
      <c r="AI39" s="193">
        <v>38.102</v>
      </c>
      <c r="AJ39" s="73">
        <v>-338.26558937808016</v>
      </c>
      <c r="AK39" s="73">
        <v>32.41213318886559</v>
      </c>
      <c r="AM39" s="51">
        <v>4194.27183424274</v>
      </c>
      <c r="AN39" s="51" t="s">
        <v>2692</v>
      </c>
      <c r="AO39" s="131" t="s">
        <v>558</v>
      </c>
      <c r="AP39" s="57" t="s">
        <v>1824</v>
      </c>
      <c r="AQ39" s="57" t="s">
        <v>2586</v>
      </c>
    </row>
    <row r="40" ht="15.0" customHeight="1">
      <c r="A40" s="116" t="s">
        <v>2693</v>
      </c>
      <c r="B40" s="182">
        <v>46024.0</v>
      </c>
      <c r="C40" s="182">
        <v>46016.0</v>
      </c>
      <c r="D40" s="57" t="s">
        <v>295</v>
      </c>
      <c r="E40" s="3">
        <v>2.0601769396E10</v>
      </c>
      <c r="G40" s="141">
        <v>68.0</v>
      </c>
      <c r="H40" s="3" t="s">
        <v>40</v>
      </c>
      <c r="I40" s="6">
        <v>1.26</v>
      </c>
      <c r="J40" s="58">
        <v>21.05</v>
      </c>
      <c r="K40" s="6">
        <v>0.995</v>
      </c>
      <c r="L40" s="139">
        <v>0.722</v>
      </c>
      <c r="M40" s="60">
        <v>0.679</v>
      </c>
      <c r="N40" s="62">
        <v>0.679</v>
      </c>
      <c r="O40" s="60">
        <v>0.679</v>
      </c>
      <c r="P40" s="63">
        <v>90.0</v>
      </c>
      <c r="Q40" s="58">
        <v>93.49</v>
      </c>
      <c r="R40" s="65">
        <v>4480.8</v>
      </c>
      <c r="S40" s="66">
        <v>150.0</v>
      </c>
      <c r="U40" s="67">
        <v>120.0</v>
      </c>
      <c r="V40" s="67">
        <v>1.1023</v>
      </c>
      <c r="Y40" s="199">
        <v>30.0</v>
      </c>
      <c r="Z40" s="140">
        <v>40.0</v>
      </c>
      <c r="AA40" s="70">
        <v>70.0</v>
      </c>
      <c r="AB40" s="71">
        <v>2694.9966032240004</v>
      </c>
      <c r="AC40" s="71">
        <v>85.345</v>
      </c>
      <c r="AD40" s="71">
        <v>121.12355276635184</v>
      </c>
      <c r="AE40" s="71">
        <v>7.161000000000001</v>
      </c>
      <c r="AF40" s="71">
        <v>193.24114040488766</v>
      </c>
      <c r="AG40" s="72">
        <v>423.8706931712395</v>
      </c>
      <c r="AH40" s="193">
        <v>23.027</v>
      </c>
      <c r="AI40" s="193">
        <v>24.63</v>
      </c>
      <c r="AJ40" s="73">
        <v>-305.65577078535216</v>
      </c>
      <c r="AK40" s="73">
        <v>20.847041634168228</v>
      </c>
      <c r="AM40" s="51">
        <v>2681.5216202078805</v>
      </c>
      <c r="AN40" s="51" t="s">
        <v>2692</v>
      </c>
      <c r="AO40" s="131" t="s">
        <v>558</v>
      </c>
      <c r="AP40" s="57" t="s">
        <v>1824</v>
      </c>
      <c r="AQ40" s="57" t="s">
        <v>2586</v>
      </c>
    </row>
    <row r="41" ht="15.0" customHeight="1">
      <c r="A41" s="116" t="s">
        <v>2694</v>
      </c>
      <c r="B41" s="182">
        <v>46024.0</v>
      </c>
      <c r="C41" s="182">
        <v>46016.0</v>
      </c>
      <c r="D41" s="57" t="s">
        <v>295</v>
      </c>
      <c r="E41" s="3">
        <v>2.0601769396E10</v>
      </c>
      <c r="G41" s="141">
        <v>10.0</v>
      </c>
      <c r="H41" s="3" t="s">
        <v>40</v>
      </c>
      <c r="I41" s="6">
        <v>0.76</v>
      </c>
      <c r="J41" s="58">
        <v>14.05</v>
      </c>
      <c r="K41" s="6">
        <v>0.653</v>
      </c>
      <c r="L41" s="139">
        <v>0.49</v>
      </c>
      <c r="M41" s="60">
        <v>0.461</v>
      </c>
      <c r="N41" s="75">
        <v>0.509</v>
      </c>
      <c r="O41" s="60">
        <v>0.485</v>
      </c>
      <c r="P41" s="63">
        <v>90.0</v>
      </c>
      <c r="Q41" s="58">
        <v>91.43</v>
      </c>
      <c r="R41" s="65">
        <v>4480.8</v>
      </c>
      <c r="S41" s="66">
        <v>130.0</v>
      </c>
      <c r="U41" s="67">
        <v>120.0</v>
      </c>
      <c r="V41" s="67">
        <v>1.1023</v>
      </c>
      <c r="Y41" s="199">
        <v>30.0</v>
      </c>
      <c r="Z41" s="140">
        <v>40.0</v>
      </c>
      <c r="AA41" s="70">
        <v>70.0</v>
      </c>
      <c r="AB41" s="71">
        <v>1877.7561451600004</v>
      </c>
      <c r="AC41" s="71">
        <v>63.29900000000001</v>
      </c>
      <c r="AD41" s="71">
        <v>33.682017248880165</v>
      </c>
      <c r="AE41" s="71">
        <v>7.161000000000001</v>
      </c>
      <c r="AF41" s="71">
        <v>21.974788333560024</v>
      </c>
      <c r="AG41" s="72">
        <v>143.11680558244018</v>
      </c>
      <c r="AH41" s="193">
        <v>10.03</v>
      </c>
      <c r="AI41" s="193">
        <v>10.97</v>
      </c>
      <c r="AJ41" s="73">
        <v>-202.86869809388008</v>
      </c>
      <c r="AK41" s="73">
        <v>9.772518440137725</v>
      </c>
      <c r="AM41" s="51">
        <v>1226.1747627894804</v>
      </c>
      <c r="AN41" s="51" t="s">
        <v>2692</v>
      </c>
      <c r="AO41" s="131" t="s">
        <v>558</v>
      </c>
      <c r="AP41" s="57" t="s">
        <v>1824</v>
      </c>
      <c r="AQ41" s="57" t="s">
        <v>2586</v>
      </c>
    </row>
    <row r="42" ht="15.0" customHeight="1">
      <c r="A42" s="116" t="s">
        <v>2695</v>
      </c>
      <c r="B42" s="182">
        <v>46024.0</v>
      </c>
      <c r="C42" s="182">
        <v>46016.0</v>
      </c>
      <c r="D42" s="57" t="s">
        <v>225</v>
      </c>
      <c r="E42" s="3">
        <v>1.0761932735E10</v>
      </c>
      <c r="G42" s="141">
        <v>103.0</v>
      </c>
      <c r="H42" s="3" t="s">
        <v>47</v>
      </c>
      <c r="I42" s="6">
        <v>9.73</v>
      </c>
      <c r="J42" s="58">
        <v>14.8</v>
      </c>
      <c r="K42" s="6">
        <v>8.29</v>
      </c>
      <c r="L42" s="139">
        <v>0.286</v>
      </c>
      <c r="M42" s="60">
        <v>0.267</v>
      </c>
      <c r="N42" s="62">
        <v>0.267</v>
      </c>
      <c r="O42" s="60">
        <v>0.267</v>
      </c>
      <c r="P42" s="63">
        <v>90.0</v>
      </c>
      <c r="Q42" s="58">
        <v>94.06</v>
      </c>
      <c r="R42" s="65">
        <v>4480.8</v>
      </c>
      <c r="S42" s="66">
        <v>110.0</v>
      </c>
      <c r="U42" s="67">
        <v>120.0</v>
      </c>
      <c r="V42" s="67">
        <v>1.1023</v>
      </c>
      <c r="Y42" s="57">
        <v>20.0</v>
      </c>
      <c r="Z42" s="69">
        <v>30.0</v>
      </c>
      <c r="AA42" s="70">
        <v>50.0</v>
      </c>
      <c r="AB42" s="71">
        <v>978.732434552</v>
      </c>
      <c r="AC42" s="71">
        <v>41.253</v>
      </c>
      <c r="AD42" s="71">
        <v>55.81591429814404</v>
      </c>
      <c r="AE42" s="71">
        <v>-14.884999999999998</v>
      </c>
      <c r="AF42" s="71">
        <v>85.90620851457582</v>
      </c>
      <c r="AG42" s="72">
        <v>185.09012281271987</v>
      </c>
      <c r="AH42" s="193">
        <v>76.46</v>
      </c>
      <c r="AI42" s="193">
        <v>81.289</v>
      </c>
      <c r="AJ42" s="73">
        <v>-121.81513472814405</v>
      </c>
      <c r="AK42" s="73">
        <v>68.29947582436036</v>
      </c>
      <c r="AM42" s="51">
        <v>8113.691882436079</v>
      </c>
      <c r="AN42" s="51" t="s">
        <v>2696</v>
      </c>
      <c r="AO42" s="131" t="s">
        <v>558</v>
      </c>
      <c r="AP42" s="57" t="s">
        <v>2594</v>
      </c>
      <c r="AQ42" s="57" t="s">
        <v>2595</v>
      </c>
    </row>
    <row r="43" ht="15.0" customHeight="1">
      <c r="A43" s="116" t="s">
        <v>2697</v>
      </c>
      <c r="B43" s="182">
        <v>46028.0</v>
      </c>
      <c r="C43" s="182">
        <v>46016.0</v>
      </c>
      <c r="D43" s="57" t="s">
        <v>852</v>
      </c>
      <c r="E43" s="3">
        <v>2.0610807004E10</v>
      </c>
      <c r="G43" s="141">
        <v>30.0</v>
      </c>
      <c r="H43" s="3" t="s">
        <v>339</v>
      </c>
      <c r="I43" s="6">
        <v>2.1</v>
      </c>
      <c r="J43" s="58">
        <v>24.9</v>
      </c>
      <c r="K43" s="6">
        <v>1.577</v>
      </c>
      <c r="L43" s="139">
        <v>0.754</v>
      </c>
      <c r="M43" s="60">
        <v>0.709</v>
      </c>
      <c r="N43" s="62">
        <v>0.709</v>
      </c>
      <c r="O43" s="60">
        <v>0.709</v>
      </c>
      <c r="P43" s="63">
        <v>90.0</v>
      </c>
      <c r="Q43" s="58">
        <v>92.44</v>
      </c>
      <c r="R43" s="65">
        <v>4480.8</v>
      </c>
      <c r="S43" s="66">
        <v>155.0</v>
      </c>
      <c r="U43" s="67">
        <v>120.0</v>
      </c>
      <c r="V43" s="67">
        <v>1.1023</v>
      </c>
      <c r="Y43" s="57">
        <v>20.0</v>
      </c>
      <c r="Z43" s="69">
        <v>30.0</v>
      </c>
      <c r="AA43" s="70">
        <v>50.0</v>
      </c>
      <c r="AB43" s="71">
        <v>2841.317668904</v>
      </c>
      <c r="AC43" s="71">
        <v>90.85650000000001</v>
      </c>
      <c r="AD43" s="71">
        <v>88.43560447238393</v>
      </c>
      <c r="AE43" s="71">
        <v>-14.884999999999998</v>
      </c>
      <c r="AF43" s="71">
        <v>199.9578355243202</v>
      </c>
      <c r="AG43" s="72">
        <v>434.36493999670415</v>
      </c>
      <c r="AH43" s="193">
        <v>37.685</v>
      </c>
      <c r="AI43" s="193">
        <v>40.767</v>
      </c>
      <c r="AJ43" s="73">
        <v>-315.6178267003841</v>
      </c>
      <c r="AK43" s="73">
        <v>34.50082714288978</v>
      </c>
      <c r="AM43" s="51">
        <v>4480.757963861608</v>
      </c>
      <c r="AN43" s="51" t="s">
        <v>2698</v>
      </c>
      <c r="AO43" s="131" t="s">
        <v>558</v>
      </c>
      <c r="AP43" s="57" t="s">
        <v>1291</v>
      </c>
      <c r="AQ43" s="57" t="s">
        <v>878</v>
      </c>
    </row>
    <row r="44" ht="15.0" customHeight="1">
      <c r="A44" s="116" t="s">
        <v>2699</v>
      </c>
      <c r="B44" s="182">
        <v>46024.0</v>
      </c>
      <c r="C44" s="182">
        <v>46016.0</v>
      </c>
      <c r="D44" s="57" t="s">
        <v>665</v>
      </c>
      <c r="E44" s="3">
        <v>2.0608774E10</v>
      </c>
      <c r="G44" s="141">
        <v>23.0</v>
      </c>
      <c r="H44" s="3" t="s">
        <v>47</v>
      </c>
      <c r="I44" s="6">
        <v>1.95</v>
      </c>
      <c r="J44" s="58">
        <v>2.35</v>
      </c>
      <c r="K44" s="6">
        <v>1.904</v>
      </c>
      <c r="L44" s="139">
        <v>0.2</v>
      </c>
      <c r="M44" s="75">
        <v>0.182</v>
      </c>
      <c r="N44" s="62">
        <v>0.182</v>
      </c>
      <c r="O44" s="60">
        <v>0.182</v>
      </c>
      <c r="P44" s="63">
        <v>85.0</v>
      </c>
      <c r="Q44" s="58">
        <v>93.53</v>
      </c>
      <c r="R44" s="65">
        <v>4480.8</v>
      </c>
      <c r="S44" s="66">
        <v>95.0</v>
      </c>
      <c r="U44" s="67">
        <v>120.0</v>
      </c>
      <c r="V44" s="67">
        <v>1.1023</v>
      </c>
      <c r="Y44" s="199">
        <v>25.0</v>
      </c>
      <c r="Z44" s="140">
        <v>35.0</v>
      </c>
      <c r="AA44" s="70">
        <v>60.0</v>
      </c>
      <c r="AB44" s="71">
        <v>572.772452248</v>
      </c>
      <c r="AC44" s="71">
        <v>24.718500000000006</v>
      </c>
      <c r="AD44" s="71">
        <v>82.0058818704</v>
      </c>
      <c r="AE44" s="71">
        <v>-3.8619999999999948</v>
      </c>
      <c r="AF44" s="71">
        <v>80.92624992033608</v>
      </c>
      <c r="AG44" s="72">
        <v>200.78863179073608</v>
      </c>
      <c r="AH44" s="193">
        <v>12.211</v>
      </c>
      <c r="AI44" s="193">
        <v>13.056</v>
      </c>
      <c r="AJ44" s="73">
        <v>-84.70541457040004</v>
      </c>
      <c r="AK44" s="73">
        <v>10.098719907661838</v>
      </c>
      <c r="AM44" s="51">
        <v>1090.558749080192</v>
      </c>
      <c r="AN44" s="51" t="s">
        <v>2662</v>
      </c>
      <c r="AO44" s="131" t="s">
        <v>558</v>
      </c>
      <c r="AP44" s="57" t="s">
        <v>2602</v>
      </c>
      <c r="AQ44" s="57" t="s">
        <v>2603</v>
      </c>
      <c r="AR44" s="2" t="s">
        <v>2700</v>
      </c>
    </row>
    <row r="45" ht="15.0" customHeight="1">
      <c r="A45" s="116" t="s">
        <v>2701</v>
      </c>
      <c r="B45" s="182">
        <v>46028.0</v>
      </c>
      <c r="C45" s="182">
        <v>46016.0</v>
      </c>
      <c r="D45" s="57" t="s">
        <v>852</v>
      </c>
      <c r="E45" s="3">
        <f t="array" ref="E45">XLOOKUP(D45,RUC!$B$3:$B$110,RUC!$D$3:$D$110)</f>
        <v>20610807004</v>
      </c>
      <c r="G45" s="141">
        <v>25.0</v>
      </c>
      <c r="H45" s="3" t="s">
        <v>47</v>
      </c>
      <c r="I45" s="6">
        <v>2.13</v>
      </c>
      <c r="J45" s="58">
        <v>13.55</v>
      </c>
      <c r="K45" s="6">
        <f t="shared" ref="K45:K54" si="45">ROUND(+I45-(I45*(J45/100)),3)</f>
        <v>1.841</v>
      </c>
      <c r="L45" s="139">
        <v>0.379</v>
      </c>
      <c r="M45" s="60">
        <f t="shared" ref="M45:M54" si="46">ROUND(+IF(AN45="Melchor Vera",IF(L45&gt;0.467,L45*0.985,(L45-0.007)),IF(L45&gt;0.3,L45*0.94,(L45-0.019))),3)</f>
        <v>0.356</v>
      </c>
      <c r="N45" s="62">
        <f t="shared" ref="N45:N47" si="47">+M45</f>
        <v>0.356</v>
      </c>
      <c r="O45" s="60">
        <f t="shared" ref="O45:O54" si="48">+ROUND((M45+N45)/2,3)</f>
        <v>0.356</v>
      </c>
      <c r="P45" s="63">
        <v>90.0</v>
      </c>
      <c r="Q45" s="58">
        <v>93.93</v>
      </c>
      <c r="R45" s="65">
        <v>4480.8</v>
      </c>
      <c r="S45" s="66">
        <f t="array" ref="S45">IF((XLOOKUP(D45,RUC!$B$3:$B$106,RUC!$E$3:$E$106)+ROUNDDOWN(O45,1)*100)&lt;95,95,((XLOOKUP(D45,RUC!$B$3:$B$106,RUC!$E$3:$E$106)+ROUNDDOWN(O45,1)*100)))</f>
        <v>115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ref="AA45:AA54" si="49">+Y45+Z45</f>
        <v>50</v>
      </c>
      <c r="AB45" s="71">
        <f>+((O45*P45*(R45-U45)/100)-S45-AA45+T45)*V45</f>
        <v>1358.254413</v>
      </c>
      <c r="AC45" s="71">
        <f>+(S45-T45)*V45-'data 1'!$F$4</f>
        <v>46.7645</v>
      </c>
      <c r="AD45" s="71">
        <f t="shared" ref="AD45:AD54" si="50">+(Q45-P45)*(R45-U45)*L45*V45/100</f>
        <v>71.59747999</v>
      </c>
      <c r="AE45" s="71">
        <f t="shared" ref="AE45:AE54" si="51">+(Y45*V45-70)+V45*(Z45-IF(D45="UNTUCA",IF(+((W45-3)*2.5+(X45-3)*3.1)&gt;0,+((W45-3)*1.5+(X45-3)*3.1),0),IF(+((W45-3)*1.5+(X45-3)*3.1)&gt;0,+((W45-3)*1.5+(X45-3)*3.1),0)))</f>
        <v>-14.885</v>
      </c>
      <c r="AF45" s="71">
        <f t="shared" ref="AF45:AF54" si="52">(L45-O45)*(R45-U45)*Q45*V45/100</f>
        <v>103.8479995</v>
      </c>
      <c r="AG45" s="72">
        <f>AC45+AD45+AE45+AF45+70</f>
        <v>277.3249795</v>
      </c>
      <c r="AH45" s="193">
        <f t="shared" ref="AH45:AH54" si="53">ROUND((31.1035*L45*Q45*1.1023*K45/100),3)</f>
        <v>22.47</v>
      </c>
      <c r="AI45" s="193">
        <f t="shared" ref="AI45:AI54" si="54">ROUND((31.1035*L45*1.1023*K45),3)</f>
        <v>23.922</v>
      </c>
      <c r="AJ45" s="73">
        <f t="shared" ref="AJ45:AJ54" si="55">+((+$AJ$2-R45+U45)*L45*Q45*V45)/100</f>
        <v>286.1475288</v>
      </c>
      <c r="AK45" s="73">
        <f t="shared" ref="AK45:AK54" si="56">31.1035*1.1023*K45*P45*O45/100</f>
        <v>20.22345557</v>
      </c>
      <c r="AM45" s="51">
        <f t="shared" ref="AM45:AM54" si="57">+IF(AB45*K45&gt;0,AB45*K45,0)</f>
        <v>2500.546374</v>
      </c>
      <c r="AN45" s="51" t="str">
        <f t="array" ref="AN45">XLOOKUP(D45,RUC!$B$3:$B$565,RUC!$M$3:$M$565)</f>
        <v>Renzo</v>
      </c>
      <c r="AO45" s="131" t="s">
        <v>558</v>
      </c>
      <c r="AP45" s="57" t="s">
        <v>1291</v>
      </c>
      <c r="AQ45" s="57" t="s">
        <v>878</v>
      </c>
    </row>
    <row r="46" ht="15.0" customHeight="1">
      <c r="A46" s="192" t="s">
        <v>2702</v>
      </c>
      <c r="B46" s="453">
        <v>46025.0</v>
      </c>
      <c r="C46" s="182">
        <v>46017.0</v>
      </c>
      <c r="D46" s="57" t="s">
        <v>225</v>
      </c>
      <c r="E46" s="3">
        <f t="array" ref="E46">XLOOKUP(D46,RUC!$B$3:$B$110,RUC!$D$3:$D$110)</f>
        <v>10761932735</v>
      </c>
      <c r="G46" s="141">
        <v>34.0</v>
      </c>
      <c r="H46" s="3" t="s">
        <v>47</v>
      </c>
      <c r="I46" s="6">
        <v>2.9</v>
      </c>
      <c r="J46" s="58">
        <v>9.85</v>
      </c>
      <c r="K46" s="6">
        <f t="shared" si="45"/>
        <v>2.614</v>
      </c>
      <c r="L46" s="139">
        <v>0.036</v>
      </c>
      <c r="M46" s="60">
        <f t="shared" si="46"/>
        <v>0.017</v>
      </c>
      <c r="N46" s="62">
        <f t="shared" si="47"/>
        <v>0.017</v>
      </c>
      <c r="O46" s="60">
        <f t="shared" si="48"/>
        <v>0.017</v>
      </c>
      <c r="P46" s="63">
        <v>90.0</v>
      </c>
      <c r="Q46" s="58">
        <v>94.44</v>
      </c>
      <c r="R46" s="65">
        <v>4480.8</v>
      </c>
      <c r="S46" s="66">
        <f t="array" ref="S46">IF((XLOOKUP(D46,RUC!$B$3:$B$106,RUC!$E$3:$E$106)+ROUNDDOWN(O46,1)*100)&lt;95,95,((XLOOKUP(D46,RUC!$B$3:$B$106,RUC!$E$3:$E$106)+ROUNDDOWN(O46,1)*100)))</f>
        <v>95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49"/>
        <v>50</v>
      </c>
      <c r="AB46" s="71">
        <v>0.0</v>
      </c>
      <c r="AC46" s="71">
        <f>+(S46-T46)*V46-'data 1'!$F$4</f>
        <v>24.7185</v>
      </c>
      <c r="AD46" s="71">
        <f t="shared" si="50"/>
        <v>7.683364688</v>
      </c>
      <c r="AE46" s="71">
        <f t="shared" si="51"/>
        <v>-14.885</v>
      </c>
      <c r="AF46" s="71">
        <f t="shared" si="52"/>
        <v>86.25326741</v>
      </c>
      <c r="AG46" s="72">
        <f t="shared" ref="AG46:AG50" si="58">AC46+AD46+AE46+AF46+70-53</f>
        <v>120.7701321</v>
      </c>
      <c r="AH46" s="193">
        <f t="shared" si="53"/>
        <v>3.047</v>
      </c>
      <c r="AI46" s="193">
        <f t="shared" si="54"/>
        <v>3.226</v>
      </c>
      <c r="AJ46" s="73">
        <f t="shared" si="55"/>
        <v>27.32781736</v>
      </c>
      <c r="AK46" s="73">
        <f t="shared" si="56"/>
        <v>1.371216667</v>
      </c>
      <c r="AM46" s="51">
        <f t="shared" si="57"/>
        <v>0</v>
      </c>
      <c r="AN46" s="51" t="str">
        <f t="array" ref="AN46">XLOOKUP(D46,RUC!$B$3:$B$565,RUC!$M$3:$M$565)</f>
        <v>Richard Sapacayo</v>
      </c>
      <c r="AO46" s="131" t="s">
        <v>547</v>
      </c>
      <c r="AP46" s="57" t="s">
        <v>2703</v>
      </c>
      <c r="AQ46" s="57" t="s">
        <v>2704</v>
      </c>
    </row>
    <row r="47" ht="15.0" customHeight="1">
      <c r="A47" s="116" t="s">
        <v>2705</v>
      </c>
      <c r="B47" s="182">
        <v>46025.0</v>
      </c>
      <c r="C47" s="182">
        <v>46017.0</v>
      </c>
      <c r="D47" s="57" t="s">
        <v>225</v>
      </c>
      <c r="E47" s="3">
        <f t="array" ref="E47">XLOOKUP(D47,RUC!$B$3:$B$110,RUC!$D$3:$D$110)</f>
        <v>10761932735</v>
      </c>
      <c r="G47" s="141">
        <v>57.0</v>
      </c>
      <c r="H47" s="3" t="s">
        <v>47</v>
      </c>
      <c r="I47" s="6">
        <v>4.94</v>
      </c>
      <c r="J47" s="58">
        <v>11.3</v>
      </c>
      <c r="K47" s="6">
        <f t="shared" si="45"/>
        <v>4.382</v>
      </c>
      <c r="L47" s="139">
        <v>0.287</v>
      </c>
      <c r="M47" s="60">
        <f t="shared" si="46"/>
        <v>0.268</v>
      </c>
      <c r="N47" s="62">
        <f t="shared" si="47"/>
        <v>0.268</v>
      </c>
      <c r="O47" s="60">
        <f t="shared" si="48"/>
        <v>0.268</v>
      </c>
      <c r="P47" s="63">
        <v>90.0</v>
      </c>
      <c r="Q47" s="58">
        <v>97.91</v>
      </c>
      <c r="R47" s="65">
        <v>4480.8</v>
      </c>
      <c r="S47" s="66">
        <f t="array" ref="S47">IF((XLOOKUP(D47,RUC!$B$3:$B$106,RUC!$E$3:$E$106)+ROUNDDOWN(O47,1)*100)&lt;95,95,((XLOOKUP(D47,RUC!$B$3:$B$106,RUC!$E$3:$E$106)+ROUNDDOWN(O47,1)*100)))</f>
        <v>110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49"/>
        <v>50</v>
      </c>
      <c r="AB47" s="71">
        <f t="shared" ref="AB47:AB54" si="59">+((O47*P47*(R47-U47)/100)-S47-AA47+T47)*V47</f>
        <v>983.0586534</v>
      </c>
      <c r="AC47" s="71">
        <f>+(S47-T47)*V47-'data 1'!$F$4</f>
        <v>41.253</v>
      </c>
      <c r="AD47" s="71">
        <f t="shared" si="50"/>
        <v>109.1250251</v>
      </c>
      <c r="AE47" s="71">
        <f t="shared" si="51"/>
        <v>-14.885</v>
      </c>
      <c r="AF47" s="71">
        <f t="shared" si="52"/>
        <v>89.42246306</v>
      </c>
      <c r="AG47" s="72">
        <f t="shared" si="58"/>
        <v>241.9154882</v>
      </c>
      <c r="AH47" s="193">
        <f t="shared" si="53"/>
        <v>42.217</v>
      </c>
      <c r="AI47" s="193">
        <f t="shared" si="54"/>
        <v>43.118</v>
      </c>
      <c r="AJ47" s="73">
        <f t="shared" si="55"/>
        <v>225.8683684</v>
      </c>
      <c r="AK47" s="73">
        <f t="shared" si="56"/>
        <v>36.23754319</v>
      </c>
      <c r="AM47" s="51">
        <f t="shared" si="57"/>
        <v>4307.763019</v>
      </c>
      <c r="AN47" s="51" t="str">
        <f t="array" ref="AN47">XLOOKUP(D47,RUC!$B$3:$B$565,RUC!$M$3:$M$565)</f>
        <v>Richard Sapacayo</v>
      </c>
      <c r="AO47" s="131" t="s">
        <v>558</v>
      </c>
      <c r="AP47" s="57" t="s">
        <v>2703</v>
      </c>
      <c r="AQ47" s="57" t="s">
        <v>2704</v>
      </c>
    </row>
    <row r="48" ht="15.0" customHeight="1">
      <c r="A48" s="116" t="s">
        <v>2706</v>
      </c>
      <c r="B48" s="182">
        <v>46025.0</v>
      </c>
      <c r="C48" s="182">
        <v>46017.0</v>
      </c>
      <c r="D48" s="57" t="s">
        <v>225</v>
      </c>
      <c r="E48" s="3">
        <f t="array" ref="E48">XLOOKUP(D48,RUC!$B$3:$B$110,RUC!$D$3:$D$110)</f>
        <v>10761932735</v>
      </c>
      <c r="G48" s="141">
        <v>182.0</v>
      </c>
      <c r="H48" s="3" t="s">
        <v>47</v>
      </c>
      <c r="I48" s="6">
        <v>15.99</v>
      </c>
      <c r="J48" s="58">
        <v>10.2</v>
      </c>
      <c r="K48" s="6">
        <f t="shared" si="45"/>
        <v>14.359</v>
      </c>
      <c r="L48" s="139">
        <v>0.253</v>
      </c>
      <c r="M48" s="60">
        <f t="shared" si="46"/>
        <v>0.234</v>
      </c>
      <c r="N48" s="75">
        <v>0.29</v>
      </c>
      <c r="O48" s="60">
        <f t="shared" si="48"/>
        <v>0.262</v>
      </c>
      <c r="P48" s="63">
        <v>90.0</v>
      </c>
      <c r="Q48" s="58">
        <v>96.05</v>
      </c>
      <c r="R48" s="65">
        <v>4480.8</v>
      </c>
      <c r="S48" s="66">
        <f t="array" ref="S48">IF((XLOOKUP(D48,RUC!$B$3:$B$106,RUC!$E$3:$E$106)+ROUNDDOWN(O48,1)*100)&lt;95,95,((XLOOKUP(D48,RUC!$B$3:$B$106,RUC!$E$3:$E$106)+ROUNDDOWN(O48,1)*100)))</f>
        <v>110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49"/>
        <v>50</v>
      </c>
      <c r="AB48" s="71">
        <f t="shared" si="59"/>
        <v>957.1013403</v>
      </c>
      <c r="AC48" s="71">
        <f>+(S48-T48)*V48-'data 1'!$F$4</f>
        <v>41.253</v>
      </c>
      <c r="AD48" s="71">
        <f t="shared" si="50"/>
        <v>73.57696547</v>
      </c>
      <c r="AE48" s="71">
        <f t="shared" si="51"/>
        <v>-14.885</v>
      </c>
      <c r="AF48" s="71">
        <f t="shared" si="52"/>
        <v>-41.55333211</v>
      </c>
      <c r="AG48" s="72">
        <f t="shared" si="58"/>
        <v>75.39163335</v>
      </c>
      <c r="AH48" s="193">
        <f t="shared" si="53"/>
        <v>119.633</v>
      </c>
      <c r="AI48" s="193">
        <f t="shared" si="54"/>
        <v>124.553</v>
      </c>
      <c r="AJ48" s="73">
        <f t="shared" si="55"/>
        <v>195.3279346</v>
      </c>
      <c r="AK48" s="73">
        <f t="shared" si="56"/>
        <v>116.0852566</v>
      </c>
      <c r="AM48" s="51">
        <f t="shared" si="57"/>
        <v>13743.01814</v>
      </c>
      <c r="AN48" s="51" t="str">
        <f t="array" ref="AN48">XLOOKUP(D48,RUC!$B$3:$B$565,RUC!$M$3:$M$565)</f>
        <v>Richard Sapacayo</v>
      </c>
      <c r="AO48" s="131" t="s">
        <v>558</v>
      </c>
      <c r="AP48" s="57" t="s">
        <v>2703</v>
      </c>
      <c r="AQ48" s="57" t="s">
        <v>2704</v>
      </c>
    </row>
    <row r="49" ht="15.0" customHeight="1">
      <c r="A49" s="116" t="s">
        <v>2707</v>
      </c>
      <c r="B49" s="182">
        <v>46030.0</v>
      </c>
      <c r="C49" s="182">
        <v>46017.0</v>
      </c>
      <c r="D49" s="57" t="s">
        <v>665</v>
      </c>
      <c r="E49" s="3">
        <f t="array" ref="E49">XLOOKUP(D49,RUC!$B$3:$B$110,RUC!$D$3:$D$110)</f>
        <v>20608774000</v>
      </c>
      <c r="G49" s="141">
        <v>51.0</v>
      </c>
      <c r="H49" s="3" t="s">
        <v>47</v>
      </c>
      <c r="I49" s="6">
        <v>4.9</v>
      </c>
      <c r="J49" s="58">
        <v>1.25</v>
      </c>
      <c r="K49" s="6">
        <f t="shared" si="45"/>
        <v>4.839</v>
      </c>
      <c r="L49" s="139">
        <v>0.423</v>
      </c>
      <c r="M49" s="60">
        <f t="shared" si="46"/>
        <v>0.398</v>
      </c>
      <c r="N49" s="62">
        <f t="shared" ref="N49:N50" si="60">+M49</f>
        <v>0.398</v>
      </c>
      <c r="O49" s="60">
        <f t="shared" si="48"/>
        <v>0.398</v>
      </c>
      <c r="P49" s="63">
        <v>90.0</v>
      </c>
      <c r="Q49" s="58">
        <v>91.98</v>
      </c>
      <c r="R49" s="65">
        <v>4480.8</v>
      </c>
      <c r="S49" s="66">
        <f t="array" ref="S49">IF((XLOOKUP(D49,RUC!$B$3:$B$106,RUC!$E$3:$E$106)+ROUNDDOWN(O49,1)*100)&lt;95,95,((XLOOKUP(D49,RUC!$B$3:$B$106,RUC!$E$3:$E$106)+ROUNDDOWN(O49,1)*100)))</f>
        <v>115</v>
      </c>
      <c r="U49" s="67">
        <f t="array" ref="U49">XLOOKUP(D49,RUC!$B$3:$B$110,RUC!$F$3:$F$110)</f>
        <v>120</v>
      </c>
      <c r="V49" s="67">
        <v>1.1023</v>
      </c>
      <c r="Y49" s="199">
        <v>25.0</v>
      </c>
      <c r="Z49" s="140">
        <v>35.0</v>
      </c>
      <c r="AA49" s="70">
        <f t="shared" si="49"/>
        <v>60</v>
      </c>
      <c r="AB49" s="71">
        <f t="shared" si="59"/>
        <v>1528.932605</v>
      </c>
      <c r="AC49" s="71">
        <f>+(S49-T49)*V49-'data 1'!$F$4</f>
        <v>46.7645</v>
      </c>
      <c r="AD49" s="71">
        <f t="shared" si="50"/>
        <v>40.25979267</v>
      </c>
      <c r="AE49" s="71">
        <f t="shared" si="51"/>
        <v>-3.862</v>
      </c>
      <c r="AF49" s="71">
        <f t="shared" si="52"/>
        <v>110.5348918</v>
      </c>
      <c r="AG49" s="72">
        <f t="shared" si="58"/>
        <v>210.6971844</v>
      </c>
      <c r="AH49" s="193">
        <f t="shared" si="53"/>
        <v>64.55</v>
      </c>
      <c r="AI49" s="193">
        <f t="shared" si="54"/>
        <v>70.179</v>
      </c>
      <c r="AJ49" s="73">
        <f t="shared" si="55"/>
        <v>312.7377015</v>
      </c>
      <c r="AK49" s="73">
        <f t="shared" si="56"/>
        <v>59.42788481</v>
      </c>
      <c r="AM49" s="51">
        <f t="shared" si="57"/>
        <v>7398.504874</v>
      </c>
      <c r="AN49" s="51" t="str">
        <f t="array" ref="AN49">XLOOKUP(D49,RUC!$B$3:$B$565,RUC!$M$3:$M$565)</f>
        <v>Ronald Miranda</v>
      </c>
      <c r="AO49" s="131" t="s">
        <v>547</v>
      </c>
      <c r="AP49" s="57" t="s">
        <v>2708</v>
      </c>
      <c r="AQ49" s="57" t="s">
        <v>2709</v>
      </c>
    </row>
    <row r="50" ht="15.0" customHeight="1">
      <c r="A50" s="116" t="s">
        <v>2710</v>
      </c>
      <c r="B50" s="182">
        <v>46027.0</v>
      </c>
      <c r="C50" s="182">
        <v>46017.0</v>
      </c>
      <c r="D50" s="57" t="s">
        <v>665</v>
      </c>
      <c r="E50" s="3">
        <f t="array" ref="E50">XLOOKUP(D50,RUC!$B$3:$B$110,RUC!$D$3:$D$110)</f>
        <v>20608774000</v>
      </c>
      <c r="G50" s="141">
        <v>15.0</v>
      </c>
      <c r="H50" s="3" t="s">
        <v>47</v>
      </c>
      <c r="I50" s="6">
        <v>1.46</v>
      </c>
      <c r="J50" s="58">
        <v>1.5</v>
      </c>
      <c r="K50" s="6">
        <f t="shared" si="45"/>
        <v>1.438</v>
      </c>
      <c r="L50" s="139">
        <v>0.299</v>
      </c>
      <c r="M50" s="60">
        <f t="shared" si="46"/>
        <v>0.28</v>
      </c>
      <c r="N50" s="62">
        <f t="shared" si="60"/>
        <v>0.28</v>
      </c>
      <c r="O50" s="60">
        <f t="shared" si="48"/>
        <v>0.28</v>
      </c>
      <c r="P50" s="63">
        <v>90.0</v>
      </c>
      <c r="Q50" s="58">
        <v>94.65</v>
      </c>
      <c r="R50" s="65">
        <v>4480.8</v>
      </c>
      <c r="S50" s="66">
        <f t="array" ref="S50">IF((XLOOKUP(D50,RUC!$B$3:$B$106,RUC!$E$3:$E$106)+ROUNDDOWN(O50,1)*100)&lt;95,95,((XLOOKUP(D50,RUC!$B$3:$B$106,RUC!$E$3:$E$106)+ROUNDDOWN(O50,1)*100)))</f>
        <v>105</v>
      </c>
      <c r="U50" s="67">
        <f t="array" ref="U50">XLOOKUP(D50,RUC!$B$3:$B$110,RUC!$F$3:$F$110)</f>
        <v>120</v>
      </c>
      <c r="V50" s="67">
        <v>1.1023</v>
      </c>
      <c r="Y50" s="199">
        <v>25.0</v>
      </c>
      <c r="Z50" s="140">
        <v>35.0</v>
      </c>
      <c r="AA50" s="70">
        <f t="shared" si="49"/>
        <v>60</v>
      </c>
      <c r="AB50" s="71">
        <f t="shared" si="59"/>
        <v>1029.46178</v>
      </c>
      <c r="AC50" s="71">
        <f>+(S50-T50)*V50-'data 1'!$F$4</f>
        <v>35.7415</v>
      </c>
      <c r="AD50" s="71">
        <f t="shared" si="50"/>
        <v>66.83287096</v>
      </c>
      <c r="AE50" s="71">
        <f t="shared" si="51"/>
        <v>-3.862</v>
      </c>
      <c r="AF50" s="71">
        <f t="shared" si="52"/>
        <v>86.44506311</v>
      </c>
      <c r="AG50" s="72">
        <f t="shared" si="58"/>
        <v>202.1574341</v>
      </c>
      <c r="AH50" s="193">
        <f t="shared" si="53"/>
        <v>13.953</v>
      </c>
      <c r="AI50" s="193">
        <f t="shared" si="54"/>
        <v>14.741</v>
      </c>
      <c r="AJ50" s="73">
        <f t="shared" si="55"/>
        <v>227.4774096</v>
      </c>
      <c r="AK50" s="73">
        <f t="shared" si="56"/>
        <v>12.42420178</v>
      </c>
      <c r="AM50" s="51">
        <f t="shared" si="57"/>
        <v>1480.366039</v>
      </c>
      <c r="AN50" s="51" t="str">
        <f t="array" ref="AN50">XLOOKUP(D50,RUC!$B$3:$B$565,RUC!$M$3:$M$565)</f>
        <v>Ronald Miranda</v>
      </c>
      <c r="AO50" s="131" t="s">
        <v>558</v>
      </c>
      <c r="AP50" s="57" t="s">
        <v>2708</v>
      </c>
      <c r="AQ50" s="57" t="s">
        <v>2709</v>
      </c>
    </row>
    <row r="51" ht="15.0" customHeight="1">
      <c r="A51" s="116" t="s">
        <v>2711</v>
      </c>
      <c r="B51" s="182">
        <v>46025.0</v>
      </c>
      <c r="C51" s="182">
        <v>46020.0</v>
      </c>
      <c r="D51" s="2" t="s">
        <v>806</v>
      </c>
      <c r="E51" s="3">
        <f t="array" ref="E51">XLOOKUP(D51,RUC!$B$3:$B$110,RUC!$D$3:$D$110)</f>
        <v>20614284740</v>
      </c>
      <c r="G51" s="141">
        <v>41.0</v>
      </c>
      <c r="H51" s="3" t="s">
        <v>47</v>
      </c>
      <c r="I51" s="6">
        <v>3.8</v>
      </c>
      <c r="J51" s="58">
        <v>1.2</v>
      </c>
      <c r="K51" s="6">
        <f t="shared" si="45"/>
        <v>3.754</v>
      </c>
      <c r="L51" s="139">
        <v>0.238</v>
      </c>
      <c r="M51" s="60">
        <f t="shared" si="46"/>
        <v>0.219</v>
      </c>
      <c r="N51" s="75">
        <v>0.309</v>
      </c>
      <c r="O51" s="60">
        <f t="shared" si="48"/>
        <v>0.264</v>
      </c>
      <c r="P51" s="63">
        <v>90.0</v>
      </c>
      <c r="Q51" s="58">
        <v>90.76</v>
      </c>
      <c r="R51" s="65">
        <v>4337.05</v>
      </c>
      <c r="S51" s="66">
        <f t="array" ref="S51">IF((XLOOKUP(D51,RUC!$B$3:$B$106,RUC!$E$3:$E$106)+ROUNDDOWN(O51,1)*100)&lt;95,95,((XLOOKUP(D51,RUC!$B$3:$B$106,RUC!$E$3:$E$106)+ROUNDDOWN(O51,1)*100)))</f>
        <v>110</v>
      </c>
      <c r="U51" s="67">
        <f t="array" ref="U51">XLOOKUP(D51,RUC!$B$3:$B$110,RUC!$F$3:$F$110)</f>
        <v>120</v>
      </c>
      <c r="V51" s="67">
        <v>1.1023</v>
      </c>
      <c r="Y51" s="199">
        <v>40.0</v>
      </c>
      <c r="Z51" s="69">
        <f t="array" ref="Z51">XLOOKUP(D51,RUC!$B$3:$B$110,RUC!$H$3:$H$110)</f>
        <v>30</v>
      </c>
      <c r="AA51" s="70">
        <f t="shared" si="49"/>
        <v>70</v>
      </c>
      <c r="AB51" s="71">
        <f t="shared" si="59"/>
        <v>906.0587215</v>
      </c>
      <c r="AC51" s="71">
        <f>+(S51-T51)*V51-'data 1'!$F$4</f>
        <v>41.253</v>
      </c>
      <c r="AD51" s="71">
        <f t="shared" si="50"/>
        <v>8.408123984</v>
      </c>
      <c r="AE51" s="71">
        <f t="shared" si="51"/>
        <v>7.161</v>
      </c>
      <c r="AF51" s="71">
        <f t="shared" si="52"/>
        <v>-109.6923632</v>
      </c>
      <c r="AG51" s="72">
        <f>AC51+AD51+AE51+AF51+70</f>
        <v>17.1297608</v>
      </c>
      <c r="AH51" s="193">
        <f t="shared" si="53"/>
        <v>27.802</v>
      </c>
      <c r="AI51" s="193">
        <f t="shared" si="54"/>
        <v>30.632</v>
      </c>
      <c r="AJ51" s="73">
        <f t="shared" si="55"/>
        <v>207.8550694</v>
      </c>
      <c r="AK51" s="73">
        <f t="shared" si="56"/>
        <v>30.58086559</v>
      </c>
      <c r="AM51" s="51">
        <f t="shared" si="57"/>
        <v>3401.34444</v>
      </c>
      <c r="AN51" s="51" t="str">
        <f t="array" ref="AN51">XLOOKUP(D51,RUC!$B$3:$B$565,RUC!$M$3:$M$565)</f>
        <v>Dante </v>
      </c>
      <c r="AO51" s="131" t="s">
        <v>547</v>
      </c>
      <c r="AP51" s="57" t="s">
        <v>2712</v>
      </c>
      <c r="AQ51" s="57" t="s">
        <v>2713</v>
      </c>
    </row>
    <row r="52" ht="15.0" customHeight="1">
      <c r="A52" s="116" t="s">
        <v>2714</v>
      </c>
      <c r="B52" s="182">
        <v>46027.0</v>
      </c>
      <c r="C52" s="182">
        <v>46021.0</v>
      </c>
      <c r="D52" s="57" t="s">
        <v>225</v>
      </c>
      <c r="E52" s="3">
        <f t="array" ref="E52">XLOOKUP(D52,RUC!$B$3:$B$110,RUC!$D$3:$D$110)</f>
        <v>10761932735</v>
      </c>
      <c r="G52" s="141">
        <v>120.0</v>
      </c>
      <c r="H52" s="3" t="s">
        <v>47</v>
      </c>
      <c r="I52" s="6">
        <v>10.93</v>
      </c>
      <c r="J52" s="58">
        <v>3.7</v>
      </c>
      <c r="K52" s="6">
        <f t="shared" si="45"/>
        <v>10.526</v>
      </c>
      <c r="L52" s="139">
        <v>0.204</v>
      </c>
      <c r="M52" s="60">
        <f t="shared" si="46"/>
        <v>0.185</v>
      </c>
      <c r="N52" s="62">
        <f>+M52</f>
        <v>0.185</v>
      </c>
      <c r="O52" s="60">
        <f t="shared" si="48"/>
        <v>0.185</v>
      </c>
      <c r="P52" s="63">
        <v>90.0</v>
      </c>
      <c r="Q52" s="58">
        <v>96.57</v>
      </c>
      <c r="R52" s="65">
        <v>4367.8</v>
      </c>
      <c r="S52" s="66">
        <f t="array" ref="S52">IF((XLOOKUP(D52,RUC!$B$3:$B$106,RUC!$E$3:$E$106)+ROUNDDOWN(O52,1)*100)&lt;95,95,((XLOOKUP(D52,RUC!$B$3:$B$106,RUC!$E$3:$E$106)+ROUNDDOWN(O52,1)*100)))</f>
        <v>100</v>
      </c>
      <c r="U52" s="67">
        <f t="array" ref="U52">XLOOKUP(D52,RUC!$B$3:$B$110,RUC!$F$3:$F$110)</f>
        <v>120</v>
      </c>
      <c r="V52" s="67">
        <v>1.1023</v>
      </c>
      <c r="Y52" s="57">
        <f t="array" ref="Y52">XLOOKUP(D52,RUC!$B$3:$B$110,RUC!$G$3:$G$110)</f>
        <v>20</v>
      </c>
      <c r="Z52" s="69">
        <f t="array" ref="Z52">XLOOKUP(D52,RUC!$B$3:$B$110,RUC!$H$3:$H$110)</f>
        <v>30</v>
      </c>
      <c r="AA52" s="70">
        <f t="shared" si="49"/>
        <v>50</v>
      </c>
      <c r="AB52" s="71">
        <f t="shared" si="59"/>
        <v>614.266265</v>
      </c>
      <c r="AC52" s="71">
        <f>+(S52-T52)*V52-'data 1'!$F$4</f>
        <v>30.23</v>
      </c>
      <c r="AD52" s="71">
        <f t="shared" si="50"/>
        <v>62.75659978</v>
      </c>
      <c r="AE52" s="71">
        <f t="shared" si="51"/>
        <v>-14.885</v>
      </c>
      <c r="AF52" s="71">
        <f t="shared" si="52"/>
        <v>85.9131614</v>
      </c>
      <c r="AG52" s="72">
        <f t="shared" ref="AG52:AG54" si="61">AC52+AD52+AE52+AF52+70-53</f>
        <v>181.0147612</v>
      </c>
      <c r="AH52" s="193">
        <f t="shared" si="53"/>
        <v>71.096</v>
      </c>
      <c r="AI52" s="193">
        <f t="shared" si="54"/>
        <v>73.621</v>
      </c>
      <c r="AJ52" s="73">
        <f t="shared" si="55"/>
        <v>182.8889402</v>
      </c>
      <c r="AK52" s="73">
        <f t="shared" si="56"/>
        <v>60.0878511</v>
      </c>
      <c r="AM52" s="51">
        <f t="shared" si="57"/>
        <v>6465.766705</v>
      </c>
      <c r="AN52" s="51" t="str">
        <f t="array" ref="AN52">XLOOKUP(D52,RUC!$B$3:$B$565,RUC!$M$3:$M$565)</f>
        <v>Richard Sapacayo</v>
      </c>
      <c r="AO52" s="131" t="s">
        <v>558</v>
      </c>
      <c r="AP52" s="57" t="s">
        <v>2620</v>
      </c>
      <c r="AQ52" s="57" t="s">
        <v>1221</v>
      </c>
    </row>
    <row r="53" ht="15.0" customHeight="1">
      <c r="A53" s="116" t="s">
        <v>2715</v>
      </c>
      <c r="B53" s="182">
        <v>46030.0</v>
      </c>
      <c r="C53" s="182">
        <v>46021.0</v>
      </c>
      <c r="D53" s="57" t="s">
        <v>225</v>
      </c>
      <c r="E53" s="3">
        <f t="array" ref="E53">XLOOKUP(D53,RUC!$B$3:$B$110,RUC!$D$3:$D$110)</f>
        <v>10761932735</v>
      </c>
      <c r="G53" s="141" t="s">
        <v>735</v>
      </c>
      <c r="H53" s="3" t="s">
        <v>47</v>
      </c>
      <c r="I53" s="6">
        <v>44.09</v>
      </c>
      <c r="J53" s="58">
        <v>4.35</v>
      </c>
      <c r="K53" s="6">
        <f t="shared" si="45"/>
        <v>42.172</v>
      </c>
      <c r="L53" s="139">
        <v>0.125</v>
      </c>
      <c r="M53" s="60">
        <f t="shared" si="46"/>
        <v>0.106</v>
      </c>
      <c r="N53" s="75">
        <v>0.165</v>
      </c>
      <c r="O53" s="60">
        <f t="shared" si="48"/>
        <v>0.136</v>
      </c>
      <c r="P53" s="63">
        <v>85.0</v>
      </c>
      <c r="Q53" s="58">
        <v>96.8</v>
      </c>
      <c r="R53" s="65">
        <v>4367.8</v>
      </c>
      <c r="S53" s="66">
        <f t="array" ref="S53">IF((XLOOKUP(D53,RUC!$B$3:$B$106,RUC!$E$3:$E$106)+ROUNDDOWN(O53,1)*100)&lt;95,95,((XLOOKUP(D53,RUC!$B$3:$B$106,RUC!$E$3:$E$106)+ROUNDDOWN(O53,1)*100)))</f>
        <v>100</v>
      </c>
      <c r="U53" s="67">
        <f t="array" ref="U53">XLOOKUP(D53,RUC!$B$3:$B$110,RUC!$F$3:$F$110)</f>
        <v>120</v>
      </c>
      <c r="V53" s="67">
        <v>1.1023</v>
      </c>
      <c r="Y53" s="199">
        <v>40.0</v>
      </c>
      <c r="Z53" s="69">
        <f t="array" ref="Z53">XLOOKUP(D53,RUC!$B$3:$B$110,RUC!$H$3:$H$110)</f>
        <v>30</v>
      </c>
      <c r="AA53" s="70">
        <f t="shared" si="49"/>
        <v>70</v>
      </c>
      <c r="AB53" s="71">
        <f t="shared" si="59"/>
        <v>353.8886531</v>
      </c>
      <c r="AC53" s="71">
        <f>+(S53-T53)*V53-'data 1'!$F$4</f>
        <v>30.23</v>
      </c>
      <c r="AD53" s="71">
        <f t="shared" si="50"/>
        <v>69.06466162</v>
      </c>
      <c r="AE53" s="71">
        <f t="shared" si="51"/>
        <v>7.161</v>
      </c>
      <c r="AF53" s="71">
        <f t="shared" si="52"/>
        <v>-49.85766216</v>
      </c>
      <c r="AG53" s="72">
        <f t="shared" si="61"/>
        <v>73.59799945</v>
      </c>
      <c r="AH53" s="193">
        <f t="shared" si="53"/>
        <v>174.952</v>
      </c>
      <c r="AI53" s="193">
        <f t="shared" si="54"/>
        <v>180.735</v>
      </c>
      <c r="AJ53" s="73">
        <f t="shared" si="55"/>
        <v>112.3312043</v>
      </c>
      <c r="AK53" s="73">
        <f t="shared" si="56"/>
        <v>167.1441193</v>
      </c>
      <c r="AM53" s="51">
        <f t="shared" si="57"/>
        <v>14924.19228</v>
      </c>
      <c r="AN53" s="51" t="str">
        <f t="array" ref="AN53">XLOOKUP(D53,RUC!$B$3:$B$565,RUC!$M$3:$M$565)</f>
        <v>Richard Sapacayo</v>
      </c>
      <c r="AO53" s="131" t="s">
        <v>551</v>
      </c>
      <c r="AP53" s="57" t="s">
        <v>2716</v>
      </c>
      <c r="AQ53" s="57" t="s">
        <v>2717</v>
      </c>
    </row>
    <row r="54" ht="15.0" customHeight="1">
      <c r="A54" s="116" t="s">
        <v>2718</v>
      </c>
      <c r="B54" s="182">
        <v>46030.0</v>
      </c>
      <c r="C54" s="182">
        <v>46021.0</v>
      </c>
      <c r="D54" s="57" t="s">
        <v>225</v>
      </c>
      <c r="E54" s="3">
        <f t="array" ref="E54">XLOOKUP(D54,RUC!$B$3:$B$110,RUC!$D$3:$D$110)</f>
        <v>10761932735</v>
      </c>
      <c r="G54" s="141" t="s">
        <v>735</v>
      </c>
      <c r="H54" s="3" t="s">
        <v>47</v>
      </c>
      <c r="I54" s="6">
        <v>40.53</v>
      </c>
      <c r="J54" s="58">
        <v>4.6</v>
      </c>
      <c r="K54" s="6">
        <f t="shared" si="45"/>
        <v>38.666</v>
      </c>
      <c r="L54" s="139">
        <v>0.122</v>
      </c>
      <c r="M54" s="60">
        <f t="shared" si="46"/>
        <v>0.103</v>
      </c>
      <c r="N54" s="75">
        <v>0.183</v>
      </c>
      <c r="O54" s="60">
        <f t="shared" si="48"/>
        <v>0.143</v>
      </c>
      <c r="P54" s="63">
        <v>85.0</v>
      </c>
      <c r="Q54" s="58">
        <v>95.08</v>
      </c>
      <c r="R54" s="65">
        <v>4367.8</v>
      </c>
      <c r="S54" s="66">
        <f t="array" ref="S54">IF((XLOOKUP(D54,RUC!$B$3:$B$106,RUC!$E$3:$E$106)+ROUNDDOWN(O54,1)*100)&lt;95,95,((XLOOKUP(D54,RUC!$B$3:$B$106,RUC!$E$3:$E$106)+ROUNDDOWN(O54,1)*100)))</f>
        <v>100</v>
      </c>
      <c r="U54" s="67">
        <f t="array" ref="U54">XLOOKUP(D54,RUC!$B$3:$B$110,RUC!$F$3:$F$110)</f>
        <v>120</v>
      </c>
      <c r="V54" s="67">
        <v>1.1023</v>
      </c>
      <c r="Y54" s="199">
        <v>40.0</v>
      </c>
      <c r="Z54" s="69">
        <f t="array" ref="Z54">XLOOKUP(D54,RUC!$B$3:$B$110,RUC!$H$3:$H$110)</f>
        <v>30</v>
      </c>
      <c r="AA54" s="70">
        <f t="shared" si="49"/>
        <v>70</v>
      </c>
      <c r="AB54" s="71">
        <f t="shared" si="59"/>
        <v>381.7486352</v>
      </c>
      <c r="AC54" s="71">
        <f>+(S54-T54)*V54-'data 1'!$F$4</f>
        <v>30.23</v>
      </c>
      <c r="AD54" s="71">
        <f t="shared" si="50"/>
        <v>57.58166662</v>
      </c>
      <c r="AE54" s="71">
        <f t="shared" si="51"/>
        <v>7.161</v>
      </c>
      <c r="AF54" s="71">
        <f t="shared" si="52"/>
        <v>-93.49154478</v>
      </c>
      <c r="AG54" s="72">
        <f t="shared" si="61"/>
        <v>18.48112184</v>
      </c>
      <c r="AH54" s="193">
        <f t="shared" si="53"/>
        <v>153.776</v>
      </c>
      <c r="AI54" s="193">
        <f t="shared" si="54"/>
        <v>161.733</v>
      </c>
      <c r="AJ54" s="73">
        <f t="shared" si="55"/>
        <v>107.6871909</v>
      </c>
      <c r="AK54" s="73">
        <f t="shared" si="56"/>
        <v>161.1362599</v>
      </c>
      <c r="AM54" s="51">
        <f t="shared" si="57"/>
        <v>14760.69273</v>
      </c>
      <c r="AN54" s="51" t="str">
        <f t="array" ref="AN54">XLOOKUP(D54,RUC!$B$3:$B$565,RUC!$M$3:$M$565)</f>
        <v>Richard Sapacayo</v>
      </c>
      <c r="AO54" s="131" t="s">
        <v>551</v>
      </c>
      <c r="AP54" s="57" t="s">
        <v>1639</v>
      </c>
      <c r="AQ54" s="57" t="s">
        <v>2719</v>
      </c>
      <c r="AR54" s="57" t="s">
        <v>983</v>
      </c>
    </row>
    <row r="55" ht="15.0" customHeight="1">
      <c r="A55" s="116" t="s">
        <v>2720</v>
      </c>
      <c r="B55" s="182">
        <v>46030.0</v>
      </c>
      <c r="C55" s="182">
        <v>46021.0</v>
      </c>
      <c r="D55" s="57" t="s">
        <v>225</v>
      </c>
      <c r="E55" s="3">
        <v>1.0761932735E10</v>
      </c>
      <c r="G55" s="141" t="s">
        <v>735</v>
      </c>
      <c r="H55" s="3" t="s">
        <v>47</v>
      </c>
      <c r="I55" s="6">
        <v>7.24</v>
      </c>
      <c r="J55" s="58">
        <v>2.95</v>
      </c>
      <c r="K55" s="6">
        <v>7.026</v>
      </c>
      <c r="L55" s="139">
        <v>0.142</v>
      </c>
      <c r="M55" s="60">
        <v>0.123</v>
      </c>
      <c r="N55" s="75">
        <v>0.123</v>
      </c>
      <c r="O55" s="60">
        <v>0.123</v>
      </c>
      <c r="P55" s="63">
        <v>80.0</v>
      </c>
      <c r="Q55" s="58">
        <v>97.89</v>
      </c>
      <c r="R55" s="65">
        <v>4367.8</v>
      </c>
      <c r="S55" s="66">
        <v>100.0</v>
      </c>
      <c r="U55" s="67">
        <v>120.0</v>
      </c>
      <c r="V55" s="67">
        <v>1.1023</v>
      </c>
      <c r="Y55" s="199">
        <v>20.0</v>
      </c>
      <c r="Z55" s="69">
        <v>30.0</v>
      </c>
      <c r="AA55" s="70">
        <v>50.0</v>
      </c>
      <c r="AB55" s="71">
        <v>295.398234096</v>
      </c>
      <c r="AC55" s="71">
        <v>30.230000000000004</v>
      </c>
      <c r="AD55" s="71">
        <v>118.94948140577202</v>
      </c>
      <c r="AE55" s="71">
        <v>-14.884999999999998</v>
      </c>
      <c r="AF55" s="71">
        <v>87.08749476905398</v>
      </c>
      <c r="AG55" s="72">
        <v>238.38197617482604</v>
      </c>
      <c r="AH55" s="193">
        <v>33.485</v>
      </c>
      <c r="AI55" s="193">
        <v>34.206</v>
      </c>
      <c r="AJ55" s="73">
        <v>-45.63007406677203</v>
      </c>
      <c r="AK55" s="73">
        <v>23.703491025627116</v>
      </c>
      <c r="AM55" s="51">
        <v>2075.467992758496</v>
      </c>
      <c r="AN55" s="51" t="s">
        <v>2696</v>
      </c>
      <c r="AO55" s="131" t="s">
        <v>558</v>
      </c>
      <c r="AP55" s="57" t="s">
        <v>2622</v>
      </c>
      <c r="AQ55" s="57" t="s">
        <v>2623</v>
      </c>
    </row>
    <row r="56" ht="15.0" customHeight="1">
      <c r="A56" s="116" t="s">
        <v>2721</v>
      </c>
      <c r="B56" s="182">
        <v>46025.0</v>
      </c>
      <c r="C56" s="182">
        <v>46022.0</v>
      </c>
      <c r="D56" s="57" t="s">
        <v>806</v>
      </c>
      <c r="E56" s="3">
        <f t="array" ref="E56">XLOOKUP(D56,RUC!$B$3:$B$110,RUC!$D$3:$D$110)</f>
        <v>20614284740</v>
      </c>
      <c r="G56" s="141">
        <v>25.0</v>
      </c>
      <c r="H56" s="3" t="s">
        <v>47</v>
      </c>
      <c r="I56" s="6">
        <v>2.03</v>
      </c>
      <c r="J56" s="58">
        <v>1.3</v>
      </c>
      <c r="K56" s="6">
        <f t="shared" ref="K56:K64" si="62">ROUND(+I56-(I56*(J56/100)),3)</f>
        <v>2.004</v>
      </c>
      <c r="L56" s="139">
        <v>0.197</v>
      </c>
      <c r="M56" s="61">
        <v>0.213</v>
      </c>
      <c r="N56" s="62">
        <f t="shared" ref="N56:N64" si="63">+M56</f>
        <v>0.213</v>
      </c>
      <c r="O56" s="60">
        <f t="shared" ref="O56:O64" si="64">+ROUND((M56+N56)/2,3)</f>
        <v>0.213</v>
      </c>
      <c r="P56" s="63">
        <v>90.0</v>
      </c>
      <c r="Q56" s="58">
        <v>95.26</v>
      </c>
      <c r="R56" s="65">
        <v>4307.95</v>
      </c>
      <c r="S56" s="66">
        <f t="array" ref="S56">IF((XLOOKUP(D56,RUC!$B$3:$B$106,RUC!$E$3:$E$106)+ROUNDDOWN(O56,1)*100)&lt;95,95,((XLOOKUP(D56,RUC!$B$3:$B$106,RUC!$E$3:$E$106)+ROUNDDOWN(O56,1)*100)))</f>
        <v>110</v>
      </c>
      <c r="U56" s="67">
        <f t="array" ref="U56">XLOOKUP(D56,RUC!$B$3:$B$110,RUC!$F$3:$F$110)</f>
        <v>120</v>
      </c>
      <c r="V56" s="67">
        <v>1.1023</v>
      </c>
      <c r="Y56" s="57">
        <f t="array" ref="Y56">XLOOKUP(D56,RUC!$B$3:$B$110,RUC!$G$3:$G$110)</f>
        <v>20</v>
      </c>
      <c r="Z56" s="69">
        <f t="array" ref="Z56">XLOOKUP(D56,RUC!$B$3:$B$110,RUC!$H$3:$H$110)</f>
        <v>30</v>
      </c>
      <c r="AA56" s="70">
        <f t="shared" ref="AA56:AA64" si="65">+Y56+Z56</f>
        <v>50</v>
      </c>
      <c r="AB56" s="71">
        <f t="shared" ref="AB56:AB64" si="66">+((O56*P56*(R56-U56)/100)-S56-AA56+T56)*V56</f>
        <v>708.5915255</v>
      </c>
      <c r="AC56" s="71">
        <f>+(S56-T56)*V56-'data 1'!$F$4</f>
        <v>41.253</v>
      </c>
      <c r="AD56" s="71">
        <f t="shared" ref="AD56:AD64" si="67">+(Q56-P56)*(R56-U56)*L56*V56/100</f>
        <v>47.8358247</v>
      </c>
      <c r="AE56" s="71">
        <f t="shared" ref="AE56:AE64" si="68">+(Y56*V56-70)+V56*(Z56-IF(D56="UNTUCA",IF(+((W56-3)*2.5+(X56-3)*3.1)&gt;0,+((W56-3)*1.5+(X56-3)*3.1),0),IF(+((W56-3)*1.5+(X56-3)*3.1)&gt;0,+((W56-3)*1.5+(X56-3)*3.1),0)))</f>
        <v>-14.885</v>
      </c>
      <c r="AF56" s="71">
        <f t="shared" ref="AF56:AF64" si="69">(L56-O56)*(R56-U56)*Q56*V56/100</f>
        <v>-70.36097603</v>
      </c>
      <c r="AG56" s="72">
        <f>AC56+AD56+AE56+AF56+70</f>
        <v>73.84284868</v>
      </c>
      <c r="AH56" s="193">
        <f t="shared" ref="AH56:AH64" si="70">ROUND((31.1035*L56*Q56*1.1023*K56/100),3)</f>
        <v>12.894</v>
      </c>
      <c r="AI56" s="193">
        <f t="shared" ref="AI56:AI64" si="71">ROUND((31.1035*L56*1.1023*K56),3)</f>
        <v>13.535</v>
      </c>
      <c r="AJ56" s="73">
        <f t="shared" ref="AJ56:AJ64" si="72">+((+$AJ$2-R56+U56)*L56*Q56*V56)/100</f>
        <v>186.5981018</v>
      </c>
      <c r="AK56" s="73">
        <f t="shared" ref="AK56:AK64" si="73">31.1035*1.1023*K56*P56*O56/100</f>
        <v>13.17130781</v>
      </c>
      <c r="AM56" s="51">
        <f t="shared" ref="AM56:AM64" si="74">+IF(AB56*K56&gt;0,AB56*K56,0)</f>
        <v>1420.017417</v>
      </c>
      <c r="AN56" s="51" t="str">
        <f t="array" ref="AN56">XLOOKUP(D56,RUC!$B$3:$B$565,RUC!$M$3:$M$565)</f>
        <v>Dante </v>
      </c>
      <c r="AO56" s="131" t="s">
        <v>547</v>
      </c>
      <c r="AP56" s="57" t="s">
        <v>2722</v>
      </c>
      <c r="AQ56" s="57" t="s">
        <v>2723</v>
      </c>
    </row>
    <row r="57" ht="15.0" customHeight="1">
      <c r="A57" s="116" t="s">
        <v>2724</v>
      </c>
      <c r="B57" s="182">
        <v>46027.0</v>
      </c>
      <c r="C57" s="448">
        <v>46023.0</v>
      </c>
      <c r="D57" s="57" t="s">
        <v>2725</v>
      </c>
      <c r="E57" s="3" t="str">
        <f t="array" ref="E57">XLOOKUP(D57,RUC!$B$3:$B$110,RUC!$D$3:$D$110)</f>
        <v>20601769396-</v>
      </c>
      <c r="G57" s="141">
        <v>43.0</v>
      </c>
      <c r="H57" s="3" t="s">
        <v>40</v>
      </c>
      <c r="I57" s="6">
        <v>3.23</v>
      </c>
      <c r="J57" s="58">
        <v>14.45</v>
      </c>
      <c r="K57" s="6">
        <f t="shared" si="62"/>
        <v>2.763</v>
      </c>
      <c r="L57" s="139">
        <v>0.176</v>
      </c>
      <c r="M57" s="60">
        <f t="shared" ref="M57:M64" si="75">ROUND(+IF(AN57="Melchor Vera",IF(L57&gt;0.467,L57*0.985,(L57-0.007)),IF(L57&gt;0.3,L57*0.94,(L57-0.018))),3)</f>
        <v>0.158</v>
      </c>
      <c r="N57" s="62">
        <f t="shared" si="63"/>
        <v>0.158</v>
      </c>
      <c r="O57" s="60">
        <f t="shared" si="64"/>
        <v>0.158</v>
      </c>
      <c r="P57" s="63">
        <v>85.0</v>
      </c>
      <c r="Q57" s="58">
        <v>91.48</v>
      </c>
      <c r="R57" s="65">
        <v>4307.95</v>
      </c>
      <c r="S57" s="66">
        <f t="array" ref="S57">IF((XLOOKUP(D57,RUC!$B$3:$B$106,RUC!$E$3:$E$106)+ROUNDDOWN(O57,1)*100)&lt;95,95,((XLOOKUP(D57,RUC!$B$3:$B$106,RUC!$E$3:$E$106)+ROUNDDOWN(O57,1)*100)))</f>
        <v>95</v>
      </c>
      <c r="U57" s="67">
        <f t="array" ref="U57">XLOOKUP(D57,RUC!$B$3:$B$110,RUC!$F$3:$F$110)</f>
        <v>120</v>
      </c>
      <c r="V57" s="67">
        <v>1.1023</v>
      </c>
      <c r="Y57" s="199">
        <v>35.0</v>
      </c>
      <c r="Z57" s="140">
        <v>48.0</v>
      </c>
      <c r="AA57" s="70">
        <f t="shared" si="65"/>
        <v>83</v>
      </c>
      <c r="AB57" s="71">
        <f t="shared" si="66"/>
        <v>423.7700694</v>
      </c>
      <c r="AC57" s="71">
        <f>+(S57-T57)*V57-'data 1'!$F$4</f>
        <v>24.7185</v>
      </c>
      <c r="AD57" s="71">
        <f t="shared" si="67"/>
        <v>52.64885966</v>
      </c>
      <c r="AE57" s="71">
        <f t="shared" si="68"/>
        <v>21.4909</v>
      </c>
      <c r="AF57" s="71">
        <f t="shared" si="69"/>
        <v>76.01511493</v>
      </c>
      <c r="AG57" s="72">
        <f t="shared" ref="AG57:AG61" si="76">AC57+AD57+AE57+AF57+70-53</f>
        <v>191.8733746</v>
      </c>
      <c r="AH57" s="193">
        <f t="shared" si="70"/>
        <v>15.252</v>
      </c>
      <c r="AI57" s="193">
        <f t="shared" si="71"/>
        <v>16.673</v>
      </c>
      <c r="AJ57" s="73">
        <f t="shared" si="72"/>
        <v>160.0918569</v>
      </c>
      <c r="AK57" s="73">
        <f t="shared" si="73"/>
        <v>12.7223098</v>
      </c>
      <c r="AM57" s="51">
        <f t="shared" si="74"/>
        <v>1170.876702</v>
      </c>
      <c r="AN57" s="51" t="str">
        <f t="array" ref="AN57">XLOOKUP(D57,RUC!$B$3:$B$565,RUC!$M$3:$M$565)</f>
        <v>Ronald Miranda</v>
      </c>
      <c r="AO57" s="131" t="s">
        <v>547</v>
      </c>
      <c r="AP57" s="57" t="s">
        <v>1931</v>
      </c>
      <c r="AQ57" s="57" t="s">
        <v>2726</v>
      </c>
    </row>
    <row r="58" ht="15.0" customHeight="1">
      <c r="A58" s="116" t="s">
        <v>2727</v>
      </c>
      <c r="B58" s="182">
        <v>46027.0</v>
      </c>
      <c r="C58" s="448">
        <v>46023.0</v>
      </c>
      <c r="D58" s="57" t="s">
        <v>2725</v>
      </c>
      <c r="E58" s="3" t="str">
        <f t="array" ref="E58">XLOOKUP(D58,RUC!$B$3:$B$110,RUC!$D$3:$D$110)</f>
        <v>20601769396-</v>
      </c>
      <c r="G58" s="141">
        <v>43.0</v>
      </c>
      <c r="H58" s="3" t="s">
        <v>40</v>
      </c>
      <c r="I58" s="6">
        <v>3.47</v>
      </c>
      <c r="J58" s="58">
        <v>12.05</v>
      </c>
      <c r="K58" s="6">
        <f t="shared" si="62"/>
        <v>3.052</v>
      </c>
      <c r="L58" s="139">
        <v>0.146</v>
      </c>
      <c r="M58" s="60">
        <f t="shared" si="75"/>
        <v>0.128</v>
      </c>
      <c r="N58" s="62">
        <f t="shared" si="63"/>
        <v>0.128</v>
      </c>
      <c r="O58" s="60">
        <f t="shared" si="64"/>
        <v>0.128</v>
      </c>
      <c r="P58" s="63">
        <v>80.0</v>
      </c>
      <c r="Q58" s="58">
        <v>95.21</v>
      </c>
      <c r="R58" s="65">
        <v>4307.95</v>
      </c>
      <c r="S58" s="66">
        <f t="array" ref="S58">IF((XLOOKUP(D58,RUC!$B$3:$B$106,RUC!$E$3:$E$106)+ROUNDDOWN(O58,1)*100)&lt;95,95,((XLOOKUP(D58,RUC!$B$3:$B$106,RUC!$E$3:$E$106)+ROUNDDOWN(O58,1)*100)))</f>
        <v>95</v>
      </c>
      <c r="U58" s="67">
        <f t="array" ref="U58">XLOOKUP(D58,RUC!$B$3:$B$110,RUC!$F$3:$F$110)</f>
        <v>120</v>
      </c>
      <c r="V58" s="67">
        <v>1.1023</v>
      </c>
      <c r="Y58" s="199">
        <v>35.0</v>
      </c>
      <c r="Z58" s="140">
        <v>48.0</v>
      </c>
      <c r="AA58" s="70">
        <f t="shared" si="65"/>
        <v>83</v>
      </c>
      <c r="AB58" s="71">
        <f t="shared" si="66"/>
        <v>276.507634</v>
      </c>
      <c r="AC58" s="71">
        <f>+(S58-T58)*V58-'data 1'!$F$4</f>
        <v>24.7185</v>
      </c>
      <c r="AD58" s="71">
        <f t="shared" si="67"/>
        <v>102.5140438</v>
      </c>
      <c r="AE58" s="71">
        <f t="shared" si="68"/>
        <v>21.4909</v>
      </c>
      <c r="AF58" s="71">
        <f t="shared" si="69"/>
        <v>79.11455063</v>
      </c>
      <c r="AG58" s="72">
        <f t="shared" si="76"/>
        <v>244.8379945</v>
      </c>
      <c r="AH58" s="193">
        <f t="shared" si="70"/>
        <v>14.546</v>
      </c>
      <c r="AI58" s="193">
        <f t="shared" si="71"/>
        <v>15.277</v>
      </c>
      <c r="AJ58" s="73">
        <f t="shared" si="72"/>
        <v>138.218393</v>
      </c>
      <c r="AK58" s="73">
        <f t="shared" si="73"/>
        <v>10.71503404</v>
      </c>
      <c r="AM58" s="51">
        <f t="shared" si="74"/>
        <v>843.9012989</v>
      </c>
      <c r="AN58" s="51" t="str">
        <f t="array" ref="AN58">XLOOKUP(D58,RUC!$B$3:$B$565,RUC!$M$3:$M$565)</f>
        <v>Ronald Miranda</v>
      </c>
      <c r="AO58" s="131" t="s">
        <v>547</v>
      </c>
      <c r="AP58" s="57" t="s">
        <v>1931</v>
      </c>
      <c r="AQ58" s="57" t="s">
        <v>2726</v>
      </c>
    </row>
    <row r="59" ht="15.0" customHeight="1">
      <c r="A59" s="116" t="s">
        <v>2728</v>
      </c>
      <c r="B59" s="182">
        <v>46034.0</v>
      </c>
      <c r="C59" s="182">
        <v>46026.0</v>
      </c>
      <c r="D59" s="57" t="s">
        <v>295</v>
      </c>
      <c r="E59" s="3">
        <f t="array" ref="E59">XLOOKUP(D59,RUC!$B$3:$B$110,RUC!$D$3:$D$110)</f>
        <v>20601769396</v>
      </c>
      <c r="G59" s="141">
        <v>52.0</v>
      </c>
      <c r="H59" s="3" t="s">
        <v>339</v>
      </c>
      <c r="I59" s="6">
        <v>3.53</v>
      </c>
      <c r="J59" s="58">
        <v>17.7</v>
      </c>
      <c r="K59" s="6">
        <f t="shared" si="62"/>
        <v>2.905</v>
      </c>
      <c r="L59" s="139">
        <v>0.342</v>
      </c>
      <c r="M59" s="60">
        <f t="shared" si="75"/>
        <v>0.321</v>
      </c>
      <c r="N59" s="62">
        <f t="shared" si="63"/>
        <v>0.321</v>
      </c>
      <c r="O59" s="60">
        <f t="shared" si="64"/>
        <v>0.321</v>
      </c>
      <c r="P59" s="63">
        <v>90.0</v>
      </c>
      <c r="Q59" s="58">
        <v>94.74</v>
      </c>
      <c r="R59" s="65">
        <v>4456.4</v>
      </c>
      <c r="S59" s="66">
        <f t="array" ref="S59">IF((XLOOKUP(D59,RUC!$B$3:$B$106,RUC!$E$3:$E$106)+ROUNDDOWN(O59,1)*100)&lt;95,95,((XLOOKUP(D59,RUC!$B$3:$B$106,RUC!$E$3:$E$106)+ROUNDDOWN(O59,1)*100)))</f>
        <v>120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69">
        <f t="array" ref="Z59">XLOOKUP(D59,RUC!$B$3:$B$110,RUC!$H$3:$H$110)</f>
        <v>30</v>
      </c>
      <c r="AA59" s="70">
        <f t="shared" si="65"/>
        <v>50</v>
      </c>
      <c r="AB59" s="71">
        <f t="shared" si="66"/>
        <v>1193.554964</v>
      </c>
      <c r="AC59" s="71">
        <f>+(S59-T59)*V59-'data 1'!$F$4</f>
        <v>52.276</v>
      </c>
      <c r="AD59" s="71">
        <f t="shared" si="67"/>
        <v>77.48784641</v>
      </c>
      <c r="AE59" s="71">
        <f t="shared" si="68"/>
        <v>-14.885</v>
      </c>
      <c r="AF59" s="71">
        <f t="shared" si="69"/>
        <v>95.10028496</v>
      </c>
      <c r="AG59" s="72">
        <f t="shared" si="76"/>
        <v>226.9791314</v>
      </c>
      <c r="AH59" s="193">
        <f t="shared" si="70"/>
        <v>32.271</v>
      </c>
      <c r="AI59" s="193">
        <f t="shared" si="71"/>
        <v>34.063</v>
      </c>
      <c r="AJ59" s="73">
        <f t="shared" si="72"/>
        <v>269.1535942</v>
      </c>
      <c r="AK59" s="73">
        <f t="shared" si="73"/>
        <v>28.77416621</v>
      </c>
      <c r="AM59" s="51">
        <f t="shared" si="74"/>
        <v>3467.27717</v>
      </c>
      <c r="AN59" s="51" t="str">
        <f t="array" ref="AN59">XLOOKUP(D59,RUC!$B$3:$B$565,RUC!$M$3:$M$565)</f>
        <v>Evelyn</v>
      </c>
      <c r="AO59" s="131" t="s">
        <v>547</v>
      </c>
      <c r="AP59" s="57" t="s">
        <v>2729</v>
      </c>
      <c r="AQ59" s="57" t="s">
        <v>2730</v>
      </c>
    </row>
    <row r="60" ht="15.0" customHeight="1">
      <c r="A60" s="116" t="s">
        <v>2731</v>
      </c>
      <c r="B60" s="182">
        <v>46034.0</v>
      </c>
      <c r="C60" s="182">
        <v>46026.0</v>
      </c>
      <c r="D60" s="57" t="s">
        <v>295</v>
      </c>
      <c r="E60" s="3">
        <f t="array" ref="E60">XLOOKUP(D60,RUC!$B$3:$B$110,RUC!$D$3:$D$110)</f>
        <v>20601769396</v>
      </c>
      <c r="G60" s="141">
        <v>51.0</v>
      </c>
      <c r="H60" s="3" t="s">
        <v>339</v>
      </c>
      <c r="I60" s="6">
        <v>3.45</v>
      </c>
      <c r="J60" s="58">
        <v>19.35</v>
      </c>
      <c r="K60" s="6">
        <f t="shared" si="62"/>
        <v>2.782</v>
      </c>
      <c r="L60" s="139">
        <v>0.43</v>
      </c>
      <c r="M60" s="60">
        <f t="shared" si="75"/>
        <v>0.404</v>
      </c>
      <c r="N60" s="62">
        <f t="shared" si="63"/>
        <v>0.404</v>
      </c>
      <c r="O60" s="60">
        <f t="shared" si="64"/>
        <v>0.404</v>
      </c>
      <c r="P60" s="63">
        <v>90.0</v>
      </c>
      <c r="Q60" s="58">
        <v>96.05</v>
      </c>
      <c r="R60" s="65">
        <v>4456.4</v>
      </c>
      <c r="S60" s="66">
        <f t="array" ref="S60">IF((XLOOKUP(D60,RUC!$B$3:$B$106,RUC!$E$3:$E$106)+ROUNDDOWN(O60,1)*100)&lt;95,95,((XLOOKUP(D60,RUC!$B$3:$B$106,RUC!$E$3:$E$106)+ROUNDDOWN(O60,1)*100)))</f>
        <v>130</v>
      </c>
      <c r="U60" s="67">
        <f t="array" ref="U60">XLOOKUP(D60,RUC!$B$3:$B$110,RUC!$F$3:$F$110)</f>
        <v>120</v>
      </c>
      <c r="V60" s="67">
        <v>1.1023</v>
      </c>
      <c r="Y60" s="57">
        <f t="array" ref="Y60">XLOOKUP(D60,RUC!$B$3:$B$110,RUC!$G$3:$G$110)</f>
        <v>20</v>
      </c>
      <c r="Z60" s="69">
        <f t="array" ref="Z60">XLOOKUP(D60,RUC!$B$3:$B$110,RUC!$H$3:$H$110)</f>
        <v>30</v>
      </c>
      <c r="AA60" s="70">
        <f t="shared" si="65"/>
        <v>50</v>
      </c>
      <c r="AB60" s="71">
        <f t="shared" si="66"/>
        <v>1539.598989</v>
      </c>
      <c r="AC60" s="71">
        <f>+(S60-T60)*V60-'data 1'!$F$4</f>
        <v>63.299</v>
      </c>
      <c r="AD60" s="71">
        <f t="shared" si="67"/>
        <v>124.3520569</v>
      </c>
      <c r="AE60" s="71">
        <f t="shared" si="68"/>
        <v>-14.885</v>
      </c>
      <c r="AF60" s="71">
        <f t="shared" si="69"/>
        <v>119.3712826</v>
      </c>
      <c r="AG60" s="72">
        <f t="shared" si="76"/>
        <v>309.1373396</v>
      </c>
      <c r="AH60" s="193">
        <f t="shared" si="70"/>
        <v>39.394</v>
      </c>
      <c r="AI60" s="193">
        <f t="shared" si="71"/>
        <v>41.014</v>
      </c>
      <c r="AJ60" s="73">
        <f t="shared" si="72"/>
        <v>343.088785</v>
      </c>
      <c r="AK60" s="73">
        <f t="shared" si="73"/>
        <v>34.68087686</v>
      </c>
      <c r="AM60" s="51">
        <f t="shared" si="74"/>
        <v>4283.164386</v>
      </c>
      <c r="AN60" s="51" t="str">
        <f t="array" ref="AN60">XLOOKUP(D60,RUC!$B$3:$B$565,RUC!$M$3:$M$565)</f>
        <v>Evelyn</v>
      </c>
      <c r="AO60" s="131" t="s">
        <v>547</v>
      </c>
      <c r="AP60" s="57" t="s">
        <v>2729</v>
      </c>
      <c r="AQ60" s="57" t="s">
        <v>2730</v>
      </c>
    </row>
    <row r="61" ht="15.0" customHeight="1">
      <c r="A61" s="116" t="s">
        <v>2732</v>
      </c>
      <c r="B61" s="182">
        <v>46034.0</v>
      </c>
      <c r="C61" s="182">
        <v>46026.0</v>
      </c>
      <c r="D61" s="57" t="s">
        <v>295</v>
      </c>
      <c r="E61" s="3">
        <f t="array" ref="E61">XLOOKUP(D61,RUC!$B$3:$B$110,RUC!$D$3:$D$110)</f>
        <v>20601769396</v>
      </c>
      <c r="G61" s="141">
        <v>51.0</v>
      </c>
      <c r="H61" s="3" t="s">
        <v>339</v>
      </c>
      <c r="I61" s="6">
        <v>3.46</v>
      </c>
      <c r="J61" s="58">
        <v>17.33</v>
      </c>
      <c r="K61" s="6">
        <f t="shared" si="62"/>
        <v>2.86</v>
      </c>
      <c r="L61" s="139">
        <v>0.408</v>
      </c>
      <c r="M61" s="60">
        <f t="shared" si="75"/>
        <v>0.384</v>
      </c>
      <c r="N61" s="62">
        <f t="shared" si="63"/>
        <v>0.384</v>
      </c>
      <c r="O61" s="60">
        <f t="shared" si="64"/>
        <v>0.384</v>
      </c>
      <c r="P61" s="63">
        <v>90.0</v>
      </c>
      <c r="Q61" s="58">
        <v>94.36</v>
      </c>
      <c r="R61" s="65">
        <v>4456.4</v>
      </c>
      <c r="S61" s="66">
        <f t="array" ref="S61">IF((XLOOKUP(D61,RUC!$B$3:$B$106,RUC!$E$3:$E$106)+ROUNDDOWN(O61,1)*100)&lt;95,95,((XLOOKUP(D61,RUC!$B$3:$B$106,RUC!$E$3:$E$106)+ROUNDDOWN(O61,1)*100)))</f>
        <v>120</v>
      </c>
      <c r="U61" s="67">
        <f t="array" ref="U61">XLOOKUP(D61,RUC!$B$3:$B$110,RUC!$F$3:$F$110)</f>
        <v>120</v>
      </c>
      <c r="V61" s="67">
        <v>1.1023</v>
      </c>
      <c r="Y61" s="57">
        <f t="array" ref="Y61">XLOOKUP(D61,RUC!$B$3:$B$110,RUC!$G$3:$G$110)</f>
        <v>20</v>
      </c>
      <c r="Z61" s="69">
        <f t="array" ref="Z61">XLOOKUP(D61,RUC!$B$3:$B$110,RUC!$H$3:$H$110)</f>
        <v>30</v>
      </c>
      <c r="AA61" s="70">
        <f t="shared" si="65"/>
        <v>50</v>
      </c>
      <c r="AB61" s="71">
        <f t="shared" si="66"/>
        <v>1464.581742</v>
      </c>
      <c r="AC61" s="71">
        <f>+(S61-T61)*V61-'data 1'!$F$4</f>
        <v>52.276</v>
      </c>
      <c r="AD61" s="71">
        <f t="shared" si="67"/>
        <v>85.03070806</v>
      </c>
      <c r="AE61" s="71">
        <f t="shared" si="68"/>
        <v>-14.885</v>
      </c>
      <c r="AF61" s="71">
        <f t="shared" si="69"/>
        <v>108.2501027</v>
      </c>
      <c r="AG61" s="72">
        <f t="shared" si="76"/>
        <v>247.6718108</v>
      </c>
      <c r="AH61" s="193">
        <f t="shared" si="70"/>
        <v>37.751</v>
      </c>
      <c r="AI61" s="193">
        <f t="shared" si="71"/>
        <v>40.007</v>
      </c>
      <c r="AJ61" s="73">
        <f t="shared" si="72"/>
        <v>319.807609</v>
      </c>
      <c r="AK61" s="73">
        <f t="shared" si="73"/>
        <v>33.88822611</v>
      </c>
      <c r="AM61" s="51">
        <f t="shared" si="74"/>
        <v>4188.703781</v>
      </c>
      <c r="AN61" s="51" t="str">
        <f t="array" ref="AN61">XLOOKUP(D61,RUC!$B$3:$B$565,RUC!$M$3:$M$565)</f>
        <v>Evelyn</v>
      </c>
      <c r="AO61" s="131" t="s">
        <v>547</v>
      </c>
      <c r="AP61" s="57" t="s">
        <v>2729</v>
      </c>
      <c r="AQ61" s="57" t="s">
        <v>2730</v>
      </c>
    </row>
    <row r="62" ht="15.0" customHeight="1">
      <c r="A62" s="116" t="s">
        <v>2733</v>
      </c>
      <c r="B62" s="182">
        <v>46034.0</v>
      </c>
      <c r="C62" s="182">
        <v>46026.0</v>
      </c>
      <c r="D62" s="2" t="s">
        <v>806</v>
      </c>
      <c r="E62" s="3">
        <f t="array" ref="E62">XLOOKUP(D62,RUC!$B$3:$B$110,RUC!$D$3:$D$110)</f>
        <v>20614284740</v>
      </c>
      <c r="G62" s="141" t="s">
        <v>735</v>
      </c>
      <c r="H62" s="3" t="s">
        <v>339</v>
      </c>
      <c r="I62" s="6">
        <v>7.02</v>
      </c>
      <c r="J62" s="57">
        <v>2.05</v>
      </c>
      <c r="K62" s="6">
        <f t="shared" si="62"/>
        <v>6.876</v>
      </c>
      <c r="L62" s="139">
        <v>0.128</v>
      </c>
      <c r="M62" s="60">
        <f t="shared" si="75"/>
        <v>0.11</v>
      </c>
      <c r="N62" s="62">
        <f t="shared" si="63"/>
        <v>0.11</v>
      </c>
      <c r="O62" s="60">
        <f t="shared" si="64"/>
        <v>0.11</v>
      </c>
      <c r="P62" s="63">
        <v>80.0</v>
      </c>
      <c r="Q62" s="58">
        <v>94.53</v>
      </c>
      <c r="R62" s="65">
        <v>4456.4</v>
      </c>
      <c r="S62" s="66">
        <f t="array" ref="S62">IF((XLOOKUP(D62,RUC!$B$3:$B$106,RUC!$E$3:$E$106)+ROUNDDOWN(O62,1)*100)&lt;95,95,((XLOOKUP(D62,RUC!$B$3:$B$106,RUC!$E$3:$E$106)+ROUNDDOWN(O62,1)*100)))</f>
        <v>100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69">
        <f t="array" ref="Z62">XLOOKUP(D62,RUC!$B$3:$B$110,RUC!$H$3:$H$110)</f>
        <v>30</v>
      </c>
      <c r="AA62" s="70">
        <f t="shared" si="65"/>
        <v>50</v>
      </c>
      <c r="AB62" s="71">
        <f t="shared" si="66"/>
        <v>255.2962074</v>
      </c>
      <c r="AC62" s="71">
        <f>+(S62-T62)*V62-'data 1'!$F$4</f>
        <v>30.23</v>
      </c>
      <c r="AD62" s="71">
        <f t="shared" si="67"/>
        <v>88.90060717</v>
      </c>
      <c r="AE62" s="71">
        <f t="shared" si="68"/>
        <v>-14.885</v>
      </c>
      <c r="AF62" s="71">
        <f t="shared" si="69"/>
        <v>81.33384545</v>
      </c>
      <c r="AG62" s="72">
        <f t="shared" ref="AG62:AG63" si="77">AC62+AD62+AE62+AF62+70</f>
        <v>255.5794526</v>
      </c>
      <c r="AH62" s="193">
        <f t="shared" si="70"/>
        <v>28.525</v>
      </c>
      <c r="AI62" s="193">
        <f t="shared" si="71"/>
        <v>30.176</v>
      </c>
      <c r="AJ62" s="73">
        <f t="shared" si="72"/>
        <v>100.5125578</v>
      </c>
      <c r="AK62" s="73">
        <f t="shared" si="73"/>
        <v>20.74567688</v>
      </c>
      <c r="AM62" s="51">
        <f t="shared" si="74"/>
        <v>1755.416722</v>
      </c>
      <c r="AN62" s="51" t="str">
        <f t="array" ref="AN62">XLOOKUP(D62,RUC!$B$3:$B$565,RUC!$M$3:$M$565)</f>
        <v>Dante </v>
      </c>
      <c r="AO62" s="131" t="s">
        <v>547</v>
      </c>
      <c r="AP62" s="57" t="s">
        <v>1895</v>
      </c>
      <c r="AQ62" s="57" t="s">
        <v>768</v>
      </c>
    </row>
    <row r="63" ht="15.0" customHeight="1">
      <c r="A63" s="116" t="s">
        <v>2734</v>
      </c>
      <c r="B63" s="182">
        <v>46034.0</v>
      </c>
      <c r="C63" s="182">
        <v>46027.0</v>
      </c>
      <c r="D63" s="57" t="s">
        <v>806</v>
      </c>
      <c r="E63" s="3">
        <f t="array" ref="E63">XLOOKUP(D63,RUC!$B$3:$B$110,RUC!$D$3:$D$110)</f>
        <v>20614284740</v>
      </c>
      <c r="G63" s="141" t="s">
        <v>735</v>
      </c>
      <c r="H63" s="3" t="s">
        <v>40</v>
      </c>
      <c r="I63" s="6">
        <v>3.69</v>
      </c>
      <c r="J63" s="58">
        <v>9.6</v>
      </c>
      <c r="K63" s="6">
        <f t="shared" si="62"/>
        <v>3.336</v>
      </c>
      <c r="L63" s="139">
        <v>0.258</v>
      </c>
      <c r="M63" s="60">
        <f t="shared" si="75"/>
        <v>0.24</v>
      </c>
      <c r="N63" s="62">
        <f t="shared" si="63"/>
        <v>0.24</v>
      </c>
      <c r="O63" s="60">
        <f t="shared" si="64"/>
        <v>0.24</v>
      </c>
      <c r="P63" s="63">
        <v>90.0</v>
      </c>
      <c r="Q63" s="58">
        <v>98.45</v>
      </c>
      <c r="R63" s="65">
        <v>4456.4</v>
      </c>
      <c r="S63" s="66">
        <f t="array" ref="S63">IF((XLOOKUP(D63,RUC!$B$3:$B$106,RUC!$E$3:$E$106)+ROUNDDOWN(O63,1)*100)&lt;95,95,((XLOOKUP(D63,RUC!$B$3:$B$106,RUC!$E$3:$E$106)+ROUNDDOWN(O63,1)*100)))</f>
        <v>110</v>
      </c>
      <c r="U63" s="67">
        <f t="array" ref="U63">XLOOKUP(D63,RUC!$B$3:$B$110,RUC!$F$3:$F$110)</f>
        <v>120</v>
      </c>
      <c r="V63" s="67">
        <v>1.1023</v>
      </c>
      <c r="Y63" s="199">
        <v>30.0</v>
      </c>
      <c r="Z63" s="140">
        <v>40.0</v>
      </c>
      <c r="AA63" s="70">
        <f t="shared" si="65"/>
        <v>70</v>
      </c>
      <c r="AB63" s="71">
        <f t="shared" si="66"/>
        <v>834.0689635</v>
      </c>
      <c r="AC63" s="71">
        <f>+(S63-T63)*V63-'data 1'!$F$4</f>
        <v>41.253</v>
      </c>
      <c r="AD63" s="71">
        <f t="shared" si="67"/>
        <v>104.2090791</v>
      </c>
      <c r="AE63" s="71">
        <f t="shared" si="68"/>
        <v>7.161</v>
      </c>
      <c r="AF63" s="71">
        <f t="shared" si="69"/>
        <v>84.70662313</v>
      </c>
      <c r="AG63" s="72">
        <f t="shared" si="77"/>
        <v>307.3297022</v>
      </c>
      <c r="AH63" s="193">
        <f t="shared" si="70"/>
        <v>29.052</v>
      </c>
      <c r="AI63" s="193">
        <f t="shared" si="71"/>
        <v>29.509</v>
      </c>
      <c r="AJ63" s="73">
        <f t="shared" si="72"/>
        <v>210.9969238</v>
      </c>
      <c r="AK63" s="73">
        <f t="shared" si="73"/>
        <v>24.70522778</v>
      </c>
      <c r="AM63" s="51">
        <f t="shared" si="74"/>
        <v>2782.454062</v>
      </c>
      <c r="AN63" s="51" t="str">
        <f t="array" ref="AN63">XLOOKUP(D63,RUC!$B$3:$B$565,RUC!$M$3:$M$565)</f>
        <v>Dante </v>
      </c>
      <c r="AO63" s="131" t="s">
        <v>547</v>
      </c>
      <c r="AP63" s="57" t="s">
        <v>2025</v>
      </c>
      <c r="AQ63" s="57" t="s">
        <v>2584</v>
      </c>
    </row>
    <row r="64" ht="15.0" customHeight="1">
      <c r="A64" s="116" t="s">
        <v>2735</v>
      </c>
      <c r="B64" s="182">
        <v>46030.0</v>
      </c>
      <c r="C64" s="182">
        <v>46027.0</v>
      </c>
      <c r="D64" s="57" t="s">
        <v>306</v>
      </c>
      <c r="E64" s="3">
        <f t="array" ref="E64">XLOOKUP(D64,RUC!$B$3:$B$110,RUC!$D$3:$D$110)</f>
        <v>20612921866</v>
      </c>
      <c r="G64" s="141">
        <v>50.0</v>
      </c>
      <c r="H64" s="3" t="s">
        <v>47</v>
      </c>
      <c r="I64" s="6">
        <v>5.43</v>
      </c>
      <c r="J64" s="58">
        <v>1.3</v>
      </c>
      <c r="K64" s="6">
        <f t="shared" si="62"/>
        <v>5.359</v>
      </c>
      <c r="L64" s="139">
        <v>0.13</v>
      </c>
      <c r="M64" s="60">
        <f t="shared" si="75"/>
        <v>0.112</v>
      </c>
      <c r="N64" s="62">
        <f t="shared" si="63"/>
        <v>0.112</v>
      </c>
      <c r="O64" s="60">
        <f t="shared" si="64"/>
        <v>0.112</v>
      </c>
      <c r="P64" s="63">
        <v>90.0</v>
      </c>
      <c r="Q64" s="58">
        <v>96.92</v>
      </c>
      <c r="R64" s="65">
        <v>4307.95</v>
      </c>
      <c r="S64" s="66">
        <f t="array" ref="S64">IF((XLOOKUP(D64,RUC!$B$3:$B$106,RUC!$E$3:$E$106)+ROUNDDOWN(O64,1)*100)&lt;95,95,((XLOOKUP(D64,RUC!$B$3:$B$106,RUC!$E$3:$E$106)+ROUNDDOWN(O64,1)*100)))</f>
        <v>95</v>
      </c>
      <c r="U64" s="67">
        <f t="array" ref="U64">XLOOKUP(D64,RUC!$B$3:$B$110,RUC!$F$3:$F$110)</f>
        <v>100</v>
      </c>
      <c r="V64" s="67">
        <v>1.1023</v>
      </c>
      <c r="Y64" s="57" t="str">
        <f t="array" ref="Y64">XLOOKUP(D64,RUC!$B$3:$B$110,RUC!$G$3:$G$110)</f>
        <v/>
      </c>
      <c r="Z64" s="69">
        <f t="array" ref="Z64">XLOOKUP(D64,RUC!$B$3:$B$110,RUC!$H$3:$H$110)</f>
        <v>30</v>
      </c>
      <c r="AA64" s="70">
        <f t="shared" si="65"/>
        <v>30</v>
      </c>
      <c r="AB64" s="71">
        <f t="shared" si="66"/>
        <v>329.7655671</v>
      </c>
      <c r="AC64" s="71">
        <f>+(S64-T64)*V64-'data 1'!$F$4</f>
        <v>24.7185</v>
      </c>
      <c r="AD64" s="71">
        <f t="shared" si="67"/>
        <v>41.72725587</v>
      </c>
      <c r="AE64" s="71">
        <f t="shared" si="68"/>
        <v>-36.931</v>
      </c>
      <c r="AF64" s="71">
        <f t="shared" si="69"/>
        <v>80.92007726</v>
      </c>
      <c r="AG64" s="72">
        <f>AC64+AD64+AE64+AF64+70-10</f>
        <v>170.4348331</v>
      </c>
      <c r="AH64" s="193">
        <f t="shared" si="70"/>
        <v>23.15</v>
      </c>
      <c r="AI64" s="193">
        <f t="shared" si="71"/>
        <v>23.886</v>
      </c>
      <c r="AJ64" s="73">
        <f t="shared" si="72"/>
        <v>122.503859</v>
      </c>
      <c r="AK64" s="73">
        <f t="shared" si="73"/>
        <v>18.52052777</v>
      </c>
      <c r="AM64" s="51">
        <f t="shared" si="74"/>
        <v>1767.213674</v>
      </c>
      <c r="AN64" s="51" t="str">
        <f t="array" ref="AN64">XLOOKUP(D64,RUC!$B$3:$B$565,RUC!$M$3:$M$565)</f>
        <v>Ronald Garibay</v>
      </c>
      <c r="AO64" s="131" t="s">
        <v>558</v>
      </c>
      <c r="AP64" s="57" t="s">
        <v>2736</v>
      </c>
      <c r="AQ64" s="57" t="s">
        <v>2737</v>
      </c>
    </row>
    <row r="65" ht="15.75" customHeight="1">
      <c r="B65" s="3"/>
      <c r="C65" s="3"/>
      <c r="H65" s="3"/>
      <c r="AG65" s="91"/>
    </row>
    <row r="66" ht="15.75" customHeight="1">
      <c r="B66" s="3"/>
      <c r="C66" s="3"/>
      <c r="H66" s="3"/>
      <c r="AG66" s="91"/>
    </row>
    <row r="67" ht="15.75" customHeight="1">
      <c r="B67" s="3"/>
      <c r="C67" s="3"/>
      <c r="H67" s="3"/>
      <c r="AG67" s="91"/>
    </row>
    <row r="68" ht="15.75" customHeight="1">
      <c r="B68" s="3"/>
      <c r="C68" s="3"/>
      <c r="H68" s="3"/>
      <c r="AG68" s="91"/>
    </row>
    <row r="69" ht="15.75" customHeight="1">
      <c r="B69" s="3"/>
      <c r="C69" s="3"/>
      <c r="H69" s="3"/>
      <c r="AG69" s="91"/>
    </row>
    <row r="70" ht="15.75" customHeight="1">
      <c r="B70" s="3"/>
      <c r="C70" s="3"/>
      <c r="H70" s="3"/>
      <c r="AG70" s="91"/>
    </row>
    <row r="71" ht="15.75" customHeight="1">
      <c r="B71" s="3"/>
      <c r="C71" s="3"/>
      <c r="H71" s="3"/>
      <c r="AG71" s="91"/>
    </row>
    <row r="72" ht="15.75" customHeight="1">
      <c r="B72" s="3"/>
      <c r="C72" s="3"/>
      <c r="H72" s="3"/>
      <c r="AG72" s="91"/>
    </row>
    <row r="73" ht="15.75" customHeight="1">
      <c r="B73" s="3"/>
      <c r="C73" s="3"/>
      <c r="H73" s="3"/>
      <c r="AG73" s="91"/>
    </row>
    <row r="74" ht="15.75" customHeight="1">
      <c r="B74" s="3"/>
      <c r="C74" s="3"/>
      <c r="H74" s="3"/>
      <c r="AG74" s="91"/>
    </row>
    <row r="75" ht="15.75" customHeight="1">
      <c r="B75" s="3"/>
      <c r="C75" s="3"/>
      <c r="H75" s="3"/>
      <c r="AG75" s="91"/>
    </row>
    <row r="76" ht="15.75" customHeight="1">
      <c r="B76" s="3"/>
      <c r="C76" s="3"/>
      <c r="H76" s="3"/>
      <c r="AG76" s="91"/>
    </row>
    <row r="77" ht="15.75" customHeight="1">
      <c r="B77" s="3"/>
      <c r="C77" s="3"/>
      <c r="H77" s="3"/>
      <c r="AG77" s="91"/>
    </row>
    <row r="78" ht="15.75" customHeight="1">
      <c r="B78" s="3"/>
      <c r="C78" s="3"/>
      <c r="H78" s="3"/>
      <c r="AG78" s="91"/>
    </row>
    <row r="79" ht="15.75" customHeight="1">
      <c r="B79" s="3"/>
      <c r="C79" s="3"/>
      <c r="H79" s="3"/>
      <c r="AG79" s="91"/>
    </row>
    <row r="80" ht="15.75" customHeight="1">
      <c r="B80" s="3"/>
      <c r="C80" s="3"/>
      <c r="H80" s="3"/>
      <c r="AG80" s="91"/>
    </row>
    <row r="81" ht="15.75" customHeight="1">
      <c r="B81" s="3"/>
      <c r="C81" s="3"/>
      <c r="H81" s="3"/>
      <c r="AG81" s="91"/>
    </row>
    <row r="82" ht="15.75" customHeight="1">
      <c r="B82" s="3"/>
      <c r="C82" s="3"/>
      <c r="H82" s="3"/>
      <c r="AG82" s="91"/>
    </row>
    <row r="83" ht="15.75" customHeight="1">
      <c r="B83" s="3"/>
      <c r="C83" s="3"/>
      <c r="H83" s="3"/>
      <c r="AG83" s="91"/>
    </row>
    <row r="84" ht="15.75" customHeight="1">
      <c r="B84" s="3"/>
      <c r="C84" s="3"/>
      <c r="H84" s="3"/>
      <c r="AG84" s="91"/>
    </row>
    <row r="85" ht="15.75" customHeight="1">
      <c r="B85" s="3"/>
      <c r="C85" s="3"/>
      <c r="H85" s="3"/>
      <c r="AG85" s="91"/>
    </row>
    <row r="86" ht="15.75" customHeight="1">
      <c r="B86" s="3"/>
      <c r="C86" s="3"/>
      <c r="H86" s="3"/>
      <c r="AG86" s="91"/>
    </row>
    <row r="87" ht="15.75" customHeight="1">
      <c r="B87" s="3"/>
      <c r="C87" s="3"/>
      <c r="H87" s="3"/>
      <c r="AG87" s="91"/>
    </row>
    <row r="88" ht="15.75" customHeight="1">
      <c r="B88" s="3"/>
      <c r="C88" s="3"/>
      <c r="H88" s="3"/>
      <c r="AG88" s="91"/>
    </row>
    <row r="89" ht="15.75" customHeight="1">
      <c r="B89" s="3"/>
      <c r="C89" s="3"/>
      <c r="H89" s="3"/>
      <c r="AG89" s="91"/>
    </row>
    <row r="90" ht="15.75" customHeight="1">
      <c r="B90" s="3"/>
      <c r="C90" s="3"/>
      <c r="H90" s="3"/>
      <c r="AG90" s="91"/>
    </row>
    <row r="91" ht="15.75" customHeight="1">
      <c r="B91" s="3"/>
      <c r="C91" s="3"/>
      <c r="H91" s="3"/>
      <c r="AG91" s="91"/>
    </row>
    <row r="92" ht="15.75" customHeight="1">
      <c r="B92" s="3"/>
      <c r="C92" s="3"/>
      <c r="H92" s="3"/>
      <c r="AG92" s="91"/>
    </row>
    <row r="93" ht="15.75" customHeight="1">
      <c r="B93" s="3"/>
      <c r="C93" s="3"/>
      <c r="H93" s="3"/>
      <c r="AG93" s="91"/>
    </row>
    <row r="94" ht="15.75" customHeight="1">
      <c r="B94" s="3"/>
      <c r="C94" s="3"/>
      <c r="H94" s="3"/>
      <c r="AG94" s="91"/>
    </row>
    <row r="95" ht="15.75" customHeight="1">
      <c r="B95" s="3"/>
      <c r="C95" s="3"/>
      <c r="H95" s="3"/>
      <c r="AG95" s="91"/>
    </row>
    <row r="96" ht="15.75" customHeight="1">
      <c r="B96" s="3"/>
      <c r="C96" s="3"/>
      <c r="H96" s="3"/>
      <c r="AG96" s="91"/>
    </row>
    <row r="97" ht="15.75" customHeight="1">
      <c r="B97" s="3"/>
      <c r="C97" s="3"/>
      <c r="H97" s="3"/>
      <c r="AG97" s="91"/>
    </row>
    <row r="98" ht="15.75" customHeight="1">
      <c r="B98" s="3"/>
      <c r="C98" s="3"/>
      <c r="H98" s="3"/>
      <c r="AG98" s="91"/>
    </row>
    <row r="99" ht="15.75" customHeight="1">
      <c r="B99" s="3"/>
      <c r="C99" s="3"/>
      <c r="H99" s="3"/>
      <c r="AG99" s="91"/>
    </row>
    <row r="100" ht="15.75" customHeight="1">
      <c r="B100" s="3"/>
      <c r="C100" s="3"/>
      <c r="H100" s="3"/>
      <c r="AG100" s="91"/>
    </row>
    <row r="101" ht="15.75" customHeight="1">
      <c r="B101" s="3"/>
      <c r="C101" s="3"/>
      <c r="H101" s="3"/>
      <c r="AG101" s="91"/>
    </row>
    <row r="102" ht="15.75" customHeight="1">
      <c r="B102" s="3"/>
      <c r="C102" s="3"/>
      <c r="H102" s="3"/>
      <c r="AG102" s="91"/>
    </row>
    <row r="103" ht="15.75" customHeight="1">
      <c r="B103" s="3"/>
      <c r="C103" s="3"/>
      <c r="H103" s="3"/>
      <c r="AG103" s="91"/>
    </row>
    <row r="104" ht="15.75" customHeight="1">
      <c r="B104" s="3"/>
      <c r="C104" s="3"/>
      <c r="H104" s="3"/>
      <c r="AG104" s="91"/>
    </row>
    <row r="105" ht="15.75" customHeight="1">
      <c r="B105" s="3"/>
      <c r="C105" s="3"/>
      <c r="H105" s="3"/>
      <c r="AG105" s="91"/>
    </row>
    <row r="106" ht="15.75" customHeight="1">
      <c r="B106" s="3"/>
      <c r="C106" s="3"/>
      <c r="H106" s="3"/>
      <c r="AG106" s="91"/>
    </row>
    <row r="107" ht="15.75" customHeight="1">
      <c r="B107" s="3"/>
      <c r="C107" s="3"/>
      <c r="H107" s="3"/>
      <c r="AG107" s="91"/>
    </row>
    <row r="108" ht="15.75" customHeight="1">
      <c r="B108" s="3"/>
      <c r="C108" s="3"/>
      <c r="H108" s="3"/>
      <c r="AG108" s="91"/>
    </row>
    <row r="109" ht="15.75" customHeight="1">
      <c r="B109" s="3"/>
      <c r="C109" s="3"/>
      <c r="H109" s="3"/>
      <c r="AG109" s="91"/>
    </row>
    <row r="110" ht="15.75" customHeight="1">
      <c r="B110" s="3"/>
      <c r="C110" s="3"/>
      <c r="H110" s="3"/>
      <c r="AG110" s="91"/>
    </row>
    <row r="111" ht="15.75" customHeight="1">
      <c r="B111" s="3"/>
      <c r="C111" s="3"/>
      <c r="H111" s="3"/>
      <c r="AG111" s="91"/>
    </row>
    <row r="112" ht="15.75" customHeight="1">
      <c r="B112" s="3"/>
      <c r="C112" s="3"/>
      <c r="H112" s="3"/>
      <c r="AG112" s="91"/>
    </row>
    <row r="113" ht="15.75" customHeight="1">
      <c r="B113" s="3"/>
      <c r="C113" s="3"/>
      <c r="H113" s="3"/>
      <c r="AG113" s="91"/>
    </row>
    <row r="114" ht="15.75" customHeight="1">
      <c r="B114" s="3"/>
      <c r="C114" s="3"/>
      <c r="H114" s="3"/>
      <c r="AG114" s="91"/>
    </row>
    <row r="115" ht="15.75" customHeight="1">
      <c r="B115" s="3"/>
      <c r="C115" s="3"/>
      <c r="H115" s="3"/>
      <c r="AG115" s="91"/>
    </row>
    <row r="116" ht="15.75" customHeight="1">
      <c r="B116" s="3"/>
      <c r="C116" s="3"/>
      <c r="H116" s="3"/>
      <c r="AG116" s="91"/>
    </row>
    <row r="117" ht="15.75" customHeight="1">
      <c r="B117" s="3"/>
      <c r="C117" s="3"/>
      <c r="H117" s="3"/>
      <c r="AG117" s="91"/>
    </row>
    <row r="118" ht="15.75" customHeight="1">
      <c r="B118" s="3"/>
      <c r="C118" s="3"/>
      <c r="H118" s="3"/>
      <c r="AG118" s="91"/>
    </row>
    <row r="119" ht="15.75" customHeight="1">
      <c r="B119" s="3"/>
      <c r="C119" s="3"/>
      <c r="H119" s="3"/>
      <c r="AG119" s="91"/>
    </row>
    <row r="120" ht="15.75" customHeight="1">
      <c r="B120" s="3"/>
      <c r="C120" s="3"/>
      <c r="H120" s="3"/>
      <c r="AG120" s="91"/>
    </row>
    <row r="121" ht="15.75" customHeight="1">
      <c r="B121" s="3"/>
      <c r="C121" s="3"/>
      <c r="H121" s="3"/>
      <c r="AG121" s="91"/>
    </row>
    <row r="122" ht="15.75" customHeight="1">
      <c r="B122" s="3"/>
      <c r="C122" s="3"/>
      <c r="H122" s="3"/>
      <c r="AG122" s="91"/>
    </row>
    <row r="123" ht="15.75" customHeight="1">
      <c r="B123" s="3"/>
      <c r="C123" s="3"/>
      <c r="H123" s="3"/>
      <c r="AG123" s="91"/>
    </row>
    <row r="124" ht="15.75" customHeight="1">
      <c r="B124" s="3"/>
      <c r="C124" s="3"/>
      <c r="H124" s="3"/>
      <c r="AG124" s="91"/>
    </row>
    <row r="125" ht="15.75" customHeight="1">
      <c r="B125" s="3"/>
      <c r="C125" s="3"/>
      <c r="H125" s="3"/>
      <c r="AG125" s="91"/>
    </row>
    <row r="126" ht="15.75" customHeight="1">
      <c r="B126" s="3"/>
      <c r="C126" s="3"/>
      <c r="H126" s="3"/>
      <c r="AG126" s="91"/>
    </row>
    <row r="127" ht="15.75" customHeight="1">
      <c r="B127" s="3"/>
      <c r="C127" s="3"/>
      <c r="H127" s="3"/>
      <c r="AG127" s="91"/>
    </row>
    <row r="128" ht="15.75" customHeight="1">
      <c r="B128" s="3"/>
      <c r="C128" s="3"/>
      <c r="H128" s="3"/>
      <c r="AG128" s="91"/>
    </row>
    <row r="129" ht="15.75" customHeight="1">
      <c r="B129" s="3"/>
      <c r="C129" s="3"/>
      <c r="H129" s="3"/>
      <c r="AG129" s="91"/>
    </row>
    <row r="130" ht="15.75" customHeight="1">
      <c r="B130" s="3"/>
      <c r="C130" s="3"/>
      <c r="H130" s="3"/>
      <c r="AG130" s="91"/>
    </row>
    <row r="131" ht="15.75" customHeight="1">
      <c r="B131" s="3"/>
      <c r="C131" s="3"/>
      <c r="H131" s="3"/>
      <c r="AG131" s="91"/>
    </row>
    <row r="132" ht="15.75" customHeight="1">
      <c r="B132" s="3"/>
      <c r="C132" s="3"/>
      <c r="H132" s="3"/>
      <c r="AG132" s="91"/>
    </row>
    <row r="133" ht="15.75" customHeight="1">
      <c r="B133" s="3"/>
      <c r="C133" s="3"/>
      <c r="H133" s="3"/>
      <c r="AG133" s="91"/>
    </row>
    <row r="134" ht="15.75" customHeight="1">
      <c r="B134" s="3"/>
      <c r="C134" s="3"/>
      <c r="H134" s="3"/>
      <c r="AG134" s="91"/>
    </row>
    <row r="135" ht="15.75" customHeight="1">
      <c r="B135" s="3"/>
      <c r="C135" s="3"/>
      <c r="H135" s="3"/>
      <c r="AG135" s="91"/>
    </row>
    <row r="136" ht="15.75" customHeight="1">
      <c r="B136" s="3"/>
      <c r="C136" s="3"/>
      <c r="H136" s="3"/>
      <c r="AG136" s="91"/>
    </row>
    <row r="137" ht="15.75" customHeight="1">
      <c r="B137" s="3"/>
      <c r="C137" s="3"/>
      <c r="H137" s="3"/>
      <c r="AG137" s="91"/>
    </row>
    <row r="138" ht="15.75" customHeight="1">
      <c r="B138" s="3"/>
      <c r="C138" s="3"/>
      <c r="H138" s="3"/>
      <c r="AG138" s="91"/>
    </row>
    <row r="139" ht="15.75" customHeight="1">
      <c r="B139" s="3"/>
      <c r="C139" s="3"/>
      <c r="H139" s="3"/>
      <c r="AG139" s="91"/>
    </row>
    <row r="140" ht="15.75" customHeight="1">
      <c r="B140" s="3"/>
      <c r="C140" s="3"/>
      <c r="H140" s="3"/>
      <c r="AG140" s="91"/>
    </row>
    <row r="141" ht="15.75" customHeight="1">
      <c r="B141" s="3"/>
      <c r="C141" s="3"/>
      <c r="H141" s="3"/>
      <c r="AG141" s="91"/>
    </row>
    <row r="142" ht="15.75" customHeight="1">
      <c r="B142" s="3"/>
      <c r="C142" s="3"/>
      <c r="H142" s="3"/>
      <c r="AG142" s="91"/>
    </row>
    <row r="143" ht="15.75" customHeight="1">
      <c r="B143" s="3"/>
      <c r="C143" s="3"/>
      <c r="H143" s="3"/>
      <c r="AG143" s="91"/>
    </row>
    <row r="144" ht="15.75" customHeight="1">
      <c r="B144" s="3"/>
      <c r="C144" s="3"/>
      <c r="H144" s="3"/>
      <c r="AG144" s="91"/>
    </row>
    <row r="145" ht="15.75" customHeight="1">
      <c r="B145" s="3"/>
      <c r="C145" s="3"/>
      <c r="H145" s="3"/>
      <c r="AG145" s="91"/>
    </row>
    <row r="146" ht="15.75" customHeight="1">
      <c r="B146" s="3"/>
      <c r="C146" s="3"/>
      <c r="H146" s="3"/>
      <c r="AG146" s="91"/>
    </row>
    <row r="147" ht="15.75" customHeight="1">
      <c r="B147" s="3"/>
      <c r="C147" s="3"/>
      <c r="H147" s="3"/>
      <c r="AG147" s="91"/>
    </row>
    <row r="148" ht="15.75" customHeight="1">
      <c r="B148" s="3"/>
      <c r="C148" s="3"/>
      <c r="H148" s="3"/>
      <c r="AG148" s="91"/>
    </row>
    <row r="149" ht="15.75" customHeight="1">
      <c r="B149" s="3"/>
      <c r="C149" s="3"/>
      <c r="H149" s="3"/>
      <c r="AG149" s="91"/>
    </row>
    <row r="150" ht="15.75" customHeight="1">
      <c r="B150" s="3"/>
      <c r="C150" s="3"/>
      <c r="H150" s="3"/>
      <c r="AG150" s="91"/>
    </row>
    <row r="151" ht="15.75" customHeight="1">
      <c r="B151" s="3"/>
      <c r="C151" s="3"/>
      <c r="H151" s="3"/>
      <c r="AG151" s="91"/>
    </row>
    <row r="152" ht="15.75" customHeight="1">
      <c r="B152" s="3"/>
      <c r="C152" s="3"/>
      <c r="H152" s="3"/>
      <c r="AG152" s="91"/>
    </row>
    <row r="153" ht="15.75" customHeight="1">
      <c r="B153" s="3"/>
      <c r="C153" s="3"/>
      <c r="H153" s="3"/>
      <c r="AG153" s="91"/>
    </row>
    <row r="154" ht="15.75" customHeight="1">
      <c r="B154" s="3"/>
      <c r="C154" s="3"/>
      <c r="H154" s="3"/>
      <c r="AG154" s="91"/>
    </row>
    <row r="155" ht="15.75" customHeight="1">
      <c r="B155" s="3"/>
      <c r="C155" s="3"/>
      <c r="H155" s="3"/>
      <c r="AG155" s="91"/>
    </row>
    <row r="156" ht="15.75" customHeight="1">
      <c r="B156" s="3"/>
      <c r="C156" s="3"/>
      <c r="H156" s="3"/>
      <c r="AG156" s="91"/>
    </row>
    <row r="157" ht="15.75" customHeight="1">
      <c r="B157" s="3"/>
      <c r="C157" s="3"/>
      <c r="H157" s="3"/>
      <c r="AG157" s="91"/>
    </row>
    <row r="158" ht="15.75" customHeight="1">
      <c r="B158" s="3"/>
      <c r="C158" s="3"/>
      <c r="H158" s="3"/>
      <c r="AG158" s="91"/>
    </row>
    <row r="159" ht="15.75" customHeight="1">
      <c r="B159" s="3"/>
      <c r="C159" s="3"/>
      <c r="H159" s="3"/>
      <c r="AG159" s="91"/>
    </row>
    <row r="160" ht="15.75" customHeight="1">
      <c r="B160" s="3"/>
      <c r="C160" s="3"/>
      <c r="H160" s="3"/>
      <c r="AG160" s="91"/>
    </row>
    <row r="161" ht="15.75" customHeight="1">
      <c r="B161" s="3"/>
      <c r="C161" s="3"/>
      <c r="H161" s="3"/>
      <c r="AG161" s="91"/>
    </row>
    <row r="162" ht="15.75" customHeight="1">
      <c r="B162" s="3"/>
      <c r="C162" s="3"/>
      <c r="H162" s="3"/>
      <c r="AG162" s="91"/>
    </row>
    <row r="163" ht="15.75" customHeight="1">
      <c r="B163" s="3"/>
      <c r="C163" s="3"/>
      <c r="H163" s="3"/>
      <c r="AG163" s="91"/>
    </row>
    <row r="164" ht="15.75" customHeight="1">
      <c r="B164" s="3"/>
      <c r="C164" s="3"/>
      <c r="H164" s="3"/>
      <c r="AG164" s="91"/>
    </row>
    <row r="165" ht="15.75" customHeight="1">
      <c r="B165" s="3"/>
      <c r="C165" s="3"/>
      <c r="H165" s="3"/>
      <c r="AG165" s="91"/>
    </row>
    <row r="166" ht="15.75" customHeight="1">
      <c r="B166" s="3"/>
      <c r="C166" s="3"/>
      <c r="H166" s="3"/>
      <c r="AG166" s="91"/>
    </row>
    <row r="167" ht="15.75" customHeight="1">
      <c r="B167" s="3"/>
      <c r="C167" s="3"/>
      <c r="H167" s="3"/>
      <c r="AG167" s="91"/>
    </row>
    <row r="168" ht="15.75" customHeight="1">
      <c r="B168" s="3"/>
      <c r="C168" s="3"/>
      <c r="H168" s="3"/>
      <c r="AG168" s="91"/>
    </row>
    <row r="169" ht="15.75" customHeight="1">
      <c r="B169" s="3"/>
      <c r="C169" s="3"/>
      <c r="H169" s="3"/>
      <c r="AG169" s="91"/>
    </row>
    <row r="170" ht="15.75" customHeight="1">
      <c r="B170" s="3"/>
      <c r="C170" s="3"/>
      <c r="H170" s="3"/>
      <c r="AG170" s="91"/>
    </row>
    <row r="171" ht="15.75" customHeight="1">
      <c r="B171" s="3"/>
      <c r="C171" s="3"/>
      <c r="H171" s="3"/>
      <c r="AG171" s="91"/>
    </row>
    <row r="172" ht="15.75" customHeight="1">
      <c r="B172" s="3"/>
      <c r="C172" s="3"/>
      <c r="H172" s="3"/>
      <c r="AG172" s="91"/>
    </row>
    <row r="173" ht="15.75" customHeight="1">
      <c r="B173" s="3"/>
      <c r="C173" s="3"/>
      <c r="H173" s="3"/>
      <c r="AG173" s="91"/>
    </row>
    <row r="174" ht="15.75" customHeight="1">
      <c r="B174" s="3"/>
      <c r="C174" s="3"/>
      <c r="H174" s="3"/>
      <c r="AG174" s="91"/>
    </row>
    <row r="175" ht="15.75" customHeight="1">
      <c r="B175" s="3"/>
      <c r="C175" s="3"/>
      <c r="H175" s="3"/>
      <c r="AG175" s="91"/>
    </row>
    <row r="176" ht="15.75" customHeight="1">
      <c r="B176" s="3"/>
      <c r="C176" s="3"/>
      <c r="H176" s="3"/>
      <c r="AG176" s="91"/>
    </row>
    <row r="177" ht="15.75" customHeight="1">
      <c r="B177" s="3"/>
      <c r="C177" s="3"/>
      <c r="H177" s="3"/>
      <c r="AG177" s="91"/>
    </row>
    <row r="178" ht="15.75" customHeight="1">
      <c r="B178" s="3"/>
      <c r="C178" s="3"/>
      <c r="H178" s="3"/>
      <c r="AG178" s="91"/>
    </row>
    <row r="179" ht="15.75" customHeight="1">
      <c r="B179" s="3"/>
      <c r="C179" s="3"/>
      <c r="H179" s="3"/>
      <c r="AG179" s="91"/>
    </row>
    <row r="180" ht="15.75" customHeight="1">
      <c r="B180" s="3"/>
      <c r="C180" s="3"/>
      <c r="H180" s="3"/>
      <c r="AG180" s="91"/>
    </row>
    <row r="181" ht="15.75" customHeight="1">
      <c r="B181" s="3"/>
      <c r="C181" s="3"/>
      <c r="H181" s="3"/>
      <c r="AG181" s="91"/>
    </row>
    <row r="182" ht="15.75" customHeight="1">
      <c r="B182" s="3"/>
      <c r="C182" s="3"/>
      <c r="H182" s="3"/>
      <c r="AG182" s="91"/>
    </row>
    <row r="183" ht="15.75" customHeight="1">
      <c r="B183" s="3"/>
      <c r="C183" s="3"/>
      <c r="H183" s="3"/>
      <c r="AG183" s="91"/>
    </row>
    <row r="184" ht="15.75" customHeight="1">
      <c r="B184" s="3"/>
      <c r="C184" s="3"/>
      <c r="H184" s="3"/>
      <c r="AG184" s="91"/>
    </row>
    <row r="185" ht="15.75" customHeight="1">
      <c r="B185" s="3"/>
      <c r="C185" s="3"/>
      <c r="H185" s="3"/>
      <c r="AG185" s="91"/>
    </row>
    <row r="186" ht="15.75" customHeight="1">
      <c r="B186" s="3"/>
      <c r="C186" s="3"/>
      <c r="H186" s="3"/>
      <c r="AG186" s="91"/>
    </row>
    <row r="187" ht="15.75" customHeight="1">
      <c r="B187" s="3"/>
      <c r="C187" s="3"/>
      <c r="H187" s="3"/>
      <c r="AG187" s="91"/>
    </row>
    <row r="188" ht="15.75" customHeight="1">
      <c r="B188" s="3"/>
      <c r="C188" s="3"/>
      <c r="H188" s="3"/>
      <c r="AG188" s="91"/>
    </row>
    <row r="189" ht="15.75" customHeight="1">
      <c r="B189" s="3"/>
      <c r="C189" s="3"/>
      <c r="H189" s="3"/>
      <c r="AG189" s="91"/>
    </row>
    <row r="190" ht="15.75" customHeight="1">
      <c r="B190" s="3"/>
      <c r="C190" s="3"/>
      <c r="H190" s="3"/>
      <c r="AG190" s="91"/>
    </row>
    <row r="191" ht="15.75" customHeight="1">
      <c r="B191" s="3"/>
      <c r="C191" s="3"/>
      <c r="H191" s="3"/>
      <c r="AG191" s="91"/>
    </row>
    <row r="192" ht="15.75" customHeight="1">
      <c r="B192" s="3"/>
      <c r="C192" s="3"/>
      <c r="H192" s="3"/>
      <c r="AG192" s="91"/>
    </row>
    <row r="193" ht="15.75" customHeight="1">
      <c r="B193" s="3"/>
      <c r="C193" s="3"/>
      <c r="H193" s="3"/>
      <c r="AG193" s="91"/>
    </row>
    <row r="194" ht="15.75" customHeight="1">
      <c r="B194" s="3"/>
      <c r="C194" s="3"/>
      <c r="H194" s="3"/>
      <c r="AG194" s="91"/>
    </row>
    <row r="195" ht="15.75" customHeight="1">
      <c r="B195" s="3"/>
      <c r="C195" s="3"/>
      <c r="H195" s="3"/>
      <c r="AG195" s="91"/>
    </row>
    <row r="196" ht="15.75" customHeight="1">
      <c r="B196" s="3"/>
      <c r="C196" s="3"/>
      <c r="H196" s="3"/>
      <c r="AG196" s="91"/>
    </row>
    <row r="197" ht="15.75" customHeight="1">
      <c r="B197" s="3"/>
      <c r="C197" s="3"/>
      <c r="H197" s="3"/>
      <c r="AG197" s="91"/>
    </row>
    <row r="198" ht="15.75" customHeight="1">
      <c r="B198" s="3"/>
      <c r="C198" s="3"/>
      <c r="H198" s="3"/>
      <c r="AG198" s="91"/>
    </row>
    <row r="199" ht="15.75" customHeight="1">
      <c r="B199" s="3"/>
      <c r="C199" s="3"/>
      <c r="H199" s="3"/>
      <c r="AG199" s="91"/>
    </row>
    <row r="200" ht="15.75" customHeight="1">
      <c r="B200" s="3"/>
      <c r="C200" s="3"/>
      <c r="H200" s="3"/>
      <c r="AG200" s="91"/>
    </row>
    <row r="201" ht="15.75" customHeight="1">
      <c r="B201" s="3"/>
      <c r="C201" s="3"/>
      <c r="H201" s="3"/>
      <c r="AG201" s="91"/>
    </row>
    <row r="202" ht="15.75" customHeight="1">
      <c r="B202" s="3"/>
      <c r="C202" s="3"/>
      <c r="H202" s="3"/>
      <c r="AG202" s="91"/>
    </row>
    <row r="203" ht="15.75" customHeight="1">
      <c r="B203" s="3"/>
      <c r="C203" s="3"/>
      <c r="H203" s="3"/>
      <c r="AG203" s="91"/>
    </row>
    <row r="204" ht="15.75" customHeight="1">
      <c r="B204" s="3"/>
      <c r="C204" s="3"/>
      <c r="H204" s="3"/>
      <c r="AG204" s="91"/>
    </row>
    <row r="205" ht="15.75" customHeight="1">
      <c r="B205" s="3"/>
      <c r="C205" s="3"/>
      <c r="H205" s="3"/>
      <c r="AG205" s="91"/>
    </row>
    <row r="206" ht="15.75" customHeight="1">
      <c r="B206" s="3"/>
      <c r="C206" s="3"/>
      <c r="H206" s="3"/>
      <c r="AG206" s="91"/>
    </row>
    <row r="207" ht="15.75" customHeight="1">
      <c r="B207" s="3"/>
      <c r="C207" s="3"/>
      <c r="H207" s="3"/>
      <c r="AG207" s="91"/>
    </row>
    <row r="208" ht="15.75" customHeight="1">
      <c r="B208" s="3"/>
      <c r="C208" s="3"/>
      <c r="H208" s="3"/>
      <c r="AG208" s="91"/>
    </row>
    <row r="209" ht="15.75" customHeight="1">
      <c r="B209" s="3"/>
      <c r="C209" s="3"/>
      <c r="H209" s="3"/>
      <c r="AG209" s="91"/>
    </row>
    <row r="210" ht="15.75" customHeight="1">
      <c r="B210" s="3"/>
      <c r="C210" s="3"/>
      <c r="H210" s="3"/>
      <c r="AG210" s="91"/>
    </row>
    <row r="211" ht="15.75" customHeight="1">
      <c r="B211" s="3"/>
      <c r="C211" s="3"/>
      <c r="H211" s="3"/>
      <c r="AG211" s="91"/>
    </row>
    <row r="212" ht="15.75" customHeight="1">
      <c r="B212" s="3"/>
      <c r="C212" s="3"/>
      <c r="H212" s="3"/>
      <c r="AG212" s="91"/>
    </row>
    <row r="213" ht="15.75" customHeight="1">
      <c r="B213" s="3"/>
      <c r="C213" s="3"/>
      <c r="H213" s="3"/>
      <c r="AG213" s="91"/>
    </row>
    <row r="214" ht="15.75" customHeight="1">
      <c r="B214" s="3"/>
      <c r="C214" s="3"/>
      <c r="H214" s="3"/>
      <c r="AG214" s="91"/>
    </row>
    <row r="215" ht="15.75" customHeight="1">
      <c r="B215" s="3"/>
      <c r="C215" s="3"/>
      <c r="H215" s="3"/>
      <c r="AG215" s="91"/>
    </row>
    <row r="216" ht="15.75" customHeight="1">
      <c r="B216" s="3"/>
      <c r="C216" s="3"/>
      <c r="H216" s="3"/>
      <c r="AG216" s="91"/>
    </row>
    <row r="217" ht="15.75" customHeight="1">
      <c r="B217" s="3"/>
      <c r="C217" s="3"/>
      <c r="H217" s="3"/>
      <c r="AG217" s="91"/>
    </row>
    <row r="218" ht="15.75" customHeight="1">
      <c r="B218" s="3"/>
      <c r="C218" s="3"/>
      <c r="H218" s="3"/>
      <c r="AG218" s="91"/>
    </row>
    <row r="219" ht="15.75" customHeight="1">
      <c r="B219" s="3"/>
      <c r="C219" s="3"/>
      <c r="H219" s="3"/>
      <c r="AG219" s="91"/>
    </row>
    <row r="220" ht="15.75" customHeight="1">
      <c r="B220" s="3"/>
      <c r="C220" s="3"/>
      <c r="H220" s="3"/>
      <c r="AG220" s="91"/>
    </row>
    <row r="221" ht="15.75" customHeight="1">
      <c r="B221" s="3"/>
      <c r="C221" s="3"/>
      <c r="H221" s="3"/>
      <c r="AG221" s="91"/>
    </row>
    <row r="222" ht="15.75" customHeight="1">
      <c r="B222" s="3"/>
      <c r="C222" s="3"/>
      <c r="H222" s="3"/>
      <c r="AG222" s="91"/>
    </row>
    <row r="223" ht="15.75" customHeight="1">
      <c r="B223" s="3"/>
      <c r="C223" s="3"/>
      <c r="H223" s="3"/>
      <c r="AG223" s="91"/>
    </row>
    <row r="224" ht="15.75" customHeight="1">
      <c r="B224" s="3"/>
      <c r="C224" s="3"/>
      <c r="H224" s="3"/>
      <c r="AG224" s="91"/>
    </row>
    <row r="225" ht="15.75" customHeight="1">
      <c r="B225" s="3"/>
      <c r="C225" s="3"/>
      <c r="H225" s="3"/>
      <c r="AG225" s="91"/>
    </row>
    <row r="226" ht="15.75" customHeight="1">
      <c r="B226" s="3"/>
      <c r="C226" s="3"/>
      <c r="H226" s="3"/>
      <c r="AG226" s="91"/>
    </row>
    <row r="227" ht="15.75" customHeight="1">
      <c r="B227" s="3"/>
      <c r="C227" s="3"/>
      <c r="H227" s="3"/>
      <c r="AG227" s="91"/>
    </row>
    <row r="228" ht="15.75" customHeight="1">
      <c r="B228" s="3"/>
      <c r="C228" s="3"/>
      <c r="H228" s="3"/>
      <c r="AG228" s="91"/>
    </row>
    <row r="229" ht="15.75" customHeight="1">
      <c r="B229" s="3"/>
      <c r="C229" s="3"/>
      <c r="H229" s="3"/>
      <c r="AG229" s="91"/>
    </row>
    <row r="230" ht="15.75" customHeight="1">
      <c r="B230" s="3"/>
      <c r="C230" s="3"/>
      <c r="H230" s="3"/>
      <c r="AG230" s="91"/>
    </row>
    <row r="231" ht="15.75" customHeight="1">
      <c r="B231" s="3"/>
      <c r="C231" s="3"/>
      <c r="H231" s="3"/>
      <c r="AG231" s="91"/>
    </row>
    <row r="232" ht="15.75" customHeight="1">
      <c r="B232" s="3"/>
      <c r="C232" s="3"/>
      <c r="H232" s="3"/>
      <c r="AG232" s="91"/>
    </row>
    <row r="233" ht="15.75" customHeight="1">
      <c r="B233" s="3"/>
      <c r="C233" s="3"/>
      <c r="H233" s="3"/>
      <c r="AG233" s="91"/>
    </row>
    <row r="234" ht="15.75" customHeight="1">
      <c r="B234" s="3"/>
      <c r="C234" s="3"/>
      <c r="H234" s="3"/>
      <c r="AG234" s="91"/>
    </row>
    <row r="235" ht="15.75" customHeight="1">
      <c r="B235" s="3"/>
      <c r="C235" s="3"/>
      <c r="H235" s="3"/>
      <c r="AG235" s="91"/>
    </row>
    <row r="236" ht="15.75" customHeight="1">
      <c r="B236" s="3"/>
      <c r="C236" s="3"/>
      <c r="H236" s="3"/>
      <c r="AG236" s="91"/>
    </row>
    <row r="237" ht="15.75" customHeight="1">
      <c r="B237" s="3"/>
      <c r="C237" s="3"/>
      <c r="H237" s="3"/>
      <c r="AG237" s="91"/>
    </row>
    <row r="238" ht="15.75" customHeight="1">
      <c r="B238" s="3"/>
      <c r="C238" s="3"/>
      <c r="H238" s="3"/>
      <c r="AG238" s="91"/>
    </row>
    <row r="239" ht="15.75" customHeight="1">
      <c r="B239" s="3"/>
      <c r="C239" s="3"/>
      <c r="H239" s="3"/>
      <c r="AG239" s="91"/>
    </row>
    <row r="240" ht="15.75" customHeight="1">
      <c r="B240" s="3"/>
      <c r="C240" s="3"/>
      <c r="H240" s="3"/>
      <c r="AG240" s="91"/>
    </row>
    <row r="241" ht="15.75" customHeight="1">
      <c r="B241" s="3"/>
      <c r="C241" s="3"/>
      <c r="H241" s="3"/>
      <c r="AG241" s="91"/>
    </row>
    <row r="242" ht="15.75" customHeight="1">
      <c r="B242" s="3"/>
      <c r="C242" s="3"/>
      <c r="H242" s="3"/>
      <c r="AG242" s="91"/>
    </row>
    <row r="243" ht="15.75" customHeight="1">
      <c r="B243" s="3"/>
      <c r="C243" s="3"/>
      <c r="H243" s="3"/>
      <c r="AG243" s="91"/>
    </row>
    <row r="244" ht="15.75" customHeight="1">
      <c r="B244" s="3"/>
      <c r="C244" s="3"/>
      <c r="H244" s="3"/>
      <c r="AG244" s="91"/>
    </row>
    <row r="245" ht="15.75" customHeight="1">
      <c r="B245" s="3"/>
      <c r="C245" s="3"/>
      <c r="H245" s="3"/>
      <c r="AG245" s="91"/>
    </row>
    <row r="246" ht="15.75" customHeight="1">
      <c r="B246" s="3"/>
      <c r="C246" s="3"/>
      <c r="H246" s="3"/>
      <c r="AG246" s="91"/>
    </row>
    <row r="247" ht="15.75" customHeight="1">
      <c r="B247" s="3"/>
      <c r="C247" s="3"/>
      <c r="H247" s="3"/>
      <c r="AG247" s="91"/>
    </row>
    <row r="248" ht="15.75" customHeight="1">
      <c r="B248" s="3"/>
      <c r="C248" s="3"/>
      <c r="H248" s="3"/>
      <c r="AG248" s="91"/>
    </row>
    <row r="249" ht="15.75" customHeight="1">
      <c r="B249" s="3"/>
      <c r="C249" s="3"/>
      <c r="H249" s="3"/>
      <c r="AG249" s="91"/>
    </row>
    <row r="250" ht="15.75" customHeight="1">
      <c r="B250" s="3"/>
      <c r="C250" s="3"/>
      <c r="H250" s="3"/>
      <c r="AG250" s="91"/>
    </row>
    <row r="251" ht="15.75" customHeight="1">
      <c r="B251" s="3"/>
      <c r="C251" s="3"/>
      <c r="H251" s="3"/>
      <c r="AG251" s="91"/>
    </row>
    <row r="252" ht="15.75" customHeight="1">
      <c r="B252" s="3"/>
      <c r="C252" s="3"/>
      <c r="H252" s="3"/>
      <c r="AG252" s="91"/>
    </row>
    <row r="253" ht="15.75" customHeight="1">
      <c r="B253" s="3"/>
      <c r="C253" s="3"/>
      <c r="H253" s="3"/>
      <c r="AG253" s="91"/>
    </row>
    <row r="254" ht="15.75" customHeight="1">
      <c r="B254" s="3"/>
      <c r="C254" s="3"/>
      <c r="H254" s="3"/>
      <c r="AG254" s="91"/>
    </row>
    <row r="255" ht="15.75" customHeight="1">
      <c r="B255" s="3"/>
      <c r="C255" s="3"/>
      <c r="H255" s="3"/>
      <c r="AG255" s="91"/>
    </row>
    <row r="256" ht="15.75" customHeight="1">
      <c r="B256" s="3"/>
      <c r="C256" s="3"/>
      <c r="H256" s="3"/>
      <c r="AG256" s="91"/>
    </row>
    <row r="257" ht="15.75" customHeight="1">
      <c r="B257" s="3"/>
      <c r="C257" s="3"/>
      <c r="H257" s="3"/>
      <c r="AG257" s="91"/>
    </row>
    <row r="258" ht="15.75" customHeight="1">
      <c r="B258" s="3"/>
      <c r="C258" s="3"/>
      <c r="H258" s="3"/>
      <c r="AG258" s="91"/>
    </row>
    <row r="259" ht="15.75" customHeight="1">
      <c r="B259" s="3"/>
      <c r="C259" s="3"/>
      <c r="H259" s="3"/>
      <c r="AG259" s="91"/>
    </row>
    <row r="260" ht="15.75" customHeight="1">
      <c r="B260" s="3"/>
      <c r="C260" s="3"/>
      <c r="H260" s="3"/>
      <c r="AG260" s="91"/>
    </row>
    <row r="261" ht="15.75" customHeight="1">
      <c r="B261" s="3"/>
      <c r="C261" s="3"/>
      <c r="H261" s="3"/>
      <c r="AG261" s="91"/>
    </row>
    <row r="262" ht="15.75" customHeight="1">
      <c r="B262" s="3"/>
      <c r="C262" s="3"/>
      <c r="H262" s="3"/>
      <c r="AG262" s="91"/>
    </row>
    <row r="263" ht="15.75" customHeight="1">
      <c r="B263" s="3"/>
      <c r="C263" s="3"/>
      <c r="H263" s="3"/>
      <c r="AG263" s="91"/>
    </row>
    <row r="264" ht="15.75" customHeight="1">
      <c r="B264" s="3"/>
      <c r="C264" s="3"/>
      <c r="H264" s="3"/>
      <c r="AG264" s="91"/>
    </row>
    <row r="265" ht="15.75" customHeight="1">
      <c r="B265" s="3"/>
      <c r="C265" s="3"/>
      <c r="H265" s="3"/>
      <c r="AG265" s="91"/>
    </row>
    <row r="266" ht="15.75" customHeight="1">
      <c r="B266" s="3"/>
      <c r="C266" s="3"/>
      <c r="H266" s="3"/>
      <c r="AG266" s="91"/>
    </row>
    <row r="267" ht="15.75" customHeight="1">
      <c r="B267" s="3"/>
      <c r="C267" s="3"/>
      <c r="H267" s="3"/>
      <c r="AG267" s="91"/>
    </row>
    <row r="268" ht="15.75" customHeight="1">
      <c r="B268" s="3"/>
      <c r="C268" s="3"/>
      <c r="H268" s="3"/>
      <c r="AG268" s="91"/>
    </row>
    <row r="269" ht="15.75" customHeight="1">
      <c r="B269" s="3"/>
      <c r="C269" s="3"/>
      <c r="H269" s="3"/>
      <c r="AG269" s="91"/>
    </row>
    <row r="270" ht="15.75" customHeight="1">
      <c r="B270" s="3"/>
      <c r="C270" s="3"/>
      <c r="H270" s="3"/>
      <c r="AG270" s="91"/>
    </row>
    <row r="271" ht="15.75" customHeight="1">
      <c r="B271" s="3"/>
      <c r="C271" s="3"/>
      <c r="H271" s="3"/>
      <c r="AG271" s="91"/>
    </row>
    <row r="272" ht="15.75" customHeight="1">
      <c r="B272" s="3"/>
      <c r="C272" s="3"/>
      <c r="H272" s="3"/>
      <c r="AG272" s="91"/>
    </row>
    <row r="273" ht="15.75" customHeight="1">
      <c r="B273" s="3"/>
      <c r="C273" s="3"/>
      <c r="H273" s="3"/>
      <c r="AG273" s="91"/>
    </row>
    <row r="274" ht="15.75" customHeight="1">
      <c r="B274" s="3"/>
      <c r="C274" s="3"/>
      <c r="H274" s="3"/>
      <c r="AG274" s="91"/>
    </row>
    <row r="275" ht="15.75" customHeight="1">
      <c r="B275" s="3"/>
      <c r="C275" s="3"/>
      <c r="H275" s="3"/>
      <c r="AG275" s="91"/>
    </row>
    <row r="276" ht="15.75" customHeight="1">
      <c r="B276" s="3"/>
      <c r="C276" s="3"/>
      <c r="H276" s="3"/>
      <c r="AG276" s="91"/>
    </row>
    <row r="277" ht="15.75" customHeight="1">
      <c r="B277" s="3"/>
      <c r="C277" s="3"/>
      <c r="H277" s="3"/>
      <c r="AG277" s="91"/>
    </row>
    <row r="278" ht="15.75" customHeight="1">
      <c r="B278" s="3"/>
      <c r="C278" s="3"/>
      <c r="H278" s="3"/>
      <c r="AG278" s="91"/>
    </row>
    <row r="279" ht="15.75" customHeight="1">
      <c r="B279" s="3"/>
      <c r="C279" s="3"/>
      <c r="H279" s="3"/>
      <c r="AG279" s="91"/>
    </row>
    <row r="280" ht="15.75" customHeight="1">
      <c r="B280" s="3"/>
      <c r="C280" s="3"/>
      <c r="H280" s="3"/>
      <c r="AG280" s="91"/>
    </row>
    <row r="281" ht="15.75" customHeight="1">
      <c r="B281" s="3"/>
      <c r="C281" s="3"/>
      <c r="H281" s="3"/>
      <c r="AG281" s="91"/>
    </row>
    <row r="282" ht="15.75" customHeight="1">
      <c r="B282" s="3"/>
      <c r="C282" s="3"/>
      <c r="H282" s="3"/>
      <c r="AG282" s="91"/>
    </row>
    <row r="283" ht="15.75" customHeight="1">
      <c r="B283" s="3"/>
      <c r="C283" s="3"/>
      <c r="H283" s="3"/>
      <c r="AG283" s="91"/>
    </row>
    <row r="284" ht="15.75" customHeight="1">
      <c r="B284" s="3"/>
      <c r="C284" s="3"/>
      <c r="H284" s="3"/>
      <c r="AG284" s="91"/>
    </row>
    <row r="285" ht="15.75" customHeight="1">
      <c r="B285" s="3"/>
      <c r="C285" s="3"/>
      <c r="H285" s="3"/>
      <c r="AG285" s="91"/>
    </row>
    <row r="286" ht="15.75" customHeight="1">
      <c r="B286" s="3"/>
      <c r="C286" s="3"/>
      <c r="H286" s="3"/>
      <c r="AG286" s="91"/>
    </row>
    <row r="287" ht="15.75" customHeight="1">
      <c r="B287" s="3"/>
      <c r="C287" s="3"/>
      <c r="H287" s="3"/>
      <c r="AG287" s="91"/>
    </row>
    <row r="288" ht="15.75" customHeight="1">
      <c r="B288" s="3"/>
      <c r="C288" s="3"/>
      <c r="H288" s="3"/>
      <c r="AG288" s="91"/>
    </row>
    <row r="289" ht="15.75" customHeight="1">
      <c r="B289" s="3"/>
      <c r="C289" s="3"/>
      <c r="H289" s="3"/>
      <c r="AG289" s="91"/>
    </row>
    <row r="290" ht="15.75" customHeight="1">
      <c r="B290" s="3"/>
      <c r="C290" s="3"/>
      <c r="H290" s="3"/>
      <c r="AG290" s="91"/>
    </row>
    <row r="291" ht="15.75" customHeight="1">
      <c r="B291" s="3"/>
      <c r="C291" s="3"/>
      <c r="H291" s="3"/>
      <c r="AG291" s="91"/>
    </row>
    <row r="292" ht="15.75" customHeight="1">
      <c r="B292" s="3"/>
      <c r="C292" s="3"/>
      <c r="H292" s="3"/>
      <c r="AG292" s="91"/>
    </row>
    <row r="293" ht="15.75" customHeight="1">
      <c r="B293" s="3"/>
      <c r="C293" s="3"/>
      <c r="H293" s="3"/>
      <c r="AG293" s="91"/>
    </row>
    <row r="294" ht="15.75" customHeight="1">
      <c r="B294" s="3"/>
      <c r="C294" s="3"/>
      <c r="H294" s="3"/>
      <c r="AG294" s="91"/>
    </row>
    <row r="295" ht="15.75" customHeight="1">
      <c r="B295" s="3"/>
      <c r="C295" s="3"/>
      <c r="H295" s="3"/>
      <c r="AG295" s="91"/>
    </row>
    <row r="296" ht="15.75" customHeight="1">
      <c r="B296" s="3"/>
      <c r="C296" s="3"/>
      <c r="H296" s="3"/>
      <c r="AG296" s="91"/>
    </row>
    <row r="297" ht="15.75" customHeight="1">
      <c r="B297" s="3"/>
      <c r="C297" s="3"/>
      <c r="H297" s="3"/>
      <c r="AG297" s="91"/>
    </row>
    <row r="298" ht="15.75" customHeight="1">
      <c r="B298" s="3"/>
      <c r="C298" s="3"/>
      <c r="H298" s="3"/>
      <c r="AG298" s="91"/>
    </row>
    <row r="299" ht="15.75" customHeight="1">
      <c r="B299" s="3"/>
      <c r="C299" s="3"/>
      <c r="H299" s="3"/>
      <c r="AG299" s="91"/>
    </row>
    <row r="300" ht="15.75" customHeight="1">
      <c r="B300" s="3"/>
      <c r="C300" s="3"/>
      <c r="H300" s="3"/>
      <c r="AG300" s="91"/>
    </row>
    <row r="301" ht="15.75" customHeight="1">
      <c r="B301" s="3"/>
      <c r="C301" s="3"/>
      <c r="H301" s="3"/>
      <c r="AG301" s="91"/>
    </row>
    <row r="302" ht="15.75" customHeight="1">
      <c r="B302" s="3"/>
      <c r="C302" s="3"/>
      <c r="H302" s="3"/>
      <c r="AG302" s="91"/>
    </row>
    <row r="303" ht="15.75" customHeight="1">
      <c r="B303" s="3"/>
      <c r="C303" s="3"/>
      <c r="H303" s="3"/>
      <c r="AG303" s="91"/>
    </row>
    <row r="304" ht="15.75" customHeight="1">
      <c r="B304" s="3"/>
      <c r="C304" s="3"/>
      <c r="H304" s="3"/>
      <c r="AG304" s="91"/>
    </row>
    <row r="305" ht="15.75" customHeight="1">
      <c r="B305" s="3"/>
      <c r="C305" s="3"/>
      <c r="H305" s="3"/>
      <c r="AG305" s="91"/>
    </row>
    <row r="306" ht="15.75" customHeight="1">
      <c r="B306" s="3"/>
      <c r="C306" s="3"/>
      <c r="H306" s="3"/>
      <c r="AG306" s="91"/>
    </row>
    <row r="307" ht="15.75" customHeight="1">
      <c r="B307" s="3"/>
      <c r="C307" s="3"/>
      <c r="H307" s="3"/>
      <c r="AG307" s="91"/>
    </row>
    <row r="308" ht="15.75" customHeight="1">
      <c r="B308" s="3"/>
      <c r="C308" s="3"/>
      <c r="H308" s="3"/>
      <c r="AG308" s="91"/>
    </row>
    <row r="309" ht="15.75" customHeight="1">
      <c r="B309" s="3"/>
      <c r="C309" s="3"/>
      <c r="H309" s="3"/>
      <c r="AG309" s="91"/>
    </row>
    <row r="310" ht="15.75" customHeight="1">
      <c r="B310" s="3"/>
      <c r="C310" s="3"/>
      <c r="H310" s="3"/>
      <c r="AG310" s="91"/>
    </row>
    <row r="311" ht="15.75" customHeight="1">
      <c r="B311" s="3"/>
      <c r="C311" s="3"/>
      <c r="H311" s="3"/>
      <c r="AG311" s="91"/>
    </row>
    <row r="312" ht="15.75" customHeight="1">
      <c r="B312" s="3"/>
      <c r="C312" s="3"/>
      <c r="H312" s="3"/>
      <c r="AG312" s="91"/>
    </row>
    <row r="313" ht="15.75" customHeight="1">
      <c r="B313" s="3"/>
      <c r="C313" s="3"/>
      <c r="H313" s="3"/>
      <c r="AG313" s="91"/>
    </row>
    <row r="314" ht="15.75" customHeight="1">
      <c r="B314" s="3"/>
      <c r="C314" s="3"/>
      <c r="H314" s="3"/>
      <c r="AG314" s="91"/>
    </row>
    <row r="315" ht="15.75" customHeight="1">
      <c r="B315" s="3"/>
      <c r="C315" s="3"/>
      <c r="H315" s="3"/>
      <c r="AG315" s="91"/>
    </row>
    <row r="316" ht="15.75" customHeight="1">
      <c r="B316" s="3"/>
      <c r="C316" s="3"/>
      <c r="H316" s="3"/>
      <c r="AG316" s="91"/>
    </row>
    <row r="317" ht="15.75" customHeight="1">
      <c r="B317" s="3"/>
      <c r="C317" s="3"/>
      <c r="H317" s="3"/>
      <c r="AG317" s="91"/>
    </row>
    <row r="318" ht="15.75" customHeight="1">
      <c r="B318" s="3"/>
      <c r="C318" s="3"/>
      <c r="H318" s="3"/>
      <c r="AG318" s="91"/>
    </row>
    <row r="319" ht="15.75" customHeight="1">
      <c r="B319" s="3"/>
      <c r="C319" s="3"/>
      <c r="H319" s="3"/>
      <c r="AG319" s="91"/>
    </row>
    <row r="320" ht="15.75" customHeight="1">
      <c r="B320" s="3"/>
      <c r="C320" s="3"/>
      <c r="H320" s="3"/>
      <c r="AG320" s="91"/>
    </row>
    <row r="321" ht="15.75" customHeight="1">
      <c r="B321" s="3"/>
      <c r="C321" s="3"/>
      <c r="H321" s="3"/>
      <c r="AG321" s="91"/>
    </row>
    <row r="322" ht="15.75" customHeight="1">
      <c r="B322" s="3"/>
      <c r="C322" s="3"/>
      <c r="H322" s="3"/>
      <c r="AG322" s="91"/>
    </row>
    <row r="323" ht="15.75" customHeight="1">
      <c r="B323" s="3"/>
      <c r="C323" s="3"/>
      <c r="H323" s="3"/>
      <c r="AG323" s="91"/>
    </row>
    <row r="324" ht="15.75" customHeight="1">
      <c r="B324" s="3"/>
      <c r="C324" s="3"/>
      <c r="H324" s="3"/>
      <c r="AG324" s="91"/>
    </row>
    <row r="325" ht="15.75" customHeight="1">
      <c r="B325" s="3"/>
      <c r="C325" s="3"/>
      <c r="H325" s="3"/>
      <c r="AG325" s="91"/>
    </row>
    <row r="326" ht="15.75" customHeight="1">
      <c r="B326" s="3"/>
      <c r="C326" s="3"/>
      <c r="H326" s="3"/>
      <c r="AG326" s="91"/>
    </row>
    <row r="327" ht="15.75" customHeight="1">
      <c r="B327" s="3"/>
      <c r="C327" s="3"/>
      <c r="H327" s="3"/>
      <c r="AG327" s="91"/>
    </row>
    <row r="328" ht="15.75" customHeight="1">
      <c r="B328" s="3"/>
      <c r="C328" s="3"/>
      <c r="H328" s="3"/>
      <c r="AG328" s="91"/>
    </row>
    <row r="329" ht="15.75" customHeight="1">
      <c r="B329" s="3"/>
      <c r="C329" s="3"/>
      <c r="H329" s="3"/>
      <c r="AG329" s="91"/>
    </row>
    <row r="330" ht="15.75" customHeight="1">
      <c r="B330" s="3"/>
      <c r="C330" s="3"/>
      <c r="H330" s="3"/>
      <c r="AG330" s="91"/>
    </row>
    <row r="331" ht="15.75" customHeight="1">
      <c r="B331" s="3"/>
      <c r="C331" s="3"/>
      <c r="H331" s="3"/>
      <c r="AG331" s="91"/>
    </row>
    <row r="332" ht="15.75" customHeight="1">
      <c r="B332" s="3"/>
      <c r="C332" s="3"/>
      <c r="H332" s="3"/>
      <c r="AG332" s="91"/>
    </row>
    <row r="333" ht="15.75" customHeight="1">
      <c r="B333" s="3"/>
      <c r="C333" s="3"/>
      <c r="H333" s="3"/>
      <c r="AG333" s="91"/>
    </row>
    <row r="334" ht="15.75" customHeight="1">
      <c r="B334" s="3"/>
      <c r="C334" s="3"/>
      <c r="H334" s="3"/>
      <c r="AG334" s="91"/>
    </row>
    <row r="335" ht="15.75" customHeight="1">
      <c r="B335" s="3"/>
      <c r="C335" s="3"/>
      <c r="H335" s="3"/>
      <c r="AG335" s="91"/>
    </row>
    <row r="336" ht="15.75" customHeight="1">
      <c r="B336" s="3"/>
      <c r="C336" s="3"/>
      <c r="H336" s="3"/>
      <c r="AG336" s="91"/>
    </row>
    <row r="337" ht="15.75" customHeight="1">
      <c r="B337" s="3"/>
      <c r="C337" s="3"/>
      <c r="H337" s="3"/>
      <c r="AG337" s="91"/>
    </row>
    <row r="338" ht="15.75" customHeight="1">
      <c r="B338" s="3"/>
      <c r="C338" s="3"/>
      <c r="H338" s="3"/>
      <c r="AG338" s="91"/>
    </row>
    <row r="339" ht="15.75" customHeight="1">
      <c r="B339" s="3"/>
      <c r="C339" s="3"/>
      <c r="H339" s="3"/>
      <c r="AG339" s="91"/>
    </row>
    <row r="340" ht="15.75" customHeight="1">
      <c r="B340" s="3"/>
      <c r="C340" s="3"/>
      <c r="H340" s="3"/>
      <c r="AG340" s="91"/>
    </row>
    <row r="341" ht="15.75" customHeight="1">
      <c r="B341" s="3"/>
      <c r="C341" s="3"/>
      <c r="H341" s="3"/>
      <c r="AG341" s="91"/>
    </row>
    <row r="342" ht="15.75" customHeight="1">
      <c r="B342" s="3"/>
      <c r="C342" s="3"/>
      <c r="H342" s="3"/>
      <c r="AG342" s="91"/>
    </row>
    <row r="343" ht="15.75" customHeight="1">
      <c r="B343" s="3"/>
      <c r="C343" s="3"/>
      <c r="H343" s="3"/>
      <c r="AG343" s="91"/>
    </row>
    <row r="344" ht="15.75" customHeight="1">
      <c r="B344" s="3"/>
      <c r="C344" s="3"/>
      <c r="H344" s="3"/>
      <c r="AG344" s="91"/>
    </row>
    <row r="345" ht="15.75" customHeight="1">
      <c r="B345" s="3"/>
      <c r="C345" s="3"/>
      <c r="H345" s="3"/>
      <c r="AG345" s="91"/>
    </row>
    <row r="346" ht="15.75" customHeight="1">
      <c r="B346" s="3"/>
      <c r="C346" s="3"/>
      <c r="H346" s="3"/>
      <c r="AG346" s="91"/>
    </row>
    <row r="347" ht="15.75" customHeight="1">
      <c r="B347" s="3"/>
      <c r="C347" s="3"/>
      <c r="H347" s="3"/>
      <c r="AG347" s="91"/>
    </row>
    <row r="348" ht="15.75" customHeight="1">
      <c r="B348" s="3"/>
      <c r="C348" s="3"/>
      <c r="H348" s="3"/>
      <c r="AG348" s="91"/>
    </row>
    <row r="349" ht="15.75" customHeight="1">
      <c r="B349" s="3"/>
      <c r="C349" s="3"/>
      <c r="H349" s="3"/>
      <c r="AG349" s="91"/>
    </row>
    <row r="350" ht="15.75" customHeight="1">
      <c r="B350" s="3"/>
      <c r="C350" s="3"/>
      <c r="H350" s="3"/>
      <c r="AG350" s="91"/>
    </row>
    <row r="351" ht="15.75" customHeight="1">
      <c r="B351" s="3"/>
      <c r="C351" s="3"/>
      <c r="H351" s="3"/>
      <c r="AG351" s="91"/>
    </row>
    <row r="352" ht="15.75" customHeight="1">
      <c r="B352" s="3"/>
      <c r="C352" s="3"/>
      <c r="H352" s="3"/>
      <c r="AG352" s="91"/>
    </row>
    <row r="353" ht="15.75" customHeight="1">
      <c r="B353" s="3"/>
      <c r="C353" s="3"/>
      <c r="H353" s="3"/>
      <c r="AG353" s="91"/>
    </row>
    <row r="354" ht="15.75" customHeight="1">
      <c r="B354" s="3"/>
      <c r="C354" s="3"/>
      <c r="H354" s="3"/>
      <c r="AG354" s="91"/>
    </row>
    <row r="355" ht="15.75" customHeight="1">
      <c r="B355" s="3"/>
      <c r="C355" s="3"/>
      <c r="H355" s="3"/>
      <c r="AG355" s="91"/>
    </row>
    <row r="356" ht="15.75" customHeight="1">
      <c r="B356" s="3"/>
      <c r="C356" s="3"/>
      <c r="H356" s="3"/>
      <c r="AG356" s="91"/>
    </row>
    <row r="357" ht="15.75" customHeight="1">
      <c r="B357" s="3"/>
      <c r="C357" s="3"/>
      <c r="H357" s="3"/>
      <c r="AG357" s="91"/>
    </row>
    <row r="358" ht="15.75" customHeight="1">
      <c r="B358" s="3"/>
      <c r="C358" s="3"/>
      <c r="H358" s="3"/>
      <c r="AG358" s="91"/>
    </row>
    <row r="359" ht="15.75" customHeight="1">
      <c r="B359" s="3"/>
      <c r="C359" s="3"/>
      <c r="H359" s="3"/>
      <c r="AG359" s="91"/>
    </row>
    <row r="360" ht="15.75" customHeight="1">
      <c r="B360" s="3"/>
      <c r="C360" s="3"/>
      <c r="H360" s="3"/>
      <c r="AG360" s="91"/>
    </row>
    <row r="361" ht="15.75" customHeight="1">
      <c r="B361" s="3"/>
      <c r="C361" s="3"/>
      <c r="H361" s="3"/>
      <c r="AG361" s="91"/>
    </row>
    <row r="362" ht="15.75" customHeight="1">
      <c r="B362" s="3"/>
      <c r="C362" s="3"/>
      <c r="H362" s="3"/>
      <c r="AG362" s="91"/>
    </row>
    <row r="363" ht="15.75" customHeight="1">
      <c r="B363" s="3"/>
      <c r="C363" s="3"/>
      <c r="H363" s="3"/>
      <c r="AG363" s="91"/>
    </row>
    <row r="364" ht="15.75" customHeight="1">
      <c r="B364" s="3"/>
      <c r="C364" s="3"/>
      <c r="H364" s="3"/>
      <c r="AG364" s="91"/>
    </row>
    <row r="365" ht="15.75" customHeight="1">
      <c r="B365" s="3"/>
      <c r="C365" s="3"/>
      <c r="H365" s="3"/>
      <c r="AG365" s="91"/>
    </row>
    <row r="366" ht="15.75" customHeight="1">
      <c r="B366" s="3"/>
      <c r="C366" s="3"/>
      <c r="H366" s="3"/>
      <c r="AG366" s="91"/>
    </row>
    <row r="367" ht="15.75" customHeight="1">
      <c r="B367" s="3"/>
      <c r="C367" s="3"/>
      <c r="H367" s="3"/>
      <c r="AG367" s="91"/>
    </row>
    <row r="368" ht="15.75" customHeight="1">
      <c r="B368" s="3"/>
      <c r="C368" s="3"/>
      <c r="H368" s="3"/>
      <c r="AG368" s="91"/>
    </row>
    <row r="369" ht="15.75" customHeight="1">
      <c r="B369" s="3"/>
      <c r="C369" s="3"/>
      <c r="H369" s="3"/>
      <c r="AG369" s="91"/>
    </row>
    <row r="370" ht="15.75" customHeight="1">
      <c r="B370" s="3"/>
      <c r="C370" s="3"/>
      <c r="H370" s="3"/>
      <c r="AG370" s="91"/>
    </row>
    <row r="371" ht="15.75" customHeight="1">
      <c r="B371" s="3"/>
      <c r="C371" s="3"/>
      <c r="H371" s="3"/>
      <c r="AG371" s="91"/>
    </row>
    <row r="372" ht="15.75" customHeight="1">
      <c r="B372" s="3"/>
      <c r="C372" s="3"/>
      <c r="H372" s="3"/>
      <c r="AG372" s="91"/>
    </row>
    <row r="373" ht="15.75" customHeight="1">
      <c r="B373" s="3"/>
      <c r="C373" s="3"/>
      <c r="H373" s="3"/>
      <c r="AG373" s="91"/>
    </row>
    <row r="374" ht="15.75" customHeight="1">
      <c r="B374" s="3"/>
      <c r="C374" s="3"/>
      <c r="H374" s="3"/>
      <c r="AG374" s="91"/>
    </row>
    <row r="375" ht="15.75" customHeight="1">
      <c r="B375" s="3"/>
      <c r="C375" s="3"/>
      <c r="H375" s="3"/>
      <c r="AG375" s="91"/>
    </row>
    <row r="376" ht="15.75" customHeight="1">
      <c r="B376" s="3"/>
      <c r="C376" s="3"/>
      <c r="H376" s="3"/>
      <c r="AG376" s="91"/>
    </row>
    <row r="377" ht="15.75" customHeight="1">
      <c r="B377" s="3"/>
      <c r="C377" s="3"/>
      <c r="H377" s="3"/>
      <c r="AG377" s="91"/>
    </row>
    <row r="378" ht="15.75" customHeight="1">
      <c r="B378" s="3"/>
      <c r="C378" s="3"/>
      <c r="H378" s="3"/>
      <c r="AG378" s="91"/>
    </row>
    <row r="379" ht="15.75" customHeight="1">
      <c r="B379" s="3"/>
      <c r="C379" s="3"/>
      <c r="H379" s="3"/>
      <c r="AG379" s="91"/>
    </row>
    <row r="380" ht="15.75" customHeight="1">
      <c r="B380" s="3"/>
      <c r="C380" s="3"/>
      <c r="H380" s="3"/>
      <c r="AG380" s="91"/>
    </row>
    <row r="381" ht="15.75" customHeight="1">
      <c r="B381" s="3"/>
      <c r="C381" s="3"/>
      <c r="H381" s="3"/>
      <c r="AG381" s="91"/>
    </row>
    <row r="382" ht="15.75" customHeight="1">
      <c r="B382" s="3"/>
      <c r="C382" s="3"/>
      <c r="H382" s="3"/>
      <c r="AG382" s="91"/>
    </row>
    <row r="383" ht="15.75" customHeight="1">
      <c r="B383" s="3"/>
      <c r="C383" s="3"/>
      <c r="H383" s="3"/>
      <c r="AG383" s="91"/>
    </row>
    <row r="384" ht="15.75" customHeight="1">
      <c r="B384" s="3"/>
      <c r="C384" s="3"/>
      <c r="H384" s="3"/>
      <c r="AG384" s="91"/>
    </row>
    <row r="385" ht="15.75" customHeight="1">
      <c r="B385" s="3"/>
      <c r="C385" s="3"/>
      <c r="H385" s="3"/>
      <c r="AG385" s="91"/>
    </row>
    <row r="386" ht="15.75" customHeight="1">
      <c r="B386" s="3"/>
      <c r="C386" s="3"/>
      <c r="H386" s="3"/>
      <c r="AG386" s="91"/>
    </row>
    <row r="387" ht="15.75" customHeight="1">
      <c r="B387" s="3"/>
      <c r="C387" s="3"/>
      <c r="H387" s="3"/>
      <c r="AG387" s="91"/>
    </row>
    <row r="388" ht="15.75" customHeight="1">
      <c r="B388" s="3"/>
      <c r="C388" s="3"/>
      <c r="H388" s="3"/>
      <c r="AG388" s="91"/>
    </row>
    <row r="389" ht="15.75" customHeight="1">
      <c r="B389" s="3"/>
      <c r="C389" s="3"/>
      <c r="H389" s="3"/>
      <c r="AG389" s="91"/>
    </row>
    <row r="390" ht="15.75" customHeight="1">
      <c r="B390" s="3"/>
      <c r="C390" s="3"/>
      <c r="H390" s="3"/>
      <c r="AG390" s="91"/>
    </row>
    <row r="391" ht="15.75" customHeight="1">
      <c r="B391" s="3"/>
      <c r="C391" s="3"/>
      <c r="H391" s="3"/>
      <c r="AG391" s="91"/>
    </row>
    <row r="392" ht="15.75" customHeight="1">
      <c r="B392" s="3"/>
      <c r="C392" s="3"/>
      <c r="H392" s="3"/>
      <c r="AG392" s="91"/>
    </row>
    <row r="393" ht="15.75" customHeight="1">
      <c r="B393" s="3"/>
      <c r="C393" s="3"/>
      <c r="H393" s="3"/>
      <c r="AG393" s="91"/>
    </row>
    <row r="394" ht="15.75" customHeight="1">
      <c r="B394" s="3"/>
      <c r="C394" s="3"/>
      <c r="H394" s="3"/>
      <c r="AG394" s="91"/>
    </row>
    <row r="395" ht="15.75" customHeight="1">
      <c r="B395" s="3"/>
      <c r="C395" s="3"/>
      <c r="H395" s="3"/>
      <c r="AG395" s="91"/>
    </row>
    <row r="396" ht="15.75" customHeight="1">
      <c r="B396" s="3"/>
      <c r="C396" s="3"/>
      <c r="H396" s="3"/>
      <c r="AG396" s="91"/>
    </row>
    <row r="397" ht="15.75" customHeight="1">
      <c r="B397" s="3"/>
      <c r="C397" s="3"/>
      <c r="H397" s="3"/>
      <c r="AG397" s="91"/>
    </row>
    <row r="398" ht="15.75" customHeight="1">
      <c r="B398" s="3"/>
      <c r="C398" s="3"/>
      <c r="H398" s="3"/>
      <c r="AG398" s="91"/>
    </row>
    <row r="399" ht="15.75" customHeight="1">
      <c r="B399" s="3"/>
      <c r="C399" s="3"/>
      <c r="H399" s="3"/>
      <c r="AG399" s="91"/>
    </row>
    <row r="400" ht="15.75" customHeight="1">
      <c r="B400" s="3"/>
      <c r="C400" s="3"/>
      <c r="H400" s="3"/>
      <c r="AG400" s="91"/>
    </row>
    <row r="401" ht="15.75" customHeight="1">
      <c r="B401" s="3"/>
      <c r="C401" s="3"/>
      <c r="H401" s="3"/>
      <c r="AG401" s="91"/>
    </row>
    <row r="402" ht="15.75" customHeight="1">
      <c r="B402" s="3"/>
      <c r="C402" s="3"/>
      <c r="H402" s="3"/>
      <c r="AG402" s="91"/>
    </row>
    <row r="403" ht="15.75" customHeight="1">
      <c r="B403" s="3"/>
      <c r="C403" s="3"/>
      <c r="H403" s="3"/>
      <c r="AG403" s="91"/>
    </row>
    <row r="404" ht="15.75" customHeight="1">
      <c r="B404" s="3"/>
      <c r="C404" s="3"/>
      <c r="H404" s="3"/>
      <c r="AG404" s="91"/>
    </row>
    <row r="405" ht="15.75" customHeight="1">
      <c r="B405" s="3"/>
      <c r="C405" s="3"/>
      <c r="H405" s="3"/>
      <c r="AG405" s="91"/>
    </row>
    <row r="406" ht="15.75" customHeight="1">
      <c r="B406" s="3"/>
      <c r="C406" s="3"/>
      <c r="H406" s="3"/>
      <c r="AG406" s="91"/>
    </row>
    <row r="407" ht="15.75" customHeight="1">
      <c r="B407" s="3"/>
      <c r="C407" s="3"/>
      <c r="H407" s="3"/>
      <c r="AG407" s="91"/>
    </row>
    <row r="408" ht="15.75" customHeight="1">
      <c r="B408" s="3"/>
      <c r="C408" s="3"/>
      <c r="H408" s="3"/>
      <c r="AG408" s="91"/>
    </row>
    <row r="409" ht="15.75" customHeight="1">
      <c r="B409" s="3"/>
      <c r="C409" s="3"/>
      <c r="H409" s="3"/>
      <c r="AG409" s="91"/>
    </row>
    <row r="410" ht="15.75" customHeight="1">
      <c r="B410" s="3"/>
      <c r="C410" s="3"/>
      <c r="H410" s="3"/>
      <c r="AG410" s="91"/>
    </row>
    <row r="411" ht="15.75" customHeight="1">
      <c r="B411" s="3"/>
      <c r="C411" s="3"/>
      <c r="H411" s="3"/>
      <c r="AG411" s="91"/>
    </row>
    <row r="412" ht="15.75" customHeight="1">
      <c r="B412" s="3"/>
      <c r="C412" s="3"/>
      <c r="H412" s="3"/>
      <c r="AG412" s="91"/>
    </row>
    <row r="413" ht="15.75" customHeight="1">
      <c r="B413" s="3"/>
      <c r="C413" s="3"/>
      <c r="H413" s="3"/>
      <c r="AG413" s="91"/>
    </row>
    <row r="414" ht="15.75" customHeight="1">
      <c r="B414" s="3"/>
      <c r="C414" s="3"/>
      <c r="H414" s="3"/>
      <c r="AG414" s="91"/>
    </row>
    <row r="415" ht="15.75" customHeight="1">
      <c r="B415" s="3"/>
      <c r="C415" s="3"/>
      <c r="H415" s="3"/>
      <c r="AG415" s="91"/>
    </row>
    <row r="416" ht="15.75" customHeight="1">
      <c r="B416" s="3"/>
      <c r="C416" s="3"/>
      <c r="H416" s="3"/>
      <c r="AG416" s="91"/>
    </row>
    <row r="417" ht="15.75" customHeight="1">
      <c r="B417" s="3"/>
      <c r="C417" s="3"/>
      <c r="H417" s="3"/>
      <c r="AG417" s="91"/>
    </row>
    <row r="418" ht="15.75" customHeight="1">
      <c r="B418" s="3"/>
      <c r="C418" s="3"/>
      <c r="H418" s="3"/>
      <c r="AG418" s="91"/>
    </row>
    <row r="419" ht="15.75" customHeight="1">
      <c r="B419" s="3"/>
      <c r="C419" s="3"/>
      <c r="H419" s="3"/>
      <c r="AG419" s="91"/>
    </row>
    <row r="420" ht="15.75" customHeight="1">
      <c r="B420" s="3"/>
      <c r="C420" s="3"/>
      <c r="H420" s="3"/>
      <c r="AG420" s="91"/>
    </row>
    <row r="421" ht="15.75" customHeight="1">
      <c r="B421" s="3"/>
      <c r="C421" s="3"/>
      <c r="H421" s="3"/>
      <c r="AG421" s="91"/>
    </row>
    <row r="422" ht="15.75" customHeight="1">
      <c r="B422" s="3"/>
      <c r="C422" s="3"/>
      <c r="H422" s="3"/>
      <c r="AG422" s="91"/>
    </row>
    <row r="423" ht="15.75" customHeight="1">
      <c r="B423" s="3"/>
      <c r="C423" s="3"/>
      <c r="H423" s="3"/>
      <c r="AG423" s="91"/>
    </row>
    <row r="424" ht="15.75" customHeight="1">
      <c r="B424" s="3"/>
      <c r="C424" s="3"/>
      <c r="H424" s="3"/>
      <c r="AG424" s="91"/>
    </row>
    <row r="425" ht="15.75" customHeight="1">
      <c r="B425" s="3"/>
      <c r="C425" s="3"/>
      <c r="H425" s="3"/>
      <c r="AG425" s="91"/>
    </row>
    <row r="426" ht="15.75" customHeight="1">
      <c r="B426" s="3"/>
      <c r="C426" s="3"/>
      <c r="H426" s="3"/>
      <c r="AG426" s="91"/>
    </row>
    <row r="427" ht="15.75" customHeight="1">
      <c r="B427" s="3"/>
      <c r="C427" s="3"/>
      <c r="H427" s="3"/>
      <c r="AG427" s="91"/>
    </row>
    <row r="428" ht="15.75" customHeight="1">
      <c r="B428" s="3"/>
      <c r="C428" s="3"/>
      <c r="H428" s="3"/>
      <c r="AG428" s="91"/>
    </row>
    <row r="429" ht="15.75" customHeight="1">
      <c r="B429" s="3"/>
      <c r="C429" s="3"/>
      <c r="H429" s="3"/>
      <c r="AG429" s="91"/>
    </row>
    <row r="430" ht="15.75" customHeight="1">
      <c r="B430" s="3"/>
      <c r="C430" s="3"/>
      <c r="H430" s="3"/>
      <c r="AG430" s="91"/>
    </row>
    <row r="431" ht="15.75" customHeight="1">
      <c r="B431" s="3"/>
      <c r="C431" s="3"/>
      <c r="H431" s="3"/>
      <c r="AG431" s="91"/>
    </row>
    <row r="432" ht="15.75" customHeight="1">
      <c r="B432" s="3"/>
      <c r="C432" s="3"/>
      <c r="H432" s="3"/>
      <c r="AG432" s="91"/>
    </row>
    <row r="433" ht="15.75" customHeight="1">
      <c r="B433" s="3"/>
      <c r="C433" s="3"/>
      <c r="H433" s="3"/>
      <c r="AG433" s="91"/>
    </row>
    <row r="434" ht="15.75" customHeight="1">
      <c r="B434" s="3"/>
      <c r="C434" s="3"/>
      <c r="H434" s="3"/>
      <c r="AG434" s="91"/>
    </row>
    <row r="435" ht="15.75" customHeight="1">
      <c r="B435" s="3"/>
      <c r="C435" s="3"/>
      <c r="H435" s="3"/>
      <c r="AG435" s="91"/>
    </row>
    <row r="436" ht="15.75" customHeight="1">
      <c r="B436" s="3"/>
      <c r="C436" s="3"/>
      <c r="H436" s="3"/>
      <c r="AG436" s="91"/>
    </row>
    <row r="437" ht="15.75" customHeight="1">
      <c r="B437" s="3"/>
      <c r="C437" s="3"/>
      <c r="H437" s="3"/>
      <c r="AG437" s="91"/>
    </row>
    <row r="438" ht="15.75" customHeight="1">
      <c r="B438" s="3"/>
      <c r="C438" s="3"/>
      <c r="H438" s="3"/>
      <c r="AG438" s="91"/>
    </row>
    <row r="439" ht="15.75" customHeight="1">
      <c r="B439" s="3"/>
      <c r="C439" s="3"/>
      <c r="H439" s="3"/>
      <c r="AG439" s="91"/>
    </row>
    <row r="440" ht="15.75" customHeight="1">
      <c r="B440" s="3"/>
      <c r="C440" s="3"/>
      <c r="H440" s="3"/>
      <c r="AG440" s="91"/>
    </row>
    <row r="441" ht="15.75" customHeight="1">
      <c r="B441" s="3"/>
      <c r="C441" s="3"/>
      <c r="H441" s="3"/>
      <c r="AG441" s="91"/>
    </row>
    <row r="442" ht="15.75" customHeight="1">
      <c r="B442" s="3"/>
      <c r="C442" s="3"/>
      <c r="H442" s="3"/>
      <c r="AG442" s="91"/>
    </row>
    <row r="443" ht="15.75" customHeight="1">
      <c r="B443" s="3"/>
      <c r="C443" s="3"/>
      <c r="H443" s="3"/>
      <c r="AG443" s="91"/>
    </row>
    <row r="444" ht="15.75" customHeight="1">
      <c r="B444" s="3"/>
      <c r="C444" s="3"/>
      <c r="H444" s="3"/>
      <c r="AG444" s="91"/>
    </row>
    <row r="445" ht="15.75" customHeight="1">
      <c r="B445" s="3"/>
      <c r="C445" s="3"/>
      <c r="H445" s="3"/>
      <c r="AG445" s="91"/>
    </row>
    <row r="446" ht="15.75" customHeight="1">
      <c r="B446" s="3"/>
      <c r="C446" s="3"/>
      <c r="H446" s="3"/>
      <c r="AG446" s="91"/>
    </row>
    <row r="447" ht="15.75" customHeight="1">
      <c r="B447" s="3"/>
      <c r="C447" s="3"/>
      <c r="H447" s="3"/>
      <c r="AG447" s="91"/>
    </row>
    <row r="448" ht="15.75" customHeight="1">
      <c r="B448" s="3"/>
      <c r="C448" s="3"/>
      <c r="H448" s="3"/>
      <c r="AG448" s="91"/>
    </row>
    <row r="449" ht="15.75" customHeight="1">
      <c r="B449" s="3"/>
      <c r="C449" s="3"/>
      <c r="H449" s="3"/>
      <c r="AG449" s="91"/>
    </row>
    <row r="450" ht="15.75" customHeight="1">
      <c r="B450" s="3"/>
      <c r="C450" s="3"/>
      <c r="H450" s="3"/>
      <c r="AG450" s="91"/>
    </row>
    <row r="451" ht="15.75" customHeight="1">
      <c r="B451" s="3"/>
      <c r="C451" s="3"/>
      <c r="H451" s="3"/>
      <c r="AG451" s="91"/>
    </row>
    <row r="452" ht="15.75" customHeight="1">
      <c r="B452" s="3"/>
      <c r="C452" s="3"/>
      <c r="H452" s="3"/>
      <c r="AG452" s="91"/>
    </row>
    <row r="453" ht="15.75" customHeight="1">
      <c r="B453" s="3"/>
      <c r="C453" s="3"/>
      <c r="H453" s="3"/>
      <c r="AG453" s="91"/>
    </row>
    <row r="454" ht="15.75" customHeight="1">
      <c r="B454" s="3"/>
      <c r="C454" s="3"/>
      <c r="H454" s="3"/>
      <c r="AG454" s="91"/>
    </row>
    <row r="455" ht="15.75" customHeight="1">
      <c r="B455" s="3"/>
      <c r="C455" s="3"/>
      <c r="H455" s="3"/>
      <c r="AG455" s="91"/>
    </row>
    <row r="456" ht="15.75" customHeight="1">
      <c r="B456" s="3"/>
      <c r="C456" s="3"/>
      <c r="H456" s="3"/>
      <c r="AG456" s="91"/>
    </row>
    <row r="457" ht="15.75" customHeight="1">
      <c r="B457" s="3"/>
      <c r="C457" s="3"/>
      <c r="H457" s="3"/>
      <c r="AG457" s="91"/>
    </row>
    <row r="458" ht="15.75" customHeight="1">
      <c r="B458" s="3"/>
      <c r="C458" s="3"/>
      <c r="H458" s="3"/>
      <c r="AG458" s="91"/>
    </row>
    <row r="459" ht="15.75" customHeight="1">
      <c r="B459" s="3"/>
      <c r="C459" s="3"/>
      <c r="H459" s="3"/>
      <c r="AG459" s="91"/>
    </row>
    <row r="460" ht="15.75" customHeight="1">
      <c r="B460" s="3"/>
      <c r="C460" s="3"/>
      <c r="H460" s="3"/>
      <c r="AG460" s="91"/>
    </row>
    <row r="461" ht="15.75" customHeight="1">
      <c r="B461" s="3"/>
      <c r="C461" s="3"/>
      <c r="H461" s="3"/>
      <c r="AG461" s="91"/>
    </row>
    <row r="462" ht="15.75" customHeight="1">
      <c r="B462" s="3"/>
      <c r="C462" s="3"/>
      <c r="H462" s="3"/>
      <c r="AG462" s="91"/>
    </row>
    <row r="463" ht="15.75" customHeight="1">
      <c r="B463" s="3"/>
      <c r="C463" s="3"/>
      <c r="H463" s="3"/>
      <c r="AG463" s="91"/>
    </row>
    <row r="464" ht="15.75" customHeight="1">
      <c r="B464" s="3"/>
      <c r="C464" s="3"/>
      <c r="H464" s="3"/>
      <c r="AG464" s="91"/>
    </row>
    <row r="465" ht="15.75" customHeight="1">
      <c r="B465" s="3"/>
      <c r="C465" s="3"/>
      <c r="H465" s="3"/>
      <c r="AG465" s="91"/>
    </row>
    <row r="466" ht="15.75" customHeight="1">
      <c r="B466" s="3"/>
      <c r="C466" s="3"/>
      <c r="H466" s="3"/>
      <c r="AG466" s="91"/>
    </row>
    <row r="467" ht="15.75" customHeight="1">
      <c r="B467" s="3"/>
      <c r="C467" s="3"/>
      <c r="H467" s="3"/>
      <c r="AG467" s="91"/>
    </row>
    <row r="468" ht="15.75" customHeight="1">
      <c r="B468" s="3"/>
      <c r="C468" s="3"/>
      <c r="H468" s="3"/>
      <c r="AG468" s="91"/>
    </row>
    <row r="469" ht="15.75" customHeight="1">
      <c r="B469" s="3"/>
      <c r="C469" s="3"/>
      <c r="H469" s="3"/>
      <c r="AG469" s="91"/>
    </row>
    <row r="470" ht="15.75" customHeight="1">
      <c r="B470" s="3"/>
      <c r="C470" s="3"/>
      <c r="H470" s="3"/>
      <c r="AG470" s="91"/>
    </row>
    <row r="471" ht="15.75" customHeight="1">
      <c r="B471" s="3"/>
      <c r="C471" s="3"/>
      <c r="H471" s="3"/>
      <c r="AG471" s="91"/>
    </row>
    <row r="472" ht="15.75" customHeight="1">
      <c r="B472" s="3"/>
      <c r="C472" s="3"/>
      <c r="H472" s="3"/>
      <c r="AG472" s="91"/>
    </row>
    <row r="473" ht="15.75" customHeight="1">
      <c r="B473" s="3"/>
      <c r="C473" s="3"/>
      <c r="H473" s="3"/>
      <c r="AG473" s="91"/>
    </row>
    <row r="474" ht="15.75" customHeight="1">
      <c r="B474" s="3"/>
      <c r="C474" s="3"/>
      <c r="H474" s="3"/>
      <c r="AG474" s="91"/>
    </row>
    <row r="475" ht="15.75" customHeight="1">
      <c r="B475" s="3"/>
      <c r="C475" s="3"/>
      <c r="H475" s="3"/>
      <c r="AG475" s="91"/>
    </row>
    <row r="476" ht="15.75" customHeight="1">
      <c r="B476" s="3"/>
      <c r="C476" s="3"/>
      <c r="H476" s="3"/>
      <c r="AG476" s="91"/>
    </row>
    <row r="477" ht="15.75" customHeight="1">
      <c r="B477" s="3"/>
      <c r="C477" s="3"/>
      <c r="H477" s="3"/>
      <c r="AG477" s="91"/>
    </row>
    <row r="478" ht="15.75" customHeight="1">
      <c r="B478" s="3"/>
      <c r="C478" s="3"/>
      <c r="H478" s="3"/>
      <c r="AG478" s="91"/>
    </row>
    <row r="479" ht="15.75" customHeight="1">
      <c r="B479" s="3"/>
      <c r="C479" s="3"/>
      <c r="H479" s="3"/>
      <c r="AG479" s="91"/>
    </row>
    <row r="480" ht="15.75" customHeight="1">
      <c r="B480" s="3"/>
      <c r="C480" s="3"/>
      <c r="H480" s="3"/>
      <c r="AG480" s="91"/>
    </row>
    <row r="481" ht="15.75" customHeight="1">
      <c r="B481" s="3"/>
      <c r="C481" s="3"/>
      <c r="H481" s="3"/>
      <c r="AG481" s="91"/>
    </row>
    <row r="482" ht="15.75" customHeight="1">
      <c r="B482" s="3"/>
      <c r="C482" s="3"/>
      <c r="H482" s="3"/>
      <c r="AG482" s="91"/>
    </row>
    <row r="483" ht="15.75" customHeight="1">
      <c r="B483" s="3"/>
      <c r="C483" s="3"/>
      <c r="H483" s="3"/>
      <c r="AG483" s="91"/>
    </row>
    <row r="484" ht="15.75" customHeight="1">
      <c r="B484" s="3"/>
      <c r="C484" s="3"/>
      <c r="H484" s="3"/>
      <c r="AG484" s="91"/>
    </row>
    <row r="485" ht="15.75" customHeight="1">
      <c r="B485" s="3"/>
      <c r="C485" s="3"/>
      <c r="H485" s="3"/>
      <c r="AG485" s="91"/>
    </row>
    <row r="486" ht="15.75" customHeight="1">
      <c r="B486" s="3"/>
      <c r="C486" s="3"/>
      <c r="H486" s="3"/>
      <c r="AG486" s="91"/>
    </row>
    <row r="487" ht="15.75" customHeight="1">
      <c r="B487" s="3"/>
      <c r="C487" s="3"/>
      <c r="H487" s="3"/>
      <c r="AG487" s="91"/>
    </row>
    <row r="488" ht="15.75" customHeight="1">
      <c r="B488" s="3"/>
      <c r="C488" s="3"/>
      <c r="H488" s="3"/>
      <c r="AG488" s="91"/>
    </row>
    <row r="489" ht="15.75" customHeight="1">
      <c r="B489" s="3"/>
      <c r="C489" s="3"/>
      <c r="H489" s="3"/>
      <c r="AG489" s="91"/>
    </row>
    <row r="490" ht="15.75" customHeight="1">
      <c r="B490" s="3"/>
      <c r="C490" s="3"/>
      <c r="H490" s="3"/>
      <c r="AG490" s="91"/>
    </row>
    <row r="491" ht="15.75" customHeight="1">
      <c r="B491" s="3"/>
      <c r="C491" s="3"/>
      <c r="H491" s="3"/>
      <c r="AG491" s="91"/>
    </row>
    <row r="492" ht="15.75" customHeight="1">
      <c r="B492" s="3"/>
      <c r="C492" s="3"/>
      <c r="H492" s="3"/>
      <c r="AG492" s="91"/>
    </row>
    <row r="493" ht="15.75" customHeight="1">
      <c r="B493" s="3"/>
      <c r="C493" s="3"/>
      <c r="H493" s="3"/>
      <c r="AG493" s="91"/>
    </row>
    <row r="494" ht="15.75" customHeight="1">
      <c r="B494" s="3"/>
      <c r="C494" s="3"/>
      <c r="H494" s="3"/>
      <c r="AG494" s="91"/>
    </row>
    <row r="495" ht="15.75" customHeight="1">
      <c r="B495" s="3"/>
      <c r="C495" s="3"/>
      <c r="H495" s="3"/>
      <c r="AG495" s="91"/>
    </row>
    <row r="496" ht="15.75" customHeight="1">
      <c r="B496" s="3"/>
      <c r="C496" s="3"/>
      <c r="H496" s="3"/>
      <c r="AG496" s="91"/>
    </row>
    <row r="497" ht="15.75" customHeight="1">
      <c r="B497" s="3"/>
      <c r="C497" s="3"/>
      <c r="H497" s="3"/>
      <c r="AG497" s="91"/>
    </row>
    <row r="498" ht="15.75" customHeight="1">
      <c r="B498" s="3"/>
      <c r="C498" s="3"/>
      <c r="H498" s="3"/>
      <c r="AG498" s="91"/>
    </row>
    <row r="499" ht="15.75" customHeight="1">
      <c r="B499" s="3"/>
      <c r="C499" s="3"/>
      <c r="H499" s="3"/>
      <c r="AG499" s="91"/>
    </row>
    <row r="500" ht="15.75" customHeight="1">
      <c r="B500" s="3"/>
      <c r="C500" s="3"/>
      <c r="H500" s="3"/>
      <c r="AG500" s="91"/>
    </row>
    <row r="501" ht="15.75" customHeight="1">
      <c r="B501" s="3"/>
      <c r="C501" s="3"/>
      <c r="H501" s="3"/>
      <c r="AG501" s="91"/>
    </row>
    <row r="502" ht="15.75" customHeight="1">
      <c r="B502" s="3"/>
      <c r="C502" s="3"/>
      <c r="H502" s="3"/>
      <c r="AG502" s="91"/>
    </row>
    <row r="503" ht="15.75" customHeight="1">
      <c r="B503" s="3"/>
      <c r="C503" s="3"/>
      <c r="H503" s="3"/>
      <c r="AG503" s="91"/>
    </row>
    <row r="504" ht="15.75" customHeight="1">
      <c r="B504" s="3"/>
      <c r="C504" s="3"/>
      <c r="H504" s="3"/>
      <c r="AG504" s="91"/>
    </row>
    <row r="505" ht="15.75" customHeight="1">
      <c r="B505" s="3"/>
      <c r="C505" s="3"/>
      <c r="H505" s="3"/>
      <c r="AG505" s="91"/>
    </row>
    <row r="506" ht="15.75" customHeight="1">
      <c r="B506" s="3"/>
      <c r="C506" s="3"/>
      <c r="H506" s="3"/>
      <c r="AG506" s="91"/>
    </row>
    <row r="507" ht="15.75" customHeight="1">
      <c r="B507" s="3"/>
      <c r="C507" s="3"/>
      <c r="H507" s="3"/>
      <c r="AG507" s="91"/>
    </row>
    <row r="508" ht="15.75" customHeight="1">
      <c r="B508" s="3"/>
      <c r="C508" s="3"/>
      <c r="H508" s="3"/>
      <c r="AG508" s="91"/>
    </row>
    <row r="509" ht="15.75" customHeight="1">
      <c r="B509" s="3"/>
      <c r="C509" s="3"/>
      <c r="H509" s="3"/>
      <c r="AG509" s="91"/>
    </row>
    <row r="510" ht="15.75" customHeight="1">
      <c r="B510" s="3"/>
      <c r="C510" s="3"/>
      <c r="H510" s="3"/>
      <c r="AG510" s="91"/>
    </row>
    <row r="511" ht="15.75" customHeight="1">
      <c r="B511" s="3"/>
      <c r="C511" s="3"/>
      <c r="H511" s="3"/>
      <c r="AG511" s="91"/>
    </row>
    <row r="512" ht="15.75" customHeight="1">
      <c r="B512" s="3"/>
      <c r="C512" s="3"/>
      <c r="H512" s="3"/>
      <c r="AG512" s="91"/>
    </row>
    <row r="513" ht="15.75" customHeight="1">
      <c r="B513" s="3"/>
      <c r="C513" s="3"/>
      <c r="H513" s="3"/>
      <c r="AG513" s="91"/>
    </row>
    <row r="514" ht="15.75" customHeight="1">
      <c r="B514" s="3"/>
      <c r="C514" s="3"/>
      <c r="H514" s="3"/>
      <c r="AG514" s="91"/>
    </row>
    <row r="515" ht="15.75" customHeight="1">
      <c r="B515" s="3"/>
      <c r="C515" s="3"/>
      <c r="H515" s="3"/>
      <c r="AG515" s="91"/>
    </row>
    <row r="516" ht="15.75" customHeight="1">
      <c r="B516" s="3"/>
      <c r="C516" s="3"/>
      <c r="H516" s="3"/>
      <c r="AG516" s="91"/>
    </row>
    <row r="517" ht="15.75" customHeight="1">
      <c r="B517" s="3"/>
      <c r="C517" s="3"/>
      <c r="H517" s="3"/>
      <c r="AG517" s="91"/>
    </row>
    <row r="518" ht="15.75" customHeight="1">
      <c r="B518" s="3"/>
      <c r="C518" s="3"/>
      <c r="H518" s="3"/>
      <c r="AG518" s="91"/>
    </row>
    <row r="519" ht="15.75" customHeight="1">
      <c r="B519" s="3"/>
      <c r="C519" s="3"/>
      <c r="H519" s="3"/>
      <c r="AG519" s="91"/>
    </row>
    <row r="520" ht="15.75" customHeight="1">
      <c r="B520" s="3"/>
      <c r="C520" s="3"/>
      <c r="H520" s="3"/>
      <c r="AG520" s="91"/>
    </row>
    <row r="521" ht="15.75" customHeight="1">
      <c r="B521" s="3"/>
      <c r="C521" s="3"/>
      <c r="H521" s="3"/>
      <c r="AG521" s="91"/>
    </row>
    <row r="522" ht="15.75" customHeight="1">
      <c r="B522" s="3"/>
      <c r="C522" s="3"/>
      <c r="H522" s="3"/>
      <c r="AG522" s="91"/>
    </row>
    <row r="523" ht="15.75" customHeight="1">
      <c r="B523" s="3"/>
      <c r="C523" s="3"/>
      <c r="H523" s="3"/>
      <c r="AG523" s="91"/>
    </row>
    <row r="524" ht="15.75" customHeight="1">
      <c r="B524" s="3"/>
      <c r="C524" s="3"/>
      <c r="H524" s="3"/>
      <c r="AG524" s="91"/>
    </row>
    <row r="525" ht="15.75" customHeight="1">
      <c r="B525" s="3"/>
      <c r="C525" s="3"/>
      <c r="H525" s="3"/>
      <c r="AG525" s="91"/>
    </row>
    <row r="526" ht="15.75" customHeight="1">
      <c r="B526" s="3"/>
      <c r="C526" s="3"/>
      <c r="H526" s="3"/>
      <c r="AG526" s="91"/>
    </row>
    <row r="527" ht="15.75" customHeight="1">
      <c r="B527" s="3"/>
      <c r="C527" s="3"/>
      <c r="H527" s="3"/>
      <c r="AG527" s="91"/>
    </row>
    <row r="528" ht="15.75" customHeight="1">
      <c r="B528" s="3"/>
      <c r="C528" s="3"/>
      <c r="H528" s="3"/>
      <c r="AG528" s="91"/>
    </row>
    <row r="529" ht="15.75" customHeight="1">
      <c r="B529" s="3"/>
      <c r="C529" s="3"/>
      <c r="H529" s="3"/>
      <c r="AG529" s="91"/>
    </row>
    <row r="530" ht="15.75" customHeight="1">
      <c r="B530" s="3"/>
      <c r="C530" s="3"/>
      <c r="H530" s="3"/>
      <c r="AG530" s="91"/>
    </row>
    <row r="531" ht="15.75" customHeight="1">
      <c r="B531" s="3"/>
      <c r="C531" s="3"/>
      <c r="H531" s="3"/>
      <c r="AG531" s="91"/>
    </row>
    <row r="532" ht="15.75" customHeight="1">
      <c r="B532" s="3"/>
      <c r="C532" s="3"/>
      <c r="H532" s="3"/>
      <c r="AG532" s="91"/>
    </row>
    <row r="533" ht="15.75" customHeight="1">
      <c r="B533" s="3"/>
      <c r="C533" s="3"/>
      <c r="H533" s="3"/>
      <c r="AG533" s="91"/>
    </row>
    <row r="534" ht="15.75" customHeight="1">
      <c r="B534" s="3"/>
      <c r="C534" s="3"/>
      <c r="H534" s="3"/>
      <c r="AG534" s="91"/>
    </row>
    <row r="535" ht="15.75" customHeight="1">
      <c r="B535" s="3"/>
      <c r="C535" s="3"/>
      <c r="H535" s="3"/>
      <c r="AG535" s="91"/>
    </row>
    <row r="536" ht="15.75" customHeight="1">
      <c r="B536" s="3"/>
      <c r="C536" s="3"/>
      <c r="H536" s="3"/>
      <c r="AG536" s="91"/>
    </row>
    <row r="537" ht="15.75" customHeight="1">
      <c r="B537" s="3"/>
      <c r="C537" s="3"/>
      <c r="H537" s="3"/>
      <c r="AG537" s="91"/>
    </row>
    <row r="538" ht="15.75" customHeight="1">
      <c r="B538" s="3"/>
      <c r="C538" s="3"/>
      <c r="H538" s="3"/>
      <c r="AG538" s="91"/>
    </row>
    <row r="539" ht="15.75" customHeight="1">
      <c r="B539" s="3"/>
      <c r="C539" s="3"/>
      <c r="H539" s="3"/>
      <c r="AG539" s="91"/>
    </row>
    <row r="540" ht="15.75" customHeight="1">
      <c r="B540" s="3"/>
      <c r="C540" s="3"/>
      <c r="H540" s="3"/>
      <c r="AG540" s="91"/>
    </row>
    <row r="541" ht="15.75" customHeight="1">
      <c r="B541" s="3"/>
      <c r="C541" s="3"/>
      <c r="H541" s="3"/>
      <c r="AG541" s="91"/>
    </row>
    <row r="542" ht="15.75" customHeight="1">
      <c r="B542" s="3"/>
      <c r="C542" s="3"/>
      <c r="H542" s="3"/>
      <c r="AG542" s="91"/>
    </row>
    <row r="543" ht="15.75" customHeight="1">
      <c r="B543" s="3"/>
      <c r="C543" s="3"/>
      <c r="H543" s="3"/>
      <c r="AG543" s="91"/>
    </row>
    <row r="544" ht="15.75" customHeight="1">
      <c r="B544" s="3"/>
      <c r="C544" s="3"/>
      <c r="H544" s="3"/>
      <c r="AG544" s="91"/>
    </row>
    <row r="545" ht="15.75" customHeight="1">
      <c r="B545" s="3"/>
      <c r="C545" s="3"/>
      <c r="H545" s="3"/>
      <c r="AG545" s="91"/>
    </row>
    <row r="546" ht="15.75" customHeight="1">
      <c r="B546" s="3"/>
      <c r="C546" s="3"/>
      <c r="H546" s="3"/>
      <c r="AG546" s="91"/>
    </row>
    <row r="547" ht="15.75" customHeight="1">
      <c r="B547" s="3"/>
      <c r="C547" s="3"/>
      <c r="H547" s="3"/>
      <c r="AG547" s="91"/>
    </row>
    <row r="548" ht="15.75" customHeight="1">
      <c r="B548" s="3"/>
      <c r="C548" s="3"/>
      <c r="H548" s="3"/>
      <c r="AG548" s="91"/>
    </row>
    <row r="549" ht="15.75" customHeight="1">
      <c r="B549" s="3"/>
      <c r="C549" s="3"/>
      <c r="H549" s="3"/>
      <c r="AG549" s="91"/>
    </row>
    <row r="550" ht="15.75" customHeight="1">
      <c r="B550" s="3"/>
      <c r="C550" s="3"/>
      <c r="H550" s="3"/>
      <c r="AG550" s="91"/>
    </row>
    <row r="551" ht="15.75" customHeight="1">
      <c r="B551" s="3"/>
      <c r="C551" s="3"/>
      <c r="H551" s="3"/>
      <c r="AG551" s="91"/>
    </row>
    <row r="552" ht="15.75" customHeight="1">
      <c r="B552" s="3"/>
      <c r="C552" s="3"/>
      <c r="H552" s="3"/>
      <c r="AG552" s="91"/>
    </row>
    <row r="553" ht="15.75" customHeight="1">
      <c r="B553" s="3"/>
      <c r="C553" s="3"/>
      <c r="H553" s="3"/>
      <c r="AG553" s="91"/>
    </row>
    <row r="554" ht="15.75" customHeight="1">
      <c r="B554" s="3"/>
      <c r="C554" s="3"/>
      <c r="H554" s="3"/>
      <c r="AG554" s="91"/>
    </row>
    <row r="555" ht="15.75" customHeight="1">
      <c r="B555" s="3"/>
      <c r="C555" s="3"/>
      <c r="H555" s="3"/>
      <c r="AG555" s="91"/>
    </row>
    <row r="556" ht="15.75" customHeight="1">
      <c r="B556" s="3"/>
      <c r="C556" s="3"/>
      <c r="H556" s="3"/>
      <c r="AG556" s="91"/>
    </row>
    <row r="557" ht="15.75" customHeight="1">
      <c r="B557" s="3"/>
      <c r="C557" s="3"/>
      <c r="H557" s="3"/>
      <c r="AG557" s="91"/>
    </row>
    <row r="558" ht="15.75" customHeight="1">
      <c r="B558" s="3"/>
      <c r="C558" s="3"/>
      <c r="H558" s="3"/>
      <c r="AG558" s="91"/>
    </row>
    <row r="559" ht="15.75" customHeight="1">
      <c r="B559" s="3"/>
      <c r="C559" s="3"/>
      <c r="H559" s="3"/>
      <c r="AG559" s="91"/>
    </row>
    <row r="560" ht="15.75" customHeight="1">
      <c r="B560" s="3"/>
      <c r="C560" s="3"/>
      <c r="H560" s="3"/>
      <c r="AG560" s="91"/>
    </row>
    <row r="561" ht="15.75" customHeight="1">
      <c r="B561" s="3"/>
      <c r="C561" s="3"/>
      <c r="H561" s="3"/>
      <c r="AG561" s="91"/>
    </row>
    <row r="562" ht="15.75" customHeight="1">
      <c r="B562" s="3"/>
      <c r="C562" s="3"/>
      <c r="H562" s="3"/>
      <c r="AG562" s="91"/>
    </row>
    <row r="563" ht="15.75" customHeight="1">
      <c r="B563" s="3"/>
      <c r="C563" s="3"/>
      <c r="H563" s="3"/>
      <c r="AG563" s="91"/>
    </row>
    <row r="564" ht="15.75" customHeight="1">
      <c r="B564" s="3"/>
      <c r="C564" s="3"/>
      <c r="H564" s="3"/>
      <c r="AG564" s="91"/>
    </row>
    <row r="565" ht="15.75" customHeight="1">
      <c r="B565" s="3"/>
      <c r="C565" s="3"/>
      <c r="H565" s="3"/>
      <c r="AG565" s="91"/>
    </row>
    <row r="566" ht="15.75" customHeight="1">
      <c r="B566" s="3"/>
      <c r="C566" s="3"/>
      <c r="H566" s="3"/>
      <c r="AG566" s="91"/>
    </row>
    <row r="567" ht="15.75" customHeight="1">
      <c r="B567" s="3"/>
      <c r="C567" s="3"/>
      <c r="H567" s="3"/>
      <c r="AG567" s="91"/>
    </row>
    <row r="568" ht="15.75" customHeight="1">
      <c r="B568" s="3"/>
      <c r="C568" s="3"/>
      <c r="H568" s="3"/>
      <c r="AG568" s="91"/>
    </row>
    <row r="569" ht="15.75" customHeight="1">
      <c r="B569" s="3"/>
      <c r="C569" s="3"/>
      <c r="H569" s="3"/>
      <c r="AG569" s="91"/>
    </row>
    <row r="570" ht="15.75" customHeight="1">
      <c r="B570" s="3"/>
      <c r="C570" s="3"/>
      <c r="H570" s="3"/>
      <c r="AG570" s="91"/>
    </row>
    <row r="571" ht="15.75" customHeight="1">
      <c r="B571" s="3"/>
      <c r="C571" s="3"/>
      <c r="H571" s="3"/>
      <c r="AG571" s="91"/>
    </row>
    <row r="572" ht="15.75" customHeight="1">
      <c r="B572" s="3"/>
      <c r="C572" s="3"/>
      <c r="H572" s="3"/>
      <c r="AG572" s="91"/>
    </row>
    <row r="573" ht="15.75" customHeight="1">
      <c r="B573" s="3"/>
      <c r="C573" s="3"/>
      <c r="H573" s="3"/>
      <c r="AG573" s="91"/>
    </row>
    <row r="574" ht="15.75" customHeight="1">
      <c r="B574" s="3"/>
      <c r="C574" s="3"/>
      <c r="H574" s="3"/>
      <c r="AG574" s="91"/>
    </row>
    <row r="575" ht="15.75" customHeight="1">
      <c r="B575" s="3"/>
      <c r="C575" s="3"/>
      <c r="H575" s="3"/>
      <c r="AG575" s="91"/>
    </row>
    <row r="576" ht="15.75" customHeight="1">
      <c r="B576" s="3"/>
      <c r="C576" s="3"/>
      <c r="H576" s="3"/>
      <c r="AG576" s="91"/>
    </row>
    <row r="577" ht="15.75" customHeight="1">
      <c r="B577" s="3"/>
      <c r="C577" s="3"/>
      <c r="H577" s="3"/>
      <c r="AG577" s="91"/>
    </row>
    <row r="578" ht="15.75" customHeight="1">
      <c r="B578" s="3"/>
      <c r="C578" s="3"/>
      <c r="H578" s="3"/>
      <c r="AG578" s="91"/>
    </row>
    <row r="579" ht="15.75" customHeight="1">
      <c r="B579" s="3"/>
      <c r="C579" s="3"/>
      <c r="H579" s="3"/>
      <c r="AG579" s="91"/>
    </row>
    <row r="580" ht="15.75" customHeight="1">
      <c r="B580" s="3"/>
      <c r="C580" s="3"/>
      <c r="H580" s="3"/>
      <c r="AG580" s="91"/>
    </row>
    <row r="581" ht="15.75" customHeight="1">
      <c r="B581" s="3"/>
      <c r="C581" s="3"/>
      <c r="H581" s="3"/>
      <c r="AG581" s="91"/>
    </row>
    <row r="582" ht="15.75" customHeight="1">
      <c r="B582" s="3"/>
      <c r="C582" s="3"/>
      <c r="H582" s="3"/>
      <c r="AG582" s="91"/>
    </row>
    <row r="583" ht="15.75" customHeight="1">
      <c r="B583" s="3"/>
      <c r="C583" s="3"/>
      <c r="H583" s="3"/>
      <c r="AG583" s="91"/>
    </row>
    <row r="584" ht="15.75" customHeight="1">
      <c r="B584" s="3"/>
      <c r="C584" s="3"/>
      <c r="H584" s="3"/>
      <c r="AG584" s="91"/>
    </row>
    <row r="585" ht="15.75" customHeight="1">
      <c r="B585" s="3"/>
      <c r="C585" s="3"/>
      <c r="H585" s="3"/>
      <c r="AG585" s="91"/>
    </row>
    <row r="586" ht="15.75" customHeight="1">
      <c r="B586" s="3"/>
      <c r="C586" s="3"/>
      <c r="H586" s="3"/>
      <c r="AG586" s="91"/>
    </row>
    <row r="587" ht="15.75" customHeight="1">
      <c r="B587" s="3"/>
      <c r="C587" s="3"/>
      <c r="H587" s="3"/>
      <c r="AG587" s="91"/>
    </row>
    <row r="588" ht="15.75" customHeight="1">
      <c r="B588" s="3"/>
      <c r="C588" s="3"/>
      <c r="H588" s="3"/>
      <c r="AG588" s="91"/>
    </row>
    <row r="589" ht="15.75" customHeight="1">
      <c r="B589" s="3"/>
      <c r="C589" s="3"/>
      <c r="H589" s="3"/>
      <c r="AG589" s="91"/>
    </row>
    <row r="590" ht="15.75" customHeight="1">
      <c r="B590" s="3"/>
      <c r="C590" s="3"/>
      <c r="H590" s="3"/>
      <c r="AG590" s="91"/>
    </row>
    <row r="591" ht="15.75" customHeight="1">
      <c r="B591" s="3"/>
      <c r="C591" s="3"/>
      <c r="H591" s="3"/>
      <c r="AG591" s="91"/>
    </row>
    <row r="592" ht="15.75" customHeight="1">
      <c r="B592" s="3"/>
      <c r="C592" s="3"/>
      <c r="H592" s="3"/>
      <c r="AG592" s="91"/>
    </row>
    <row r="593" ht="15.75" customHeight="1">
      <c r="B593" s="3"/>
      <c r="C593" s="3"/>
      <c r="H593" s="3"/>
      <c r="AG593" s="91"/>
    </row>
    <row r="594" ht="15.75" customHeight="1">
      <c r="B594" s="3"/>
      <c r="C594" s="3"/>
      <c r="H594" s="3"/>
      <c r="AG594" s="91"/>
    </row>
    <row r="595" ht="15.75" customHeight="1">
      <c r="B595" s="3"/>
      <c r="C595" s="3"/>
      <c r="H595" s="3"/>
      <c r="AG595" s="91"/>
    </row>
    <row r="596" ht="15.75" customHeight="1">
      <c r="B596" s="3"/>
      <c r="C596" s="3"/>
      <c r="H596" s="3"/>
      <c r="AG596" s="91"/>
    </row>
    <row r="597" ht="15.75" customHeight="1">
      <c r="B597" s="3"/>
      <c r="C597" s="3"/>
      <c r="H597" s="3"/>
      <c r="AG597" s="91"/>
    </row>
    <row r="598" ht="15.75" customHeight="1">
      <c r="B598" s="3"/>
      <c r="C598" s="3"/>
      <c r="H598" s="3"/>
      <c r="AG598" s="91"/>
    </row>
    <row r="599" ht="15.75" customHeight="1">
      <c r="B599" s="3"/>
      <c r="C599" s="3"/>
      <c r="H599" s="3"/>
      <c r="AG599" s="91"/>
    </row>
    <row r="600" ht="15.75" customHeight="1">
      <c r="B600" s="3"/>
      <c r="C600" s="3"/>
      <c r="H600" s="3"/>
      <c r="AG600" s="91"/>
    </row>
    <row r="601" ht="15.75" customHeight="1">
      <c r="B601" s="3"/>
      <c r="C601" s="3"/>
      <c r="H601" s="3"/>
      <c r="AG601" s="91"/>
    </row>
    <row r="602" ht="15.75" customHeight="1">
      <c r="B602" s="3"/>
      <c r="C602" s="3"/>
      <c r="H602" s="3"/>
      <c r="AG602" s="91"/>
    </row>
    <row r="603" ht="15.75" customHeight="1">
      <c r="B603" s="3"/>
      <c r="C603" s="3"/>
      <c r="H603" s="3"/>
      <c r="AG603" s="91"/>
    </row>
    <row r="604" ht="15.75" customHeight="1">
      <c r="B604" s="3"/>
      <c r="C604" s="3"/>
      <c r="H604" s="3"/>
      <c r="AG604" s="91"/>
    </row>
    <row r="605" ht="15.75" customHeight="1">
      <c r="B605" s="3"/>
      <c r="C605" s="3"/>
      <c r="H605" s="3"/>
      <c r="AG605" s="91"/>
    </row>
    <row r="606" ht="15.75" customHeight="1">
      <c r="B606" s="3"/>
      <c r="C606" s="3"/>
      <c r="H606" s="3"/>
      <c r="AG606" s="91"/>
    </row>
    <row r="607" ht="15.75" customHeight="1">
      <c r="B607" s="3"/>
      <c r="C607" s="3"/>
      <c r="H607" s="3"/>
      <c r="AG607" s="91"/>
    </row>
    <row r="608" ht="15.75" customHeight="1">
      <c r="B608" s="3"/>
      <c r="C608" s="3"/>
      <c r="H608" s="3"/>
      <c r="AG608" s="91"/>
    </row>
    <row r="609" ht="15.75" customHeight="1">
      <c r="B609" s="3"/>
      <c r="C609" s="3"/>
      <c r="H609" s="3"/>
      <c r="AG609" s="91"/>
    </row>
    <row r="610" ht="15.75" customHeight="1">
      <c r="B610" s="3"/>
      <c r="C610" s="3"/>
      <c r="H610" s="3"/>
      <c r="AG610" s="91"/>
    </row>
    <row r="611" ht="15.75" customHeight="1">
      <c r="B611" s="3"/>
      <c r="C611" s="3"/>
      <c r="H611" s="3"/>
      <c r="AG611" s="91"/>
    </row>
    <row r="612" ht="15.75" customHeight="1">
      <c r="B612" s="3"/>
      <c r="C612" s="3"/>
      <c r="H612" s="3"/>
      <c r="AG612" s="91"/>
    </row>
    <row r="613" ht="15.75" customHeight="1">
      <c r="B613" s="3"/>
      <c r="C613" s="3"/>
      <c r="H613" s="3"/>
      <c r="AG613" s="91"/>
    </row>
    <row r="614" ht="15.75" customHeight="1">
      <c r="B614" s="3"/>
      <c r="C614" s="3"/>
      <c r="H614" s="3"/>
      <c r="AG614" s="91"/>
    </row>
    <row r="615" ht="15.75" customHeight="1">
      <c r="B615" s="3"/>
      <c r="C615" s="3"/>
      <c r="H615" s="3"/>
      <c r="AG615" s="91"/>
    </row>
    <row r="616" ht="15.75" customHeight="1">
      <c r="B616" s="3"/>
      <c r="C616" s="3"/>
      <c r="H616" s="3"/>
      <c r="AG616" s="91"/>
    </row>
    <row r="617" ht="15.75" customHeight="1">
      <c r="B617" s="3"/>
      <c r="C617" s="3"/>
      <c r="H617" s="3"/>
      <c r="AG617" s="91"/>
    </row>
    <row r="618" ht="15.75" customHeight="1">
      <c r="B618" s="3"/>
      <c r="C618" s="3"/>
      <c r="H618" s="3"/>
      <c r="AG618" s="91"/>
    </row>
    <row r="619" ht="15.75" customHeight="1">
      <c r="B619" s="3"/>
      <c r="C619" s="3"/>
      <c r="H619" s="3"/>
      <c r="AG619" s="91"/>
    </row>
    <row r="620" ht="15.75" customHeight="1">
      <c r="B620" s="3"/>
      <c r="C620" s="3"/>
      <c r="H620" s="3"/>
      <c r="AG620" s="91"/>
    </row>
    <row r="621" ht="15.75" customHeight="1">
      <c r="B621" s="3"/>
      <c r="C621" s="3"/>
      <c r="H621" s="3"/>
      <c r="AG621" s="91"/>
    </row>
    <row r="622" ht="15.75" customHeight="1">
      <c r="B622" s="3"/>
      <c r="C622" s="3"/>
      <c r="H622" s="3"/>
      <c r="AG622" s="91"/>
    </row>
    <row r="623" ht="15.75" customHeight="1">
      <c r="B623" s="3"/>
      <c r="C623" s="3"/>
      <c r="H623" s="3"/>
      <c r="AG623" s="91"/>
    </row>
    <row r="624" ht="15.75" customHeight="1">
      <c r="B624" s="3"/>
      <c r="C624" s="3"/>
      <c r="H624" s="3"/>
      <c r="AG624" s="91"/>
    </row>
    <row r="625" ht="15.75" customHeight="1">
      <c r="B625" s="3"/>
      <c r="C625" s="3"/>
      <c r="H625" s="3"/>
      <c r="AG625" s="91"/>
    </row>
    <row r="626" ht="15.75" customHeight="1">
      <c r="B626" s="3"/>
      <c r="C626" s="3"/>
      <c r="H626" s="3"/>
      <c r="AG626" s="91"/>
    </row>
    <row r="627" ht="15.75" customHeight="1">
      <c r="B627" s="3"/>
      <c r="C627" s="3"/>
      <c r="H627" s="3"/>
      <c r="AG627" s="91"/>
    </row>
    <row r="628" ht="15.75" customHeight="1">
      <c r="B628" s="3"/>
      <c r="C628" s="3"/>
      <c r="H628" s="3"/>
      <c r="AG628" s="91"/>
    </row>
    <row r="629" ht="15.75" customHeight="1">
      <c r="B629" s="3"/>
      <c r="C629" s="3"/>
      <c r="H629" s="3"/>
      <c r="AG629" s="91"/>
    </row>
    <row r="630" ht="15.75" customHeight="1">
      <c r="B630" s="3"/>
      <c r="C630" s="3"/>
      <c r="H630" s="3"/>
      <c r="AG630" s="91"/>
    </row>
    <row r="631" ht="15.75" customHeight="1">
      <c r="B631" s="3"/>
      <c r="C631" s="3"/>
      <c r="H631" s="3"/>
      <c r="AG631" s="91"/>
    </row>
    <row r="632" ht="15.75" customHeight="1">
      <c r="B632" s="3"/>
      <c r="C632" s="3"/>
      <c r="H632" s="3"/>
      <c r="AG632" s="91"/>
    </row>
    <row r="633" ht="15.75" customHeight="1">
      <c r="B633" s="3"/>
      <c r="C633" s="3"/>
      <c r="H633" s="3"/>
      <c r="AG633" s="91"/>
    </row>
    <row r="634" ht="15.75" customHeight="1">
      <c r="B634" s="3"/>
      <c r="C634" s="3"/>
      <c r="H634" s="3"/>
      <c r="AG634" s="91"/>
    </row>
    <row r="635" ht="15.75" customHeight="1">
      <c r="B635" s="3"/>
      <c r="C635" s="3"/>
      <c r="H635" s="3"/>
      <c r="AG635" s="91"/>
    </row>
    <row r="636" ht="15.75" customHeight="1">
      <c r="B636" s="3"/>
      <c r="C636" s="3"/>
      <c r="H636" s="3"/>
      <c r="AG636" s="91"/>
    </row>
    <row r="637" ht="15.75" customHeight="1">
      <c r="B637" s="3"/>
      <c r="C637" s="3"/>
      <c r="H637" s="3"/>
      <c r="AG637" s="91"/>
    </row>
    <row r="638" ht="15.75" customHeight="1">
      <c r="B638" s="3"/>
      <c r="C638" s="3"/>
      <c r="H638" s="3"/>
      <c r="AG638" s="91"/>
    </row>
    <row r="639" ht="15.75" customHeight="1">
      <c r="B639" s="3"/>
      <c r="C639" s="3"/>
      <c r="H639" s="3"/>
      <c r="AG639" s="91"/>
    </row>
    <row r="640" ht="15.75" customHeight="1">
      <c r="B640" s="3"/>
      <c r="C640" s="3"/>
      <c r="H640" s="3"/>
      <c r="AG640" s="91"/>
    </row>
    <row r="641" ht="15.75" customHeight="1">
      <c r="B641" s="3"/>
      <c r="C641" s="3"/>
      <c r="H641" s="3"/>
      <c r="AG641" s="91"/>
    </row>
    <row r="642" ht="15.75" customHeight="1">
      <c r="B642" s="3"/>
      <c r="C642" s="3"/>
      <c r="H642" s="3"/>
      <c r="AG642" s="91"/>
    </row>
    <row r="643" ht="15.75" customHeight="1">
      <c r="B643" s="3"/>
      <c r="C643" s="3"/>
      <c r="H643" s="3"/>
      <c r="AG643" s="91"/>
    </row>
    <row r="644" ht="15.75" customHeight="1">
      <c r="B644" s="3"/>
      <c r="C644" s="3"/>
      <c r="H644" s="3"/>
      <c r="AG644" s="91"/>
    </row>
    <row r="645" ht="15.75" customHeight="1">
      <c r="B645" s="3"/>
      <c r="C645" s="3"/>
      <c r="H645" s="3"/>
      <c r="AG645" s="91"/>
    </row>
    <row r="646" ht="15.75" customHeight="1">
      <c r="B646" s="3"/>
      <c r="C646" s="3"/>
      <c r="H646" s="3"/>
      <c r="AG646" s="91"/>
    </row>
    <row r="647" ht="15.75" customHeight="1">
      <c r="B647" s="3"/>
      <c r="C647" s="3"/>
      <c r="H647" s="3"/>
      <c r="AG647" s="91"/>
    </row>
    <row r="648" ht="15.75" customHeight="1">
      <c r="B648" s="3"/>
      <c r="C648" s="3"/>
      <c r="H648" s="3"/>
      <c r="AG648" s="91"/>
    </row>
    <row r="649" ht="15.75" customHeight="1">
      <c r="B649" s="3"/>
      <c r="C649" s="3"/>
      <c r="H649" s="3"/>
      <c r="AG649" s="91"/>
    </row>
    <row r="650" ht="15.75" customHeight="1">
      <c r="B650" s="3"/>
      <c r="C650" s="3"/>
      <c r="H650" s="3"/>
      <c r="AG650" s="91"/>
    </row>
    <row r="651" ht="15.75" customHeight="1">
      <c r="B651" s="3"/>
      <c r="C651" s="3"/>
      <c r="H651" s="3"/>
      <c r="AG651" s="91"/>
    </row>
    <row r="652" ht="15.75" customHeight="1">
      <c r="B652" s="3"/>
      <c r="C652" s="3"/>
      <c r="H652" s="3"/>
      <c r="AG652" s="91"/>
    </row>
    <row r="653" ht="15.75" customHeight="1">
      <c r="B653" s="3"/>
      <c r="C653" s="3"/>
      <c r="H653" s="3"/>
      <c r="AG653" s="91"/>
    </row>
    <row r="654" ht="15.75" customHeight="1">
      <c r="B654" s="3"/>
      <c r="C654" s="3"/>
      <c r="H654" s="3"/>
      <c r="AG654" s="91"/>
    </row>
    <row r="655" ht="15.75" customHeight="1">
      <c r="B655" s="3"/>
      <c r="C655" s="3"/>
      <c r="H655" s="3"/>
      <c r="AG655" s="91"/>
    </row>
    <row r="656" ht="15.75" customHeight="1">
      <c r="B656" s="3"/>
      <c r="C656" s="3"/>
      <c r="H656" s="3"/>
      <c r="AG656" s="91"/>
    </row>
    <row r="657" ht="15.75" customHeight="1">
      <c r="B657" s="3"/>
      <c r="C657" s="3"/>
      <c r="H657" s="3"/>
      <c r="AG657" s="91"/>
    </row>
    <row r="658" ht="15.75" customHeight="1">
      <c r="B658" s="3"/>
      <c r="C658" s="3"/>
      <c r="H658" s="3"/>
      <c r="AG658" s="91"/>
    </row>
    <row r="659" ht="15.75" customHeight="1">
      <c r="B659" s="3"/>
      <c r="C659" s="3"/>
      <c r="H659" s="3"/>
      <c r="AG659" s="91"/>
    </row>
    <row r="660" ht="15.75" customHeight="1">
      <c r="B660" s="3"/>
      <c r="C660" s="3"/>
      <c r="H660" s="3"/>
      <c r="AG660" s="91"/>
    </row>
    <row r="661" ht="15.75" customHeight="1">
      <c r="B661" s="3"/>
      <c r="C661" s="3"/>
      <c r="H661" s="3"/>
      <c r="AG661" s="91"/>
    </row>
    <row r="662" ht="15.75" customHeight="1">
      <c r="B662" s="3"/>
      <c r="C662" s="3"/>
      <c r="H662" s="3"/>
      <c r="AG662" s="91"/>
    </row>
    <row r="663" ht="15.75" customHeight="1">
      <c r="B663" s="3"/>
      <c r="C663" s="3"/>
      <c r="H663" s="3"/>
      <c r="AG663" s="91"/>
    </row>
    <row r="664" ht="15.75" customHeight="1">
      <c r="B664" s="3"/>
      <c r="C664" s="3"/>
      <c r="H664" s="3"/>
      <c r="AG664" s="91"/>
    </row>
    <row r="665" ht="15.75" customHeight="1">
      <c r="B665" s="3"/>
      <c r="C665" s="3"/>
      <c r="H665" s="3"/>
      <c r="AG665" s="91"/>
    </row>
    <row r="666" ht="15.75" customHeight="1">
      <c r="B666" s="3"/>
      <c r="C666" s="3"/>
      <c r="H666" s="3"/>
      <c r="AG666" s="91"/>
    </row>
    <row r="667" ht="15.75" customHeight="1">
      <c r="B667" s="3"/>
      <c r="C667" s="3"/>
      <c r="H667" s="3"/>
      <c r="AG667" s="91"/>
    </row>
    <row r="668" ht="15.75" customHeight="1">
      <c r="B668" s="3"/>
      <c r="C668" s="3"/>
      <c r="H668" s="3"/>
      <c r="AG668" s="91"/>
    </row>
    <row r="669" ht="15.75" customHeight="1">
      <c r="B669" s="3"/>
      <c r="C669" s="3"/>
      <c r="H669" s="3"/>
      <c r="AG669" s="91"/>
    </row>
    <row r="670" ht="15.75" customHeight="1">
      <c r="B670" s="3"/>
      <c r="C670" s="3"/>
      <c r="H670" s="3"/>
      <c r="AG670" s="91"/>
    </row>
    <row r="671" ht="15.75" customHeight="1">
      <c r="B671" s="3"/>
      <c r="C671" s="3"/>
      <c r="H671" s="3"/>
      <c r="AG671" s="91"/>
    </row>
    <row r="672" ht="15.75" customHeight="1">
      <c r="B672" s="3"/>
      <c r="C672" s="3"/>
      <c r="H672" s="3"/>
      <c r="AG672" s="91"/>
    </row>
    <row r="673" ht="15.75" customHeight="1">
      <c r="B673" s="3"/>
      <c r="C673" s="3"/>
      <c r="H673" s="3"/>
      <c r="AG673" s="91"/>
    </row>
    <row r="674" ht="15.75" customHeight="1">
      <c r="B674" s="3"/>
      <c r="C674" s="3"/>
      <c r="H674" s="3"/>
      <c r="AG674" s="91"/>
    </row>
    <row r="675" ht="15.75" customHeight="1">
      <c r="B675" s="3"/>
      <c r="C675" s="3"/>
      <c r="H675" s="3"/>
      <c r="AG675" s="91"/>
    </row>
    <row r="676" ht="15.75" customHeight="1">
      <c r="B676" s="3"/>
      <c r="C676" s="3"/>
      <c r="H676" s="3"/>
      <c r="AG676" s="91"/>
    </row>
    <row r="677" ht="15.75" customHeight="1">
      <c r="B677" s="3"/>
      <c r="C677" s="3"/>
      <c r="H677" s="3"/>
      <c r="AG677" s="91"/>
    </row>
    <row r="678" ht="15.75" customHeight="1">
      <c r="B678" s="3"/>
      <c r="C678" s="3"/>
      <c r="H678" s="3"/>
      <c r="AG678" s="91"/>
    </row>
    <row r="679" ht="15.75" customHeight="1">
      <c r="B679" s="3"/>
      <c r="C679" s="3"/>
      <c r="H679" s="3"/>
      <c r="AG679" s="91"/>
    </row>
    <row r="680" ht="15.75" customHeight="1">
      <c r="B680" s="3"/>
      <c r="C680" s="3"/>
      <c r="H680" s="3"/>
      <c r="AG680" s="91"/>
    </row>
    <row r="681" ht="15.75" customHeight="1">
      <c r="B681" s="3"/>
      <c r="C681" s="3"/>
      <c r="H681" s="3"/>
      <c r="AG681" s="91"/>
    </row>
    <row r="682" ht="15.75" customHeight="1">
      <c r="B682" s="3"/>
      <c r="C682" s="3"/>
      <c r="H682" s="3"/>
      <c r="AG682" s="91"/>
    </row>
    <row r="683" ht="15.75" customHeight="1">
      <c r="B683" s="3"/>
      <c r="C683" s="3"/>
      <c r="H683" s="3"/>
      <c r="AG683" s="91"/>
    </row>
    <row r="684" ht="15.75" customHeight="1">
      <c r="B684" s="3"/>
      <c r="C684" s="3"/>
      <c r="H684" s="3"/>
      <c r="AG684" s="91"/>
    </row>
    <row r="685" ht="15.75" customHeight="1">
      <c r="B685" s="3"/>
      <c r="C685" s="3"/>
      <c r="H685" s="3"/>
      <c r="AG685" s="91"/>
    </row>
    <row r="686" ht="15.75" customHeight="1">
      <c r="B686" s="3"/>
      <c r="C686" s="3"/>
      <c r="H686" s="3"/>
      <c r="AG686" s="91"/>
    </row>
    <row r="687" ht="15.75" customHeight="1">
      <c r="B687" s="3"/>
      <c r="C687" s="3"/>
      <c r="H687" s="3"/>
      <c r="AG687" s="91"/>
    </row>
    <row r="688" ht="15.75" customHeight="1">
      <c r="B688" s="3"/>
      <c r="C688" s="3"/>
      <c r="H688" s="3"/>
      <c r="AG688" s="91"/>
    </row>
    <row r="689" ht="15.75" customHeight="1">
      <c r="B689" s="3"/>
      <c r="C689" s="3"/>
      <c r="H689" s="3"/>
      <c r="AG689" s="91"/>
    </row>
    <row r="690" ht="15.75" customHeight="1">
      <c r="B690" s="3"/>
      <c r="C690" s="3"/>
      <c r="H690" s="3"/>
      <c r="AG690" s="91"/>
    </row>
    <row r="691" ht="15.75" customHeight="1">
      <c r="B691" s="3"/>
      <c r="C691" s="3"/>
      <c r="H691" s="3"/>
      <c r="AG691" s="91"/>
    </row>
    <row r="692" ht="15.75" customHeight="1">
      <c r="B692" s="3"/>
      <c r="C692" s="3"/>
      <c r="H692" s="3"/>
      <c r="AG692" s="91"/>
    </row>
    <row r="693" ht="15.75" customHeight="1">
      <c r="B693" s="3"/>
      <c r="C693" s="3"/>
      <c r="H693" s="3"/>
      <c r="AG693" s="91"/>
    </row>
    <row r="694" ht="15.75" customHeight="1">
      <c r="B694" s="3"/>
      <c r="C694" s="3"/>
      <c r="H694" s="3"/>
      <c r="AG694" s="91"/>
    </row>
    <row r="695" ht="15.75" customHeight="1">
      <c r="B695" s="3"/>
      <c r="C695" s="3"/>
      <c r="H695" s="3"/>
      <c r="AG695" s="91"/>
    </row>
    <row r="696" ht="15.75" customHeight="1">
      <c r="B696" s="3"/>
      <c r="C696" s="3"/>
      <c r="H696" s="3"/>
      <c r="AG696" s="91"/>
    </row>
    <row r="697" ht="15.75" customHeight="1">
      <c r="B697" s="3"/>
      <c r="C697" s="3"/>
      <c r="H697" s="3"/>
      <c r="AG697" s="91"/>
    </row>
    <row r="698" ht="15.75" customHeight="1">
      <c r="B698" s="3"/>
      <c r="C698" s="3"/>
      <c r="H698" s="3"/>
      <c r="AG698" s="91"/>
    </row>
    <row r="699" ht="15.75" customHeight="1">
      <c r="B699" s="3"/>
      <c r="C699" s="3"/>
      <c r="H699" s="3"/>
      <c r="AG699" s="91"/>
    </row>
    <row r="700" ht="15.75" customHeight="1">
      <c r="B700" s="3"/>
      <c r="C700" s="3"/>
      <c r="H700" s="3"/>
      <c r="AG700" s="91"/>
    </row>
    <row r="701" ht="15.75" customHeight="1">
      <c r="B701" s="3"/>
      <c r="C701" s="3"/>
      <c r="H701" s="3"/>
      <c r="AG701" s="91"/>
    </row>
    <row r="702" ht="15.75" customHeight="1">
      <c r="B702" s="3"/>
      <c r="C702" s="3"/>
      <c r="H702" s="3"/>
      <c r="AG702" s="91"/>
    </row>
    <row r="703" ht="15.75" customHeight="1">
      <c r="B703" s="3"/>
      <c r="C703" s="3"/>
      <c r="H703" s="3"/>
      <c r="AG703" s="91"/>
    </row>
    <row r="704" ht="15.75" customHeight="1">
      <c r="B704" s="3"/>
      <c r="C704" s="3"/>
      <c r="H704" s="3"/>
      <c r="AG704" s="91"/>
    </row>
    <row r="705" ht="15.75" customHeight="1">
      <c r="B705" s="3"/>
      <c r="C705" s="3"/>
      <c r="H705" s="3"/>
      <c r="AG705" s="91"/>
    </row>
    <row r="706" ht="15.75" customHeight="1">
      <c r="B706" s="3"/>
      <c r="C706" s="3"/>
      <c r="H706" s="3"/>
      <c r="AG706" s="91"/>
    </row>
    <row r="707" ht="15.75" customHeight="1">
      <c r="B707" s="3"/>
      <c r="C707" s="3"/>
      <c r="H707" s="3"/>
      <c r="AG707" s="91"/>
    </row>
    <row r="708" ht="15.75" customHeight="1">
      <c r="B708" s="3"/>
      <c r="C708" s="3"/>
      <c r="H708" s="3"/>
      <c r="AG708" s="91"/>
    </row>
    <row r="709" ht="15.75" customHeight="1">
      <c r="B709" s="3"/>
      <c r="C709" s="3"/>
      <c r="H709" s="3"/>
      <c r="AG709" s="91"/>
    </row>
    <row r="710" ht="15.75" customHeight="1">
      <c r="B710" s="3"/>
      <c r="C710" s="3"/>
      <c r="H710" s="3"/>
      <c r="AG710" s="91"/>
    </row>
    <row r="711" ht="15.75" customHeight="1">
      <c r="B711" s="3"/>
      <c r="C711" s="3"/>
      <c r="H711" s="3"/>
      <c r="AG711" s="91"/>
    </row>
    <row r="712" ht="15.75" customHeight="1">
      <c r="B712" s="3"/>
      <c r="C712" s="3"/>
      <c r="H712" s="3"/>
      <c r="AG712" s="91"/>
    </row>
    <row r="713" ht="15.75" customHeight="1">
      <c r="B713" s="3"/>
      <c r="C713" s="3"/>
      <c r="H713" s="3"/>
      <c r="AG713" s="91"/>
    </row>
    <row r="714" ht="15.75" customHeight="1">
      <c r="B714" s="3"/>
      <c r="C714" s="3"/>
      <c r="H714" s="3"/>
      <c r="AG714" s="91"/>
    </row>
    <row r="715" ht="15.75" customHeight="1">
      <c r="B715" s="3"/>
      <c r="C715" s="3"/>
      <c r="H715" s="3"/>
      <c r="AG715" s="91"/>
    </row>
    <row r="716" ht="15.75" customHeight="1">
      <c r="B716" s="3"/>
      <c r="C716" s="3"/>
      <c r="H716" s="3"/>
      <c r="AG716" s="91"/>
    </row>
    <row r="717" ht="15.75" customHeight="1">
      <c r="B717" s="3"/>
      <c r="C717" s="3"/>
      <c r="H717" s="3"/>
      <c r="AG717" s="91"/>
    </row>
    <row r="718" ht="15.75" customHeight="1">
      <c r="B718" s="3"/>
      <c r="C718" s="3"/>
      <c r="H718" s="3"/>
      <c r="AG718" s="91"/>
    </row>
    <row r="719" ht="15.75" customHeight="1">
      <c r="B719" s="3"/>
      <c r="C719" s="3"/>
      <c r="H719" s="3"/>
      <c r="AG719" s="91"/>
    </row>
    <row r="720" ht="15.75" customHeight="1">
      <c r="B720" s="3"/>
      <c r="C720" s="3"/>
      <c r="H720" s="3"/>
      <c r="AG720" s="91"/>
    </row>
    <row r="721" ht="15.75" customHeight="1">
      <c r="B721" s="3"/>
      <c r="C721" s="3"/>
      <c r="H721" s="3"/>
      <c r="AG721" s="91"/>
    </row>
    <row r="722" ht="15.75" customHeight="1">
      <c r="B722" s="3"/>
      <c r="C722" s="3"/>
      <c r="H722" s="3"/>
      <c r="AG722" s="91"/>
    </row>
    <row r="723" ht="15.75" customHeight="1">
      <c r="B723" s="3"/>
      <c r="C723" s="3"/>
      <c r="H723" s="3"/>
      <c r="AG723" s="91"/>
    </row>
    <row r="724" ht="15.75" customHeight="1">
      <c r="B724" s="3"/>
      <c r="C724" s="3"/>
      <c r="H724" s="3"/>
      <c r="AG724" s="91"/>
    </row>
    <row r="725" ht="15.75" customHeight="1">
      <c r="B725" s="3"/>
      <c r="C725" s="3"/>
      <c r="H725" s="3"/>
      <c r="AG725" s="91"/>
    </row>
    <row r="726" ht="15.75" customHeight="1">
      <c r="B726" s="3"/>
      <c r="C726" s="3"/>
      <c r="H726" s="3"/>
      <c r="AG726" s="91"/>
    </row>
    <row r="727" ht="15.75" customHeight="1">
      <c r="B727" s="3"/>
      <c r="C727" s="3"/>
      <c r="H727" s="3"/>
      <c r="AG727" s="91"/>
    </row>
    <row r="728" ht="15.75" customHeight="1">
      <c r="B728" s="3"/>
      <c r="C728" s="3"/>
      <c r="H728" s="3"/>
      <c r="AG728" s="91"/>
    </row>
    <row r="729" ht="15.75" customHeight="1">
      <c r="B729" s="3"/>
      <c r="C729" s="3"/>
      <c r="H729" s="3"/>
      <c r="AG729" s="91"/>
    </row>
    <row r="730" ht="15.75" customHeight="1">
      <c r="B730" s="3"/>
      <c r="C730" s="3"/>
      <c r="H730" s="3"/>
      <c r="AG730" s="91"/>
    </row>
    <row r="731" ht="15.75" customHeight="1">
      <c r="B731" s="3"/>
      <c r="C731" s="3"/>
      <c r="H731" s="3"/>
      <c r="AG731" s="91"/>
    </row>
    <row r="732" ht="15.75" customHeight="1">
      <c r="B732" s="3"/>
      <c r="C732" s="3"/>
      <c r="H732" s="3"/>
      <c r="AG732" s="91"/>
    </row>
    <row r="733" ht="15.75" customHeight="1">
      <c r="B733" s="3"/>
      <c r="C733" s="3"/>
      <c r="H733" s="3"/>
      <c r="AG733" s="91"/>
    </row>
    <row r="734" ht="15.75" customHeight="1">
      <c r="B734" s="3"/>
      <c r="C734" s="3"/>
      <c r="H734" s="3"/>
      <c r="AG734" s="91"/>
    </row>
    <row r="735" ht="15.75" customHeight="1">
      <c r="B735" s="3"/>
      <c r="C735" s="3"/>
      <c r="H735" s="3"/>
      <c r="AG735" s="91"/>
    </row>
    <row r="736" ht="15.75" customHeight="1">
      <c r="B736" s="3"/>
      <c r="C736" s="3"/>
      <c r="H736" s="3"/>
      <c r="AG736" s="91"/>
    </row>
    <row r="737" ht="15.75" customHeight="1">
      <c r="B737" s="3"/>
      <c r="C737" s="3"/>
      <c r="H737" s="3"/>
      <c r="AG737" s="91"/>
    </row>
    <row r="738" ht="15.75" customHeight="1">
      <c r="B738" s="3"/>
      <c r="C738" s="3"/>
      <c r="H738" s="3"/>
      <c r="AG738" s="91"/>
    </row>
    <row r="739" ht="15.75" customHeight="1">
      <c r="B739" s="3"/>
      <c r="C739" s="3"/>
      <c r="H739" s="3"/>
      <c r="AG739" s="91"/>
    </row>
    <row r="740" ht="15.75" customHeight="1">
      <c r="B740" s="3"/>
      <c r="C740" s="3"/>
      <c r="H740" s="3"/>
      <c r="AG740" s="91"/>
    </row>
    <row r="741" ht="15.75" customHeight="1">
      <c r="B741" s="3"/>
      <c r="C741" s="3"/>
      <c r="H741" s="3"/>
      <c r="AG741" s="91"/>
    </row>
    <row r="742" ht="15.75" customHeight="1">
      <c r="B742" s="3"/>
      <c r="C742" s="3"/>
      <c r="H742" s="3"/>
      <c r="AG742" s="91"/>
    </row>
    <row r="743" ht="15.75" customHeight="1">
      <c r="B743" s="3"/>
      <c r="C743" s="3"/>
      <c r="H743" s="3"/>
      <c r="AG743" s="91"/>
    </row>
    <row r="744" ht="15.75" customHeight="1">
      <c r="B744" s="3"/>
      <c r="C744" s="3"/>
      <c r="H744" s="3"/>
      <c r="AG744" s="91"/>
    </row>
    <row r="745" ht="15.75" customHeight="1">
      <c r="B745" s="3"/>
      <c r="C745" s="3"/>
      <c r="H745" s="3"/>
      <c r="AG745" s="91"/>
    </row>
    <row r="746" ht="15.75" customHeight="1">
      <c r="B746" s="3"/>
      <c r="C746" s="3"/>
      <c r="H746" s="3"/>
      <c r="AG746" s="91"/>
    </row>
    <row r="747" ht="15.75" customHeight="1">
      <c r="B747" s="3"/>
      <c r="C747" s="3"/>
      <c r="H747" s="3"/>
      <c r="AG747" s="91"/>
    </row>
    <row r="748" ht="15.75" customHeight="1">
      <c r="B748" s="3"/>
      <c r="C748" s="3"/>
      <c r="H748" s="3"/>
      <c r="AG748" s="91"/>
    </row>
    <row r="749" ht="15.75" customHeight="1">
      <c r="B749" s="3"/>
      <c r="C749" s="3"/>
      <c r="H749" s="3"/>
      <c r="AG749" s="91"/>
    </row>
    <row r="750" ht="15.75" customHeight="1">
      <c r="B750" s="3"/>
      <c r="C750" s="3"/>
      <c r="H750" s="3"/>
      <c r="AG750" s="91"/>
    </row>
    <row r="751" ht="15.75" customHeight="1">
      <c r="B751" s="3"/>
      <c r="C751" s="3"/>
      <c r="H751" s="3"/>
      <c r="AG751" s="91"/>
    </row>
    <row r="752" ht="15.75" customHeight="1">
      <c r="B752" s="3"/>
      <c r="C752" s="3"/>
      <c r="H752" s="3"/>
      <c r="AG752" s="91"/>
    </row>
    <row r="753" ht="15.75" customHeight="1">
      <c r="B753" s="3"/>
      <c r="C753" s="3"/>
      <c r="H753" s="3"/>
      <c r="AG753" s="91"/>
    </row>
    <row r="754" ht="15.75" customHeight="1">
      <c r="B754" s="3"/>
      <c r="C754" s="3"/>
      <c r="H754" s="3"/>
      <c r="AG754" s="91"/>
    </row>
    <row r="755" ht="15.75" customHeight="1">
      <c r="B755" s="3"/>
      <c r="C755" s="3"/>
      <c r="H755" s="3"/>
      <c r="AG755" s="91"/>
    </row>
    <row r="756" ht="15.75" customHeight="1">
      <c r="B756" s="3"/>
      <c r="C756" s="3"/>
      <c r="H756" s="3"/>
      <c r="AG756" s="91"/>
    </row>
    <row r="757" ht="15.75" customHeight="1">
      <c r="B757" s="3"/>
      <c r="C757" s="3"/>
      <c r="H757" s="3"/>
      <c r="AG757" s="91"/>
    </row>
    <row r="758" ht="15.75" customHeight="1">
      <c r="B758" s="3"/>
      <c r="C758" s="3"/>
      <c r="H758" s="3"/>
      <c r="AG758" s="91"/>
    </row>
    <row r="759" ht="15.75" customHeight="1">
      <c r="B759" s="3"/>
      <c r="C759" s="3"/>
      <c r="H759" s="3"/>
      <c r="AG759" s="91"/>
    </row>
    <row r="760" ht="15.75" customHeight="1">
      <c r="B760" s="3"/>
      <c r="C760" s="3"/>
      <c r="H760" s="3"/>
      <c r="AG760" s="91"/>
    </row>
    <row r="761" ht="15.75" customHeight="1">
      <c r="B761" s="3"/>
      <c r="C761" s="3"/>
      <c r="H761" s="3"/>
      <c r="AG761" s="91"/>
    </row>
    <row r="762" ht="15.75" customHeight="1">
      <c r="B762" s="3"/>
      <c r="C762" s="3"/>
      <c r="H762" s="3"/>
      <c r="AG762" s="91"/>
    </row>
    <row r="763" ht="15.75" customHeight="1">
      <c r="B763" s="3"/>
      <c r="C763" s="3"/>
      <c r="H763" s="3"/>
      <c r="AG763" s="91"/>
    </row>
    <row r="764" ht="15.75" customHeight="1">
      <c r="B764" s="3"/>
      <c r="C764" s="3"/>
      <c r="H764" s="3"/>
      <c r="AG764" s="91"/>
    </row>
    <row r="765" ht="15.75" customHeight="1">
      <c r="B765" s="3"/>
      <c r="C765" s="3"/>
      <c r="H765" s="3"/>
      <c r="AG765" s="91"/>
    </row>
    <row r="766" ht="15.75" customHeight="1">
      <c r="B766" s="3"/>
      <c r="C766" s="3"/>
      <c r="H766" s="3"/>
      <c r="AG766" s="91"/>
    </row>
    <row r="767" ht="15.75" customHeight="1">
      <c r="B767" s="3"/>
      <c r="C767" s="3"/>
      <c r="H767" s="3"/>
      <c r="AG767" s="91"/>
    </row>
    <row r="768" ht="15.75" customHeight="1">
      <c r="B768" s="3"/>
      <c r="C768" s="3"/>
      <c r="H768" s="3"/>
      <c r="AG768" s="91"/>
    </row>
    <row r="769" ht="15.75" customHeight="1">
      <c r="B769" s="3"/>
      <c r="C769" s="3"/>
      <c r="H769" s="3"/>
      <c r="AG769" s="91"/>
    </row>
    <row r="770" ht="15.75" customHeight="1">
      <c r="B770" s="3"/>
      <c r="C770" s="3"/>
      <c r="H770" s="3"/>
      <c r="AG770" s="91"/>
    </row>
    <row r="771" ht="15.75" customHeight="1">
      <c r="B771" s="3"/>
      <c r="C771" s="3"/>
      <c r="H771" s="3"/>
      <c r="AG771" s="91"/>
    </row>
    <row r="772" ht="15.75" customHeight="1">
      <c r="B772" s="3"/>
      <c r="C772" s="3"/>
      <c r="H772" s="3"/>
      <c r="AG772" s="91"/>
    </row>
    <row r="773" ht="15.75" customHeight="1">
      <c r="B773" s="3"/>
      <c r="C773" s="3"/>
      <c r="H773" s="3"/>
      <c r="AG773" s="91"/>
    </row>
    <row r="774" ht="15.75" customHeight="1">
      <c r="B774" s="3"/>
      <c r="C774" s="3"/>
      <c r="H774" s="3"/>
      <c r="AG774" s="91"/>
    </row>
    <row r="775" ht="15.75" customHeight="1">
      <c r="B775" s="3"/>
      <c r="C775" s="3"/>
      <c r="H775" s="3"/>
      <c r="AG775" s="91"/>
    </row>
    <row r="776" ht="15.75" customHeight="1">
      <c r="B776" s="3"/>
      <c r="C776" s="3"/>
      <c r="H776" s="3"/>
      <c r="AG776" s="91"/>
    </row>
    <row r="777" ht="15.75" customHeight="1">
      <c r="B777" s="3"/>
      <c r="C777" s="3"/>
      <c r="H777" s="3"/>
      <c r="AG777" s="91"/>
    </row>
    <row r="778" ht="15.75" customHeight="1">
      <c r="B778" s="3"/>
      <c r="C778" s="3"/>
      <c r="H778" s="3"/>
      <c r="AG778" s="91"/>
    </row>
    <row r="779" ht="15.75" customHeight="1">
      <c r="B779" s="3"/>
      <c r="C779" s="3"/>
      <c r="H779" s="3"/>
      <c r="AG779" s="91"/>
    </row>
    <row r="780" ht="15.75" customHeight="1">
      <c r="B780" s="3"/>
      <c r="C780" s="3"/>
      <c r="H780" s="3"/>
      <c r="AG780" s="91"/>
    </row>
    <row r="781" ht="15.75" customHeight="1">
      <c r="B781" s="3"/>
      <c r="C781" s="3"/>
      <c r="H781" s="3"/>
      <c r="AG781" s="91"/>
    </row>
    <row r="782" ht="15.75" customHeight="1">
      <c r="B782" s="3"/>
      <c r="C782" s="3"/>
      <c r="H782" s="3"/>
      <c r="AG782" s="91"/>
    </row>
    <row r="783" ht="15.75" customHeight="1">
      <c r="B783" s="3"/>
      <c r="C783" s="3"/>
      <c r="H783" s="3"/>
      <c r="AG783" s="91"/>
    </row>
    <row r="784" ht="15.75" customHeight="1">
      <c r="B784" s="3"/>
      <c r="C784" s="3"/>
      <c r="H784" s="3"/>
      <c r="AG784" s="91"/>
    </row>
    <row r="785" ht="15.75" customHeight="1">
      <c r="B785" s="3"/>
      <c r="C785" s="3"/>
      <c r="H785" s="3"/>
      <c r="AG785" s="91"/>
    </row>
    <row r="786" ht="15.75" customHeight="1">
      <c r="B786" s="3"/>
      <c r="C786" s="3"/>
      <c r="H786" s="3"/>
      <c r="AG786" s="91"/>
    </row>
    <row r="787" ht="15.75" customHeight="1">
      <c r="B787" s="3"/>
      <c r="C787" s="3"/>
      <c r="H787" s="3"/>
      <c r="AG787" s="91"/>
    </row>
    <row r="788" ht="15.75" customHeight="1">
      <c r="B788" s="3"/>
      <c r="C788" s="3"/>
      <c r="H788" s="3"/>
      <c r="AG788" s="91"/>
    </row>
    <row r="789" ht="15.75" customHeight="1">
      <c r="B789" s="3"/>
      <c r="C789" s="3"/>
      <c r="H789" s="3"/>
      <c r="AG789" s="91"/>
    </row>
    <row r="790" ht="15.75" customHeight="1">
      <c r="B790" s="3"/>
      <c r="C790" s="3"/>
      <c r="H790" s="3"/>
      <c r="AG790" s="91"/>
    </row>
    <row r="791" ht="15.75" customHeight="1">
      <c r="B791" s="3"/>
      <c r="C791" s="3"/>
      <c r="H791" s="3"/>
      <c r="AG791" s="91"/>
    </row>
    <row r="792" ht="15.75" customHeight="1">
      <c r="B792" s="3"/>
      <c r="C792" s="3"/>
      <c r="H792" s="3"/>
      <c r="AG792" s="91"/>
    </row>
    <row r="793" ht="15.75" customHeight="1">
      <c r="B793" s="3"/>
      <c r="C793" s="3"/>
      <c r="H793" s="3"/>
      <c r="AG793" s="91"/>
    </row>
    <row r="794" ht="15.75" customHeight="1">
      <c r="B794" s="3"/>
      <c r="C794" s="3"/>
      <c r="H794" s="3"/>
      <c r="AG794" s="91"/>
    </row>
    <row r="795" ht="15.75" customHeight="1">
      <c r="B795" s="3"/>
      <c r="C795" s="3"/>
      <c r="H795" s="3"/>
      <c r="AG795" s="91"/>
    </row>
    <row r="796" ht="15.75" customHeight="1">
      <c r="B796" s="3"/>
      <c r="C796" s="3"/>
      <c r="H796" s="3"/>
      <c r="AG796" s="91"/>
    </row>
    <row r="797" ht="15.75" customHeight="1">
      <c r="B797" s="3"/>
      <c r="C797" s="3"/>
      <c r="H797" s="3"/>
      <c r="AG797" s="91"/>
    </row>
    <row r="798" ht="15.75" customHeight="1">
      <c r="B798" s="3"/>
      <c r="C798" s="3"/>
      <c r="H798" s="3"/>
      <c r="AG798" s="91"/>
    </row>
    <row r="799" ht="15.75" customHeight="1">
      <c r="B799" s="3"/>
      <c r="C799" s="3"/>
      <c r="H799" s="3"/>
      <c r="AG799" s="91"/>
    </row>
    <row r="800" ht="15.75" customHeight="1">
      <c r="B800" s="3"/>
      <c r="C800" s="3"/>
      <c r="H800" s="3"/>
      <c r="AG800" s="91"/>
    </row>
    <row r="801" ht="15.75" customHeight="1">
      <c r="B801" s="3"/>
      <c r="C801" s="3"/>
      <c r="H801" s="3"/>
      <c r="AG801" s="91"/>
    </row>
    <row r="802" ht="15.75" customHeight="1">
      <c r="B802" s="3"/>
      <c r="C802" s="3"/>
      <c r="H802" s="3"/>
      <c r="AG802" s="91"/>
    </row>
    <row r="803" ht="15.75" customHeight="1">
      <c r="B803" s="3"/>
      <c r="C803" s="3"/>
      <c r="H803" s="3"/>
      <c r="AG803" s="91"/>
    </row>
    <row r="804" ht="15.75" customHeight="1">
      <c r="B804" s="3"/>
      <c r="C804" s="3"/>
      <c r="H804" s="3"/>
      <c r="AG804" s="91"/>
    </row>
    <row r="805" ht="15.75" customHeight="1">
      <c r="B805" s="3"/>
      <c r="C805" s="3"/>
      <c r="H805" s="3"/>
      <c r="AG805" s="91"/>
    </row>
    <row r="806" ht="15.75" customHeight="1">
      <c r="B806" s="3"/>
      <c r="C806" s="3"/>
      <c r="H806" s="3"/>
      <c r="AG806" s="91"/>
    </row>
    <row r="807" ht="15.75" customHeight="1">
      <c r="B807" s="3"/>
      <c r="C807" s="3"/>
      <c r="H807" s="3"/>
      <c r="AG807" s="91"/>
    </row>
    <row r="808" ht="15.75" customHeight="1">
      <c r="B808" s="3"/>
      <c r="C808" s="3"/>
      <c r="H808" s="3"/>
      <c r="AG808" s="91"/>
    </row>
    <row r="809" ht="15.75" customHeight="1">
      <c r="B809" s="3"/>
      <c r="C809" s="3"/>
      <c r="H809" s="3"/>
      <c r="AG809" s="91"/>
    </row>
    <row r="810" ht="15.75" customHeight="1">
      <c r="B810" s="3"/>
      <c r="C810" s="3"/>
      <c r="H810" s="3"/>
      <c r="AG810" s="91"/>
    </row>
    <row r="811" ht="15.75" customHeight="1">
      <c r="B811" s="3"/>
      <c r="C811" s="3"/>
      <c r="H811" s="3"/>
      <c r="AG811" s="91"/>
    </row>
    <row r="812" ht="15.75" customHeight="1">
      <c r="B812" s="3"/>
      <c r="C812" s="3"/>
      <c r="H812" s="3"/>
      <c r="AG812" s="91"/>
    </row>
    <row r="813" ht="15.75" customHeight="1">
      <c r="B813" s="3"/>
      <c r="C813" s="3"/>
      <c r="H813" s="3"/>
      <c r="AG813" s="91"/>
    </row>
    <row r="814" ht="15.75" customHeight="1">
      <c r="B814" s="3"/>
      <c r="C814" s="3"/>
      <c r="H814" s="3"/>
      <c r="AG814" s="91"/>
    </row>
    <row r="815" ht="15.75" customHeight="1">
      <c r="B815" s="3"/>
      <c r="C815" s="3"/>
      <c r="H815" s="3"/>
      <c r="AG815" s="91"/>
    </row>
    <row r="816" ht="15.75" customHeight="1">
      <c r="B816" s="3"/>
      <c r="C816" s="3"/>
      <c r="H816" s="3"/>
      <c r="AG816" s="91"/>
    </row>
    <row r="817" ht="15.75" customHeight="1">
      <c r="B817" s="3"/>
      <c r="C817" s="3"/>
      <c r="H817" s="3"/>
      <c r="AG817" s="91"/>
    </row>
    <row r="818" ht="15.75" customHeight="1">
      <c r="B818" s="3"/>
      <c r="C818" s="3"/>
      <c r="H818" s="3"/>
      <c r="AG818" s="91"/>
    </row>
    <row r="819" ht="15.75" customHeight="1">
      <c r="B819" s="3"/>
      <c r="C819" s="3"/>
      <c r="H819" s="3"/>
      <c r="AG819" s="91"/>
    </row>
    <row r="820" ht="15.75" customHeight="1">
      <c r="B820" s="3"/>
      <c r="C820" s="3"/>
      <c r="H820" s="3"/>
      <c r="AG820" s="91"/>
    </row>
    <row r="821" ht="15.75" customHeight="1">
      <c r="B821" s="3"/>
      <c r="C821" s="3"/>
      <c r="H821" s="3"/>
      <c r="AG821" s="91"/>
    </row>
    <row r="822" ht="15.75" customHeight="1">
      <c r="B822" s="3"/>
      <c r="C822" s="3"/>
      <c r="H822" s="3"/>
      <c r="AG822" s="91"/>
    </row>
    <row r="823" ht="15.75" customHeight="1">
      <c r="B823" s="3"/>
      <c r="C823" s="3"/>
      <c r="H823" s="3"/>
      <c r="AG823" s="91"/>
    </row>
    <row r="824" ht="15.75" customHeight="1">
      <c r="B824" s="3"/>
      <c r="C824" s="3"/>
      <c r="H824" s="3"/>
      <c r="AG824" s="91"/>
    </row>
    <row r="825" ht="15.75" customHeight="1">
      <c r="B825" s="3"/>
      <c r="C825" s="3"/>
      <c r="H825" s="3"/>
      <c r="AG825" s="91"/>
    </row>
    <row r="826" ht="15.75" customHeight="1">
      <c r="B826" s="3"/>
      <c r="C826" s="3"/>
      <c r="H826" s="3"/>
      <c r="AG826" s="91"/>
    </row>
    <row r="827" ht="15.75" customHeight="1">
      <c r="B827" s="3"/>
      <c r="C827" s="3"/>
      <c r="H827" s="3"/>
      <c r="AG827" s="91"/>
    </row>
    <row r="828" ht="15.75" customHeight="1">
      <c r="B828" s="3"/>
      <c r="C828" s="3"/>
      <c r="H828" s="3"/>
      <c r="AG828" s="91"/>
    </row>
    <row r="829" ht="15.75" customHeight="1">
      <c r="B829" s="3"/>
      <c r="C829" s="3"/>
      <c r="H829" s="3"/>
      <c r="AG829" s="91"/>
    </row>
    <row r="830" ht="15.75" customHeight="1">
      <c r="B830" s="3"/>
      <c r="C830" s="3"/>
      <c r="H830" s="3"/>
      <c r="AG830" s="91"/>
    </row>
    <row r="831" ht="15.75" customHeight="1">
      <c r="B831" s="3"/>
      <c r="C831" s="3"/>
      <c r="H831" s="3"/>
      <c r="AG831" s="91"/>
    </row>
    <row r="832" ht="15.75" customHeight="1">
      <c r="B832" s="3"/>
      <c r="C832" s="3"/>
      <c r="H832" s="3"/>
      <c r="AG832" s="91"/>
    </row>
    <row r="833" ht="15.75" customHeight="1">
      <c r="B833" s="3"/>
      <c r="C833" s="3"/>
      <c r="H833" s="3"/>
      <c r="AG833" s="91"/>
    </row>
    <row r="834" ht="15.75" customHeight="1">
      <c r="B834" s="3"/>
      <c r="C834" s="3"/>
      <c r="H834" s="3"/>
      <c r="AG834" s="91"/>
    </row>
    <row r="835" ht="15.75" customHeight="1">
      <c r="B835" s="3"/>
      <c r="C835" s="3"/>
      <c r="H835" s="3"/>
      <c r="AG835" s="91"/>
    </row>
    <row r="836" ht="15.75" customHeight="1">
      <c r="B836" s="3"/>
      <c r="C836" s="3"/>
      <c r="H836" s="3"/>
      <c r="AG836" s="91"/>
    </row>
    <row r="837" ht="15.75" customHeight="1">
      <c r="B837" s="3"/>
      <c r="C837" s="3"/>
      <c r="H837" s="3"/>
      <c r="AG837" s="91"/>
    </row>
    <row r="838" ht="15.75" customHeight="1">
      <c r="B838" s="3"/>
      <c r="C838" s="3"/>
      <c r="H838" s="3"/>
      <c r="AG838" s="91"/>
    </row>
    <row r="839" ht="15.75" customHeight="1">
      <c r="B839" s="3"/>
      <c r="C839" s="3"/>
      <c r="H839" s="3"/>
      <c r="AG839" s="91"/>
    </row>
    <row r="840" ht="15.75" customHeight="1">
      <c r="B840" s="3"/>
      <c r="C840" s="3"/>
      <c r="H840" s="3"/>
      <c r="AG840" s="91"/>
    </row>
    <row r="841" ht="15.75" customHeight="1">
      <c r="B841" s="3"/>
      <c r="C841" s="3"/>
      <c r="H841" s="3"/>
      <c r="AG841" s="91"/>
    </row>
    <row r="842" ht="15.75" customHeight="1">
      <c r="B842" s="3"/>
      <c r="C842" s="3"/>
      <c r="H842" s="3"/>
      <c r="AG842" s="91"/>
    </row>
    <row r="843" ht="15.75" customHeight="1">
      <c r="B843" s="3"/>
      <c r="C843" s="3"/>
      <c r="H843" s="3"/>
      <c r="AG843" s="91"/>
    </row>
    <row r="844" ht="15.75" customHeight="1">
      <c r="B844" s="3"/>
      <c r="C844" s="3"/>
      <c r="H844" s="3"/>
      <c r="AG844" s="91"/>
    </row>
    <row r="845" ht="15.75" customHeight="1">
      <c r="B845" s="3"/>
      <c r="C845" s="3"/>
      <c r="H845" s="3"/>
      <c r="AG845" s="91"/>
    </row>
    <row r="846" ht="15.75" customHeight="1">
      <c r="B846" s="3"/>
      <c r="C846" s="3"/>
      <c r="H846" s="3"/>
      <c r="AG846" s="91"/>
    </row>
    <row r="847" ht="15.75" customHeight="1">
      <c r="B847" s="3"/>
      <c r="C847" s="3"/>
      <c r="H847" s="3"/>
      <c r="AG847" s="91"/>
    </row>
    <row r="848" ht="15.75" customHeight="1">
      <c r="B848" s="3"/>
      <c r="C848" s="3"/>
      <c r="H848" s="3"/>
      <c r="AG848" s="91"/>
    </row>
    <row r="849" ht="15.75" customHeight="1">
      <c r="B849" s="3"/>
      <c r="C849" s="3"/>
      <c r="H849" s="3"/>
      <c r="AG849" s="91"/>
    </row>
    <row r="850" ht="15.75" customHeight="1">
      <c r="B850" s="3"/>
      <c r="C850" s="3"/>
      <c r="H850" s="3"/>
      <c r="AG850" s="91"/>
    </row>
    <row r="851" ht="15.75" customHeight="1">
      <c r="B851" s="3"/>
      <c r="C851" s="3"/>
      <c r="H851" s="3"/>
      <c r="AG851" s="91"/>
    </row>
    <row r="852" ht="15.75" customHeight="1">
      <c r="B852" s="3"/>
      <c r="C852" s="3"/>
      <c r="H852" s="3"/>
      <c r="AG852" s="91"/>
    </row>
    <row r="853" ht="15.75" customHeight="1">
      <c r="B853" s="3"/>
      <c r="C853" s="3"/>
      <c r="H853" s="3"/>
      <c r="AG853" s="91"/>
    </row>
    <row r="854" ht="15.75" customHeight="1">
      <c r="B854" s="3"/>
      <c r="C854" s="3"/>
      <c r="H854" s="3"/>
      <c r="AG854" s="91"/>
    </row>
    <row r="855" ht="15.75" customHeight="1">
      <c r="B855" s="3"/>
      <c r="C855" s="3"/>
      <c r="H855" s="3"/>
      <c r="AG855" s="91"/>
    </row>
    <row r="856" ht="15.75" customHeight="1">
      <c r="B856" s="3"/>
      <c r="C856" s="3"/>
      <c r="H856" s="3"/>
      <c r="AG856" s="91"/>
    </row>
    <row r="857" ht="15.75" customHeight="1">
      <c r="B857" s="3"/>
      <c r="C857" s="3"/>
      <c r="H857" s="3"/>
      <c r="AG857" s="91"/>
    </row>
    <row r="858" ht="15.75" customHeight="1">
      <c r="B858" s="3"/>
      <c r="C858" s="3"/>
      <c r="H858" s="3"/>
      <c r="AG858" s="91"/>
    </row>
    <row r="859" ht="15.75" customHeight="1">
      <c r="B859" s="3"/>
      <c r="C859" s="3"/>
      <c r="H859" s="3"/>
      <c r="AG859" s="91"/>
    </row>
    <row r="860" ht="15.75" customHeight="1">
      <c r="B860" s="3"/>
      <c r="C860" s="3"/>
      <c r="H860" s="3"/>
      <c r="AG860" s="91"/>
    </row>
    <row r="861" ht="15.75" customHeight="1">
      <c r="B861" s="3"/>
      <c r="C861" s="3"/>
      <c r="H861" s="3"/>
      <c r="AG861" s="91"/>
    </row>
    <row r="862" ht="15.75" customHeight="1">
      <c r="B862" s="3"/>
      <c r="C862" s="3"/>
      <c r="H862" s="3"/>
      <c r="AG862" s="91"/>
    </row>
    <row r="863" ht="15.75" customHeight="1">
      <c r="B863" s="3"/>
      <c r="C863" s="3"/>
      <c r="H863" s="3"/>
      <c r="AG863" s="91"/>
    </row>
    <row r="864" ht="15.75" customHeight="1">
      <c r="B864" s="3"/>
      <c r="C864" s="3"/>
      <c r="H864" s="3"/>
      <c r="AG864" s="91"/>
    </row>
    <row r="865" ht="15.75" customHeight="1">
      <c r="B865" s="3"/>
      <c r="C865" s="3"/>
      <c r="H865" s="3"/>
      <c r="AG865" s="91"/>
    </row>
    <row r="866" ht="15.75" customHeight="1">
      <c r="B866" s="3"/>
      <c r="C866" s="3"/>
      <c r="H866" s="3"/>
      <c r="AG866" s="91"/>
    </row>
    <row r="867" ht="15.75" customHeight="1">
      <c r="B867" s="3"/>
      <c r="C867" s="3"/>
      <c r="H867" s="3"/>
      <c r="AG867" s="91"/>
    </row>
    <row r="868" ht="15.75" customHeight="1">
      <c r="B868" s="3"/>
      <c r="C868" s="3"/>
      <c r="H868" s="3"/>
      <c r="AG868" s="91"/>
    </row>
    <row r="869" ht="15.75" customHeight="1">
      <c r="B869" s="3"/>
      <c r="C869" s="3"/>
      <c r="H869" s="3"/>
      <c r="AG869" s="91"/>
    </row>
    <row r="870" ht="15.75" customHeight="1">
      <c r="B870" s="3"/>
      <c r="C870" s="3"/>
      <c r="H870" s="3"/>
      <c r="AG870" s="91"/>
    </row>
    <row r="871" ht="15.75" customHeight="1">
      <c r="B871" s="3"/>
      <c r="C871" s="3"/>
      <c r="H871" s="3"/>
      <c r="AG871" s="91"/>
    </row>
    <row r="872" ht="15.75" customHeight="1">
      <c r="B872" s="3"/>
      <c r="C872" s="3"/>
      <c r="H872" s="3"/>
      <c r="AG872" s="91"/>
    </row>
    <row r="873" ht="15.75" customHeight="1">
      <c r="B873" s="3"/>
      <c r="C873" s="3"/>
      <c r="H873" s="3"/>
      <c r="AG873" s="91"/>
    </row>
    <row r="874" ht="15.75" customHeight="1">
      <c r="B874" s="3"/>
      <c r="C874" s="3"/>
      <c r="H874" s="3"/>
      <c r="AG874" s="91"/>
    </row>
    <row r="875" ht="15.75" customHeight="1">
      <c r="B875" s="3"/>
      <c r="C875" s="3"/>
      <c r="H875" s="3"/>
      <c r="AG875" s="91"/>
    </row>
    <row r="876" ht="15.75" customHeight="1">
      <c r="B876" s="3"/>
      <c r="C876" s="3"/>
      <c r="H876" s="3"/>
      <c r="AG876" s="91"/>
    </row>
    <row r="877" ht="15.75" customHeight="1">
      <c r="B877" s="3"/>
      <c r="C877" s="3"/>
      <c r="H877" s="3"/>
      <c r="AG877" s="91"/>
    </row>
    <row r="878" ht="15.75" customHeight="1">
      <c r="B878" s="3"/>
      <c r="C878" s="3"/>
      <c r="H878" s="3"/>
      <c r="AG878" s="91"/>
    </row>
    <row r="879" ht="15.75" customHeight="1">
      <c r="B879" s="3"/>
      <c r="C879" s="3"/>
      <c r="H879" s="3"/>
      <c r="AG879" s="91"/>
    </row>
    <row r="880" ht="15.75" customHeight="1">
      <c r="B880" s="3"/>
      <c r="C880" s="3"/>
      <c r="H880" s="3"/>
      <c r="AG880" s="91"/>
    </row>
    <row r="881" ht="15.75" customHeight="1">
      <c r="B881" s="3"/>
      <c r="C881" s="3"/>
      <c r="H881" s="3"/>
      <c r="AG881" s="91"/>
    </row>
    <row r="882" ht="15.75" customHeight="1">
      <c r="B882" s="3"/>
      <c r="C882" s="3"/>
      <c r="H882" s="3"/>
      <c r="AG882" s="91"/>
    </row>
    <row r="883" ht="15.75" customHeight="1">
      <c r="B883" s="3"/>
      <c r="C883" s="3"/>
      <c r="H883" s="3"/>
      <c r="AG883" s="91"/>
    </row>
    <row r="884" ht="15.75" customHeight="1">
      <c r="B884" s="3"/>
      <c r="C884" s="3"/>
      <c r="H884" s="3"/>
      <c r="AG884" s="91"/>
    </row>
    <row r="885" ht="15.75" customHeight="1">
      <c r="B885" s="3"/>
      <c r="C885" s="3"/>
      <c r="H885" s="3"/>
      <c r="AG885" s="91"/>
    </row>
    <row r="886" ht="15.75" customHeight="1">
      <c r="B886" s="3"/>
      <c r="C886" s="3"/>
      <c r="H886" s="3"/>
      <c r="AG886" s="91"/>
    </row>
    <row r="887" ht="15.75" customHeight="1">
      <c r="B887" s="3"/>
      <c r="C887" s="3"/>
      <c r="H887" s="3"/>
      <c r="AG887" s="91"/>
    </row>
    <row r="888" ht="15.75" customHeight="1">
      <c r="B888" s="3"/>
      <c r="C888" s="3"/>
      <c r="H888" s="3"/>
      <c r="AG888" s="91"/>
    </row>
    <row r="889" ht="15.75" customHeight="1">
      <c r="B889" s="3"/>
      <c r="C889" s="3"/>
      <c r="H889" s="3"/>
      <c r="AG889" s="91"/>
    </row>
    <row r="890" ht="15.75" customHeight="1">
      <c r="B890" s="3"/>
      <c r="C890" s="3"/>
      <c r="H890" s="3"/>
      <c r="AG890" s="91"/>
    </row>
    <row r="891" ht="15.75" customHeight="1">
      <c r="B891" s="3"/>
      <c r="C891" s="3"/>
      <c r="H891" s="3"/>
      <c r="AG891" s="91"/>
    </row>
    <row r="892" ht="15.75" customHeight="1">
      <c r="B892" s="3"/>
      <c r="C892" s="3"/>
      <c r="H892" s="3"/>
      <c r="AG892" s="91"/>
    </row>
    <row r="893" ht="15.75" customHeight="1">
      <c r="B893" s="3"/>
      <c r="C893" s="3"/>
      <c r="H893" s="3"/>
      <c r="AG893" s="91"/>
    </row>
    <row r="894" ht="15.75" customHeight="1">
      <c r="B894" s="3"/>
      <c r="C894" s="3"/>
      <c r="H894" s="3"/>
      <c r="AG894" s="91"/>
    </row>
    <row r="895" ht="15.75" customHeight="1">
      <c r="B895" s="3"/>
      <c r="C895" s="3"/>
      <c r="H895" s="3"/>
      <c r="AG895" s="91"/>
    </row>
    <row r="896" ht="15.75" customHeight="1">
      <c r="B896" s="3"/>
      <c r="C896" s="3"/>
      <c r="H896" s="3"/>
      <c r="AG896" s="91"/>
    </row>
    <row r="897" ht="15.75" customHeight="1">
      <c r="B897" s="3"/>
      <c r="C897" s="3"/>
      <c r="H897" s="3"/>
      <c r="AG897" s="91"/>
    </row>
    <row r="898" ht="15.75" customHeight="1">
      <c r="B898" s="3"/>
      <c r="C898" s="3"/>
      <c r="H898" s="3"/>
      <c r="AG898" s="91"/>
    </row>
    <row r="899" ht="15.75" customHeight="1">
      <c r="B899" s="3"/>
      <c r="C899" s="3"/>
      <c r="H899" s="3"/>
      <c r="AG899" s="91"/>
    </row>
    <row r="900" ht="15.75" customHeight="1">
      <c r="B900" s="3"/>
      <c r="C900" s="3"/>
      <c r="H900" s="3"/>
      <c r="AG900" s="91"/>
    </row>
    <row r="901" ht="15.75" customHeight="1">
      <c r="B901" s="3"/>
      <c r="C901" s="3"/>
      <c r="H901" s="3"/>
      <c r="AG901" s="91"/>
    </row>
    <row r="902" ht="15.75" customHeight="1">
      <c r="B902" s="3"/>
      <c r="C902" s="3"/>
      <c r="H902" s="3"/>
      <c r="AG902" s="91"/>
    </row>
    <row r="903" ht="15.75" customHeight="1">
      <c r="B903" s="3"/>
      <c r="C903" s="3"/>
      <c r="H903" s="3"/>
      <c r="AG903" s="91"/>
    </row>
    <row r="904" ht="15.75" customHeight="1">
      <c r="B904" s="3"/>
      <c r="C904" s="3"/>
      <c r="H904" s="3"/>
      <c r="AG904" s="91"/>
    </row>
    <row r="905" ht="15.75" customHeight="1">
      <c r="B905" s="3"/>
      <c r="C905" s="3"/>
      <c r="H905" s="3"/>
      <c r="AG905" s="91"/>
    </row>
    <row r="906" ht="15.75" customHeight="1">
      <c r="B906" s="3"/>
      <c r="C906" s="3"/>
      <c r="H906" s="3"/>
      <c r="AG906" s="91"/>
    </row>
    <row r="907" ht="15.75" customHeight="1">
      <c r="B907" s="3"/>
      <c r="C907" s="3"/>
      <c r="H907" s="3"/>
      <c r="AG907" s="91"/>
    </row>
    <row r="908" ht="15.75" customHeight="1">
      <c r="B908" s="3"/>
      <c r="C908" s="3"/>
      <c r="H908" s="3"/>
      <c r="AG908" s="91"/>
    </row>
    <row r="909" ht="15.75" customHeight="1">
      <c r="B909" s="3"/>
      <c r="C909" s="3"/>
      <c r="H909" s="3"/>
      <c r="AG909" s="91"/>
    </row>
    <row r="910" ht="15.75" customHeight="1">
      <c r="B910" s="3"/>
      <c r="C910" s="3"/>
      <c r="H910" s="3"/>
      <c r="AG910" s="91"/>
    </row>
    <row r="911" ht="15.75" customHeight="1">
      <c r="B911" s="3"/>
      <c r="C911" s="3"/>
      <c r="H911" s="3"/>
      <c r="AG911" s="91"/>
    </row>
    <row r="912" ht="15.75" customHeight="1">
      <c r="B912" s="3"/>
      <c r="C912" s="3"/>
      <c r="H912" s="3"/>
      <c r="AG912" s="91"/>
    </row>
    <row r="913" ht="15.75" customHeight="1">
      <c r="B913" s="3"/>
      <c r="C913" s="3"/>
      <c r="H913" s="3"/>
      <c r="AG913" s="91"/>
    </row>
    <row r="914" ht="15.75" customHeight="1">
      <c r="B914" s="3"/>
      <c r="C914" s="3"/>
      <c r="H914" s="3"/>
      <c r="AG914" s="91"/>
    </row>
    <row r="915" ht="15.75" customHeight="1">
      <c r="B915" s="3"/>
      <c r="C915" s="3"/>
      <c r="H915" s="3"/>
      <c r="AG915" s="91"/>
    </row>
    <row r="916" ht="15.75" customHeight="1">
      <c r="B916" s="3"/>
      <c r="C916" s="3"/>
      <c r="H916" s="3"/>
      <c r="AG916" s="91"/>
    </row>
    <row r="917" ht="15.75" customHeight="1">
      <c r="B917" s="3"/>
      <c r="C917" s="3"/>
      <c r="H917" s="3"/>
      <c r="AG917" s="91"/>
    </row>
    <row r="918" ht="15.75" customHeight="1">
      <c r="B918" s="3"/>
      <c r="C918" s="3"/>
      <c r="H918" s="3"/>
      <c r="AG918" s="91"/>
    </row>
    <row r="919" ht="15.75" customHeight="1">
      <c r="B919" s="3"/>
      <c r="C919" s="3"/>
      <c r="H919" s="3"/>
      <c r="AG919" s="91"/>
    </row>
    <row r="920" ht="15.75" customHeight="1">
      <c r="B920" s="3"/>
      <c r="C920" s="3"/>
      <c r="H920" s="3"/>
      <c r="AG920" s="91"/>
    </row>
    <row r="921" ht="15.75" customHeight="1">
      <c r="B921" s="3"/>
      <c r="C921" s="3"/>
      <c r="H921" s="3"/>
      <c r="AG921" s="91"/>
    </row>
    <row r="922" ht="15.75" customHeight="1">
      <c r="B922" s="3"/>
      <c r="C922" s="3"/>
      <c r="H922" s="3"/>
      <c r="AG922" s="91"/>
    </row>
    <row r="923" ht="15.75" customHeight="1">
      <c r="B923" s="3"/>
      <c r="C923" s="3"/>
      <c r="H923" s="3"/>
      <c r="AG923" s="91"/>
    </row>
    <row r="924" ht="15.75" customHeight="1">
      <c r="B924" s="3"/>
      <c r="C924" s="3"/>
      <c r="H924" s="3"/>
      <c r="AG924" s="91"/>
    </row>
    <row r="925" ht="15.75" customHeight="1">
      <c r="B925" s="3"/>
      <c r="C925" s="3"/>
      <c r="H925" s="3"/>
      <c r="AG925" s="91"/>
    </row>
    <row r="926" ht="15.75" customHeight="1">
      <c r="B926" s="3"/>
      <c r="C926" s="3"/>
      <c r="H926" s="3"/>
      <c r="AG926" s="91"/>
    </row>
    <row r="927" ht="15.75" customHeight="1">
      <c r="B927" s="3"/>
      <c r="C927" s="3"/>
      <c r="H927" s="3"/>
      <c r="AG927" s="91"/>
    </row>
    <row r="928" ht="15.75" customHeight="1">
      <c r="B928" s="3"/>
      <c r="C928" s="3"/>
      <c r="H928" s="3"/>
      <c r="AG928" s="91"/>
    </row>
    <row r="929" ht="15.75" customHeight="1">
      <c r="B929" s="3"/>
      <c r="C929" s="3"/>
      <c r="H929" s="3"/>
      <c r="AG929" s="91"/>
    </row>
    <row r="930" ht="15.75" customHeight="1">
      <c r="B930" s="3"/>
      <c r="C930" s="3"/>
      <c r="H930" s="3"/>
      <c r="AG930" s="91"/>
    </row>
    <row r="931" ht="15.75" customHeight="1">
      <c r="B931" s="3"/>
      <c r="C931" s="3"/>
      <c r="H931" s="3"/>
      <c r="AG931" s="91"/>
    </row>
    <row r="932" ht="15.75" customHeight="1">
      <c r="B932" s="3"/>
      <c r="C932" s="3"/>
      <c r="H932" s="3"/>
      <c r="AG932" s="91"/>
    </row>
    <row r="933" ht="15.75" customHeight="1">
      <c r="B933" s="3"/>
      <c r="C933" s="3"/>
      <c r="H933" s="3"/>
      <c r="AG933" s="91"/>
    </row>
    <row r="934" ht="15.75" customHeight="1">
      <c r="B934" s="3"/>
      <c r="C934" s="3"/>
      <c r="H934" s="3"/>
      <c r="AG934" s="91"/>
    </row>
    <row r="935" ht="15.75" customHeight="1">
      <c r="B935" s="3"/>
      <c r="C935" s="3"/>
      <c r="H935" s="3"/>
      <c r="AG935" s="91"/>
    </row>
    <row r="936" ht="15.75" customHeight="1">
      <c r="B936" s="3"/>
      <c r="C936" s="3"/>
      <c r="H936" s="3"/>
      <c r="AG936" s="91"/>
    </row>
    <row r="937" ht="15.75" customHeight="1">
      <c r="B937" s="3"/>
      <c r="C937" s="3"/>
      <c r="H937" s="3"/>
      <c r="AG937" s="91"/>
    </row>
    <row r="938" ht="15.75" customHeight="1">
      <c r="B938" s="3"/>
      <c r="C938" s="3"/>
      <c r="H938" s="3"/>
      <c r="AG938" s="91"/>
    </row>
    <row r="939" ht="15.75" customHeight="1">
      <c r="B939" s="3"/>
      <c r="C939" s="3"/>
      <c r="H939" s="3"/>
      <c r="AG939" s="91"/>
    </row>
    <row r="940" ht="15.75" customHeight="1">
      <c r="B940" s="3"/>
      <c r="C940" s="3"/>
      <c r="H940" s="3"/>
      <c r="AG940" s="91"/>
    </row>
    <row r="941" ht="15.75" customHeight="1">
      <c r="B941" s="3"/>
      <c r="C941" s="3"/>
      <c r="H941" s="3"/>
      <c r="AG941" s="91"/>
    </row>
    <row r="942" ht="15.75" customHeight="1">
      <c r="B942" s="3"/>
      <c r="C942" s="3"/>
      <c r="H942" s="3"/>
      <c r="AG942" s="91"/>
    </row>
    <row r="943" ht="15.75" customHeight="1">
      <c r="B943" s="3"/>
      <c r="C943" s="3"/>
      <c r="H943" s="3"/>
      <c r="AG943" s="91"/>
    </row>
    <row r="944" ht="15.75" customHeight="1">
      <c r="B944" s="3"/>
      <c r="C944" s="3"/>
      <c r="H944" s="3"/>
      <c r="AG944" s="91"/>
    </row>
    <row r="945" ht="15.75" customHeight="1">
      <c r="B945" s="3"/>
      <c r="C945" s="3"/>
      <c r="H945" s="3"/>
      <c r="AG945" s="91"/>
    </row>
    <row r="946" ht="15.75" customHeight="1">
      <c r="B946" s="3"/>
      <c r="C946" s="3"/>
      <c r="H946" s="3"/>
      <c r="AG946" s="91"/>
    </row>
    <row r="947" ht="15.75" customHeight="1">
      <c r="B947" s="3"/>
      <c r="C947" s="3"/>
      <c r="H947" s="3"/>
      <c r="AG947" s="91"/>
    </row>
    <row r="948" ht="15.75" customHeight="1">
      <c r="B948" s="3"/>
      <c r="C948" s="3"/>
      <c r="H948" s="3"/>
      <c r="AG948" s="91"/>
    </row>
    <row r="949" ht="15.75" customHeight="1">
      <c r="B949" s="3"/>
      <c r="C949" s="3"/>
      <c r="H949" s="3"/>
      <c r="AG949" s="91"/>
    </row>
    <row r="950" ht="15.75" customHeight="1">
      <c r="B950" s="3"/>
      <c r="C950" s="3"/>
      <c r="H950" s="3"/>
      <c r="AG950" s="91"/>
    </row>
    <row r="951" ht="15.75" customHeight="1">
      <c r="B951" s="3"/>
      <c r="C951" s="3"/>
      <c r="H951" s="3"/>
      <c r="AG951" s="91"/>
    </row>
    <row r="952" ht="15.75" customHeight="1">
      <c r="B952" s="3"/>
      <c r="C952" s="3"/>
      <c r="H952" s="3"/>
      <c r="AG952" s="91"/>
    </row>
    <row r="953" ht="15.75" customHeight="1">
      <c r="B953" s="3"/>
      <c r="C953" s="3"/>
      <c r="H953" s="3"/>
      <c r="AG953" s="91"/>
    </row>
    <row r="954" ht="15.75" customHeight="1">
      <c r="B954" s="3"/>
      <c r="C954" s="3"/>
      <c r="H954" s="3"/>
      <c r="AG954" s="91"/>
    </row>
    <row r="955" ht="15.75" customHeight="1">
      <c r="B955" s="3"/>
      <c r="C955" s="3"/>
      <c r="H955" s="3"/>
      <c r="AG955" s="91"/>
    </row>
    <row r="956" ht="15.75" customHeight="1">
      <c r="B956" s="3"/>
      <c r="C956" s="3"/>
      <c r="H956" s="3"/>
      <c r="AG956" s="91"/>
    </row>
    <row r="957" ht="15.75" customHeight="1">
      <c r="B957" s="3"/>
      <c r="C957" s="3"/>
      <c r="H957" s="3"/>
      <c r="AG957" s="91"/>
    </row>
    <row r="958" ht="15.75" customHeight="1">
      <c r="B958" s="3"/>
      <c r="C958" s="3"/>
      <c r="H958" s="3"/>
      <c r="AG958" s="91"/>
    </row>
    <row r="959" ht="15.75" customHeight="1">
      <c r="B959" s="3"/>
      <c r="C959" s="3"/>
      <c r="H959" s="3"/>
      <c r="AG959" s="91"/>
    </row>
    <row r="960" ht="15.75" customHeight="1">
      <c r="B960" s="3"/>
      <c r="C960" s="3"/>
      <c r="H960" s="3"/>
      <c r="AG960" s="91"/>
    </row>
    <row r="961" ht="15.75" customHeight="1">
      <c r="B961" s="3"/>
      <c r="C961" s="3"/>
      <c r="H961" s="3"/>
      <c r="AG961" s="91"/>
    </row>
    <row r="962" ht="15.75" customHeight="1">
      <c r="B962" s="3"/>
      <c r="C962" s="3"/>
      <c r="H962" s="3"/>
      <c r="AG962" s="91"/>
    </row>
    <row r="963" ht="15.75" customHeight="1">
      <c r="B963" s="3"/>
      <c r="C963" s="3"/>
      <c r="H963" s="3"/>
      <c r="AG963" s="91"/>
    </row>
    <row r="964" ht="15.75" customHeight="1">
      <c r="B964" s="3"/>
      <c r="C964" s="3"/>
      <c r="H964" s="3"/>
      <c r="AG964" s="91"/>
    </row>
    <row r="965" ht="15.75" customHeight="1">
      <c r="B965" s="3"/>
      <c r="C965" s="3"/>
      <c r="H965" s="3"/>
      <c r="AG965" s="91"/>
    </row>
    <row r="966" ht="15.75" customHeight="1">
      <c r="B966" s="3"/>
      <c r="C966" s="3"/>
      <c r="H966" s="3"/>
      <c r="AG966" s="91"/>
    </row>
    <row r="967" ht="15.75" customHeight="1">
      <c r="B967" s="3"/>
      <c r="C967" s="3"/>
      <c r="H967" s="3"/>
      <c r="AG967" s="91"/>
    </row>
    <row r="968" ht="15.75" customHeight="1">
      <c r="B968" s="3"/>
      <c r="C968" s="3"/>
      <c r="H968" s="3"/>
      <c r="AG968" s="91"/>
    </row>
    <row r="969" ht="15.75" customHeight="1">
      <c r="B969" s="3"/>
      <c r="C969" s="3"/>
      <c r="H969" s="3"/>
      <c r="AG969" s="91"/>
    </row>
    <row r="970" ht="15.75" customHeight="1">
      <c r="B970" s="3"/>
      <c r="C970" s="3"/>
      <c r="H970" s="3"/>
      <c r="AG970" s="91"/>
    </row>
    <row r="971" ht="15.75" customHeight="1">
      <c r="B971" s="3"/>
      <c r="C971" s="3"/>
      <c r="H971" s="3"/>
      <c r="AG971" s="91"/>
    </row>
    <row r="972" ht="15.75" customHeight="1">
      <c r="B972" s="3"/>
      <c r="C972" s="3"/>
      <c r="H972" s="3"/>
      <c r="AG972" s="91"/>
    </row>
    <row r="973" ht="15.75" customHeight="1">
      <c r="B973" s="3"/>
      <c r="C973" s="3"/>
      <c r="H973" s="3"/>
      <c r="AG973" s="91"/>
    </row>
    <row r="974" ht="15.75" customHeight="1">
      <c r="B974" s="3"/>
      <c r="C974" s="3"/>
      <c r="H974" s="3"/>
      <c r="AG974" s="91"/>
    </row>
    <row r="975" ht="15.75" customHeight="1">
      <c r="B975" s="3"/>
      <c r="C975" s="3"/>
      <c r="H975" s="3"/>
      <c r="AG975" s="91"/>
    </row>
    <row r="976" ht="15.75" customHeight="1">
      <c r="B976" s="3"/>
      <c r="C976" s="3"/>
      <c r="H976" s="3"/>
      <c r="AG976" s="91"/>
    </row>
    <row r="977" ht="15.75" customHeight="1">
      <c r="B977" s="3"/>
      <c r="C977" s="3"/>
      <c r="H977" s="3"/>
      <c r="AG977" s="91"/>
    </row>
    <row r="978" ht="15.75" customHeight="1">
      <c r="B978" s="3"/>
      <c r="C978" s="3"/>
      <c r="H978" s="3"/>
      <c r="AG978" s="91"/>
    </row>
    <row r="979" ht="15.75" customHeight="1">
      <c r="B979" s="3"/>
      <c r="C979" s="3"/>
      <c r="H979" s="3"/>
      <c r="AG979" s="91"/>
    </row>
    <row r="980" ht="15.75" customHeight="1">
      <c r="B980" s="3"/>
      <c r="C980" s="3"/>
      <c r="H980" s="3"/>
      <c r="AG980" s="91"/>
    </row>
    <row r="981" ht="15.75" customHeight="1">
      <c r="B981" s="3"/>
      <c r="C981" s="3"/>
      <c r="H981" s="3"/>
      <c r="AG981" s="91"/>
    </row>
    <row r="982" ht="15.75" customHeight="1">
      <c r="B982" s="3"/>
      <c r="C982" s="3"/>
      <c r="H982" s="3"/>
      <c r="AG982" s="91"/>
    </row>
    <row r="983" ht="15.75" customHeight="1">
      <c r="B983" s="3"/>
      <c r="C983" s="3"/>
      <c r="H983" s="3"/>
      <c r="AG983" s="91"/>
    </row>
    <row r="984" ht="15.75" customHeight="1">
      <c r="B984" s="3"/>
      <c r="C984" s="3"/>
      <c r="H984" s="3"/>
      <c r="AG984" s="91"/>
    </row>
    <row r="985" ht="15.75" customHeight="1">
      <c r="B985" s="3"/>
      <c r="C985" s="3"/>
      <c r="H985" s="3"/>
      <c r="AG985" s="91"/>
    </row>
    <row r="986" ht="15.75" customHeight="1">
      <c r="B986" s="3"/>
      <c r="C986" s="3"/>
      <c r="H986" s="3"/>
      <c r="AG986" s="91"/>
    </row>
    <row r="987" ht="15.75" customHeight="1">
      <c r="B987" s="3"/>
      <c r="C987" s="3"/>
      <c r="H987" s="3"/>
      <c r="AG987" s="91"/>
    </row>
    <row r="988" ht="15.75" customHeight="1">
      <c r="B988" s="3"/>
      <c r="C988" s="3"/>
      <c r="H988" s="3"/>
      <c r="AG988" s="91"/>
    </row>
    <row r="989" ht="15.75" customHeight="1">
      <c r="B989" s="3"/>
      <c r="C989" s="3"/>
      <c r="H989" s="3"/>
      <c r="AG989" s="91"/>
    </row>
    <row r="990" ht="15.75" customHeight="1">
      <c r="B990" s="3"/>
      <c r="C990" s="3"/>
      <c r="H990" s="3"/>
      <c r="AG990" s="91"/>
    </row>
    <row r="991" ht="15.75" customHeight="1">
      <c r="B991" s="3"/>
      <c r="C991" s="3"/>
      <c r="H991" s="3"/>
      <c r="AG991" s="91"/>
    </row>
    <row r="992" ht="15.75" customHeight="1">
      <c r="B992" s="3"/>
      <c r="C992" s="3"/>
      <c r="H992" s="3"/>
      <c r="AG992" s="91"/>
    </row>
    <row r="993" ht="15.75" customHeight="1">
      <c r="B993" s="3"/>
      <c r="C993" s="3"/>
      <c r="H993" s="3"/>
      <c r="AG993" s="91"/>
    </row>
    <row r="994" ht="15.75" customHeight="1">
      <c r="B994" s="3"/>
      <c r="C994" s="3"/>
      <c r="H994" s="3"/>
      <c r="AG994" s="91"/>
    </row>
    <row r="995" ht="15.75" customHeight="1">
      <c r="B995" s="3"/>
      <c r="C995" s="3"/>
      <c r="H995" s="3"/>
      <c r="AG995" s="91"/>
    </row>
    <row r="996" ht="15.75" customHeight="1">
      <c r="B996" s="3"/>
      <c r="C996" s="3"/>
      <c r="H996" s="3"/>
      <c r="AG996" s="91"/>
    </row>
    <row r="997" ht="15.75" customHeight="1">
      <c r="B997" s="3"/>
      <c r="C997" s="3"/>
      <c r="H997" s="3"/>
      <c r="AG997" s="91"/>
    </row>
    <row r="998" ht="15.75" customHeight="1">
      <c r="B998" s="3"/>
      <c r="C998" s="3"/>
      <c r="H998" s="3"/>
      <c r="AG998" s="91"/>
    </row>
    <row r="999" ht="15.75" customHeight="1">
      <c r="B999" s="3"/>
      <c r="C999" s="3"/>
      <c r="H999" s="3"/>
      <c r="AG999" s="91"/>
    </row>
    <row r="1000" ht="15.75" customHeight="1">
      <c r="B1000" s="3"/>
      <c r="C1000" s="3"/>
      <c r="H1000" s="3"/>
      <c r="AG1000" s="91"/>
    </row>
  </sheetData>
  <autoFilter ref="$A$3:$AO$64"/>
  <mergeCells count="2">
    <mergeCell ref="AV5:BD5"/>
    <mergeCell ref="AV26:BA26"/>
  </mergeCells>
  <printOptions/>
  <pageMargins bottom="0.75" footer="0.0" header="0.0" left="0.7" right="0.7" top="0.75"/>
  <pageSetup fitToHeight="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29"/>
    <col customWidth="1" min="3" max="3" width="11.71"/>
    <col customWidth="1" min="4" max="4" width="42.57"/>
    <col customWidth="1" min="5" max="5" width="15.86"/>
    <col customWidth="1" min="6" max="6" width="15.29"/>
    <col customWidth="1" min="7" max="7" width="12.14"/>
    <col customWidth="1" min="8" max="8" width="11.43"/>
    <col customWidth="1" min="9" max="10" width="10.29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7.71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3"/>
      <c r="C1" s="3"/>
      <c r="D1" s="97" t="s">
        <v>540</v>
      </c>
      <c r="E1" s="98">
        <f>+AI3</f>
        <v>6059.911</v>
      </c>
      <c r="F1" s="97" t="s">
        <v>241</v>
      </c>
      <c r="G1" s="98" t="str">
        <f>+$AM3</f>
        <v>#N/A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22"/>
      <c r="C2" s="3"/>
      <c r="D2" s="97" t="s">
        <v>242</v>
      </c>
      <c r="E2" s="98">
        <f>+AH3</f>
        <v>5522.872</v>
      </c>
      <c r="F2" s="99" t="s">
        <v>243</v>
      </c>
      <c r="G2" s="100">
        <f>+Q2</f>
        <v>91.58263538</v>
      </c>
      <c r="H2" s="13"/>
      <c r="I2" s="184">
        <f>SUBTOTAL(9,I4:I813)</f>
        <v>594.28</v>
      </c>
      <c r="J2" s="4"/>
      <c r="K2" s="14">
        <f>SUBTOTAL(9,K4:K813)</f>
        <v>527.095</v>
      </c>
      <c r="L2" s="126">
        <f>+SUMPRODUCT(L5:L813,K5:K813)/K2</f>
        <v>0.3353271137</v>
      </c>
      <c r="M2" s="2"/>
      <c r="O2" s="6"/>
      <c r="P2" s="16">
        <f>+SUMPRODUCT(P4:P813,AH4:AH813)/SUM(AH4:AH813)</f>
        <v>87.3020854</v>
      </c>
      <c r="Q2" s="16">
        <f>+SUMPRODUCT(Q4:Q813,AH4:AH813)/SUM(AH4:AH813)</f>
        <v>91.58263538</v>
      </c>
      <c r="R2" s="12">
        <f>+SUMPRODUCT(R4:R813,AH4:AH813)/SUM(AH4:AH813)</f>
        <v>4452.107103</v>
      </c>
      <c r="S2" s="2"/>
      <c r="AB2" s="7"/>
      <c r="AC2" s="7"/>
      <c r="AD2" s="7"/>
      <c r="AE2" s="7"/>
      <c r="AF2" s="7"/>
      <c r="AG2" s="17" t="str">
        <f>SUMPRODUCT($AG4:$AG813,$K4:$K813)/SUM($K4:$K813)</f>
        <v>#N/A</v>
      </c>
      <c r="AH2" s="18"/>
      <c r="AI2" s="2"/>
      <c r="AJ2" s="19">
        <v>5006.0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3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SUBTOTAL(9,AH4:AH813)</f>
        <v>5522.872</v>
      </c>
      <c r="AI3" s="186">
        <f t="shared" si="1"/>
        <v>6059.911</v>
      </c>
      <c r="AJ3" s="187" t="str">
        <f>SUMPRODUCT(K4:K813,AJ4:AJ813)/K2</f>
        <v>#N/A</v>
      </c>
      <c r="AK3" s="39" t="str">
        <f>SUBTOTAL(9,AK4:AK813)</f>
        <v>#N/A</v>
      </c>
      <c r="AL3" s="11"/>
      <c r="AM3" s="39" t="str">
        <f>SUBTOTAL(9,AM4:AM813)</f>
        <v>#N/A</v>
      </c>
      <c r="AN3" s="127" t="s">
        <v>542</v>
      </c>
      <c r="AO3" s="128" t="s">
        <v>543</v>
      </c>
      <c r="AP3" s="131" t="s">
        <v>544</v>
      </c>
      <c r="AQ3" s="131" t="s">
        <v>545</v>
      </c>
      <c r="AS3" s="129"/>
    </row>
    <row r="4" ht="15.75" customHeight="1">
      <c r="A4" s="41"/>
      <c r="B4" s="43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92" t="s">
        <v>2738</v>
      </c>
      <c r="B5" s="3"/>
      <c r="C5" s="182">
        <v>46008.0</v>
      </c>
      <c r="D5" s="57" t="s">
        <v>295</v>
      </c>
      <c r="E5" s="3">
        <f t="array" ref="E5">XLOOKUP(D5,RUC!$B$3:$B$110,RUC!$D$3:$D$110)</f>
        <v>20601769396</v>
      </c>
      <c r="G5" s="141">
        <v>56.0</v>
      </c>
      <c r="H5" s="3" t="s">
        <v>339</v>
      </c>
      <c r="I5" s="6">
        <v>4.56</v>
      </c>
      <c r="J5" s="58">
        <v>6.0</v>
      </c>
      <c r="K5" s="6">
        <f t="shared" ref="K5:K110" si="2">ROUND(+I5-(I5*(J5/100)),3)</f>
        <v>4.286</v>
      </c>
      <c r="L5" s="139">
        <v>0.09</v>
      </c>
      <c r="M5" s="60">
        <f t="shared" ref="M5:M14" si="3">ROUND(+IF(AN5="Melchor Vera",IF(L5&gt;0.467,L5*0.985,(L5-0.007)),IF(L5&gt;0.3,L5*0.94,(L5-0.018))),3)</f>
        <v>0.072</v>
      </c>
      <c r="N5" s="62">
        <f t="shared" ref="N5:N12" si="4">+M5</f>
        <v>0.072</v>
      </c>
      <c r="O5" s="60">
        <f t="shared" ref="O5:O57" si="5">+ROUND((M5+N5)/2,3)</f>
        <v>0.072</v>
      </c>
      <c r="P5" s="63">
        <v>90.0</v>
      </c>
      <c r="Q5" s="58">
        <v>44.93</v>
      </c>
      <c r="R5" s="65">
        <v>4342.1</v>
      </c>
      <c r="S5" s="66">
        <f t="array" ref="S5">IF((XLOOKUP(D5,RUC!$B$3:$B$106,RUC!$E$3:$E$106)+ROUNDDOWN(O5,1)*100)&lt;95,95,((XLOOKUP(D5,RUC!$B$3:$B$106,RUC!$E$3:$E$106)+ROUNDDOWN(O5,1)*100)))</f>
        <v>95</v>
      </c>
      <c r="U5" s="67">
        <f t="array" ref="U5">XLOOKUP(D5,RUC!$B$3:$B$110,RUC!$F$3:$F$110)</f>
        <v>120</v>
      </c>
      <c r="V5" s="67">
        <v>1.1023</v>
      </c>
      <c r="Y5" s="57">
        <f t="array" ref="Y5">XLOOKUP(D5,RUC!$B$3:$B$110,RUC!$G$3:$G$110)</f>
        <v>20</v>
      </c>
      <c r="Z5" s="69">
        <f t="array" ref="Z5">XLOOKUP(D5,RUC!$B$3:$B$110,RUC!$H$3:$H$110)</f>
        <v>30</v>
      </c>
      <c r="AA5" s="70">
        <f t="shared" ref="AA5:AA110" si="6">+Y5+Z5</f>
        <v>50</v>
      </c>
      <c r="AB5" s="71">
        <v>0.001</v>
      </c>
      <c r="AC5" s="71">
        <f>+(S5-T5)*V5-'data 1'!$F$4</f>
        <v>24.7185</v>
      </c>
      <c r="AD5" s="71">
        <f t="shared" ref="AD5:AD110" si="7">+(Q5-P5)*(R5-U5)*L5*V5/100</f>
        <v>-188.7810469</v>
      </c>
      <c r="AE5" s="71">
        <f t="shared" ref="AE5:AE110" si="8">+(Y5*V5-70)+V5*(Z5-IF(D5="UNTUCA",IF(+((W5-3)*2.5+(X5-3)*3.1)&gt;0,+((W5-3)*1.5+(X5-3)*3.1),0),IF(+((W5-3)*1.5+(X5-3)*3.1)&gt;0,+((W5-3)*1.5+(X5-3)*3.1),0)))</f>
        <v>-14.885</v>
      </c>
      <c r="AF5" s="71">
        <f t="shared" ref="AF5:AF110" si="9">(L5-O5)*(R5-U5)*Q5*V5/100</f>
        <v>37.63892806</v>
      </c>
      <c r="AG5" s="72">
        <f>AC5+AD5+AE5+AF5+70-53+141.75</f>
        <v>17.44138113</v>
      </c>
      <c r="AH5" s="193">
        <f t="shared" ref="AH5:AH110" si="10">ROUND((31.1035*L5*Q5*1.1023*K5/100),3)</f>
        <v>5.942</v>
      </c>
      <c r="AI5" s="193">
        <f t="shared" ref="AI5:AI110" si="11">ROUND((31.1035*L5*1.1023*K5),3)</f>
        <v>13.225</v>
      </c>
      <c r="AJ5" s="73">
        <f t="shared" ref="AJ5:AJ110" si="12">+((+$AJ$2-R5+U5)*L5*Q5*V5)/100</f>
        <v>34.94132743</v>
      </c>
      <c r="AK5" s="73">
        <f t="shared" ref="AK5:AK110" si="13">31.1035*1.1023*K5*P5*O5/100</f>
        <v>9.522176822</v>
      </c>
      <c r="AM5" s="51">
        <f t="shared" ref="AM5:AM110" si="14">+IF(AB5*K5&gt;0,AB5*K5,0)</f>
        <v>0.004286</v>
      </c>
      <c r="AN5" s="51" t="str">
        <f t="array" ref="AN5">XLOOKUP(D5,RUC!$B$3:$B$565,RUC!$M$3:$M$565)</f>
        <v>Evelyn</v>
      </c>
      <c r="AO5" s="131" t="s">
        <v>558</v>
      </c>
      <c r="AP5" s="57" t="s">
        <v>2130</v>
      </c>
      <c r="AQ5" s="57" t="s">
        <v>2649</v>
      </c>
      <c r="AV5" s="149" t="s">
        <v>2739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92" t="s">
        <v>2740</v>
      </c>
      <c r="B6" s="3"/>
      <c r="C6" s="182">
        <v>46008.0</v>
      </c>
      <c r="D6" s="57" t="s">
        <v>295</v>
      </c>
      <c r="E6" s="3">
        <f t="array" ref="E6">XLOOKUP(D6,RUC!$B$3:$B$110,RUC!$D$3:$D$110)</f>
        <v>20601769396</v>
      </c>
      <c r="G6" s="141">
        <v>40.0</v>
      </c>
      <c r="H6" s="3" t="s">
        <v>47</v>
      </c>
      <c r="I6" s="6">
        <v>3.07</v>
      </c>
      <c r="J6" s="58">
        <v>1.2</v>
      </c>
      <c r="K6" s="6">
        <f t="shared" si="2"/>
        <v>3.033</v>
      </c>
      <c r="L6" s="468">
        <v>0.042</v>
      </c>
      <c r="M6" s="60">
        <f t="shared" si="3"/>
        <v>0.024</v>
      </c>
      <c r="N6" s="62">
        <f t="shared" si="4"/>
        <v>0.024</v>
      </c>
      <c r="O6" s="60">
        <f t="shared" si="5"/>
        <v>0.024</v>
      </c>
      <c r="P6" s="63">
        <v>90.0</v>
      </c>
      <c r="Q6" s="58">
        <v>51.22</v>
      </c>
      <c r="R6" s="65">
        <v>4342.1</v>
      </c>
      <c r="S6" s="66">
        <f t="array" ref="S6">IF((XLOOKUP(D6,RUC!$B$3:$B$106,RUC!$E$3:$E$106)+ROUNDDOWN(O6,1)*100)&lt;95,95,((XLOOKUP(D6,RUC!$B$3:$B$106,RUC!$E$3:$E$106)+ROUNDDOWN(O6,1)*100)))</f>
        <v>95</v>
      </c>
      <c r="U6" s="67">
        <f t="array" ref="U6">XLOOKUP(D6,RUC!$B$3:$B$110,RUC!$F$3:$F$110)</f>
        <v>120</v>
      </c>
      <c r="V6" s="67">
        <v>1.1023</v>
      </c>
      <c r="Y6" s="57">
        <f t="array" ref="Y6">XLOOKUP(D6,RUC!$B$3:$B$110,RUC!$G$3:$G$110)</f>
        <v>20</v>
      </c>
      <c r="Z6" s="69">
        <f t="array" ref="Z6">XLOOKUP(D6,RUC!$B$3:$B$110,RUC!$H$3:$H$110)</f>
        <v>30</v>
      </c>
      <c r="AA6" s="70">
        <f t="shared" si="6"/>
        <v>50</v>
      </c>
      <c r="AB6" s="71">
        <f t="shared" ref="AB6:AB7" si="15">+((O6*P6*(R6-U6)/100)-S6-AA6+T6)*V6</f>
        <v>-59.30665007</v>
      </c>
      <c r="AC6" s="71">
        <f>+(S6-T6)*V6-'data 1'!$F$4</f>
        <v>24.7185</v>
      </c>
      <c r="AD6" s="71">
        <f t="shared" si="7"/>
        <v>-75.80282967</v>
      </c>
      <c r="AE6" s="71">
        <f t="shared" si="8"/>
        <v>-14.885</v>
      </c>
      <c r="AF6" s="71">
        <f t="shared" si="9"/>
        <v>42.90821044</v>
      </c>
      <c r="AG6" s="72">
        <f t="shared" ref="AG6:AG9" si="16">AC6+AD6+AE6+AF6+70-53</f>
        <v>-6.061119226</v>
      </c>
      <c r="AH6" s="193">
        <f t="shared" si="10"/>
        <v>2.237</v>
      </c>
      <c r="AI6" s="193">
        <f t="shared" si="11"/>
        <v>4.367</v>
      </c>
      <c r="AJ6" s="73">
        <f t="shared" si="12"/>
        <v>18.58871361</v>
      </c>
      <c r="AK6" s="73">
        <f t="shared" si="13"/>
        <v>2.24613177</v>
      </c>
      <c r="AM6" s="51">
        <f t="shared" si="14"/>
        <v>0</v>
      </c>
      <c r="AN6" s="51" t="str">
        <f t="array" ref="AN6">XLOOKUP(D6,RUC!$B$3:$B$565,RUC!$M$3:$M$565)</f>
        <v>Evelyn</v>
      </c>
      <c r="AO6" s="131" t="s">
        <v>558</v>
      </c>
      <c r="AP6" s="57" t="s">
        <v>2130</v>
      </c>
      <c r="AQ6" s="57" t="s">
        <v>2649</v>
      </c>
      <c r="AV6" s="131"/>
      <c r="AW6" s="131"/>
      <c r="AX6" s="131"/>
      <c r="AY6" s="131"/>
      <c r="AZ6" s="131"/>
      <c r="BA6" s="131"/>
      <c r="BB6" s="131"/>
      <c r="BC6" s="131"/>
      <c r="BD6" s="131"/>
    </row>
    <row r="7" ht="15.0" customHeight="1">
      <c r="A7" s="192" t="s">
        <v>2741</v>
      </c>
      <c r="B7" s="3"/>
      <c r="C7" s="182">
        <v>46008.0</v>
      </c>
      <c r="D7" s="57" t="s">
        <v>295</v>
      </c>
      <c r="E7" s="3">
        <f t="array" ref="E7">XLOOKUP(D7,RUC!$B$3:$B$110,RUC!$D$3:$D$110)</f>
        <v>20601769396</v>
      </c>
      <c r="G7" s="141">
        <v>40.0</v>
      </c>
      <c r="H7" s="3" t="s">
        <v>47</v>
      </c>
      <c r="I7" s="6">
        <v>3.21</v>
      </c>
      <c r="J7" s="58">
        <v>1.15</v>
      </c>
      <c r="K7" s="6">
        <f t="shared" si="2"/>
        <v>3.173</v>
      </c>
      <c r="L7" s="468">
        <v>0.05</v>
      </c>
      <c r="M7" s="60">
        <f t="shared" si="3"/>
        <v>0.032</v>
      </c>
      <c r="N7" s="62">
        <f t="shared" si="4"/>
        <v>0.032</v>
      </c>
      <c r="O7" s="60">
        <f t="shared" si="5"/>
        <v>0.032</v>
      </c>
      <c r="P7" s="63">
        <v>90.0</v>
      </c>
      <c r="Q7" s="64">
        <v>90.0</v>
      </c>
      <c r="R7" s="65">
        <v>4342.1</v>
      </c>
      <c r="S7" s="66">
        <f t="array" ref="S7">IF((XLOOKUP(D7,RUC!$B$3:$B$106,RUC!$E$3:$E$106)+ROUNDDOWN(O7,1)*100)&lt;95,95,((XLOOKUP(D7,RUC!$B$3:$B$106,RUC!$E$3:$E$106)+ROUNDDOWN(O7,1)*100)))</f>
        <v>95</v>
      </c>
      <c r="U7" s="67">
        <f t="array" ref="U7">XLOOKUP(D7,RUC!$B$3:$B$110,RUC!$F$3:$F$110)</f>
        <v>120</v>
      </c>
      <c r="V7" s="67">
        <v>1.1023</v>
      </c>
      <c r="Y7" s="57">
        <f t="array" ref="Y7">XLOOKUP(D7,RUC!$B$3:$B$110,RUC!$G$3:$G$110)</f>
        <v>20</v>
      </c>
      <c r="Z7" s="69">
        <f t="array" ref="Z7">XLOOKUP(D7,RUC!$B$3:$B$110,RUC!$H$3:$H$110)</f>
        <v>30</v>
      </c>
      <c r="AA7" s="70">
        <f t="shared" si="6"/>
        <v>50</v>
      </c>
      <c r="AB7" s="71">
        <f t="shared" si="15"/>
        <v>-25.7977001</v>
      </c>
      <c r="AC7" s="71">
        <f>+(S7-T7)*V7-'data 1'!$F$4</f>
        <v>24.7185</v>
      </c>
      <c r="AD7" s="71">
        <f t="shared" si="7"/>
        <v>0</v>
      </c>
      <c r="AE7" s="71">
        <f t="shared" si="8"/>
        <v>-14.885</v>
      </c>
      <c r="AF7" s="71">
        <f t="shared" si="9"/>
        <v>75.39513745</v>
      </c>
      <c r="AG7" s="72">
        <f t="shared" si="16"/>
        <v>102.2286374</v>
      </c>
      <c r="AH7" s="193">
        <f t="shared" si="10"/>
        <v>4.895</v>
      </c>
      <c r="AI7" s="193">
        <f t="shared" si="11"/>
        <v>5.439</v>
      </c>
      <c r="AJ7" s="73">
        <f t="shared" si="12"/>
        <v>38.88418365</v>
      </c>
      <c r="AK7" s="73">
        <f t="shared" si="13"/>
        <v>3.133081045</v>
      </c>
      <c r="AM7" s="51">
        <f t="shared" si="14"/>
        <v>0</v>
      </c>
      <c r="AN7" s="51" t="str">
        <f t="array" ref="AN7">XLOOKUP(D7,RUC!$B$3:$B$565,RUC!$M$3:$M$565)</f>
        <v>Evelyn</v>
      </c>
      <c r="AO7" s="131" t="s">
        <v>551</v>
      </c>
      <c r="AP7" s="57" t="s">
        <v>2130</v>
      </c>
      <c r="AQ7" s="57" t="s">
        <v>2649</v>
      </c>
      <c r="AW7" s="195">
        <f>SUM(AW9:AW18)</f>
        <v>527.095</v>
      </c>
      <c r="AX7" s="196">
        <f>SUMPRODUCT(AW9:AW18,AX9:AX18)/SUM(AW9:AW18)</f>
        <v>0.3353271137</v>
      </c>
      <c r="AY7" s="197"/>
      <c r="AZ7" s="198">
        <f>SUMPRODUCT(AZ9:AZ18,$BB9:$BB18)/SUM($BB9:$BB18)/100</f>
        <v>0.9158263538</v>
      </c>
      <c r="BA7" s="82">
        <f t="shared" ref="BA7:BB7" si="17">SUM(BA9:BA18)</f>
        <v>6059.916452</v>
      </c>
      <c r="BB7" s="82">
        <f t="shared" si="17"/>
        <v>5522.872</v>
      </c>
    </row>
    <row r="8" ht="15.0" customHeight="1">
      <c r="A8" s="192" t="s">
        <v>2742</v>
      </c>
      <c r="B8" s="3"/>
      <c r="C8" s="182">
        <v>46008.0</v>
      </c>
      <c r="D8" s="57" t="s">
        <v>225</v>
      </c>
      <c r="E8" s="3">
        <f t="array" ref="E8">XLOOKUP(D8,RUC!$B$3:$B$110,RUC!$D$3:$D$110)</f>
        <v>10761932735</v>
      </c>
      <c r="G8" s="141" t="s">
        <v>735</v>
      </c>
      <c r="H8" s="3" t="s">
        <v>47</v>
      </c>
      <c r="I8" s="6">
        <v>15.3</v>
      </c>
      <c r="J8" s="58">
        <v>7.9</v>
      </c>
      <c r="K8" s="6">
        <f t="shared" si="2"/>
        <v>14.091</v>
      </c>
      <c r="L8" s="139">
        <v>0.113</v>
      </c>
      <c r="M8" s="60">
        <f t="shared" si="3"/>
        <v>0.095</v>
      </c>
      <c r="N8" s="62">
        <f t="shared" si="4"/>
        <v>0.095</v>
      </c>
      <c r="O8" s="60">
        <f t="shared" si="5"/>
        <v>0.095</v>
      </c>
      <c r="P8" s="63">
        <v>90.0</v>
      </c>
      <c r="Q8" s="58">
        <v>98.2</v>
      </c>
      <c r="R8" s="65">
        <v>4342.1</v>
      </c>
      <c r="S8" s="66">
        <f t="array" ref="S8">IF((XLOOKUP(D8,RUC!$B$3:$B$106,RUC!$E$3:$E$106)+ROUNDDOWN(O8,1)*100)&lt;95,95,((XLOOKUP(D8,RUC!$B$3:$B$106,RUC!$E$3:$E$106)+ROUNDDOWN(O8,1)*100)))</f>
        <v>95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69">
        <f t="array" ref="Z8">XLOOKUP(D8,RUC!$B$3:$B$110,RUC!$H$3:$H$110)</f>
        <v>30</v>
      </c>
      <c r="AA8" s="70">
        <f t="shared" si="6"/>
        <v>50</v>
      </c>
      <c r="AB8" s="71">
        <v>0.0</v>
      </c>
      <c r="AC8" s="71">
        <f>+(S8-T8)*V8-'data 1'!$F$4</f>
        <v>24.7185</v>
      </c>
      <c r="AD8" s="71">
        <f t="shared" si="7"/>
        <v>43.12415701</v>
      </c>
      <c r="AE8" s="71">
        <f t="shared" si="8"/>
        <v>-14.885</v>
      </c>
      <c r="AF8" s="71">
        <f t="shared" si="9"/>
        <v>82.26447219</v>
      </c>
      <c r="AG8" s="72">
        <f t="shared" si="16"/>
        <v>152.2221292</v>
      </c>
      <c r="AH8" s="193">
        <f t="shared" si="10"/>
        <v>53.609</v>
      </c>
      <c r="AI8" s="193">
        <f t="shared" si="11"/>
        <v>54.592</v>
      </c>
      <c r="AJ8" s="73">
        <f t="shared" si="12"/>
        <v>95.88494051</v>
      </c>
      <c r="AK8" s="73">
        <f t="shared" si="13"/>
        <v>41.30636696</v>
      </c>
      <c r="AM8" s="51">
        <f t="shared" si="14"/>
        <v>0</v>
      </c>
      <c r="AN8" s="51" t="str">
        <f t="array" ref="AN8">XLOOKUP(D8,RUC!$B$3:$B$565,RUC!$M$3:$M$565)</f>
        <v>Richard Sapacayo</v>
      </c>
      <c r="AO8" s="131" t="s">
        <v>549</v>
      </c>
      <c r="AP8" s="57" t="s">
        <v>2461</v>
      </c>
      <c r="AQ8" s="57" t="s">
        <v>2462</v>
      </c>
      <c r="AV8" s="3"/>
      <c r="AW8" s="3" t="s">
        <v>14</v>
      </c>
      <c r="AX8" s="3" t="s">
        <v>683</v>
      </c>
      <c r="AY8" s="143" t="s">
        <v>683</v>
      </c>
      <c r="AZ8" s="3" t="s">
        <v>685</v>
      </c>
      <c r="BA8" s="3" t="s">
        <v>686</v>
      </c>
      <c r="BB8" s="3" t="s">
        <v>687</v>
      </c>
      <c r="BC8" s="3" t="s">
        <v>698</v>
      </c>
      <c r="BD8" s="65" t="s">
        <v>699</v>
      </c>
    </row>
    <row r="9" ht="15.0" customHeight="1">
      <c r="A9" s="116" t="s">
        <v>2743</v>
      </c>
      <c r="B9" s="182">
        <v>46014.0</v>
      </c>
      <c r="C9" s="182">
        <v>46008.0</v>
      </c>
      <c r="D9" s="57" t="s">
        <v>295</v>
      </c>
      <c r="E9" s="3">
        <f t="array" ref="E9">XLOOKUP(D9,RUC!$B$3:$B$110,RUC!$D$3:$D$110)</f>
        <v>20601769396</v>
      </c>
      <c r="G9" s="141">
        <v>54.0</v>
      </c>
      <c r="H9" s="3" t="s">
        <v>339</v>
      </c>
      <c r="I9" s="6">
        <v>4.12</v>
      </c>
      <c r="J9" s="58">
        <v>9.6</v>
      </c>
      <c r="K9" s="6">
        <f t="shared" si="2"/>
        <v>3.724</v>
      </c>
      <c r="L9" s="139">
        <v>0.374</v>
      </c>
      <c r="M9" s="60">
        <f t="shared" si="3"/>
        <v>0.352</v>
      </c>
      <c r="N9" s="62">
        <f t="shared" si="4"/>
        <v>0.352</v>
      </c>
      <c r="O9" s="60">
        <f t="shared" si="5"/>
        <v>0.352</v>
      </c>
      <c r="P9" s="63">
        <v>90.0</v>
      </c>
      <c r="Q9" s="58">
        <v>90.37</v>
      </c>
      <c r="R9" s="65">
        <v>4342.1</v>
      </c>
      <c r="S9" s="66">
        <f t="array" ref="S9">IF((XLOOKUP(D9,RUC!$B$3:$B$106,RUC!$E$3:$E$106)+ROUNDDOWN(O9,1)*100)&lt;95,95,((XLOOKUP(D9,RUC!$B$3:$B$106,RUC!$E$3:$E$106)+ROUNDDOWN(O9,1)*100)))</f>
        <v>120</v>
      </c>
      <c r="U9" s="67">
        <f t="array" ref="U9">XLOOKUP(D9,RUC!$B$3:$B$110,RUC!$F$3:$F$110)</f>
        <v>120</v>
      </c>
      <c r="V9" s="67">
        <v>1.1023</v>
      </c>
      <c r="Y9" s="57">
        <f t="array" ref="Y9">XLOOKUP(D9,RUC!$B$3:$B$110,RUC!$G$3:$G$110)</f>
        <v>20</v>
      </c>
      <c r="Z9" s="69">
        <f t="array" ref="Z9">XLOOKUP(D9,RUC!$B$3:$B$110,RUC!$H$3:$H$110)</f>
        <v>30</v>
      </c>
      <c r="AA9" s="70">
        <f t="shared" si="6"/>
        <v>50</v>
      </c>
      <c r="AB9" s="71">
        <f>+((O9*P9*(R9-U9)/100)-S9-AA9+T9)*V9</f>
        <v>1287.002799</v>
      </c>
      <c r="AC9" s="71">
        <f>+(S9-T9)*V9-'data 1'!$F$4</f>
        <v>52.276</v>
      </c>
      <c r="AD9" s="71">
        <f t="shared" si="7"/>
        <v>6.440234025</v>
      </c>
      <c r="AE9" s="71">
        <f t="shared" si="8"/>
        <v>-14.885</v>
      </c>
      <c r="AF9" s="71">
        <f t="shared" si="9"/>
        <v>92.52844973</v>
      </c>
      <c r="AG9" s="72">
        <f t="shared" si="16"/>
        <v>153.3596838</v>
      </c>
      <c r="AH9" s="193">
        <f t="shared" si="10"/>
        <v>43.153</v>
      </c>
      <c r="AI9" s="193">
        <f t="shared" si="11"/>
        <v>47.752</v>
      </c>
      <c r="AJ9" s="73">
        <f t="shared" si="12"/>
        <v>292.0494256</v>
      </c>
      <c r="AK9" s="73">
        <f t="shared" si="13"/>
        <v>40.44863912</v>
      </c>
      <c r="AM9" s="51">
        <f t="shared" si="14"/>
        <v>4792.798423</v>
      </c>
      <c r="AN9" s="51" t="str">
        <f t="array" ref="AN9">XLOOKUP(D9,RUC!$B$3:$B$565,RUC!$M$3:$M$565)</f>
        <v>Evelyn</v>
      </c>
      <c r="AO9" s="131" t="s">
        <v>549</v>
      </c>
      <c r="AP9" s="57" t="s">
        <v>2130</v>
      </c>
      <c r="AQ9" s="57" t="s">
        <v>2649</v>
      </c>
      <c r="AV9" s="152" t="s">
        <v>558</v>
      </c>
      <c r="AW9" s="154">
        <f t="shared" ref="AW9:AW18" si="18">SUMIF($AO$4:$AO$921,AV9,$K$4:$K$921)</f>
        <v>159.016</v>
      </c>
      <c r="AX9" s="154">
        <f t="array" ref="AX9">+SUMPRODUCT(IF($AO$4:$AO$921=AV9,$L$4:$L$921*$K$4:$K$921/AW9))</f>
        <v>0.3288992617</v>
      </c>
      <c r="AY9" s="155">
        <f t="shared" ref="AY9:AY18" si="19">31.1035*1.1023*AX9*(100-AZ9)/100</f>
        <v>1.134385624</v>
      </c>
      <c r="AZ9" s="157">
        <f t="array" ref="AZ9">+SUMPRODUCT(IF($AO$4:$AO$921=AV9,($Q$4:$Q$921*$AH$4:$AH$921)/SUMIF($AO$4:$AO$921,$AV9,$AH$4:$AH$921)))</f>
        <v>89.94021391</v>
      </c>
      <c r="BA9" s="200">
        <f t="shared" ref="BA9:BA18" si="20">+AX9*31.1035*1.1023*AW9</f>
        <v>1793.134195</v>
      </c>
      <c r="BB9" s="156">
        <f t="shared" ref="BB9:BB18" si="21">SUMIF($AO$4:$AO$110,$AV9,$AH$4:$AH$110)</f>
        <v>1597.667</v>
      </c>
      <c r="BC9" s="157">
        <f>+BA9-BB9</f>
        <v>195.4671949</v>
      </c>
      <c r="BD9" s="158">
        <f>+AW9</f>
        <v>159.016</v>
      </c>
    </row>
    <row r="10" ht="15.0" customHeight="1">
      <c r="A10" s="192" t="s">
        <v>2744</v>
      </c>
      <c r="B10" s="3"/>
      <c r="C10" s="182">
        <v>46008.0</v>
      </c>
      <c r="D10" s="57" t="s">
        <v>295</v>
      </c>
      <c r="E10" s="3">
        <f t="array" ref="E10">XLOOKUP(D10,RUC!$B$3:$B$110,RUC!$D$3:$D$110)</f>
        <v>20601769396</v>
      </c>
      <c r="G10" s="141">
        <v>67.0</v>
      </c>
      <c r="H10" s="3" t="s">
        <v>47</v>
      </c>
      <c r="I10" s="6">
        <v>4.69</v>
      </c>
      <c r="J10" s="58">
        <v>2.55</v>
      </c>
      <c r="K10" s="6">
        <f t="shared" si="2"/>
        <v>4.57</v>
      </c>
      <c r="L10" s="139">
        <v>0.094</v>
      </c>
      <c r="M10" s="60">
        <f t="shared" si="3"/>
        <v>0.076</v>
      </c>
      <c r="N10" s="62">
        <f t="shared" si="4"/>
        <v>0.076</v>
      </c>
      <c r="O10" s="60">
        <f t="shared" si="5"/>
        <v>0.076</v>
      </c>
      <c r="P10" s="63">
        <v>90.0</v>
      </c>
      <c r="Q10" s="58">
        <v>70.75</v>
      </c>
      <c r="R10" s="65">
        <v>4342.1</v>
      </c>
      <c r="S10" s="66">
        <f t="array" ref="S10">IF((XLOOKUP(D10,RUC!$B$3:$B$106,RUC!$E$3:$E$106)+ROUNDDOWN(O10,1)*100)&lt;95,95,((XLOOKUP(D10,RUC!$B$3:$B$106,RUC!$E$3:$E$106)+ROUNDDOWN(O10,1)*100)))</f>
        <v>95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69">
        <f t="array" ref="Z10">XLOOKUP(D10,RUC!$B$3:$B$110,RUC!$H$3:$H$110)</f>
        <v>30</v>
      </c>
      <c r="AA10" s="70">
        <f t="shared" si="6"/>
        <v>50</v>
      </c>
      <c r="AB10" s="71">
        <v>0.0</v>
      </c>
      <c r="AC10" s="71">
        <f>+(S10-T10)*V10-'data 1'!$F$4</f>
        <v>24.7185</v>
      </c>
      <c r="AD10" s="71">
        <f t="shared" si="7"/>
        <v>-84.21450692</v>
      </c>
      <c r="AE10" s="71">
        <f t="shared" si="8"/>
        <v>-14.885</v>
      </c>
      <c r="AF10" s="71">
        <f t="shared" si="9"/>
        <v>59.26895527</v>
      </c>
      <c r="AG10" s="72">
        <f>AC10+AD10+AE10+AF10+70-53+158.5</f>
        <v>160.3879484</v>
      </c>
      <c r="AH10" s="193">
        <f t="shared" si="10"/>
        <v>10.42</v>
      </c>
      <c r="AI10" s="193">
        <f t="shared" si="11"/>
        <v>14.728</v>
      </c>
      <c r="AJ10" s="73">
        <f t="shared" si="12"/>
        <v>57.46650297</v>
      </c>
      <c r="AK10" s="73">
        <f t="shared" si="13"/>
        <v>10.71720088</v>
      </c>
      <c r="AM10" s="51">
        <f t="shared" si="14"/>
        <v>0</v>
      </c>
      <c r="AN10" s="51" t="str">
        <f t="array" ref="AN10">XLOOKUP(D10,RUC!$B$3:$B$565,RUC!$M$3:$M$565)</f>
        <v>Evelyn</v>
      </c>
      <c r="AO10" s="131" t="s">
        <v>558</v>
      </c>
      <c r="AP10" s="57" t="s">
        <v>2130</v>
      </c>
      <c r="AQ10" s="57" t="s">
        <v>2649</v>
      </c>
      <c r="AV10" s="160" t="s">
        <v>551</v>
      </c>
      <c r="AW10" s="6">
        <f t="shared" si="18"/>
        <v>153.787</v>
      </c>
      <c r="AX10" s="6">
        <f t="array" ref="AX10">+SUMPRODUCT(IF($AO$4:$AO$921=AV10,$L$4:$L$921*$K$4:$K$921/AW10))</f>
        <v>0.3321517098</v>
      </c>
      <c r="AY10" s="145">
        <f t="shared" si="19"/>
        <v>0.8395648108</v>
      </c>
      <c r="AZ10" s="58">
        <f t="array" ref="AZ10">+SUMPRODUCT(IF($AO$4:$AO$921=AV10,($Q$4:$Q$921*$AH$4:$AH$921)/SUMIF($AO$4:$AO$921,$AV10,$AH$4:$AH$921)))</f>
        <v>92.62760381</v>
      </c>
      <c r="BA10" s="5">
        <f t="shared" si="20"/>
        <v>1751.318707</v>
      </c>
      <c r="BB10" s="65">
        <f t="shared" si="21"/>
        <v>1618.243</v>
      </c>
      <c r="BC10" s="58">
        <f t="shared" ref="BC10:BC18" si="22">+BC9+BA10-BB10</f>
        <v>328.542902</v>
      </c>
      <c r="BD10" s="161">
        <f t="shared" ref="BD10:BD18" si="23">+BD9+AW10</f>
        <v>312.803</v>
      </c>
    </row>
    <row r="11" ht="15.0" customHeight="1">
      <c r="A11" s="116" t="s">
        <v>2745</v>
      </c>
      <c r="B11" s="182">
        <v>46021.0</v>
      </c>
      <c r="C11" s="182">
        <v>46012.0</v>
      </c>
      <c r="D11" s="57" t="s">
        <v>602</v>
      </c>
      <c r="E11" s="3">
        <f t="array" ref="E11">XLOOKUP(D11,RUC!$B$3:$B$110,RUC!$D$3:$D$110)</f>
        <v>20169040231</v>
      </c>
      <c r="G11" s="141">
        <v>20.0</v>
      </c>
      <c r="H11" s="3" t="s">
        <v>47</v>
      </c>
      <c r="I11" s="6">
        <v>1.7</v>
      </c>
      <c r="J11" s="58">
        <v>2.3</v>
      </c>
      <c r="K11" s="6">
        <f t="shared" si="2"/>
        <v>1.661</v>
      </c>
      <c r="L11" s="139">
        <v>0.461</v>
      </c>
      <c r="M11" s="60">
        <f t="shared" si="3"/>
        <v>0.433</v>
      </c>
      <c r="N11" s="62">
        <f t="shared" si="4"/>
        <v>0.433</v>
      </c>
      <c r="O11" s="60">
        <f t="shared" si="5"/>
        <v>0.433</v>
      </c>
      <c r="P11" s="63">
        <v>90.0</v>
      </c>
      <c r="Q11" s="58">
        <v>98.26</v>
      </c>
      <c r="R11" s="65">
        <v>4421.65</v>
      </c>
      <c r="S11" s="66">
        <f t="array" ref="S11">IF((XLOOKUP(D11,RUC!$B$3:$B$106,RUC!$E$3:$E$106)+ROUNDDOWN(O11,1)*100)&lt;95,95,((XLOOKUP(D11,RUC!$B$3:$B$106,RUC!$E$3:$E$106)+ROUNDDOWN(O11,1)*100)))</f>
        <v>125</v>
      </c>
      <c r="U11" s="67">
        <f t="array" ref="U11">XLOOKUP(D11,RUC!$B$3:$B$110,RUC!$F$3:$F$110)</f>
        <v>120</v>
      </c>
      <c r="V11" s="67">
        <v>1.1023</v>
      </c>
      <c r="Y11" s="199">
        <v>25.0</v>
      </c>
      <c r="Z11" s="140">
        <v>38.0</v>
      </c>
      <c r="AA11" s="70">
        <f t="shared" si="6"/>
        <v>63</v>
      </c>
      <c r="AB11" s="71">
        <f t="shared" ref="AB11:AB13" si="24">+((O11*P11*(R11-U11)/100)-S11-AA11+T11)*V11</f>
        <v>1640.611517</v>
      </c>
      <c r="AC11" s="71">
        <f>+(S11-T11)*V11-'data 1'!$F$4</f>
        <v>57.7875</v>
      </c>
      <c r="AD11" s="71">
        <f t="shared" si="7"/>
        <v>180.5576325</v>
      </c>
      <c r="AE11" s="71">
        <f t="shared" si="8"/>
        <v>-0.5551</v>
      </c>
      <c r="AF11" s="71">
        <f t="shared" si="9"/>
        <v>130.4576857</v>
      </c>
      <c r="AG11" s="72">
        <f t="shared" ref="AG11:AG13" si="25">AC11+AD11+AE11+AF11+70-53</f>
        <v>385.2477183</v>
      </c>
      <c r="AH11" s="193">
        <f t="shared" si="10"/>
        <v>25.796</v>
      </c>
      <c r="AI11" s="193">
        <f t="shared" si="11"/>
        <v>26.253</v>
      </c>
      <c r="AJ11" s="73">
        <f t="shared" si="12"/>
        <v>351.6948522</v>
      </c>
      <c r="AK11" s="73">
        <f t="shared" si="13"/>
        <v>22.19264712</v>
      </c>
      <c r="AM11" s="51">
        <f t="shared" si="14"/>
        <v>2725.05573</v>
      </c>
      <c r="AN11" s="51" t="str">
        <f t="array" ref="AN11">XLOOKUP(D11,RUC!$B$3:$B$565,RUC!$M$3:$M$565)</f>
        <v>Ronald Miranda</v>
      </c>
      <c r="AO11" s="131" t="s">
        <v>549</v>
      </c>
      <c r="AP11" s="57" t="s">
        <v>2534</v>
      </c>
      <c r="AQ11" s="57" t="s">
        <v>2535</v>
      </c>
      <c r="AV11" s="160" t="s">
        <v>547</v>
      </c>
      <c r="AW11" s="6">
        <f t="shared" si="18"/>
        <v>166.794</v>
      </c>
      <c r="AX11" s="6">
        <f t="array" ref="AX11">+SUMPRODUCT(IF($AO$4:$AO$921=AV11,$L$4:$L$921*$K$4:$K$921/AW11))</f>
        <v>0.3487659868</v>
      </c>
      <c r="AY11" s="145">
        <f t="shared" si="19"/>
        <v>0.9627087304</v>
      </c>
      <c r="AZ11" s="58">
        <f t="array" ref="AZ11">+SUMPRODUCT(IF($AO$4:$AO$921=AV11,($Q$4:$Q$921*$AH$4:$AH$921)/SUMIF($AO$4:$AO$921,$AV11,$AH$4:$AH$921)))</f>
        <v>91.94896496</v>
      </c>
      <c r="BA11" s="65">
        <f t="shared" si="20"/>
        <v>1994.452131</v>
      </c>
      <c r="BB11" s="65">
        <f t="shared" si="21"/>
        <v>1829.247</v>
      </c>
      <c r="BC11" s="58">
        <f t="shared" si="22"/>
        <v>493.7480328</v>
      </c>
      <c r="BD11" s="161">
        <f t="shared" si="23"/>
        <v>479.597</v>
      </c>
    </row>
    <row r="12" ht="15.0" customHeight="1">
      <c r="A12" s="116" t="s">
        <v>2746</v>
      </c>
      <c r="B12" s="182">
        <v>46020.0</v>
      </c>
      <c r="C12" s="182">
        <v>46012.0</v>
      </c>
      <c r="D12" s="57" t="s">
        <v>602</v>
      </c>
      <c r="E12" s="3">
        <f t="array" ref="E12">XLOOKUP(D12,RUC!$B$3:$B$110,RUC!$D$3:$D$110)</f>
        <v>20169040231</v>
      </c>
      <c r="G12" s="141">
        <v>10.0</v>
      </c>
      <c r="H12" s="3" t="s">
        <v>40</v>
      </c>
      <c r="I12" s="6">
        <v>0.89</v>
      </c>
      <c r="J12" s="58">
        <v>27.95</v>
      </c>
      <c r="K12" s="6">
        <f t="shared" si="2"/>
        <v>0.641</v>
      </c>
      <c r="L12" s="139">
        <v>0.977</v>
      </c>
      <c r="M12" s="60">
        <f t="shared" si="3"/>
        <v>0.918</v>
      </c>
      <c r="N12" s="62">
        <f t="shared" si="4"/>
        <v>0.918</v>
      </c>
      <c r="O12" s="60">
        <f t="shared" si="5"/>
        <v>0.918</v>
      </c>
      <c r="P12" s="63">
        <v>90.0</v>
      </c>
      <c r="Q12" s="58">
        <v>95.5</v>
      </c>
      <c r="R12" s="65">
        <v>4421.65</v>
      </c>
      <c r="S12" s="66">
        <f t="array" ref="S12">IF((XLOOKUP(D12,RUC!$B$3:$B$106,RUC!$E$3:$E$106)+ROUNDDOWN(O12,1)*100)&lt;95,95,((XLOOKUP(D12,RUC!$B$3:$B$106,RUC!$E$3:$E$106)+ROUNDDOWN(O12,1)*100)))</f>
        <v>175</v>
      </c>
      <c r="U12" s="67">
        <f t="array" ref="U12">XLOOKUP(D12,RUC!$B$3:$B$110,RUC!$F$3:$F$110)</f>
        <v>120</v>
      </c>
      <c r="V12" s="67">
        <v>1.1023</v>
      </c>
      <c r="Y12" s="199">
        <v>25.0</v>
      </c>
      <c r="Z12" s="140">
        <v>38.0</v>
      </c>
      <c r="AA12" s="70">
        <f t="shared" si="6"/>
        <v>63</v>
      </c>
      <c r="AB12" s="71">
        <f t="shared" si="24"/>
        <v>3655.252406</v>
      </c>
      <c r="AC12" s="71">
        <f>+(S12-T12)*V12-'data 1'!$F$4</f>
        <v>112.9025</v>
      </c>
      <c r="AD12" s="71">
        <f t="shared" si="7"/>
        <v>254.7957221</v>
      </c>
      <c r="AE12" s="71">
        <f t="shared" si="8"/>
        <v>-0.5551</v>
      </c>
      <c r="AF12" s="71">
        <f t="shared" si="9"/>
        <v>267.1715821</v>
      </c>
      <c r="AG12" s="72">
        <f t="shared" si="25"/>
        <v>651.3147042</v>
      </c>
      <c r="AH12" s="193">
        <f t="shared" si="10"/>
        <v>20.505</v>
      </c>
      <c r="AI12" s="193">
        <f t="shared" si="11"/>
        <v>21.471</v>
      </c>
      <c r="AJ12" s="73">
        <f t="shared" si="12"/>
        <v>724.4130438</v>
      </c>
      <c r="AK12" s="73">
        <f t="shared" si="13"/>
        <v>18.15734266</v>
      </c>
      <c r="AM12" s="51">
        <f t="shared" si="14"/>
        <v>2343.016793</v>
      </c>
      <c r="AN12" s="51" t="str">
        <f t="array" ref="AN12">XLOOKUP(D12,RUC!$B$3:$B$565,RUC!$M$3:$M$565)</f>
        <v>Ronald Miranda</v>
      </c>
      <c r="AO12" s="131" t="s">
        <v>558</v>
      </c>
      <c r="AP12" s="57" t="s">
        <v>2534</v>
      </c>
      <c r="AQ12" s="57" t="s">
        <v>2535</v>
      </c>
      <c r="AV12" s="160" t="s">
        <v>549</v>
      </c>
      <c r="AW12" s="6">
        <f t="shared" si="18"/>
        <v>47.498</v>
      </c>
      <c r="AX12" s="6">
        <f t="array" ref="AX12">+SUMPRODUCT(IF($AO$4:$AO$921=AV12,$L$4:$L$921*$K$4:$K$921/AW12))</f>
        <v>0.3199358078</v>
      </c>
      <c r="AY12" s="145">
        <f t="shared" si="19"/>
        <v>0.8629397734</v>
      </c>
      <c r="AZ12" s="58">
        <f t="array" ref="AZ12">+SUMPRODUCT(IF($AO$4:$AO$921=AV12,($Q$4:$Q$921*$AH$4:$AH$921)/SUMIF($AO$4:$AO$921,$AV12,$AH$4:$AH$921)))</f>
        <v>92.13301056</v>
      </c>
      <c r="BA12" s="65">
        <f t="shared" si="20"/>
        <v>521.0114196</v>
      </c>
      <c r="BB12" s="65">
        <f t="shared" si="21"/>
        <v>477.715</v>
      </c>
      <c r="BC12" s="58">
        <f t="shared" si="22"/>
        <v>537.0444524</v>
      </c>
      <c r="BD12" s="161">
        <f t="shared" si="23"/>
        <v>527.095</v>
      </c>
    </row>
    <row r="13" ht="15.0" customHeight="1">
      <c r="A13" s="116" t="s">
        <v>2747</v>
      </c>
      <c r="B13" s="182">
        <v>46024.0</v>
      </c>
      <c r="C13" s="182">
        <v>46012.0</v>
      </c>
      <c r="D13" s="57" t="s">
        <v>602</v>
      </c>
      <c r="E13" s="3">
        <f t="array" ref="E13">XLOOKUP(D13,RUC!$B$3:$B$110,RUC!$D$3:$D$110)</f>
        <v>20169040231</v>
      </c>
      <c r="G13" s="141">
        <v>50.0</v>
      </c>
      <c r="H13" s="3" t="s">
        <v>47</v>
      </c>
      <c r="I13" s="6">
        <v>4.5</v>
      </c>
      <c r="J13" s="58">
        <v>3.9</v>
      </c>
      <c r="K13" s="6">
        <f t="shared" si="2"/>
        <v>4.325</v>
      </c>
      <c r="L13" s="139">
        <v>0.663</v>
      </c>
      <c r="M13" s="60">
        <f t="shared" si="3"/>
        <v>0.623</v>
      </c>
      <c r="N13" s="75">
        <v>0.713</v>
      </c>
      <c r="O13" s="60">
        <f t="shared" si="5"/>
        <v>0.668</v>
      </c>
      <c r="P13" s="63">
        <v>90.0</v>
      </c>
      <c r="Q13" s="58">
        <v>97.59</v>
      </c>
      <c r="R13" s="65">
        <v>4421.65</v>
      </c>
      <c r="S13" s="66">
        <f t="array" ref="S13">IF((XLOOKUP(D13,RUC!$B$3:$B$106,RUC!$E$3:$E$106)+ROUNDDOWN(O13,1)*100)&lt;95,95,((XLOOKUP(D13,RUC!$B$3:$B$106,RUC!$E$3:$E$106)+ROUNDDOWN(O13,1)*100)))</f>
        <v>145</v>
      </c>
      <c r="U13" s="67">
        <f t="array" ref="U13">XLOOKUP(D13,RUC!$B$3:$B$110,RUC!$F$3:$F$110)</f>
        <v>120</v>
      </c>
      <c r="V13" s="67">
        <v>1.1023</v>
      </c>
      <c r="Y13" s="199">
        <v>25.0</v>
      </c>
      <c r="Z13" s="140">
        <v>38.0</v>
      </c>
      <c r="AA13" s="70">
        <f t="shared" si="6"/>
        <v>63</v>
      </c>
      <c r="AB13" s="71">
        <f t="shared" si="24"/>
        <v>2621.436928</v>
      </c>
      <c r="AC13" s="71">
        <f>+(S13-T13)*V13-'data 1'!$F$4</f>
        <v>79.8335</v>
      </c>
      <c r="AD13" s="71">
        <f t="shared" si="7"/>
        <v>238.6108475</v>
      </c>
      <c r="AE13" s="71">
        <f t="shared" si="8"/>
        <v>-0.5551</v>
      </c>
      <c r="AF13" s="71">
        <f t="shared" si="9"/>
        <v>-23.13716807</v>
      </c>
      <c r="AG13" s="72">
        <f t="shared" si="25"/>
        <v>311.7520794</v>
      </c>
      <c r="AH13" s="193">
        <f t="shared" si="10"/>
        <v>95.943</v>
      </c>
      <c r="AI13" s="193">
        <f t="shared" si="11"/>
        <v>98.312</v>
      </c>
      <c r="AJ13" s="73">
        <f t="shared" si="12"/>
        <v>502.3508862</v>
      </c>
      <c r="AK13" s="73">
        <f t="shared" si="13"/>
        <v>89.14852315</v>
      </c>
      <c r="AM13" s="51">
        <f t="shared" si="14"/>
        <v>11337.71471</v>
      </c>
      <c r="AN13" s="51" t="str">
        <f t="array" ref="AN13">XLOOKUP(D13,RUC!$B$3:$B$565,RUC!$M$3:$M$565)</f>
        <v>Ronald Miranda</v>
      </c>
      <c r="AO13" s="131" t="s">
        <v>549</v>
      </c>
      <c r="AP13" s="57" t="s">
        <v>2534</v>
      </c>
      <c r="AQ13" s="57" t="s">
        <v>2535</v>
      </c>
      <c r="AV13" s="160" t="s">
        <v>561</v>
      </c>
      <c r="AW13" s="6">
        <f t="shared" si="18"/>
        <v>0</v>
      </c>
      <c r="AX13" s="6">
        <f t="array" ref="AX13">+SUMPRODUCT(IF($AO$4:$AO$921=AV13,$L$4:$L$921*$K$4:$K$921/AW13))</f>
        <v>0</v>
      </c>
      <c r="AY13" s="145">
        <f t="shared" si="19"/>
        <v>0</v>
      </c>
      <c r="AZ13" s="58">
        <f t="array" ref="AZ13">+SUMPRODUCT(IF($AO$4:$AO$921=AV13,($Q$4:$Q$921*$AH$4:$AH$921)/SUMIF($AO$4:$AO$921,$AV13,$AH$4:$AH$921)))</f>
        <v>0</v>
      </c>
      <c r="BA13" s="65">
        <f t="shared" si="20"/>
        <v>0</v>
      </c>
      <c r="BB13" s="65">
        <f t="shared" si="21"/>
        <v>0</v>
      </c>
      <c r="BC13" s="58">
        <f t="shared" si="22"/>
        <v>537.0444524</v>
      </c>
      <c r="BD13" s="161">
        <f t="shared" si="23"/>
        <v>527.095</v>
      </c>
    </row>
    <row r="14" ht="15.0" customHeight="1">
      <c r="A14" s="192" t="s">
        <v>2748</v>
      </c>
      <c r="B14" s="3"/>
      <c r="C14" s="182">
        <v>46012.0</v>
      </c>
      <c r="D14" s="57" t="s">
        <v>225</v>
      </c>
      <c r="E14" s="3">
        <f t="array" ref="E14">XLOOKUP(D14,RUC!$B$3:$B$110,RUC!$D$3:$D$110)</f>
        <v>10761932735</v>
      </c>
      <c r="G14" s="141" t="s">
        <v>735</v>
      </c>
      <c r="H14" s="3" t="s">
        <v>47</v>
      </c>
      <c r="I14" s="6">
        <v>32.09</v>
      </c>
      <c r="J14" s="58">
        <v>25.85</v>
      </c>
      <c r="K14" s="6">
        <f t="shared" si="2"/>
        <v>23.795</v>
      </c>
      <c r="L14" s="139">
        <v>0.066</v>
      </c>
      <c r="M14" s="60">
        <f t="shared" si="3"/>
        <v>0.048</v>
      </c>
      <c r="N14" s="62">
        <f t="shared" ref="N14:N17" si="26">+M14</f>
        <v>0.048</v>
      </c>
      <c r="O14" s="60">
        <f t="shared" si="5"/>
        <v>0.048</v>
      </c>
      <c r="P14" s="63">
        <v>90.0</v>
      </c>
      <c r="Q14" s="58">
        <v>95.45</v>
      </c>
      <c r="R14" s="65">
        <v>4421.65</v>
      </c>
      <c r="S14" s="66">
        <f t="array" ref="S14">IF((XLOOKUP(D14,RUC!$B$3:$B$106,RUC!$E$3:$E$106)+ROUNDDOWN(O14,1)*100)&lt;95,95,((XLOOKUP(D14,RUC!$B$3:$B$106,RUC!$E$3:$E$106)+ROUNDDOWN(O14,1)*100)))</f>
        <v>95</v>
      </c>
      <c r="U14" s="67">
        <f t="array" ref="U14">XLOOKUP(D14,RUC!$B$3:$B$110,RUC!$F$3:$F$110)</f>
        <v>120</v>
      </c>
      <c r="V14" s="67">
        <v>1.1023</v>
      </c>
      <c r="Y14" s="57">
        <f t="array" ref="Y14">XLOOKUP(D14,RUC!$B$3:$B$110,RUC!$G$3:$G$110)</f>
        <v>20</v>
      </c>
      <c r="Z14" s="69">
        <f t="array" ref="Z14">XLOOKUP(D14,RUC!$B$3:$B$110,RUC!$H$3:$H$110)</f>
        <v>30</v>
      </c>
      <c r="AA14" s="70">
        <f t="shared" si="6"/>
        <v>50</v>
      </c>
      <c r="AB14" s="71">
        <v>0.0</v>
      </c>
      <c r="AC14" s="71">
        <f>+(S14-T14)*V14-'data 1'!$F$4</f>
        <v>24.7185</v>
      </c>
      <c r="AD14" s="71">
        <f t="shared" si="7"/>
        <v>17.05592654</v>
      </c>
      <c r="AE14" s="71">
        <f t="shared" si="8"/>
        <v>-14.885</v>
      </c>
      <c r="AF14" s="71">
        <f t="shared" si="9"/>
        <v>81.46729881</v>
      </c>
      <c r="AG14" s="72">
        <f>AC14+AD14+AE14+AF14+70-53+45.01</f>
        <v>170.3667253</v>
      </c>
      <c r="AH14" s="193">
        <f t="shared" si="10"/>
        <v>51.394</v>
      </c>
      <c r="AI14" s="193">
        <f t="shared" si="11"/>
        <v>53.844</v>
      </c>
      <c r="AJ14" s="73">
        <f t="shared" si="12"/>
        <v>48.9111861</v>
      </c>
      <c r="AK14" s="73">
        <f t="shared" si="13"/>
        <v>35.24345893</v>
      </c>
      <c r="AM14" s="51">
        <f t="shared" si="14"/>
        <v>0</v>
      </c>
      <c r="AN14" s="51" t="str">
        <f t="array" ref="AN14">XLOOKUP(D14,RUC!$B$3:$B$565,RUC!$M$3:$M$565)</f>
        <v>Richard Sapacayo</v>
      </c>
      <c r="AO14" s="131" t="s">
        <v>558</v>
      </c>
      <c r="AP14" s="57" t="s">
        <v>2749</v>
      </c>
      <c r="AQ14" s="57" t="s">
        <v>628</v>
      </c>
      <c r="AV14" s="160" t="s">
        <v>689</v>
      </c>
      <c r="AW14" s="6">
        <f t="shared" si="18"/>
        <v>0</v>
      </c>
      <c r="AX14" s="6">
        <f t="array" ref="AX14">+SUMPRODUCT(IF($AO$4:$AO$921=AV14,$L$4:$L$921*$K$4:$K$921/AW14))</f>
        <v>0</v>
      </c>
      <c r="AY14" s="145">
        <f t="shared" si="19"/>
        <v>0</v>
      </c>
      <c r="AZ14" s="58">
        <f t="array" ref="AZ14">+SUMPRODUCT(IF('37'!$AO$4:$AO$813=AV14,('37'!$Q$4:$Q$813*'37'!$AH$4:$AH$813)/SUMIF('37'!$AO$4:$AO$813,#REF!,'37'!$AH$4:$AH$813)))</f>
        <v>0</v>
      </c>
      <c r="BA14" s="65">
        <f t="shared" si="20"/>
        <v>0</v>
      </c>
      <c r="BB14" s="65">
        <f t="shared" si="21"/>
        <v>0</v>
      </c>
      <c r="BC14" s="58">
        <f t="shared" si="22"/>
        <v>537.0444524</v>
      </c>
      <c r="BD14" s="161">
        <f t="shared" si="23"/>
        <v>527.095</v>
      </c>
    </row>
    <row r="15" ht="15.0" customHeight="1">
      <c r="A15" s="116" t="s">
        <v>2750</v>
      </c>
      <c r="B15" s="182">
        <v>45662.0</v>
      </c>
      <c r="C15" s="182">
        <v>46013.0</v>
      </c>
      <c r="D15" s="57" t="s">
        <v>665</v>
      </c>
      <c r="E15" s="3">
        <f t="array" ref="E15">XLOOKUP(D15,RUC!$B$3:$B$110,RUC!$D$3:$D$110)</f>
        <v>20608774000</v>
      </c>
      <c r="G15" s="141">
        <v>58.0</v>
      </c>
      <c r="H15" s="3" t="s">
        <v>47</v>
      </c>
      <c r="I15" s="6">
        <v>5.2</v>
      </c>
      <c r="J15" s="58">
        <v>1.25</v>
      </c>
      <c r="K15" s="6">
        <f t="shared" si="2"/>
        <v>5.135</v>
      </c>
      <c r="L15" s="139">
        <v>2.277</v>
      </c>
      <c r="M15" s="60">
        <f t="shared" ref="M15:M16" si="27">ROUND(+IF(AN15="Melchor Vera",IF(L15&gt;0.467,L15*0.985,(L15-0.007)),IF(L15&gt;0.3,L15*0.94,(L15-0.019))),3)</f>
        <v>2.14</v>
      </c>
      <c r="N15" s="62">
        <f t="shared" si="26"/>
        <v>2.14</v>
      </c>
      <c r="O15" s="60">
        <f t="shared" si="5"/>
        <v>2.14</v>
      </c>
      <c r="P15" s="63">
        <v>77.0</v>
      </c>
      <c r="Q15" s="58">
        <v>77.91</v>
      </c>
      <c r="R15" s="65">
        <v>4421.65</v>
      </c>
      <c r="S15" s="66">
        <f t="array" ref="S15">IF((XLOOKUP(D15,RUC!$B$3:$B$106,RUC!$E$3:$E$106)+ROUNDDOWN(O15,1)*100)&lt;95,95,((XLOOKUP(D15,RUC!$B$3:$B$106,RUC!$E$3:$E$106)+ROUNDDOWN(O15,1)*100)))</f>
        <v>295</v>
      </c>
      <c r="U15" s="67">
        <f t="array" ref="U15">XLOOKUP(D15,RUC!$B$3:$B$110,RUC!$F$3:$F$110)</f>
        <v>120</v>
      </c>
      <c r="V15" s="67">
        <v>1.1023</v>
      </c>
      <c r="Y15" s="199">
        <v>25.0</v>
      </c>
      <c r="Z15" s="140">
        <v>35.0</v>
      </c>
      <c r="AA15" s="70">
        <f t="shared" si="6"/>
        <v>60</v>
      </c>
      <c r="AB15" s="71">
        <f t="shared" ref="AB15:AB31" si="28">+((O15*P15*(R15-U15)/100)-S15-AA15+T15)*V15</f>
        <v>7422.071252</v>
      </c>
      <c r="AC15" s="71">
        <f>+(S15-T15)*V15-'data 1'!$F$4</f>
        <v>245.1785</v>
      </c>
      <c r="AD15" s="71">
        <f t="shared" si="7"/>
        <v>98.25152543</v>
      </c>
      <c r="AE15" s="71">
        <f t="shared" si="8"/>
        <v>-3.862</v>
      </c>
      <c r="AF15" s="71">
        <f t="shared" si="9"/>
        <v>506.1143491</v>
      </c>
      <c r="AG15" s="72">
        <f t="shared" ref="AG15:AG31" si="29">AC15+AD15+AE15+AF15+70-53</f>
        <v>862.6823746</v>
      </c>
      <c r="AH15" s="193">
        <f t="shared" si="10"/>
        <v>312.324</v>
      </c>
      <c r="AI15" s="193">
        <f t="shared" si="11"/>
        <v>400.878</v>
      </c>
      <c r="AJ15" s="73">
        <f t="shared" si="12"/>
        <v>1377.350786</v>
      </c>
      <c r="AK15" s="73">
        <f t="shared" si="13"/>
        <v>290.1041996</v>
      </c>
      <c r="AM15" s="51">
        <f t="shared" si="14"/>
        <v>38112.33588</v>
      </c>
      <c r="AN15" s="51" t="str">
        <f t="array" ref="AN15">XLOOKUP(D15,RUC!$B$3:$B$565,RUC!$M$3:$M$565)</f>
        <v>Ronald Miranda</v>
      </c>
      <c r="AO15" s="131" t="s">
        <v>558</v>
      </c>
      <c r="AP15" s="57" t="s">
        <v>2555</v>
      </c>
      <c r="AQ15" s="57" t="s">
        <v>1446</v>
      </c>
      <c r="AV15" s="160" t="s">
        <v>690</v>
      </c>
      <c r="AW15" s="6">
        <f t="shared" si="18"/>
        <v>0</v>
      </c>
      <c r="AX15" s="6">
        <f t="array" ref="AX15">+SUMPRODUCT(IF($AO$4:$AO$921=AV15,$L$4:$L$921*$K$4:$K$921/AW15))</f>
        <v>0</v>
      </c>
      <c r="AY15" s="145">
        <f t="shared" si="19"/>
        <v>0</v>
      </c>
      <c r="AZ15" s="58">
        <f t="array" ref="AZ15">+SUMPRODUCT(IF('37'!$AO$4:$AO$813=AV15,('37'!$Q$4:$Q$813*'37'!$AH$4:$AH$813)/SUMIF('37'!$AO$4:$AO$813,#REF!,'37'!$AH$4:$AH$813)))</f>
        <v>0</v>
      </c>
      <c r="BA15" s="65">
        <f t="shared" si="20"/>
        <v>0</v>
      </c>
      <c r="BB15" s="65">
        <f t="shared" si="21"/>
        <v>0</v>
      </c>
      <c r="BC15" s="58">
        <f t="shared" si="22"/>
        <v>537.0444524</v>
      </c>
      <c r="BD15" s="161">
        <f t="shared" si="23"/>
        <v>527.095</v>
      </c>
    </row>
    <row r="16" ht="15.0" customHeight="1">
      <c r="A16" s="116" t="s">
        <v>2751</v>
      </c>
      <c r="B16" s="182">
        <v>46024.0</v>
      </c>
      <c r="C16" s="182">
        <v>46013.0</v>
      </c>
      <c r="D16" s="57" t="s">
        <v>295</v>
      </c>
      <c r="E16" s="3">
        <f t="array" ref="E16">XLOOKUP(D16,RUC!$B$3:$B$110,RUC!$D$3:$D$110)</f>
        <v>20601769396</v>
      </c>
      <c r="G16" s="141">
        <v>38.0</v>
      </c>
      <c r="H16" s="3" t="s">
        <v>40</v>
      </c>
      <c r="I16" s="6">
        <v>2.77</v>
      </c>
      <c r="J16" s="58">
        <v>18.55</v>
      </c>
      <c r="K16" s="6">
        <f t="shared" si="2"/>
        <v>2.256</v>
      </c>
      <c r="L16" s="139">
        <v>0.249</v>
      </c>
      <c r="M16" s="60">
        <f t="shared" si="27"/>
        <v>0.23</v>
      </c>
      <c r="N16" s="62">
        <f t="shared" si="26"/>
        <v>0.23</v>
      </c>
      <c r="O16" s="60">
        <f t="shared" si="5"/>
        <v>0.23</v>
      </c>
      <c r="P16" s="63">
        <v>90.0</v>
      </c>
      <c r="Q16" s="58">
        <v>95.39</v>
      </c>
      <c r="R16" s="65">
        <v>4421.65</v>
      </c>
      <c r="S16" s="66">
        <f t="array" ref="S16">IF((XLOOKUP(D16,RUC!$B$3:$B$106,RUC!$E$3:$E$106)+ROUNDDOWN(O16,1)*100)&lt;95,95,((XLOOKUP(D16,RUC!$B$3:$B$106,RUC!$E$3:$E$106)+ROUNDDOWN(O16,1)*100)))</f>
        <v>110</v>
      </c>
      <c r="U16" s="67">
        <f t="array" ref="U16">XLOOKUP(D16,RUC!$B$3:$B$110,RUC!$F$3:$F$110)</f>
        <v>120</v>
      </c>
      <c r="V16" s="67">
        <v>1.1023</v>
      </c>
      <c r="Y16" s="199">
        <v>30.0</v>
      </c>
      <c r="Z16" s="140">
        <v>40.0</v>
      </c>
      <c r="AA16" s="70">
        <f t="shared" si="6"/>
        <v>70</v>
      </c>
      <c r="AB16" s="71">
        <f t="shared" si="28"/>
        <v>783.1197206</v>
      </c>
      <c r="AC16" s="71">
        <f>+(S16-T16)*V16-'data 1'!$F$4</f>
        <v>41.253</v>
      </c>
      <c r="AD16" s="71">
        <f t="shared" si="7"/>
        <v>63.63894791</v>
      </c>
      <c r="AE16" s="71">
        <f t="shared" si="8"/>
        <v>7.161</v>
      </c>
      <c r="AF16" s="71">
        <f t="shared" si="9"/>
        <v>85.93920437</v>
      </c>
      <c r="AG16" s="72">
        <f t="shared" si="29"/>
        <v>214.9921523</v>
      </c>
      <c r="AH16" s="193">
        <f t="shared" si="10"/>
        <v>18.372</v>
      </c>
      <c r="AI16" s="193">
        <f t="shared" si="11"/>
        <v>19.26</v>
      </c>
      <c r="AJ16" s="73">
        <f t="shared" si="12"/>
        <v>184.4125708</v>
      </c>
      <c r="AK16" s="73">
        <f t="shared" si="13"/>
        <v>16.01100194</v>
      </c>
      <c r="AM16" s="51">
        <f t="shared" si="14"/>
        <v>1766.71809</v>
      </c>
      <c r="AN16" s="51" t="str">
        <f t="array" ref="AN16">XLOOKUP(D16,RUC!$B$3:$B$565,RUC!$M$3:$M$565)</f>
        <v>Evelyn</v>
      </c>
      <c r="AO16" s="131" t="s">
        <v>549</v>
      </c>
      <c r="AP16" s="57" t="s">
        <v>2171</v>
      </c>
      <c r="AQ16" s="57" t="s">
        <v>1424</v>
      </c>
      <c r="AV16" s="160" t="s">
        <v>691</v>
      </c>
      <c r="AW16" s="6">
        <f t="shared" si="18"/>
        <v>0</v>
      </c>
      <c r="AX16" s="6">
        <f t="array" ref="AX16">+SUMPRODUCT(IF($AO$4:$AO$921=AV16,$L$4:$L$921*$K$4:$K$921/AW16))</f>
        <v>0</v>
      </c>
      <c r="AY16" s="145">
        <f t="shared" si="19"/>
        <v>0</v>
      </c>
      <c r="AZ16" s="58">
        <f t="array" ref="AZ16">+SUMPRODUCT(IF('37'!$AO$4:$AO$813=AV16,('37'!$Q$4:$Q$813*'37'!$AH$4:$AH$813)/SUMIF('37'!$AO$4:$AO$813,#REF!,'37'!$AH$4:$AH$813)))</f>
        <v>0</v>
      </c>
      <c r="BA16" s="65">
        <f t="shared" si="20"/>
        <v>0</v>
      </c>
      <c r="BB16" s="65">
        <f t="shared" si="21"/>
        <v>0</v>
      </c>
      <c r="BC16" s="58">
        <f t="shared" si="22"/>
        <v>537.0444524</v>
      </c>
      <c r="BD16" s="161">
        <f t="shared" si="23"/>
        <v>527.095</v>
      </c>
    </row>
    <row r="17" ht="15.0" customHeight="1">
      <c r="A17" s="116" t="s">
        <v>2752</v>
      </c>
      <c r="B17" s="182">
        <v>46024.0</v>
      </c>
      <c r="C17" s="182">
        <v>46013.0</v>
      </c>
      <c r="D17" s="2" t="s">
        <v>835</v>
      </c>
      <c r="E17" s="3" t="str">
        <f t="array" ref="E17">XLOOKUP(D17,RUC!$B$3:$B$110,RUC!$D$3:$D$110)</f>
        <v>10486077447,</v>
      </c>
      <c r="G17" s="141" t="s">
        <v>735</v>
      </c>
      <c r="H17" s="3" t="s">
        <v>47</v>
      </c>
      <c r="I17" s="6">
        <v>23.29</v>
      </c>
      <c r="J17" s="58">
        <v>1.4</v>
      </c>
      <c r="K17" s="6">
        <f t="shared" si="2"/>
        <v>22.964</v>
      </c>
      <c r="L17" s="139">
        <v>0.132</v>
      </c>
      <c r="M17" s="60">
        <v>0.102</v>
      </c>
      <c r="N17" s="62">
        <f t="shared" si="26"/>
        <v>0.102</v>
      </c>
      <c r="O17" s="60">
        <f t="shared" si="5"/>
        <v>0.102</v>
      </c>
      <c r="P17" s="63">
        <v>80.0</v>
      </c>
      <c r="Q17" s="58">
        <v>95.45</v>
      </c>
      <c r="R17" s="65">
        <v>4421.65</v>
      </c>
      <c r="S17" s="66">
        <f t="array" ref="S17">IF((XLOOKUP(D17,RUC!$B$3:$B$106,RUC!$E$3:$E$106)+ROUNDDOWN(O17,1)*100)&lt;95,95,((XLOOKUP(D17,RUC!$B$3:$B$106,RUC!$E$3:$E$106)+ROUNDDOWN(O17,1)*100)))</f>
        <v>100</v>
      </c>
      <c r="U17" s="67">
        <f t="array" ref="U17">XLOOKUP(D17,RUC!$B$3:$B$110,RUC!$F$3:$F$110)</f>
        <v>120</v>
      </c>
      <c r="V17" s="67">
        <v>1.1023</v>
      </c>
      <c r="Y17" s="57">
        <v>0.0</v>
      </c>
      <c r="Z17" s="69">
        <f t="array" ref="Z17">XLOOKUP(D17,RUC!$B$3:$B$110,RUC!$H$3:$H$110)</f>
        <v>30</v>
      </c>
      <c r="AA17" s="70">
        <f t="shared" si="6"/>
        <v>30</v>
      </c>
      <c r="AB17" s="71">
        <f t="shared" si="28"/>
        <v>243.6244377</v>
      </c>
      <c r="AC17" s="71">
        <f>+(S17-T17)*V17-'data 1'!$F$4</f>
        <v>30.23</v>
      </c>
      <c r="AD17" s="71">
        <f t="shared" si="7"/>
        <v>96.70240917</v>
      </c>
      <c r="AE17" s="71">
        <f t="shared" si="8"/>
        <v>-36.931</v>
      </c>
      <c r="AF17" s="71">
        <f t="shared" si="9"/>
        <v>135.7788313</v>
      </c>
      <c r="AG17" s="72">
        <f t="shared" si="29"/>
        <v>242.7802405</v>
      </c>
      <c r="AH17" s="193">
        <f t="shared" si="10"/>
        <v>99.199</v>
      </c>
      <c r="AI17" s="193">
        <f t="shared" si="11"/>
        <v>103.928</v>
      </c>
      <c r="AJ17" s="73">
        <f t="shared" si="12"/>
        <v>97.8223722</v>
      </c>
      <c r="AK17" s="73">
        <f t="shared" si="13"/>
        <v>64.24609954</v>
      </c>
      <c r="AM17" s="51">
        <f t="shared" si="14"/>
        <v>5594.591587</v>
      </c>
      <c r="AN17" s="51" t="str">
        <f t="array" ref="AN17">XLOOKUP(D17,RUC!$B$3:$B$565,RUC!$M$3:$M$565)</f>
        <v>SIN ACOPIO</v>
      </c>
      <c r="AO17" s="131" t="s">
        <v>547</v>
      </c>
      <c r="AP17" s="57" t="s">
        <v>2753</v>
      </c>
      <c r="AQ17" s="57" t="s">
        <v>2754</v>
      </c>
      <c r="AV17" s="160" t="s">
        <v>692</v>
      </c>
      <c r="AW17" s="6">
        <f t="shared" si="18"/>
        <v>0</v>
      </c>
      <c r="AX17" s="6">
        <f t="array" ref="AX17">+SUMPRODUCT(IF($AO$4:$AO$921=AV17,$L$4:$L$921*$K$4:$K$921/AW17))</f>
        <v>0</v>
      </c>
      <c r="AY17" s="145">
        <f t="shared" si="19"/>
        <v>0</v>
      </c>
      <c r="AZ17" s="58">
        <f t="array" ref="AZ17">+SUMPRODUCT(IF('37'!$AO$4:$AO$813=AV17,('37'!$Q$4:$Q$813*'37'!$AH$4:$AH$813)/SUMIF('37'!$AO$4:$AO$813,#REF!,'37'!$AH$4:$AH$813)))</f>
        <v>0</v>
      </c>
      <c r="BA17" s="65">
        <f t="shared" si="20"/>
        <v>0</v>
      </c>
      <c r="BB17" s="65">
        <f t="shared" si="21"/>
        <v>0</v>
      </c>
      <c r="BC17" s="58">
        <f t="shared" si="22"/>
        <v>537.0444524</v>
      </c>
      <c r="BD17" s="161">
        <f t="shared" si="23"/>
        <v>527.095</v>
      </c>
    </row>
    <row r="18" ht="15.0" customHeight="1">
      <c r="A18" s="116" t="s">
        <v>2755</v>
      </c>
      <c r="B18" s="182">
        <v>46041.0</v>
      </c>
      <c r="C18" s="182">
        <v>46014.0</v>
      </c>
      <c r="D18" s="57" t="s">
        <v>225</v>
      </c>
      <c r="E18" s="3">
        <f t="array" ref="E18">XLOOKUP(D18,RUC!$B$3:$B$110,RUC!$D$3:$D$110)</f>
        <v>10761932735</v>
      </c>
      <c r="G18" s="141">
        <v>52.0</v>
      </c>
      <c r="H18" s="3" t="s">
        <v>47</v>
      </c>
      <c r="I18" s="6">
        <v>4.23</v>
      </c>
      <c r="J18" s="58">
        <v>7.5</v>
      </c>
      <c r="K18" s="6">
        <f t="shared" si="2"/>
        <v>3.913</v>
      </c>
      <c r="L18" s="139">
        <v>0.104</v>
      </c>
      <c r="M18" s="60">
        <f t="shared" ref="M18:M35" si="30">ROUND(+IF(AN18="Melchor Vera",IF(L18&gt;0.467,L18*0.985,(L18-0.007)),IF(L18&gt;0.3,L18*0.94,(L18-0.019))),3)</f>
        <v>0.085</v>
      </c>
      <c r="N18" s="75">
        <v>0.148</v>
      </c>
      <c r="O18" s="60">
        <f t="shared" si="5"/>
        <v>0.117</v>
      </c>
      <c r="P18" s="63">
        <v>80.0</v>
      </c>
      <c r="Q18" s="58">
        <v>96.15</v>
      </c>
      <c r="R18" s="65">
        <v>4449.4</v>
      </c>
      <c r="S18" s="66">
        <f t="array" ref="S18">IF((XLOOKUP(D18,RUC!$B$3:$B$106,RUC!$E$3:$E$106)+ROUNDDOWN(O18,1)*100)&lt;95,95,((XLOOKUP(D18,RUC!$B$3:$B$106,RUC!$E$3:$E$106)+ROUNDDOWN(O18,1)*100)))</f>
        <v>100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69">
        <f t="array" ref="Z18">XLOOKUP(D18,RUC!$B$3:$B$110,RUC!$H$3:$H$110)</f>
        <v>30</v>
      </c>
      <c r="AA18" s="70">
        <f t="shared" si="6"/>
        <v>50</v>
      </c>
      <c r="AB18" s="71">
        <f t="shared" si="28"/>
        <v>281.3420572</v>
      </c>
      <c r="AC18" s="71">
        <f>+(S18-T18)*V18-'data 1'!$F$4</f>
        <v>30.23</v>
      </c>
      <c r="AD18" s="71">
        <f t="shared" si="7"/>
        <v>80.15551083</v>
      </c>
      <c r="AE18" s="71">
        <f t="shared" si="8"/>
        <v>-14.885</v>
      </c>
      <c r="AF18" s="71">
        <f t="shared" si="9"/>
        <v>-59.6513341</v>
      </c>
      <c r="AG18" s="72">
        <f t="shared" si="29"/>
        <v>52.84917672</v>
      </c>
      <c r="AH18" s="193">
        <f t="shared" si="10"/>
        <v>13.415</v>
      </c>
      <c r="AI18" s="193">
        <f t="shared" si="11"/>
        <v>13.953</v>
      </c>
      <c r="AJ18" s="73">
        <f t="shared" si="12"/>
        <v>74.57863474</v>
      </c>
      <c r="AK18" s="73">
        <f t="shared" si="13"/>
        <v>12.55725651</v>
      </c>
      <c r="AM18" s="51">
        <f t="shared" si="14"/>
        <v>1100.89147</v>
      </c>
      <c r="AN18" s="51" t="str">
        <f t="array" ref="AN18">XLOOKUP(D18,RUC!$B$3:$B$565,RUC!$M$3:$M$565)</f>
        <v>Richard Sapacayo</v>
      </c>
      <c r="AO18" s="131" t="s">
        <v>558</v>
      </c>
      <c r="AP18" s="57" t="s">
        <v>2756</v>
      </c>
      <c r="AQ18" s="57" t="s">
        <v>2757</v>
      </c>
      <c r="AV18" s="163" t="s">
        <v>693</v>
      </c>
      <c r="AW18" s="165">
        <f t="shared" si="18"/>
        <v>0</v>
      </c>
      <c r="AX18" s="165">
        <f t="array" ref="AX18">+SUMPRODUCT(IF('37'!$AO$4:$AO$813=AV18,'37'!$L$4:$L$813*'37'!$K$4:$K$813/AW18))</f>
        <v>0</v>
      </c>
      <c r="AY18" s="166">
        <f t="shared" si="19"/>
        <v>0</v>
      </c>
      <c r="AZ18" s="168">
        <f t="array" ref="AZ18">+SUMPRODUCT(IF('37'!$AO$4:$AO$813=AV18,('37'!$Q$4:$Q$813*'37'!$AH$4:$AH$813)/SUMIF('37'!$AO$4:$AO$813,#REF!,'37'!$AH$4:$AH$813)))</f>
        <v>0</v>
      </c>
      <c r="BA18" s="167">
        <f t="shared" si="20"/>
        <v>0</v>
      </c>
      <c r="BB18" s="167">
        <f t="shared" si="21"/>
        <v>0</v>
      </c>
      <c r="BC18" s="168">
        <f t="shared" si="22"/>
        <v>537.0444524</v>
      </c>
      <c r="BD18" s="169">
        <f t="shared" si="23"/>
        <v>527.095</v>
      </c>
    </row>
    <row r="19" ht="15.0" customHeight="1">
      <c r="A19" s="116" t="s">
        <v>2758</v>
      </c>
      <c r="B19" s="182">
        <v>46041.0</v>
      </c>
      <c r="C19" s="182">
        <v>46014.0</v>
      </c>
      <c r="D19" s="57" t="s">
        <v>225</v>
      </c>
      <c r="E19" s="3">
        <f t="array" ref="E19">XLOOKUP(D19,RUC!$B$3:$B$110,RUC!$D$3:$D$110)</f>
        <v>10761932735</v>
      </c>
      <c r="G19" s="141">
        <v>53.0</v>
      </c>
      <c r="H19" s="3" t="s">
        <v>47</v>
      </c>
      <c r="I19" s="6">
        <v>3.52</v>
      </c>
      <c r="J19" s="58">
        <v>5.88</v>
      </c>
      <c r="K19" s="6">
        <f t="shared" si="2"/>
        <v>3.313</v>
      </c>
      <c r="L19" s="139">
        <v>0.18</v>
      </c>
      <c r="M19" s="60">
        <f t="shared" si="30"/>
        <v>0.161</v>
      </c>
      <c r="N19" s="75">
        <v>0.236</v>
      </c>
      <c r="O19" s="60">
        <f t="shared" si="5"/>
        <v>0.199</v>
      </c>
      <c r="P19" s="63">
        <v>90.0</v>
      </c>
      <c r="Q19" s="58">
        <v>93.51</v>
      </c>
      <c r="R19" s="65">
        <v>4449.4</v>
      </c>
      <c r="S19" s="66">
        <f t="array" ref="S19">IF((XLOOKUP(D19,RUC!$B$3:$B$106,RUC!$E$3:$E$106)+ROUNDDOWN(O19,1)*100)&lt;95,95,((XLOOKUP(D19,RUC!$B$3:$B$106,RUC!$E$3:$E$106)+ROUNDDOWN(O19,1)*100)))</f>
        <v>100</v>
      </c>
      <c r="U19" s="67">
        <f t="array" ref="U19">XLOOKUP(D19,RUC!$B$3:$B$110,RUC!$F$3:$F$110)</f>
        <v>120</v>
      </c>
      <c r="V19" s="67">
        <v>1.1023</v>
      </c>
      <c r="Y19" s="57">
        <f t="array" ref="Y19">XLOOKUP(D19,RUC!$B$3:$B$110,RUC!$G$3:$G$110)</f>
        <v>20</v>
      </c>
      <c r="Z19" s="69">
        <f t="array" ref="Z19">XLOOKUP(D19,RUC!$B$3:$B$110,RUC!$H$3:$H$110)</f>
        <v>30</v>
      </c>
      <c r="AA19" s="70">
        <f t="shared" si="6"/>
        <v>50</v>
      </c>
      <c r="AB19" s="71">
        <f t="shared" si="28"/>
        <v>689.3735037</v>
      </c>
      <c r="AC19" s="71">
        <f>+(S19-T19)*V19-'data 1'!$F$4</f>
        <v>30.23</v>
      </c>
      <c r="AD19" s="71">
        <f t="shared" si="7"/>
        <v>30.15137636</v>
      </c>
      <c r="AE19" s="71">
        <f t="shared" si="8"/>
        <v>-14.885</v>
      </c>
      <c r="AF19" s="71">
        <f t="shared" si="9"/>
        <v>-84.78893458</v>
      </c>
      <c r="AG19" s="72">
        <f t="shared" si="29"/>
        <v>-22.29255822</v>
      </c>
      <c r="AH19" s="193">
        <f t="shared" si="10"/>
        <v>19.119</v>
      </c>
      <c r="AI19" s="193">
        <f t="shared" si="11"/>
        <v>20.446</v>
      </c>
      <c r="AJ19" s="73">
        <f t="shared" si="12"/>
        <v>125.5342878</v>
      </c>
      <c r="AK19" s="73">
        <f t="shared" si="13"/>
        <v>20.34351957</v>
      </c>
      <c r="AM19" s="51">
        <f t="shared" si="14"/>
        <v>2283.894418</v>
      </c>
      <c r="AN19" s="51" t="str">
        <f t="array" ref="AN19">XLOOKUP(D19,RUC!$B$3:$B$565,RUC!$M$3:$M$565)</f>
        <v>Richard Sapacayo</v>
      </c>
      <c r="AO19" s="131" t="s">
        <v>558</v>
      </c>
      <c r="AP19" s="57" t="s">
        <v>2756</v>
      </c>
      <c r="AQ19" s="57" t="s">
        <v>2757</v>
      </c>
      <c r="AV19" s="2"/>
      <c r="AW19" s="6"/>
      <c r="AX19" s="6"/>
      <c r="AY19" s="145"/>
      <c r="AZ19" s="58"/>
      <c r="BA19" s="65"/>
      <c r="BB19" s="65"/>
      <c r="BC19" s="58"/>
      <c r="BD19" s="65"/>
    </row>
    <row r="20" ht="15.0" customHeight="1">
      <c r="A20" s="116" t="s">
        <v>2759</v>
      </c>
      <c r="B20" s="182">
        <v>46041.0</v>
      </c>
      <c r="C20" s="182">
        <v>46014.0</v>
      </c>
      <c r="D20" s="57" t="s">
        <v>225</v>
      </c>
      <c r="E20" s="3">
        <f t="array" ref="E20">XLOOKUP(D20,RUC!$B$3:$B$110,RUC!$D$3:$D$110)</f>
        <v>10761932735</v>
      </c>
      <c r="G20" s="141">
        <v>36.0</v>
      </c>
      <c r="H20" s="3" t="s">
        <v>47</v>
      </c>
      <c r="I20" s="6">
        <v>2.65</v>
      </c>
      <c r="J20" s="58">
        <v>9.7</v>
      </c>
      <c r="K20" s="6">
        <f t="shared" si="2"/>
        <v>2.393</v>
      </c>
      <c r="L20" s="139">
        <v>0.198</v>
      </c>
      <c r="M20" s="60">
        <f t="shared" si="30"/>
        <v>0.179</v>
      </c>
      <c r="N20" s="75">
        <v>0.232</v>
      </c>
      <c r="O20" s="60">
        <f t="shared" si="5"/>
        <v>0.206</v>
      </c>
      <c r="P20" s="63">
        <v>90.0</v>
      </c>
      <c r="Q20" s="58">
        <v>95.36</v>
      </c>
      <c r="R20" s="65">
        <v>4449.4</v>
      </c>
      <c r="S20" s="66">
        <f t="array" ref="S20">IF((XLOOKUP(D20,RUC!$B$3:$B$106,RUC!$E$3:$E$106)+ROUNDDOWN(O20,1)*100)&lt;95,95,((XLOOKUP(D20,RUC!$B$3:$B$106,RUC!$E$3:$E$106)+ROUNDDOWN(O20,1)*100)))</f>
        <v>110</v>
      </c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69">
        <f t="array" ref="Z20">XLOOKUP(D20,RUC!$B$3:$B$110,RUC!$H$3:$H$110)</f>
        <v>30</v>
      </c>
      <c r="AA20" s="70">
        <f t="shared" si="6"/>
        <v>50</v>
      </c>
      <c r="AB20" s="71">
        <f t="shared" si="28"/>
        <v>708.4159787</v>
      </c>
      <c r="AC20" s="71">
        <f>+(S20-T20)*V20-'data 1'!$F$4</f>
        <v>41.253</v>
      </c>
      <c r="AD20" s="71">
        <f t="shared" si="7"/>
        <v>50.64744018</v>
      </c>
      <c r="AE20" s="71">
        <f t="shared" si="8"/>
        <v>-14.885</v>
      </c>
      <c r="AF20" s="71">
        <f t="shared" si="9"/>
        <v>-36.40690408</v>
      </c>
      <c r="AG20" s="72">
        <f t="shared" si="29"/>
        <v>57.6085361</v>
      </c>
      <c r="AH20" s="193">
        <f t="shared" si="10"/>
        <v>15.491</v>
      </c>
      <c r="AI20" s="193">
        <f t="shared" si="11"/>
        <v>16.245</v>
      </c>
      <c r="AJ20" s="73">
        <f t="shared" si="12"/>
        <v>140.8196412</v>
      </c>
      <c r="AK20" s="73">
        <f t="shared" si="13"/>
        <v>15.21113069</v>
      </c>
      <c r="AM20" s="51">
        <f t="shared" si="14"/>
        <v>1695.239437</v>
      </c>
      <c r="AN20" s="51" t="str">
        <f t="array" ref="AN20">XLOOKUP(D20,RUC!$B$3:$B$565,RUC!$M$3:$M$565)</f>
        <v>Richard Sapacayo</v>
      </c>
      <c r="AO20" s="131" t="s">
        <v>551</v>
      </c>
      <c r="AP20" s="57" t="s">
        <v>2756</v>
      </c>
      <c r="AQ20" s="57" t="s">
        <v>2757</v>
      </c>
    </row>
    <row r="21" ht="15.0" customHeight="1">
      <c r="A21" s="116" t="s">
        <v>2760</v>
      </c>
      <c r="B21" s="182">
        <v>46041.0</v>
      </c>
      <c r="C21" s="182">
        <v>46014.0</v>
      </c>
      <c r="D21" s="57" t="s">
        <v>225</v>
      </c>
      <c r="E21" s="3">
        <f t="array" ref="E21">XLOOKUP(D21,RUC!$B$3:$B$110,RUC!$D$3:$D$110)</f>
        <v>10761932735</v>
      </c>
      <c r="G21" s="141">
        <v>100.0</v>
      </c>
      <c r="H21" s="3" t="s">
        <v>47</v>
      </c>
      <c r="I21" s="6">
        <v>6.71</v>
      </c>
      <c r="J21" s="58">
        <v>20.52</v>
      </c>
      <c r="K21" s="6">
        <f t="shared" si="2"/>
        <v>5.333</v>
      </c>
      <c r="L21" s="139">
        <v>0.13</v>
      </c>
      <c r="M21" s="60">
        <f t="shared" si="30"/>
        <v>0.111</v>
      </c>
      <c r="N21" s="75">
        <v>0.154</v>
      </c>
      <c r="O21" s="60">
        <f t="shared" si="5"/>
        <v>0.133</v>
      </c>
      <c r="P21" s="63">
        <v>85.0</v>
      </c>
      <c r="Q21" s="58">
        <v>95.38</v>
      </c>
      <c r="R21" s="65">
        <v>4449.4</v>
      </c>
      <c r="S21" s="66">
        <f t="array" ref="S21">IF((XLOOKUP(D21,RUC!$B$3:$B$106,RUC!$E$3:$E$106)+ROUNDDOWN(O21,1)*100)&lt;95,95,((XLOOKUP(D21,RUC!$B$3:$B$106,RUC!$E$3:$E$106)+ROUNDDOWN(O21,1)*100)))</f>
        <v>100</v>
      </c>
      <c r="U21" s="67">
        <f t="array" ref="U21">XLOOKUP(D21,RUC!$B$3:$B$110,RUC!$F$3:$F$110)</f>
        <v>120</v>
      </c>
      <c r="V21" s="67">
        <v>1.1023</v>
      </c>
      <c r="Y21" s="57">
        <f t="array" ref="Y21">XLOOKUP(D21,RUC!$B$3:$B$110,RUC!$G$3:$G$110)</f>
        <v>20</v>
      </c>
      <c r="Z21" s="69">
        <f t="array" ref="Z21">XLOOKUP(D21,RUC!$B$3:$B$110,RUC!$H$3:$H$110)</f>
        <v>30</v>
      </c>
      <c r="AA21" s="70">
        <f t="shared" si="6"/>
        <v>50</v>
      </c>
      <c r="AB21" s="71">
        <f t="shared" si="28"/>
        <v>374.1632459</v>
      </c>
      <c r="AC21" s="71">
        <f>+(S21-T21)*V21-'data 1'!$F$4</f>
        <v>30.23</v>
      </c>
      <c r="AD21" s="71">
        <f t="shared" si="7"/>
        <v>64.39738408</v>
      </c>
      <c r="AE21" s="71">
        <f t="shared" si="8"/>
        <v>-14.885</v>
      </c>
      <c r="AF21" s="71">
        <f t="shared" si="9"/>
        <v>-13.65545241</v>
      </c>
      <c r="AG21" s="72">
        <f t="shared" si="29"/>
        <v>83.08693167</v>
      </c>
      <c r="AH21" s="193">
        <f t="shared" si="10"/>
        <v>22.672</v>
      </c>
      <c r="AI21" s="193">
        <f t="shared" si="11"/>
        <v>23.77</v>
      </c>
      <c r="AJ21" s="73">
        <f t="shared" si="12"/>
        <v>92.47673142</v>
      </c>
      <c r="AK21" s="73">
        <f t="shared" si="13"/>
        <v>20.67051131</v>
      </c>
      <c r="AM21" s="51">
        <f t="shared" si="14"/>
        <v>1995.412591</v>
      </c>
      <c r="AN21" s="51" t="str">
        <f t="array" ref="AN21">XLOOKUP(D21,RUC!$B$3:$B$565,RUC!$M$3:$M$565)</f>
        <v>Richard Sapacayo</v>
      </c>
      <c r="AO21" s="131" t="s">
        <v>547</v>
      </c>
      <c r="AP21" s="57" t="s">
        <v>2756</v>
      </c>
      <c r="AQ21" s="57" t="s">
        <v>2757</v>
      </c>
    </row>
    <row r="22" ht="15.0" customHeight="1">
      <c r="A22" s="116" t="s">
        <v>2761</v>
      </c>
      <c r="B22" s="182">
        <v>46024.0</v>
      </c>
      <c r="C22" s="182">
        <v>46015.0</v>
      </c>
      <c r="D22" s="57" t="s">
        <v>665</v>
      </c>
      <c r="E22" s="3">
        <f t="array" ref="E22">XLOOKUP(D22,RUC!$B$3:$B$110,RUC!$D$3:$D$110)</f>
        <v>20608774000</v>
      </c>
      <c r="G22" s="141">
        <v>71.0</v>
      </c>
      <c r="H22" s="3" t="s">
        <v>47</v>
      </c>
      <c r="I22" s="6">
        <v>5.83</v>
      </c>
      <c r="J22" s="58">
        <v>1.15</v>
      </c>
      <c r="K22" s="6">
        <f t="shared" si="2"/>
        <v>5.763</v>
      </c>
      <c r="L22" s="139">
        <v>0.626</v>
      </c>
      <c r="M22" s="60">
        <f t="shared" si="30"/>
        <v>0.588</v>
      </c>
      <c r="N22" s="123">
        <v>0.653</v>
      </c>
      <c r="O22" s="60">
        <f t="shared" si="5"/>
        <v>0.621</v>
      </c>
      <c r="P22" s="63">
        <v>81.0</v>
      </c>
      <c r="Q22" s="58">
        <v>81.63</v>
      </c>
      <c r="R22" s="65">
        <v>4480.8</v>
      </c>
      <c r="S22" s="66">
        <f t="array" ref="S22">IF((XLOOKUP(D22,RUC!$B$3:$B$106,RUC!$E$3:$E$106)+ROUNDDOWN(O22,1)*100)&lt;95,95,((XLOOKUP(D22,RUC!$B$3:$B$106,RUC!$E$3:$E$106)+ROUNDDOWN(O22,1)*100)))</f>
        <v>145</v>
      </c>
      <c r="U22" s="67">
        <f t="array" ref="U22">XLOOKUP(D22,RUC!$B$3:$B$110,RUC!$F$3:$F$110)</f>
        <v>120</v>
      </c>
      <c r="V22" s="67">
        <v>1.1023</v>
      </c>
      <c r="Y22" s="199">
        <v>25.0</v>
      </c>
      <c r="Z22" s="140">
        <v>35.0</v>
      </c>
      <c r="AA22" s="70">
        <f t="shared" si="6"/>
        <v>60</v>
      </c>
      <c r="AB22" s="71">
        <f t="shared" si="28"/>
        <v>2191.952219</v>
      </c>
      <c r="AC22" s="71">
        <f>+(S22-T22)*V22-'data 1'!$F$4</f>
        <v>79.8335</v>
      </c>
      <c r="AD22" s="71">
        <f t="shared" si="7"/>
        <v>18.95749103</v>
      </c>
      <c r="AE22" s="71">
        <f t="shared" si="8"/>
        <v>-3.862</v>
      </c>
      <c r="AF22" s="71">
        <f t="shared" si="9"/>
        <v>19.61940251</v>
      </c>
      <c r="AG22" s="72">
        <f t="shared" si="29"/>
        <v>131.5483935</v>
      </c>
      <c r="AH22" s="193">
        <f t="shared" si="10"/>
        <v>100.968</v>
      </c>
      <c r="AI22" s="193">
        <f t="shared" si="11"/>
        <v>123.689</v>
      </c>
      <c r="AJ22" s="73">
        <f t="shared" si="12"/>
        <v>363.4279261</v>
      </c>
      <c r="AK22" s="73">
        <f t="shared" si="13"/>
        <v>99.38808161</v>
      </c>
      <c r="AM22" s="51">
        <f t="shared" si="14"/>
        <v>12632.22064</v>
      </c>
      <c r="AN22" s="51" t="str">
        <f t="array" ref="AN22">XLOOKUP(D22,RUC!$B$3:$B$565,RUC!$M$3:$M$565)</f>
        <v>Ronald Miranda</v>
      </c>
      <c r="AO22" s="131" t="s">
        <v>549</v>
      </c>
      <c r="AP22" s="57" t="s">
        <v>2580</v>
      </c>
      <c r="AQ22" s="57" t="s">
        <v>2144</v>
      </c>
    </row>
    <row r="23" ht="15.0" customHeight="1">
      <c r="A23" s="116" t="s">
        <v>2762</v>
      </c>
      <c r="B23" s="182">
        <v>46028.0</v>
      </c>
      <c r="C23" s="182">
        <v>46016.0</v>
      </c>
      <c r="D23" s="57" t="s">
        <v>295</v>
      </c>
      <c r="E23" s="3">
        <f t="array" ref="E23">XLOOKUP(D23,RUC!$B$3:$B$110,RUC!$D$3:$D$110)</f>
        <v>20601769396</v>
      </c>
      <c r="G23" s="141">
        <v>61.0</v>
      </c>
      <c r="H23" s="3" t="s">
        <v>40</v>
      </c>
      <c r="I23" s="6">
        <v>5.06</v>
      </c>
      <c r="J23" s="58">
        <v>10.35</v>
      </c>
      <c r="K23" s="6">
        <f t="shared" si="2"/>
        <v>4.536</v>
      </c>
      <c r="L23" s="139">
        <v>0.206</v>
      </c>
      <c r="M23" s="60">
        <f t="shared" si="30"/>
        <v>0.187</v>
      </c>
      <c r="N23" s="62">
        <f t="shared" ref="N23:N25" si="31">+M23</f>
        <v>0.187</v>
      </c>
      <c r="O23" s="60">
        <f t="shared" si="5"/>
        <v>0.187</v>
      </c>
      <c r="P23" s="63">
        <v>88.0</v>
      </c>
      <c r="Q23" s="58">
        <v>88.83</v>
      </c>
      <c r="R23" s="65">
        <v>4480.8</v>
      </c>
      <c r="S23" s="66">
        <f t="array" ref="S23">IF((XLOOKUP(D23,RUC!$B$3:$B$106,RUC!$E$3:$E$106)+ROUNDDOWN(O23,1)*100)&lt;95,95,((XLOOKUP(D23,RUC!$B$3:$B$106,RUC!$E$3:$E$106)+ROUNDDOWN(O23,1)*100)))</f>
        <v>100</v>
      </c>
      <c r="U23" s="67">
        <f t="array" ref="U23">XLOOKUP(D23,RUC!$B$3:$B$110,RUC!$F$3:$F$110)</f>
        <v>120</v>
      </c>
      <c r="V23" s="67">
        <v>1.1023</v>
      </c>
      <c r="Y23" s="199">
        <v>30.0</v>
      </c>
      <c r="Z23" s="140">
        <v>40.0</v>
      </c>
      <c r="AA23" s="70">
        <f t="shared" si="6"/>
        <v>70</v>
      </c>
      <c r="AB23" s="71">
        <f t="shared" si="28"/>
        <v>603.6340833</v>
      </c>
      <c r="AC23" s="71">
        <f>+(S23-T23)*V23-'data 1'!$F$4</f>
        <v>30.23</v>
      </c>
      <c r="AD23" s="71">
        <f t="shared" si="7"/>
        <v>8.218854444</v>
      </c>
      <c r="AE23" s="71">
        <f t="shared" si="8"/>
        <v>7.161</v>
      </c>
      <c r="AF23" s="71">
        <f t="shared" si="9"/>
        <v>81.12958221</v>
      </c>
      <c r="AG23" s="72">
        <f t="shared" si="29"/>
        <v>143.7394367</v>
      </c>
      <c r="AH23" s="193">
        <f t="shared" si="10"/>
        <v>28.458</v>
      </c>
      <c r="AI23" s="193">
        <f t="shared" si="11"/>
        <v>32.037</v>
      </c>
      <c r="AJ23" s="73">
        <f t="shared" si="12"/>
        <v>130.1430704</v>
      </c>
      <c r="AK23" s="73">
        <f t="shared" si="13"/>
        <v>25.59212768</v>
      </c>
      <c r="AM23" s="51">
        <f t="shared" si="14"/>
        <v>2738.084202</v>
      </c>
      <c r="AN23" s="51" t="str">
        <f t="array" ref="AN23">XLOOKUP(D23,RUC!$B$3:$B$565,RUC!$M$3:$M$565)</f>
        <v>Evelyn</v>
      </c>
      <c r="AO23" s="131" t="s">
        <v>549</v>
      </c>
      <c r="AP23" s="57" t="s">
        <v>1824</v>
      </c>
      <c r="AQ23" s="57" t="s">
        <v>2586</v>
      </c>
    </row>
    <row r="24" ht="15.0" customHeight="1">
      <c r="A24" s="116" t="s">
        <v>2763</v>
      </c>
      <c r="B24" s="182">
        <v>46024.0</v>
      </c>
      <c r="C24" s="182">
        <v>46016.0</v>
      </c>
      <c r="D24" s="57" t="s">
        <v>602</v>
      </c>
      <c r="E24" s="3">
        <f t="array" ref="E24">XLOOKUP(D24,RUC!$B$3:$B$110,RUC!$D$3:$D$110)</f>
        <v>20169040231</v>
      </c>
      <c r="G24" s="141">
        <v>21.0</v>
      </c>
      <c r="H24" s="3" t="s">
        <v>40</v>
      </c>
      <c r="I24" s="6">
        <v>1.75</v>
      </c>
      <c r="J24" s="58">
        <v>25.65</v>
      </c>
      <c r="K24" s="6">
        <f t="shared" si="2"/>
        <v>1.301</v>
      </c>
      <c r="L24" s="139">
        <v>1.053</v>
      </c>
      <c r="M24" s="60">
        <f t="shared" si="30"/>
        <v>0.99</v>
      </c>
      <c r="N24" s="62">
        <f t="shared" si="31"/>
        <v>0.99</v>
      </c>
      <c r="O24" s="60">
        <f t="shared" si="5"/>
        <v>0.99</v>
      </c>
      <c r="P24" s="63">
        <v>90.0</v>
      </c>
      <c r="Q24" s="58">
        <v>96.3</v>
      </c>
      <c r="R24" s="65">
        <v>4480.8</v>
      </c>
      <c r="S24" s="66">
        <f t="array" ref="S24">IF((XLOOKUP(D24,RUC!$B$3:$B$106,RUC!$E$3:$E$106)+ROUNDDOWN(O24,1)*100)&lt;95,95,((XLOOKUP(D24,RUC!$B$3:$B$106,RUC!$E$3:$E$106)+ROUNDDOWN(O24,1)*100)))</f>
        <v>175</v>
      </c>
      <c r="U24" s="67">
        <f t="array" ref="U24">XLOOKUP(D24,RUC!$B$3:$B$110,RUC!$F$3:$F$110)</f>
        <v>120</v>
      </c>
      <c r="V24" s="67">
        <v>1.1023</v>
      </c>
      <c r="Y24" s="199">
        <v>35.0</v>
      </c>
      <c r="Z24" s="140">
        <v>48.0</v>
      </c>
      <c r="AA24" s="70">
        <f t="shared" si="6"/>
        <v>83</v>
      </c>
      <c r="AB24" s="71">
        <f t="shared" si="28"/>
        <v>3998.563267</v>
      </c>
      <c r="AC24" s="71">
        <f>+(S24-T24)*V24-'data 1'!$F$4</f>
        <v>112.9025</v>
      </c>
      <c r="AD24" s="71">
        <f t="shared" si="7"/>
        <v>318.8855919</v>
      </c>
      <c r="AE24" s="71">
        <f t="shared" si="8"/>
        <v>21.4909</v>
      </c>
      <c r="AF24" s="71">
        <f t="shared" si="9"/>
        <v>291.6304131</v>
      </c>
      <c r="AG24" s="72">
        <f t="shared" si="29"/>
        <v>761.909405</v>
      </c>
      <c r="AH24" s="193">
        <f t="shared" si="10"/>
        <v>45.232</v>
      </c>
      <c r="AI24" s="193">
        <f t="shared" si="11"/>
        <v>46.969</v>
      </c>
      <c r="AJ24" s="73">
        <f t="shared" si="12"/>
        <v>721.1885524</v>
      </c>
      <c r="AK24" s="73">
        <f t="shared" si="13"/>
        <v>39.74331326</v>
      </c>
      <c r="AM24" s="51">
        <f t="shared" si="14"/>
        <v>5202.130811</v>
      </c>
      <c r="AN24" s="51" t="str">
        <f t="array" ref="AN24">XLOOKUP(D24,RUC!$B$3:$B$565,RUC!$M$3:$M$565)</f>
        <v>Ronald Miranda</v>
      </c>
      <c r="AO24" s="131" t="s">
        <v>558</v>
      </c>
      <c r="AP24" s="57" t="s">
        <v>2609</v>
      </c>
      <c r="AQ24" s="57" t="s">
        <v>2610</v>
      </c>
      <c r="BA24" s="203"/>
    </row>
    <row r="25" ht="15.0" customHeight="1">
      <c r="A25" s="116" t="s">
        <v>2764</v>
      </c>
      <c r="B25" s="182">
        <v>46024.0</v>
      </c>
      <c r="C25" s="182">
        <v>46016.0</v>
      </c>
      <c r="D25" s="57" t="s">
        <v>602</v>
      </c>
      <c r="E25" s="3">
        <f t="array" ref="E25">XLOOKUP(D25,RUC!$B$3:$B$110,RUC!$D$3:$D$110)</f>
        <v>20169040231</v>
      </c>
      <c r="G25" s="141">
        <v>21.0</v>
      </c>
      <c r="H25" s="3" t="s">
        <v>40</v>
      </c>
      <c r="I25" s="6">
        <v>1.7</v>
      </c>
      <c r="J25" s="58">
        <v>28.6</v>
      </c>
      <c r="K25" s="6">
        <f t="shared" si="2"/>
        <v>1.214</v>
      </c>
      <c r="L25" s="139">
        <v>1.016</v>
      </c>
      <c r="M25" s="60">
        <f t="shared" si="30"/>
        <v>0.955</v>
      </c>
      <c r="N25" s="62">
        <f t="shared" si="31"/>
        <v>0.955</v>
      </c>
      <c r="O25" s="60">
        <f t="shared" si="5"/>
        <v>0.955</v>
      </c>
      <c r="P25" s="63">
        <v>90.0</v>
      </c>
      <c r="Q25" s="58">
        <v>92.81</v>
      </c>
      <c r="R25" s="65">
        <v>4480.8</v>
      </c>
      <c r="S25" s="66">
        <f t="array" ref="S25">IF((XLOOKUP(D25,RUC!$B$3:$B$106,RUC!$E$3:$E$106)+ROUNDDOWN(O25,1)*100)&lt;95,95,((XLOOKUP(D25,RUC!$B$3:$B$106,RUC!$E$3:$E$106)+ROUNDDOWN(O25,1)*100)))</f>
        <v>175</v>
      </c>
      <c r="U25" s="67">
        <f t="array" ref="U25">XLOOKUP(D25,RUC!$B$3:$B$110,RUC!$F$3:$F$110)</f>
        <v>120</v>
      </c>
      <c r="V25" s="67">
        <v>1.1023</v>
      </c>
      <c r="Y25" s="199">
        <v>35.0</v>
      </c>
      <c r="Z25" s="140">
        <v>48.0</v>
      </c>
      <c r="AA25" s="70">
        <f t="shared" si="6"/>
        <v>83</v>
      </c>
      <c r="AB25" s="71">
        <f t="shared" si="28"/>
        <v>3847.145607</v>
      </c>
      <c r="AC25" s="71">
        <f>+(S25-T25)*V25-'data 1'!$F$4</f>
        <v>112.9025</v>
      </c>
      <c r="AD25" s="71">
        <f t="shared" si="7"/>
        <v>137.2353532</v>
      </c>
      <c r="AE25" s="71">
        <f t="shared" si="8"/>
        <v>21.4909</v>
      </c>
      <c r="AF25" s="71">
        <f t="shared" si="9"/>
        <v>272.1388744</v>
      </c>
      <c r="AG25" s="72">
        <f t="shared" si="29"/>
        <v>560.7676275</v>
      </c>
      <c r="AH25" s="193">
        <f t="shared" si="10"/>
        <v>39.248</v>
      </c>
      <c r="AI25" s="193">
        <f t="shared" si="11"/>
        <v>42.288</v>
      </c>
      <c r="AJ25" s="73">
        <f t="shared" si="12"/>
        <v>670.6294896</v>
      </c>
      <c r="AK25" s="73">
        <f t="shared" si="13"/>
        <v>35.77450531</v>
      </c>
      <c r="AM25" s="51">
        <f t="shared" si="14"/>
        <v>4670.434767</v>
      </c>
      <c r="AN25" s="51" t="str">
        <f t="array" ref="AN25">XLOOKUP(D25,RUC!$B$3:$B$565,RUC!$M$3:$M$565)</f>
        <v>Ronald Miranda</v>
      </c>
      <c r="AO25" s="131" t="s">
        <v>558</v>
      </c>
      <c r="AP25" s="57" t="s">
        <v>2609</v>
      </c>
      <c r="AQ25" s="57" t="s">
        <v>2610</v>
      </c>
      <c r="BA25" s="203"/>
    </row>
    <row r="26" ht="15.0" customHeight="1">
      <c r="A26" s="116" t="s">
        <v>2765</v>
      </c>
      <c r="B26" s="182">
        <v>46024.0</v>
      </c>
      <c r="C26" s="182">
        <v>46017.0</v>
      </c>
      <c r="D26" s="57" t="s">
        <v>602</v>
      </c>
      <c r="E26" s="3">
        <f t="array" ref="E26">XLOOKUP(D26,RUC!$B$3:$B$110,RUC!$D$3:$D$110)</f>
        <v>20169040231</v>
      </c>
      <c r="G26" s="141">
        <v>51.0</v>
      </c>
      <c r="H26" s="3" t="s">
        <v>40</v>
      </c>
      <c r="I26" s="6">
        <v>4.7</v>
      </c>
      <c r="J26" s="58">
        <v>22.0</v>
      </c>
      <c r="K26" s="6">
        <f t="shared" si="2"/>
        <v>3.666</v>
      </c>
      <c r="L26" s="139">
        <v>2.58</v>
      </c>
      <c r="M26" s="60">
        <f t="shared" si="30"/>
        <v>2.425</v>
      </c>
      <c r="N26" s="75">
        <v>2.68</v>
      </c>
      <c r="O26" s="60">
        <f t="shared" si="5"/>
        <v>2.553</v>
      </c>
      <c r="P26" s="63">
        <v>90.0</v>
      </c>
      <c r="Q26" s="58">
        <v>92.95</v>
      </c>
      <c r="R26" s="65">
        <v>4480.8</v>
      </c>
      <c r="S26" s="66">
        <f t="array" ref="S26">IF((XLOOKUP(D26,RUC!$B$3:$B$106,RUC!$E$3:$E$106)+ROUNDDOWN(O26,1)*100)&lt;95,95,((XLOOKUP(D26,RUC!$B$3:$B$106,RUC!$E$3:$E$106)+ROUNDDOWN(O26,1)*100)))</f>
        <v>335</v>
      </c>
      <c r="U26" s="67">
        <f t="array" ref="U26">XLOOKUP(D26,RUC!$B$3:$B$110,RUC!$F$3:$F$110)</f>
        <v>120</v>
      </c>
      <c r="V26" s="67">
        <v>1.1023</v>
      </c>
      <c r="Y26" s="199">
        <v>35.0</v>
      </c>
      <c r="Z26" s="140">
        <v>60.0</v>
      </c>
      <c r="AA26" s="70">
        <f t="shared" si="6"/>
        <v>95</v>
      </c>
      <c r="AB26" s="71">
        <f t="shared" si="28"/>
        <v>10570.84774</v>
      </c>
      <c r="AC26" s="71">
        <f>+(S26-T26)*V26-'data 1'!$F$4</f>
        <v>289.2705</v>
      </c>
      <c r="AD26" s="71">
        <f t="shared" si="7"/>
        <v>365.8539079</v>
      </c>
      <c r="AE26" s="71">
        <f t="shared" si="8"/>
        <v>34.7185</v>
      </c>
      <c r="AF26" s="71">
        <f t="shared" si="9"/>
        <v>120.6366128</v>
      </c>
      <c r="AG26" s="72">
        <f t="shared" si="29"/>
        <v>827.4795207</v>
      </c>
      <c r="AH26" s="193">
        <f t="shared" si="10"/>
        <v>301.419</v>
      </c>
      <c r="AI26" s="193">
        <f t="shared" si="11"/>
        <v>324.281</v>
      </c>
      <c r="AJ26" s="73">
        <f t="shared" si="12"/>
        <v>1705.545329</v>
      </c>
      <c r="AK26" s="73">
        <f t="shared" si="13"/>
        <v>288.7984474</v>
      </c>
      <c r="AM26" s="51">
        <f t="shared" si="14"/>
        <v>38752.72781</v>
      </c>
      <c r="AN26" s="51" t="str">
        <f t="array" ref="AN26">XLOOKUP(D26,RUC!$B$3:$B$565,RUC!$M$3:$M$565)</f>
        <v>Ronald Miranda</v>
      </c>
      <c r="AO26" s="131" t="s">
        <v>558</v>
      </c>
      <c r="AP26" s="57" t="s">
        <v>2609</v>
      </c>
      <c r="AQ26" s="57" t="s">
        <v>2610</v>
      </c>
      <c r="AV26" s="149" t="s">
        <v>2766</v>
      </c>
      <c r="AW26" s="150"/>
      <c r="AX26" s="150"/>
      <c r="AY26" s="150"/>
      <c r="AZ26" s="150"/>
      <c r="BA26" s="151"/>
    </row>
    <row r="27" ht="15.0" customHeight="1">
      <c r="A27" s="116" t="s">
        <v>2767</v>
      </c>
      <c r="B27" s="182">
        <v>46029.0</v>
      </c>
      <c r="C27" s="182">
        <v>46017.0</v>
      </c>
      <c r="D27" s="57" t="s">
        <v>602</v>
      </c>
      <c r="E27" s="3">
        <f t="array" ref="E27">XLOOKUP(D27,RUC!$B$3:$B$110,RUC!$D$3:$D$110)</f>
        <v>20169040231</v>
      </c>
      <c r="G27" s="141">
        <v>61.0</v>
      </c>
      <c r="H27" s="3" t="s">
        <v>40</v>
      </c>
      <c r="I27" s="6">
        <v>4.93</v>
      </c>
      <c r="J27" s="58">
        <v>27.75</v>
      </c>
      <c r="K27" s="6">
        <f t="shared" si="2"/>
        <v>3.562</v>
      </c>
      <c r="L27" s="139">
        <v>1.175</v>
      </c>
      <c r="M27" s="60">
        <f t="shared" si="30"/>
        <v>1.105</v>
      </c>
      <c r="N27" s="75">
        <v>1.235</v>
      </c>
      <c r="O27" s="60">
        <f t="shared" si="5"/>
        <v>1.17</v>
      </c>
      <c r="P27" s="63">
        <v>90.0</v>
      </c>
      <c r="Q27" s="58">
        <v>93.02</v>
      </c>
      <c r="R27" s="65">
        <v>4480.8</v>
      </c>
      <c r="S27" s="66">
        <f t="array" ref="S27">IF((XLOOKUP(D27,RUC!$B$3:$B$106,RUC!$E$3:$E$106)+ROUNDDOWN(O27,1)*100)&lt;95,95,((XLOOKUP(D27,RUC!$B$3:$B$106,RUC!$E$3:$E$106)+ROUNDDOWN(O27,1)*100)))</f>
        <v>195</v>
      </c>
      <c r="U27" s="67">
        <f t="array" ref="U27">XLOOKUP(D27,RUC!$B$3:$B$110,RUC!$F$3:$F$110)</f>
        <v>120</v>
      </c>
      <c r="V27" s="67">
        <v>1.1023</v>
      </c>
      <c r="Y27" s="199">
        <v>35.0</v>
      </c>
      <c r="Z27" s="140">
        <v>48.0</v>
      </c>
      <c r="AA27" s="70">
        <f t="shared" si="6"/>
        <v>83</v>
      </c>
      <c r="AB27" s="71">
        <f t="shared" si="28"/>
        <v>4755.236662</v>
      </c>
      <c r="AC27" s="71">
        <f>+(S27-T27)*V27-'data 1'!$F$4</f>
        <v>134.9485</v>
      </c>
      <c r="AD27" s="71">
        <f t="shared" si="7"/>
        <v>170.5731957</v>
      </c>
      <c r="AE27" s="71">
        <f t="shared" si="8"/>
        <v>21.4909</v>
      </c>
      <c r="AF27" s="71">
        <f t="shared" si="9"/>
        <v>22.35693767</v>
      </c>
      <c r="AG27" s="72">
        <f t="shared" si="29"/>
        <v>366.3695333</v>
      </c>
      <c r="AH27" s="193">
        <f t="shared" si="10"/>
        <v>133.48</v>
      </c>
      <c r="AI27" s="193">
        <f t="shared" si="11"/>
        <v>143.496</v>
      </c>
      <c r="AJ27" s="73">
        <f t="shared" si="12"/>
        <v>777.3352602</v>
      </c>
      <c r="AK27" s="73">
        <f t="shared" si="13"/>
        <v>128.5971535</v>
      </c>
      <c r="AM27" s="51">
        <f t="shared" si="14"/>
        <v>16938.15299</v>
      </c>
      <c r="AN27" s="51" t="str">
        <f t="array" ref="AN27">XLOOKUP(D27,RUC!$B$3:$B$565,RUC!$M$3:$M$565)</f>
        <v>Ronald Miranda</v>
      </c>
      <c r="AO27" s="131" t="s">
        <v>551</v>
      </c>
      <c r="AP27" s="57" t="s">
        <v>2609</v>
      </c>
      <c r="AQ27" s="57" t="s">
        <v>2610</v>
      </c>
      <c r="BA27" s="203">
        <f>SUM(BA29:BA38)</f>
        <v>0</v>
      </c>
    </row>
    <row r="28" ht="15.0" customHeight="1">
      <c r="A28" s="116" t="s">
        <v>2768</v>
      </c>
      <c r="B28" s="182">
        <v>46031.0</v>
      </c>
      <c r="C28" s="182">
        <v>46017.0</v>
      </c>
      <c r="D28" s="57" t="s">
        <v>665</v>
      </c>
      <c r="E28" s="3">
        <f t="array" ref="E28">XLOOKUP(D28,RUC!$B$3:$B$110,RUC!$D$3:$D$110)</f>
        <v>20608774000</v>
      </c>
      <c r="G28" s="141">
        <v>103.0</v>
      </c>
      <c r="H28" s="3" t="s">
        <v>47</v>
      </c>
      <c r="I28" s="6">
        <v>9.7</v>
      </c>
      <c r="J28" s="58">
        <v>1.35</v>
      </c>
      <c r="K28" s="6">
        <f t="shared" si="2"/>
        <v>9.569</v>
      </c>
      <c r="L28" s="139">
        <v>0.557</v>
      </c>
      <c r="M28" s="60">
        <f t="shared" si="30"/>
        <v>0.524</v>
      </c>
      <c r="N28" s="62">
        <f t="shared" ref="N28:N36" si="32">+M28</f>
        <v>0.524</v>
      </c>
      <c r="O28" s="60">
        <f t="shared" si="5"/>
        <v>0.524</v>
      </c>
      <c r="P28" s="63">
        <v>85.0</v>
      </c>
      <c r="Q28" s="58">
        <v>85.29</v>
      </c>
      <c r="R28" s="65">
        <v>4480.8</v>
      </c>
      <c r="S28" s="66">
        <f t="array" ref="S28">IF((XLOOKUP(D28,RUC!$B$3:$B$106,RUC!$E$3:$E$106)+ROUNDDOWN(O28,1)*100)&lt;95,95,((XLOOKUP(D28,RUC!$B$3:$B$106,RUC!$E$3:$E$106)+ROUNDDOWN(O28,1)*100)))</f>
        <v>135</v>
      </c>
      <c r="U28" s="67">
        <f t="array" ref="U28">XLOOKUP(D28,RUC!$B$3:$B$110,RUC!$F$3:$F$110)</f>
        <v>120</v>
      </c>
      <c r="V28" s="67">
        <v>1.1023</v>
      </c>
      <c r="Y28" s="199">
        <v>25.0</v>
      </c>
      <c r="Z28" s="140">
        <v>35.0</v>
      </c>
      <c r="AA28" s="70">
        <f t="shared" si="6"/>
        <v>60</v>
      </c>
      <c r="AB28" s="71">
        <f t="shared" si="28"/>
        <v>1926.049143</v>
      </c>
      <c r="AC28" s="71">
        <f>+(S28-T28)*V28-'data 1'!$F$4</f>
        <v>68.8105</v>
      </c>
      <c r="AD28" s="71">
        <f t="shared" si="7"/>
        <v>7.764601465</v>
      </c>
      <c r="AE28" s="71">
        <f t="shared" si="8"/>
        <v>-3.862</v>
      </c>
      <c r="AF28" s="71">
        <f t="shared" si="9"/>
        <v>135.2938423</v>
      </c>
      <c r="AG28" s="72">
        <f t="shared" si="29"/>
        <v>225.0069437</v>
      </c>
      <c r="AH28" s="193">
        <f t="shared" si="10"/>
        <v>155.858</v>
      </c>
      <c r="AI28" s="193">
        <f t="shared" si="11"/>
        <v>182.739</v>
      </c>
      <c r="AJ28" s="73">
        <f t="shared" si="12"/>
        <v>337.8683226</v>
      </c>
      <c r="AK28" s="73">
        <f t="shared" si="13"/>
        <v>146.1254416</v>
      </c>
      <c r="AM28" s="51">
        <f t="shared" si="14"/>
        <v>18430.36425</v>
      </c>
      <c r="AN28" s="51" t="str">
        <f t="array" ref="AN28">XLOOKUP(D28,RUC!$B$3:$B$565,RUC!$M$3:$M$565)</f>
        <v>Ronald Miranda</v>
      </c>
      <c r="AO28" s="131" t="s">
        <v>558</v>
      </c>
      <c r="AP28" s="57" t="s">
        <v>2769</v>
      </c>
      <c r="AQ28" s="57" t="s">
        <v>2770</v>
      </c>
      <c r="AV28" s="3"/>
      <c r="AW28" s="3" t="s">
        <v>14</v>
      </c>
      <c r="AX28" s="3" t="s">
        <v>683</v>
      </c>
      <c r="AY28" s="3" t="s">
        <v>686</v>
      </c>
      <c r="AZ28" s="204" t="s">
        <v>700</v>
      </c>
      <c r="BA28" s="3" t="s">
        <v>687</v>
      </c>
    </row>
    <row r="29" ht="15.0" customHeight="1">
      <c r="A29" s="116" t="s">
        <v>2771</v>
      </c>
      <c r="B29" s="182">
        <v>46031.0</v>
      </c>
      <c r="C29" s="182">
        <v>46017.0</v>
      </c>
      <c r="D29" s="57" t="s">
        <v>665</v>
      </c>
      <c r="E29" s="3">
        <f t="array" ref="E29">XLOOKUP(D29,RUC!$B$3:$B$110,RUC!$D$3:$D$110)</f>
        <v>20608774000</v>
      </c>
      <c r="G29" s="141">
        <v>100.0</v>
      </c>
      <c r="H29" s="3" t="s">
        <v>47</v>
      </c>
      <c r="I29" s="6">
        <v>9.22</v>
      </c>
      <c r="J29" s="58">
        <v>1.45</v>
      </c>
      <c r="K29" s="6">
        <f t="shared" si="2"/>
        <v>9.086</v>
      </c>
      <c r="L29" s="139">
        <v>0.532</v>
      </c>
      <c r="M29" s="60">
        <f t="shared" si="30"/>
        <v>0.5</v>
      </c>
      <c r="N29" s="62">
        <f t="shared" si="32"/>
        <v>0.5</v>
      </c>
      <c r="O29" s="60">
        <f t="shared" si="5"/>
        <v>0.5</v>
      </c>
      <c r="P29" s="63">
        <v>83.0</v>
      </c>
      <c r="Q29" s="58">
        <v>83.56</v>
      </c>
      <c r="R29" s="65">
        <v>4480.8</v>
      </c>
      <c r="S29" s="66">
        <f t="array" ref="S29">IF((XLOOKUP(D29,RUC!$B$3:$B$106,RUC!$E$3:$E$106)+ROUNDDOWN(O29,1)*100)&lt;95,95,((XLOOKUP(D29,RUC!$B$3:$B$106,RUC!$E$3:$E$106)+ROUNDDOWN(O29,1)*100)))</f>
        <v>135</v>
      </c>
      <c r="U29" s="67">
        <f t="array" ref="U29">XLOOKUP(D29,RUC!$B$3:$B$110,RUC!$F$3:$F$110)</f>
        <v>120</v>
      </c>
      <c r="V29" s="67">
        <v>1.1023</v>
      </c>
      <c r="Y29" s="199">
        <v>25.0</v>
      </c>
      <c r="Z29" s="140">
        <v>35.0</v>
      </c>
      <c r="AA29" s="70">
        <f t="shared" si="6"/>
        <v>60</v>
      </c>
      <c r="AB29" s="71">
        <f t="shared" si="28"/>
        <v>1779.919084</v>
      </c>
      <c r="AC29" s="71">
        <f>+(S29-T29)*V29-'data 1'!$F$4</f>
        <v>68.8105</v>
      </c>
      <c r="AD29" s="71">
        <f t="shared" si="7"/>
        <v>14.3207458</v>
      </c>
      <c r="AE29" s="71">
        <f t="shared" si="8"/>
        <v>-3.862</v>
      </c>
      <c r="AF29" s="71">
        <f t="shared" si="9"/>
        <v>128.5329236</v>
      </c>
      <c r="AG29" s="72">
        <f t="shared" si="29"/>
        <v>224.8021694</v>
      </c>
      <c r="AH29" s="193">
        <f t="shared" si="10"/>
        <v>138.482</v>
      </c>
      <c r="AI29" s="193">
        <f t="shared" si="11"/>
        <v>165.727</v>
      </c>
      <c r="AJ29" s="73">
        <f t="shared" si="12"/>
        <v>316.1580394</v>
      </c>
      <c r="AK29" s="73">
        <f t="shared" si="13"/>
        <v>129.2795699</v>
      </c>
      <c r="AM29" s="51">
        <f t="shared" si="14"/>
        <v>16172.34479</v>
      </c>
      <c r="AN29" s="51" t="str">
        <f t="array" ref="AN29">XLOOKUP(D29,RUC!$B$3:$B$565,RUC!$M$3:$M$565)</f>
        <v>Ronald Miranda</v>
      </c>
      <c r="AO29" s="131" t="s">
        <v>551</v>
      </c>
      <c r="AP29" s="57" t="s">
        <v>2769</v>
      </c>
      <c r="AQ29" s="57" t="s">
        <v>2770</v>
      </c>
      <c r="AV29" s="152" t="s">
        <v>558</v>
      </c>
      <c r="AW29" s="154">
        <f t="shared" ref="AW29:AW38" si="33">SUMIF($AO$4:$AO$921,AV29,$K$4:$K$921)</f>
        <v>159.016</v>
      </c>
      <c r="AX29" s="154"/>
      <c r="AY29" s="157">
        <f t="shared" ref="AY29:AY38" si="34">AW29*AX29*31.1035*1.1023</f>
        <v>0</v>
      </c>
      <c r="AZ29" s="58"/>
      <c r="BA29" s="159">
        <f t="shared" ref="BA29:BA38" si="35">AY29*AZ29/100</f>
        <v>0</v>
      </c>
      <c r="BB29" s="449" t="s">
        <v>2772</v>
      </c>
      <c r="BC29" s="450">
        <f>+BB7</f>
        <v>5522.872</v>
      </c>
    </row>
    <row r="30" ht="15.0" customHeight="1">
      <c r="A30" s="116" t="s">
        <v>2773</v>
      </c>
      <c r="B30" s="182">
        <v>46030.0</v>
      </c>
      <c r="C30" s="182">
        <v>46017.0</v>
      </c>
      <c r="D30" s="57" t="s">
        <v>665</v>
      </c>
      <c r="E30" s="3">
        <f t="array" ref="E30">XLOOKUP(D30,RUC!$B$3:$B$110,RUC!$D$3:$D$110)</f>
        <v>20608774000</v>
      </c>
      <c r="G30" s="141">
        <v>55.0</v>
      </c>
      <c r="H30" s="3" t="s">
        <v>47</v>
      </c>
      <c r="I30" s="6">
        <v>5.47</v>
      </c>
      <c r="J30" s="58">
        <v>1.55</v>
      </c>
      <c r="K30" s="6">
        <f t="shared" si="2"/>
        <v>5.385</v>
      </c>
      <c r="L30" s="139">
        <v>0.231</v>
      </c>
      <c r="M30" s="60">
        <f t="shared" si="30"/>
        <v>0.212</v>
      </c>
      <c r="N30" s="62">
        <f t="shared" si="32"/>
        <v>0.212</v>
      </c>
      <c r="O30" s="60">
        <f t="shared" si="5"/>
        <v>0.212</v>
      </c>
      <c r="P30" s="63">
        <v>90.0</v>
      </c>
      <c r="Q30" s="58">
        <v>91.48</v>
      </c>
      <c r="R30" s="65">
        <v>4480.8</v>
      </c>
      <c r="S30" s="66">
        <f t="array" ref="S30">IF((XLOOKUP(D30,RUC!$B$3:$B$106,RUC!$E$3:$E$106)+ROUNDDOWN(O30,1)*100)&lt;95,95,((XLOOKUP(D30,RUC!$B$3:$B$106,RUC!$E$3:$E$106)+ROUNDDOWN(O30,1)*100)))</f>
        <v>105</v>
      </c>
      <c r="U30" s="67">
        <f t="array" ref="U30">XLOOKUP(D30,RUC!$B$3:$B$110,RUC!$F$3:$F$110)</f>
        <v>120</v>
      </c>
      <c r="V30" s="67">
        <v>1.1023</v>
      </c>
      <c r="Y30" s="199">
        <v>25.0</v>
      </c>
      <c r="Z30" s="140">
        <v>35.0</v>
      </c>
      <c r="AA30" s="70">
        <f t="shared" si="6"/>
        <v>60</v>
      </c>
      <c r="AB30" s="71">
        <f t="shared" si="28"/>
        <v>735.2788975</v>
      </c>
      <c r="AC30" s="71">
        <f>+(S30-T30)*V30-'data 1'!$F$4</f>
        <v>35.7415</v>
      </c>
      <c r="AD30" s="71">
        <f t="shared" si="7"/>
        <v>16.43386336</v>
      </c>
      <c r="AE30" s="71">
        <f t="shared" si="8"/>
        <v>-3.862</v>
      </c>
      <c r="AF30" s="71">
        <f t="shared" si="9"/>
        <v>83.54986131</v>
      </c>
      <c r="AG30" s="72">
        <f t="shared" si="29"/>
        <v>148.8632247</v>
      </c>
      <c r="AH30" s="193">
        <f t="shared" si="10"/>
        <v>39.015</v>
      </c>
      <c r="AI30" s="193">
        <f t="shared" si="11"/>
        <v>42.649</v>
      </c>
      <c r="AJ30" s="73">
        <f t="shared" si="12"/>
        <v>150.2907674</v>
      </c>
      <c r="AK30" s="73">
        <f t="shared" si="13"/>
        <v>35.22679624</v>
      </c>
      <c r="AM30" s="51">
        <f t="shared" si="14"/>
        <v>3959.476863</v>
      </c>
      <c r="AN30" s="51" t="str">
        <f t="array" ref="AN30">XLOOKUP(D30,RUC!$B$3:$B$565,RUC!$M$3:$M$565)</f>
        <v>Ronald Miranda</v>
      </c>
      <c r="AO30" s="131" t="s">
        <v>549</v>
      </c>
      <c r="AP30" s="57" t="s">
        <v>2708</v>
      </c>
      <c r="AQ30" s="57" t="s">
        <v>2709</v>
      </c>
      <c r="AV30" s="160" t="s">
        <v>551</v>
      </c>
      <c r="AW30" s="6">
        <f t="shared" si="33"/>
        <v>153.787</v>
      </c>
      <c r="AX30" s="6"/>
      <c r="AY30" s="58">
        <f t="shared" si="34"/>
        <v>0</v>
      </c>
      <c r="AZ30" s="58"/>
      <c r="BA30" s="162">
        <f t="shared" si="35"/>
        <v>0</v>
      </c>
      <c r="BB30" s="451" t="s">
        <v>2774</v>
      </c>
      <c r="BC30" s="452">
        <f>+'36'!BC33</f>
        <v>141.577</v>
      </c>
    </row>
    <row r="31" ht="15.0" customHeight="1">
      <c r="A31" s="116" t="s">
        <v>2775</v>
      </c>
      <c r="B31" s="182">
        <v>46029.0</v>
      </c>
      <c r="C31" s="182">
        <v>46017.0</v>
      </c>
      <c r="D31" s="57" t="s">
        <v>602</v>
      </c>
      <c r="E31" s="3">
        <f t="array" ref="E31">XLOOKUP(D31,RUC!$B$3:$B$110,RUC!$D$3:$D$110)</f>
        <v>20169040231</v>
      </c>
      <c r="G31" s="141">
        <v>57.0</v>
      </c>
      <c r="H31" s="3" t="s">
        <v>40</v>
      </c>
      <c r="I31" s="6">
        <v>4.67</v>
      </c>
      <c r="J31" s="58">
        <v>26.4</v>
      </c>
      <c r="K31" s="6">
        <f t="shared" si="2"/>
        <v>3.437</v>
      </c>
      <c r="L31" s="139">
        <v>1.85</v>
      </c>
      <c r="M31" s="60">
        <f t="shared" si="30"/>
        <v>1.739</v>
      </c>
      <c r="N31" s="62">
        <f t="shared" si="32"/>
        <v>1.739</v>
      </c>
      <c r="O31" s="60">
        <f t="shared" si="5"/>
        <v>1.739</v>
      </c>
      <c r="P31" s="63">
        <v>87.0</v>
      </c>
      <c r="Q31" s="58">
        <v>87.35</v>
      </c>
      <c r="R31" s="65">
        <v>4480.8</v>
      </c>
      <c r="S31" s="66">
        <f t="array" ref="S31">IF((XLOOKUP(D31,RUC!$B$3:$B$106,RUC!$E$3:$E$106)+ROUNDDOWN(O31,1)*100)&lt;95,95,((XLOOKUP(D31,RUC!$B$3:$B$106,RUC!$E$3:$E$106)+ROUNDDOWN(O31,1)*100)))</f>
        <v>255</v>
      </c>
      <c r="U31" s="67">
        <f t="array" ref="U31">XLOOKUP(D31,RUC!$B$3:$B$110,RUC!$F$3:$F$110)</f>
        <v>120</v>
      </c>
      <c r="V31" s="67">
        <v>1.1023</v>
      </c>
      <c r="Y31" s="199">
        <v>35.0</v>
      </c>
      <c r="Z31" s="140">
        <v>48.0</v>
      </c>
      <c r="AA31" s="70">
        <f t="shared" si="6"/>
        <v>83</v>
      </c>
      <c r="AB31" s="71">
        <f t="shared" si="28"/>
        <v>6899.940704</v>
      </c>
      <c r="AC31" s="71">
        <f>+(S31-T31)*V31-'data 1'!$F$4</f>
        <v>201.0865</v>
      </c>
      <c r="AD31" s="71">
        <f t="shared" si="7"/>
        <v>31.12474121</v>
      </c>
      <c r="AE31" s="71">
        <f t="shared" si="8"/>
        <v>21.4909</v>
      </c>
      <c r="AF31" s="71">
        <f t="shared" si="9"/>
        <v>466.0707677</v>
      </c>
      <c r="AG31" s="72">
        <f t="shared" si="29"/>
        <v>736.7729089</v>
      </c>
      <c r="AH31" s="193">
        <f t="shared" si="10"/>
        <v>190.425</v>
      </c>
      <c r="AI31" s="193">
        <f t="shared" si="11"/>
        <v>218.002</v>
      </c>
      <c r="AJ31" s="73">
        <f t="shared" si="12"/>
        <v>1149.287819</v>
      </c>
      <c r="AK31" s="73">
        <f t="shared" si="13"/>
        <v>178.2819748</v>
      </c>
      <c r="AM31" s="51">
        <f t="shared" si="14"/>
        <v>23715.0962</v>
      </c>
      <c r="AN31" s="51" t="str">
        <f t="array" ref="AN31">XLOOKUP(D31,RUC!$B$3:$B$565,RUC!$M$3:$M$565)</f>
        <v>Ronald Miranda</v>
      </c>
      <c r="AO31" s="131" t="s">
        <v>547</v>
      </c>
      <c r="AP31" s="57" t="s">
        <v>2776</v>
      </c>
      <c r="AQ31" s="57" t="s">
        <v>2777</v>
      </c>
      <c r="AR31" s="57" t="s">
        <v>2778</v>
      </c>
      <c r="AV31" s="160" t="s">
        <v>547</v>
      </c>
      <c r="AW31" s="6">
        <f t="shared" si="33"/>
        <v>166.794</v>
      </c>
      <c r="AX31" s="6"/>
      <c r="AY31" s="58">
        <f t="shared" si="34"/>
        <v>0</v>
      </c>
      <c r="AZ31" s="58"/>
      <c r="BA31" s="162">
        <f t="shared" si="35"/>
        <v>0</v>
      </c>
      <c r="BB31" s="454" t="s">
        <v>2779</v>
      </c>
      <c r="BC31" s="459">
        <v>4571.98</v>
      </c>
    </row>
    <row r="32" ht="15.0" customHeight="1">
      <c r="A32" s="192" t="s">
        <v>2780</v>
      </c>
      <c r="B32" s="3"/>
      <c r="C32" s="182">
        <v>46017.0</v>
      </c>
      <c r="D32" s="57" t="s">
        <v>602</v>
      </c>
      <c r="E32" s="3">
        <f t="array" ref="E32">XLOOKUP(D32,RUC!$B$3:$B$110,RUC!$D$3:$D$110)</f>
        <v>20169040231</v>
      </c>
      <c r="G32" s="141">
        <v>50.0</v>
      </c>
      <c r="H32" s="3" t="s">
        <v>47</v>
      </c>
      <c r="I32" s="6">
        <v>5.32</v>
      </c>
      <c r="J32" s="58">
        <v>5.2</v>
      </c>
      <c r="K32" s="6">
        <f t="shared" si="2"/>
        <v>5.043</v>
      </c>
      <c r="L32" s="139">
        <v>0.103</v>
      </c>
      <c r="M32" s="60">
        <f t="shared" si="30"/>
        <v>0.084</v>
      </c>
      <c r="N32" s="62">
        <f t="shared" si="32"/>
        <v>0.084</v>
      </c>
      <c r="O32" s="60">
        <f t="shared" si="5"/>
        <v>0.084</v>
      </c>
      <c r="P32" s="63">
        <v>90.0</v>
      </c>
      <c r="Q32" s="58">
        <v>94.95</v>
      </c>
      <c r="R32" s="65">
        <v>4480.8</v>
      </c>
      <c r="S32" s="66">
        <f t="array" ref="S32">IF((XLOOKUP(D32,RUC!$B$3:$B$106,RUC!$E$3:$E$106)+ROUNDDOWN(O32,1)*100)&lt;95,95,((XLOOKUP(D32,RUC!$B$3:$B$106,RUC!$E$3:$E$106)+ROUNDDOWN(O32,1)*100)))</f>
        <v>95</v>
      </c>
      <c r="U32" s="67">
        <f t="array" ref="U32">XLOOKUP(D32,RUC!$B$3:$B$110,RUC!$F$3:$F$110)</f>
        <v>120</v>
      </c>
      <c r="V32" s="67">
        <v>1.1023</v>
      </c>
      <c r="Y32" s="199">
        <v>25.0</v>
      </c>
      <c r="Z32" s="140">
        <v>38.0</v>
      </c>
      <c r="AA32" s="70">
        <f t="shared" si="6"/>
        <v>63</v>
      </c>
      <c r="AB32" s="71">
        <v>0.0</v>
      </c>
      <c r="AC32" s="71">
        <f>+(S32-T32)*V32-'data 1'!$F$4</f>
        <v>24.7185</v>
      </c>
      <c r="AD32" s="71">
        <f t="shared" si="7"/>
        <v>24.50802982</v>
      </c>
      <c r="AE32" s="71">
        <f t="shared" si="8"/>
        <v>-0.5551</v>
      </c>
      <c r="AF32" s="71">
        <f t="shared" si="9"/>
        <v>86.71905697</v>
      </c>
      <c r="AG32" s="72">
        <f>AC32+AD32+AE32+AF32+70-53+189.24</f>
        <v>341.6304868</v>
      </c>
      <c r="AH32" s="193">
        <f t="shared" si="10"/>
        <v>16.909</v>
      </c>
      <c r="AI32" s="193">
        <f t="shared" si="11"/>
        <v>17.809</v>
      </c>
      <c r="AJ32" s="73">
        <f t="shared" si="12"/>
        <v>69.55468048</v>
      </c>
      <c r="AK32" s="73">
        <f t="shared" si="13"/>
        <v>13.07133162</v>
      </c>
      <c r="AM32" s="51">
        <f t="shared" si="14"/>
        <v>0</v>
      </c>
      <c r="AN32" s="51" t="str">
        <f t="array" ref="AN32">XLOOKUP(D32,RUC!$B$3:$B$565,RUC!$M$3:$M$565)</f>
        <v>Ronald Miranda</v>
      </c>
      <c r="AO32" s="131" t="s">
        <v>547</v>
      </c>
      <c r="AP32" s="57" t="s">
        <v>2776</v>
      </c>
      <c r="AQ32" s="57" t="s">
        <v>2777</v>
      </c>
      <c r="AV32" s="160" t="s">
        <v>549</v>
      </c>
      <c r="AW32" s="6">
        <f t="shared" si="33"/>
        <v>47.498</v>
      </c>
      <c r="AX32" s="6"/>
      <c r="AY32" s="58">
        <f t="shared" si="34"/>
        <v>0</v>
      </c>
      <c r="AZ32" s="58"/>
      <c r="BA32" s="162">
        <f t="shared" si="35"/>
        <v>0</v>
      </c>
      <c r="BB32" s="454" t="s">
        <v>2781</v>
      </c>
      <c r="BC32" s="459">
        <v>981.68</v>
      </c>
    </row>
    <row r="33" ht="15.0" customHeight="1">
      <c r="A33" s="116" t="s">
        <v>2782</v>
      </c>
      <c r="B33" s="182">
        <v>46029.0</v>
      </c>
      <c r="C33" s="182">
        <v>46017.0</v>
      </c>
      <c r="D33" s="57" t="s">
        <v>602</v>
      </c>
      <c r="E33" s="3">
        <f t="array" ref="E33">XLOOKUP(D33,RUC!$B$3:$B$110,RUC!$D$3:$D$110)</f>
        <v>20169040231</v>
      </c>
      <c r="G33" s="141">
        <v>57.0</v>
      </c>
      <c r="H33" s="3" t="s">
        <v>40</v>
      </c>
      <c r="I33" s="6">
        <v>4.44</v>
      </c>
      <c r="J33" s="58">
        <v>27.37</v>
      </c>
      <c r="K33" s="6">
        <f t="shared" si="2"/>
        <v>3.225</v>
      </c>
      <c r="L33" s="139">
        <v>2.147</v>
      </c>
      <c r="M33" s="60">
        <f t="shared" si="30"/>
        <v>2.018</v>
      </c>
      <c r="N33" s="62">
        <f t="shared" si="32"/>
        <v>2.018</v>
      </c>
      <c r="O33" s="60">
        <f t="shared" si="5"/>
        <v>2.018</v>
      </c>
      <c r="P33" s="63">
        <v>83.0</v>
      </c>
      <c r="Q33" s="58">
        <v>83.7</v>
      </c>
      <c r="R33" s="65">
        <v>4480.8</v>
      </c>
      <c r="S33" s="66">
        <f t="array" ref="S33">IF((XLOOKUP(D33,RUC!$B$3:$B$106,RUC!$E$3:$E$106)+ROUNDDOWN(O33,1)*100)&lt;95,95,((XLOOKUP(D33,RUC!$B$3:$B$106,RUC!$E$3:$E$106)+ROUNDDOWN(O33,1)*100)))</f>
        <v>285</v>
      </c>
      <c r="U33" s="67">
        <f t="array" ref="U33">XLOOKUP(D33,RUC!$B$3:$B$110,RUC!$F$3:$F$110)</f>
        <v>120</v>
      </c>
      <c r="V33" s="67">
        <v>1.1023</v>
      </c>
      <c r="Y33" s="199">
        <v>35.0</v>
      </c>
      <c r="Z33" s="140">
        <v>48.0</v>
      </c>
      <c r="AA33" s="70">
        <f t="shared" si="6"/>
        <v>83</v>
      </c>
      <c r="AB33" s="71">
        <f>+((O33*P33*(R33-U33)/100)-S33-AA33+T33)*V33</f>
        <v>7645.639167</v>
      </c>
      <c r="AC33" s="71">
        <f>+(S33-T33)*V33-'data 1'!$F$4</f>
        <v>234.1555</v>
      </c>
      <c r="AD33" s="71">
        <f t="shared" si="7"/>
        <v>72.24304799</v>
      </c>
      <c r="AE33" s="71">
        <f t="shared" si="8"/>
        <v>21.4909</v>
      </c>
      <c r="AF33" s="71">
        <f t="shared" si="9"/>
        <v>519.0164762</v>
      </c>
      <c r="AG33" s="72">
        <f>AC33+AD33+AE33+AF33+70-53</f>
        <v>863.9059241</v>
      </c>
      <c r="AH33" s="193">
        <f t="shared" si="10"/>
        <v>198.699</v>
      </c>
      <c r="AI33" s="193">
        <f t="shared" si="11"/>
        <v>237.395</v>
      </c>
      <c r="AJ33" s="73">
        <f t="shared" si="12"/>
        <v>1278.061253</v>
      </c>
      <c r="AK33" s="73">
        <f t="shared" si="13"/>
        <v>185.1987464</v>
      </c>
      <c r="AM33" s="51">
        <f t="shared" si="14"/>
        <v>24657.18631</v>
      </c>
      <c r="AN33" s="51" t="str">
        <f t="array" ref="AN33">XLOOKUP(D33,RUC!$B$3:$B$565,RUC!$M$3:$M$565)</f>
        <v>Ronald Miranda</v>
      </c>
      <c r="AO33" s="131" t="s">
        <v>547</v>
      </c>
      <c r="AP33" s="57" t="s">
        <v>2776</v>
      </c>
      <c r="AQ33" s="57" t="s">
        <v>2777</v>
      </c>
      <c r="AR33" s="57" t="s">
        <v>2783</v>
      </c>
      <c r="AV33" s="160" t="s">
        <v>561</v>
      </c>
      <c r="AW33" s="6">
        <f t="shared" si="33"/>
        <v>0</v>
      </c>
      <c r="AX33" s="6"/>
      <c r="AY33" s="58">
        <f t="shared" si="34"/>
        <v>0</v>
      </c>
      <c r="AZ33" s="58"/>
      <c r="BA33" s="162">
        <f t="shared" si="35"/>
        <v>0</v>
      </c>
      <c r="BB33" s="454" t="s">
        <v>2784</v>
      </c>
      <c r="BC33" s="459">
        <f>205.76+25.85</f>
        <v>231.61</v>
      </c>
    </row>
    <row r="34" ht="15.0" customHeight="1">
      <c r="A34" s="192" t="s">
        <v>2785</v>
      </c>
      <c r="B34" s="3"/>
      <c r="C34" s="182">
        <v>46018.0</v>
      </c>
      <c r="D34" s="57" t="s">
        <v>2786</v>
      </c>
      <c r="E34" s="3" t="str">
        <f t="array" ref="E34">XLOOKUP(D34,RUC!$B$3:$B$110,RUC!$D$3:$D$110)</f>
        <v>20614284740*</v>
      </c>
      <c r="G34" s="141" t="s">
        <v>1145</v>
      </c>
      <c r="H34" s="3" t="s">
        <v>47</v>
      </c>
      <c r="I34" s="6">
        <v>33.97</v>
      </c>
      <c r="J34" s="58">
        <v>1.15</v>
      </c>
      <c r="K34" s="6">
        <f t="shared" si="2"/>
        <v>33.579</v>
      </c>
      <c r="L34" s="139">
        <v>0.072</v>
      </c>
      <c r="M34" s="60">
        <f t="shared" si="30"/>
        <v>0.053</v>
      </c>
      <c r="N34" s="62">
        <f t="shared" si="32"/>
        <v>0.053</v>
      </c>
      <c r="O34" s="60">
        <f t="shared" si="5"/>
        <v>0.053</v>
      </c>
      <c r="P34" s="63">
        <v>90.0</v>
      </c>
      <c r="Q34" s="58">
        <v>91.67</v>
      </c>
      <c r="R34" s="65">
        <v>4480.8</v>
      </c>
      <c r="S34" s="66">
        <f t="array" ref="S34">IF((XLOOKUP(D34,RUC!$B$3:$B$106,RUC!$E$3:$E$106)+ROUNDDOWN(O34,1)*100)&lt;95,95,((XLOOKUP(D34,RUC!$B$3:$B$106,RUC!$E$3:$E$106)+ROUNDDOWN(O34,1)*100)))</f>
        <v>95</v>
      </c>
      <c r="U34" s="67">
        <f t="array" ref="U34">XLOOKUP(D34,RUC!$B$3:$B$110,RUC!$F$3:$F$110)</f>
        <v>110</v>
      </c>
      <c r="V34" s="67">
        <v>1.1023</v>
      </c>
      <c r="Y34" s="57">
        <f t="array" ref="Y34">XLOOKUP(D34,RUC!$B$3:$B$110,RUC!$G$3:$G$110)</f>
        <v>0</v>
      </c>
      <c r="Z34" s="69">
        <f t="array" ref="Z34">XLOOKUP(D34,RUC!$B$3:$B$110,RUC!$H$3:$H$110)</f>
        <v>35</v>
      </c>
      <c r="AA34" s="70">
        <f t="shared" si="6"/>
        <v>35</v>
      </c>
      <c r="AB34" s="71">
        <v>0.0</v>
      </c>
      <c r="AC34" s="71">
        <f>+(S34-T34)*V34-'data 1'!$F$4</f>
        <v>24.7185</v>
      </c>
      <c r="AD34" s="71">
        <f t="shared" si="7"/>
        <v>5.793082447</v>
      </c>
      <c r="AE34" s="71">
        <f t="shared" si="8"/>
        <v>-31.4195</v>
      </c>
      <c r="AF34" s="71">
        <f t="shared" si="9"/>
        <v>83.91538165</v>
      </c>
      <c r="AG34" s="72">
        <f>AC34+AD34+AE34+AF34+70-53+86.52</f>
        <v>186.5274641</v>
      </c>
      <c r="AH34" s="193">
        <f t="shared" si="10"/>
        <v>75.987</v>
      </c>
      <c r="AI34" s="193">
        <f t="shared" si="11"/>
        <v>82.891</v>
      </c>
      <c r="AJ34" s="73">
        <f t="shared" si="12"/>
        <v>46.21362379</v>
      </c>
      <c r="AK34" s="73">
        <f t="shared" si="13"/>
        <v>54.91553346</v>
      </c>
      <c r="AM34" s="51">
        <f t="shared" si="14"/>
        <v>0</v>
      </c>
      <c r="AN34" s="51" t="str">
        <f t="array" ref="AN34">XLOOKUP(D34,RUC!$B$3:$B$565,RUC!$M$3:$M$565)</f>
        <v>Robinson Tuya</v>
      </c>
      <c r="AO34" s="131" t="s">
        <v>547</v>
      </c>
      <c r="AP34" s="57" t="s">
        <v>2787</v>
      </c>
      <c r="AQ34" s="57" t="s">
        <v>922</v>
      </c>
      <c r="AV34" s="160" t="s">
        <v>689</v>
      </c>
      <c r="AW34" s="6">
        <f t="shared" si="33"/>
        <v>0</v>
      </c>
      <c r="AY34" s="58">
        <f t="shared" si="34"/>
        <v>0</v>
      </c>
      <c r="BA34" s="162">
        <f t="shared" si="35"/>
        <v>0</v>
      </c>
      <c r="BB34" s="456" t="s">
        <v>1206</v>
      </c>
      <c r="BC34" s="457">
        <f>-BC29-BC30+BC31+BC32+BC33</f>
        <v>120.821</v>
      </c>
    </row>
    <row r="35" ht="15.0" customHeight="1">
      <c r="A35" s="116" t="s">
        <v>2788</v>
      </c>
      <c r="B35" s="182">
        <v>46027.0</v>
      </c>
      <c r="C35" s="182">
        <v>46019.0</v>
      </c>
      <c r="D35" s="57" t="s">
        <v>665</v>
      </c>
      <c r="E35" s="3">
        <f t="array" ref="E35">XLOOKUP(D35,RUC!$B$3:$B$110,RUC!$D$3:$D$110)</f>
        <v>20608774000</v>
      </c>
      <c r="G35" s="141">
        <v>90.0</v>
      </c>
      <c r="H35" s="3" t="s">
        <v>47</v>
      </c>
      <c r="I35" s="6">
        <v>8.54</v>
      </c>
      <c r="J35" s="58">
        <v>1.35</v>
      </c>
      <c r="K35" s="6">
        <f t="shared" si="2"/>
        <v>8.425</v>
      </c>
      <c r="L35" s="139">
        <v>0.636</v>
      </c>
      <c r="M35" s="60">
        <f t="shared" si="30"/>
        <v>0.598</v>
      </c>
      <c r="N35" s="62">
        <f t="shared" si="32"/>
        <v>0.598</v>
      </c>
      <c r="O35" s="60">
        <f t="shared" si="5"/>
        <v>0.598</v>
      </c>
      <c r="P35" s="63">
        <v>90.0</v>
      </c>
      <c r="Q35" s="58">
        <v>90.88</v>
      </c>
      <c r="R35" s="65">
        <v>4480.8</v>
      </c>
      <c r="S35" s="66">
        <f t="array" ref="S35">IF((XLOOKUP(D35,RUC!$B$3:$B$106,RUC!$E$3:$E$106)+ROUNDDOWN(O35,1)*100)&lt;95,95,((XLOOKUP(D35,RUC!$B$3:$B$106,RUC!$E$3:$E$106)+ROUNDDOWN(O35,1)*100)))</f>
        <v>135</v>
      </c>
      <c r="U35" s="67">
        <f t="array" ref="U35">XLOOKUP(D35,RUC!$B$3:$B$110,RUC!$F$3:$F$110)</f>
        <v>120</v>
      </c>
      <c r="V35" s="67">
        <v>1.1023</v>
      </c>
      <c r="Y35" s="199">
        <v>25.0</v>
      </c>
      <c r="Z35" s="140">
        <v>35.0</v>
      </c>
      <c r="AA35" s="70">
        <f t="shared" si="6"/>
        <v>60</v>
      </c>
      <c r="AB35" s="71">
        <f t="shared" ref="AB35:AB50" si="36">+((O35*P35*(R35-U35)/100)-S35-AA35+T35)*V35</f>
        <v>2372.130376</v>
      </c>
      <c r="AC35" s="71">
        <f>+(S35-T35)*V35-'data 1'!$F$4</f>
        <v>68.8105</v>
      </c>
      <c r="AD35" s="71">
        <f t="shared" si="7"/>
        <v>26.90331299</v>
      </c>
      <c r="AE35" s="71">
        <f t="shared" si="8"/>
        <v>-3.862</v>
      </c>
      <c r="AF35" s="71">
        <f t="shared" si="9"/>
        <v>166.0037472</v>
      </c>
      <c r="AG35" s="72">
        <f t="shared" ref="AG35:AG36" si="37">AC35+AD35+AE35+AF35+70-53</f>
        <v>274.8555602</v>
      </c>
      <c r="AH35" s="193">
        <f t="shared" si="10"/>
        <v>166.957</v>
      </c>
      <c r="AI35" s="193">
        <f t="shared" si="11"/>
        <v>183.711</v>
      </c>
      <c r="AJ35" s="73">
        <f t="shared" si="12"/>
        <v>411.073613</v>
      </c>
      <c r="AK35" s="73">
        <f t="shared" si="13"/>
        <v>155.461435</v>
      </c>
      <c r="AM35" s="51">
        <f t="shared" si="14"/>
        <v>19985.19842</v>
      </c>
      <c r="AN35" s="51" t="str">
        <f t="array" ref="AN35">XLOOKUP(D35,RUC!$B$3:$B$565,RUC!$M$3:$M$565)</f>
        <v>Ronald Miranda</v>
      </c>
      <c r="AO35" s="131" t="s">
        <v>551</v>
      </c>
      <c r="AP35" s="57" t="s">
        <v>2789</v>
      </c>
      <c r="AQ35" s="57" t="s">
        <v>1881</v>
      </c>
      <c r="AV35" s="160" t="s">
        <v>690</v>
      </c>
      <c r="AW35" s="6">
        <f t="shared" si="33"/>
        <v>0</v>
      </c>
      <c r="AY35" s="58">
        <f t="shared" si="34"/>
        <v>0</v>
      </c>
      <c r="BA35" s="162">
        <f t="shared" si="35"/>
        <v>0</v>
      </c>
    </row>
    <row r="36" ht="15.0" customHeight="1">
      <c r="A36" s="116" t="s">
        <v>2790</v>
      </c>
      <c r="B36" s="182">
        <v>46027.0</v>
      </c>
      <c r="C36" s="448">
        <v>46023.0</v>
      </c>
      <c r="D36" s="57" t="s">
        <v>2725</v>
      </c>
      <c r="E36" s="3" t="str">
        <f t="array" ref="E36">XLOOKUP(D36,RUC!$B$3:$B$110,RUC!$D$3:$D$110)</f>
        <v>20601769396-</v>
      </c>
      <c r="G36" s="141">
        <v>43.0</v>
      </c>
      <c r="H36" s="3" t="s">
        <v>40</v>
      </c>
      <c r="I36" s="6">
        <v>3.31</v>
      </c>
      <c r="J36" s="58">
        <v>11.72</v>
      </c>
      <c r="K36" s="6">
        <f t="shared" si="2"/>
        <v>2.922</v>
      </c>
      <c r="L36" s="139">
        <v>0.349</v>
      </c>
      <c r="M36" s="60">
        <f t="shared" ref="M36:M49" si="38">ROUND(+IF(AN36="Melchor Vera",IF(L36&gt;0.467,L36*0.985,(L36-0.007)),IF(L36&gt;0.3,L36*0.94,(L36-0.018))),3)</f>
        <v>0.328</v>
      </c>
      <c r="N36" s="62">
        <f t="shared" si="32"/>
        <v>0.328</v>
      </c>
      <c r="O36" s="60">
        <f t="shared" si="5"/>
        <v>0.328</v>
      </c>
      <c r="P36" s="63">
        <v>90.0</v>
      </c>
      <c r="Q36" s="58">
        <v>91.98</v>
      </c>
      <c r="R36" s="65">
        <v>4307.95</v>
      </c>
      <c r="S36" s="66">
        <f t="array" ref="S36">IF((XLOOKUP(D36,RUC!$B$3:$B$106,RUC!$E$3:$E$106)+ROUNDDOWN(O36,1)*100)&lt;95,95,((XLOOKUP(D36,RUC!$B$3:$B$106,RUC!$E$3:$E$106)+ROUNDDOWN(O36,1)*100)))</f>
        <v>115</v>
      </c>
      <c r="U36" s="67">
        <f t="array" ref="U36">XLOOKUP(D36,RUC!$B$3:$B$110,RUC!$F$3:$F$110)</f>
        <v>120</v>
      </c>
      <c r="V36" s="67">
        <v>1.1023</v>
      </c>
      <c r="Y36" s="199">
        <v>35.0</v>
      </c>
      <c r="Z36" s="140">
        <v>48.0</v>
      </c>
      <c r="AA36" s="70">
        <f t="shared" si="6"/>
        <v>83</v>
      </c>
      <c r="AB36" s="71">
        <f t="shared" si="36"/>
        <v>1144.499175</v>
      </c>
      <c r="AC36" s="71">
        <f>+(S36-T36)*V36-'data 1'!$F$4</f>
        <v>46.7645</v>
      </c>
      <c r="AD36" s="71">
        <f t="shared" si="7"/>
        <v>31.90009031</v>
      </c>
      <c r="AE36" s="71">
        <f t="shared" si="8"/>
        <v>21.4909</v>
      </c>
      <c r="AF36" s="71">
        <f t="shared" si="9"/>
        <v>89.16902036</v>
      </c>
      <c r="AG36" s="72">
        <f t="shared" si="37"/>
        <v>206.3245107</v>
      </c>
      <c r="AH36" s="193">
        <f t="shared" si="10"/>
        <v>32.159</v>
      </c>
      <c r="AI36" s="193">
        <f t="shared" si="11"/>
        <v>34.963</v>
      </c>
      <c r="AJ36" s="73">
        <f t="shared" si="12"/>
        <v>289.466619</v>
      </c>
      <c r="AK36" s="73">
        <f t="shared" si="13"/>
        <v>29.57369803</v>
      </c>
      <c r="AM36" s="51">
        <f t="shared" si="14"/>
        <v>3344.226588</v>
      </c>
      <c r="AN36" s="51" t="str">
        <f t="array" ref="AN36">XLOOKUP(D36,RUC!$B$3:$B$565,RUC!$M$3:$M$565)</f>
        <v>Ronald Miranda</v>
      </c>
      <c r="AO36" s="131" t="s">
        <v>549</v>
      </c>
      <c r="AP36" s="57" t="s">
        <v>1931</v>
      </c>
      <c r="AQ36" s="57" t="s">
        <v>2726</v>
      </c>
      <c r="AV36" s="160" t="s">
        <v>691</v>
      </c>
      <c r="AW36" s="6">
        <f t="shared" si="33"/>
        <v>0</v>
      </c>
      <c r="AY36" s="58">
        <f t="shared" si="34"/>
        <v>0</v>
      </c>
      <c r="BA36" s="162">
        <f t="shared" si="35"/>
        <v>0</v>
      </c>
    </row>
    <row r="37" ht="15.0" customHeight="1">
      <c r="A37" s="116" t="s">
        <v>2791</v>
      </c>
      <c r="B37" s="182">
        <v>46025.0</v>
      </c>
      <c r="C37" s="448">
        <v>46023.0</v>
      </c>
      <c r="D37" s="57" t="s">
        <v>806</v>
      </c>
      <c r="E37" s="3">
        <f t="array" ref="E37">XLOOKUP(D37,RUC!$B$3:$B$110,RUC!$D$3:$D$110)</f>
        <v>20614284740</v>
      </c>
      <c r="G37" s="141" t="s">
        <v>1145</v>
      </c>
      <c r="H37" s="3" t="s">
        <v>339</v>
      </c>
      <c r="I37" s="57">
        <v>24.52</v>
      </c>
      <c r="J37" s="57">
        <v>1.85</v>
      </c>
      <c r="K37" s="6">
        <f t="shared" si="2"/>
        <v>24.066</v>
      </c>
      <c r="L37" s="139">
        <v>0.124</v>
      </c>
      <c r="M37" s="60">
        <f t="shared" si="38"/>
        <v>0.106</v>
      </c>
      <c r="N37" s="75">
        <v>0.167</v>
      </c>
      <c r="O37" s="60">
        <f t="shared" si="5"/>
        <v>0.137</v>
      </c>
      <c r="P37" s="63">
        <v>80.0</v>
      </c>
      <c r="Q37" s="58">
        <v>92.74</v>
      </c>
      <c r="R37" s="65">
        <v>4307.95</v>
      </c>
      <c r="S37" s="66">
        <f t="array" ref="S37">IF((XLOOKUP(D37,RUC!$B$3:$B$106,RUC!$E$3:$E$106)+ROUNDDOWN(O37,1)*100)&lt;95,95,((XLOOKUP(D37,RUC!$B$3:$B$106,RUC!$E$3:$E$106)+ROUNDDOWN(O37,1)*100)))</f>
        <v>100</v>
      </c>
      <c r="U37" s="67">
        <f t="array" ref="U37">XLOOKUP(D37,RUC!$B$3:$B$110,RUC!$F$3:$F$110)</f>
        <v>120</v>
      </c>
      <c r="V37" s="67">
        <v>1.1023</v>
      </c>
      <c r="Y37" s="199">
        <v>40.0</v>
      </c>
      <c r="Z37" s="69">
        <f t="array" ref="Z37">XLOOKUP(D37,RUC!$B$3:$B$110,RUC!$H$3:$H$110)</f>
        <v>30</v>
      </c>
      <c r="AA37" s="70">
        <f t="shared" si="6"/>
        <v>70</v>
      </c>
      <c r="AB37" s="71">
        <f t="shared" si="36"/>
        <v>318.5639504</v>
      </c>
      <c r="AC37" s="71">
        <f>+(S37-T37)*V37-'data 1'!$F$4</f>
        <v>30.23</v>
      </c>
      <c r="AD37" s="71">
        <f t="shared" si="7"/>
        <v>72.9276818</v>
      </c>
      <c r="AE37" s="71">
        <f t="shared" si="8"/>
        <v>7.161</v>
      </c>
      <c r="AF37" s="71">
        <f t="shared" si="9"/>
        <v>-55.65596782</v>
      </c>
      <c r="AG37" s="72">
        <f>AC37+AD37+AE37+AF37+70</f>
        <v>124.662714</v>
      </c>
      <c r="AH37" s="193">
        <f t="shared" si="10"/>
        <v>94.886</v>
      </c>
      <c r="AI37" s="193">
        <f t="shared" si="11"/>
        <v>102.314</v>
      </c>
      <c r="AJ37" s="73">
        <f t="shared" si="12"/>
        <v>103.6975351</v>
      </c>
      <c r="AK37" s="73">
        <f t="shared" si="13"/>
        <v>90.43229151</v>
      </c>
      <c r="AM37" s="51">
        <f t="shared" si="14"/>
        <v>7666.560031</v>
      </c>
      <c r="AN37" s="51" t="str">
        <f t="array" ref="AN37">XLOOKUP(D37,RUC!$B$3:$B$565,RUC!$M$3:$M$565)</f>
        <v>Dante </v>
      </c>
      <c r="AO37" s="131" t="s">
        <v>558</v>
      </c>
      <c r="AP37" s="57" t="s">
        <v>1934</v>
      </c>
      <c r="AQ37" s="57" t="s">
        <v>2792</v>
      </c>
      <c r="AV37" s="160" t="s">
        <v>692</v>
      </c>
      <c r="AW37" s="6">
        <f t="shared" si="33"/>
        <v>0</v>
      </c>
      <c r="AY37" s="58">
        <f t="shared" si="34"/>
        <v>0</v>
      </c>
      <c r="BA37" s="162">
        <f t="shared" si="35"/>
        <v>0</v>
      </c>
    </row>
    <row r="38" ht="15.0" customHeight="1">
      <c r="A38" s="116" t="s">
        <v>2793</v>
      </c>
      <c r="B38" s="182">
        <v>46036.0</v>
      </c>
      <c r="C38" s="182">
        <v>46024.0</v>
      </c>
      <c r="D38" s="57" t="s">
        <v>665</v>
      </c>
      <c r="E38" s="3">
        <f t="array" ref="E38">XLOOKUP(D38,RUC!$B$3:$B$110,RUC!$D$3:$D$110)</f>
        <v>20608774000</v>
      </c>
      <c r="G38" s="141">
        <v>9.0</v>
      </c>
      <c r="H38" s="3" t="s">
        <v>40</v>
      </c>
      <c r="I38" s="6">
        <v>0.68</v>
      </c>
      <c r="J38" s="58">
        <v>9.9</v>
      </c>
      <c r="K38" s="6">
        <f t="shared" si="2"/>
        <v>0.613</v>
      </c>
      <c r="L38" s="139">
        <v>13.404</v>
      </c>
      <c r="M38" s="60">
        <f t="shared" si="38"/>
        <v>12.6</v>
      </c>
      <c r="N38" s="62">
        <f t="shared" ref="N38:N54" si="39">+M38</f>
        <v>12.6</v>
      </c>
      <c r="O38" s="60">
        <f t="shared" si="5"/>
        <v>12.6</v>
      </c>
      <c r="P38" s="63">
        <v>90.0</v>
      </c>
      <c r="Q38" s="58">
        <v>93.31</v>
      </c>
      <c r="R38" s="65">
        <v>4307.95</v>
      </c>
      <c r="S38" s="66">
        <f t="array" ref="S38">IF((XLOOKUP(D38,RUC!$B$3:$B$106,RUC!$E$3:$E$106)+ROUNDDOWN(O38,1)*100)&lt;95,95,((XLOOKUP(D38,RUC!$B$3:$B$106,RUC!$E$3:$E$106)+ROUNDDOWN(O38,1)*100)))</f>
        <v>1345</v>
      </c>
      <c r="U38" s="67">
        <f t="array" ref="U38">XLOOKUP(D38,RUC!$B$3:$B$110,RUC!$F$3:$F$110)</f>
        <v>120</v>
      </c>
      <c r="V38" s="67">
        <v>1.1023</v>
      </c>
      <c r="Y38" s="199">
        <v>35.0</v>
      </c>
      <c r="Z38" s="140">
        <v>45.0</v>
      </c>
      <c r="AA38" s="70">
        <f t="shared" si="6"/>
        <v>80</v>
      </c>
      <c r="AB38" s="71">
        <f t="shared" si="36"/>
        <v>50778.94091</v>
      </c>
      <c r="AC38" s="71">
        <f>+(S38-T38)*V38-'data 1'!$F$4</f>
        <v>1402.5935</v>
      </c>
      <c r="AD38" s="71">
        <f t="shared" si="7"/>
        <v>2048.159189</v>
      </c>
      <c r="AE38" s="71">
        <f t="shared" si="8"/>
        <v>18.184</v>
      </c>
      <c r="AF38" s="71">
        <f t="shared" si="9"/>
        <v>3463.263482</v>
      </c>
      <c r="AG38" s="72">
        <f t="shared" ref="AG38:AG49" si="40">AC38+AD38+AE38+AF38+70-53</f>
        <v>6949.200172</v>
      </c>
      <c r="AH38" s="193">
        <f t="shared" si="10"/>
        <v>262.865</v>
      </c>
      <c r="AI38" s="193">
        <f t="shared" si="11"/>
        <v>281.711</v>
      </c>
      <c r="AJ38" s="73">
        <f t="shared" si="12"/>
        <v>11278.26423</v>
      </c>
      <c r="AK38" s="73">
        <f t="shared" si="13"/>
        <v>238.3321322</v>
      </c>
      <c r="AM38" s="51">
        <f t="shared" si="14"/>
        <v>31127.49078</v>
      </c>
      <c r="AN38" s="51" t="str">
        <f t="array" ref="AN38">XLOOKUP(D38,RUC!$B$3:$B$565,RUC!$M$3:$M$565)</f>
        <v>Ronald Miranda</v>
      </c>
      <c r="AO38" s="131" t="s">
        <v>547</v>
      </c>
      <c r="AP38" s="57" t="s">
        <v>2794</v>
      </c>
      <c r="AQ38" s="57" t="s">
        <v>2795</v>
      </c>
      <c r="AV38" s="163" t="s">
        <v>693</v>
      </c>
      <c r="AW38" s="165">
        <f t="shared" si="33"/>
        <v>0</v>
      </c>
      <c r="AX38" s="170"/>
      <c r="AY38" s="168">
        <f t="shared" si="34"/>
        <v>0</v>
      </c>
      <c r="AZ38" s="170"/>
      <c r="BA38" s="171">
        <f t="shared" si="35"/>
        <v>0</v>
      </c>
    </row>
    <row r="39" ht="15.0" customHeight="1">
      <c r="A39" s="116" t="s">
        <v>2796</v>
      </c>
      <c r="B39" s="182">
        <v>46030.0</v>
      </c>
      <c r="C39" s="182">
        <v>46024.0</v>
      </c>
      <c r="D39" s="57" t="s">
        <v>665</v>
      </c>
      <c r="E39" s="3">
        <f t="array" ref="E39">XLOOKUP(D39,RUC!$B$3:$B$110,RUC!$D$3:$D$110)</f>
        <v>20608774000</v>
      </c>
      <c r="G39" s="141">
        <v>6.0</v>
      </c>
      <c r="H39" s="3" t="s">
        <v>40</v>
      </c>
      <c r="I39" s="6">
        <v>0.57</v>
      </c>
      <c r="J39" s="58">
        <v>15.25</v>
      </c>
      <c r="K39" s="6">
        <f t="shared" si="2"/>
        <v>0.483</v>
      </c>
      <c r="L39" s="139">
        <v>13.442</v>
      </c>
      <c r="M39" s="60">
        <f t="shared" si="38"/>
        <v>12.635</v>
      </c>
      <c r="N39" s="62">
        <f t="shared" si="39"/>
        <v>12.635</v>
      </c>
      <c r="O39" s="60">
        <f t="shared" si="5"/>
        <v>12.635</v>
      </c>
      <c r="P39" s="63">
        <v>90.0</v>
      </c>
      <c r="Q39" s="58">
        <v>90.22</v>
      </c>
      <c r="R39" s="65">
        <v>4307.95</v>
      </c>
      <c r="S39" s="66">
        <f t="array" ref="S39">IF((XLOOKUP(D39,RUC!$B$3:$B$106,RUC!$E$3:$E$106)+ROUNDDOWN(O39,1)*100)&lt;95,95,((XLOOKUP(D39,RUC!$B$3:$B$106,RUC!$E$3:$E$106)+ROUNDDOWN(O39,1)*100)))</f>
        <v>1345</v>
      </c>
      <c r="U39" s="67">
        <f t="array" ref="U39">XLOOKUP(D39,RUC!$B$3:$B$110,RUC!$F$3:$F$110)</f>
        <v>120</v>
      </c>
      <c r="V39" s="67">
        <v>1.1023</v>
      </c>
      <c r="Y39" s="199">
        <v>35.0</v>
      </c>
      <c r="Z39" s="140">
        <v>45.0</v>
      </c>
      <c r="AA39" s="70">
        <f t="shared" si="6"/>
        <v>80</v>
      </c>
      <c r="AB39" s="71">
        <f t="shared" si="36"/>
        <v>50924.3568</v>
      </c>
      <c r="AC39" s="71">
        <f>+(S39-T39)*V39-'data 1'!$F$4</f>
        <v>1402.5935</v>
      </c>
      <c r="AD39" s="71">
        <f t="shared" si="7"/>
        <v>136.5173556</v>
      </c>
      <c r="AE39" s="71">
        <f t="shared" si="8"/>
        <v>18.184</v>
      </c>
      <c r="AF39" s="71">
        <f t="shared" si="9"/>
        <v>3361.070738</v>
      </c>
      <c r="AG39" s="72">
        <f t="shared" si="40"/>
        <v>4935.365594</v>
      </c>
      <c r="AH39" s="193">
        <f t="shared" si="10"/>
        <v>200.827</v>
      </c>
      <c r="AI39" s="193">
        <f t="shared" si="11"/>
        <v>222.597</v>
      </c>
      <c r="AJ39" s="73">
        <f t="shared" si="12"/>
        <v>10935.69452</v>
      </c>
      <c r="AK39" s="73">
        <f t="shared" si="13"/>
        <v>188.3102482</v>
      </c>
      <c r="AM39" s="51">
        <f t="shared" si="14"/>
        <v>24596.46433</v>
      </c>
      <c r="AN39" s="51" t="str">
        <f t="array" ref="AN39">XLOOKUP(D39,RUC!$B$3:$B$565,RUC!$M$3:$M$565)</f>
        <v>Ronald Miranda</v>
      </c>
      <c r="AO39" s="131" t="s">
        <v>547</v>
      </c>
      <c r="AP39" s="57" t="s">
        <v>2794</v>
      </c>
      <c r="AQ39" s="57" t="s">
        <v>2795</v>
      </c>
    </row>
    <row r="40" ht="15.0" customHeight="1">
      <c r="A40" s="116" t="s">
        <v>2797</v>
      </c>
      <c r="B40" s="182">
        <v>46034.0</v>
      </c>
      <c r="C40" s="448">
        <v>46024.0</v>
      </c>
      <c r="D40" s="57" t="s">
        <v>665</v>
      </c>
      <c r="E40" s="3">
        <f t="array" ref="E40">XLOOKUP(D40,RUC!$B$3:$B$110,RUC!$D$3:$D$110)</f>
        <v>20608774000</v>
      </c>
      <c r="G40" s="141">
        <v>50.0</v>
      </c>
      <c r="H40" s="3" t="s">
        <v>339</v>
      </c>
      <c r="I40" s="6">
        <v>3.11</v>
      </c>
      <c r="J40" s="58">
        <v>23.48</v>
      </c>
      <c r="K40" s="6">
        <f t="shared" si="2"/>
        <v>2.38</v>
      </c>
      <c r="L40" s="139">
        <v>0.353</v>
      </c>
      <c r="M40" s="60">
        <f t="shared" si="38"/>
        <v>0.332</v>
      </c>
      <c r="N40" s="62">
        <f t="shared" si="39"/>
        <v>0.332</v>
      </c>
      <c r="O40" s="60">
        <f t="shared" si="5"/>
        <v>0.332</v>
      </c>
      <c r="P40" s="63">
        <v>90.0</v>
      </c>
      <c r="Q40" s="58">
        <v>93.48</v>
      </c>
      <c r="R40" s="65">
        <v>4307.95</v>
      </c>
      <c r="S40" s="66">
        <f t="array" ref="S40">IF((XLOOKUP(D40,RUC!$B$3:$B$106,RUC!$E$3:$E$106)+ROUNDDOWN(O40,1)*100)&lt;95,95,((XLOOKUP(D40,RUC!$B$3:$B$106,RUC!$E$3:$E$106)+ROUNDDOWN(O40,1)*100)))</f>
        <v>115</v>
      </c>
      <c r="U40" s="67">
        <f t="array" ref="U40">XLOOKUP(D40,RUC!$B$3:$B$110,RUC!$F$3:$F$110)</f>
        <v>120</v>
      </c>
      <c r="V40" s="67">
        <v>1.1023</v>
      </c>
      <c r="Y40" s="199">
        <v>25.0</v>
      </c>
      <c r="Z40" s="140">
        <v>35.0</v>
      </c>
      <c r="AA40" s="70">
        <f t="shared" si="6"/>
        <v>60</v>
      </c>
      <c r="AB40" s="71">
        <f t="shared" si="36"/>
        <v>1186.471033</v>
      </c>
      <c r="AC40" s="71">
        <f>+(S40-T40)*V40-'data 1'!$F$4</f>
        <v>46.7645</v>
      </c>
      <c r="AD40" s="71">
        <f t="shared" si="7"/>
        <v>56.70942512</v>
      </c>
      <c r="AE40" s="71">
        <f t="shared" si="8"/>
        <v>-3.862</v>
      </c>
      <c r="AF40" s="71">
        <f t="shared" si="9"/>
        <v>90.62317921</v>
      </c>
      <c r="AG40" s="72">
        <f t="shared" si="40"/>
        <v>207.2351043</v>
      </c>
      <c r="AH40" s="193">
        <f t="shared" si="10"/>
        <v>26.926</v>
      </c>
      <c r="AI40" s="193">
        <f t="shared" si="11"/>
        <v>28.805</v>
      </c>
      <c r="AJ40" s="73">
        <f t="shared" si="12"/>
        <v>297.5589829</v>
      </c>
      <c r="AK40" s="73">
        <f t="shared" si="13"/>
        <v>24.381848</v>
      </c>
      <c r="AM40" s="51">
        <f t="shared" si="14"/>
        <v>2823.801058</v>
      </c>
      <c r="AN40" s="51" t="str">
        <f t="array" ref="AN40">XLOOKUP(D40,RUC!$B$3:$B$565,RUC!$M$3:$M$565)</f>
        <v>Ronald Miranda</v>
      </c>
      <c r="AO40" s="131" t="s">
        <v>551</v>
      </c>
      <c r="AP40" s="57" t="s">
        <v>2794</v>
      </c>
      <c r="AQ40" s="57" t="s">
        <v>2795</v>
      </c>
    </row>
    <row r="41" ht="15.0" customHeight="1">
      <c r="A41" s="116" t="s">
        <v>2798</v>
      </c>
      <c r="B41" s="182">
        <v>46034.0</v>
      </c>
      <c r="C41" s="448">
        <v>46024.0</v>
      </c>
      <c r="D41" s="57" t="s">
        <v>665</v>
      </c>
      <c r="E41" s="3">
        <f t="array" ref="E41">XLOOKUP(D41,RUC!$B$3:$B$110,RUC!$D$3:$D$110)</f>
        <v>20608774000</v>
      </c>
      <c r="G41" s="141">
        <v>50.0</v>
      </c>
      <c r="H41" s="3" t="s">
        <v>339</v>
      </c>
      <c r="I41" s="6">
        <v>3.21</v>
      </c>
      <c r="J41" s="58">
        <v>22.62</v>
      </c>
      <c r="K41" s="6">
        <f t="shared" si="2"/>
        <v>2.484</v>
      </c>
      <c r="L41" s="139">
        <v>0.302</v>
      </c>
      <c r="M41" s="60">
        <f t="shared" si="38"/>
        <v>0.284</v>
      </c>
      <c r="N41" s="62">
        <f t="shared" si="39"/>
        <v>0.284</v>
      </c>
      <c r="O41" s="60">
        <f t="shared" si="5"/>
        <v>0.284</v>
      </c>
      <c r="P41" s="63">
        <v>90.0</v>
      </c>
      <c r="Q41" s="58">
        <v>93.71</v>
      </c>
      <c r="R41" s="65">
        <v>4307.95</v>
      </c>
      <c r="S41" s="66">
        <f t="array" ref="S41">IF((XLOOKUP(D41,RUC!$B$3:$B$106,RUC!$E$3:$E$106)+ROUNDDOWN(O41,1)*100)&lt;95,95,((XLOOKUP(D41,RUC!$B$3:$B$106,RUC!$E$3:$E$106)+ROUNDDOWN(O41,1)*100)))</f>
        <v>105</v>
      </c>
      <c r="U41" s="67">
        <f t="array" ref="U41">XLOOKUP(D41,RUC!$B$3:$B$110,RUC!$F$3:$F$110)</f>
        <v>120</v>
      </c>
      <c r="V41" s="67">
        <v>1.1023</v>
      </c>
      <c r="Y41" s="199">
        <v>25.0</v>
      </c>
      <c r="Z41" s="140">
        <v>35.0</v>
      </c>
      <c r="AA41" s="70">
        <f t="shared" si="6"/>
        <v>60</v>
      </c>
      <c r="AB41" s="71">
        <f t="shared" si="36"/>
        <v>998.066534</v>
      </c>
      <c r="AC41" s="71">
        <f>+(S41-T41)*V41-'data 1'!$F$4</f>
        <v>35.7415</v>
      </c>
      <c r="AD41" s="71">
        <f t="shared" si="7"/>
        <v>51.72281438</v>
      </c>
      <c r="AE41" s="71">
        <f t="shared" si="8"/>
        <v>-3.862</v>
      </c>
      <c r="AF41" s="71">
        <f t="shared" si="9"/>
        <v>77.86812877</v>
      </c>
      <c r="AG41" s="72">
        <f t="shared" si="40"/>
        <v>178.4704431</v>
      </c>
      <c r="AH41" s="193">
        <f t="shared" si="10"/>
        <v>24.102</v>
      </c>
      <c r="AI41" s="193">
        <f t="shared" si="11"/>
        <v>25.72</v>
      </c>
      <c r="AJ41" s="73">
        <f t="shared" si="12"/>
        <v>255.195221</v>
      </c>
      <c r="AK41" s="73">
        <f t="shared" si="13"/>
        <v>21.76814944</v>
      </c>
      <c r="AM41" s="51">
        <f t="shared" si="14"/>
        <v>2479.197271</v>
      </c>
      <c r="AN41" s="51" t="str">
        <f t="array" ref="AN41">XLOOKUP(D41,RUC!$B$3:$B$565,RUC!$M$3:$M$565)</f>
        <v>Ronald Miranda</v>
      </c>
      <c r="AO41" s="131" t="s">
        <v>551</v>
      </c>
      <c r="AP41" s="57" t="s">
        <v>2794</v>
      </c>
      <c r="AQ41" s="57" t="s">
        <v>2795</v>
      </c>
    </row>
    <row r="42" ht="15.0" customHeight="1">
      <c r="A42" s="116" t="s">
        <v>2799</v>
      </c>
      <c r="B42" s="182">
        <v>46034.0</v>
      </c>
      <c r="C42" s="448">
        <v>46024.0</v>
      </c>
      <c r="D42" s="57" t="s">
        <v>665</v>
      </c>
      <c r="E42" s="3">
        <f t="array" ref="E42">XLOOKUP(D42,RUC!$B$3:$B$110,RUC!$D$3:$D$110)</f>
        <v>20608774000</v>
      </c>
      <c r="G42" s="141">
        <v>50.0</v>
      </c>
      <c r="H42" s="3" t="s">
        <v>339</v>
      </c>
      <c r="I42" s="6">
        <v>3.08</v>
      </c>
      <c r="J42" s="58">
        <v>25.63</v>
      </c>
      <c r="K42" s="6">
        <f t="shared" si="2"/>
        <v>2.291</v>
      </c>
      <c r="L42" s="139">
        <v>0.305</v>
      </c>
      <c r="M42" s="60">
        <f t="shared" si="38"/>
        <v>0.287</v>
      </c>
      <c r="N42" s="62">
        <f t="shared" si="39"/>
        <v>0.287</v>
      </c>
      <c r="O42" s="60">
        <f t="shared" si="5"/>
        <v>0.287</v>
      </c>
      <c r="P42" s="63">
        <v>90.0</v>
      </c>
      <c r="Q42" s="58">
        <v>92.79</v>
      </c>
      <c r="R42" s="65">
        <v>4307.95</v>
      </c>
      <c r="S42" s="66">
        <f t="array" ref="S42">IF((XLOOKUP(D42,RUC!$B$3:$B$106,RUC!$E$3:$E$106)+ROUNDDOWN(O42,1)*100)&lt;95,95,((XLOOKUP(D42,RUC!$B$3:$B$106,RUC!$E$3:$E$106)+ROUNDDOWN(O42,1)*100)))</f>
        <v>105</v>
      </c>
      <c r="U42" s="67">
        <f t="array" ref="U42">XLOOKUP(D42,RUC!$B$3:$B$110,RUC!$F$3:$F$110)</f>
        <v>120</v>
      </c>
      <c r="V42" s="67">
        <v>1.1023</v>
      </c>
      <c r="Y42" s="199">
        <v>25.0</v>
      </c>
      <c r="Z42" s="140">
        <v>35.0</v>
      </c>
      <c r="AA42" s="70">
        <f t="shared" si="6"/>
        <v>60</v>
      </c>
      <c r="AB42" s="71">
        <f t="shared" si="36"/>
        <v>1010.530753</v>
      </c>
      <c r="AC42" s="71">
        <f>+(S42-T42)*V42-'data 1'!$F$4</f>
        <v>35.7415</v>
      </c>
      <c r="AD42" s="71">
        <f t="shared" si="7"/>
        <v>39.28306251</v>
      </c>
      <c r="AE42" s="71">
        <f t="shared" si="8"/>
        <v>-3.862</v>
      </c>
      <c r="AF42" s="71">
        <f t="shared" si="9"/>
        <v>77.10365669</v>
      </c>
      <c r="AG42" s="72">
        <f t="shared" si="40"/>
        <v>165.2662192</v>
      </c>
      <c r="AH42" s="193">
        <f t="shared" si="10"/>
        <v>22.23</v>
      </c>
      <c r="AI42" s="193">
        <f t="shared" si="11"/>
        <v>23.957</v>
      </c>
      <c r="AJ42" s="73">
        <f t="shared" si="12"/>
        <v>255.2000002</v>
      </c>
      <c r="AK42" s="73">
        <f t="shared" si="13"/>
        <v>20.28890295</v>
      </c>
      <c r="AM42" s="51">
        <f t="shared" si="14"/>
        <v>2315.125954</v>
      </c>
      <c r="AN42" s="51" t="str">
        <f t="array" ref="AN42">XLOOKUP(D42,RUC!$B$3:$B$565,RUC!$M$3:$M$565)</f>
        <v>Ronald Miranda</v>
      </c>
      <c r="AO42" s="131" t="s">
        <v>551</v>
      </c>
      <c r="AP42" s="57" t="s">
        <v>2794</v>
      </c>
      <c r="AQ42" s="57" t="s">
        <v>2795</v>
      </c>
    </row>
    <row r="43" ht="15.0" customHeight="1">
      <c r="A43" s="116" t="s">
        <v>2800</v>
      </c>
      <c r="B43" s="182">
        <v>46034.0</v>
      </c>
      <c r="C43" s="182">
        <v>46026.0</v>
      </c>
      <c r="D43" s="57" t="s">
        <v>295</v>
      </c>
      <c r="E43" s="3">
        <f t="array" ref="E43">XLOOKUP(D43,RUC!$B$3:$B$110,RUC!$D$3:$D$110)</f>
        <v>20601769396</v>
      </c>
      <c r="G43" s="141">
        <v>51.0</v>
      </c>
      <c r="H43" s="3" t="s">
        <v>339</v>
      </c>
      <c r="I43" s="6">
        <v>3.49</v>
      </c>
      <c r="J43" s="58">
        <v>18.78</v>
      </c>
      <c r="K43" s="6">
        <f t="shared" si="2"/>
        <v>2.835</v>
      </c>
      <c r="L43" s="139">
        <v>0.427</v>
      </c>
      <c r="M43" s="60">
        <f t="shared" si="38"/>
        <v>0.401</v>
      </c>
      <c r="N43" s="62">
        <f t="shared" si="39"/>
        <v>0.401</v>
      </c>
      <c r="O43" s="60">
        <f t="shared" si="5"/>
        <v>0.401</v>
      </c>
      <c r="P43" s="63">
        <v>90.0</v>
      </c>
      <c r="Q43" s="58">
        <v>96.96</v>
      </c>
      <c r="R43" s="65">
        <v>4456.4</v>
      </c>
      <c r="S43" s="66">
        <f t="array" ref="S43">IF((XLOOKUP(D43,RUC!$B$3:$B$106,RUC!$E$3:$E$106)+ROUNDDOWN(O43,1)*100)&lt;95,95,((XLOOKUP(D43,RUC!$B$3:$B$106,RUC!$E$3:$E$106)+ROUNDDOWN(O43,1)*100)))</f>
        <v>130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6"/>
        <v>50</v>
      </c>
      <c r="AB43" s="71">
        <f t="shared" si="36"/>
        <v>1526.692952</v>
      </c>
      <c r="AC43" s="71">
        <f>+(S43-T43)*V43-'data 1'!$F$4</f>
        <v>63.299</v>
      </c>
      <c r="AD43" s="71">
        <f t="shared" si="7"/>
        <v>142.0581837</v>
      </c>
      <c r="AE43" s="71">
        <f t="shared" si="8"/>
        <v>-14.885</v>
      </c>
      <c r="AF43" s="71">
        <f t="shared" si="9"/>
        <v>120.5022339</v>
      </c>
      <c r="AG43" s="72">
        <f t="shared" si="40"/>
        <v>327.9744176</v>
      </c>
      <c r="AH43" s="193">
        <f t="shared" si="10"/>
        <v>40.242</v>
      </c>
      <c r="AI43" s="193">
        <f t="shared" si="11"/>
        <v>41.504</v>
      </c>
      <c r="AJ43" s="73">
        <f t="shared" si="12"/>
        <v>305.5876046</v>
      </c>
      <c r="AK43" s="73">
        <f t="shared" si="13"/>
        <v>35.07914621</v>
      </c>
      <c r="AM43" s="51">
        <f t="shared" si="14"/>
        <v>4328.174518</v>
      </c>
      <c r="AN43" s="51" t="str">
        <f t="array" ref="AN43">XLOOKUP(D43,RUC!$B$3:$B$565,RUC!$M$3:$M$565)</f>
        <v>Evelyn</v>
      </c>
      <c r="AO43" s="131" t="s">
        <v>549</v>
      </c>
      <c r="AP43" s="57" t="s">
        <v>2729</v>
      </c>
      <c r="AQ43" s="57" t="s">
        <v>2730</v>
      </c>
    </row>
    <row r="44" ht="15.0" customHeight="1">
      <c r="A44" s="116" t="s">
        <v>2801</v>
      </c>
      <c r="B44" s="182">
        <v>46034.0</v>
      </c>
      <c r="C44" s="182">
        <v>46026.0</v>
      </c>
      <c r="D44" s="57" t="s">
        <v>295</v>
      </c>
      <c r="E44" s="3">
        <f t="array" ref="E44">XLOOKUP(D44,RUC!$B$3:$B$110,RUC!$D$3:$D$110)</f>
        <v>20601769396</v>
      </c>
      <c r="G44" s="141">
        <v>50.0</v>
      </c>
      <c r="H44" s="3" t="s">
        <v>40</v>
      </c>
      <c r="I44" s="6">
        <v>4.59</v>
      </c>
      <c r="J44" s="58">
        <v>21.7</v>
      </c>
      <c r="K44" s="6">
        <f t="shared" si="2"/>
        <v>3.594</v>
      </c>
      <c r="L44" s="139">
        <v>0.264</v>
      </c>
      <c r="M44" s="60">
        <f t="shared" si="38"/>
        <v>0.246</v>
      </c>
      <c r="N44" s="62">
        <f t="shared" si="39"/>
        <v>0.246</v>
      </c>
      <c r="O44" s="60">
        <f t="shared" si="5"/>
        <v>0.246</v>
      </c>
      <c r="P44" s="63">
        <v>90.0</v>
      </c>
      <c r="Q44" s="58">
        <v>91.29</v>
      </c>
      <c r="R44" s="65">
        <v>4456.4</v>
      </c>
      <c r="S44" s="66">
        <f t="array" ref="S44">IF((XLOOKUP(D44,RUC!$B$3:$B$106,RUC!$E$3:$E$106)+ROUNDDOWN(O44,1)*100)&lt;95,95,((XLOOKUP(D44,RUC!$B$3:$B$106,RUC!$E$3:$E$106)+ROUNDDOWN(O44,1)*100)))</f>
        <v>110</v>
      </c>
      <c r="U44" s="67">
        <f t="array" ref="U44">XLOOKUP(D44,RUC!$B$3:$B$110,RUC!$F$3:$F$110)</f>
        <v>120</v>
      </c>
      <c r="V44" s="67">
        <v>1.1023</v>
      </c>
      <c r="Y44" s="199">
        <v>30.0</v>
      </c>
      <c r="Z44" s="140">
        <v>40.0</v>
      </c>
      <c r="AA44" s="70">
        <f t="shared" si="6"/>
        <v>70</v>
      </c>
      <c r="AB44" s="71">
        <f t="shared" si="36"/>
        <v>859.8810376</v>
      </c>
      <c r="AC44" s="71">
        <f>+(S44-T44)*V44-'data 1'!$F$4</f>
        <v>41.253</v>
      </c>
      <c r="AD44" s="71">
        <f t="shared" si="7"/>
        <v>16.27881472</v>
      </c>
      <c r="AE44" s="71">
        <f t="shared" si="8"/>
        <v>7.161</v>
      </c>
      <c r="AF44" s="71">
        <f t="shared" si="9"/>
        <v>78.54614145</v>
      </c>
      <c r="AG44" s="72">
        <f t="shared" si="40"/>
        <v>160.2389562</v>
      </c>
      <c r="AH44" s="193">
        <f t="shared" si="10"/>
        <v>29.697</v>
      </c>
      <c r="AI44" s="193">
        <f t="shared" si="11"/>
        <v>32.531</v>
      </c>
      <c r="AJ44" s="73">
        <f t="shared" si="12"/>
        <v>177.8862526</v>
      </c>
      <c r="AK44" s="73">
        <f t="shared" si="13"/>
        <v>27.28128098</v>
      </c>
      <c r="AM44" s="51">
        <f t="shared" si="14"/>
        <v>3090.412449</v>
      </c>
      <c r="AN44" s="51" t="str">
        <f t="array" ref="AN44">XLOOKUP(D44,RUC!$B$3:$B$565,RUC!$M$3:$M$565)</f>
        <v>Evelyn</v>
      </c>
      <c r="AO44" s="131" t="s">
        <v>551</v>
      </c>
      <c r="AP44" s="57" t="s">
        <v>2443</v>
      </c>
      <c r="AQ44" s="57" t="s">
        <v>2802</v>
      </c>
    </row>
    <row r="45" ht="15.0" customHeight="1">
      <c r="A45" s="116" t="s">
        <v>2803</v>
      </c>
      <c r="B45" s="182">
        <v>46034.0</v>
      </c>
      <c r="C45" s="182">
        <v>46026.0</v>
      </c>
      <c r="D45" s="57" t="s">
        <v>295</v>
      </c>
      <c r="E45" s="3">
        <f t="array" ref="E45">XLOOKUP(D45,RUC!$B$3:$B$110,RUC!$D$3:$D$110)</f>
        <v>20601769396</v>
      </c>
      <c r="G45" s="141">
        <v>50.0</v>
      </c>
      <c r="H45" s="3" t="s">
        <v>40</v>
      </c>
      <c r="I45" s="6">
        <v>4.22</v>
      </c>
      <c r="J45" s="58">
        <v>21.9</v>
      </c>
      <c r="K45" s="6">
        <f t="shared" si="2"/>
        <v>3.296</v>
      </c>
      <c r="L45" s="139">
        <v>0.251</v>
      </c>
      <c r="M45" s="60">
        <f t="shared" si="38"/>
        <v>0.233</v>
      </c>
      <c r="N45" s="62">
        <f t="shared" si="39"/>
        <v>0.233</v>
      </c>
      <c r="O45" s="60">
        <f t="shared" si="5"/>
        <v>0.233</v>
      </c>
      <c r="P45" s="63">
        <v>90.0</v>
      </c>
      <c r="Q45" s="58">
        <v>92.83</v>
      </c>
      <c r="R45" s="65">
        <v>4456.4</v>
      </c>
      <c r="S45" s="66">
        <f t="array" ref="S45">IF((XLOOKUP(D45,RUC!$B$3:$B$106,RUC!$E$3:$E$106)+ROUNDDOWN(O45,1)*100)&lt;95,95,((XLOOKUP(D45,RUC!$B$3:$B$106,RUC!$E$3:$E$106)+ROUNDDOWN(O45,1)*100)))</f>
        <v>110</v>
      </c>
      <c r="U45" s="67">
        <f t="array" ref="U45">XLOOKUP(D45,RUC!$B$3:$B$110,RUC!$F$3:$F$110)</f>
        <v>120</v>
      </c>
      <c r="V45" s="67">
        <v>1.1023</v>
      </c>
      <c r="Y45" s="199">
        <v>30.0</v>
      </c>
      <c r="Z45" s="140">
        <v>40.0</v>
      </c>
      <c r="AA45" s="70">
        <f t="shared" si="6"/>
        <v>70</v>
      </c>
      <c r="AB45" s="71">
        <f t="shared" si="36"/>
        <v>803.9548771</v>
      </c>
      <c r="AC45" s="71">
        <f>+(S45-T45)*V45-'data 1'!$F$4</f>
        <v>41.253</v>
      </c>
      <c r="AD45" s="71">
        <f t="shared" si="7"/>
        <v>33.95387146</v>
      </c>
      <c r="AE45" s="71">
        <f t="shared" si="8"/>
        <v>7.161</v>
      </c>
      <c r="AF45" s="71">
        <f t="shared" si="9"/>
        <v>79.87116125</v>
      </c>
      <c r="AG45" s="72">
        <f t="shared" si="40"/>
        <v>179.2390327</v>
      </c>
      <c r="AH45" s="193">
        <f t="shared" si="10"/>
        <v>26.33</v>
      </c>
      <c r="AI45" s="193">
        <f t="shared" si="11"/>
        <v>28.364</v>
      </c>
      <c r="AJ45" s="73">
        <f t="shared" si="12"/>
        <v>171.9797544</v>
      </c>
      <c r="AK45" s="73">
        <f t="shared" si="13"/>
        <v>23.6970728</v>
      </c>
      <c r="AM45" s="51">
        <f t="shared" si="14"/>
        <v>2649.835275</v>
      </c>
      <c r="AN45" s="51" t="str">
        <f t="array" ref="AN45">XLOOKUP(D45,RUC!$B$3:$B$565,RUC!$M$3:$M$565)</f>
        <v>Evelyn</v>
      </c>
      <c r="AO45" s="131" t="s">
        <v>551</v>
      </c>
      <c r="AP45" s="57" t="s">
        <v>2443</v>
      </c>
      <c r="AQ45" s="57" t="s">
        <v>2802</v>
      </c>
    </row>
    <row r="46" ht="15.0" customHeight="1">
      <c r="A46" s="116" t="s">
        <v>2804</v>
      </c>
      <c r="B46" s="182">
        <v>46036.0</v>
      </c>
      <c r="C46" s="182">
        <v>46027.0</v>
      </c>
      <c r="D46" s="57" t="s">
        <v>295</v>
      </c>
      <c r="E46" s="3">
        <f t="array" ref="E46">XLOOKUP(D46,RUC!$B$3:$B$110,RUC!$D$3:$D$110)</f>
        <v>20601769396</v>
      </c>
      <c r="G46" s="141">
        <v>50.0</v>
      </c>
      <c r="H46" s="3" t="s">
        <v>40</v>
      </c>
      <c r="I46" s="6">
        <v>3.82</v>
      </c>
      <c r="J46" s="58">
        <v>20.4</v>
      </c>
      <c r="K46" s="6">
        <f t="shared" si="2"/>
        <v>3.041</v>
      </c>
      <c r="L46" s="139">
        <v>0.238</v>
      </c>
      <c r="M46" s="60">
        <f t="shared" si="38"/>
        <v>0.22</v>
      </c>
      <c r="N46" s="62">
        <f t="shared" si="39"/>
        <v>0.22</v>
      </c>
      <c r="O46" s="60">
        <f t="shared" si="5"/>
        <v>0.22</v>
      </c>
      <c r="P46" s="63">
        <v>90.0</v>
      </c>
      <c r="Q46" s="58">
        <v>90.76</v>
      </c>
      <c r="R46" s="65">
        <v>4456.4</v>
      </c>
      <c r="S46" s="66">
        <f t="array" ref="S46">IF((XLOOKUP(D46,RUC!$B$3:$B$106,RUC!$E$3:$E$106)+ROUNDDOWN(O46,1)*100)&lt;95,95,((XLOOKUP(D46,RUC!$B$3:$B$106,RUC!$E$3:$E$106)+ROUNDDOWN(O46,1)*100)))</f>
        <v>110</v>
      </c>
      <c r="U46" s="67">
        <f t="array" ref="U46">XLOOKUP(D46,RUC!$B$3:$B$110,RUC!$F$3:$F$110)</f>
        <v>120</v>
      </c>
      <c r="V46" s="67">
        <v>1.1023</v>
      </c>
      <c r="Y46" s="199">
        <v>30.0</v>
      </c>
      <c r="Z46" s="140">
        <v>40.0</v>
      </c>
      <c r="AA46" s="70">
        <f t="shared" si="6"/>
        <v>70</v>
      </c>
      <c r="AB46" s="71">
        <f t="shared" si="36"/>
        <v>748.0287166</v>
      </c>
      <c r="AC46" s="71">
        <f>+(S46-T46)*V46-'data 1'!$F$4</f>
        <v>41.253</v>
      </c>
      <c r="AD46" s="71">
        <f t="shared" si="7"/>
        <v>8.646088817</v>
      </c>
      <c r="AE46" s="71">
        <f t="shared" si="8"/>
        <v>7.161</v>
      </c>
      <c r="AF46" s="71">
        <f t="shared" si="9"/>
        <v>78.09012814</v>
      </c>
      <c r="AG46" s="72">
        <f t="shared" si="40"/>
        <v>152.150217</v>
      </c>
      <c r="AH46" s="193">
        <f t="shared" si="10"/>
        <v>22.521</v>
      </c>
      <c r="AI46" s="193">
        <f t="shared" si="11"/>
        <v>24.814</v>
      </c>
      <c r="AJ46" s="73">
        <f t="shared" si="12"/>
        <v>159.4361126</v>
      </c>
      <c r="AK46" s="73">
        <f t="shared" si="13"/>
        <v>20.64384928</v>
      </c>
      <c r="AM46" s="51">
        <f t="shared" si="14"/>
        <v>2274.755327</v>
      </c>
      <c r="AN46" s="51" t="str">
        <f t="array" ref="AN46">XLOOKUP(D46,RUC!$B$3:$B$565,RUC!$M$3:$M$565)</f>
        <v>Evelyn</v>
      </c>
      <c r="AO46" s="131" t="s">
        <v>551</v>
      </c>
      <c r="AP46" s="57" t="s">
        <v>2443</v>
      </c>
      <c r="AQ46" s="57" t="s">
        <v>2802</v>
      </c>
    </row>
    <row r="47" ht="15.0" customHeight="1">
      <c r="A47" s="116" t="s">
        <v>2805</v>
      </c>
      <c r="B47" s="182">
        <v>46034.0</v>
      </c>
      <c r="C47" s="182">
        <v>46027.0</v>
      </c>
      <c r="D47" s="57" t="s">
        <v>295</v>
      </c>
      <c r="E47" s="3">
        <f t="array" ref="E47">XLOOKUP(D47,RUC!$B$3:$B$110,RUC!$D$3:$D$110)</f>
        <v>20601769396</v>
      </c>
      <c r="G47" s="141">
        <v>49.0</v>
      </c>
      <c r="H47" s="3" t="s">
        <v>40</v>
      </c>
      <c r="I47" s="6">
        <v>4.55</v>
      </c>
      <c r="J47" s="58">
        <v>21.9</v>
      </c>
      <c r="K47" s="6">
        <f t="shared" si="2"/>
        <v>3.554</v>
      </c>
      <c r="L47" s="139">
        <v>0.248</v>
      </c>
      <c r="M47" s="60">
        <f t="shared" si="38"/>
        <v>0.23</v>
      </c>
      <c r="N47" s="62">
        <f t="shared" si="39"/>
        <v>0.23</v>
      </c>
      <c r="O47" s="60">
        <f t="shared" si="5"/>
        <v>0.23</v>
      </c>
      <c r="P47" s="63">
        <v>90.0</v>
      </c>
      <c r="Q47" s="58">
        <v>93.95</v>
      </c>
      <c r="R47" s="65">
        <v>4456.4</v>
      </c>
      <c r="S47" s="66">
        <f t="array" ref="S47">IF((XLOOKUP(D47,RUC!$B$3:$B$106,RUC!$E$3:$E$106)+ROUNDDOWN(O47,1)*100)&lt;95,95,((XLOOKUP(D47,RUC!$B$3:$B$106,RUC!$E$3:$E$106)+ROUNDDOWN(O47,1)*100)))</f>
        <v>110</v>
      </c>
      <c r="U47" s="67">
        <f t="array" ref="U47">XLOOKUP(D47,RUC!$B$3:$B$110,RUC!$F$3:$F$110)</f>
        <v>120</v>
      </c>
      <c r="V47" s="67">
        <v>1.1023</v>
      </c>
      <c r="Y47" s="199">
        <v>30.0</v>
      </c>
      <c r="Z47" s="140">
        <v>40.0</v>
      </c>
      <c r="AA47" s="70">
        <f t="shared" si="6"/>
        <v>70</v>
      </c>
      <c r="AB47" s="71">
        <f t="shared" si="36"/>
        <v>791.04884</v>
      </c>
      <c r="AC47" s="71">
        <f>+(S47-T47)*V47-'data 1'!$F$4</f>
        <v>41.253</v>
      </c>
      <c r="AD47" s="71">
        <f t="shared" si="7"/>
        <v>46.8250144</v>
      </c>
      <c r="AE47" s="71">
        <f t="shared" si="8"/>
        <v>7.161</v>
      </c>
      <c r="AF47" s="71">
        <f t="shared" si="9"/>
        <v>80.83481202</v>
      </c>
      <c r="AG47" s="72">
        <f t="shared" si="40"/>
        <v>193.0738264</v>
      </c>
      <c r="AH47" s="193">
        <f t="shared" si="10"/>
        <v>28.391</v>
      </c>
      <c r="AI47" s="193">
        <f t="shared" si="11"/>
        <v>30.219</v>
      </c>
      <c r="AJ47" s="73">
        <f t="shared" si="12"/>
        <v>171.9743662</v>
      </c>
      <c r="AK47" s="73">
        <f t="shared" si="13"/>
        <v>25.22300571</v>
      </c>
      <c r="AM47" s="51">
        <f t="shared" si="14"/>
        <v>2811.387578</v>
      </c>
      <c r="AN47" s="51" t="str">
        <f t="array" ref="AN47">XLOOKUP(D47,RUC!$B$3:$B$565,RUC!$M$3:$M$565)</f>
        <v>Evelyn</v>
      </c>
      <c r="AO47" s="131" t="s">
        <v>551</v>
      </c>
      <c r="AP47" s="57" t="s">
        <v>2443</v>
      </c>
      <c r="AQ47" s="57" t="s">
        <v>2802</v>
      </c>
    </row>
    <row r="48" ht="15.0" customHeight="1">
      <c r="A48" s="116" t="s">
        <v>2806</v>
      </c>
      <c r="B48" s="182">
        <v>46034.0</v>
      </c>
      <c r="C48" s="182">
        <v>46027.0</v>
      </c>
      <c r="D48" s="57" t="s">
        <v>295</v>
      </c>
      <c r="E48" s="3">
        <f t="array" ref="E48">XLOOKUP(D48,RUC!$B$3:$B$110,RUC!$D$3:$D$110)</f>
        <v>20601769396</v>
      </c>
      <c r="G48" s="141">
        <v>50.0</v>
      </c>
      <c r="H48" s="3" t="s">
        <v>40</v>
      </c>
      <c r="I48" s="6">
        <v>4.35</v>
      </c>
      <c r="J48" s="58">
        <v>18.8</v>
      </c>
      <c r="K48" s="6">
        <f t="shared" si="2"/>
        <v>3.532</v>
      </c>
      <c r="L48" s="139">
        <v>0.233</v>
      </c>
      <c r="M48" s="60">
        <f t="shared" si="38"/>
        <v>0.215</v>
      </c>
      <c r="N48" s="62">
        <f t="shared" si="39"/>
        <v>0.215</v>
      </c>
      <c r="O48" s="60">
        <f t="shared" si="5"/>
        <v>0.215</v>
      </c>
      <c r="P48" s="63">
        <v>89.0</v>
      </c>
      <c r="Q48" s="58">
        <v>89.27</v>
      </c>
      <c r="R48" s="65">
        <v>4456.4</v>
      </c>
      <c r="S48" s="66">
        <f t="array" ref="S48">IF((XLOOKUP(D48,RUC!$B$3:$B$106,RUC!$E$3:$E$106)+ROUNDDOWN(O48,1)*100)&lt;95,95,((XLOOKUP(D48,RUC!$B$3:$B$106,RUC!$E$3:$E$106)+ROUNDDOWN(O48,1)*100)))</f>
        <v>110</v>
      </c>
      <c r="U48" s="67">
        <f t="array" ref="U48">XLOOKUP(D48,RUC!$B$3:$B$110,RUC!$F$3:$F$110)</f>
        <v>120</v>
      </c>
      <c r="V48" s="67">
        <v>1.1023</v>
      </c>
      <c r="Y48" s="199">
        <v>30.0</v>
      </c>
      <c r="Z48" s="140">
        <v>40.0</v>
      </c>
      <c r="AA48" s="70">
        <f t="shared" si="6"/>
        <v>70</v>
      </c>
      <c r="AB48" s="71">
        <f t="shared" si="36"/>
        <v>716.2416253</v>
      </c>
      <c r="AC48" s="71">
        <f>+(S48-T48)*V48-'data 1'!$F$4</f>
        <v>41.253</v>
      </c>
      <c r="AD48" s="71">
        <f t="shared" si="7"/>
        <v>3.007106631</v>
      </c>
      <c r="AE48" s="71">
        <f t="shared" si="8"/>
        <v>7.161</v>
      </c>
      <c r="AF48" s="71">
        <f t="shared" si="9"/>
        <v>76.80812846</v>
      </c>
      <c r="AG48" s="72">
        <f t="shared" si="40"/>
        <v>145.2292351</v>
      </c>
      <c r="AH48" s="193">
        <f t="shared" si="10"/>
        <v>25.188</v>
      </c>
      <c r="AI48" s="193">
        <f t="shared" si="11"/>
        <v>28.215</v>
      </c>
      <c r="AJ48" s="73">
        <f t="shared" si="12"/>
        <v>153.5241523</v>
      </c>
      <c r="AK48" s="73">
        <f t="shared" si="13"/>
        <v>23.1717178</v>
      </c>
      <c r="AM48" s="51">
        <f t="shared" si="14"/>
        <v>2529.765421</v>
      </c>
      <c r="AN48" s="51" t="str">
        <f t="array" ref="AN48">XLOOKUP(D48,RUC!$B$3:$B$565,RUC!$M$3:$M$565)</f>
        <v>Evelyn</v>
      </c>
      <c r="AO48" s="131" t="s">
        <v>551</v>
      </c>
      <c r="AP48" s="57" t="s">
        <v>2443</v>
      </c>
      <c r="AQ48" s="57" t="s">
        <v>2802</v>
      </c>
    </row>
    <row r="49" ht="15.0" customHeight="1">
      <c r="A49" s="116" t="s">
        <v>2807</v>
      </c>
      <c r="B49" s="182">
        <v>46036.0</v>
      </c>
      <c r="C49" s="182">
        <v>46027.0</v>
      </c>
      <c r="D49" s="57" t="s">
        <v>295</v>
      </c>
      <c r="E49" s="3">
        <f t="array" ref="E49">XLOOKUP(D49,RUC!$B$3:$B$110,RUC!$D$3:$D$110)</f>
        <v>20601769396</v>
      </c>
      <c r="G49" s="141">
        <v>50.0</v>
      </c>
      <c r="H49" s="3" t="s">
        <v>40</v>
      </c>
      <c r="I49" s="6">
        <v>4.52</v>
      </c>
      <c r="J49" s="58">
        <v>19.6</v>
      </c>
      <c r="K49" s="6">
        <f t="shared" si="2"/>
        <v>3.634</v>
      </c>
      <c r="L49" s="139">
        <v>0.258</v>
      </c>
      <c r="M49" s="60">
        <f t="shared" si="38"/>
        <v>0.24</v>
      </c>
      <c r="N49" s="62">
        <f t="shared" si="39"/>
        <v>0.24</v>
      </c>
      <c r="O49" s="60">
        <f t="shared" si="5"/>
        <v>0.24</v>
      </c>
      <c r="P49" s="63">
        <v>90.0</v>
      </c>
      <c r="Q49" s="58">
        <v>91.09</v>
      </c>
      <c r="R49" s="65">
        <v>4456.4</v>
      </c>
      <c r="S49" s="66">
        <f t="array" ref="S49">IF((XLOOKUP(D49,RUC!$B$3:$B$106,RUC!$E$3:$E$106)+ROUNDDOWN(O49,1)*100)&lt;95,95,((XLOOKUP(D49,RUC!$B$3:$B$106,RUC!$E$3:$E$106)+ROUNDDOWN(O49,1)*100)))</f>
        <v>110</v>
      </c>
      <c r="U49" s="67">
        <f t="array" ref="U49">XLOOKUP(D49,RUC!$B$3:$B$110,RUC!$F$3:$F$110)</f>
        <v>120</v>
      </c>
      <c r="V49" s="67">
        <v>1.1023</v>
      </c>
      <c r="Y49" s="199">
        <v>30.0</v>
      </c>
      <c r="Z49" s="140">
        <v>40.0</v>
      </c>
      <c r="AA49" s="70">
        <f t="shared" si="6"/>
        <v>70</v>
      </c>
      <c r="AB49" s="71">
        <f t="shared" si="36"/>
        <v>834.0689635</v>
      </c>
      <c r="AC49" s="71">
        <f>+(S49-T49)*V49-'data 1'!$F$4</f>
        <v>41.253</v>
      </c>
      <c r="AD49" s="71">
        <f t="shared" si="7"/>
        <v>13.44235458</v>
      </c>
      <c r="AE49" s="71">
        <f t="shared" si="8"/>
        <v>7.161</v>
      </c>
      <c r="AF49" s="71">
        <f t="shared" si="9"/>
        <v>78.37406096</v>
      </c>
      <c r="AG49" s="72">
        <f t="shared" si="40"/>
        <v>157.2304155</v>
      </c>
      <c r="AH49" s="193">
        <f t="shared" si="10"/>
        <v>29.281</v>
      </c>
      <c r="AI49" s="193">
        <f t="shared" si="11"/>
        <v>32.145</v>
      </c>
      <c r="AJ49" s="73">
        <f t="shared" si="12"/>
        <v>173.4625236</v>
      </c>
      <c r="AK49" s="73">
        <f t="shared" si="13"/>
        <v>26.91210964</v>
      </c>
      <c r="AM49" s="51">
        <f t="shared" si="14"/>
        <v>3031.006613</v>
      </c>
      <c r="AN49" s="51" t="str">
        <f t="array" ref="AN49">XLOOKUP(D49,RUC!$B$3:$B$565,RUC!$M$3:$M$565)</f>
        <v>Evelyn</v>
      </c>
      <c r="AO49" s="131" t="s">
        <v>551</v>
      </c>
      <c r="AP49" s="57" t="s">
        <v>2443</v>
      </c>
      <c r="AQ49" s="57" t="s">
        <v>2802</v>
      </c>
    </row>
    <row r="50" ht="15.0" customHeight="1">
      <c r="A50" s="116" t="s">
        <v>2808</v>
      </c>
      <c r="B50" s="182">
        <v>46034.0</v>
      </c>
      <c r="C50" s="182">
        <v>46027.0</v>
      </c>
      <c r="D50" s="57" t="s">
        <v>806</v>
      </c>
      <c r="E50" s="3">
        <f t="array" ref="E50">XLOOKUP(D50,RUC!$B$3:$B$110,RUC!$D$3:$D$110)</f>
        <v>20614284740</v>
      </c>
      <c r="G50" s="141" t="s">
        <v>735</v>
      </c>
      <c r="H50" s="3" t="s">
        <v>40</v>
      </c>
      <c r="I50" s="6">
        <v>4.19</v>
      </c>
      <c r="J50" s="58">
        <v>13.0</v>
      </c>
      <c r="K50" s="6">
        <f t="shared" si="2"/>
        <v>3.645</v>
      </c>
      <c r="L50" s="139">
        <v>0.591</v>
      </c>
      <c r="M50" s="60">
        <f>ROUND(+IF(AN50="Melchor Vera",IF(L50&gt;0.467,L50*0.985,(L50-0.007)),IF(L50&gt;0.3,L50*0.94,(L50-0.019))),3)</f>
        <v>0.556</v>
      </c>
      <c r="N50" s="62">
        <f t="shared" si="39"/>
        <v>0.556</v>
      </c>
      <c r="O50" s="60">
        <f t="shared" si="5"/>
        <v>0.556</v>
      </c>
      <c r="P50" s="63">
        <v>90.0</v>
      </c>
      <c r="Q50" s="58">
        <v>96.95</v>
      </c>
      <c r="R50" s="65">
        <v>4456.4</v>
      </c>
      <c r="S50" s="66">
        <f t="array" ref="S50">IF((XLOOKUP(D50,RUC!$B$3:$B$106,RUC!$E$3:$E$106)+ROUNDDOWN(O50,1)*100)&lt;95,95,((XLOOKUP(D50,RUC!$B$3:$B$106,RUC!$E$3:$E$106)+ROUNDDOWN(O50,1)*100)))</f>
        <v>140</v>
      </c>
      <c r="U50" s="67">
        <f t="array" ref="U50">XLOOKUP(D50,RUC!$B$3:$B$110,RUC!$F$3:$F$110)</f>
        <v>120</v>
      </c>
      <c r="V50" s="67">
        <v>1.1023</v>
      </c>
      <c r="Y50" s="199">
        <v>30.0</v>
      </c>
      <c r="Z50" s="140">
        <v>40.0</v>
      </c>
      <c r="AA50" s="70">
        <f t="shared" si="6"/>
        <v>70</v>
      </c>
      <c r="AB50" s="71">
        <f t="shared" si="36"/>
        <v>2160.435865</v>
      </c>
      <c r="AC50" s="71">
        <f>+(S50-T50)*V50-'data 1'!$F$4</f>
        <v>74.322</v>
      </c>
      <c r="AD50" s="71">
        <f t="shared" si="7"/>
        <v>196.3366735</v>
      </c>
      <c r="AE50" s="71">
        <f t="shared" si="8"/>
        <v>7.161</v>
      </c>
      <c r="AF50" s="71">
        <f t="shared" si="9"/>
        <v>162.1978156</v>
      </c>
      <c r="AG50" s="72">
        <f>AC50+AD50+AE50+AF50+70</f>
        <v>510.0174891</v>
      </c>
      <c r="AH50" s="193">
        <f t="shared" si="10"/>
        <v>71.605</v>
      </c>
      <c r="AI50" s="193">
        <f t="shared" si="11"/>
        <v>73.857</v>
      </c>
      <c r="AJ50" s="73">
        <f t="shared" si="12"/>
        <v>422.9125243</v>
      </c>
      <c r="AK50" s="73">
        <f t="shared" si="13"/>
        <v>62.53510782</v>
      </c>
      <c r="AM50" s="51">
        <f t="shared" si="14"/>
        <v>7874.78873</v>
      </c>
      <c r="AN50" s="51" t="str">
        <f t="array" ref="AN50">XLOOKUP(D50,RUC!$B$3:$B$565,RUC!$M$3:$M$565)</f>
        <v>Dante </v>
      </c>
      <c r="AO50" s="131" t="s">
        <v>551</v>
      </c>
      <c r="AP50" s="57" t="s">
        <v>2025</v>
      </c>
      <c r="AQ50" s="57" t="s">
        <v>2584</v>
      </c>
    </row>
    <row r="51" ht="15.0" customHeight="1">
      <c r="A51" s="192" t="s">
        <v>2809</v>
      </c>
      <c r="B51" s="194">
        <v>46030.0</v>
      </c>
      <c r="C51" s="182">
        <v>46027.0</v>
      </c>
      <c r="D51" s="57" t="s">
        <v>306</v>
      </c>
      <c r="E51" s="3">
        <f t="array" ref="E51">XLOOKUP(D51,RUC!$B$3:$B$110,RUC!$D$3:$D$110)</f>
        <v>20612921866</v>
      </c>
      <c r="G51" s="141">
        <v>50.0</v>
      </c>
      <c r="H51" s="3" t="s">
        <v>47</v>
      </c>
      <c r="I51" s="6">
        <v>5.58</v>
      </c>
      <c r="J51" s="58">
        <v>1.35</v>
      </c>
      <c r="K51" s="6">
        <f t="shared" si="2"/>
        <v>5.505</v>
      </c>
      <c r="L51" s="139">
        <v>0.076</v>
      </c>
      <c r="M51" s="60">
        <f>ROUND(+IF(AN51="Melchor Vera",IF(L51&gt;0.467,L51*0.985,(L51-0.007)),IF(L51&gt;0.3,L51*0.94,(L51-0.018))),3)</f>
        <v>0.058</v>
      </c>
      <c r="N51" s="62">
        <f t="shared" si="39"/>
        <v>0.058</v>
      </c>
      <c r="O51" s="60">
        <f t="shared" si="5"/>
        <v>0.058</v>
      </c>
      <c r="P51" s="63">
        <v>80.0</v>
      </c>
      <c r="Q51" s="58">
        <v>94.74</v>
      </c>
      <c r="R51" s="65">
        <v>4307.95</v>
      </c>
      <c r="S51" s="66">
        <f t="array" ref="S51">IF((XLOOKUP(D51,RUC!$B$3:$B$106,RUC!$E$3:$E$106)+ROUNDDOWN(O51,1)*100)&lt;95,95,((XLOOKUP(D51,RUC!$B$3:$B$106,RUC!$E$3:$E$106)+ROUNDDOWN(O51,1)*100)))</f>
        <v>95</v>
      </c>
      <c r="U51" s="67">
        <f t="array" ref="U51">XLOOKUP(D51,RUC!$B$3:$B$110,RUC!$F$3:$F$110)</f>
        <v>100</v>
      </c>
      <c r="V51" s="67">
        <v>1.1023</v>
      </c>
      <c r="Y51" s="57" t="str">
        <f t="array" ref="Y51">XLOOKUP(D51,RUC!$B$3:$B$110,RUC!$G$3:$G$110)</f>
        <v/>
      </c>
      <c r="Z51" s="69">
        <f t="array" ref="Z51">XLOOKUP(D51,RUC!$B$3:$B$110,RUC!$H$3:$H$110)</f>
        <v>30</v>
      </c>
      <c r="AA51" s="70">
        <f t="shared" si="6"/>
        <v>30</v>
      </c>
      <c r="AB51" s="71">
        <v>0.0</v>
      </c>
      <c r="AC51" s="71">
        <f>+(S51-T51)*V51-'data 1'!$F$4</f>
        <v>24.7185</v>
      </c>
      <c r="AD51" s="71">
        <f t="shared" si="7"/>
        <v>51.96147301</v>
      </c>
      <c r="AE51" s="71">
        <f t="shared" si="8"/>
        <v>-36.931</v>
      </c>
      <c r="AF51" s="71">
        <f t="shared" si="9"/>
        <v>79.09995996</v>
      </c>
      <c r="AG51" s="72">
        <f t="shared" ref="AG51:AG52" si="41">AC51+AD51+AE51+AF51+70-10</f>
        <v>178.848933</v>
      </c>
      <c r="AH51" s="193">
        <f t="shared" si="10"/>
        <v>13.59</v>
      </c>
      <c r="AI51" s="193">
        <f t="shared" si="11"/>
        <v>14.344</v>
      </c>
      <c r="AJ51" s="73">
        <f t="shared" si="12"/>
        <v>63.33982834</v>
      </c>
      <c r="AK51" s="73">
        <f t="shared" si="13"/>
        <v>8.75758524</v>
      </c>
      <c r="AM51" s="51">
        <f t="shared" si="14"/>
        <v>0</v>
      </c>
      <c r="AN51" s="51" t="str">
        <f t="array" ref="AN51">XLOOKUP(D51,RUC!$B$3:$B$565,RUC!$M$3:$M$565)</f>
        <v>Ronald Garibay</v>
      </c>
      <c r="AO51" s="131" t="s">
        <v>551</v>
      </c>
      <c r="AP51" s="57" t="s">
        <v>2736</v>
      </c>
      <c r="AQ51" s="57" t="s">
        <v>2737</v>
      </c>
    </row>
    <row r="52" ht="15.0" customHeight="1">
      <c r="A52" s="116" t="s">
        <v>2810</v>
      </c>
      <c r="B52" s="182">
        <v>46032.0</v>
      </c>
      <c r="C52" s="182">
        <v>46027.0</v>
      </c>
      <c r="D52" s="57" t="s">
        <v>306</v>
      </c>
      <c r="E52" s="3">
        <f t="array" ref="E52">XLOOKUP(D52,RUC!$B$3:$B$110,RUC!$D$3:$D$110)</f>
        <v>20612921866</v>
      </c>
      <c r="G52" s="141">
        <v>90.0</v>
      </c>
      <c r="H52" s="3" t="s">
        <v>47</v>
      </c>
      <c r="I52" s="6">
        <v>7.93</v>
      </c>
      <c r="J52" s="58">
        <v>1.1</v>
      </c>
      <c r="K52" s="6">
        <f t="shared" si="2"/>
        <v>7.843</v>
      </c>
      <c r="L52" s="139">
        <v>0.216</v>
      </c>
      <c r="M52" s="60">
        <f t="shared" ref="M52:M57" si="42">ROUND(+IF(AN52="Melchor Vera",IF(L52&gt;0.467,L52*0.985,(L52-0.007)),IF(L52&gt;0.3,L52*0.94,(L52-0.019))),3)</f>
        <v>0.197</v>
      </c>
      <c r="N52" s="62">
        <f t="shared" si="39"/>
        <v>0.197</v>
      </c>
      <c r="O52" s="60">
        <f t="shared" si="5"/>
        <v>0.197</v>
      </c>
      <c r="P52" s="63">
        <v>90.0</v>
      </c>
      <c r="Q52" s="58">
        <v>98.61</v>
      </c>
      <c r="R52" s="65">
        <v>4456.4</v>
      </c>
      <c r="S52" s="66">
        <f t="array" ref="S52">IF((XLOOKUP(D52,RUC!$B$3:$B$106,RUC!$E$3:$E$106)+ROUNDDOWN(O52,1)*100)&lt;95,95,((XLOOKUP(D52,RUC!$B$3:$B$106,RUC!$E$3:$E$106)+ROUNDDOWN(O52,1)*100)))</f>
        <v>95</v>
      </c>
      <c r="U52" s="67">
        <f t="array" ref="U52">XLOOKUP(D52,RUC!$B$3:$B$110,RUC!$F$3:$F$110)</f>
        <v>100</v>
      </c>
      <c r="V52" s="67">
        <v>1.1023</v>
      </c>
      <c r="Y52" s="57" t="str">
        <f t="array" ref="Y52">XLOOKUP(D52,RUC!$B$3:$B$110,RUC!$G$3:$G$110)</f>
        <v/>
      </c>
      <c r="Z52" s="69">
        <f t="array" ref="Z52">XLOOKUP(D52,RUC!$B$3:$B$110,RUC!$H$3:$H$110)</f>
        <v>30</v>
      </c>
      <c r="AA52" s="70">
        <f t="shared" si="6"/>
        <v>30</v>
      </c>
      <c r="AB52" s="71">
        <f t="shared" ref="AB52:AB88" si="43">+((O52*P52*(R52-U52)/100)-S52-AA52+T52)*V52</f>
        <v>713.6176884</v>
      </c>
      <c r="AC52" s="71">
        <f>+(S52-T52)*V52-'data 1'!$F$4</f>
        <v>24.7185</v>
      </c>
      <c r="AD52" s="71">
        <f t="shared" si="7"/>
        <v>89.30678585</v>
      </c>
      <c r="AE52" s="71">
        <f t="shared" si="8"/>
        <v>-36.931</v>
      </c>
      <c r="AF52" s="71">
        <f t="shared" si="9"/>
        <v>89.97091071</v>
      </c>
      <c r="AG52" s="72">
        <f t="shared" si="41"/>
        <v>227.0651966</v>
      </c>
      <c r="AH52" s="193">
        <f t="shared" si="10"/>
        <v>57.275</v>
      </c>
      <c r="AI52" s="193">
        <f t="shared" si="11"/>
        <v>58.082</v>
      </c>
      <c r="AJ52" s="73">
        <f t="shared" si="12"/>
        <v>152.5178005</v>
      </c>
      <c r="AK52" s="73">
        <f t="shared" si="13"/>
        <v>47.67602292</v>
      </c>
      <c r="AM52" s="51">
        <f t="shared" si="14"/>
        <v>5596.90353</v>
      </c>
      <c r="AN52" s="51" t="str">
        <f t="array" ref="AN52">XLOOKUP(D52,RUC!$B$3:$B$565,RUC!$M$3:$M$565)</f>
        <v>Ronald Garibay</v>
      </c>
      <c r="AO52" s="131" t="s">
        <v>551</v>
      </c>
      <c r="AP52" s="57" t="s">
        <v>2811</v>
      </c>
      <c r="AQ52" s="57" t="s">
        <v>2812</v>
      </c>
    </row>
    <row r="53" ht="15.0" customHeight="1">
      <c r="A53" s="116" t="s">
        <v>2813</v>
      </c>
      <c r="B53" s="182">
        <v>46038.0</v>
      </c>
      <c r="C53" s="182">
        <v>46028.0</v>
      </c>
      <c r="D53" s="57" t="s">
        <v>2814</v>
      </c>
      <c r="E53" s="3" t="str">
        <f t="array" ref="E53">XLOOKUP(D53,RUC!$B$3:$B$110,RUC!$D$3:$D$110)</f>
        <v>#N/A</v>
      </c>
      <c r="G53" s="141">
        <v>43.0</v>
      </c>
      <c r="H53" s="3" t="s">
        <v>40</v>
      </c>
      <c r="I53" s="6">
        <v>2.93</v>
      </c>
      <c r="J53" s="58">
        <v>1.1</v>
      </c>
      <c r="K53" s="6">
        <f t="shared" si="2"/>
        <v>2.898</v>
      </c>
      <c r="L53" s="139">
        <v>0.708</v>
      </c>
      <c r="M53" s="60" t="str">
        <f t="shared" si="42"/>
        <v>#N/A</v>
      </c>
      <c r="N53" s="62" t="str">
        <f t="shared" si="39"/>
        <v>#N/A</v>
      </c>
      <c r="O53" s="60" t="str">
        <f t="shared" si="5"/>
        <v>#N/A</v>
      </c>
      <c r="P53" s="63">
        <v>90.0</v>
      </c>
      <c r="Q53" s="58">
        <v>95.9</v>
      </c>
      <c r="R53" s="65">
        <v>4490.35</v>
      </c>
      <c r="S53" s="66" t="str">
        <f t="array" ref="S53">IF((XLOOKUP(D53,RUC!$B$3:$B$106,RUC!$E$3:$E$106)+ROUNDDOWN(O53,1)*100)&lt;95,95,((XLOOKUP(D53,RUC!$B$3:$B$106,RUC!$E$3:$E$106)+ROUNDDOWN(O53,1)*100)))</f>
        <v>#N/A</v>
      </c>
      <c r="U53" s="67" t="str">
        <f t="array" ref="U53">XLOOKUP(D53,RUC!$B$3:$B$110,RUC!$F$3:$F$110)</f>
        <v>#N/A</v>
      </c>
      <c r="V53" s="67">
        <v>1.1023</v>
      </c>
      <c r="Y53" s="199">
        <v>50.0</v>
      </c>
      <c r="Z53" s="69" t="str">
        <f t="array" ref="Z53">XLOOKUP(D53,RUC!$B$3:$B$110,RUC!$H$3:$H$110)</f>
        <v>#N/A</v>
      </c>
      <c r="AA53" s="70" t="str">
        <f t="shared" si="6"/>
        <v>#N/A</v>
      </c>
      <c r="AB53" s="7" t="str">
        <f t="shared" si="43"/>
        <v>#N/A</v>
      </c>
      <c r="AC53" s="71" t="str">
        <f>+(S53-T53)*V53-'data 1'!$F$4</f>
        <v>#N/A</v>
      </c>
      <c r="AD53" s="71" t="str">
        <f t="shared" si="7"/>
        <v>#N/A</v>
      </c>
      <c r="AE53" s="71" t="str">
        <f t="shared" si="8"/>
        <v>#N/A</v>
      </c>
      <c r="AF53" s="71" t="str">
        <f t="shared" si="9"/>
        <v>#N/A</v>
      </c>
      <c r="AG53" s="72" t="str">
        <f t="shared" ref="AG53:AG59" si="44">AC53+AD53+AE53+AF53+70-53</f>
        <v>#N/A</v>
      </c>
      <c r="AH53" s="193">
        <f t="shared" si="10"/>
        <v>67.462</v>
      </c>
      <c r="AI53" s="193">
        <f t="shared" si="11"/>
        <v>70.346</v>
      </c>
      <c r="AJ53" s="73" t="str">
        <f t="shared" si="12"/>
        <v>#N/A</v>
      </c>
      <c r="AK53" s="73" t="str">
        <f t="shared" si="13"/>
        <v>#N/A</v>
      </c>
      <c r="AM53" s="51" t="str">
        <f t="shared" si="14"/>
        <v>#N/A</v>
      </c>
      <c r="AN53" s="51" t="str">
        <f t="array" ref="AN53">XLOOKUP(D53,RUC!$B$3:$B$565,RUC!$M$3:$M$565)</f>
        <v>#N/A</v>
      </c>
      <c r="AO53" s="131" t="s">
        <v>547</v>
      </c>
      <c r="AP53" s="57" t="s">
        <v>2815</v>
      </c>
      <c r="AQ53" s="57" t="s">
        <v>2816</v>
      </c>
    </row>
    <row r="54" ht="15.0" customHeight="1">
      <c r="A54" s="116" t="s">
        <v>2817</v>
      </c>
      <c r="B54" s="182">
        <v>46044.0</v>
      </c>
      <c r="C54" s="182">
        <v>46028.0</v>
      </c>
      <c r="D54" s="57" t="s">
        <v>665</v>
      </c>
      <c r="E54" s="3">
        <f t="array" ref="E54">XLOOKUP(D54,RUC!$B$3:$B$110,RUC!$D$3:$D$110)</f>
        <v>20608774000</v>
      </c>
      <c r="G54" s="141">
        <v>75.0</v>
      </c>
      <c r="H54" s="3" t="s">
        <v>40</v>
      </c>
      <c r="I54" s="6">
        <v>5.38</v>
      </c>
      <c r="J54" s="58">
        <v>16.2</v>
      </c>
      <c r="K54" s="6">
        <f t="shared" si="2"/>
        <v>4.508</v>
      </c>
      <c r="L54" s="139">
        <v>0.159</v>
      </c>
      <c r="M54" s="60">
        <f t="shared" si="42"/>
        <v>0.14</v>
      </c>
      <c r="N54" s="62">
        <f t="shared" si="39"/>
        <v>0.14</v>
      </c>
      <c r="O54" s="60">
        <f t="shared" si="5"/>
        <v>0.14</v>
      </c>
      <c r="P54" s="63">
        <v>80.0</v>
      </c>
      <c r="Q54" s="140">
        <v>97.48</v>
      </c>
      <c r="R54" s="65">
        <v>4490.35</v>
      </c>
      <c r="S54" s="66">
        <f t="array" ref="S54">IF((XLOOKUP(D54,RUC!$B$3:$B$106,RUC!$E$3:$E$106)+ROUNDDOWN(O54,1)*100)&lt;95,95,((XLOOKUP(D54,RUC!$B$3:$B$106,RUC!$E$3:$E$106)+ROUNDDOWN(O54,1)*100)))</f>
        <v>95</v>
      </c>
      <c r="U54" s="67">
        <f t="array" ref="U54">XLOOKUP(D54,RUC!$B$3:$B$110,RUC!$F$3:$F$110)</f>
        <v>120</v>
      </c>
      <c r="V54" s="67">
        <v>1.1023</v>
      </c>
      <c r="Y54" s="199">
        <v>30.0</v>
      </c>
      <c r="Z54" s="140">
        <v>40.0</v>
      </c>
      <c r="AA54" s="70">
        <f t="shared" si="6"/>
        <v>70</v>
      </c>
      <c r="AB54" s="71">
        <f t="shared" si="43"/>
        <v>357.6734222</v>
      </c>
      <c r="AC54" s="71">
        <f>+(S54-T54)*V54-'data 1'!$F$4</f>
        <v>24.7185</v>
      </c>
      <c r="AD54" s="71">
        <f t="shared" si="7"/>
        <v>133.8919846</v>
      </c>
      <c r="AE54" s="71">
        <f t="shared" si="8"/>
        <v>7.161</v>
      </c>
      <c r="AF54" s="71">
        <f t="shared" si="9"/>
        <v>89.22471055</v>
      </c>
      <c r="AG54" s="72">
        <f t="shared" si="44"/>
        <v>271.9961952</v>
      </c>
      <c r="AH54" s="193">
        <f t="shared" si="10"/>
        <v>23.956</v>
      </c>
      <c r="AI54" s="193">
        <f t="shared" si="11"/>
        <v>24.575</v>
      </c>
      <c r="AJ54" s="73">
        <f t="shared" si="12"/>
        <v>108.6001696</v>
      </c>
      <c r="AK54" s="73">
        <f t="shared" si="13"/>
        <v>17.31055528</v>
      </c>
      <c r="AM54" s="51">
        <f t="shared" si="14"/>
        <v>1612.391787</v>
      </c>
      <c r="AN54" s="51" t="str">
        <f t="array" ref="AN54">XLOOKUP(D54,RUC!$B$3:$B$565,RUC!$M$3:$M$565)</f>
        <v>Ronald Miranda</v>
      </c>
      <c r="AO54" s="131" t="s">
        <v>547</v>
      </c>
      <c r="AP54" s="57" t="s">
        <v>2818</v>
      </c>
      <c r="AQ54" s="57" t="s">
        <v>930</v>
      </c>
    </row>
    <row r="55" ht="15.0" customHeight="1">
      <c r="A55" s="116" t="s">
        <v>2819</v>
      </c>
      <c r="B55" s="182">
        <v>46044.0</v>
      </c>
      <c r="C55" s="182">
        <v>46028.0</v>
      </c>
      <c r="D55" s="57" t="s">
        <v>665</v>
      </c>
      <c r="E55" s="3">
        <f t="array" ref="E55">XLOOKUP(D55,RUC!$B$3:$B$110,RUC!$D$3:$D$110)</f>
        <v>20608774000</v>
      </c>
      <c r="G55" s="141">
        <v>70.0</v>
      </c>
      <c r="H55" s="3" t="s">
        <v>40</v>
      </c>
      <c r="I55" s="6">
        <v>4.95</v>
      </c>
      <c r="J55" s="58">
        <v>15.6</v>
      </c>
      <c r="K55" s="6">
        <f t="shared" si="2"/>
        <v>4.178</v>
      </c>
      <c r="L55" s="139">
        <v>0.121</v>
      </c>
      <c r="M55" s="60">
        <f t="shared" si="42"/>
        <v>0.102</v>
      </c>
      <c r="N55" s="75">
        <v>0.177</v>
      </c>
      <c r="O55" s="60">
        <f t="shared" si="5"/>
        <v>0.14</v>
      </c>
      <c r="P55" s="63">
        <v>80.0</v>
      </c>
      <c r="Q55" s="58">
        <v>95.04</v>
      </c>
      <c r="R55" s="65">
        <v>4490.35</v>
      </c>
      <c r="S55" s="66">
        <f t="array" ref="S55">IF((XLOOKUP(D55,RUC!$B$3:$B$106,RUC!$E$3:$E$106)+ROUNDDOWN(O55,1)*100)&lt;95,95,((XLOOKUP(D55,RUC!$B$3:$B$106,RUC!$E$3:$E$106)+ROUNDDOWN(O55,1)*100)))</f>
        <v>95</v>
      </c>
      <c r="U55" s="67">
        <f t="array" ref="U55">XLOOKUP(D55,RUC!$B$3:$B$110,RUC!$F$3:$F$110)</f>
        <v>120</v>
      </c>
      <c r="V55" s="67">
        <v>1.1023</v>
      </c>
      <c r="Y55" s="199">
        <v>30.0</v>
      </c>
      <c r="Z55" s="140">
        <v>40.0</v>
      </c>
      <c r="AA55" s="70">
        <f t="shared" si="6"/>
        <v>70</v>
      </c>
      <c r="AB55" s="71">
        <f t="shared" si="43"/>
        <v>357.6734222</v>
      </c>
      <c r="AC55" s="71">
        <f>+(S55-T55)*V55-'data 1'!$F$4</f>
        <v>24.7185</v>
      </c>
      <c r="AD55" s="71">
        <f t="shared" si="7"/>
        <v>87.66964195</v>
      </c>
      <c r="AE55" s="71">
        <f t="shared" si="8"/>
        <v>7.161</v>
      </c>
      <c r="AF55" s="71">
        <f t="shared" si="9"/>
        <v>-86.99134685</v>
      </c>
      <c r="AG55" s="72">
        <f t="shared" si="44"/>
        <v>49.5577951</v>
      </c>
      <c r="AH55" s="193">
        <f t="shared" si="10"/>
        <v>16.473</v>
      </c>
      <c r="AI55" s="193">
        <f t="shared" si="11"/>
        <v>17.333</v>
      </c>
      <c r="AJ55" s="73">
        <f t="shared" si="12"/>
        <v>80.57673334</v>
      </c>
      <c r="AK55" s="73">
        <f t="shared" si="13"/>
        <v>16.04336734</v>
      </c>
      <c r="AM55" s="51">
        <f t="shared" si="14"/>
        <v>1494.359558</v>
      </c>
      <c r="AN55" s="51" t="str">
        <f t="array" ref="AN55">XLOOKUP(D55,RUC!$B$3:$B$565,RUC!$M$3:$M$565)</f>
        <v>Ronald Miranda</v>
      </c>
      <c r="AO55" s="131" t="s">
        <v>547</v>
      </c>
      <c r="AP55" s="57" t="s">
        <v>2818</v>
      </c>
      <c r="AQ55" s="57" t="s">
        <v>930</v>
      </c>
    </row>
    <row r="56" ht="15.0" customHeight="1">
      <c r="A56" s="116" t="s">
        <v>2820</v>
      </c>
      <c r="B56" s="182">
        <v>46044.0</v>
      </c>
      <c r="C56" s="182">
        <v>46028.0</v>
      </c>
      <c r="D56" s="57" t="s">
        <v>665</v>
      </c>
      <c r="E56" s="3">
        <f t="array" ref="E56">XLOOKUP(D56,RUC!$B$3:$B$110,RUC!$D$3:$D$110)</f>
        <v>20608774000</v>
      </c>
      <c r="G56" s="141">
        <v>70.0</v>
      </c>
      <c r="H56" s="3" t="s">
        <v>40</v>
      </c>
      <c r="I56" s="6">
        <v>5.38</v>
      </c>
      <c r="J56" s="58">
        <v>16.9</v>
      </c>
      <c r="K56" s="6">
        <f t="shared" si="2"/>
        <v>4.471</v>
      </c>
      <c r="L56" s="139">
        <v>0.172</v>
      </c>
      <c r="M56" s="60">
        <f t="shared" si="42"/>
        <v>0.153</v>
      </c>
      <c r="N56" s="62">
        <f t="shared" ref="N56:N110" si="45">+M56</f>
        <v>0.153</v>
      </c>
      <c r="O56" s="60">
        <f t="shared" si="5"/>
        <v>0.153</v>
      </c>
      <c r="P56" s="63">
        <v>80.0</v>
      </c>
      <c r="Q56" s="58">
        <v>97.66</v>
      </c>
      <c r="R56" s="65">
        <v>4490.35</v>
      </c>
      <c r="S56" s="66">
        <f t="array" ref="S56">IF((XLOOKUP(D56,RUC!$B$3:$B$106,RUC!$E$3:$E$106)+ROUNDDOWN(O56,1)*100)&lt;95,95,((XLOOKUP(D56,RUC!$B$3:$B$106,RUC!$E$3:$E$106)+ROUNDDOWN(O56,1)*100)))</f>
        <v>95</v>
      </c>
      <c r="U56" s="67">
        <f t="array" ref="U56">XLOOKUP(D56,RUC!$B$3:$B$110,RUC!$F$3:$F$110)</f>
        <v>120</v>
      </c>
      <c r="V56" s="67">
        <v>1.1023</v>
      </c>
      <c r="Y56" s="199">
        <v>30.0</v>
      </c>
      <c r="Z56" s="140">
        <v>40.0</v>
      </c>
      <c r="AA56" s="70">
        <f t="shared" si="6"/>
        <v>70</v>
      </c>
      <c r="AB56" s="71">
        <f t="shared" si="43"/>
        <v>407.7747649</v>
      </c>
      <c r="AC56" s="71">
        <f>+(S56-T56)*V56-'data 1'!$F$4</f>
        <v>24.7185</v>
      </c>
      <c r="AD56" s="71">
        <f t="shared" si="7"/>
        <v>146.3306064</v>
      </c>
      <c r="AE56" s="71">
        <f t="shared" si="8"/>
        <v>7.161</v>
      </c>
      <c r="AF56" s="71">
        <f t="shared" si="9"/>
        <v>89.38946689</v>
      </c>
      <c r="AG56" s="72">
        <f t="shared" si="44"/>
        <v>284.5995733</v>
      </c>
      <c r="AH56" s="193">
        <f t="shared" si="10"/>
        <v>25.749</v>
      </c>
      <c r="AI56" s="193">
        <f t="shared" si="11"/>
        <v>26.366</v>
      </c>
      <c r="AJ56" s="73">
        <f t="shared" si="12"/>
        <v>117.6963584</v>
      </c>
      <c r="AK56" s="73">
        <f t="shared" si="13"/>
        <v>18.76269232</v>
      </c>
      <c r="AM56" s="51">
        <f t="shared" si="14"/>
        <v>1823.160974</v>
      </c>
      <c r="AN56" s="51" t="str">
        <f t="array" ref="AN56">XLOOKUP(D56,RUC!$B$3:$B$565,RUC!$M$3:$M$565)</f>
        <v>Ronald Miranda</v>
      </c>
      <c r="AO56" s="131" t="s">
        <v>547</v>
      </c>
      <c r="AP56" s="57" t="s">
        <v>2818</v>
      </c>
      <c r="AQ56" s="57" t="s">
        <v>930</v>
      </c>
    </row>
    <row r="57" ht="15.0" customHeight="1">
      <c r="A57" s="116" t="s">
        <v>2821</v>
      </c>
      <c r="B57" s="182">
        <v>46044.0</v>
      </c>
      <c r="C57" s="182">
        <v>46028.0</v>
      </c>
      <c r="D57" s="57" t="s">
        <v>665</v>
      </c>
      <c r="E57" s="3">
        <f t="array" ref="E57">XLOOKUP(D57,RUC!$B$3:$B$110,RUC!$D$3:$D$110)</f>
        <v>20608774000</v>
      </c>
      <c r="G57" s="141">
        <v>70.0</v>
      </c>
      <c r="H57" s="3" t="s">
        <v>40</v>
      </c>
      <c r="I57" s="6">
        <v>5.42</v>
      </c>
      <c r="J57" s="58">
        <v>17.1</v>
      </c>
      <c r="K57" s="6">
        <f t="shared" si="2"/>
        <v>4.493</v>
      </c>
      <c r="L57" s="139">
        <v>0.166</v>
      </c>
      <c r="M57" s="60">
        <f t="shared" si="42"/>
        <v>0.147</v>
      </c>
      <c r="N57" s="62">
        <f t="shared" si="45"/>
        <v>0.147</v>
      </c>
      <c r="O57" s="60">
        <f t="shared" si="5"/>
        <v>0.147</v>
      </c>
      <c r="P57" s="63">
        <v>80.0</v>
      </c>
      <c r="Q57" s="58">
        <v>98.19</v>
      </c>
      <c r="R57" s="65">
        <v>4490.35</v>
      </c>
      <c r="S57" s="66">
        <f t="array" ref="S57">IF((XLOOKUP(D57,RUC!$B$3:$B$106,RUC!$E$3:$E$106)+ROUNDDOWN(O57,1)*100)&lt;95,95,((XLOOKUP(D57,RUC!$B$3:$B$106,RUC!$E$3:$E$106)+ROUNDDOWN(O57,1)*100)))</f>
        <v>95</v>
      </c>
      <c r="U57" s="67">
        <f t="array" ref="U57">XLOOKUP(D57,RUC!$B$3:$B$110,RUC!$F$3:$F$110)</f>
        <v>120</v>
      </c>
      <c r="V57" s="67">
        <v>1.1023</v>
      </c>
      <c r="Y57" s="199">
        <v>30.0</v>
      </c>
      <c r="Z57" s="140">
        <v>40.0</v>
      </c>
      <c r="AA57" s="70">
        <f t="shared" si="6"/>
        <v>70</v>
      </c>
      <c r="AB57" s="71">
        <f t="shared" si="43"/>
        <v>384.6510683</v>
      </c>
      <c r="AC57" s="71">
        <f>+(S57-T57)*V57-'data 1'!$F$4</f>
        <v>24.7185</v>
      </c>
      <c r="AD57" s="71">
        <f t="shared" si="7"/>
        <v>145.4644313</v>
      </c>
      <c r="AE57" s="71">
        <f t="shared" si="8"/>
        <v>7.161</v>
      </c>
      <c r="AF57" s="71">
        <f t="shared" si="9"/>
        <v>89.87458278</v>
      </c>
      <c r="AG57" s="72">
        <f t="shared" si="44"/>
        <v>284.2185141</v>
      </c>
      <c r="AH57" s="193">
        <f t="shared" si="10"/>
        <v>25.109</v>
      </c>
      <c r="AI57" s="193">
        <f t="shared" si="11"/>
        <v>25.571</v>
      </c>
      <c r="AJ57" s="73">
        <f t="shared" si="12"/>
        <v>114.2071271</v>
      </c>
      <c r="AK57" s="73">
        <f t="shared" si="13"/>
        <v>18.11560362</v>
      </c>
      <c r="AM57" s="51">
        <f t="shared" si="14"/>
        <v>1728.23725</v>
      </c>
      <c r="AN57" s="51" t="str">
        <f t="array" ref="AN57">XLOOKUP(D57,RUC!$B$3:$B$565,RUC!$M$3:$M$565)</f>
        <v>Ronald Miranda</v>
      </c>
      <c r="AO57" s="131" t="s">
        <v>547</v>
      </c>
      <c r="AP57" s="57" t="s">
        <v>2818</v>
      </c>
      <c r="AQ57" s="57" t="s">
        <v>930</v>
      </c>
    </row>
    <row r="58" ht="15.0" customHeight="1">
      <c r="A58" s="116" t="s">
        <v>2822</v>
      </c>
      <c r="B58" s="182">
        <v>46034.0</v>
      </c>
      <c r="C58" s="182">
        <v>46029.0</v>
      </c>
      <c r="D58" s="57" t="s">
        <v>806</v>
      </c>
      <c r="E58" s="3">
        <f t="array" ref="E58">XLOOKUP(D58,RUC!$B$3:$B$110,RUC!$D$3:$D$110)</f>
        <v>20614284740</v>
      </c>
      <c r="G58" s="141">
        <v>27.0</v>
      </c>
      <c r="H58" s="3" t="s">
        <v>47</v>
      </c>
      <c r="I58" s="6">
        <v>2.14</v>
      </c>
      <c r="J58" s="58">
        <v>1.1</v>
      </c>
      <c r="K58" s="6">
        <f t="shared" si="2"/>
        <v>2.116</v>
      </c>
      <c r="L58" s="139">
        <v>0.142</v>
      </c>
      <c r="M58" s="60">
        <v>0.122</v>
      </c>
      <c r="N58" s="62">
        <f t="shared" si="45"/>
        <v>0.122</v>
      </c>
      <c r="O58" s="61">
        <v>0.143</v>
      </c>
      <c r="P58" s="63">
        <v>80.0</v>
      </c>
      <c r="Q58" s="58">
        <v>95.04</v>
      </c>
      <c r="R58" s="65">
        <v>4438.0</v>
      </c>
      <c r="S58" s="66">
        <f t="array" ref="S58">IF((XLOOKUP(D58,RUC!$B$3:$B$106,RUC!$E$3:$E$106)+ROUNDDOWN(O58,1)*100)&lt;95,95,((XLOOKUP(D58,RUC!$B$3:$B$106,RUC!$E$3:$E$106)+ROUNDDOWN(O58,1)*100)))</f>
        <v>100</v>
      </c>
      <c r="U58" s="67">
        <f t="array" ref="U58">XLOOKUP(D58,RUC!$B$3:$B$110,RUC!$F$3:$F$110)</f>
        <v>120</v>
      </c>
      <c r="V58" s="67">
        <v>1.1023</v>
      </c>
      <c r="Y58" s="57">
        <f t="array" ref="Y58">XLOOKUP(D58,RUC!$B$3:$B$110,RUC!$G$3:$G$110)</f>
        <v>20</v>
      </c>
      <c r="Z58" s="69">
        <f t="array" ref="Z58">XLOOKUP(D58,RUC!$B$3:$B$110,RUC!$H$3:$H$110)</f>
        <v>30</v>
      </c>
      <c r="AA58" s="70">
        <f t="shared" si="6"/>
        <v>50</v>
      </c>
      <c r="AB58" s="71">
        <f t="shared" si="43"/>
        <v>379.1682722</v>
      </c>
      <c r="AC58" s="71">
        <f>+(S58-T58)*V58-'data 1'!$F$4</f>
        <v>30.23</v>
      </c>
      <c r="AD58" s="71">
        <f t="shared" si="7"/>
        <v>101.6526316</v>
      </c>
      <c r="AE58" s="71">
        <f t="shared" si="8"/>
        <v>-14.885</v>
      </c>
      <c r="AF58" s="71">
        <f t="shared" si="9"/>
        <v>-4.523648723</v>
      </c>
      <c r="AG58" s="72">
        <f t="shared" si="44"/>
        <v>129.4739828</v>
      </c>
      <c r="AH58" s="193">
        <f t="shared" si="10"/>
        <v>9.791</v>
      </c>
      <c r="AI58" s="193">
        <f t="shared" si="11"/>
        <v>10.302</v>
      </c>
      <c r="AJ58" s="73">
        <f t="shared" si="12"/>
        <v>102.3488619</v>
      </c>
      <c r="AK58" s="73">
        <f t="shared" si="13"/>
        <v>8.299477599</v>
      </c>
      <c r="AM58" s="51">
        <f t="shared" si="14"/>
        <v>802.3200639</v>
      </c>
      <c r="AN58" s="51" t="str">
        <f t="array" ref="AN58">XLOOKUP(D58,RUC!$B$3:$B$565,RUC!$M$3:$M$565)</f>
        <v>Dante </v>
      </c>
      <c r="AO58" s="131" t="s">
        <v>551</v>
      </c>
      <c r="AP58" s="57" t="s">
        <v>2033</v>
      </c>
      <c r="AQ58" s="57" t="s">
        <v>2823</v>
      </c>
      <c r="AR58" s="2" t="s">
        <v>2824</v>
      </c>
    </row>
    <row r="59" ht="15.0" customHeight="1">
      <c r="A59" s="116" t="s">
        <v>2825</v>
      </c>
      <c r="B59" s="182">
        <v>46034.0</v>
      </c>
      <c r="C59" s="182">
        <v>46029.0</v>
      </c>
      <c r="D59" s="57" t="s">
        <v>806</v>
      </c>
      <c r="E59" s="3">
        <f t="array" ref="E59">XLOOKUP(D59,RUC!$B$3:$B$110,RUC!$D$3:$D$110)</f>
        <v>20614284740</v>
      </c>
      <c r="G59" s="141">
        <v>41.0</v>
      </c>
      <c r="H59" s="3" t="s">
        <v>47</v>
      </c>
      <c r="I59" s="6">
        <v>3.65</v>
      </c>
      <c r="J59" s="58">
        <v>2.1</v>
      </c>
      <c r="K59" s="6">
        <f t="shared" si="2"/>
        <v>3.573</v>
      </c>
      <c r="L59" s="139">
        <v>0.173</v>
      </c>
      <c r="M59" s="60">
        <v>0.154</v>
      </c>
      <c r="N59" s="62">
        <f t="shared" si="45"/>
        <v>0.154</v>
      </c>
      <c r="O59" s="61">
        <v>0.158</v>
      </c>
      <c r="P59" s="63">
        <v>85.0</v>
      </c>
      <c r="Q59" s="58">
        <v>98.27</v>
      </c>
      <c r="R59" s="65">
        <v>4438.0</v>
      </c>
      <c r="S59" s="66">
        <f t="array" ref="S59">IF((XLOOKUP(D59,RUC!$B$3:$B$106,RUC!$E$3:$E$106)+ROUNDDOWN(O59,1)*100)&lt;95,95,((XLOOKUP(D59,RUC!$B$3:$B$106,RUC!$E$3:$E$106)+ROUNDDOWN(O59,1)*100)))</f>
        <v>100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69">
        <f t="array" ref="Z59">XLOOKUP(D59,RUC!$B$3:$B$110,RUC!$H$3:$H$110)</f>
        <v>30</v>
      </c>
      <c r="AA59" s="70">
        <f t="shared" si="6"/>
        <v>50</v>
      </c>
      <c r="AB59" s="71">
        <f t="shared" si="43"/>
        <v>473.886927</v>
      </c>
      <c r="AC59" s="71">
        <f>+(S59-T59)*V59-'data 1'!$F$4</f>
        <v>30.23</v>
      </c>
      <c r="AD59" s="71">
        <f t="shared" si="7"/>
        <v>109.2696297</v>
      </c>
      <c r="AE59" s="71">
        <f t="shared" si="8"/>
        <v>-14.885</v>
      </c>
      <c r="AF59" s="71">
        <f t="shared" si="9"/>
        <v>70.1608207</v>
      </c>
      <c r="AG59" s="72">
        <f t="shared" si="44"/>
        <v>211.7754504</v>
      </c>
      <c r="AH59" s="193">
        <f t="shared" si="10"/>
        <v>20.826</v>
      </c>
      <c r="AI59" s="193">
        <f t="shared" si="11"/>
        <v>21.193</v>
      </c>
      <c r="AJ59" s="73">
        <f t="shared" si="12"/>
        <v>128.9303925</v>
      </c>
      <c r="AK59" s="73">
        <f t="shared" si="13"/>
        <v>16.45197717</v>
      </c>
      <c r="AM59" s="51">
        <f t="shared" si="14"/>
        <v>1693.19799</v>
      </c>
      <c r="AN59" s="51" t="str">
        <f t="array" ref="AN59">XLOOKUP(D59,RUC!$B$3:$B$565,RUC!$M$3:$M$565)</f>
        <v>Dante </v>
      </c>
      <c r="AO59" s="131" t="s">
        <v>551</v>
      </c>
      <c r="AP59" s="57" t="s">
        <v>2033</v>
      </c>
      <c r="AQ59" s="57" t="s">
        <v>2823</v>
      </c>
      <c r="AR59" s="2"/>
    </row>
    <row r="60" ht="15.0" customHeight="1">
      <c r="A60" s="116" t="s">
        <v>2826</v>
      </c>
      <c r="B60" s="182">
        <v>46036.0</v>
      </c>
      <c r="C60" s="182">
        <v>46029.0</v>
      </c>
      <c r="D60" s="57" t="s">
        <v>74</v>
      </c>
      <c r="E60" s="3">
        <f t="array" ref="E60">XLOOKUP(D60,RUC!$B$3:$B$110,RUC!$D$3:$D$110)</f>
        <v>10082235774</v>
      </c>
      <c r="G60" s="141">
        <v>49.0</v>
      </c>
      <c r="H60" s="3" t="s">
        <v>47</v>
      </c>
      <c r="I60" s="6">
        <v>4.62</v>
      </c>
      <c r="J60" s="58">
        <v>1.6</v>
      </c>
      <c r="K60" s="6">
        <f t="shared" si="2"/>
        <v>4.546</v>
      </c>
      <c r="L60" s="139">
        <v>0.186</v>
      </c>
      <c r="M60" s="60">
        <f t="shared" ref="M60:M110" si="46">ROUND(+IF(AN60="Melchor Vera",IF(L60&gt;0.467,L60*0.985,(L60-0.007)),IF(L60&gt;0.3,L60*0.94,(L60-0.019))),3)</f>
        <v>0.179</v>
      </c>
      <c r="N60" s="62">
        <f t="shared" si="45"/>
        <v>0.179</v>
      </c>
      <c r="O60" s="60">
        <f t="shared" ref="O60:O110" si="47">+ROUND((M60+N60)/2,3)</f>
        <v>0.179</v>
      </c>
      <c r="P60" s="63">
        <v>85.0</v>
      </c>
      <c r="Q60" s="58">
        <v>93.01</v>
      </c>
      <c r="R60" s="65">
        <v>4438.0</v>
      </c>
      <c r="S60" s="133">
        <f t="array" ref="S60">IF((XLOOKUP(D60,RUC!$B$3:$B$106,RUC!$E$3:$E$106)+ROUNDDOWN(O60,1)*100)&lt;95,95,((XLOOKUP(D60,RUC!$B$3:$B$106,RUC!$E$3:$E$106)+ROUNDDOWN(O60,1)*100)))</f>
        <v>95</v>
      </c>
      <c r="U60" s="2">
        <f t="array" ref="U60">XLOOKUP(D60,RUC!$B$3:$B$110,RUC!$F$3:$F$110)</f>
        <v>80</v>
      </c>
      <c r="V60" s="67">
        <v>1.1023</v>
      </c>
      <c r="Y60" s="57" t="str">
        <f t="array" ref="Y60">XLOOKUP(D60,RUC!$B$3:$B$110,RUC!$G$3:$G$110)</f>
        <v/>
      </c>
      <c r="Z60" s="69">
        <f t="array" ref="Z60">XLOOKUP(D60,RUC!$B$3:$B$110,RUC!$H$3:$H$110)</f>
        <v>10</v>
      </c>
      <c r="AA60" s="70">
        <f t="shared" si="6"/>
        <v>10</v>
      </c>
      <c r="AB60" s="71">
        <f t="shared" si="43"/>
        <v>615.1602303</v>
      </c>
      <c r="AC60" s="71">
        <f>+(S60-T60)*V60-'data 1'!$F$4</f>
        <v>24.7185</v>
      </c>
      <c r="AD60" s="71">
        <f t="shared" si="7"/>
        <v>71.57024331</v>
      </c>
      <c r="AE60" s="71">
        <f t="shared" si="8"/>
        <v>-58.977</v>
      </c>
      <c r="AF60" s="71">
        <f t="shared" si="9"/>
        <v>31.27625301</v>
      </c>
      <c r="AG60" s="72">
        <f>AC60+AD60+AE60+AF60+70</f>
        <v>138.5879963</v>
      </c>
      <c r="AH60" s="193">
        <f t="shared" si="10"/>
        <v>26.964</v>
      </c>
      <c r="AI60" s="193">
        <f t="shared" si="11"/>
        <v>28.99</v>
      </c>
      <c r="AJ60" s="73">
        <f t="shared" si="12"/>
        <v>123.5712392</v>
      </c>
      <c r="AK60" s="73">
        <f t="shared" si="13"/>
        <v>23.71430807</v>
      </c>
      <c r="AM60" s="51">
        <f t="shared" si="14"/>
        <v>2796.518407</v>
      </c>
      <c r="AN60" s="51" t="str">
        <f t="array" ref="AN60">XLOOKUP(D60,RUC!$B$3:$B$565,RUC!$M$3:$M$565)</f>
        <v>Melchor Vera</v>
      </c>
      <c r="AO60" s="131" t="s">
        <v>547</v>
      </c>
      <c r="AP60" s="57" t="s">
        <v>2827</v>
      </c>
      <c r="AQ60" s="57" t="s">
        <v>667</v>
      </c>
    </row>
    <row r="61" ht="15.0" customHeight="1">
      <c r="A61" s="116" t="s">
        <v>2828</v>
      </c>
      <c r="B61" s="182">
        <v>46037.0</v>
      </c>
      <c r="C61" s="182">
        <v>46030.0</v>
      </c>
      <c r="D61" s="57" t="s">
        <v>2222</v>
      </c>
      <c r="E61" s="3" t="str">
        <f t="array" ref="E61">XLOOKUP(D61,RUC!$B$3:$B$110,RUC!$D$3:$D$110)</f>
        <v>20601769396*</v>
      </c>
      <c r="G61" s="141">
        <v>47.0</v>
      </c>
      <c r="H61" s="3" t="s">
        <v>40</v>
      </c>
      <c r="I61" s="6">
        <v>1.52</v>
      </c>
      <c r="J61" s="58">
        <v>15.5</v>
      </c>
      <c r="K61" s="6">
        <f t="shared" si="2"/>
        <v>1.284</v>
      </c>
      <c r="L61" s="139">
        <v>0.615</v>
      </c>
      <c r="M61" s="60">
        <f t="shared" si="46"/>
        <v>0.578</v>
      </c>
      <c r="N61" s="62">
        <f t="shared" si="45"/>
        <v>0.578</v>
      </c>
      <c r="O61" s="60">
        <f t="shared" si="47"/>
        <v>0.578</v>
      </c>
      <c r="P61" s="63">
        <v>90.0</v>
      </c>
      <c r="Q61" s="58">
        <v>97.89</v>
      </c>
      <c r="R61" s="65">
        <v>4429.35</v>
      </c>
      <c r="S61" s="66">
        <f t="array" ref="S61">IF((XLOOKUP(D61,RUC!$B$3:$B$106,RUC!$E$3:$E$106)+ROUNDDOWN(O61,1)*100)&lt;95,95,((XLOOKUP(D61,RUC!$B$3:$B$106,RUC!$E$3:$E$106)+ROUNDDOWN(O61,1)*100)))</f>
        <v>140</v>
      </c>
      <c r="U61" s="67">
        <f t="array" ref="U61">XLOOKUP(D61,RUC!$B$3:$B$110,RUC!$F$3:$F$110)</f>
        <v>120</v>
      </c>
      <c r="V61" s="67">
        <v>1.1023</v>
      </c>
      <c r="Y61" s="199">
        <v>30.0</v>
      </c>
      <c r="Z61" s="140">
        <v>40.0</v>
      </c>
      <c r="AA61" s="70">
        <f t="shared" si="6"/>
        <v>70</v>
      </c>
      <c r="AB61" s="71">
        <f t="shared" si="43"/>
        <v>2239.569222</v>
      </c>
      <c r="AC61" s="71">
        <f>+(S61-T61)*V61-'data 1'!$F$4</f>
        <v>74.322</v>
      </c>
      <c r="AD61" s="71">
        <f t="shared" si="7"/>
        <v>230.4961601</v>
      </c>
      <c r="AE61" s="71">
        <f t="shared" si="8"/>
        <v>7.161</v>
      </c>
      <c r="AF61" s="71">
        <f t="shared" si="9"/>
        <v>172.0487923</v>
      </c>
      <c r="AG61" s="72">
        <f t="shared" ref="AG61:AG88" si="48">AC61+AD61+AE61+AF61+70-53</f>
        <v>501.0279524</v>
      </c>
      <c r="AH61" s="193">
        <f t="shared" si="10"/>
        <v>26.503</v>
      </c>
      <c r="AI61" s="193">
        <f t="shared" si="11"/>
        <v>27.074</v>
      </c>
      <c r="AJ61" s="73">
        <f t="shared" si="12"/>
        <v>462.3042576</v>
      </c>
      <c r="AK61" s="73">
        <f t="shared" si="13"/>
        <v>22.90047238</v>
      </c>
      <c r="AM61" s="51">
        <f t="shared" si="14"/>
        <v>2875.606881</v>
      </c>
      <c r="AN61" s="51" t="str">
        <f t="array" ref="AN61">XLOOKUP(D61,RUC!$B$3:$B$565,RUC!$M$3:$M$565)</f>
        <v>Zudaire</v>
      </c>
      <c r="AO61" s="131" t="s">
        <v>558</v>
      </c>
      <c r="AP61" s="57" t="s">
        <v>2829</v>
      </c>
      <c r="AQ61" s="57" t="s">
        <v>815</v>
      </c>
    </row>
    <row r="62" ht="15.0" customHeight="1">
      <c r="A62" s="116" t="s">
        <v>2830</v>
      </c>
      <c r="B62" s="182">
        <v>46037.0</v>
      </c>
      <c r="C62" s="182">
        <v>46030.0</v>
      </c>
      <c r="D62" s="57" t="s">
        <v>2222</v>
      </c>
      <c r="E62" s="3" t="str">
        <f t="array" ref="E62">XLOOKUP(D62,RUC!$B$3:$B$110,RUC!$D$3:$D$110)</f>
        <v>20601769396*</v>
      </c>
      <c r="G62" s="141">
        <v>243.0</v>
      </c>
      <c r="H62" s="3" t="s">
        <v>40</v>
      </c>
      <c r="I62" s="6">
        <v>6.85</v>
      </c>
      <c r="J62" s="58">
        <v>19.5</v>
      </c>
      <c r="K62" s="6">
        <f t="shared" si="2"/>
        <v>5.514</v>
      </c>
      <c r="L62" s="139">
        <v>0.191</v>
      </c>
      <c r="M62" s="60">
        <f t="shared" si="46"/>
        <v>0.172</v>
      </c>
      <c r="N62" s="62">
        <f t="shared" si="45"/>
        <v>0.172</v>
      </c>
      <c r="O62" s="60">
        <f t="shared" si="47"/>
        <v>0.172</v>
      </c>
      <c r="P62" s="63">
        <v>85.0</v>
      </c>
      <c r="Q62" s="58">
        <v>87.96</v>
      </c>
      <c r="R62" s="65">
        <v>4429.35</v>
      </c>
      <c r="S62" s="66">
        <f t="array" ref="S62">IF((XLOOKUP(D62,RUC!$B$3:$B$106,RUC!$E$3:$E$106)+ROUNDDOWN(O62,1)*100)&lt;95,95,((XLOOKUP(D62,RUC!$B$3:$B$106,RUC!$E$3:$E$106)+ROUNDDOWN(O62,1)*100)))</f>
        <v>100</v>
      </c>
      <c r="U62" s="67">
        <f t="array" ref="U62">XLOOKUP(D62,RUC!$B$3:$B$110,RUC!$F$3:$F$110)</f>
        <v>120</v>
      </c>
      <c r="V62" s="67">
        <v>1.1023</v>
      </c>
      <c r="Y62" s="199">
        <v>30.0</v>
      </c>
      <c r="Z62" s="140">
        <v>40.0</v>
      </c>
      <c r="AA62" s="70">
        <f t="shared" si="6"/>
        <v>70</v>
      </c>
      <c r="AB62" s="71">
        <f t="shared" si="43"/>
        <v>507.087729</v>
      </c>
      <c r="AC62" s="71">
        <f>+(S62-T62)*V62-'data 1'!$F$4</f>
        <v>30.23</v>
      </c>
      <c r="AD62" s="71">
        <f t="shared" si="7"/>
        <v>26.85571096</v>
      </c>
      <c r="AE62" s="71">
        <f t="shared" si="8"/>
        <v>7.161</v>
      </c>
      <c r="AF62" s="71">
        <f t="shared" si="9"/>
        <v>79.38718407</v>
      </c>
      <c r="AG62" s="72">
        <f t="shared" si="48"/>
        <v>160.633895</v>
      </c>
      <c r="AH62" s="193">
        <f t="shared" si="10"/>
        <v>31.761</v>
      </c>
      <c r="AI62" s="193">
        <f t="shared" si="11"/>
        <v>36.108</v>
      </c>
      <c r="AJ62" s="73">
        <f t="shared" si="12"/>
        <v>129.0128701</v>
      </c>
      <c r="AK62" s="73">
        <f t="shared" si="13"/>
        <v>27.63905586</v>
      </c>
      <c r="AM62" s="51">
        <f t="shared" si="14"/>
        <v>2796.081738</v>
      </c>
      <c r="AN62" s="51" t="str">
        <f t="array" ref="AN62">XLOOKUP(D62,RUC!$B$3:$B$565,RUC!$M$3:$M$565)</f>
        <v>Zudaire</v>
      </c>
      <c r="AO62" s="131" t="s">
        <v>558</v>
      </c>
      <c r="AP62" s="57" t="s">
        <v>2829</v>
      </c>
      <c r="AQ62" s="57" t="s">
        <v>815</v>
      </c>
    </row>
    <row r="63" ht="15.0" customHeight="1">
      <c r="A63" s="116" t="s">
        <v>2831</v>
      </c>
      <c r="B63" s="182">
        <v>46037.0</v>
      </c>
      <c r="C63" s="182">
        <v>46030.0</v>
      </c>
      <c r="D63" s="57" t="s">
        <v>2222</v>
      </c>
      <c r="E63" s="3" t="str">
        <f t="array" ref="E63">XLOOKUP(D63,RUC!$B$3:$B$110,RUC!$D$3:$D$110)</f>
        <v>20601769396*</v>
      </c>
      <c r="G63" s="141">
        <v>123.0</v>
      </c>
      <c r="H63" s="3" t="s">
        <v>40</v>
      </c>
      <c r="I63" s="6">
        <v>3.75</v>
      </c>
      <c r="J63" s="58">
        <v>15.6</v>
      </c>
      <c r="K63" s="6">
        <f t="shared" si="2"/>
        <v>3.165</v>
      </c>
      <c r="L63" s="139">
        <v>0.177</v>
      </c>
      <c r="M63" s="60">
        <f t="shared" si="46"/>
        <v>0.158</v>
      </c>
      <c r="N63" s="62">
        <f t="shared" si="45"/>
        <v>0.158</v>
      </c>
      <c r="O63" s="60">
        <f t="shared" si="47"/>
        <v>0.158</v>
      </c>
      <c r="P63" s="63">
        <v>85.0</v>
      </c>
      <c r="Q63" s="58">
        <v>94.35</v>
      </c>
      <c r="R63" s="65">
        <v>4429.35</v>
      </c>
      <c r="S63" s="66">
        <f t="array" ref="S63">IF((XLOOKUP(D63,RUC!$B$3:$B$106,RUC!$E$3:$E$106)+ROUNDDOWN(O63,1)*100)&lt;95,95,((XLOOKUP(D63,RUC!$B$3:$B$106,RUC!$E$3:$E$106)+ROUNDDOWN(O63,1)*100)))</f>
        <v>100</v>
      </c>
      <c r="U63" s="67">
        <f t="array" ref="U63">XLOOKUP(D63,RUC!$B$3:$B$110,RUC!$F$3:$F$110)</f>
        <v>120</v>
      </c>
      <c r="V63" s="67">
        <v>1.1023</v>
      </c>
      <c r="Y63" s="199">
        <v>30.0</v>
      </c>
      <c r="Z63" s="140">
        <v>40.0</v>
      </c>
      <c r="AA63" s="70">
        <f t="shared" si="6"/>
        <v>70</v>
      </c>
      <c r="AB63" s="71">
        <f t="shared" si="43"/>
        <v>450.5603906</v>
      </c>
      <c r="AC63" s="71">
        <f>+(S63-T63)*V63-'data 1'!$F$4</f>
        <v>30.23</v>
      </c>
      <c r="AD63" s="71">
        <f t="shared" si="7"/>
        <v>78.61337706</v>
      </c>
      <c r="AE63" s="71">
        <f t="shared" si="8"/>
        <v>7.161</v>
      </c>
      <c r="AF63" s="71">
        <f t="shared" si="9"/>
        <v>85.15439765</v>
      </c>
      <c r="AG63" s="72">
        <f t="shared" si="48"/>
        <v>218.1587747</v>
      </c>
      <c r="AH63" s="193">
        <f t="shared" si="10"/>
        <v>18.122</v>
      </c>
      <c r="AI63" s="193">
        <f t="shared" si="11"/>
        <v>19.207</v>
      </c>
      <c r="AJ63" s="73">
        <f t="shared" si="12"/>
        <v>128.2418043</v>
      </c>
      <c r="AK63" s="73">
        <f t="shared" si="13"/>
        <v>14.5733299</v>
      </c>
      <c r="AM63" s="51">
        <f t="shared" si="14"/>
        <v>1426.023636</v>
      </c>
      <c r="AN63" s="51" t="str">
        <f t="array" ref="AN63">XLOOKUP(D63,RUC!$B$3:$B$565,RUC!$M$3:$M$565)</f>
        <v>Zudaire</v>
      </c>
      <c r="AO63" s="131" t="s">
        <v>558</v>
      </c>
      <c r="AP63" s="57" t="s">
        <v>2829</v>
      </c>
      <c r="AQ63" s="57" t="s">
        <v>815</v>
      </c>
    </row>
    <row r="64" ht="15.0" customHeight="1">
      <c r="A64" s="116" t="s">
        <v>2832</v>
      </c>
      <c r="B64" s="182">
        <v>46037.0</v>
      </c>
      <c r="C64" s="182">
        <v>46030.0</v>
      </c>
      <c r="D64" s="57" t="s">
        <v>2222</v>
      </c>
      <c r="E64" s="3" t="str">
        <f t="array" ref="E64">XLOOKUP(D64,RUC!$B$3:$B$110,RUC!$D$3:$D$110)</f>
        <v>20601769396*</v>
      </c>
      <c r="G64" s="141">
        <v>129.0</v>
      </c>
      <c r="H64" s="3" t="s">
        <v>40</v>
      </c>
      <c r="I64" s="6">
        <v>3.86</v>
      </c>
      <c r="J64" s="58">
        <v>15.2</v>
      </c>
      <c r="K64" s="6">
        <f t="shared" si="2"/>
        <v>3.273</v>
      </c>
      <c r="L64" s="139">
        <v>0.589</v>
      </c>
      <c r="M64" s="60">
        <f t="shared" si="46"/>
        <v>0.554</v>
      </c>
      <c r="N64" s="62">
        <f t="shared" si="45"/>
        <v>0.554</v>
      </c>
      <c r="O64" s="60">
        <f t="shared" si="47"/>
        <v>0.554</v>
      </c>
      <c r="P64" s="63">
        <v>90.0</v>
      </c>
      <c r="Q64" s="58">
        <v>96.26</v>
      </c>
      <c r="R64" s="65">
        <v>4429.35</v>
      </c>
      <c r="S64" s="66">
        <f t="array" ref="S64">IF((XLOOKUP(D64,RUC!$B$3:$B$106,RUC!$E$3:$E$106)+ROUNDDOWN(O64,1)*100)&lt;95,95,((XLOOKUP(D64,RUC!$B$3:$B$106,RUC!$E$3:$E$106)+ROUNDDOWN(O64,1)*100)))</f>
        <v>140</v>
      </c>
      <c r="U64" s="67">
        <f t="array" ref="U64">XLOOKUP(D64,RUC!$B$3:$B$110,RUC!$F$3:$F$110)</f>
        <v>120</v>
      </c>
      <c r="V64" s="67">
        <v>1.1023</v>
      </c>
      <c r="Y64" s="199">
        <v>30.0</v>
      </c>
      <c r="Z64" s="140">
        <v>40.0</v>
      </c>
      <c r="AA64" s="70">
        <f t="shared" si="6"/>
        <v>70</v>
      </c>
      <c r="AB64" s="71">
        <f t="shared" si="43"/>
        <v>2136.964977</v>
      </c>
      <c r="AC64" s="71">
        <f>+(S64-T64)*V64-'data 1'!$F$4</f>
        <v>74.322</v>
      </c>
      <c r="AD64" s="71">
        <f t="shared" si="7"/>
        <v>175.1463954</v>
      </c>
      <c r="AE64" s="71">
        <f t="shared" si="8"/>
        <v>7.161</v>
      </c>
      <c r="AF64" s="71">
        <f t="shared" si="9"/>
        <v>160.0388704</v>
      </c>
      <c r="AG64" s="72">
        <f t="shared" si="48"/>
        <v>433.6682659</v>
      </c>
      <c r="AH64" s="193">
        <f t="shared" si="10"/>
        <v>63.623</v>
      </c>
      <c r="AI64" s="193">
        <f t="shared" si="11"/>
        <v>66.095</v>
      </c>
      <c r="AJ64" s="73">
        <f t="shared" si="12"/>
        <v>435.3871438</v>
      </c>
      <c r="AK64" s="73">
        <f t="shared" si="13"/>
        <v>55.95093504</v>
      </c>
      <c r="AM64" s="51">
        <f t="shared" si="14"/>
        <v>6994.286371</v>
      </c>
      <c r="AN64" s="51" t="str">
        <f t="array" ref="AN64">XLOOKUP(D64,RUC!$B$3:$B$565,RUC!$M$3:$M$565)</f>
        <v>Zudaire</v>
      </c>
      <c r="AO64" s="131" t="s">
        <v>551</v>
      </c>
      <c r="AP64" s="57" t="s">
        <v>2829</v>
      </c>
      <c r="AQ64" s="57" t="s">
        <v>815</v>
      </c>
    </row>
    <row r="65" ht="15.0" customHeight="1">
      <c r="A65" s="116" t="s">
        <v>2833</v>
      </c>
      <c r="B65" s="182">
        <v>46037.0</v>
      </c>
      <c r="C65" s="182">
        <v>46030.0</v>
      </c>
      <c r="D65" s="57" t="s">
        <v>2222</v>
      </c>
      <c r="E65" s="3" t="str">
        <f t="array" ref="E65">XLOOKUP(D65,RUC!$B$3:$B$110,RUC!$D$3:$D$110)</f>
        <v>20601769396*</v>
      </c>
      <c r="G65" s="141">
        <v>86.0</v>
      </c>
      <c r="H65" s="3" t="s">
        <v>40</v>
      </c>
      <c r="I65" s="6">
        <v>2.52</v>
      </c>
      <c r="J65" s="58">
        <v>15.3</v>
      </c>
      <c r="K65" s="6">
        <f t="shared" si="2"/>
        <v>2.134</v>
      </c>
      <c r="L65" s="139">
        <v>0.154</v>
      </c>
      <c r="M65" s="60">
        <f t="shared" si="46"/>
        <v>0.135</v>
      </c>
      <c r="N65" s="62">
        <f t="shared" si="45"/>
        <v>0.135</v>
      </c>
      <c r="O65" s="60">
        <f t="shared" si="47"/>
        <v>0.135</v>
      </c>
      <c r="P65" s="63">
        <v>85.0</v>
      </c>
      <c r="Q65" s="58">
        <v>87.01</v>
      </c>
      <c r="R65" s="65">
        <v>4429.35</v>
      </c>
      <c r="S65" s="66">
        <f t="array" ref="S65">IF((XLOOKUP(D65,RUC!$B$3:$B$106,RUC!$E$3:$E$106)+ROUNDDOWN(O65,1)*100)&lt;95,95,((XLOOKUP(D65,RUC!$B$3:$B$106,RUC!$E$3:$E$106)+ROUNDDOWN(O65,1)*100)))</f>
        <v>100</v>
      </c>
      <c r="U65" s="67">
        <f t="array" ref="U65">XLOOKUP(D65,RUC!$B$3:$B$110,RUC!$F$3:$F$110)</f>
        <v>120</v>
      </c>
      <c r="V65" s="67">
        <v>1.1023</v>
      </c>
      <c r="Y65" s="199">
        <v>30.0</v>
      </c>
      <c r="Z65" s="140">
        <v>40.0</v>
      </c>
      <c r="AA65" s="70">
        <f t="shared" si="6"/>
        <v>70</v>
      </c>
      <c r="AB65" s="71">
        <f t="shared" si="43"/>
        <v>357.6940489</v>
      </c>
      <c r="AC65" s="71">
        <f>+(S65-T65)*V65-'data 1'!$F$4</f>
        <v>30.23</v>
      </c>
      <c r="AD65" s="71">
        <f t="shared" si="7"/>
        <v>14.70375826</v>
      </c>
      <c r="AE65" s="71">
        <f t="shared" si="8"/>
        <v>7.161</v>
      </c>
      <c r="AF65" s="71">
        <f t="shared" si="9"/>
        <v>78.5297736</v>
      </c>
      <c r="AG65" s="72">
        <f t="shared" si="48"/>
        <v>147.6245319</v>
      </c>
      <c r="AH65" s="193">
        <f t="shared" si="10"/>
        <v>9.804</v>
      </c>
      <c r="AI65" s="193">
        <f t="shared" si="11"/>
        <v>11.267</v>
      </c>
      <c r="AJ65" s="73">
        <f t="shared" si="12"/>
        <v>102.8973851</v>
      </c>
      <c r="AK65" s="73">
        <f t="shared" si="13"/>
        <v>8.395685827</v>
      </c>
      <c r="AM65" s="51">
        <f t="shared" si="14"/>
        <v>763.3191005</v>
      </c>
      <c r="AN65" s="51" t="str">
        <f t="array" ref="AN65">XLOOKUP(D65,RUC!$B$3:$B$565,RUC!$M$3:$M$565)</f>
        <v>Zudaire</v>
      </c>
      <c r="AO65" s="131" t="s">
        <v>558</v>
      </c>
      <c r="AP65" s="57" t="s">
        <v>2829</v>
      </c>
      <c r="AQ65" s="57" t="s">
        <v>815</v>
      </c>
    </row>
    <row r="66" ht="15.0" customHeight="1">
      <c r="A66" s="116" t="s">
        <v>2834</v>
      </c>
      <c r="B66" s="182">
        <v>46037.0</v>
      </c>
      <c r="C66" s="182">
        <v>46030.0</v>
      </c>
      <c r="D66" s="57" t="s">
        <v>2222</v>
      </c>
      <c r="E66" s="3" t="str">
        <f t="array" ref="E66">XLOOKUP(D66,RUC!$B$3:$B$110,RUC!$D$3:$D$110)</f>
        <v>20601769396*</v>
      </c>
      <c r="G66" s="141">
        <v>94.0</v>
      </c>
      <c r="H66" s="3" t="s">
        <v>40</v>
      </c>
      <c r="I66" s="6">
        <v>2.7</v>
      </c>
      <c r="J66" s="58">
        <v>16.0</v>
      </c>
      <c r="K66" s="6">
        <f t="shared" si="2"/>
        <v>2.268</v>
      </c>
      <c r="L66" s="139">
        <v>0.206</v>
      </c>
      <c r="M66" s="60">
        <f t="shared" si="46"/>
        <v>0.187</v>
      </c>
      <c r="N66" s="62">
        <f t="shared" si="45"/>
        <v>0.187</v>
      </c>
      <c r="O66" s="60">
        <f t="shared" si="47"/>
        <v>0.187</v>
      </c>
      <c r="P66" s="63">
        <v>85.0</v>
      </c>
      <c r="Q66" s="58">
        <v>90.29</v>
      </c>
      <c r="R66" s="65">
        <v>4429.35</v>
      </c>
      <c r="S66" s="66">
        <f t="array" ref="S66">IF((XLOOKUP(D66,RUC!$B$3:$B$106,RUC!$E$3:$E$106)+ROUNDDOWN(O66,1)*100)&lt;95,95,((XLOOKUP(D66,RUC!$B$3:$B$106,RUC!$E$3:$E$106)+ROUNDDOWN(O66,1)*100)))</f>
        <v>100</v>
      </c>
      <c r="U66" s="67">
        <f t="array" ref="U66">XLOOKUP(D66,RUC!$B$3:$B$110,RUC!$F$3:$F$110)</f>
        <v>120</v>
      </c>
      <c r="V66" s="67">
        <v>1.1023</v>
      </c>
      <c r="Y66" s="199">
        <v>30.0</v>
      </c>
      <c r="Z66" s="140">
        <v>40.0</v>
      </c>
      <c r="AA66" s="70">
        <f t="shared" si="6"/>
        <v>70</v>
      </c>
      <c r="AB66" s="71">
        <f t="shared" si="43"/>
        <v>567.6527345</v>
      </c>
      <c r="AC66" s="71">
        <f>+(S66-T66)*V66-'data 1'!$F$4</f>
        <v>30.23</v>
      </c>
      <c r="AD66" s="71">
        <f t="shared" si="7"/>
        <v>51.76479139</v>
      </c>
      <c r="AE66" s="71">
        <f t="shared" si="8"/>
        <v>7.161</v>
      </c>
      <c r="AF66" s="71">
        <f t="shared" si="9"/>
        <v>81.49009606</v>
      </c>
      <c r="AG66" s="72">
        <f t="shared" si="48"/>
        <v>187.6458875</v>
      </c>
      <c r="AH66" s="193">
        <f t="shared" si="10"/>
        <v>14.463</v>
      </c>
      <c r="AI66" s="193">
        <f t="shared" si="11"/>
        <v>16.018</v>
      </c>
      <c r="AJ66" s="73">
        <f t="shared" si="12"/>
        <v>142.8306203</v>
      </c>
      <c r="AK66" s="73">
        <f t="shared" si="13"/>
        <v>12.35983439</v>
      </c>
      <c r="AM66" s="51">
        <f t="shared" si="14"/>
        <v>1287.436402</v>
      </c>
      <c r="AN66" s="51" t="str">
        <f t="array" ref="AN66">XLOOKUP(D66,RUC!$B$3:$B$565,RUC!$M$3:$M$565)</f>
        <v>Zudaire</v>
      </c>
      <c r="AO66" s="131" t="s">
        <v>558</v>
      </c>
      <c r="AP66" s="57" t="s">
        <v>2829</v>
      </c>
      <c r="AQ66" s="57" t="s">
        <v>815</v>
      </c>
    </row>
    <row r="67" ht="15.0" customHeight="1">
      <c r="A67" s="116" t="s">
        <v>2835</v>
      </c>
      <c r="B67" s="182">
        <v>46037.0</v>
      </c>
      <c r="C67" s="182">
        <v>46030.0</v>
      </c>
      <c r="D67" s="57" t="s">
        <v>2222</v>
      </c>
      <c r="E67" s="3" t="str">
        <f t="array" ref="E67">XLOOKUP(D67,RUC!$B$3:$B$110,RUC!$D$3:$D$110)</f>
        <v>20601769396*</v>
      </c>
      <c r="G67" s="141">
        <v>226.0</v>
      </c>
      <c r="H67" s="3" t="s">
        <v>40</v>
      </c>
      <c r="I67" s="6">
        <v>7.08</v>
      </c>
      <c r="J67" s="58">
        <v>15.7</v>
      </c>
      <c r="K67" s="6">
        <f t="shared" si="2"/>
        <v>5.968</v>
      </c>
      <c r="L67" s="139">
        <v>0.267</v>
      </c>
      <c r="M67" s="60">
        <f t="shared" si="46"/>
        <v>0.248</v>
      </c>
      <c r="N67" s="62">
        <f t="shared" si="45"/>
        <v>0.248</v>
      </c>
      <c r="O67" s="60">
        <f t="shared" si="47"/>
        <v>0.248</v>
      </c>
      <c r="P67" s="63">
        <v>90.0</v>
      </c>
      <c r="Q67" s="58">
        <v>96.63</v>
      </c>
      <c r="R67" s="65">
        <v>4429.35</v>
      </c>
      <c r="S67" s="66">
        <f t="array" ref="S67">IF((XLOOKUP(D67,RUC!$B$3:$B$106,RUC!$E$3:$E$106)+ROUNDDOWN(O67,1)*100)&lt;95,95,((XLOOKUP(D67,RUC!$B$3:$B$106,RUC!$E$3:$E$106)+ROUNDDOWN(O67,1)*100)))</f>
        <v>110</v>
      </c>
      <c r="U67" s="67">
        <f t="array" ref="U67">XLOOKUP(D67,RUC!$B$3:$B$110,RUC!$F$3:$F$110)</f>
        <v>120</v>
      </c>
      <c r="V67" s="67">
        <v>1.1023</v>
      </c>
      <c r="Y67" s="199">
        <v>30.0</v>
      </c>
      <c r="Z67" s="140">
        <v>40.0</v>
      </c>
      <c r="AA67" s="70">
        <f t="shared" si="6"/>
        <v>70</v>
      </c>
      <c r="AB67" s="71">
        <f t="shared" si="43"/>
        <v>861.8298599</v>
      </c>
      <c r="AC67" s="71">
        <f>+(S67-T67)*V67-'data 1'!$F$4</f>
        <v>41.253</v>
      </c>
      <c r="AD67" s="71">
        <f t="shared" si="7"/>
        <v>84.08845355</v>
      </c>
      <c r="AE67" s="71">
        <f t="shared" si="8"/>
        <v>7.161</v>
      </c>
      <c r="AF67" s="71">
        <f t="shared" si="9"/>
        <v>87.21218277</v>
      </c>
      <c r="AG67" s="72">
        <f t="shared" si="48"/>
        <v>236.7146363</v>
      </c>
      <c r="AH67" s="193">
        <f t="shared" si="10"/>
        <v>52.791</v>
      </c>
      <c r="AI67" s="193">
        <f t="shared" si="11"/>
        <v>54.632</v>
      </c>
      <c r="AJ67" s="73">
        <f t="shared" si="12"/>
        <v>198.1242747</v>
      </c>
      <c r="AK67" s="73">
        <f t="shared" si="13"/>
        <v>45.67011172</v>
      </c>
      <c r="AM67" s="51">
        <f t="shared" si="14"/>
        <v>5143.400604</v>
      </c>
      <c r="AN67" s="51" t="str">
        <f t="array" ref="AN67">XLOOKUP(D67,RUC!$B$3:$B$565,RUC!$M$3:$M$565)</f>
        <v>Zudaire</v>
      </c>
      <c r="AO67" s="131" t="s">
        <v>558</v>
      </c>
      <c r="AP67" s="57" t="s">
        <v>2829</v>
      </c>
      <c r="AQ67" s="57" t="s">
        <v>815</v>
      </c>
    </row>
    <row r="68" ht="15.0" customHeight="1">
      <c r="A68" s="116" t="s">
        <v>2836</v>
      </c>
      <c r="B68" s="182">
        <v>46037.0</v>
      </c>
      <c r="C68" s="182">
        <v>46030.0</v>
      </c>
      <c r="D68" s="57" t="s">
        <v>2222</v>
      </c>
      <c r="E68" s="3" t="str">
        <f t="array" ref="E68">XLOOKUP(D68,RUC!$B$3:$B$110,RUC!$D$3:$D$110)</f>
        <v>20601769396*</v>
      </c>
      <c r="G68" s="141">
        <v>80.0</v>
      </c>
      <c r="H68" s="3" t="s">
        <v>40</v>
      </c>
      <c r="I68" s="6">
        <v>2.3</v>
      </c>
      <c r="J68" s="58">
        <v>17.8</v>
      </c>
      <c r="K68" s="6">
        <f t="shared" si="2"/>
        <v>1.891</v>
      </c>
      <c r="L68" s="139">
        <v>0.564</v>
      </c>
      <c r="M68" s="60">
        <f t="shared" si="46"/>
        <v>0.53</v>
      </c>
      <c r="N68" s="62">
        <f t="shared" si="45"/>
        <v>0.53</v>
      </c>
      <c r="O68" s="60">
        <f t="shared" si="47"/>
        <v>0.53</v>
      </c>
      <c r="P68" s="63">
        <v>90.0</v>
      </c>
      <c r="Q68" s="58">
        <v>91.67</v>
      </c>
      <c r="R68" s="65">
        <v>4429.35</v>
      </c>
      <c r="S68" s="66">
        <f t="array" ref="S68">IF((XLOOKUP(D68,RUC!$B$3:$B$106,RUC!$E$3:$E$106)+ROUNDDOWN(O68,1)*100)&lt;95,95,((XLOOKUP(D68,RUC!$B$3:$B$106,RUC!$E$3:$E$106)+ROUNDDOWN(O68,1)*100)))</f>
        <v>140</v>
      </c>
      <c r="U68" s="67">
        <f t="array" ref="U68">XLOOKUP(D68,RUC!$B$3:$B$110,RUC!$F$3:$F$110)</f>
        <v>120</v>
      </c>
      <c r="V68" s="67">
        <v>1.1023</v>
      </c>
      <c r="Y68" s="199">
        <v>30.0</v>
      </c>
      <c r="Z68" s="140">
        <v>40.0</v>
      </c>
      <c r="AA68" s="70">
        <f t="shared" si="6"/>
        <v>70</v>
      </c>
      <c r="AB68" s="71">
        <f t="shared" si="43"/>
        <v>2034.360733</v>
      </c>
      <c r="AC68" s="71">
        <f>+(S68-T68)*V68-'data 1'!$F$4</f>
        <v>74.322</v>
      </c>
      <c r="AD68" s="71">
        <f t="shared" si="7"/>
        <v>44.74115084</v>
      </c>
      <c r="AE68" s="71">
        <f t="shared" si="8"/>
        <v>7.161</v>
      </c>
      <c r="AF68" s="71">
        <f t="shared" si="9"/>
        <v>148.0531746</v>
      </c>
      <c r="AG68" s="72">
        <f t="shared" si="48"/>
        <v>291.2773255</v>
      </c>
      <c r="AH68" s="193">
        <f t="shared" si="10"/>
        <v>33.52</v>
      </c>
      <c r="AI68" s="193">
        <f t="shared" si="11"/>
        <v>36.566</v>
      </c>
      <c r="AJ68" s="73">
        <f t="shared" si="12"/>
        <v>397.0276784</v>
      </c>
      <c r="AK68" s="73">
        <f t="shared" si="13"/>
        <v>30.92566002</v>
      </c>
      <c r="AM68" s="51">
        <f t="shared" si="14"/>
        <v>3846.976146</v>
      </c>
      <c r="AN68" s="51" t="str">
        <f t="array" ref="AN68">XLOOKUP(D68,RUC!$B$3:$B$565,RUC!$M$3:$M$565)</f>
        <v>Zudaire</v>
      </c>
      <c r="AO68" s="131" t="s">
        <v>558</v>
      </c>
      <c r="AP68" s="57" t="s">
        <v>2829</v>
      </c>
      <c r="AQ68" s="57" t="s">
        <v>815</v>
      </c>
    </row>
    <row r="69" ht="15.0" customHeight="1">
      <c r="A69" s="116" t="s">
        <v>2837</v>
      </c>
      <c r="B69" s="182">
        <v>46037.0</v>
      </c>
      <c r="C69" s="182">
        <v>46030.0</v>
      </c>
      <c r="D69" s="57" t="s">
        <v>2222</v>
      </c>
      <c r="E69" s="3" t="str">
        <f t="array" ref="E69">XLOOKUP(D69,RUC!$B$3:$B$110,RUC!$D$3:$D$110)</f>
        <v>20601769396*</v>
      </c>
      <c r="G69" s="141">
        <v>50.0</v>
      </c>
      <c r="H69" s="3" t="s">
        <v>40</v>
      </c>
      <c r="I69" s="6">
        <v>1.51</v>
      </c>
      <c r="J69" s="58">
        <v>17.4</v>
      </c>
      <c r="K69" s="6">
        <f t="shared" si="2"/>
        <v>1.247</v>
      </c>
      <c r="L69" s="139">
        <v>0.286</v>
      </c>
      <c r="M69" s="60">
        <f t="shared" si="46"/>
        <v>0.267</v>
      </c>
      <c r="N69" s="62">
        <f t="shared" si="45"/>
        <v>0.267</v>
      </c>
      <c r="O69" s="60">
        <f t="shared" si="47"/>
        <v>0.267</v>
      </c>
      <c r="P69" s="63">
        <v>85.0</v>
      </c>
      <c r="Q69" s="58">
        <v>85.66</v>
      </c>
      <c r="R69" s="65">
        <v>4429.35</v>
      </c>
      <c r="S69" s="66">
        <f t="array" ref="S69">IF((XLOOKUP(D69,RUC!$B$3:$B$106,RUC!$E$3:$E$106)+ROUNDDOWN(O69,1)*100)&lt;95,95,((XLOOKUP(D69,RUC!$B$3:$B$106,RUC!$E$3:$E$106)+ROUNDDOWN(O69,1)*100)))</f>
        <v>110</v>
      </c>
      <c r="U69" s="67">
        <f t="array" ref="U69">XLOOKUP(D69,RUC!$B$3:$B$110,RUC!$F$3:$F$110)</f>
        <v>120</v>
      </c>
      <c r="V69" s="67">
        <v>1.1023</v>
      </c>
      <c r="Y69" s="199">
        <v>30.0</v>
      </c>
      <c r="Z69" s="140">
        <v>40.0</v>
      </c>
      <c r="AA69" s="70">
        <f t="shared" si="6"/>
        <v>70</v>
      </c>
      <c r="AB69" s="71">
        <f t="shared" si="43"/>
        <v>879.6430968</v>
      </c>
      <c r="AC69" s="71">
        <f>+(S69-T69)*V69-'data 1'!$F$4</f>
        <v>41.253</v>
      </c>
      <c r="AD69" s="71">
        <f t="shared" si="7"/>
        <v>8.966470923</v>
      </c>
      <c r="AE69" s="71">
        <f t="shared" si="8"/>
        <v>7.161</v>
      </c>
      <c r="AF69" s="71">
        <f t="shared" si="9"/>
        <v>77.3113482</v>
      </c>
      <c r="AG69" s="72">
        <f t="shared" si="48"/>
        <v>151.6918191</v>
      </c>
      <c r="AH69" s="193">
        <f t="shared" si="10"/>
        <v>10.474</v>
      </c>
      <c r="AI69" s="193">
        <f t="shared" si="11"/>
        <v>12.228</v>
      </c>
      <c r="AJ69" s="73">
        <f t="shared" si="12"/>
        <v>188.1302151</v>
      </c>
      <c r="AK69" s="73">
        <f t="shared" si="13"/>
        <v>9.702992816</v>
      </c>
      <c r="AM69" s="51">
        <f t="shared" si="14"/>
        <v>1096.914942</v>
      </c>
      <c r="AN69" s="51" t="str">
        <f t="array" ref="AN69">XLOOKUP(D69,RUC!$B$3:$B$565,RUC!$M$3:$M$565)</f>
        <v>Zudaire</v>
      </c>
      <c r="AO69" s="131" t="s">
        <v>558</v>
      </c>
      <c r="AP69" s="57" t="s">
        <v>2829</v>
      </c>
      <c r="AQ69" s="57" t="s">
        <v>815</v>
      </c>
    </row>
    <row r="70" ht="15.0" customHeight="1">
      <c r="A70" s="116" t="s">
        <v>2838</v>
      </c>
      <c r="B70" s="182">
        <v>46039.0</v>
      </c>
      <c r="C70" s="182">
        <v>46030.0</v>
      </c>
      <c r="D70" s="57" t="s">
        <v>2166</v>
      </c>
      <c r="E70" s="3">
        <f t="array" ref="E70">XLOOKUP(D70,RUC!$B$3:$B$110,RUC!$D$3:$D$110)</f>
        <v>10408856049</v>
      </c>
      <c r="G70" s="141" t="s">
        <v>735</v>
      </c>
      <c r="H70" s="3" t="s">
        <v>47</v>
      </c>
      <c r="I70" s="6">
        <v>36.99</v>
      </c>
      <c r="J70" s="58">
        <v>8.6</v>
      </c>
      <c r="K70" s="6">
        <f t="shared" si="2"/>
        <v>33.809</v>
      </c>
      <c r="L70" s="139">
        <v>0.192</v>
      </c>
      <c r="M70" s="60">
        <f t="shared" si="46"/>
        <v>0.173</v>
      </c>
      <c r="N70" s="62">
        <f t="shared" si="45"/>
        <v>0.173</v>
      </c>
      <c r="O70" s="60">
        <f t="shared" si="47"/>
        <v>0.173</v>
      </c>
      <c r="P70" s="63">
        <v>90.0</v>
      </c>
      <c r="Q70" s="58">
        <v>97.92</v>
      </c>
      <c r="R70" s="65">
        <v>4429.35</v>
      </c>
      <c r="S70" s="66">
        <f t="array" ref="S70">IF((XLOOKUP(D70,RUC!$B$3:$B$106,RUC!$E$3:$E$106)+ROUNDDOWN(O70,1)*100)&lt;95,95,((XLOOKUP(D70,RUC!$B$3:$B$106,RUC!$E$3:$E$106)+ROUNDDOWN(O70,1)*100)))</f>
        <v>100</v>
      </c>
      <c r="U70" s="67">
        <f t="array" ref="U70">XLOOKUP(D70,RUC!$B$3:$B$110,RUC!$F$3:$F$110)</f>
        <v>120</v>
      </c>
      <c r="V70" s="67">
        <v>1.1023</v>
      </c>
      <c r="Y70" s="57">
        <f t="array" ref="Y70">XLOOKUP(D70,RUC!$B$3:$B$110,RUC!$G$3:$G$110)</f>
        <v>20</v>
      </c>
      <c r="Z70" s="69">
        <f t="array" ref="Z70">XLOOKUP(D70,RUC!$B$3:$B$110,RUC!$H$3:$H$110)</f>
        <v>30</v>
      </c>
      <c r="AA70" s="70">
        <f t="shared" si="6"/>
        <v>50</v>
      </c>
      <c r="AB70" s="71">
        <f t="shared" si="43"/>
        <v>574.2605958</v>
      </c>
      <c r="AC70" s="71">
        <f>+(S70-T70)*V70-'data 1'!$F$4</f>
        <v>30.23</v>
      </c>
      <c r="AD70" s="71">
        <f t="shared" si="7"/>
        <v>72.23338813</v>
      </c>
      <c r="AE70" s="71">
        <f t="shared" si="8"/>
        <v>-14.885</v>
      </c>
      <c r="AF70" s="71">
        <f t="shared" si="9"/>
        <v>88.37645594</v>
      </c>
      <c r="AG70" s="72">
        <f t="shared" si="48"/>
        <v>192.9548441</v>
      </c>
      <c r="AH70" s="193">
        <f t="shared" si="10"/>
        <v>217.928</v>
      </c>
      <c r="AI70" s="193">
        <f t="shared" si="11"/>
        <v>222.558</v>
      </c>
      <c r="AJ70" s="73">
        <f t="shared" si="12"/>
        <v>144.3733661</v>
      </c>
      <c r="AK70" s="73">
        <f t="shared" si="13"/>
        <v>180.4803844</v>
      </c>
      <c r="AM70" s="51">
        <f t="shared" si="14"/>
        <v>19415.17648</v>
      </c>
      <c r="AN70" s="51" t="str">
        <f t="array" ref="AN70">XLOOKUP(D70,RUC!$B$3:$B$565,RUC!$M$3:$M$565)</f>
        <v>Richard Sapacayo</v>
      </c>
      <c r="AO70" s="131" t="s">
        <v>551</v>
      </c>
      <c r="AP70" s="57" t="s">
        <v>1453</v>
      </c>
      <c r="AQ70" s="57" t="s">
        <v>2623</v>
      </c>
    </row>
    <row r="71" ht="15.0" customHeight="1">
      <c r="A71" s="116" t="s">
        <v>2839</v>
      </c>
      <c r="B71" s="182">
        <v>46037.0</v>
      </c>
      <c r="C71" s="182">
        <v>46030.0</v>
      </c>
      <c r="D71" s="57" t="s">
        <v>2222</v>
      </c>
      <c r="E71" s="3" t="str">
        <f t="array" ref="E71">XLOOKUP(D71,RUC!$B$3:$B$110,RUC!$D$3:$D$110)</f>
        <v>20601769396*</v>
      </c>
      <c r="G71" s="141">
        <v>51.0</v>
      </c>
      <c r="H71" s="3" t="s">
        <v>40</v>
      </c>
      <c r="I71" s="6">
        <v>2.51</v>
      </c>
      <c r="J71" s="58">
        <v>14.6</v>
      </c>
      <c r="K71" s="6">
        <f t="shared" si="2"/>
        <v>2.144</v>
      </c>
      <c r="L71" s="139">
        <v>0.342</v>
      </c>
      <c r="M71" s="60">
        <f t="shared" si="46"/>
        <v>0.321</v>
      </c>
      <c r="N71" s="62">
        <f t="shared" si="45"/>
        <v>0.321</v>
      </c>
      <c r="O71" s="60">
        <f t="shared" si="47"/>
        <v>0.321</v>
      </c>
      <c r="P71" s="63">
        <v>90.0</v>
      </c>
      <c r="Q71" s="58">
        <v>96.49</v>
      </c>
      <c r="R71" s="65">
        <v>4429.35</v>
      </c>
      <c r="S71" s="66">
        <f t="array" ref="S71">IF((XLOOKUP(D71,RUC!$B$3:$B$106,RUC!$E$3:$E$106)+ROUNDDOWN(O71,1)*100)&lt;95,95,((XLOOKUP(D71,RUC!$B$3:$B$106,RUC!$E$3:$E$106)+ROUNDDOWN(O71,1)*100)))</f>
        <v>120</v>
      </c>
      <c r="U71" s="67">
        <f t="array" ref="U71">XLOOKUP(D71,RUC!$B$3:$B$110,RUC!$F$3:$F$110)</f>
        <v>120</v>
      </c>
      <c r="V71" s="67">
        <v>1.1023</v>
      </c>
      <c r="Y71" s="199">
        <v>30.0</v>
      </c>
      <c r="Z71" s="140">
        <v>40.0</v>
      </c>
      <c r="AA71" s="70">
        <f t="shared" si="6"/>
        <v>70</v>
      </c>
      <c r="AB71" s="71">
        <f t="shared" si="43"/>
        <v>1162.89477</v>
      </c>
      <c r="AC71" s="71">
        <f>+(S71-T71)*V71-'data 1'!$F$4</f>
        <v>52.276</v>
      </c>
      <c r="AD71" s="71">
        <f t="shared" si="7"/>
        <v>105.4344116</v>
      </c>
      <c r="AE71" s="71">
        <f t="shared" si="8"/>
        <v>7.161</v>
      </c>
      <c r="AF71" s="71">
        <f t="shared" si="9"/>
        <v>96.25275676</v>
      </c>
      <c r="AG71" s="72">
        <f t="shared" si="48"/>
        <v>278.1241683</v>
      </c>
      <c r="AH71" s="193">
        <f t="shared" si="10"/>
        <v>24.257</v>
      </c>
      <c r="AI71" s="193">
        <f t="shared" si="11"/>
        <v>25.14</v>
      </c>
      <c r="AJ71" s="73">
        <f t="shared" si="12"/>
        <v>253.4094821</v>
      </c>
      <c r="AK71" s="73">
        <f t="shared" si="13"/>
        <v>21.23642421</v>
      </c>
      <c r="AM71" s="51">
        <f t="shared" si="14"/>
        <v>2493.246388</v>
      </c>
      <c r="AN71" s="51" t="str">
        <f t="array" ref="AN71">XLOOKUP(D71,RUC!$B$3:$B$565,RUC!$M$3:$M$565)</f>
        <v>Zudaire</v>
      </c>
      <c r="AO71" s="131" t="s">
        <v>558</v>
      </c>
      <c r="AP71" s="57" t="s">
        <v>2840</v>
      </c>
      <c r="AQ71" s="57" t="s">
        <v>2841</v>
      </c>
    </row>
    <row r="72" ht="15.0" customHeight="1">
      <c r="A72" s="116" t="s">
        <v>2842</v>
      </c>
      <c r="B72" s="182">
        <v>46037.0</v>
      </c>
      <c r="C72" s="182">
        <v>46030.0</v>
      </c>
      <c r="D72" s="57" t="s">
        <v>2222</v>
      </c>
      <c r="E72" s="3" t="str">
        <f t="array" ref="E72">XLOOKUP(D72,RUC!$B$3:$B$110,RUC!$D$3:$D$110)</f>
        <v>20601769396*</v>
      </c>
      <c r="G72" s="141">
        <v>71.0</v>
      </c>
      <c r="H72" s="3" t="s">
        <v>40</v>
      </c>
      <c r="I72" s="6">
        <v>3.36</v>
      </c>
      <c r="J72" s="58">
        <v>16.5</v>
      </c>
      <c r="K72" s="6">
        <f t="shared" si="2"/>
        <v>2.806</v>
      </c>
      <c r="L72" s="139">
        <v>0.425</v>
      </c>
      <c r="M72" s="60">
        <f t="shared" si="46"/>
        <v>0.4</v>
      </c>
      <c r="N72" s="62">
        <f t="shared" si="45"/>
        <v>0.4</v>
      </c>
      <c r="O72" s="60">
        <f t="shared" si="47"/>
        <v>0.4</v>
      </c>
      <c r="P72" s="63">
        <v>90.0</v>
      </c>
      <c r="Q72" s="58">
        <v>94.82</v>
      </c>
      <c r="R72" s="65">
        <v>4429.35</v>
      </c>
      <c r="S72" s="66">
        <f t="array" ref="S72">IF((XLOOKUP(D72,RUC!$B$3:$B$106,RUC!$E$3:$E$106)+ROUNDDOWN(O72,1)*100)&lt;95,95,((XLOOKUP(D72,RUC!$B$3:$B$106,RUC!$E$3:$E$106)+ROUNDDOWN(O72,1)*100)))</f>
        <v>130</v>
      </c>
      <c r="U72" s="67">
        <f t="array" ref="U72">XLOOKUP(D72,RUC!$B$3:$B$110,RUC!$F$3:$F$110)</f>
        <v>120</v>
      </c>
      <c r="V72" s="67">
        <v>1.1023</v>
      </c>
      <c r="Y72" s="199">
        <v>30.0</v>
      </c>
      <c r="Z72" s="140">
        <v>40.0</v>
      </c>
      <c r="AA72" s="70">
        <f t="shared" si="6"/>
        <v>70</v>
      </c>
      <c r="AB72" s="71">
        <f t="shared" si="43"/>
        <v>1489.610742</v>
      </c>
      <c r="AC72" s="71">
        <f>+(S72-T72)*V72-'data 1'!$F$4</f>
        <v>63.299</v>
      </c>
      <c r="AD72" s="71">
        <f t="shared" si="7"/>
        <v>97.3077754</v>
      </c>
      <c r="AE72" s="71">
        <f t="shared" si="8"/>
        <v>7.161</v>
      </c>
      <c r="AF72" s="71">
        <f t="shared" si="9"/>
        <v>112.6034082</v>
      </c>
      <c r="AG72" s="72">
        <f t="shared" si="48"/>
        <v>297.3711836</v>
      </c>
      <c r="AH72" s="193">
        <f t="shared" si="10"/>
        <v>38.769</v>
      </c>
      <c r="AI72" s="193">
        <f t="shared" si="11"/>
        <v>40.887</v>
      </c>
      <c r="AJ72" s="73">
        <f t="shared" si="12"/>
        <v>309.4591511</v>
      </c>
      <c r="AK72" s="73">
        <f t="shared" si="13"/>
        <v>34.63372759</v>
      </c>
      <c r="AM72" s="51">
        <f t="shared" si="14"/>
        <v>4179.847741</v>
      </c>
      <c r="AN72" s="51" t="str">
        <f t="array" ref="AN72">XLOOKUP(D72,RUC!$B$3:$B$565,RUC!$M$3:$M$565)</f>
        <v>Zudaire</v>
      </c>
      <c r="AO72" s="131" t="s">
        <v>551</v>
      </c>
      <c r="AP72" s="57" t="s">
        <v>2840</v>
      </c>
      <c r="AQ72" s="57" t="s">
        <v>2841</v>
      </c>
    </row>
    <row r="73" ht="15.0" customHeight="1">
      <c r="A73" s="116" t="s">
        <v>2843</v>
      </c>
      <c r="B73" s="182">
        <v>46037.0</v>
      </c>
      <c r="C73" s="182">
        <v>46030.0</v>
      </c>
      <c r="D73" s="57" t="s">
        <v>2222</v>
      </c>
      <c r="E73" s="3" t="str">
        <f t="array" ref="E73">XLOOKUP(D73,RUC!$B$3:$B$110,RUC!$D$3:$D$110)</f>
        <v>20601769396*</v>
      </c>
      <c r="G73" s="141">
        <v>52.0</v>
      </c>
      <c r="H73" s="3" t="s">
        <v>40</v>
      </c>
      <c r="I73" s="6">
        <v>2.23</v>
      </c>
      <c r="J73" s="58">
        <v>14.2</v>
      </c>
      <c r="K73" s="6">
        <f t="shared" si="2"/>
        <v>1.913</v>
      </c>
      <c r="L73" s="139">
        <v>0.732</v>
      </c>
      <c r="M73" s="60">
        <f t="shared" si="46"/>
        <v>0.688</v>
      </c>
      <c r="N73" s="62">
        <f t="shared" si="45"/>
        <v>0.688</v>
      </c>
      <c r="O73" s="60">
        <f t="shared" si="47"/>
        <v>0.688</v>
      </c>
      <c r="P73" s="63">
        <v>90.0</v>
      </c>
      <c r="Q73" s="58">
        <v>97.54</v>
      </c>
      <c r="R73" s="65">
        <v>4429.35</v>
      </c>
      <c r="S73" s="66">
        <f t="array" ref="S73">IF((XLOOKUP(D73,RUC!$B$3:$B$106,RUC!$E$3:$E$106)+ROUNDDOWN(O73,1)*100)&lt;95,95,((XLOOKUP(D73,RUC!$B$3:$B$106,RUC!$E$3:$E$106)+ROUNDDOWN(O73,1)*100)))</f>
        <v>150</v>
      </c>
      <c r="U73" s="67">
        <f t="array" ref="U73">XLOOKUP(D73,RUC!$B$3:$B$110,RUC!$F$3:$F$110)</f>
        <v>120</v>
      </c>
      <c r="V73" s="67">
        <v>1.1023</v>
      </c>
      <c r="Y73" s="199">
        <v>30.0</v>
      </c>
      <c r="Z73" s="140">
        <v>40.0</v>
      </c>
      <c r="AA73" s="70">
        <f t="shared" si="6"/>
        <v>70</v>
      </c>
      <c r="AB73" s="71">
        <f t="shared" si="43"/>
        <v>2698.815676</v>
      </c>
      <c r="AC73" s="71">
        <f>+(S73-T73)*V73-'data 1'!$F$4</f>
        <v>85.345</v>
      </c>
      <c r="AD73" s="71">
        <f t="shared" si="7"/>
        <v>262.1766457</v>
      </c>
      <c r="AE73" s="71">
        <f t="shared" si="8"/>
        <v>7.161</v>
      </c>
      <c r="AF73" s="71">
        <f t="shared" si="9"/>
        <v>203.8670335</v>
      </c>
      <c r="AG73" s="72">
        <f t="shared" si="48"/>
        <v>575.5496792</v>
      </c>
      <c r="AH73" s="193">
        <f t="shared" si="10"/>
        <v>46.829</v>
      </c>
      <c r="AI73" s="193">
        <f t="shared" si="11"/>
        <v>48.01</v>
      </c>
      <c r="AJ73" s="73">
        <f t="shared" si="12"/>
        <v>548.2874196</v>
      </c>
      <c r="AK73" s="73">
        <f t="shared" si="13"/>
        <v>40.61205699</v>
      </c>
      <c r="AM73" s="51">
        <f t="shared" si="14"/>
        <v>5162.834388</v>
      </c>
      <c r="AN73" s="51" t="str">
        <f t="array" ref="AN73">XLOOKUP(D73,RUC!$B$3:$B$565,RUC!$M$3:$M$565)</f>
        <v>Zudaire</v>
      </c>
      <c r="AO73" s="131" t="s">
        <v>551</v>
      </c>
      <c r="AP73" s="57" t="s">
        <v>2840</v>
      </c>
      <c r="AQ73" s="57" t="s">
        <v>2841</v>
      </c>
    </row>
    <row r="74" ht="15.0" customHeight="1">
      <c r="A74" s="116" t="s">
        <v>2844</v>
      </c>
      <c r="B74" s="182">
        <v>46037.0</v>
      </c>
      <c r="C74" s="182">
        <v>46030.0</v>
      </c>
      <c r="D74" s="57" t="s">
        <v>2222</v>
      </c>
      <c r="E74" s="3" t="str">
        <f t="array" ref="E74">XLOOKUP(D74,RUC!$B$3:$B$110,RUC!$D$3:$D$110)</f>
        <v>20601769396*</v>
      </c>
      <c r="G74" s="141">
        <v>84.0</v>
      </c>
      <c r="H74" s="3" t="s">
        <v>40</v>
      </c>
      <c r="I74" s="6">
        <v>2.34</v>
      </c>
      <c r="J74" s="58">
        <v>14.8</v>
      </c>
      <c r="K74" s="6">
        <f t="shared" si="2"/>
        <v>1.994</v>
      </c>
      <c r="L74" s="139">
        <v>0.368</v>
      </c>
      <c r="M74" s="60">
        <f t="shared" si="46"/>
        <v>0.346</v>
      </c>
      <c r="N74" s="62">
        <f t="shared" si="45"/>
        <v>0.346</v>
      </c>
      <c r="O74" s="60">
        <f t="shared" si="47"/>
        <v>0.346</v>
      </c>
      <c r="P74" s="63">
        <v>90.0</v>
      </c>
      <c r="Q74" s="58">
        <v>95.92</v>
      </c>
      <c r="R74" s="65">
        <v>4429.35</v>
      </c>
      <c r="S74" s="66">
        <f t="array" ref="S74">IF((XLOOKUP(D74,RUC!$B$3:$B$106,RUC!$E$3:$E$106)+ROUNDDOWN(O74,1)*100)&lt;95,95,((XLOOKUP(D74,RUC!$B$3:$B$106,RUC!$E$3:$E$106)+ROUNDDOWN(O74,1)*100)))</f>
        <v>120</v>
      </c>
      <c r="U74" s="67">
        <f t="array" ref="U74">XLOOKUP(D74,RUC!$B$3:$B$110,RUC!$F$3:$F$110)</f>
        <v>120</v>
      </c>
      <c r="V74" s="67">
        <v>1.1023</v>
      </c>
      <c r="Y74" s="199">
        <v>30.0</v>
      </c>
      <c r="Z74" s="140">
        <v>40.0</v>
      </c>
      <c r="AA74" s="70">
        <f t="shared" si="6"/>
        <v>70</v>
      </c>
      <c r="AB74" s="71">
        <f t="shared" si="43"/>
        <v>1269.774192</v>
      </c>
      <c r="AC74" s="71">
        <f>+(S74-T74)*V74-'data 1'!$F$4</f>
        <v>52.276</v>
      </c>
      <c r="AD74" s="71">
        <f t="shared" si="7"/>
        <v>103.485881</v>
      </c>
      <c r="AE74" s="71">
        <f t="shared" si="8"/>
        <v>7.161</v>
      </c>
      <c r="AF74" s="71">
        <f t="shared" si="9"/>
        <v>100.2405467</v>
      </c>
      <c r="AG74" s="72">
        <f t="shared" si="48"/>
        <v>280.1634277</v>
      </c>
      <c r="AH74" s="193">
        <f t="shared" si="10"/>
        <v>24.132</v>
      </c>
      <c r="AI74" s="193">
        <f t="shared" si="11"/>
        <v>25.158</v>
      </c>
      <c r="AJ74" s="73">
        <f t="shared" si="12"/>
        <v>271.0637471</v>
      </c>
      <c r="AK74" s="73">
        <f t="shared" si="13"/>
        <v>21.28888086</v>
      </c>
      <c r="AM74" s="51">
        <f t="shared" si="14"/>
        <v>2531.929738</v>
      </c>
      <c r="AN74" s="51" t="str">
        <f t="array" ref="AN74">XLOOKUP(D74,RUC!$B$3:$B$565,RUC!$M$3:$M$565)</f>
        <v>Zudaire</v>
      </c>
      <c r="AO74" s="131" t="s">
        <v>558</v>
      </c>
      <c r="AP74" s="57" t="s">
        <v>2840</v>
      </c>
      <c r="AQ74" s="57" t="s">
        <v>2841</v>
      </c>
    </row>
    <row r="75" ht="15.0" customHeight="1">
      <c r="A75" s="116" t="s">
        <v>2845</v>
      </c>
      <c r="B75" s="182">
        <v>46037.0</v>
      </c>
      <c r="C75" s="182">
        <v>46030.0</v>
      </c>
      <c r="D75" s="57" t="s">
        <v>2222</v>
      </c>
      <c r="E75" s="3" t="str">
        <f t="array" ref="E75">XLOOKUP(D75,RUC!$B$3:$B$110,RUC!$D$3:$D$110)</f>
        <v>20601769396*</v>
      </c>
      <c r="G75" s="141">
        <v>43.0</v>
      </c>
      <c r="H75" s="3" t="s">
        <v>40</v>
      </c>
      <c r="I75" s="6">
        <v>1.48</v>
      </c>
      <c r="J75" s="58">
        <v>15.0</v>
      </c>
      <c r="K75" s="6">
        <f t="shared" si="2"/>
        <v>1.258</v>
      </c>
      <c r="L75" s="139">
        <v>0.293</v>
      </c>
      <c r="M75" s="60">
        <f t="shared" si="46"/>
        <v>0.274</v>
      </c>
      <c r="N75" s="62">
        <f t="shared" si="45"/>
        <v>0.274</v>
      </c>
      <c r="O75" s="60">
        <f t="shared" si="47"/>
        <v>0.274</v>
      </c>
      <c r="P75" s="63">
        <v>90.0</v>
      </c>
      <c r="Q75" s="58">
        <v>97.61</v>
      </c>
      <c r="R75" s="65">
        <v>4429.35</v>
      </c>
      <c r="S75" s="66">
        <f t="array" ref="S75">IF((XLOOKUP(D75,RUC!$B$3:$B$106,RUC!$E$3:$E$106)+ROUNDDOWN(O75,1)*100)&lt;95,95,((XLOOKUP(D75,RUC!$B$3:$B$106,RUC!$E$3:$E$106)+ROUNDDOWN(O75,1)*100)))</f>
        <v>110</v>
      </c>
      <c r="U75" s="67">
        <f t="array" ref="U75">XLOOKUP(D75,RUC!$B$3:$B$110,RUC!$F$3:$F$110)</f>
        <v>120</v>
      </c>
      <c r="V75" s="67">
        <v>1.1023</v>
      </c>
      <c r="Y75" s="199">
        <v>30.0</v>
      </c>
      <c r="Z75" s="140">
        <v>40.0</v>
      </c>
      <c r="AA75" s="70">
        <f t="shared" si="6"/>
        <v>70</v>
      </c>
      <c r="AB75" s="71">
        <f t="shared" si="43"/>
        <v>972.9844581</v>
      </c>
      <c r="AC75" s="71">
        <f>+(S75-T75)*V75-'data 1'!$F$4</f>
        <v>41.253</v>
      </c>
      <c r="AD75" s="71">
        <f t="shared" si="7"/>
        <v>105.9165565</v>
      </c>
      <c r="AE75" s="71">
        <f t="shared" si="8"/>
        <v>7.161</v>
      </c>
      <c r="AF75" s="71">
        <f t="shared" si="9"/>
        <v>88.09666936</v>
      </c>
      <c r="AG75" s="72">
        <f t="shared" si="48"/>
        <v>259.4272259</v>
      </c>
      <c r="AH75" s="193">
        <f t="shared" si="10"/>
        <v>12.335</v>
      </c>
      <c r="AI75" s="193">
        <f t="shared" si="11"/>
        <v>12.637</v>
      </c>
      <c r="AJ75" s="73">
        <f t="shared" si="12"/>
        <v>219.622273</v>
      </c>
      <c r="AK75" s="73">
        <f t="shared" si="13"/>
        <v>10.63610908</v>
      </c>
      <c r="AM75" s="51">
        <f t="shared" si="14"/>
        <v>1224.014448</v>
      </c>
      <c r="AN75" s="51" t="str">
        <f t="array" ref="AN75">XLOOKUP(D75,RUC!$B$3:$B$565,RUC!$M$3:$M$565)</f>
        <v>Zudaire</v>
      </c>
      <c r="AO75" s="131" t="s">
        <v>558</v>
      </c>
      <c r="AP75" s="57" t="s">
        <v>2840</v>
      </c>
      <c r="AQ75" s="57" t="s">
        <v>2841</v>
      </c>
    </row>
    <row r="76" ht="15.0" customHeight="1">
      <c r="A76" s="116" t="s">
        <v>2846</v>
      </c>
      <c r="B76" s="182">
        <v>46039.0</v>
      </c>
      <c r="C76" s="182">
        <v>46030.0</v>
      </c>
      <c r="D76" s="57" t="s">
        <v>2166</v>
      </c>
      <c r="E76" s="3">
        <f t="array" ref="E76">XLOOKUP(D76,RUC!$B$3:$B$110,RUC!$D$3:$D$110)</f>
        <v>10408856049</v>
      </c>
      <c r="G76" s="141" t="s">
        <v>735</v>
      </c>
      <c r="H76" s="3" t="s">
        <v>47</v>
      </c>
      <c r="I76" s="6">
        <v>36.08</v>
      </c>
      <c r="J76" s="58">
        <v>8.2</v>
      </c>
      <c r="K76" s="6">
        <f t="shared" si="2"/>
        <v>33.121</v>
      </c>
      <c r="L76" s="139">
        <v>0.21</v>
      </c>
      <c r="M76" s="60">
        <f t="shared" si="46"/>
        <v>0.191</v>
      </c>
      <c r="N76" s="62">
        <f t="shared" si="45"/>
        <v>0.191</v>
      </c>
      <c r="O76" s="60">
        <f t="shared" si="47"/>
        <v>0.191</v>
      </c>
      <c r="P76" s="63">
        <v>90.0</v>
      </c>
      <c r="Q76" s="58">
        <v>98.57</v>
      </c>
      <c r="R76" s="65">
        <v>4429.35</v>
      </c>
      <c r="S76" s="66">
        <f t="array" ref="S76">IF((XLOOKUP(D76,RUC!$B$3:$B$106,RUC!$E$3:$E$106)+ROUNDDOWN(O76,1)*100)&lt;95,95,((XLOOKUP(D76,RUC!$B$3:$B$106,RUC!$E$3:$E$106)+ROUNDDOWN(O76,1)*100)))</f>
        <v>100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69">
        <f t="array" ref="Z76">XLOOKUP(D76,RUC!$B$3:$B$110,RUC!$H$3:$H$110)</f>
        <v>30</v>
      </c>
      <c r="AA76" s="70">
        <f t="shared" si="6"/>
        <v>50</v>
      </c>
      <c r="AB76" s="71">
        <f t="shared" si="43"/>
        <v>651.2137792</v>
      </c>
      <c r="AC76" s="71">
        <f>+(S76-T76)*V76-'data 1'!$F$4</f>
        <v>30.23</v>
      </c>
      <c r="AD76" s="71">
        <f t="shared" si="7"/>
        <v>85.4892865</v>
      </c>
      <c r="AE76" s="71">
        <f t="shared" si="8"/>
        <v>-14.885</v>
      </c>
      <c r="AF76" s="71">
        <f t="shared" si="9"/>
        <v>88.9631052</v>
      </c>
      <c r="AG76" s="72">
        <f t="shared" si="48"/>
        <v>206.7973917</v>
      </c>
      <c r="AH76" s="193">
        <f t="shared" si="10"/>
        <v>235.059</v>
      </c>
      <c r="AI76" s="193">
        <f t="shared" si="11"/>
        <v>238.469</v>
      </c>
      <c r="AJ76" s="73">
        <f t="shared" si="12"/>
        <v>158.9565763</v>
      </c>
      <c r="AK76" s="73">
        <f t="shared" si="13"/>
        <v>195.2038534</v>
      </c>
      <c r="AM76" s="51">
        <f t="shared" si="14"/>
        <v>21568.85158</v>
      </c>
      <c r="AN76" s="51" t="str">
        <f t="array" ref="AN76">XLOOKUP(D76,RUC!$B$3:$B$565,RUC!$M$3:$M$565)</f>
        <v>Richard Sapacayo</v>
      </c>
      <c r="AO76" s="131" t="s">
        <v>558</v>
      </c>
      <c r="AP76" s="57" t="s">
        <v>1504</v>
      </c>
      <c r="AQ76" s="57" t="s">
        <v>2059</v>
      </c>
    </row>
    <row r="77" ht="15.0" customHeight="1">
      <c r="A77" s="116" t="s">
        <v>2847</v>
      </c>
      <c r="B77" s="182">
        <v>46037.0</v>
      </c>
      <c r="C77" s="182">
        <v>46030.0</v>
      </c>
      <c r="D77" s="57" t="s">
        <v>2222</v>
      </c>
      <c r="E77" s="3" t="str">
        <f t="array" ref="E77">XLOOKUP(D77,RUC!$B$3:$B$110,RUC!$D$3:$D$110)</f>
        <v>20601769396*</v>
      </c>
      <c r="G77" s="141">
        <v>341.0</v>
      </c>
      <c r="H77" s="3" t="s">
        <v>40</v>
      </c>
      <c r="I77" s="6">
        <v>10.5</v>
      </c>
      <c r="J77" s="58">
        <v>18.8</v>
      </c>
      <c r="K77" s="6">
        <f t="shared" si="2"/>
        <v>8.526</v>
      </c>
      <c r="L77" s="139">
        <v>0.127</v>
      </c>
      <c r="M77" s="60">
        <f t="shared" si="46"/>
        <v>0.108</v>
      </c>
      <c r="N77" s="62">
        <f t="shared" si="45"/>
        <v>0.108</v>
      </c>
      <c r="O77" s="60">
        <f t="shared" si="47"/>
        <v>0.108</v>
      </c>
      <c r="P77" s="63">
        <v>90.0</v>
      </c>
      <c r="Q77" s="58">
        <v>87.4</v>
      </c>
      <c r="R77" s="65">
        <v>4429.35</v>
      </c>
      <c r="S77" s="66">
        <f t="array" ref="S77">IF((XLOOKUP(D77,RUC!$B$3:$B$106,RUC!$E$3:$E$106)+ROUNDDOWN(O77,1)*100)&lt;95,95,((XLOOKUP(D77,RUC!$B$3:$B$106,RUC!$E$3:$E$106)+ROUNDDOWN(O77,1)*100)))</f>
        <v>100</v>
      </c>
      <c r="U77" s="67">
        <f t="array" ref="U77">XLOOKUP(D77,RUC!$B$3:$B$110,RUC!$F$3:$F$110)</f>
        <v>120</v>
      </c>
      <c r="V77" s="67">
        <v>1.1023</v>
      </c>
      <c r="Y77" s="199">
        <v>30.0</v>
      </c>
      <c r="Z77" s="140">
        <v>40.0</v>
      </c>
      <c r="AA77" s="70">
        <f t="shared" si="6"/>
        <v>70</v>
      </c>
      <c r="AB77" s="71">
        <f t="shared" si="43"/>
        <v>274.3281003</v>
      </c>
      <c r="AC77" s="71">
        <f>+(S77-T77)*V77-'data 1'!$F$4</f>
        <v>30.23</v>
      </c>
      <c r="AD77" s="71">
        <f t="shared" si="7"/>
        <v>-15.68514886</v>
      </c>
      <c r="AE77" s="71">
        <f t="shared" si="8"/>
        <v>7.161</v>
      </c>
      <c r="AF77" s="71">
        <f t="shared" si="9"/>
        <v>78.88176316</v>
      </c>
      <c r="AG77" s="72">
        <f t="shared" si="48"/>
        <v>117.5876143</v>
      </c>
      <c r="AH77" s="193">
        <f t="shared" si="10"/>
        <v>32.447</v>
      </c>
      <c r="AI77" s="193">
        <f t="shared" si="11"/>
        <v>37.124</v>
      </c>
      <c r="AJ77" s="73">
        <f t="shared" si="12"/>
        <v>85.23728391</v>
      </c>
      <c r="AK77" s="73">
        <f t="shared" si="13"/>
        <v>28.41323364</v>
      </c>
      <c r="AM77" s="51">
        <f t="shared" si="14"/>
        <v>2338.921383</v>
      </c>
      <c r="AN77" s="51" t="str">
        <f t="array" ref="AN77">XLOOKUP(D77,RUC!$B$3:$B$565,RUC!$M$3:$M$565)</f>
        <v>Zudaire</v>
      </c>
      <c r="AO77" s="131" t="s">
        <v>558</v>
      </c>
      <c r="AP77" s="57" t="s">
        <v>2840</v>
      </c>
      <c r="AQ77" s="57" t="s">
        <v>2841</v>
      </c>
    </row>
    <row r="78" ht="15.0" customHeight="1">
      <c r="A78" s="116" t="s">
        <v>2848</v>
      </c>
      <c r="B78" s="182">
        <v>46037.0</v>
      </c>
      <c r="C78" s="182">
        <v>46030.0</v>
      </c>
      <c r="D78" s="57" t="s">
        <v>2222</v>
      </c>
      <c r="E78" s="3" t="str">
        <f t="array" ref="E78">XLOOKUP(D78,RUC!$B$3:$B$110,RUC!$D$3:$D$110)</f>
        <v>20601769396*</v>
      </c>
      <c r="G78" s="141">
        <v>177.0</v>
      </c>
      <c r="H78" s="3" t="s">
        <v>40</v>
      </c>
      <c r="I78" s="6">
        <v>5.15</v>
      </c>
      <c r="J78" s="58">
        <v>19.1</v>
      </c>
      <c r="K78" s="6">
        <f t="shared" si="2"/>
        <v>4.166</v>
      </c>
      <c r="L78" s="139">
        <v>0.226</v>
      </c>
      <c r="M78" s="60">
        <f t="shared" si="46"/>
        <v>0.207</v>
      </c>
      <c r="N78" s="62">
        <f t="shared" si="45"/>
        <v>0.207</v>
      </c>
      <c r="O78" s="60">
        <f t="shared" si="47"/>
        <v>0.207</v>
      </c>
      <c r="P78" s="63">
        <v>86.0</v>
      </c>
      <c r="Q78" s="58">
        <v>89.38</v>
      </c>
      <c r="R78" s="65">
        <v>4429.35</v>
      </c>
      <c r="S78" s="66">
        <f t="array" ref="S78">IF((XLOOKUP(D78,RUC!$B$3:$B$106,RUC!$E$3:$E$106)+ROUNDDOWN(O78,1)*100)&lt;95,95,((XLOOKUP(D78,RUC!$B$3:$B$106,RUC!$E$3:$E$106)+ROUNDDOWN(O78,1)*100)))</f>
        <v>110</v>
      </c>
      <c r="U78" s="67">
        <f t="array" ref="U78">XLOOKUP(D78,RUC!$B$3:$B$110,RUC!$F$3:$F$110)</f>
        <v>120</v>
      </c>
      <c r="V78" s="67">
        <v>1.1023</v>
      </c>
      <c r="Y78" s="199">
        <v>30.0</v>
      </c>
      <c r="Z78" s="140">
        <v>40.0</v>
      </c>
      <c r="AA78" s="70">
        <f t="shared" si="6"/>
        <v>70</v>
      </c>
      <c r="AB78" s="71">
        <f t="shared" si="43"/>
        <v>647.2159818</v>
      </c>
      <c r="AC78" s="71">
        <f>+(S78-T78)*V78-'data 1'!$F$4</f>
        <v>41.253</v>
      </c>
      <c r="AD78" s="71">
        <f t="shared" si="7"/>
        <v>36.28580106</v>
      </c>
      <c r="AE78" s="71">
        <f t="shared" si="8"/>
        <v>7.161</v>
      </c>
      <c r="AF78" s="71">
        <f t="shared" si="9"/>
        <v>80.66878709</v>
      </c>
      <c r="AG78" s="72">
        <f t="shared" si="48"/>
        <v>182.3685881</v>
      </c>
      <c r="AH78" s="193">
        <f t="shared" si="10"/>
        <v>28.852</v>
      </c>
      <c r="AI78" s="193">
        <f t="shared" si="11"/>
        <v>32.28</v>
      </c>
      <c r="AJ78" s="73">
        <f t="shared" si="12"/>
        <v>155.1183721</v>
      </c>
      <c r="AK78" s="73">
        <f t="shared" si="13"/>
        <v>25.4271176</v>
      </c>
      <c r="AM78" s="51">
        <f t="shared" si="14"/>
        <v>2696.30178</v>
      </c>
      <c r="AN78" s="51" t="str">
        <f t="array" ref="AN78">XLOOKUP(D78,RUC!$B$3:$B$565,RUC!$M$3:$M$565)</f>
        <v>Zudaire</v>
      </c>
      <c r="AO78" s="131" t="s">
        <v>551</v>
      </c>
      <c r="AP78" s="57" t="s">
        <v>2840</v>
      </c>
      <c r="AQ78" s="57" t="s">
        <v>2841</v>
      </c>
    </row>
    <row r="79" ht="15.0" customHeight="1">
      <c r="A79" s="116" t="s">
        <v>2849</v>
      </c>
      <c r="B79" s="182">
        <v>46037.0</v>
      </c>
      <c r="C79" s="182">
        <v>46030.0</v>
      </c>
      <c r="D79" s="57" t="s">
        <v>2222</v>
      </c>
      <c r="E79" s="3" t="str">
        <f t="array" ref="E79">XLOOKUP(D79,RUC!$B$3:$B$110,RUC!$D$3:$D$110)</f>
        <v>20601769396*</v>
      </c>
      <c r="G79" s="141">
        <v>170.0</v>
      </c>
      <c r="H79" s="3" t="s">
        <v>40</v>
      </c>
      <c r="I79" s="6">
        <v>4.78</v>
      </c>
      <c r="J79" s="58">
        <v>18.6</v>
      </c>
      <c r="K79" s="6">
        <f t="shared" si="2"/>
        <v>3.891</v>
      </c>
      <c r="L79" s="139">
        <v>0.276</v>
      </c>
      <c r="M79" s="60">
        <f t="shared" si="46"/>
        <v>0.257</v>
      </c>
      <c r="N79" s="62">
        <f t="shared" si="45"/>
        <v>0.257</v>
      </c>
      <c r="O79" s="60">
        <f t="shared" si="47"/>
        <v>0.257</v>
      </c>
      <c r="P79" s="63">
        <v>80.0</v>
      </c>
      <c r="Q79" s="58">
        <v>81.52</v>
      </c>
      <c r="R79" s="65">
        <v>4429.35</v>
      </c>
      <c r="S79" s="66">
        <f t="array" ref="S79">IF((XLOOKUP(D79,RUC!$B$3:$B$106,RUC!$E$3:$E$106)+ROUNDDOWN(O79,1)*100)&lt;95,95,((XLOOKUP(D79,RUC!$B$3:$B$106,RUC!$E$3:$E$106)+ROUNDDOWN(O79,1)*100)))</f>
        <v>110</v>
      </c>
      <c r="U79" s="67">
        <f t="array" ref="U79">XLOOKUP(D79,RUC!$B$3:$B$110,RUC!$F$3:$F$110)</f>
        <v>120</v>
      </c>
      <c r="V79" s="67">
        <v>1.1023</v>
      </c>
      <c r="Y79" s="199">
        <v>30.0</v>
      </c>
      <c r="Z79" s="140">
        <v>40.0</v>
      </c>
      <c r="AA79" s="70">
        <f t="shared" si="6"/>
        <v>70</v>
      </c>
      <c r="AB79" s="71">
        <f t="shared" si="43"/>
        <v>778.2264014</v>
      </c>
      <c r="AC79" s="71">
        <f>+(S79-T79)*V79-'data 1'!$F$4</f>
        <v>41.253</v>
      </c>
      <c r="AD79" s="71">
        <f t="shared" si="7"/>
        <v>19.92802438</v>
      </c>
      <c r="AE79" s="71">
        <f t="shared" si="8"/>
        <v>7.161</v>
      </c>
      <c r="AF79" s="71">
        <f t="shared" si="9"/>
        <v>73.57484363</v>
      </c>
      <c r="AG79" s="72">
        <f t="shared" si="48"/>
        <v>158.916868</v>
      </c>
      <c r="AH79" s="193">
        <f t="shared" si="10"/>
        <v>30.015</v>
      </c>
      <c r="AI79" s="193">
        <f t="shared" si="11"/>
        <v>36.82</v>
      </c>
      <c r="AJ79" s="73">
        <f t="shared" si="12"/>
        <v>172.7777054</v>
      </c>
      <c r="AK79" s="73">
        <f t="shared" si="13"/>
        <v>27.42795387</v>
      </c>
      <c r="AM79" s="51">
        <f t="shared" si="14"/>
        <v>3028.078928</v>
      </c>
      <c r="AN79" s="51" t="str">
        <f t="array" ref="AN79">XLOOKUP(D79,RUC!$B$3:$B$565,RUC!$M$3:$M$565)</f>
        <v>Zudaire</v>
      </c>
      <c r="AO79" s="131" t="s">
        <v>551</v>
      </c>
      <c r="AP79" s="57" t="s">
        <v>2840</v>
      </c>
      <c r="AQ79" s="57" t="s">
        <v>2841</v>
      </c>
    </row>
    <row r="80" ht="15.0" customHeight="1">
      <c r="A80" s="116" t="s">
        <v>2850</v>
      </c>
      <c r="B80" s="182">
        <v>46038.0</v>
      </c>
      <c r="C80" s="182">
        <v>46032.0</v>
      </c>
      <c r="D80" s="57" t="s">
        <v>1203</v>
      </c>
      <c r="E80" s="3">
        <f t="array" ref="E80">XLOOKUP(D80,RUC!$B$3:$B$110,RUC!$D$3:$D$110)</f>
        <v>20601463173</v>
      </c>
      <c r="G80" s="141">
        <v>8.0</v>
      </c>
      <c r="H80" s="3" t="s">
        <v>339</v>
      </c>
      <c r="I80" s="6">
        <v>0.53</v>
      </c>
      <c r="J80" s="58">
        <v>1.2</v>
      </c>
      <c r="K80" s="6">
        <f t="shared" si="2"/>
        <v>0.524</v>
      </c>
      <c r="L80" s="139">
        <v>0.84</v>
      </c>
      <c r="M80" s="60">
        <f t="shared" si="46"/>
        <v>0.79</v>
      </c>
      <c r="N80" s="62">
        <f t="shared" si="45"/>
        <v>0.79</v>
      </c>
      <c r="O80" s="60">
        <f t="shared" si="47"/>
        <v>0.79</v>
      </c>
      <c r="P80" s="63">
        <v>90.0</v>
      </c>
      <c r="Q80" s="58">
        <v>95.71</v>
      </c>
      <c r="R80" s="65">
        <v>4493.85</v>
      </c>
      <c r="S80" s="66">
        <f t="array" ref="S80">IF((XLOOKUP(D80,RUC!$B$3:$B$106,RUC!$E$3:$E$106)+ROUNDDOWN(O80,1)*100)&lt;95,95,((XLOOKUP(D80,RUC!$B$3:$B$106,RUC!$E$3:$E$106)+ROUNDDOWN(O80,1)*100)))</f>
        <v>160</v>
      </c>
      <c r="U80" s="67">
        <f t="array" ref="U80">XLOOKUP(D80,RUC!$B$3:$B$110,RUC!$F$3:$F$110)</f>
        <v>100</v>
      </c>
      <c r="V80" s="67">
        <v>1.1023</v>
      </c>
      <c r="Y80" s="57" t="str">
        <f t="array" ref="Y80">XLOOKUP(D80,RUC!$B$3:$B$110,RUC!$G$3:$G$110)</f>
        <v/>
      </c>
      <c r="Z80" s="69">
        <f t="array" ref="Z80">XLOOKUP(D80,RUC!$B$3:$B$110,RUC!$H$3:$H$110)</f>
        <v>30</v>
      </c>
      <c r="AA80" s="70">
        <f t="shared" si="6"/>
        <v>30</v>
      </c>
      <c r="AB80" s="71">
        <f t="shared" si="43"/>
        <v>3234.178348</v>
      </c>
      <c r="AC80" s="71">
        <f>+(S80-T80)*V80-'data 1'!$F$4</f>
        <v>96.368</v>
      </c>
      <c r="AD80" s="71">
        <f t="shared" si="7"/>
        <v>232.3060008</v>
      </c>
      <c r="AE80" s="71">
        <f t="shared" si="8"/>
        <v>-36.931</v>
      </c>
      <c r="AF80" s="71">
        <f t="shared" si="9"/>
        <v>231.7780766</v>
      </c>
      <c r="AG80" s="72">
        <f t="shared" si="48"/>
        <v>540.5210774</v>
      </c>
      <c r="AH80" s="193">
        <f t="shared" si="10"/>
        <v>14.444</v>
      </c>
      <c r="AI80" s="193">
        <f t="shared" si="11"/>
        <v>15.091</v>
      </c>
      <c r="AJ80" s="73">
        <f t="shared" si="12"/>
        <v>542.493156</v>
      </c>
      <c r="AK80" s="73">
        <f t="shared" si="13"/>
        <v>12.77350131</v>
      </c>
      <c r="AM80" s="51">
        <f t="shared" si="14"/>
        <v>1694.709454</v>
      </c>
      <c r="AN80" s="51" t="str">
        <f t="array" ref="AN80">XLOOKUP(D80,RUC!$B$3:$B$565,RUC!$M$3:$M$565)</f>
        <v>Yuri Rospigliossi</v>
      </c>
      <c r="AO80" s="131" t="s">
        <v>547</v>
      </c>
      <c r="AP80" s="57" t="s">
        <v>2851</v>
      </c>
      <c r="AQ80" s="57" t="s">
        <v>2852</v>
      </c>
    </row>
    <row r="81" ht="15.0" customHeight="1">
      <c r="A81" s="116" t="s">
        <v>2853</v>
      </c>
      <c r="B81" s="182">
        <v>46038.0</v>
      </c>
      <c r="C81" s="182">
        <v>46032.0</v>
      </c>
      <c r="D81" s="57" t="s">
        <v>1203</v>
      </c>
      <c r="E81" s="3">
        <f t="array" ref="E81">XLOOKUP(D81,RUC!$B$3:$B$110,RUC!$D$3:$D$110)</f>
        <v>20601463173</v>
      </c>
      <c r="G81" s="141">
        <v>50.0</v>
      </c>
      <c r="H81" s="3" t="s">
        <v>339</v>
      </c>
      <c r="I81" s="6">
        <v>3.72</v>
      </c>
      <c r="J81" s="58">
        <v>1.3</v>
      </c>
      <c r="K81" s="6">
        <f t="shared" si="2"/>
        <v>3.672</v>
      </c>
      <c r="L81" s="139">
        <v>0.99</v>
      </c>
      <c r="M81" s="60">
        <f t="shared" si="46"/>
        <v>0.931</v>
      </c>
      <c r="N81" s="62">
        <f t="shared" si="45"/>
        <v>0.931</v>
      </c>
      <c r="O81" s="60">
        <f t="shared" si="47"/>
        <v>0.931</v>
      </c>
      <c r="P81" s="63">
        <v>90.0</v>
      </c>
      <c r="Q81" s="58">
        <v>95.45</v>
      </c>
      <c r="R81" s="65">
        <v>4493.85</v>
      </c>
      <c r="S81" s="66">
        <f t="array" ref="S81">IF((XLOOKUP(D81,RUC!$B$3:$B$106,RUC!$E$3:$E$106)+ROUNDDOWN(O81,1)*100)&lt;95,95,((XLOOKUP(D81,RUC!$B$3:$B$106,RUC!$E$3:$E$106)+ROUNDDOWN(O81,1)*100)))</f>
        <v>180</v>
      </c>
      <c r="U81" s="67">
        <f t="array" ref="U81">XLOOKUP(D81,RUC!$B$3:$B$110,RUC!$F$3:$F$110)</f>
        <v>100</v>
      </c>
      <c r="V81" s="67">
        <v>1.1023</v>
      </c>
      <c r="Y81" s="57" t="str">
        <f t="array" ref="Y81">XLOOKUP(D81,RUC!$B$3:$B$110,RUC!$G$3:$G$110)</f>
        <v/>
      </c>
      <c r="Z81" s="69">
        <f t="array" ref="Z81">XLOOKUP(D81,RUC!$B$3:$B$110,RUC!$H$3:$H$110)</f>
        <v>30</v>
      </c>
      <c r="AA81" s="70">
        <f t="shared" si="6"/>
        <v>30</v>
      </c>
      <c r="AB81" s="71">
        <f t="shared" si="43"/>
        <v>3826.752302</v>
      </c>
      <c r="AC81" s="71">
        <f>+(S81-T81)*V81-'data 1'!$F$4</f>
        <v>118.414</v>
      </c>
      <c r="AD81" s="71">
        <f t="shared" si="7"/>
        <v>261.3224558</v>
      </c>
      <c r="AE81" s="71">
        <f t="shared" si="8"/>
        <v>-36.931</v>
      </c>
      <c r="AF81" s="71">
        <f t="shared" si="9"/>
        <v>272.7551619</v>
      </c>
      <c r="AG81" s="72">
        <f t="shared" si="48"/>
        <v>632.5606178</v>
      </c>
      <c r="AH81" s="193">
        <f t="shared" si="10"/>
        <v>118.966</v>
      </c>
      <c r="AI81" s="193">
        <f t="shared" si="11"/>
        <v>124.637</v>
      </c>
      <c r="AJ81" s="73">
        <f t="shared" si="12"/>
        <v>637.6300682</v>
      </c>
      <c r="AK81" s="73">
        <f t="shared" si="13"/>
        <v>105.4882122</v>
      </c>
      <c r="AM81" s="51">
        <f t="shared" si="14"/>
        <v>14051.83445</v>
      </c>
      <c r="AN81" s="51" t="str">
        <f t="array" ref="AN81">XLOOKUP(D81,RUC!$B$3:$B$565,RUC!$M$3:$M$565)</f>
        <v>Yuri Rospigliossi</v>
      </c>
      <c r="AO81" s="131" t="s">
        <v>547</v>
      </c>
      <c r="AP81" s="57" t="s">
        <v>2851</v>
      </c>
      <c r="AQ81" s="57" t="s">
        <v>2852</v>
      </c>
    </row>
    <row r="82" ht="15.0" customHeight="1">
      <c r="A82" s="116" t="s">
        <v>2854</v>
      </c>
      <c r="B82" s="182">
        <v>46038.0</v>
      </c>
      <c r="C82" s="182">
        <v>46032.0</v>
      </c>
      <c r="D82" s="57" t="s">
        <v>1203</v>
      </c>
      <c r="E82" s="3">
        <f t="array" ref="E82">XLOOKUP(D82,RUC!$B$3:$B$110,RUC!$D$3:$D$110)</f>
        <v>20601463173</v>
      </c>
      <c r="G82" s="141">
        <v>8.0</v>
      </c>
      <c r="H82" s="3" t="s">
        <v>339</v>
      </c>
      <c r="I82" s="6">
        <v>0.49</v>
      </c>
      <c r="J82" s="58">
        <v>1.2</v>
      </c>
      <c r="K82" s="6">
        <f t="shared" si="2"/>
        <v>0.484</v>
      </c>
      <c r="L82" s="139">
        <v>0.764</v>
      </c>
      <c r="M82" s="60">
        <f t="shared" si="46"/>
        <v>0.718</v>
      </c>
      <c r="N82" s="62">
        <f t="shared" si="45"/>
        <v>0.718</v>
      </c>
      <c r="O82" s="60">
        <f t="shared" si="47"/>
        <v>0.718</v>
      </c>
      <c r="P82" s="63">
        <v>90.0</v>
      </c>
      <c r="Q82" s="58">
        <v>97.12</v>
      </c>
      <c r="R82" s="65">
        <v>4493.85</v>
      </c>
      <c r="S82" s="66">
        <f t="array" ref="S82">IF((XLOOKUP(D82,RUC!$B$3:$B$106,RUC!$E$3:$E$106)+ROUNDDOWN(O82,1)*100)&lt;95,95,((XLOOKUP(D82,RUC!$B$3:$B$106,RUC!$E$3:$E$106)+ROUNDDOWN(O82,1)*100)))</f>
        <v>160</v>
      </c>
      <c r="U82" s="67">
        <f t="array" ref="U82">XLOOKUP(D82,RUC!$B$3:$B$110,RUC!$F$3:$F$110)</f>
        <v>100</v>
      </c>
      <c r="V82" s="67">
        <v>1.1023</v>
      </c>
      <c r="Y82" s="57" t="str">
        <f t="array" ref="Y82">XLOOKUP(D82,RUC!$B$3:$B$110,RUC!$G$3:$G$110)</f>
        <v/>
      </c>
      <c r="Z82" s="69">
        <f t="array" ref="Z82">XLOOKUP(D82,RUC!$B$3:$B$110,RUC!$H$3:$H$110)</f>
        <v>30</v>
      </c>
      <c r="AA82" s="70">
        <f t="shared" si="6"/>
        <v>30</v>
      </c>
      <c r="AB82" s="71">
        <f t="shared" si="43"/>
        <v>2920.329861</v>
      </c>
      <c r="AC82" s="71">
        <f>+(S82-T82)*V82-'data 1'!$F$4</f>
        <v>96.368</v>
      </c>
      <c r="AD82" s="71">
        <f t="shared" si="7"/>
        <v>263.4622438</v>
      </c>
      <c r="AE82" s="71">
        <f t="shared" si="8"/>
        <v>-36.931</v>
      </c>
      <c r="AF82" s="71">
        <f t="shared" si="9"/>
        <v>216.3772214</v>
      </c>
      <c r="AG82" s="72">
        <f t="shared" si="48"/>
        <v>556.2764652</v>
      </c>
      <c r="AH82" s="193">
        <f t="shared" si="10"/>
        <v>12.313</v>
      </c>
      <c r="AI82" s="193">
        <f t="shared" si="11"/>
        <v>12.678</v>
      </c>
      <c r="AJ82" s="73">
        <f t="shared" si="12"/>
        <v>500.6793659</v>
      </c>
      <c r="AK82" s="73">
        <f t="shared" si="13"/>
        <v>10.72312539</v>
      </c>
      <c r="AM82" s="51">
        <f t="shared" si="14"/>
        <v>1413.439652</v>
      </c>
      <c r="AN82" s="51" t="str">
        <f t="array" ref="AN82">XLOOKUP(D82,RUC!$B$3:$B$565,RUC!$M$3:$M$565)</f>
        <v>Yuri Rospigliossi</v>
      </c>
      <c r="AO82" s="131" t="s">
        <v>547</v>
      </c>
      <c r="AP82" s="57" t="s">
        <v>2851</v>
      </c>
      <c r="AQ82" s="57" t="s">
        <v>2852</v>
      </c>
    </row>
    <row r="83" ht="15.0" customHeight="1">
      <c r="A83" s="116" t="s">
        <v>2855</v>
      </c>
      <c r="B83" s="182">
        <v>46038.0</v>
      </c>
      <c r="C83" s="182">
        <v>46032.0</v>
      </c>
      <c r="D83" s="57" t="s">
        <v>1203</v>
      </c>
      <c r="E83" s="3">
        <f t="array" ref="E83">XLOOKUP(D83,RUC!$B$3:$B$110,RUC!$D$3:$D$110)</f>
        <v>20601463173</v>
      </c>
      <c r="G83" s="141">
        <v>34.0</v>
      </c>
      <c r="H83" s="3" t="s">
        <v>339</v>
      </c>
      <c r="I83" s="6">
        <v>2.54</v>
      </c>
      <c r="J83" s="58">
        <v>1.2</v>
      </c>
      <c r="K83" s="6">
        <f t="shared" si="2"/>
        <v>2.51</v>
      </c>
      <c r="L83" s="139">
        <v>0.9</v>
      </c>
      <c r="M83" s="60">
        <f t="shared" si="46"/>
        <v>0.846</v>
      </c>
      <c r="N83" s="62">
        <f t="shared" si="45"/>
        <v>0.846</v>
      </c>
      <c r="O83" s="60">
        <f t="shared" si="47"/>
        <v>0.846</v>
      </c>
      <c r="P83" s="63">
        <v>90.0</v>
      </c>
      <c r="Q83" s="58">
        <v>95.78</v>
      </c>
      <c r="R83" s="65">
        <v>4493.85</v>
      </c>
      <c r="S83" s="66">
        <f t="array" ref="S83">IF((XLOOKUP(D83,RUC!$B$3:$B$106,RUC!$E$3:$E$106)+ROUNDDOWN(O83,1)*100)&lt;95,95,((XLOOKUP(D83,RUC!$B$3:$B$106,RUC!$E$3:$E$106)+ROUNDDOWN(O83,1)*100)))</f>
        <v>170</v>
      </c>
      <c r="U83" s="67">
        <f t="array" ref="U83">XLOOKUP(D83,RUC!$B$3:$B$110,RUC!$F$3:$F$110)</f>
        <v>100</v>
      </c>
      <c r="V83" s="67">
        <v>1.1023</v>
      </c>
      <c r="Y83" s="57" t="str">
        <f t="array" ref="Y83">XLOOKUP(D83,RUC!$B$3:$B$110,RUC!$G$3:$G$110)</f>
        <v/>
      </c>
      <c r="Z83" s="69">
        <f t="array" ref="Z83">XLOOKUP(D83,RUC!$B$3:$B$110,RUC!$H$3:$H$110)</f>
        <v>30</v>
      </c>
      <c r="AA83" s="70">
        <f t="shared" si="6"/>
        <v>30</v>
      </c>
      <c r="AB83" s="71">
        <f t="shared" si="43"/>
        <v>3467.259727</v>
      </c>
      <c r="AC83" s="71">
        <f>+(S83-T83)*V83-'data 1'!$F$4</f>
        <v>107.391</v>
      </c>
      <c r="AD83" s="71">
        <f t="shared" si="7"/>
        <v>251.9505913</v>
      </c>
      <c r="AE83" s="71">
        <f t="shared" si="8"/>
        <v>-36.931</v>
      </c>
      <c r="AF83" s="71">
        <f t="shared" si="9"/>
        <v>250.503401</v>
      </c>
      <c r="AG83" s="72">
        <f t="shared" si="48"/>
        <v>589.9139923</v>
      </c>
      <c r="AH83" s="193">
        <f t="shared" si="10"/>
        <v>74.182</v>
      </c>
      <c r="AI83" s="193">
        <f t="shared" si="11"/>
        <v>77.451</v>
      </c>
      <c r="AJ83" s="73">
        <f t="shared" si="12"/>
        <v>581.667774</v>
      </c>
      <c r="AK83" s="73">
        <f t="shared" si="13"/>
        <v>65.5232851</v>
      </c>
      <c r="AM83" s="51">
        <f t="shared" si="14"/>
        <v>8702.821915</v>
      </c>
      <c r="AN83" s="51" t="str">
        <f t="array" ref="AN83">XLOOKUP(D83,RUC!$B$3:$B$565,RUC!$M$3:$M$565)</f>
        <v>Yuri Rospigliossi</v>
      </c>
      <c r="AO83" s="131" t="s">
        <v>547</v>
      </c>
      <c r="AP83" s="57" t="s">
        <v>2851</v>
      </c>
      <c r="AQ83" s="57" t="s">
        <v>2852</v>
      </c>
    </row>
    <row r="84" ht="15.0" customHeight="1">
      <c r="A84" s="116" t="s">
        <v>2856</v>
      </c>
      <c r="B84" s="182">
        <v>46038.0</v>
      </c>
      <c r="C84" s="182">
        <v>46032.0</v>
      </c>
      <c r="D84" s="57" t="s">
        <v>1203</v>
      </c>
      <c r="E84" s="3">
        <f t="array" ref="E84">XLOOKUP(D84,RUC!$B$3:$B$110,RUC!$D$3:$D$110)</f>
        <v>20601463173</v>
      </c>
      <c r="G84" s="141">
        <v>24.0</v>
      </c>
      <c r="H84" s="3" t="s">
        <v>339</v>
      </c>
      <c r="I84" s="6">
        <v>1.56</v>
      </c>
      <c r="J84" s="58">
        <v>1.3</v>
      </c>
      <c r="K84" s="6">
        <f t="shared" si="2"/>
        <v>1.54</v>
      </c>
      <c r="L84" s="139">
        <v>0.522</v>
      </c>
      <c r="M84" s="60">
        <f t="shared" si="46"/>
        <v>0.491</v>
      </c>
      <c r="N84" s="62">
        <f t="shared" si="45"/>
        <v>0.491</v>
      </c>
      <c r="O84" s="60">
        <f t="shared" si="47"/>
        <v>0.491</v>
      </c>
      <c r="P84" s="63">
        <v>90.0</v>
      </c>
      <c r="Q84" s="58">
        <v>97.7</v>
      </c>
      <c r="R84" s="65">
        <v>4493.85</v>
      </c>
      <c r="S84" s="66">
        <f t="array" ref="S84">IF((XLOOKUP(D84,RUC!$B$3:$B$106,RUC!$E$3:$E$106)+ROUNDDOWN(O84,1)*100)&lt;95,95,((XLOOKUP(D84,RUC!$B$3:$B$106,RUC!$E$3:$E$106)+ROUNDDOWN(O84,1)*100)))</f>
        <v>130</v>
      </c>
      <c r="U84" s="67">
        <f t="array" ref="U84">XLOOKUP(D84,RUC!$B$3:$B$110,RUC!$F$3:$F$110)</f>
        <v>100</v>
      </c>
      <c r="V84" s="67">
        <v>1.1023</v>
      </c>
      <c r="Y84" s="57" t="str">
        <f t="array" ref="Y84">XLOOKUP(D84,RUC!$B$3:$B$110,RUC!$G$3:$G$110)</f>
        <v/>
      </c>
      <c r="Z84" s="69">
        <f t="array" ref="Z84">XLOOKUP(D84,RUC!$B$3:$B$110,RUC!$H$3:$H$110)</f>
        <v>30</v>
      </c>
      <c r="AA84" s="70">
        <f t="shared" si="6"/>
        <v>30</v>
      </c>
      <c r="AB84" s="71">
        <f t="shared" si="43"/>
        <v>1963.904324</v>
      </c>
      <c r="AC84" s="71">
        <f>+(S84-T84)*V84-'data 1'!$F$4</f>
        <v>63.299</v>
      </c>
      <c r="AD84" s="71">
        <f t="shared" si="7"/>
        <v>194.6732423</v>
      </c>
      <c r="AE84" s="71">
        <f t="shared" si="8"/>
        <v>-36.931</v>
      </c>
      <c r="AF84" s="71">
        <f t="shared" si="9"/>
        <v>146.6902645</v>
      </c>
      <c r="AG84" s="72">
        <f t="shared" si="48"/>
        <v>384.7315068</v>
      </c>
      <c r="AH84" s="193">
        <f t="shared" si="10"/>
        <v>26.927</v>
      </c>
      <c r="AI84" s="193">
        <f t="shared" si="11"/>
        <v>27.561</v>
      </c>
      <c r="AJ84" s="73">
        <f t="shared" si="12"/>
        <v>344.1301533</v>
      </c>
      <c r="AK84" s="73">
        <f t="shared" si="13"/>
        <v>23.33209799</v>
      </c>
      <c r="AM84" s="51">
        <f t="shared" si="14"/>
        <v>3024.412659</v>
      </c>
      <c r="AN84" s="51" t="str">
        <f t="array" ref="AN84">XLOOKUP(D84,RUC!$B$3:$B$565,RUC!$M$3:$M$565)</f>
        <v>Yuri Rospigliossi</v>
      </c>
      <c r="AO84" s="131" t="s">
        <v>547</v>
      </c>
      <c r="AP84" s="57" t="s">
        <v>2851</v>
      </c>
      <c r="AQ84" s="57" t="s">
        <v>2852</v>
      </c>
    </row>
    <row r="85" ht="15.0" customHeight="1">
      <c r="A85" s="116" t="s">
        <v>2857</v>
      </c>
      <c r="B85" s="182">
        <v>46038.0</v>
      </c>
      <c r="C85" s="182">
        <v>46032.0</v>
      </c>
      <c r="D85" s="57" t="s">
        <v>1203</v>
      </c>
      <c r="E85" s="3">
        <f t="array" ref="E85">XLOOKUP(D85,RUC!$B$3:$B$110,RUC!$D$3:$D$110)</f>
        <v>20601463173</v>
      </c>
      <c r="G85" s="141">
        <v>20.0</v>
      </c>
      <c r="H85" s="3" t="s">
        <v>339</v>
      </c>
      <c r="I85" s="6">
        <v>1.51</v>
      </c>
      <c r="J85" s="58">
        <v>1.3</v>
      </c>
      <c r="K85" s="6">
        <f t="shared" si="2"/>
        <v>1.49</v>
      </c>
      <c r="L85" s="139">
        <v>0.415</v>
      </c>
      <c r="M85" s="60">
        <f t="shared" si="46"/>
        <v>0.39</v>
      </c>
      <c r="N85" s="62">
        <f t="shared" si="45"/>
        <v>0.39</v>
      </c>
      <c r="O85" s="60">
        <f t="shared" si="47"/>
        <v>0.39</v>
      </c>
      <c r="P85" s="63">
        <v>90.0</v>
      </c>
      <c r="Q85" s="58">
        <v>97.11</v>
      </c>
      <c r="R85" s="65">
        <v>4493.85</v>
      </c>
      <c r="S85" s="66">
        <f t="array" ref="S85">IF((XLOOKUP(D85,RUC!$B$3:$B$106,RUC!$E$3:$E$106)+ROUNDDOWN(O85,1)*100)&lt;95,95,((XLOOKUP(D85,RUC!$B$3:$B$106,RUC!$E$3:$E$106)+ROUNDDOWN(O85,1)*100)))</f>
        <v>120</v>
      </c>
      <c r="U85" s="67">
        <f t="array" ref="U85">XLOOKUP(D85,RUC!$B$3:$B$110,RUC!$F$3:$F$110)</f>
        <v>100</v>
      </c>
      <c r="V85" s="67">
        <v>1.1023</v>
      </c>
      <c r="Y85" s="57" t="str">
        <f t="array" ref="Y85">XLOOKUP(D85,RUC!$B$3:$B$110,RUC!$G$3:$G$110)</f>
        <v/>
      </c>
      <c r="Z85" s="69">
        <f t="array" ref="Z85">XLOOKUP(D85,RUC!$B$3:$B$110,RUC!$H$3:$H$110)</f>
        <v>30</v>
      </c>
      <c r="AA85" s="70">
        <f t="shared" si="6"/>
        <v>30</v>
      </c>
      <c r="AB85" s="71">
        <f t="shared" si="43"/>
        <v>1534.66764</v>
      </c>
      <c r="AC85" s="71">
        <f>+(S85-T85)*V85-'data 1'!$F$4</f>
        <v>52.276</v>
      </c>
      <c r="AD85" s="71">
        <f t="shared" si="7"/>
        <v>142.9100369</v>
      </c>
      <c r="AE85" s="71">
        <f t="shared" si="8"/>
        <v>-36.931</v>
      </c>
      <c r="AF85" s="71">
        <f t="shared" si="9"/>
        <v>117.5842076</v>
      </c>
      <c r="AG85" s="72">
        <f t="shared" si="48"/>
        <v>292.8392445</v>
      </c>
      <c r="AH85" s="193">
        <f t="shared" si="10"/>
        <v>20.588</v>
      </c>
      <c r="AI85" s="193">
        <f t="shared" si="11"/>
        <v>21.2</v>
      </c>
      <c r="AJ85" s="73">
        <f t="shared" si="12"/>
        <v>271.9378829</v>
      </c>
      <c r="AK85" s="73">
        <f t="shared" si="13"/>
        <v>17.9309151</v>
      </c>
      <c r="AM85" s="51">
        <f t="shared" si="14"/>
        <v>2286.654784</v>
      </c>
      <c r="AN85" s="51" t="str">
        <f t="array" ref="AN85">XLOOKUP(D85,RUC!$B$3:$B$565,RUC!$M$3:$M$565)</f>
        <v>Yuri Rospigliossi</v>
      </c>
      <c r="AO85" s="131" t="s">
        <v>547</v>
      </c>
      <c r="AP85" s="57" t="s">
        <v>2851</v>
      </c>
      <c r="AQ85" s="57" t="s">
        <v>2852</v>
      </c>
    </row>
    <row r="86" ht="15.0" customHeight="1">
      <c r="A86" s="116" t="s">
        <v>2858</v>
      </c>
      <c r="B86" s="182">
        <v>46038.0</v>
      </c>
      <c r="C86" s="182">
        <v>46032.0</v>
      </c>
      <c r="D86" s="57" t="s">
        <v>1203</v>
      </c>
      <c r="E86" s="3">
        <f t="array" ref="E86">XLOOKUP(D86,RUC!$B$3:$B$110,RUC!$D$3:$D$110)</f>
        <v>20601463173</v>
      </c>
      <c r="G86" s="141">
        <v>12.0</v>
      </c>
      <c r="H86" s="3" t="s">
        <v>339</v>
      </c>
      <c r="I86" s="6">
        <v>0.83</v>
      </c>
      <c r="J86" s="58">
        <v>1.2</v>
      </c>
      <c r="K86" s="6">
        <f t="shared" si="2"/>
        <v>0.82</v>
      </c>
      <c r="L86" s="139">
        <v>1.086</v>
      </c>
      <c r="M86" s="60">
        <f t="shared" si="46"/>
        <v>1.021</v>
      </c>
      <c r="N86" s="62">
        <f t="shared" si="45"/>
        <v>1.021</v>
      </c>
      <c r="O86" s="60">
        <f t="shared" si="47"/>
        <v>1.021</v>
      </c>
      <c r="P86" s="63">
        <v>90.0</v>
      </c>
      <c r="Q86" s="58">
        <v>97.33</v>
      </c>
      <c r="R86" s="65">
        <v>4493.85</v>
      </c>
      <c r="S86" s="66">
        <f t="array" ref="S86">IF((XLOOKUP(D86,RUC!$B$3:$B$106,RUC!$E$3:$E$106)+ROUNDDOWN(O86,1)*100)&lt;95,95,((XLOOKUP(D86,RUC!$B$3:$B$106,RUC!$E$3:$E$106)+ROUNDDOWN(O86,1)*100)))</f>
        <v>190</v>
      </c>
      <c r="U86" s="67">
        <f t="array" ref="U86">XLOOKUP(D86,RUC!$B$3:$B$110,RUC!$F$3:$F$110)</f>
        <v>100</v>
      </c>
      <c r="V86" s="67">
        <v>1.1023</v>
      </c>
      <c r="Y86" s="57" t="str">
        <f t="array" ref="Y86">XLOOKUP(D86,RUC!$B$3:$B$110,RUC!$G$3:$G$110)</f>
        <v/>
      </c>
      <c r="Z86" s="69">
        <f t="array" ref="Z86">XLOOKUP(D86,RUC!$B$3:$B$110,RUC!$H$3:$H$110)</f>
        <v>30</v>
      </c>
      <c r="AA86" s="70">
        <f t="shared" si="6"/>
        <v>30</v>
      </c>
      <c r="AB86" s="71">
        <f t="shared" si="43"/>
        <v>4208.039912</v>
      </c>
      <c r="AC86" s="71">
        <f>+(S86-T86)*V86-'data 1'!$F$4</f>
        <v>129.437</v>
      </c>
      <c r="AD86" s="71">
        <f t="shared" si="7"/>
        <v>385.5483368</v>
      </c>
      <c r="AE86" s="71">
        <f t="shared" si="8"/>
        <v>-36.931</v>
      </c>
      <c r="AF86" s="71">
        <f t="shared" si="9"/>
        <v>306.4115375</v>
      </c>
      <c r="AG86" s="72">
        <f t="shared" si="48"/>
        <v>801.4658743</v>
      </c>
      <c r="AH86" s="193">
        <f t="shared" si="10"/>
        <v>29.717</v>
      </c>
      <c r="AI86" s="193">
        <f t="shared" si="11"/>
        <v>30.532</v>
      </c>
      <c r="AJ86" s="73">
        <f t="shared" si="12"/>
        <v>713.237567</v>
      </c>
      <c r="AK86" s="73">
        <f t="shared" si="13"/>
        <v>25.83397132</v>
      </c>
      <c r="AM86" s="51">
        <f t="shared" si="14"/>
        <v>3450.592728</v>
      </c>
      <c r="AN86" s="51" t="str">
        <f t="array" ref="AN86">XLOOKUP(D86,RUC!$B$3:$B$565,RUC!$M$3:$M$565)</f>
        <v>Yuri Rospigliossi</v>
      </c>
      <c r="AO86" s="131" t="s">
        <v>547</v>
      </c>
      <c r="AP86" s="57" t="s">
        <v>2851</v>
      </c>
      <c r="AQ86" s="57" t="s">
        <v>2852</v>
      </c>
    </row>
    <row r="87" ht="15.0" customHeight="1">
      <c r="A87" s="116" t="s">
        <v>2859</v>
      </c>
      <c r="B87" s="182">
        <v>46047.0</v>
      </c>
      <c r="C87" s="182">
        <v>46032.0</v>
      </c>
      <c r="D87" s="57" t="s">
        <v>295</v>
      </c>
      <c r="E87" s="3">
        <f t="array" ref="E87">XLOOKUP(D87,RUC!$B$3:$B$110,RUC!$D$3:$D$110)</f>
        <v>20601769396</v>
      </c>
      <c r="G87" s="141">
        <v>97.0</v>
      </c>
      <c r="H87" s="3" t="s">
        <v>339</v>
      </c>
      <c r="I87" s="6">
        <v>2.74</v>
      </c>
      <c r="J87" s="58">
        <v>16.5</v>
      </c>
      <c r="K87" s="6">
        <f t="shared" si="2"/>
        <v>2.288</v>
      </c>
      <c r="L87" s="139">
        <v>0.119</v>
      </c>
      <c r="M87" s="60">
        <f t="shared" si="46"/>
        <v>0.1</v>
      </c>
      <c r="N87" s="62">
        <f t="shared" si="45"/>
        <v>0.1</v>
      </c>
      <c r="O87" s="60">
        <f t="shared" si="47"/>
        <v>0.1</v>
      </c>
      <c r="P87" s="63">
        <v>80.0</v>
      </c>
      <c r="Q87" s="58">
        <v>89.92</v>
      </c>
      <c r="R87" s="65">
        <v>4493.85</v>
      </c>
      <c r="S87" s="66">
        <f t="array" ref="S87">IF((XLOOKUP(D87,RUC!$B$3:$B$106,RUC!$E$3:$E$106)+ROUNDDOWN(O87,1)*100)&lt;95,95,((XLOOKUP(D87,RUC!$B$3:$B$106,RUC!$E$3:$E$106)+ROUNDDOWN(O87,1)*100)))</f>
        <v>100</v>
      </c>
      <c r="U87" s="67">
        <f t="array" ref="U87">XLOOKUP(D87,RUC!$B$3:$B$110,RUC!$F$3:$F$110)</f>
        <v>120</v>
      </c>
      <c r="V87" s="67">
        <v>1.1023</v>
      </c>
      <c r="Y87" s="199">
        <v>30.0</v>
      </c>
      <c r="Z87" s="140">
        <v>40.0</v>
      </c>
      <c r="AA87" s="70">
        <f t="shared" si="6"/>
        <v>70</v>
      </c>
      <c r="AB87" s="71">
        <f t="shared" si="43"/>
        <v>198.3125884</v>
      </c>
      <c r="AC87" s="71">
        <f>+(S87-T87)*V87-'data 1'!$F$4</f>
        <v>30.23</v>
      </c>
      <c r="AD87" s="71">
        <f t="shared" si="7"/>
        <v>56.9144215</v>
      </c>
      <c r="AE87" s="71">
        <f t="shared" si="8"/>
        <v>7.161</v>
      </c>
      <c r="AF87" s="71">
        <f t="shared" si="9"/>
        <v>82.37085834</v>
      </c>
      <c r="AG87" s="72">
        <f t="shared" si="48"/>
        <v>193.6762798</v>
      </c>
      <c r="AH87" s="193">
        <f t="shared" si="10"/>
        <v>8.394</v>
      </c>
      <c r="AI87" s="193">
        <f t="shared" si="11"/>
        <v>9.335</v>
      </c>
      <c r="AJ87" s="73">
        <f t="shared" si="12"/>
        <v>74.56297185</v>
      </c>
      <c r="AK87" s="73">
        <f t="shared" si="13"/>
        <v>6.275597429</v>
      </c>
      <c r="AM87" s="51">
        <f t="shared" si="14"/>
        <v>453.7392023</v>
      </c>
      <c r="AN87" s="51" t="str">
        <f t="array" ref="AN87">XLOOKUP(D87,RUC!$B$3:$B$565,RUC!$M$3:$M$565)</f>
        <v>Evelyn</v>
      </c>
      <c r="AO87" s="131" t="s">
        <v>547</v>
      </c>
      <c r="AP87" s="57" t="s">
        <v>2860</v>
      </c>
      <c r="AQ87" s="57" t="s">
        <v>1446</v>
      </c>
    </row>
    <row r="88" ht="15.0" customHeight="1">
      <c r="A88" s="116" t="s">
        <v>2861</v>
      </c>
      <c r="B88" s="182">
        <v>46047.0</v>
      </c>
      <c r="C88" s="182">
        <v>46032.0</v>
      </c>
      <c r="D88" s="57" t="s">
        <v>295</v>
      </c>
      <c r="E88" s="3">
        <f t="array" ref="E88">XLOOKUP(D88,RUC!$B$3:$B$110,RUC!$D$3:$D$110)</f>
        <v>20601769396</v>
      </c>
      <c r="G88" s="141">
        <v>100.0</v>
      </c>
      <c r="H88" s="3" t="s">
        <v>339</v>
      </c>
      <c r="I88" s="6">
        <v>2.76</v>
      </c>
      <c r="J88" s="58">
        <v>16.8</v>
      </c>
      <c r="K88" s="6">
        <f t="shared" si="2"/>
        <v>2.296</v>
      </c>
      <c r="L88" s="139">
        <v>0.152</v>
      </c>
      <c r="M88" s="60">
        <f t="shared" si="46"/>
        <v>0.133</v>
      </c>
      <c r="N88" s="62">
        <f t="shared" si="45"/>
        <v>0.133</v>
      </c>
      <c r="O88" s="60">
        <f t="shared" si="47"/>
        <v>0.133</v>
      </c>
      <c r="P88" s="63">
        <v>80.0</v>
      </c>
      <c r="Q88" s="58">
        <v>98.03</v>
      </c>
      <c r="R88" s="65">
        <v>4493.85</v>
      </c>
      <c r="S88" s="66">
        <f t="array" ref="S88">IF((XLOOKUP(D88,RUC!$B$3:$B$106,RUC!$E$3:$E$106)+ROUNDDOWN(O88,1)*100)&lt;95,95,((XLOOKUP(D88,RUC!$B$3:$B$106,RUC!$E$3:$E$106)+ROUNDDOWN(O88,1)*100)))</f>
        <v>100</v>
      </c>
      <c r="U88" s="67">
        <f t="array" ref="U88">XLOOKUP(D88,RUC!$B$3:$B$110,RUC!$F$3:$F$110)</f>
        <v>120</v>
      </c>
      <c r="V88" s="67">
        <v>1.1023</v>
      </c>
      <c r="Y88" s="199">
        <v>30.0</v>
      </c>
      <c r="Z88" s="140">
        <v>40.0</v>
      </c>
      <c r="AA88" s="70">
        <f t="shared" si="6"/>
        <v>70</v>
      </c>
      <c r="AB88" s="71">
        <f t="shared" si="43"/>
        <v>325.5947726</v>
      </c>
      <c r="AC88" s="71">
        <f>+(S88-T88)*V88-'data 1'!$F$4</f>
        <v>30.23</v>
      </c>
      <c r="AD88" s="71">
        <f t="shared" si="7"/>
        <v>132.1304783</v>
      </c>
      <c r="AE88" s="71">
        <f t="shared" si="8"/>
        <v>7.161</v>
      </c>
      <c r="AF88" s="71">
        <f t="shared" si="9"/>
        <v>89.79999158</v>
      </c>
      <c r="AG88" s="72">
        <f t="shared" si="48"/>
        <v>276.3214699</v>
      </c>
      <c r="AH88" s="193">
        <f t="shared" si="10"/>
        <v>11.73</v>
      </c>
      <c r="AI88" s="193">
        <f t="shared" si="11"/>
        <v>11.965</v>
      </c>
      <c r="AJ88" s="73">
        <f t="shared" si="12"/>
        <v>103.829925</v>
      </c>
      <c r="AK88" s="73">
        <f t="shared" si="13"/>
        <v>8.375728302</v>
      </c>
      <c r="AM88" s="51">
        <f t="shared" si="14"/>
        <v>747.5655978</v>
      </c>
      <c r="AN88" s="51" t="str">
        <f t="array" ref="AN88">XLOOKUP(D88,RUC!$B$3:$B$565,RUC!$M$3:$M$565)</f>
        <v>Evelyn</v>
      </c>
      <c r="AO88" s="131" t="s">
        <v>547</v>
      </c>
      <c r="AP88" s="57" t="s">
        <v>2860</v>
      </c>
      <c r="AQ88" s="57" t="s">
        <v>1446</v>
      </c>
    </row>
    <row r="89" ht="15.0" customHeight="1">
      <c r="A89" s="192" t="s">
        <v>2862</v>
      </c>
      <c r="B89" s="182">
        <v>46047.0</v>
      </c>
      <c r="C89" s="182">
        <v>46032.0</v>
      </c>
      <c r="D89" s="57" t="s">
        <v>295</v>
      </c>
      <c r="E89" s="3">
        <f t="array" ref="E89">XLOOKUP(D89,RUC!$B$3:$B$110,RUC!$D$3:$D$110)</f>
        <v>20601769396</v>
      </c>
      <c r="G89" s="141">
        <v>100.0</v>
      </c>
      <c r="H89" s="3" t="s">
        <v>339</v>
      </c>
      <c r="I89" s="6">
        <v>2.75</v>
      </c>
      <c r="J89" s="58">
        <v>16.8</v>
      </c>
      <c r="K89" s="6">
        <f t="shared" si="2"/>
        <v>2.288</v>
      </c>
      <c r="L89" s="139">
        <v>0.058</v>
      </c>
      <c r="M89" s="60">
        <f t="shared" si="46"/>
        <v>0.039</v>
      </c>
      <c r="N89" s="62">
        <f t="shared" si="45"/>
        <v>0.039</v>
      </c>
      <c r="O89" s="60">
        <f t="shared" si="47"/>
        <v>0.039</v>
      </c>
      <c r="P89" s="63">
        <v>80.0</v>
      </c>
      <c r="Q89" s="58">
        <v>87.93</v>
      </c>
      <c r="R89" s="65">
        <v>4493.85</v>
      </c>
      <c r="S89" s="66">
        <f t="array" ref="S89">IF((XLOOKUP(D89,RUC!$B$3:$B$106,RUC!$E$3:$E$106)+ROUNDDOWN(O89,1)*100)&lt;95,95,((XLOOKUP(D89,RUC!$B$3:$B$106,RUC!$E$3:$E$106)+ROUNDDOWN(O89,1)*100)))</f>
        <v>95</v>
      </c>
      <c r="U89" s="67">
        <f t="array" ref="U89">XLOOKUP(D89,RUC!$B$3:$B$110,RUC!$F$3:$F$110)</f>
        <v>120</v>
      </c>
      <c r="V89" s="67">
        <v>1.1023</v>
      </c>
      <c r="Y89" s="199">
        <v>30.0</v>
      </c>
      <c r="Z89" s="140">
        <v>40.0</v>
      </c>
      <c r="AA89" s="70">
        <f t="shared" si="6"/>
        <v>70</v>
      </c>
      <c r="AB89" s="71">
        <v>0.001</v>
      </c>
      <c r="AC89" s="71">
        <f>+(S89-T89)*V89-'data 1'!$F$4</f>
        <v>24.7185</v>
      </c>
      <c r="AD89" s="71">
        <f t="shared" si="7"/>
        <v>22.17506356</v>
      </c>
      <c r="AE89" s="71">
        <f t="shared" si="8"/>
        <v>7.161</v>
      </c>
      <c r="AF89" s="71">
        <f t="shared" si="9"/>
        <v>80.54792675</v>
      </c>
      <c r="AG89" s="72">
        <f>AC89+AD89+AE89+AF89+70-53+31.46</f>
        <v>183.0624903</v>
      </c>
      <c r="AH89" s="193">
        <f t="shared" si="10"/>
        <v>4.001</v>
      </c>
      <c r="AI89" s="193">
        <f t="shared" si="11"/>
        <v>4.55</v>
      </c>
      <c r="AJ89" s="73">
        <f t="shared" si="12"/>
        <v>35.5373481</v>
      </c>
      <c r="AK89" s="73">
        <f t="shared" si="13"/>
        <v>2.447482997</v>
      </c>
      <c r="AM89" s="51">
        <f t="shared" si="14"/>
        <v>0.002288</v>
      </c>
      <c r="AN89" s="51" t="str">
        <f t="array" ref="AN89">XLOOKUP(D89,RUC!$B$3:$B$565,RUC!$M$3:$M$565)</f>
        <v>Evelyn</v>
      </c>
      <c r="AO89" s="131" t="s">
        <v>547</v>
      </c>
      <c r="AP89" s="57" t="s">
        <v>2860</v>
      </c>
      <c r="AQ89" s="57" t="s">
        <v>1446</v>
      </c>
    </row>
    <row r="90" ht="15.0" customHeight="1">
      <c r="A90" s="116" t="s">
        <v>2863</v>
      </c>
      <c r="B90" s="182">
        <v>46047.0</v>
      </c>
      <c r="C90" s="182">
        <v>46032.0</v>
      </c>
      <c r="D90" s="57" t="s">
        <v>295</v>
      </c>
      <c r="E90" s="3">
        <f t="array" ref="E90">XLOOKUP(D90,RUC!$B$3:$B$110,RUC!$D$3:$D$110)</f>
        <v>20601769396</v>
      </c>
      <c r="G90" s="141">
        <v>100.0</v>
      </c>
      <c r="H90" s="3" t="s">
        <v>339</v>
      </c>
      <c r="I90" s="6">
        <v>2.85</v>
      </c>
      <c r="J90" s="58">
        <v>17.0</v>
      </c>
      <c r="K90" s="6">
        <f t="shared" si="2"/>
        <v>2.366</v>
      </c>
      <c r="L90" s="139">
        <v>0.132</v>
      </c>
      <c r="M90" s="60">
        <f t="shared" si="46"/>
        <v>0.113</v>
      </c>
      <c r="N90" s="62">
        <f t="shared" si="45"/>
        <v>0.113</v>
      </c>
      <c r="O90" s="60">
        <f t="shared" si="47"/>
        <v>0.113</v>
      </c>
      <c r="P90" s="63">
        <v>80.0</v>
      </c>
      <c r="Q90" s="58">
        <v>93.18</v>
      </c>
      <c r="R90" s="65">
        <v>4493.85</v>
      </c>
      <c r="S90" s="66">
        <f t="array" ref="S90">IF((XLOOKUP(D90,RUC!$B$3:$B$106,RUC!$E$3:$E$106)+ROUNDDOWN(O90,1)*100)&lt;95,95,((XLOOKUP(D90,RUC!$B$3:$B$106,RUC!$E$3:$E$106)+ROUNDDOWN(O90,1)*100)))</f>
        <v>100</v>
      </c>
      <c r="U90" s="67">
        <f t="array" ref="U90">XLOOKUP(D90,RUC!$B$3:$B$110,RUC!$F$3:$F$110)</f>
        <v>120</v>
      </c>
      <c r="V90" s="67">
        <v>1.1023</v>
      </c>
      <c r="Y90" s="199">
        <v>30.0</v>
      </c>
      <c r="Z90" s="140">
        <v>40.0</v>
      </c>
      <c r="AA90" s="70">
        <f t="shared" si="6"/>
        <v>70</v>
      </c>
      <c r="AB90" s="71">
        <f>+((O90*P90*(R90-U90)/100)-S90-AA90+T90)*V90</f>
        <v>248.4540549</v>
      </c>
      <c r="AC90" s="71">
        <f>+(S90-T90)*V90-'data 1'!$F$4</f>
        <v>30.23</v>
      </c>
      <c r="AD90" s="71">
        <f t="shared" si="7"/>
        <v>83.87895937</v>
      </c>
      <c r="AE90" s="71">
        <f t="shared" si="8"/>
        <v>7.161</v>
      </c>
      <c r="AF90" s="71">
        <f t="shared" si="9"/>
        <v>85.35716837</v>
      </c>
      <c r="AG90" s="72">
        <f>AC90+AD90+AE90+AF90+70-53</f>
        <v>223.6271277</v>
      </c>
      <c r="AH90" s="193">
        <f t="shared" si="10"/>
        <v>9.977</v>
      </c>
      <c r="AI90" s="193">
        <f t="shared" si="11"/>
        <v>10.708</v>
      </c>
      <c r="AJ90" s="73">
        <f t="shared" si="12"/>
        <v>85.70705787</v>
      </c>
      <c r="AK90" s="73">
        <f t="shared" si="13"/>
        <v>7.333178223</v>
      </c>
      <c r="AM90" s="51">
        <f t="shared" si="14"/>
        <v>587.8422939</v>
      </c>
      <c r="AN90" s="51" t="str">
        <f t="array" ref="AN90">XLOOKUP(D90,RUC!$B$3:$B$565,RUC!$M$3:$M$565)</f>
        <v>Evelyn</v>
      </c>
      <c r="AO90" s="131" t="s">
        <v>547</v>
      </c>
      <c r="AP90" s="57" t="s">
        <v>2860</v>
      </c>
      <c r="AQ90" s="57" t="s">
        <v>1446</v>
      </c>
    </row>
    <row r="91" ht="15.0" customHeight="1">
      <c r="A91" s="192" t="s">
        <v>2864</v>
      </c>
      <c r="B91" s="182">
        <v>46047.0</v>
      </c>
      <c r="C91" s="182">
        <v>46032.0</v>
      </c>
      <c r="D91" s="57" t="s">
        <v>295</v>
      </c>
      <c r="E91" s="3">
        <f t="array" ref="E91">XLOOKUP(D91,RUC!$B$3:$B$110,RUC!$D$3:$D$110)</f>
        <v>20601769396</v>
      </c>
      <c r="G91" s="141">
        <v>100.0</v>
      </c>
      <c r="H91" s="3" t="s">
        <v>339</v>
      </c>
      <c r="I91" s="6">
        <v>2.88</v>
      </c>
      <c r="J91" s="58">
        <v>17.0</v>
      </c>
      <c r="K91" s="6">
        <f t="shared" si="2"/>
        <v>2.39</v>
      </c>
      <c r="L91" s="139">
        <v>0.098</v>
      </c>
      <c r="M91" s="60">
        <f t="shared" si="46"/>
        <v>0.079</v>
      </c>
      <c r="N91" s="62">
        <f t="shared" si="45"/>
        <v>0.079</v>
      </c>
      <c r="O91" s="60">
        <f t="shared" si="47"/>
        <v>0.079</v>
      </c>
      <c r="P91" s="63">
        <v>80.0</v>
      </c>
      <c r="Q91" s="58">
        <v>89.8</v>
      </c>
      <c r="R91" s="65">
        <v>4493.85</v>
      </c>
      <c r="S91" s="66">
        <f t="array" ref="S91">IF((XLOOKUP(D91,RUC!$B$3:$B$106,RUC!$E$3:$E$106)+ROUNDDOWN(O91,1)*100)&lt;95,95,((XLOOKUP(D91,RUC!$B$3:$B$106,RUC!$E$3:$E$106)+ROUNDDOWN(O91,1)*100)))</f>
        <v>95</v>
      </c>
      <c r="U91" s="67">
        <f t="array" ref="U91">XLOOKUP(D91,RUC!$B$3:$B$110,RUC!$F$3:$F$110)</f>
        <v>120</v>
      </c>
      <c r="V91" s="67">
        <v>1.1023</v>
      </c>
      <c r="Y91" s="199">
        <v>30.0</v>
      </c>
      <c r="Z91" s="140">
        <v>40.0</v>
      </c>
      <c r="AA91" s="70">
        <f t="shared" si="6"/>
        <v>70</v>
      </c>
      <c r="AB91" s="71">
        <v>0.001</v>
      </c>
      <c r="AC91" s="71">
        <f>+(S91-T91)*V91-'data 1'!$F$4</f>
        <v>24.7185</v>
      </c>
      <c r="AD91" s="71">
        <f t="shared" si="7"/>
        <v>46.30371579</v>
      </c>
      <c r="AE91" s="71">
        <f t="shared" si="8"/>
        <v>7.161</v>
      </c>
      <c r="AF91" s="71">
        <f t="shared" si="9"/>
        <v>82.26093282</v>
      </c>
      <c r="AG91" s="72">
        <f>AC91+AD91+AE91+AF91+70-53+122.83</f>
        <v>300.2741486</v>
      </c>
      <c r="AH91" s="193">
        <f t="shared" si="10"/>
        <v>7.211</v>
      </c>
      <c r="AI91" s="193">
        <f t="shared" si="11"/>
        <v>8.03</v>
      </c>
      <c r="AJ91" s="73">
        <f t="shared" si="12"/>
        <v>61.32285444</v>
      </c>
      <c r="AK91" s="73">
        <f t="shared" si="13"/>
        <v>5.178739294</v>
      </c>
      <c r="AM91" s="51">
        <f t="shared" si="14"/>
        <v>0.00239</v>
      </c>
      <c r="AN91" s="51" t="str">
        <f t="array" ref="AN91">XLOOKUP(D91,RUC!$B$3:$B$565,RUC!$M$3:$M$565)</f>
        <v>Evelyn</v>
      </c>
      <c r="AO91" s="131" t="s">
        <v>547</v>
      </c>
      <c r="AP91" s="57" t="s">
        <v>2860</v>
      </c>
      <c r="AQ91" s="57" t="s">
        <v>1446</v>
      </c>
    </row>
    <row r="92" ht="15.0" customHeight="1">
      <c r="A92" s="116" t="s">
        <v>2865</v>
      </c>
      <c r="B92" s="182">
        <v>46047.0</v>
      </c>
      <c r="C92" s="182">
        <v>46032.0</v>
      </c>
      <c r="D92" s="57" t="s">
        <v>295</v>
      </c>
      <c r="E92" s="3">
        <f t="array" ref="E92">XLOOKUP(D92,RUC!$B$3:$B$110,RUC!$D$3:$D$110)</f>
        <v>20601769396</v>
      </c>
      <c r="G92" s="141">
        <v>16.0</v>
      </c>
      <c r="H92" s="3" t="s">
        <v>339</v>
      </c>
      <c r="I92" s="6">
        <v>1.3</v>
      </c>
      <c r="J92" s="58">
        <v>15.6</v>
      </c>
      <c r="K92" s="6">
        <f t="shared" si="2"/>
        <v>1.097</v>
      </c>
      <c r="L92" s="139">
        <v>0.209</v>
      </c>
      <c r="M92" s="60">
        <f t="shared" si="46"/>
        <v>0.19</v>
      </c>
      <c r="N92" s="62">
        <f t="shared" si="45"/>
        <v>0.19</v>
      </c>
      <c r="O92" s="60">
        <f t="shared" si="47"/>
        <v>0.19</v>
      </c>
      <c r="P92" s="63">
        <v>85.0</v>
      </c>
      <c r="Q92" s="58">
        <v>89.0</v>
      </c>
      <c r="R92" s="65">
        <v>4493.85</v>
      </c>
      <c r="S92" s="66">
        <f t="array" ref="S92">IF((XLOOKUP(D92,RUC!$B$3:$B$106,RUC!$E$3:$E$106)+ROUNDDOWN(O92,1)*100)&lt;95,95,((XLOOKUP(D92,RUC!$B$3:$B$106,RUC!$E$3:$E$106)+ROUNDDOWN(O92,1)*100)))</f>
        <v>100</v>
      </c>
      <c r="U92" s="67">
        <f t="array" ref="U92">XLOOKUP(D92,RUC!$B$3:$B$110,RUC!$F$3:$F$110)</f>
        <v>120</v>
      </c>
      <c r="V92" s="67">
        <v>1.1023</v>
      </c>
      <c r="Y92" s="199">
        <v>30.0</v>
      </c>
      <c r="Z92" s="140">
        <v>40.0</v>
      </c>
      <c r="AA92" s="70">
        <f t="shared" si="6"/>
        <v>70</v>
      </c>
      <c r="AB92" s="71">
        <f t="shared" ref="AB92:AB94" si="49">+((O92*P92*(R92-U92)/100)-S92-AA92+T92)*V92</f>
        <v>591.2481191</v>
      </c>
      <c r="AC92" s="71">
        <f>+(S92-T92)*V92-'data 1'!$F$4</f>
        <v>30.23</v>
      </c>
      <c r="AD92" s="71">
        <f t="shared" si="7"/>
        <v>40.30602499</v>
      </c>
      <c r="AE92" s="71">
        <f t="shared" si="8"/>
        <v>7.161</v>
      </c>
      <c r="AF92" s="71">
        <f t="shared" si="9"/>
        <v>81.528096</v>
      </c>
      <c r="AG92" s="72">
        <f t="shared" ref="AG92:AG94" si="50">AC92+AD92+AE92+AF92+70-53</f>
        <v>176.225121</v>
      </c>
      <c r="AH92" s="193">
        <f t="shared" si="10"/>
        <v>6.996</v>
      </c>
      <c r="AI92" s="193">
        <f t="shared" si="11"/>
        <v>7.861</v>
      </c>
      <c r="AJ92" s="73">
        <f t="shared" si="12"/>
        <v>129.615292</v>
      </c>
      <c r="AK92" s="73">
        <f t="shared" si="13"/>
        <v>6.074187917</v>
      </c>
      <c r="AM92" s="51">
        <f t="shared" si="14"/>
        <v>648.5991866</v>
      </c>
      <c r="AN92" s="51" t="str">
        <f t="array" ref="AN92">XLOOKUP(D92,RUC!$B$3:$B$565,RUC!$M$3:$M$565)</f>
        <v>Evelyn</v>
      </c>
      <c r="AO92" s="131" t="s">
        <v>547</v>
      </c>
      <c r="AP92" s="57" t="s">
        <v>2860</v>
      </c>
      <c r="AQ92" s="57" t="s">
        <v>1446</v>
      </c>
    </row>
    <row r="93" ht="15.0" customHeight="1">
      <c r="A93" s="116" t="s">
        <v>2866</v>
      </c>
      <c r="B93" s="182">
        <v>46047.0</v>
      </c>
      <c r="C93" s="182">
        <v>46032.0</v>
      </c>
      <c r="D93" s="57" t="s">
        <v>295</v>
      </c>
      <c r="E93" s="3">
        <f t="array" ref="E93">XLOOKUP(D93,RUC!$B$3:$B$110,RUC!$D$3:$D$110)</f>
        <v>20601769396</v>
      </c>
      <c r="G93" s="141">
        <v>59.0</v>
      </c>
      <c r="H93" s="3" t="s">
        <v>339</v>
      </c>
      <c r="I93" s="6">
        <v>4.91</v>
      </c>
      <c r="J93" s="58">
        <v>13.5</v>
      </c>
      <c r="K93" s="6">
        <f t="shared" si="2"/>
        <v>4.247</v>
      </c>
      <c r="L93" s="139">
        <v>0.155</v>
      </c>
      <c r="M93" s="60">
        <f t="shared" si="46"/>
        <v>0.136</v>
      </c>
      <c r="N93" s="62">
        <f t="shared" si="45"/>
        <v>0.136</v>
      </c>
      <c r="O93" s="60">
        <f t="shared" si="47"/>
        <v>0.136</v>
      </c>
      <c r="P93" s="63">
        <v>80.0</v>
      </c>
      <c r="Q93" s="58">
        <v>85.16</v>
      </c>
      <c r="R93" s="65">
        <v>4493.85</v>
      </c>
      <c r="S93" s="66">
        <f t="array" ref="S93">IF((XLOOKUP(D93,RUC!$B$3:$B$106,RUC!$E$3:$E$106)+ROUNDDOWN(O93,1)*100)&lt;95,95,((XLOOKUP(D93,RUC!$B$3:$B$106,RUC!$E$3:$E$106)+ROUNDDOWN(O93,1)*100)))</f>
        <v>100</v>
      </c>
      <c r="U93" s="67">
        <f t="array" ref="U93">XLOOKUP(D93,RUC!$B$3:$B$110,RUC!$F$3:$F$110)</f>
        <v>120</v>
      </c>
      <c r="V93" s="67">
        <v>1.1023</v>
      </c>
      <c r="Y93" s="199">
        <v>30.0</v>
      </c>
      <c r="Z93" s="140">
        <v>40.0</v>
      </c>
      <c r="AA93" s="70">
        <f t="shared" si="6"/>
        <v>70</v>
      </c>
      <c r="AB93" s="71">
        <f t="shared" si="49"/>
        <v>337.1658802</v>
      </c>
      <c r="AC93" s="71">
        <f>+(S93-T93)*V93-'data 1'!$F$4</f>
        <v>30.23</v>
      </c>
      <c r="AD93" s="71">
        <f t="shared" si="7"/>
        <v>38.56071625</v>
      </c>
      <c r="AE93" s="71">
        <f t="shared" si="8"/>
        <v>7.161</v>
      </c>
      <c r="AF93" s="71">
        <f t="shared" si="9"/>
        <v>78.01047927</v>
      </c>
      <c r="AG93" s="72">
        <f t="shared" si="50"/>
        <v>170.9621955</v>
      </c>
      <c r="AH93" s="193">
        <f t="shared" si="10"/>
        <v>19.22</v>
      </c>
      <c r="AI93" s="193">
        <f t="shared" si="11"/>
        <v>22.57</v>
      </c>
      <c r="AJ93" s="73">
        <f t="shared" si="12"/>
        <v>91.9787071</v>
      </c>
      <c r="AK93" s="73">
        <f t="shared" si="13"/>
        <v>15.84237268</v>
      </c>
      <c r="AM93" s="51">
        <f t="shared" si="14"/>
        <v>1431.943493</v>
      </c>
      <c r="AN93" s="51" t="str">
        <f t="array" ref="AN93">XLOOKUP(D93,RUC!$B$3:$B$565,RUC!$M$3:$M$565)</f>
        <v>Evelyn</v>
      </c>
      <c r="AO93" s="131" t="s">
        <v>547</v>
      </c>
      <c r="AP93" s="57" t="s">
        <v>2860</v>
      </c>
      <c r="AQ93" s="57" t="s">
        <v>1446</v>
      </c>
    </row>
    <row r="94" ht="15.0" customHeight="1">
      <c r="A94" s="116" t="s">
        <v>2867</v>
      </c>
      <c r="B94" s="182">
        <v>46047.0</v>
      </c>
      <c r="C94" s="182">
        <v>46032.0</v>
      </c>
      <c r="D94" s="57" t="s">
        <v>295</v>
      </c>
      <c r="E94" s="3">
        <f t="array" ref="E94">XLOOKUP(D94,RUC!$B$3:$B$110,RUC!$D$3:$D$110)</f>
        <v>20601769396</v>
      </c>
      <c r="G94" s="141">
        <v>47.0</v>
      </c>
      <c r="H94" s="3" t="s">
        <v>339</v>
      </c>
      <c r="I94" s="6">
        <v>3.76</v>
      </c>
      <c r="J94" s="58">
        <v>14.3</v>
      </c>
      <c r="K94" s="6">
        <f t="shared" si="2"/>
        <v>3.222</v>
      </c>
      <c r="L94" s="139">
        <v>0.206</v>
      </c>
      <c r="M94" s="60">
        <f t="shared" si="46"/>
        <v>0.187</v>
      </c>
      <c r="N94" s="62">
        <f t="shared" si="45"/>
        <v>0.187</v>
      </c>
      <c r="O94" s="60">
        <f t="shared" si="47"/>
        <v>0.187</v>
      </c>
      <c r="P94" s="63">
        <v>85.0</v>
      </c>
      <c r="Q94" s="58">
        <v>89.32</v>
      </c>
      <c r="R94" s="65">
        <v>4493.85</v>
      </c>
      <c r="S94" s="66">
        <f t="array" ref="S94">IF((XLOOKUP(D94,RUC!$B$3:$B$106,RUC!$E$3:$E$106)+ROUNDDOWN(O94,1)*100)&lt;95,95,((XLOOKUP(D94,RUC!$B$3:$B$106,RUC!$E$3:$E$106)+ROUNDDOWN(O94,1)*100)))</f>
        <v>100</v>
      </c>
      <c r="U94" s="67">
        <f t="array" ref="U94">XLOOKUP(D94,RUC!$B$3:$B$110,RUC!$F$3:$F$110)</f>
        <v>120</v>
      </c>
      <c r="V94" s="67">
        <v>1.1023</v>
      </c>
      <c r="Y94" s="199">
        <v>30.0</v>
      </c>
      <c r="Z94" s="140">
        <v>40.0</v>
      </c>
      <c r="AA94" s="70">
        <f t="shared" si="6"/>
        <v>70</v>
      </c>
      <c r="AB94" s="71">
        <f t="shared" si="49"/>
        <v>578.9538172</v>
      </c>
      <c r="AC94" s="71">
        <f>+(S94-T94)*V94-'data 1'!$F$4</f>
        <v>30.23</v>
      </c>
      <c r="AD94" s="71">
        <f t="shared" si="7"/>
        <v>42.90566717</v>
      </c>
      <c r="AE94" s="71">
        <f t="shared" si="8"/>
        <v>7.161</v>
      </c>
      <c r="AF94" s="71">
        <f t="shared" si="9"/>
        <v>81.82123073</v>
      </c>
      <c r="AG94" s="72">
        <f t="shared" si="50"/>
        <v>179.1178979</v>
      </c>
      <c r="AH94" s="193">
        <f t="shared" si="10"/>
        <v>20.326</v>
      </c>
      <c r="AI94" s="193">
        <f t="shared" si="11"/>
        <v>22.756</v>
      </c>
      <c r="AJ94" s="73">
        <f t="shared" si="12"/>
        <v>128.2141284</v>
      </c>
      <c r="AK94" s="73">
        <f t="shared" si="13"/>
        <v>17.55881235</v>
      </c>
      <c r="AM94" s="51">
        <f t="shared" si="14"/>
        <v>1865.389199</v>
      </c>
      <c r="AN94" s="51" t="str">
        <f t="array" ref="AN94">XLOOKUP(D94,RUC!$B$3:$B$565,RUC!$M$3:$M$565)</f>
        <v>Evelyn</v>
      </c>
      <c r="AO94" s="131" t="s">
        <v>547</v>
      </c>
      <c r="AP94" s="57" t="s">
        <v>2860</v>
      </c>
      <c r="AQ94" s="57" t="s">
        <v>1446</v>
      </c>
    </row>
    <row r="95" ht="15.0" customHeight="1">
      <c r="A95" s="192" t="s">
        <v>2868</v>
      </c>
      <c r="B95" s="182">
        <v>46047.0</v>
      </c>
      <c r="C95" s="182">
        <v>46032.0</v>
      </c>
      <c r="D95" s="57" t="s">
        <v>295</v>
      </c>
      <c r="E95" s="3">
        <f t="array" ref="E95">XLOOKUP(D95,RUC!$B$3:$B$110,RUC!$D$3:$D$110)</f>
        <v>20601769396</v>
      </c>
      <c r="G95" s="141">
        <v>47.0</v>
      </c>
      <c r="H95" s="3" t="s">
        <v>339</v>
      </c>
      <c r="I95" s="6">
        <v>3.9</v>
      </c>
      <c r="J95" s="58">
        <v>16.1</v>
      </c>
      <c r="K95" s="6">
        <f t="shared" si="2"/>
        <v>3.272</v>
      </c>
      <c r="L95" s="139">
        <v>0.072</v>
      </c>
      <c r="M95" s="60">
        <f t="shared" si="46"/>
        <v>0.053</v>
      </c>
      <c r="N95" s="62">
        <f t="shared" si="45"/>
        <v>0.053</v>
      </c>
      <c r="O95" s="60">
        <f t="shared" si="47"/>
        <v>0.053</v>
      </c>
      <c r="P95" s="63">
        <v>80.0</v>
      </c>
      <c r="Q95" s="58">
        <v>70.83</v>
      </c>
      <c r="R95" s="65">
        <v>4493.85</v>
      </c>
      <c r="S95" s="66">
        <f t="array" ref="S95">IF((XLOOKUP(D95,RUC!$B$3:$B$106,RUC!$E$3:$E$106)+ROUNDDOWN(O95,1)*100)&lt;95,95,((XLOOKUP(D95,RUC!$B$3:$B$106,RUC!$E$3:$E$106)+ROUNDDOWN(O95,1)*100)))</f>
        <v>95</v>
      </c>
      <c r="U95" s="67">
        <f t="array" ref="U95">XLOOKUP(D95,RUC!$B$3:$B$110,RUC!$F$3:$F$110)</f>
        <v>120</v>
      </c>
      <c r="V95" s="67">
        <v>1.1023</v>
      </c>
      <c r="Y95" s="199">
        <v>30.0</v>
      </c>
      <c r="Z95" s="140">
        <v>40.0</v>
      </c>
      <c r="AA95" s="70">
        <f t="shared" si="6"/>
        <v>70</v>
      </c>
      <c r="AB95" s="71">
        <v>0.001</v>
      </c>
      <c r="AC95" s="71">
        <f>+(S95-T95)*V95-'data 1'!$F$4</f>
        <v>24.7185</v>
      </c>
      <c r="AD95" s="71">
        <f t="shared" si="7"/>
        <v>-31.83211715</v>
      </c>
      <c r="AE95" s="71">
        <f t="shared" si="8"/>
        <v>7.161</v>
      </c>
      <c r="AF95" s="71">
        <f t="shared" si="9"/>
        <v>64.88353977</v>
      </c>
      <c r="AG95" s="72">
        <f>AC95+AD95+AE95+AF95+70-53+22.54</f>
        <v>104.4709226</v>
      </c>
      <c r="AH95" s="193">
        <f t="shared" si="10"/>
        <v>5.721</v>
      </c>
      <c r="AI95" s="193">
        <f t="shared" si="11"/>
        <v>8.077</v>
      </c>
      <c r="AJ95" s="73">
        <f t="shared" si="12"/>
        <v>35.53609383</v>
      </c>
      <c r="AK95" s="73">
        <f t="shared" si="13"/>
        <v>4.756507883</v>
      </c>
      <c r="AM95" s="51">
        <f t="shared" si="14"/>
        <v>0.003272</v>
      </c>
      <c r="AN95" s="51" t="str">
        <f t="array" ref="AN95">XLOOKUP(D95,RUC!$B$3:$B$565,RUC!$M$3:$M$565)</f>
        <v>Evelyn</v>
      </c>
      <c r="AO95" s="131" t="s">
        <v>547</v>
      </c>
      <c r="AP95" s="57" t="s">
        <v>2860</v>
      </c>
      <c r="AQ95" s="57" t="s">
        <v>1446</v>
      </c>
    </row>
    <row r="96" ht="15.0" customHeight="1">
      <c r="A96" s="116" t="s">
        <v>2869</v>
      </c>
      <c r="B96" s="182">
        <v>46041.0</v>
      </c>
      <c r="C96" s="182">
        <v>46033.0</v>
      </c>
      <c r="D96" s="57" t="s">
        <v>665</v>
      </c>
      <c r="E96" s="3">
        <f t="array" ref="E96">XLOOKUP(D96,RUC!$B$3:$B$110,RUC!$D$3:$D$110)</f>
        <v>20608774000</v>
      </c>
      <c r="G96" s="141">
        <v>194.0</v>
      </c>
      <c r="H96" s="3" t="s">
        <v>40</v>
      </c>
      <c r="I96" s="6">
        <v>6.05</v>
      </c>
      <c r="J96" s="58">
        <v>16.9</v>
      </c>
      <c r="K96" s="6">
        <f t="shared" si="2"/>
        <v>5.028</v>
      </c>
      <c r="L96" s="139">
        <v>0.267</v>
      </c>
      <c r="M96" s="60">
        <f t="shared" si="46"/>
        <v>0.248</v>
      </c>
      <c r="N96" s="62">
        <f t="shared" si="45"/>
        <v>0.248</v>
      </c>
      <c r="O96" s="60">
        <f t="shared" si="47"/>
        <v>0.248</v>
      </c>
      <c r="P96" s="63">
        <v>90.0</v>
      </c>
      <c r="Q96" s="58">
        <v>90.26</v>
      </c>
      <c r="R96" s="65">
        <v>4612.95</v>
      </c>
      <c r="S96" s="66">
        <f t="array" ref="S96">IF((XLOOKUP(D96,RUC!$B$3:$B$106,RUC!$E$3:$E$106)+ROUNDDOWN(O96,1)*100)&lt;95,95,((XLOOKUP(D96,RUC!$B$3:$B$106,RUC!$E$3:$E$106)+ROUNDDOWN(O96,1)*100)))</f>
        <v>105</v>
      </c>
      <c r="U96" s="67">
        <f t="array" ref="U96">XLOOKUP(D96,RUC!$B$3:$B$110,RUC!$F$3:$F$110)</f>
        <v>120</v>
      </c>
      <c r="V96" s="67">
        <v>1.1023</v>
      </c>
      <c r="Y96" s="87">
        <v>30.0</v>
      </c>
      <c r="Z96" s="77">
        <v>40.0</v>
      </c>
      <c r="AA96" s="70">
        <f t="shared" si="6"/>
        <v>70</v>
      </c>
      <c r="AB96" s="71">
        <f t="shared" ref="AB96:AB105" si="51">+((O96*P96*(R96-U96)/100)-S96-AA96+T96)*V96</f>
        <v>912.5130848</v>
      </c>
      <c r="AC96" s="71">
        <f>+(S96-T96)*V96-'data 1'!$F$4</f>
        <v>35.7415</v>
      </c>
      <c r="AD96" s="71">
        <f t="shared" si="7"/>
        <v>3.438080193</v>
      </c>
      <c r="AE96" s="71">
        <f t="shared" si="8"/>
        <v>7.161</v>
      </c>
      <c r="AF96" s="71">
        <f t="shared" si="9"/>
        <v>84.93375462</v>
      </c>
      <c r="AG96" s="72">
        <f t="shared" ref="AG96:AG105" si="52">AC96+AD96+AE96+AF96+70-53</f>
        <v>148.2743348</v>
      </c>
      <c r="AH96" s="193">
        <f t="shared" si="10"/>
        <v>41.544</v>
      </c>
      <c r="AI96" s="193">
        <f t="shared" si="11"/>
        <v>46.027</v>
      </c>
      <c r="AJ96" s="73">
        <f t="shared" si="12"/>
        <v>136.2906585</v>
      </c>
      <c r="AK96" s="73">
        <f t="shared" si="13"/>
        <v>38.47676302</v>
      </c>
      <c r="AM96" s="51">
        <f t="shared" si="14"/>
        <v>4588.11579</v>
      </c>
      <c r="AN96" s="51" t="str">
        <f t="array" ref="AN96">XLOOKUP(D96,RUC!$B$3:$B$565,RUC!$M$3:$M$565)</f>
        <v>Ronald Miranda</v>
      </c>
      <c r="AO96" s="131" t="s">
        <v>551</v>
      </c>
      <c r="AP96" s="57" t="s">
        <v>2870</v>
      </c>
      <c r="AQ96" s="57" t="s">
        <v>667</v>
      </c>
    </row>
    <row r="97" ht="15.0" customHeight="1">
      <c r="A97" s="116" t="s">
        <v>2871</v>
      </c>
      <c r="B97" s="182">
        <v>46041.0</v>
      </c>
      <c r="C97" s="182">
        <v>46033.0</v>
      </c>
      <c r="D97" s="57" t="s">
        <v>665</v>
      </c>
      <c r="E97" s="3">
        <f t="array" ref="E97">XLOOKUP(D97,RUC!$B$3:$B$110,RUC!$D$3:$D$110)</f>
        <v>20608774000</v>
      </c>
      <c r="G97" s="141">
        <v>409.0</v>
      </c>
      <c r="H97" s="3" t="s">
        <v>40</v>
      </c>
      <c r="I97" s="6">
        <v>12.9</v>
      </c>
      <c r="J97" s="58">
        <v>17.2</v>
      </c>
      <c r="K97" s="6">
        <f t="shared" si="2"/>
        <v>10.681</v>
      </c>
      <c r="L97" s="139">
        <v>0.378</v>
      </c>
      <c r="M97" s="60">
        <f t="shared" si="46"/>
        <v>0.355</v>
      </c>
      <c r="N97" s="62">
        <f t="shared" si="45"/>
        <v>0.355</v>
      </c>
      <c r="O97" s="60">
        <f t="shared" si="47"/>
        <v>0.355</v>
      </c>
      <c r="P97" s="63">
        <v>87.0</v>
      </c>
      <c r="Q97" s="58">
        <v>87.57</v>
      </c>
      <c r="R97" s="65">
        <v>4612.95</v>
      </c>
      <c r="S97" s="66">
        <f t="array" ref="S97">IF((XLOOKUP(D97,RUC!$B$3:$B$106,RUC!$E$3:$E$106)+ROUNDDOWN(O97,1)*100)&lt;95,95,((XLOOKUP(D97,RUC!$B$3:$B$106,RUC!$E$3:$E$106)+ROUNDDOWN(O97,1)*100)))</f>
        <v>115</v>
      </c>
      <c r="U97" s="67">
        <f t="array" ref="U97">XLOOKUP(D97,RUC!$B$3:$B$110,RUC!$F$3:$F$110)</f>
        <v>120</v>
      </c>
      <c r="V97" s="67">
        <v>1.1023</v>
      </c>
      <c r="Y97" s="87">
        <v>30.0</v>
      </c>
      <c r="Z97" s="77">
        <v>40.0</v>
      </c>
      <c r="AA97" s="70">
        <f t="shared" si="6"/>
        <v>70</v>
      </c>
      <c r="AB97" s="71">
        <f t="shared" si="51"/>
        <v>1325.678458</v>
      </c>
      <c r="AC97" s="71">
        <f>+(S97-T97)*V97-'data 1'!$F$4</f>
        <v>46.7645</v>
      </c>
      <c r="AD97" s="71">
        <f t="shared" si="7"/>
        <v>10.67082625</v>
      </c>
      <c r="AE97" s="71">
        <f t="shared" si="8"/>
        <v>7.161</v>
      </c>
      <c r="AF97" s="71">
        <f t="shared" si="9"/>
        <v>99.75038457</v>
      </c>
      <c r="AG97" s="72">
        <f t="shared" si="52"/>
        <v>181.3467108</v>
      </c>
      <c r="AH97" s="193">
        <f t="shared" si="10"/>
        <v>121.218</v>
      </c>
      <c r="AI97" s="193">
        <f t="shared" si="11"/>
        <v>138.424</v>
      </c>
      <c r="AJ97" s="73">
        <f t="shared" si="12"/>
        <v>187.2003468</v>
      </c>
      <c r="AK97" s="73">
        <f t="shared" si="13"/>
        <v>113.1015587</v>
      </c>
      <c r="AM97" s="51">
        <f t="shared" si="14"/>
        <v>14159.57161</v>
      </c>
      <c r="AN97" s="51" t="str">
        <f t="array" ref="AN97">XLOOKUP(D97,RUC!$B$3:$B$565,RUC!$M$3:$M$565)</f>
        <v>Ronald Miranda</v>
      </c>
      <c r="AO97" s="131" t="s">
        <v>551</v>
      </c>
      <c r="AP97" s="57" t="s">
        <v>2870</v>
      </c>
      <c r="AQ97" s="57" t="s">
        <v>667</v>
      </c>
    </row>
    <row r="98" ht="15.0" customHeight="1">
      <c r="A98" s="116" t="s">
        <v>2872</v>
      </c>
      <c r="B98" s="182">
        <v>46041.0</v>
      </c>
      <c r="C98" s="182">
        <v>46033.0</v>
      </c>
      <c r="D98" s="57" t="s">
        <v>665</v>
      </c>
      <c r="E98" s="3">
        <f t="array" ref="E98">XLOOKUP(D98,RUC!$B$3:$B$110,RUC!$D$3:$D$110)</f>
        <v>20608774000</v>
      </c>
      <c r="G98" s="141">
        <v>426.0</v>
      </c>
      <c r="H98" s="3" t="s">
        <v>40</v>
      </c>
      <c r="I98" s="6">
        <v>13.05</v>
      </c>
      <c r="J98" s="58">
        <v>15.0</v>
      </c>
      <c r="K98" s="6">
        <f t="shared" si="2"/>
        <v>11.093</v>
      </c>
      <c r="L98" s="139">
        <v>0.455</v>
      </c>
      <c r="M98" s="60">
        <f t="shared" si="46"/>
        <v>0.428</v>
      </c>
      <c r="N98" s="62">
        <f t="shared" si="45"/>
        <v>0.428</v>
      </c>
      <c r="O98" s="60">
        <f t="shared" si="47"/>
        <v>0.428</v>
      </c>
      <c r="P98" s="63">
        <v>90.0</v>
      </c>
      <c r="Q98" s="58">
        <v>93.85</v>
      </c>
      <c r="R98" s="65">
        <v>4612.95</v>
      </c>
      <c r="S98" s="66">
        <f t="array" ref="S98">IF((XLOOKUP(D98,RUC!$B$3:$B$106,RUC!$E$3:$E$106)+ROUNDDOWN(O98,1)*100)&lt;95,95,((XLOOKUP(D98,RUC!$B$3:$B$106,RUC!$E$3:$E$106)+ROUNDDOWN(O98,1)*100)))</f>
        <v>125</v>
      </c>
      <c r="U98" s="67">
        <f t="array" ref="U98">XLOOKUP(D98,RUC!$B$3:$B$110,RUC!$F$3:$F$110)</f>
        <v>120</v>
      </c>
      <c r="V98" s="67">
        <v>1.1023</v>
      </c>
      <c r="Y98" s="87">
        <v>30.0</v>
      </c>
      <c r="Z98" s="77">
        <v>40.0</v>
      </c>
      <c r="AA98" s="70">
        <f t="shared" si="6"/>
        <v>70</v>
      </c>
      <c r="AB98" s="71">
        <f t="shared" si="51"/>
        <v>1692.784848</v>
      </c>
      <c r="AC98" s="71">
        <f>+(S98-T98)*V98-'data 1'!$F$4</f>
        <v>57.7875</v>
      </c>
      <c r="AD98" s="71">
        <f t="shared" si="7"/>
        <v>86.75679887</v>
      </c>
      <c r="AE98" s="71">
        <f t="shared" si="8"/>
        <v>7.161</v>
      </c>
      <c r="AF98" s="71">
        <f t="shared" si="9"/>
        <v>125.4958701</v>
      </c>
      <c r="AG98" s="72">
        <f t="shared" si="52"/>
        <v>294.201169</v>
      </c>
      <c r="AH98" s="193">
        <f t="shared" si="10"/>
        <v>162.407</v>
      </c>
      <c r="AI98" s="193">
        <f t="shared" si="11"/>
        <v>173.049</v>
      </c>
      <c r="AJ98" s="73">
        <f t="shared" si="12"/>
        <v>241.4933483</v>
      </c>
      <c r="AK98" s="73">
        <f t="shared" si="13"/>
        <v>146.5022723</v>
      </c>
      <c r="AM98" s="51">
        <f t="shared" si="14"/>
        <v>18778.06232</v>
      </c>
      <c r="AN98" s="51" t="str">
        <f t="array" ref="AN98">XLOOKUP(D98,RUC!$B$3:$B$565,RUC!$M$3:$M$565)</f>
        <v>Ronald Miranda</v>
      </c>
      <c r="AO98" s="131" t="s">
        <v>551</v>
      </c>
      <c r="AP98" s="57" t="s">
        <v>2870</v>
      </c>
      <c r="AQ98" s="57" t="s">
        <v>667</v>
      </c>
    </row>
    <row r="99" ht="15.0" customHeight="1">
      <c r="A99" s="116" t="s">
        <v>2873</v>
      </c>
      <c r="B99" s="182">
        <v>46043.0</v>
      </c>
      <c r="C99" s="182">
        <v>46034.0</v>
      </c>
      <c r="D99" s="57" t="s">
        <v>295</v>
      </c>
      <c r="E99" s="3">
        <f t="array" ref="E99">XLOOKUP(D99,RUC!$B$3:$B$110,RUC!$D$3:$D$110)</f>
        <v>20601769396</v>
      </c>
      <c r="G99" s="141">
        <v>64.0</v>
      </c>
      <c r="H99" s="3" t="s">
        <v>339</v>
      </c>
      <c r="I99" s="6">
        <v>6.11</v>
      </c>
      <c r="J99" s="58">
        <v>9.5</v>
      </c>
      <c r="K99" s="6">
        <f t="shared" si="2"/>
        <v>5.53</v>
      </c>
      <c r="L99" s="139">
        <v>0.153</v>
      </c>
      <c r="M99" s="60">
        <f t="shared" si="46"/>
        <v>0.134</v>
      </c>
      <c r="N99" s="62">
        <f t="shared" si="45"/>
        <v>0.134</v>
      </c>
      <c r="O99" s="60">
        <f t="shared" si="47"/>
        <v>0.134</v>
      </c>
      <c r="P99" s="63">
        <v>85.0</v>
      </c>
      <c r="Q99" s="58">
        <v>91.5</v>
      </c>
      <c r="R99" s="65">
        <v>4612.95</v>
      </c>
      <c r="S99" s="66">
        <f t="array" ref="S99">IF((XLOOKUP(D99,RUC!$B$3:$B$106,RUC!$E$3:$E$106)+ROUNDDOWN(O99,1)*100)&lt;95,95,((XLOOKUP(D99,RUC!$B$3:$B$106,RUC!$E$3:$E$106)+ROUNDDOWN(O99,1)*100)))</f>
        <v>100</v>
      </c>
      <c r="U99" s="67">
        <f t="array" ref="U99">XLOOKUP(D99,RUC!$B$3:$B$110,RUC!$F$3:$F$110)</f>
        <v>120</v>
      </c>
      <c r="V99" s="67">
        <v>1.1023</v>
      </c>
      <c r="Y99" s="87">
        <v>30.0</v>
      </c>
      <c r="Z99" s="77">
        <v>40.0</v>
      </c>
      <c r="AA99" s="70">
        <f t="shared" si="6"/>
        <v>70</v>
      </c>
      <c r="AB99" s="71">
        <f t="shared" si="51"/>
        <v>376.7077236</v>
      </c>
      <c r="AC99" s="71">
        <f>+(S99-T99)*V99-'data 1'!$F$4</f>
        <v>30.23</v>
      </c>
      <c r="AD99" s="71">
        <f t="shared" si="7"/>
        <v>49.25339602</v>
      </c>
      <c r="AE99" s="71">
        <f t="shared" si="8"/>
        <v>7.161</v>
      </c>
      <c r="AF99" s="71">
        <f t="shared" si="9"/>
        <v>86.10058218</v>
      </c>
      <c r="AG99" s="72">
        <f t="shared" si="52"/>
        <v>189.7449782</v>
      </c>
      <c r="AH99" s="193">
        <f t="shared" si="10"/>
        <v>26.543</v>
      </c>
      <c r="AI99" s="193">
        <f t="shared" si="11"/>
        <v>29.009</v>
      </c>
      <c r="AJ99" s="73">
        <f t="shared" si="12"/>
        <v>79.17207442</v>
      </c>
      <c r="AK99" s="73">
        <f t="shared" si="13"/>
        <v>21.59523451</v>
      </c>
      <c r="AM99" s="51">
        <f t="shared" si="14"/>
        <v>2083.193712</v>
      </c>
      <c r="AN99" s="51" t="str">
        <f t="array" ref="AN99">XLOOKUP(D99,RUC!$B$3:$B$565,RUC!$M$3:$M$565)</f>
        <v>Evelyn</v>
      </c>
      <c r="AO99" s="131" t="s">
        <v>547</v>
      </c>
      <c r="AP99" s="57" t="s">
        <v>2874</v>
      </c>
      <c r="AQ99" s="57" t="s">
        <v>2875</v>
      </c>
    </row>
    <row r="100" ht="15.0" customHeight="1">
      <c r="A100" s="116" t="s">
        <v>2876</v>
      </c>
      <c r="B100" s="182">
        <v>46043.0</v>
      </c>
      <c r="C100" s="182">
        <v>46034.0</v>
      </c>
      <c r="D100" s="57" t="s">
        <v>295</v>
      </c>
      <c r="E100" s="3">
        <f t="array" ref="E100">XLOOKUP(D100,RUC!$B$3:$B$110,RUC!$D$3:$D$110)</f>
        <v>20601769396</v>
      </c>
      <c r="G100" s="141">
        <v>64.0</v>
      </c>
      <c r="H100" s="3" t="s">
        <v>339</v>
      </c>
      <c r="I100" s="6">
        <v>6.19</v>
      </c>
      <c r="J100" s="58">
        <v>9.1</v>
      </c>
      <c r="K100" s="6">
        <f t="shared" si="2"/>
        <v>5.627</v>
      </c>
      <c r="L100" s="139">
        <v>0.123</v>
      </c>
      <c r="M100" s="60">
        <f t="shared" si="46"/>
        <v>0.104</v>
      </c>
      <c r="N100" s="62">
        <f t="shared" si="45"/>
        <v>0.104</v>
      </c>
      <c r="O100" s="60">
        <f t="shared" si="47"/>
        <v>0.104</v>
      </c>
      <c r="P100" s="63">
        <v>80.0</v>
      </c>
      <c r="Q100" s="58">
        <v>91.87</v>
      </c>
      <c r="R100" s="65">
        <v>4612.95</v>
      </c>
      <c r="S100" s="66">
        <f t="array" ref="S100">IF((XLOOKUP(D100,RUC!$B$3:$B$106,RUC!$E$3:$E$106)+ROUNDDOWN(O100,1)*100)&lt;95,95,((XLOOKUP(D100,RUC!$B$3:$B$106,RUC!$E$3:$E$106)+ROUNDDOWN(O100,1)*100)))</f>
        <v>100</v>
      </c>
      <c r="U100" s="67">
        <f t="array" ref="U100">XLOOKUP(D100,RUC!$B$3:$B$110,RUC!$F$3:$F$110)</f>
        <v>120</v>
      </c>
      <c r="V100" s="67">
        <v>1.1023</v>
      </c>
      <c r="Y100" s="87">
        <v>30.0</v>
      </c>
      <c r="Z100" s="77">
        <v>40.0</v>
      </c>
      <c r="AA100" s="70">
        <f t="shared" si="6"/>
        <v>70</v>
      </c>
      <c r="AB100" s="71">
        <f t="shared" si="51"/>
        <v>224.6635549</v>
      </c>
      <c r="AC100" s="71">
        <f>+(S100-T100)*V100-'data 1'!$F$4</f>
        <v>30.23</v>
      </c>
      <c r="AD100" s="71">
        <f t="shared" si="7"/>
        <v>72.30814552</v>
      </c>
      <c r="AE100" s="71">
        <f t="shared" si="8"/>
        <v>7.161</v>
      </c>
      <c r="AF100" s="71">
        <f t="shared" si="9"/>
        <v>86.44874847</v>
      </c>
      <c r="AG100" s="72">
        <f t="shared" si="52"/>
        <v>213.147894</v>
      </c>
      <c r="AH100" s="193">
        <f t="shared" si="10"/>
        <v>21.8</v>
      </c>
      <c r="AI100" s="193">
        <f t="shared" si="11"/>
        <v>23.73</v>
      </c>
      <c r="AJ100" s="73">
        <f t="shared" si="12"/>
        <v>63.90551325</v>
      </c>
      <c r="AK100" s="73">
        <f t="shared" si="13"/>
        <v>16.0512667</v>
      </c>
      <c r="AM100" s="51">
        <f t="shared" si="14"/>
        <v>1264.181823</v>
      </c>
      <c r="AN100" s="51" t="str">
        <f t="array" ref="AN100">XLOOKUP(D100,RUC!$B$3:$B$565,RUC!$M$3:$M$565)</f>
        <v>Evelyn</v>
      </c>
      <c r="AO100" s="131" t="s">
        <v>547</v>
      </c>
      <c r="AP100" s="57" t="s">
        <v>2874</v>
      </c>
      <c r="AQ100" s="57" t="s">
        <v>2875</v>
      </c>
    </row>
    <row r="101" ht="15.0" customHeight="1">
      <c r="A101" s="116" t="s">
        <v>2877</v>
      </c>
      <c r="B101" s="182">
        <v>46047.0</v>
      </c>
      <c r="C101" s="182">
        <v>46034.0</v>
      </c>
      <c r="D101" s="57" t="s">
        <v>295</v>
      </c>
      <c r="E101" s="3">
        <f t="array" ref="E101">XLOOKUP(D101,RUC!$B$3:$B$110,RUC!$D$3:$D$110)</f>
        <v>20601769396</v>
      </c>
      <c r="G101" s="141">
        <v>40.0</v>
      </c>
      <c r="H101" s="3" t="s">
        <v>339</v>
      </c>
      <c r="I101" s="6">
        <v>2.81</v>
      </c>
      <c r="J101" s="58">
        <v>13.7</v>
      </c>
      <c r="K101" s="6">
        <f t="shared" si="2"/>
        <v>2.425</v>
      </c>
      <c r="L101" s="139">
        <v>0.26</v>
      </c>
      <c r="M101" s="60">
        <f t="shared" si="46"/>
        <v>0.241</v>
      </c>
      <c r="N101" s="62">
        <f t="shared" si="45"/>
        <v>0.241</v>
      </c>
      <c r="O101" s="60">
        <f t="shared" si="47"/>
        <v>0.241</v>
      </c>
      <c r="P101" s="63">
        <v>90.0</v>
      </c>
      <c r="Q101" s="58">
        <v>95.38</v>
      </c>
      <c r="R101" s="65">
        <v>4612.95</v>
      </c>
      <c r="S101" s="66">
        <f t="array" ref="S101">IF((XLOOKUP(D101,RUC!$B$3:$B$106,RUC!$E$3:$E$106)+ROUNDDOWN(O101,1)*100)&lt;95,95,((XLOOKUP(D101,RUC!$B$3:$B$106,RUC!$E$3:$E$106)+ROUNDDOWN(O101,1)*100)))</f>
        <v>110</v>
      </c>
      <c r="U101" s="67">
        <f t="array" ref="U101">XLOOKUP(D101,RUC!$B$3:$B$110,RUC!$F$3:$F$110)</f>
        <v>120</v>
      </c>
      <c r="V101" s="67">
        <v>1.1023</v>
      </c>
      <c r="Y101" s="87">
        <v>30.0</v>
      </c>
      <c r="Z101" s="77">
        <v>40.0</v>
      </c>
      <c r="AA101" s="70">
        <f t="shared" si="6"/>
        <v>70</v>
      </c>
      <c r="AB101" s="71">
        <f t="shared" si="51"/>
        <v>875.8003385</v>
      </c>
      <c r="AC101" s="71">
        <f>+(S101-T101)*V101-'data 1'!$F$4</f>
        <v>41.253</v>
      </c>
      <c r="AD101" s="71">
        <f t="shared" si="7"/>
        <v>69.27667204</v>
      </c>
      <c r="AE101" s="71">
        <f t="shared" si="8"/>
        <v>7.161</v>
      </c>
      <c r="AF101" s="71">
        <f t="shared" si="9"/>
        <v>89.75162326</v>
      </c>
      <c r="AG101" s="72">
        <f t="shared" si="52"/>
        <v>224.4422953</v>
      </c>
      <c r="AH101" s="193">
        <f t="shared" si="10"/>
        <v>20.618</v>
      </c>
      <c r="AI101" s="193">
        <f t="shared" si="11"/>
        <v>21.617</v>
      </c>
      <c r="AJ101" s="73">
        <f t="shared" si="12"/>
        <v>140.2458973</v>
      </c>
      <c r="AK101" s="73">
        <f t="shared" si="13"/>
        <v>18.03351412</v>
      </c>
      <c r="AM101" s="51">
        <f t="shared" si="14"/>
        <v>2123.815821</v>
      </c>
      <c r="AN101" s="51" t="str">
        <f t="array" ref="AN101">XLOOKUP(D101,RUC!$B$3:$B$565,RUC!$M$3:$M$565)</f>
        <v>Evelyn</v>
      </c>
      <c r="AO101" s="131" t="s">
        <v>547</v>
      </c>
      <c r="AP101" s="57" t="s">
        <v>710</v>
      </c>
      <c r="AQ101" s="57" t="s">
        <v>711</v>
      </c>
    </row>
    <row r="102" ht="15.0" customHeight="1">
      <c r="A102" s="116" t="s">
        <v>2878</v>
      </c>
      <c r="B102" s="182">
        <v>46047.0</v>
      </c>
      <c r="C102" s="182">
        <v>46034.0</v>
      </c>
      <c r="D102" s="57" t="s">
        <v>295</v>
      </c>
      <c r="E102" s="3">
        <f t="array" ref="E102">XLOOKUP(D102,RUC!$B$3:$B$110,RUC!$D$3:$D$110)</f>
        <v>20601769396</v>
      </c>
      <c r="G102" s="141">
        <v>40.0</v>
      </c>
      <c r="H102" s="3" t="s">
        <v>339</v>
      </c>
      <c r="I102" s="6">
        <v>2.73</v>
      </c>
      <c r="J102" s="58">
        <v>11.5</v>
      </c>
      <c r="K102" s="6">
        <f t="shared" si="2"/>
        <v>2.416</v>
      </c>
      <c r="L102" s="139">
        <v>0.291</v>
      </c>
      <c r="M102" s="60">
        <f t="shared" si="46"/>
        <v>0.272</v>
      </c>
      <c r="N102" s="62">
        <f t="shared" si="45"/>
        <v>0.272</v>
      </c>
      <c r="O102" s="60">
        <f t="shared" si="47"/>
        <v>0.272</v>
      </c>
      <c r="P102" s="63">
        <v>90.0</v>
      </c>
      <c r="Q102" s="58">
        <v>95.88</v>
      </c>
      <c r="R102" s="65">
        <v>4612.95</v>
      </c>
      <c r="S102" s="66">
        <f t="array" ref="S102">IF((XLOOKUP(D102,RUC!$B$3:$B$106,RUC!$E$3:$E$106)+ROUNDDOWN(O102,1)*100)&lt;95,95,((XLOOKUP(D102,RUC!$B$3:$B$106,RUC!$E$3:$E$106)+ROUNDDOWN(O102,1)*100)))</f>
        <v>110</v>
      </c>
      <c r="U102" s="67">
        <f t="array" ref="U102">XLOOKUP(D102,RUC!$B$3:$B$110,RUC!$F$3:$F$110)</f>
        <v>120</v>
      </c>
      <c r="V102" s="67">
        <v>1.1023</v>
      </c>
      <c r="Y102" s="87">
        <v>30.0</v>
      </c>
      <c r="Z102" s="77">
        <v>40.0</v>
      </c>
      <c r="AA102" s="70">
        <f t="shared" si="6"/>
        <v>70</v>
      </c>
      <c r="AB102" s="71">
        <f t="shared" si="51"/>
        <v>1013.977287</v>
      </c>
      <c r="AC102" s="71">
        <f>+(S102-T102)*V102-'data 1'!$F$4</f>
        <v>41.253</v>
      </c>
      <c r="AD102" s="71">
        <f t="shared" si="7"/>
        <v>84.74258507</v>
      </c>
      <c r="AE102" s="71">
        <f t="shared" si="8"/>
        <v>7.161</v>
      </c>
      <c r="AF102" s="71">
        <f t="shared" si="9"/>
        <v>90.22211824</v>
      </c>
      <c r="AG102" s="72">
        <f t="shared" si="52"/>
        <v>240.3787033</v>
      </c>
      <c r="AH102" s="193">
        <f t="shared" si="10"/>
        <v>23.111</v>
      </c>
      <c r="AI102" s="193">
        <f t="shared" si="11"/>
        <v>24.105</v>
      </c>
      <c r="AJ102" s="73">
        <f t="shared" si="12"/>
        <v>157.790377</v>
      </c>
      <c r="AK102" s="73">
        <f t="shared" si="13"/>
        <v>20.2776402</v>
      </c>
      <c r="AM102" s="51">
        <f t="shared" si="14"/>
        <v>2449.769124</v>
      </c>
      <c r="AN102" s="51" t="str">
        <f t="array" ref="AN102">XLOOKUP(D102,RUC!$B$3:$B$565,RUC!$M$3:$M$565)</f>
        <v>Evelyn</v>
      </c>
      <c r="AO102" s="131" t="s">
        <v>547</v>
      </c>
      <c r="AP102" s="57" t="s">
        <v>710</v>
      </c>
      <c r="AQ102" s="57" t="s">
        <v>711</v>
      </c>
    </row>
    <row r="103" ht="15.0" customHeight="1">
      <c r="A103" s="116" t="s">
        <v>2879</v>
      </c>
      <c r="B103" s="182">
        <v>46047.0</v>
      </c>
      <c r="C103" s="182">
        <v>46034.0</v>
      </c>
      <c r="D103" s="57" t="s">
        <v>295</v>
      </c>
      <c r="E103" s="3">
        <f t="array" ref="E103">XLOOKUP(D103,RUC!$B$3:$B$110,RUC!$D$3:$D$110)</f>
        <v>20601769396</v>
      </c>
      <c r="G103" s="141">
        <v>40.0</v>
      </c>
      <c r="H103" s="3" t="s">
        <v>339</v>
      </c>
      <c r="I103" s="6">
        <v>2.75</v>
      </c>
      <c r="J103" s="58">
        <v>10.7</v>
      </c>
      <c r="K103" s="6">
        <f t="shared" si="2"/>
        <v>2.456</v>
      </c>
      <c r="L103" s="139">
        <v>0.29</v>
      </c>
      <c r="M103" s="60">
        <f t="shared" si="46"/>
        <v>0.271</v>
      </c>
      <c r="N103" s="62">
        <f t="shared" si="45"/>
        <v>0.271</v>
      </c>
      <c r="O103" s="60">
        <f t="shared" si="47"/>
        <v>0.271</v>
      </c>
      <c r="P103" s="63">
        <v>90.0</v>
      </c>
      <c r="Q103" s="58">
        <v>96.9</v>
      </c>
      <c r="R103" s="65">
        <v>4612.95</v>
      </c>
      <c r="S103" s="66">
        <f t="array" ref="S103">IF((XLOOKUP(D103,RUC!$B$3:$B$106,RUC!$E$3:$E$106)+ROUNDDOWN(O103,1)*100)&lt;95,95,((XLOOKUP(D103,RUC!$B$3:$B$106,RUC!$E$3:$E$106)+ROUNDDOWN(O103,1)*100)))</f>
        <v>110</v>
      </c>
      <c r="U103" s="67">
        <f t="array" ref="U103">XLOOKUP(D103,RUC!$B$3:$B$110,RUC!$F$3:$F$110)</f>
        <v>120</v>
      </c>
      <c r="V103" s="67">
        <v>1.1023</v>
      </c>
      <c r="Y103" s="87">
        <v>30.0</v>
      </c>
      <c r="Z103" s="77">
        <v>40.0</v>
      </c>
      <c r="AA103" s="70">
        <f t="shared" si="6"/>
        <v>70</v>
      </c>
      <c r="AB103" s="71">
        <f t="shared" si="51"/>
        <v>1009.519966</v>
      </c>
      <c r="AC103" s="71">
        <f>+(S103-T103)*V103-'data 1'!$F$4</f>
        <v>41.253</v>
      </c>
      <c r="AD103" s="71">
        <f t="shared" si="7"/>
        <v>99.10110149</v>
      </c>
      <c r="AE103" s="71">
        <f t="shared" si="8"/>
        <v>7.161</v>
      </c>
      <c r="AF103" s="71">
        <f t="shared" si="9"/>
        <v>91.18192801</v>
      </c>
      <c r="AG103" s="72">
        <f t="shared" si="52"/>
        <v>255.6970295</v>
      </c>
      <c r="AH103" s="193">
        <f t="shared" si="10"/>
        <v>23.662</v>
      </c>
      <c r="AI103" s="193">
        <f t="shared" si="11"/>
        <v>24.419</v>
      </c>
      <c r="AJ103" s="73">
        <f t="shared" si="12"/>
        <v>158.9209946</v>
      </c>
      <c r="AK103" s="73">
        <f t="shared" si="13"/>
        <v>20.53757829</v>
      </c>
      <c r="AM103" s="51">
        <f t="shared" si="14"/>
        <v>2479.381036</v>
      </c>
      <c r="AN103" s="51" t="str">
        <f t="array" ref="AN103">XLOOKUP(D103,RUC!$B$3:$B$565,RUC!$M$3:$M$565)</f>
        <v>Evelyn</v>
      </c>
      <c r="AO103" s="131" t="s">
        <v>547</v>
      </c>
      <c r="AP103" s="57" t="s">
        <v>710</v>
      </c>
      <c r="AQ103" s="57" t="s">
        <v>711</v>
      </c>
    </row>
    <row r="104" ht="15.0" customHeight="1">
      <c r="A104" s="116" t="s">
        <v>2880</v>
      </c>
      <c r="B104" s="182">
        <v>46047.0</v>
      </c>
      <c r="C104" s="182">
        <v>46034.0</v>
      </c>
      <c r="D104" s="57" t="s">
        <v>295</v>
      </c>
      <c r="E104" s="3">
        <f t="array" ref="E104">XLOOKUP(D104,RUC!$B$3:$B$110,RUC!$D$3:$D$110)</f>
        <v>20601769396</v>
      </c>
      <c r="G104" s="141">
        <v>40.0</v>
      </c>
      <c r="H104" s="3" t="s">
        <v>339</v>
      </c>
      <c r="I104" s="6">
        <v>2.76</v>
      </c>
      <c r="J104" s="58">
        <v>11.2</v>
      </c>
      <c r="K104" s="6">
        <f t="shared" si="2"/>
        <v>2.451</v>
      </c>
      <c r="L104" s="139">
        <v>0.346</v>
      </c>
      <c r="M104" s="60">
        <f t="shared" si="46"/>
        <v>0.325</v>
      </c>
      <c r="N104" s="62">
        <f t="shared" si="45"/>
        <v>0.325</v>
      </c>
      <c r="O104" s="60">
        <f t="shared" si="47"/>
        <v>0.325</v>
      </c>
      <c r="P104" s="63">
        <v>90.0</v>
      </c>
      <c r="Q104" s="58">
        <v>97.4</v>
      </c>
      <c r="R104" s="65">
        <v>4612.95</v>
      </c>
      <c r="S104" s="66">
        <f t="array" ref="S104">IF((XLOOKUP(D104,RUC!$B$3:$B$106,RUC!$E$3:$E$106)+ROUNDDOWN(O104,1)*100)&lt;95,95,((XLOOKUP(D104,RUC!$B$3:$B$106,RUC!$E$3:$E$106)+ROUNDDOWN(O104,1)*100)))</f>
        <v>120</v>
      </c>
      <c r="U104" s="67">
        <f t="array" ref="U104">XLOOKUP(D104,RUC!$B$3:$B$110,RUC!$F$3:$F$110)</f>
        <v>120</v>
      </c>
      <c r="V104" s="67">
        <v>1.1023</v>
      </c>
      <c r="Y104" s="87">
        <v>30.0</v>
      </c>
      <c r="Z104" s="77">
        <v>40.0</v>
      </c>
      <c r="AA104" s="70">
        <f t="shared" si="6"/>
        <v>70</v>
      </c>
      <c r="AB104" s="71">
        <f t="shared" si="51"/>
        <v>1239.192295</v>
      </c>
      <c r="AC104" s="71">
        <f>+(S104-T104)*V104-'data 1'!$F$4</f>
        <v>52.276</v>
      </c>
      <c r="AD104" s="71">
        <f t="shared" si="7"/>
        <v>126.8058272</v>
      </c>
      <c r="AE104" s="71">
        <f t="shared" si="8"/>
        <v>7.161</v>
      </c>
      <c r="AF104" s="71">
        <f t="shared" si="9"/>
        <v>101.3000465</v>
      </c>
      <c r="AG104" s="72">
        <f t="shared" si="52"/>
        <v>304.5428737</v>
      </c>
      <c r="AH104" s="193">
        <f t="shared" si="10"/>
        <v>28.32</v>
      </c>
      <c r="AI104" s="193">
        <f t="shared" si="11"/>
        <v>29.076</v>
      </c>
      <c r="AJ104" s="73">
        <f t="shared" si="12"/>
        <v>190.5875622</v>
      </c>
      <c r="AK104" s="73">
        <f t="shared" si="13"/>
        <v>24.57979469</v>
      </c>
      <c r="AM104" s="51">
        <f t="shared" si="14"/>
        <v>3037.260314</v>
      </c>
      <c r="AN104" s="51" t="str">
        <f t="array" ref="AN104">XLOOKUP(D104,RUC!$B$3:$B$565,RUC!$M$3:$M$565)</f>
        <v>Evelyn</v>
      </c>
      <c r="AO104" s="131" t="s">
        <v>547</v>
      </c>
      <c r="AP104" s="57" t="s">
        <v>710</v>
      </c>
      <c r="AQ104" s="57" t="s">
        <v>711</v>
      </c>
    </row>
    <row r="105" ht="15.0" customHeight="1">
      <c r="A105" s="116" t="s">
        <v>2881</v>
      </c>
      <c r="B105" s="182">
        <v>46047.0</v>
      </c>
      <c r="C105" s="182">
        <v>46034.0</v>
      </c>
      <c r="D105" s="57" t="s">
        <v>295</v>
      </c>
      <c r="E105" s="3">
        <f t="array" ref="E105">XLOOKUP(D105,RUC!$B$3:$B$110,RUC!$D$3:$D$110)</f>
        <v>20601769396</v>
      </c>
      <c r="G105" s="141">
        <v>40.0</v>
      </c>
      <c r="H105" s="3" t="s">
        <v>339</v>
      </c>
      <c r="I105" s="6">
        <v>2.76</v>
      </c>
      <c r="J105" s="58">
        <v>10.2</v>
      </c>
      <c r="K105" s="6">
        <f t="shared" si="2"/>
        <v>2.478</v>
      </c>
      <c r="L105" s="139">
        <v>0.247</v>
      </c>
      <c r="M105" s="60">
        <f t="shared" si="46"/>
        <v>0.228</v>
      </c>
      <c r="N105" s="62">
        <f t="shared" si="45"/>
        <v>0.228</v>
      </c>
      <c r="O105" s="60">
        <f t="shared" si="47"/>
        <v>0.228</v>
      </c>
      <c r="P105" s="63">
        <v>90.0</v>
      </c>
      <c r="Q105" s="58">
        <v>95.14</v>
      </c>
      <c r="R105" s="65">
        <v>4612.95</v>
      </c>
      <c r="S105" s="66">
        <f t="array" ref="S105">IF((XLOOKUP(D105,RUC!$B$3:$B$106,RUC!$E$3:$E$106)+ROUNDDOWN(O105,1)*100)&lt;95,95,((XLOOKUP(D105,RUC!$B$3:$B$106,RUC!$E$3:$E$106)+ROUNDDOWN(O105,1)*100)))</f>
        <v>110</v>
      </c>
      <c r="U105" s="67">
        <f t="array" ref="U105">XLOOKUP(D105,RUC!$B$3:$B$110,RUC!$F$3:$F$110)</f>
        <v>120</v>
      </c>
      <c r="V105" s="67">
        <v>1.1023</v>
      </c>
      <c r="Y105" s="87">
        <v>30.0</v>
      </c>
      <c r="Z105" s="77">
        <v>40.0</v>
      </c>
      <c r="AA105" s="70">
        <f t="shared" si="6"/>
        <v>70</v>
      </c>
      <c r="AB105" s="71">
        <f t="shared" si="51"/>
        <v>817.8551667</v>
      </c>
      <c r="AC105" s="71">
        <f>+(S105-T105)*V105-'data 1'!$F$4</f>
        <v>41.253</v>
      </c>
      <c r="AD105" s="71">
        <f t="shared" si="7"/>
        <v>62.87694974</v>
      </c>
      <c r="AE105" s="71">
        <f t="shared" si="8"/>
        <v>7.161</v>
      </c>
      <c r="AF105" s="71">
        <f t="shared" si="9"/>
        <v>89.52578566</v>
      </c>
      <c r="AG105" s="72">
        <f t="shared" si="52"/>
        <v>217.8167354</v>
      </c>
      <c r="AH105" s="193">
        <f t="shared" si="10"/>
        <v>19.965</v>
      </c>
      <c r="AI105" s="193">
        <f t="shared" si="11"/>
        <v>20.985</v>
      </c>
      <c r="AJ105" s="73">
        <f t="shared" si="12"/>
        <v>132.8983533</v>
      </c>
      <c r="AK105" s="73">
        <f t="shared" si="13"/>
        <v>17.43362611</v>
      </c>
      <c r="AM105" s="51">
        <f t="shared" si="14"/>
        <v>2026.645103</v>
      </c>
      <c r="AN105" s="51" t="str">
        <f t="array" ref="AN105">XLOOKUP(D105,RUC!$B$3:$B$565,RUC!$M$3:$M$565)</f>
        <v>Evelyn</v>
      </c>
      <c r="AO105" s="131" t="s">
        <v>547</v>
      </c>
      <c r="AP105" s="57" t="s">
        <v>710</v>
      </c>
      <c r="AQ105" s="57" t="s">
        <v>711</v>
      </c>
    </row>
    <row r="106" ht="15.0" customHeight="1">
      <c r="A106" s="192" t="s">
        <v>2882</v>
      </c>
      <c r="B106" s="3"/>
      <c r="C106" s="182">
        <v>46036.0</v>
      </c>
      <c r="D106" s="57" t="s">
        <v>295</v>
      </c>
      <c r="E106" s="3">
        <f t="array" ref="E106">XLOOKUP(D106,RUC!$B$3:$B$110,RUC!$D$3:$D$110)</f>
        <v>20601769396</v>
      </c>
      <c r="G106" s="141">
        <v>32.0</v>
      </c>
      <c r="H106" s="3" t="s">
        <v>339</v>
      </c>
      <c r="I106" s="6">
        <v>2.36</v>
      </c>
      <c r="J106" s="58">
        <v>21.2</v>
      </c>
      <c r="K106" s="6">
        <f t="shared" si="2"/>
        <v>1.86</v>
      </c>
      <c r="L106" s="139">
        <v>0.091</v>
      </c>
      <c r="M106" s="60">
        <f t="shared" si="46"/>
        <v>0.072</v>
      </c>
      <c r="N106" s="62">
        <f t="shared" si="45"/>
        <v>0.072</v>
      </c>
      <c r="O106" s="60">
        <f t="shared" si="47"/>
        <v>0.072</v>
      </c>
      <c r="P106" s="63">
        <v>80.0</v>
      </c>
      <c r="Q106" s="58">
        <v>85.71</v>
      </c>
      <c r="R106" s="65">
        <v>4606.5</v>
      </c>
      <c r="S106" s="66">
        <f t="array" ref="S106">IF((XLOOKUP(D106,RUC!$B$3:$B$106,RUC!$E$3:$E$106)+ROUNDDOWN(O106,1)*100)&lt;95,95,((XLOOKUP(D106,RUC!$B$3:$B$106,RUC!$E$3:$E$106)+ROUNDDOWN(O106,1)*100)))</f>
        <v>95</v>
      </c>
      <c r="U106" s="67">
        <f t="array" ref="U106">XLOOKUP(D106,RUC!$B$3:$B$110,RUC!$F$3:$F$110)</f>
        <v>120</v>
      </c>
      <c r="V106" s="67">
        <v>1.1023</v>
      </c>
      <c r="Y106" s="57">
        <f t="array" ref="Y106">XLOOKUP(D106,RUC!$B$3:$B$110,RUC!$G$3:$G$110)</f>
        <v>20</v>
      </c>
      <c r="Z106" s="69">
        <f t="array" ref="Z106">XLOOKUP(D106,RUC!$B$3:$B$110,RUC!$H$3:$H$110)</f>
        <v>30</v>
      </c>
      <c r="AA106" s="70">
        <f t="shared" si="6"/>
        <v>50</v>
      </c>
      <c r="AB106" s="71">
        <v>0.0</v>
      </c>
      <c r="AC106" s="71">
        <f>+(S106-T106)*V106-'data 1'!$F$4</f>
        <v>24.7185</v>
      </c>
      <c r="AD106" s="71">
        <f t="shared" si="7"/>
        <v>25.69715121</v>
      </c>
      <c r="AE106" s="71">
        <f t="shared" si="8"/>
        <v>-14.885</v>
      </c>
      <c r="AF106" s="71">
        <f t="shared" si="9"/>
        <v>80.5364673</v>
      </c>
      <c r="AG106" s="72">
        <f>AC106+AD106+AE106+AF106+70-53+125.03</f>
        <v>258.0971185</v>
      </c>
      <c r="AH106" s="193">
        <f t="shared" si="10"/>
        <v>4.974</v>
      </c>
      <c r="AI106" s="193">
        <f t="shared" si="11"/>
        <v>5.803</v>
      </c>
      <c r="AJ106" s="73">
        <f t="shared" si="12"/>
        <v>44.66406499</v>
      </c>
      <c r="AK106" s="73">
        <f t="shared" si="13"/>
        <v>3.673199334</v>
      </c>
      <c r="AM106" s="51">
        <f t="shared" si="14"/>
        <v>0</v>
      </c>
      <c r="AN106" s="51" t="str">
        <f t="array" ref="AN106">XLOOKUP(D106,RUC!$B$3:$B$565,RUC!$M$3:$M$565)</f>
        <v>Evelyn</v>
      </c>
      <c r="AO106" s="131" t="s">
        <v>547</v>
      </c>
      <c r="AP106" s="57" t="s">
        <v>2753</v>
      </c>
      <c r="AQ106" s="57" t="s">
        <v>2883</v>
      </c>
    </row>
    <row r="107" ht="15.0" customHeight="1">
      <c r="A107" s="192" t="s">
        <v>2884</v>
      </c>
      <c r="B107" s="3"/>
      <c r="C107" s="182">
        <v>46036.0</v>
      </c>
      <c r="D107" s="57" t="s">
        <v>295</v>
      </c>
      <c r="E107" s="3">
        <f t="array" ref="E107">XLOOKUP(D107,RUC!$B$3:$B$110,RUC!$D$3:$D$110)</f>
        <v>20601769396</v>
      </c>
      <c r="G107" s="141">
        <v>32.0</v>
      </c>
      <c r="H107" s="3" t="s">
        <v>339</v>
      </c>
      <c r="I107" s="6">
        <v>2.36</v>
      </c>
      <c r="J107" s="58">
        <v>20.9</v>
      </c>
      <c r="K107" s="6">
        <f t="shared" si="2"/>
        <v>1.867</v>
      </c>
      <c r="L107" s="139">
        <v>0.095</v>
      </c>
      <c r="M107" s="60">
        <f t="shared" si="46"/>
        <v>0.076</v>
      </c>
      <c r="N107" s="62">
        <f t="shared" si="45"/>
        <v>0.076</v>
      </c>
      <c r="O107" s="60">
        <f t="shared" si="47"/>
        <v>0.076</v>
      </c>
      <c r="P107" s="63">
        <v>80.0</v>
      </c>
      <c r="Q107" s="58">
        <v>85.26</v>
      </c>
      <c r="R107" s="65">
        <v>4606.5</v>
      </c>
      <c r="S107" s="66">
        <f t="array" ref="S107">IF((XLOOKUP(D107,RUC!$B$3:$B$106,RUC!$E$3:$E$106)+ROUNDDOWN(O107,1)*100)&lt;95,95,((XLOOKUP(D107,RUC!$B$3:$B$106,RUC!$E$3:$E$106)+ROUNDDOWN(O107,1)*100)))</f>
        <v>95</v>
      </c>
      <c r="U107" s="67">
        <f t="array" ref="U107">XLOOKUP(D107,RUC!$B$3:$B$110,RUC!$F$3:$F$110)</f>
        <v>120</v>
      </c>
      <c r="V107" s="67">
        <v>1.1023</v>
      </c>
      <c r="Y107" s="57">
        <f t="array" ref="Y107">XLOOKUP(D107,RUC!$B$3:$B$110,RUC!$G$3:$G$110)</f>
        <v>20</v>
      </c>
      <c r="Z107" s="69">
        <f t="array" ref="Z107">XLOOKUP(D107,RUC!$B$3:$B$110,RUC!$H$3:$H$110)</f>
        <v>30</v>
      </c>
      <c r="AA107" s="70">
        <f t="shared" si="6"/>
        <v>50</v>
      </c>
      <c r="AB107" s="71">
        <v>0.0</v>
      </c>
      <c r="AC107" s="71">
        <f>+(S107-T107)*V107-'data 1'!$F$4</f>
        <v>24.7185</v>
      </c>
      <c r="AD107" s="71">
        <f t="shared" si="7"/>
        <v>24.71250834</v>
      </c>
      <c r="AE107" s="71">
        <f t="shared" si="8"/>
        <v>-14.885</v>
      </c>
      <c r="AF107" s="71">
        <f t="shared" si="9"/>
        <v>80.11362971</v>
      </c>
      <c r="AG107" s="72">
        <f>AC107+AD107+AE107+AF107+70-53+140.85</f>
        <v>272.5096381</v>
      </c>
      <c r="AH107" s="193">
        <f t="shared" si="10"/>
        <v>5.185</v>
      </c>
      <c r="AI107" s="193">
        <f t="shared" si="11"/>
        <v>6.081</v>
      </c>
      <c r="AJ107" s="73">
        <f t="shared" si="12"/>
        <v>46.38251492</v>
      </c>
      <c r="AK107" s="73">
        <f t="shared" si="13"/>
        <v>3.891857825</v>
      </c>
      <c r="AM107" s="51">
        <f t="shared" si="14"/>
        <v>0</v>
      </c>
      <c r="AN107" s="51" t="str">
        <f t="array" ref="AN107">XLOOKUP(D107,RUC!$B$3:$B$565,RUC!$M$3:$M$565)</f>
        <v>Evelyn</v>
      </c>
      <c r="AO107" s="131" t="s">
        <v>547</v>
      </c>
      <c r="AP107" s="57" t="s">
        <v>2753</v>
      </c>
      <c r="AQ107" s="57" t="s">
        <v>2883</v>
      </c>
    </row>
    <row r="108" ht="15.0" customHeight="1">
      <c r="A108" s="192" t="s">
        <v>2885</v>
      </c>
      <c r="B108" s="3"/>
      <c r="C108" s="182">
        <v>46036.0</v>
      </c>
      <c r="D108" s="57" t="s">
        <v>295</v>
      </c>
      <c r="E108" s="3">
        <f t="array" ref="E108">XLOOKUP(D108,RUC!$B$3:$B$110,RUC!$D$3:$D$110)</f>
        <v>20601769396</v>
      </c>
      <c r="G108" s="141">
        <v>32.0</v>
      </c>
      <c r="H108" s="3" t="s">
        <v>339</v>
      </c>
      <c r="I108" s="6">
        <v>2.24</v>
      </c>
      <c r="J108" s="58">
        <v>24.2</v>
      </c>
      <c r="K108" s="6">
        <f t="shared" si="2"/>
        <v>1.698</v>
      </c>
      <c r="L108" s="139">
        <v>0.062</v>
      </c>
      <c r="M108" s="60">
        <f t="shared" si="46"/>
        <v>0.043</v>
      </c>
      <c r="N108" s="62">
        <f t="shared" si="45"/>
        <v>0.043</v>
      </c>
      <c r="O108" s="60">
        <f t="shared" si="47"/>
        <v>0.043</v>
      </c>
      <c r="P108" s="63">
        <v>80.0</v>
      </c>
      <c r="Q108" s="58">
        <v>79.03</v>
      </c>
      <c r="R108" s="65">
        <v>4606.5</v>
      </c>
      <c r="S108" s="66">
        <f t="array" ref="S108">IF((XLOOKUP(D108,RUC!$B$3:$B$106,RUC!$E$3:$E$106)+ROUNDDOWN(O108,1)*100)&lt;95,95,((XLOOKUP(D108,RUC!$B$3:$B$106,RUC!$E$3:$E$106)+ROUNDDOWN(O108,1)*100)))</f>
        <v>95</v>
      </c>
      <c r="U108" s="67">
        <f t="array" ref="U108">XLOOKUP(D108,RUC!$B$3:$B$110,RUC!$F$3:$F$110)</f>
        <v>120</v>
      </c>
      <c r="V108" s="67">
        <v>1.1023</v>
      </c>
      <c r="Y108" s="57">
        <f t="array" ref="Y108">XLOOKUP(D108,RUC!$B$3:$B$110,RUC!$G$3:$G$110)</f>
        <v>20</v>
      </c>
      <c r="Z108" s="69">
        <f t="array" ref="Z108">XLOOKUP(D108,RUC!$B$3:$B$110,RUC!$H$3:$H$110)</f>
        <v>30</v>
      </c>
      <c r="AA108" s="70">
        <f t="shared" si="6"/>
        <v>50</v>
      </c>
      <c r="AB108" s="71">
        <v>0.0</v>
      </c>
      <c r="AC108" s="71">
        <f>+(S108-T108)*V108-'data 1'!$F$4</f>
        <v>24.7185</v>
      </c>
      <c r="AD108" s="71">
        <f t="shared" si="7"/>
        <v>-2.974205027</v>
      </c>
      <c r="AE108" s="71">
        <f t="shared" si="8"/>
        <v>-14.885</v>
      </c>
      <c r="AF108" s="71">
        <f t="shared" si="9"/>
        <v>74.25967811</v>
      </c>
      <c r="AG108" s="72">
        <f>AC108+AD108+AE108+AF108+70-53+10.29</f>
        <v>108.4089731</v>
      </c>
      <c r="AH108" s="193">
        <f t="shared" si="10"/>
        <v>2.853</v>
      </c>
      <c r="AI108" s="193">
        <f t="shared" si="11"/>
        <v>3.609</v>
      </c>
      <c r="AJ108" s="73">
        <f t="shared" si="12"/>
        <v>28.05879595</v>
      </c>
      <c r="AK108" s="73">
        <f t="shared" si="13"/>
        <v>2.002650658</v>
      </c>
      <c r="AM108" s="51">
        <f t="shared" si="14"/>
        <v>0</v>
      </c>
      <c r="AN108" s="51" t="str">
        <f t="array" ref="AN108">XLOOKUP(D108,RUC!$B$3:$B$565,RUC!$M$3:$M$565)</f>
        <v>Evelyn</v>
      </c>
      <c r="AO108" s="131" t="s">
        <v>547</v>
      </c>
      <c r="AP108" s="57" t="s">
        <v>2753</v>
      </c>
      <c r="AQ108" s="57" t="s">
        <v>2883</v>
      </c>
    </row>
    <row r="109" ht="15.0" customHeight="1">
      <c r="A109" s="192" t="s">
        <v>2886</v>
      </c>
      <c r="B109" s="3"/>
      <c r="C109" s="182">
        <v>46036.0</v>
      </c>
      <c r="D109" s="57" t="s">
        <v>295</v>
      </c>
      <c r="E109" s="3">
        <f t="array" ref="E109">XLOOKUP(D109,RUC!$B$3:$B$110,RUC!$D$3:$D$110)</f>
        <v>20601769396</v>
      </c>
      <c r="G109" s="141">
        <v>32.0</v>
      </c>
      <c r="H109" s="3" t="s">
        <v>339</v>
      </c>
      <c r="I109" s="6">
        <v>2.39</v>
      </c>
      <c r="J109" s="58">
        <v>22.6</v>
      </c>
      <c r="K109" s="6">
        <f t="shared" si="2"/>
        <v>1.85</v>
      </c>
      <c r="L109" s="139">
        <v>0.059</v>
      </c>
      <c r="M109" s="60">
        <f t="shared" si="46"/>
        <v>0.04</v>
      </c>
      <c r="N109" s="62">
        <f t="shared" si="45"/>
        <v>0.04</v>
      </c>
      <c r="O109" s="60">
        <f t="shared" si="47"/>
        <v>0.04</v>
      </c>
      <c r="P109" s="63">
        <v>80.0</v>
      </c>
      <c r="Q109" s="58">
        <v>84.75</v>
      </c>
      <c r="R109" s="65">
        <v>4606.5</v>
      </c>
      <c r="S109" s="66">
        <f t="array" ref="S109">IF((XLOOKUP(D109,RUC!$B$3:$B$106,RUC!$E$3:$E$106)+ROUNDDOWN(O109,1)*100)&lt;95,95,((XLOOKUP(D109,RUC!$B$3:$B$106,RUC!$E$3:$E$106)+ROUNDDOWN(O109,1)*100)))</f>
        <v>95</v>
      </c>
      <c r="U109" s="67">
        <f t="array" ref="U109">XLOOKUP(D109,RUC!$B$3:$B$110,RUC!$F$3:$F$110)</f>
        <v>120</v>
      </c>
      <c r="V109" s="67">
        <v>1.1023</v>
      </c>
      <c r="Y109" s="57">
        <f t="array" ref="Y109">XLOOKUP(D109,RUC!$B$3:$B$110,RUC!$G$3:$G$110)</f>
        <v>20</v>
      </c>
      <c r="Z109" s="69">
        <f t="array" ref="Z109">XLOOKUP(D109,RUC!$B$3:$B$110,RUC!$H$3:$H$110)</f>
        <v>30</v>
      </c>
      <c r="AA109" s="70">
        <f t="shared" si="6"/>
        <v>50</v>
      </c>
      <c r="AB109" s="71">
        <v>0.0</v>
      </c>
      <c r="AC109" s="71">
        <f>+(S109-T109)*V109-'data 1'!$F$4</f>
        <v>24.7185</v>
      </c>
      <c r="AD109" s="71">
        <f t="shared" si="7"/>
        <v>13.85967673</v>
      </c>
      <c r="AE109" s="71">
        <f t="shared" si="8"/>
        <v>-14.885</v>
      </c>
      <c r="AF109" s="71">
        <f t="shared" si="9"/>
        <v>79.63441377</v>
      </c>
      <c r="AG109" s="72">
        <f>AC109+AD109+AE109+AF109+70-53-1.58</f>
        <v>118.7475905</v>
      </c>
      <c r="AH109" s="193">
        <f t="shared" si="10"/>
        <v>3.172</v>
      </c>
      <c r="AI109" s="193">
        <f t="shared" si="11"/>
        <v>3.742</v>
      </c>
      <c r="AJ109" s="73">
        <f t="shared" si="12"/>
        <v>28.63367411</v>
      </c>
      <c r="AK109" s="73">
        <f t="shared" si="13"/>
        <v>2.029694973</v>
      </c>
      <c r="AM109" s="51">
        <f t="shared" si="14"/>
        <v>0</v>
      </c>
      <c r="AN109" s="51" t="str">
        <f t="array" ref="AN109">XLOOKUP(D109,RUC!$B$3:$B$565,RUC!$M$3:$M$565)</f>
        <v>Evelyn</v>
      </c>
      <c r="AO109" s="131" t="s">
        <v>547</v>
      </c>
      <c r="AP109" s="57" t="s">
        <v>2753</v>
      </c>
      <c r="AQ109" s="57" t="s">
        <v>2883</v>
      </c>
    </row>
    <row r="110" ht="15.0" customHeight="1">
      <c r="A110" s="192" t="s">
        <v>2887</v>
      </c>
      <c r="B110" s="3"/>
      <c r="C110" s="182">
        <v>46036.0</v>
      </c>
      <c r="D110" s="57" t="s">
        <v>295</v>
      </c>
      <c r="E110" s="3">
        <f t="array" ref="E110">XLOOKUP(D110,RUC!$B$3:$B$110,RUC!$D$3:$D$110)</f>
        <v>20601769396</v>
      </c>
      <c r="G110" s="141">
        <v>32.0</v>
      </c>
      <c r="H110" s="3" t="s">
        <v>339</v>
      </c>
      <c r="I110" s="6">
        <v>2.29</v>
      </c>
      <c r="J110" s="58">
        <v>18.8</v>
      </c>
      <c r="K110" s="6">
        <f t="shared" si="2"/>
        <v>1.859</v>
      </c>
      <c r="L110" s="139">
        <v>0.094</v>
      </c>
      <c r="M110" s="60">
        <f t="shared" si="46"/>
        <v>0.075</v>
      </c>
      <c r="N110" s="62">
        <f t="shared" si="45"/>
        <v>0.075</v>
      </c>
      <c r="O110" s="60">
        <f t="shared" si="47"/>
        <v>0.075</v>
      </c>
      <c r="P110" s="63">
        <v>80.0</v>
      </c>
      <c r="Q110" s="58">
        <v>84.04</v>
      </c>
      <c r="R110" s="65">
        <v>4606.5</v>
      </c>
      <c r="S110" s="66">
        <f t="array" ref="S110">IF((XLOOKUP(D110,RUC!$B$3:$B$106,RUC!$E$3:$E$106)+ROUNDDOWN(O110,1)*100)&lt;95,95,((XLOOKUP(D110,RUC!$B$3:$B$106,RUC!$E$3:$E$106)+ROUNDDOWN(O110,1)*100)))</f>
        <v>95</v>
      </c>
      <c r="U110" s="67">
        <f t="array" ref="U110">XLOOKUP(D110,RUC!$B$3:$B$110,RUC!$F$3:$F$110)</f>
        <v>120</v>
      </c>
      <c r="V110" s="67">
        <v>1.1023</v>
      </c>
      <c r="Y110" s="57">
        <f t="array" ref="Y110">XLOOKUP(D110,RUC!$B$3:$B$110,RUC!$G$3:$G$110)</f>
        <v>20</v>
      </c>
      <c r="Z110" s="69">
        <f t="array" ref="Z110">XLOOKUP(D110,RUC!$B$3:$B$110,RUC!$H$3:$H$110)</f>
        <v>30</v>
      </c>
      <c r="AA110" s="70">
        <f t="shared" si="6"/>
        <v>50</v>
      </c>
      <c r="AB110" s="71">
        <v>0.0</v>
      </c>
      <c r="AC110" s="71">
        <f>+(S110-T110)*V110-'data 1'!$F$4</f>
        <v>24.7185</v>
      </c>
      <c r="AD110" s="71">
        <f t="shared" si="7"/>
        <v>18.78091288</v>
      </c>
      <c r="AE110" s="71">
        <f t="shared" si="8"/>
        <v>-14.885</v>
      </c>
      <c r="AF110" s="71">
        <f t="shared" si="9"/>
        <v>78.96727001</v>
      </c>
      <c r="AG110" s="72">
        <f>AC110+AD110+AE110+AF110+70-53+136.89</f>
        <v>261.4716829</v>
      </c>
      <c r="AH110" s="193">
        <f t="shared" si="10"/>
        <v>5.035</v>
      </c>
      <c r="AI110" s="193">
        <f t="shared" si="11"/>
        <v>5.991</v>
      </c>
      <c r="AJ110" s="73">
        <f t="shared" si="12"/>
        <v>45.2375688</v>
      </c>
      <c r="AK110" s="73">
        <f t="shared" si="13"/>
        <v>3.824192183</v>
      </c>
      <c r="AM110" s="51">
        <f t="shared" si="14"/>
        <v>0</v>
      </c>
      <c r="AN110" s="51" t="str">
        <f t="array" ref="AN110">XLOOKUP(D110,RUC!$B$3:$B$565,RUC!$M$3:$M$565)</f>
        <v>Evelyn</v>
      </c>
      <c r="AO110" s="131" t="s">
        <v>547</v>
      </c>
      <c r="AP110" s="57" t="s">
        <v>2753</v>
      </c>
      <c r="AQ110" s="57" t="s">
        <v>2883</v>
      </c>
    </row>
    <row r="111" ht="15.0" customHeight="1">
      <c r="B111" s="3"/>
      <c r="C111" s="3"/>
      <c r="H111" s="3"/>
      <c r="I111" s="6"/>
      <c r="J111" s="58"/>
      <c r="K111" s="6"/>
      <c r="AG111" s="91"/>
    </row>
    <row r="112" ht="15.0" customHeight="1">
      <c r="B112" s="3"/>
      <c r="C112" s="3"/>
      <c r="H112" s="3"/>
      <c r="I112" s="6"/>
      <c r="J112" s="58"/>
      <c r="K112" s="6"/>
      <c r="AG112" s="91"/>
    </row>
    <row r="113" ht="15.0" customHeight="1">
      <c r="B113" s="3"/>
      <c r="C113" s="3"/>
      <c r="H113" s="3"/>
      <c r="I113" s="6"/>
      <c r="J113" s="58"/>
      <c r="K113" s="6"/>
      <c r="AG113" s="91"/>
    </row>
    <row r="114" ht="15.0" customHeight="1">
      <c r="B114" s="3"/>
      <c r="C114" s="3"/>
      <c r="H114" s="3"/>
      <c r="I114" s="6"/>
      <c r="J114" s="58"/>
      <c r="K114" s="6"/>
      <c r="AG114" s="91"/>
    </row>
    <row r="115" ht="15.0" customHeight="1">
      <c r="B115" s="3"/>
      <c r="C115" s="3"/>
      <c r="H115" s="3"/>
      <c r="I115" s="6"/>
      <c r="J115" s="58"/>
      <c r="K115" s="6"/>
      <c r="AG115" s="91"/>
    </row>
    <row r="116" ht="15.0" customHeight="1">
      <c r="B116" s="3"/>
      <c r="C116" s="3"/>
      <c r="H116" s="3"/>
      <c r="I116" s="6"/>
      <c r="J116" s="58"/>
      <c r="K116" s="6"/>
      <c r="AG116" s="91"/>
    </row>
    <row r="117" ht="15.0" customHeight="1">
      <c r="B117" s="3"/>
      <c r="C117" s="3"/>
      <c r="H117" s="3"/>
      <c r="I117" s="6"/>
      <c r="J117" s="58"/>
      <c r="K117" s="6"/>
      <c r="AG117" s="91"/>
    </row>
    <row r="118" ht="15.0" customHeight="1">
      <c r="B118" s="3"/>
      <c r="C118" s="3"/>
      <c r="H118" s="3"/>
      <c r="I118" s="6"/>
      <c r="J118" s="58"/>
      <c r="K118" s="6"/>
      <c r="AG118" s="91"/>
    </row>
    <row r="119" ht="15.0" customHeight="1">
      <c r="B119" s="3"/>
      <c r="C119" s="3"/>
      <c r="H119" s="3"/>
      <c r="I119" s="6"/>
      <c r="J119" s="58"/>
      <c r="K119" s="6"/>
      <c r="AG119" s="91"/>
    </row>
    <row r="120" ht="15.0" customHeight="1">
      <c r="B120" s="3"/>
      <c r="C120" s="3"/>
      <c r="H120" s="3"/>
      <c r="I120" s="6"/>
      <c r="J120" s="58"/>
      <c r="K120" s="6"/>
      <c r="AG120" s="91"/>
    </row>
    <row r="121" ht="15.0" customHeight="1">
      <c r="B121" s="3"/>
      <c r="C121" s="3"/>
      <c r="H121" s="3"/>
      <c r="I121" s="6"/>
      <c r="J121" s="58"/>
      <c r="K121" s="6"/>
      <c r="AG121" s="91"/>
    </row>
    <row r="122" ht="15.0" customHeight="1">
      <c r="B122" s="3"/>
      <c r="C122" s="3"/>
      <c r="H122" s="3"/>
      <c r="I122" s="6"/>
      <c r="J122" s="58"/>
      <c r="K122" s="6"/>
      <c r="AG122" s="91"/>
    </row>
    <row r="123" ht="15.0" customHeight="1">
      <c r="B123" s="3"/>
      <c r="C123" s="3"/>
      <c r="H123" s="3"/>
      <c r="I123" s="6"/>
      <c r="J123" s="58"/>
      <c r="K123" s="6"/>
      <c r="AG123" s="91"/>
    </row>
    <row r="124" ht="15.0" customHeight="1">
      <c r="B124" s="3"/>
      <c r="C124" s="3"/>
      <c r="H124" s="3"/>
      <c r="I124" s="6"/>
      <c r="J124" s="58"/>
      <c r="K124" s="6"/>
      <c r="AG124" s="91"/>
    </row>
    <row r="125" ht="15.0" customHeight="1">
      <c r="B125" s="3"/>
      <c r="C125" s="3"/>
      <c r="H125" s="3"/>
      <c r="I125" s="6"/>
      <c r="J125" s="58"/>
      <c r="K125" s="6"/>
      <c r="AG125" s="91"/>
    </row>
    <row r="126" ht="15.0" customHeight="1">
      <c r="B126" s="3"/>
      <c r="C126" s="3"/>
      <c r="H126" s="3"/>
      <c r="I126" s="6"/>
      <c r="J126" s="58"/>
      <c r="K126" s="6"/>
      <c r="AG126" s="91"/>
    </row>
    <row r="127" ht="15.0" customHeight="1">
      <c r="B127" s="3"/>
      <c r="C127" s="3"/>
      <c r="H127" s="3"/>
      <c r="I127" s="6"/>
      <c r="J127" s="58"/>
      <c r="K127" s="6"/>
      <c r="AG127" s="91"/>
    </row>
    <row r="128" ht="15.0" customHeight="1">
      <c r="B128" s="3"/>
      <c r="C128" s="3"/>
      <c r="H128" s="3"/>
      <c r="I128" s="6"/>
      <c r="J128" s="58"/>
      <c r="K128" s="6"/>
      <c r="AG128" s="91"/>
    </row>
    <row r="129" ht="15.0" customHeight="1">
      <c r="B129" s="3"/>
      <c r="C129" s="3"/>
      <c r="H129" s="3"/>
      <c r="I129" s="6"/>
      <c r="J129" s="58"/>
      <c r="K129" s="6"/>
      <c r="AG129" s="91"/>
    </row>
    <row r="130" ht="15.0" customHeight="1">
      <c r="B130" s="3"/>
      <c r="C130" s="3"/>
      <c r="H130" s="3"/>
      <c r="I130" s="6"/>
      <c r="J130" s="58"/>
      <c r="K130" s="6"/>
      <c r="AG130" s="91"/>
    </row>
    <row r="131" ht="15.0" customHeight="1">
      <c r="B131" s="3"/>
      <c r="C131" s="3"/>
      <c r="H131" s="3"/>
      <c r="I131" s="6"/>
      <c r="J131" s="58"/>
      <c r="K131" s="6"/>
      <c r="AG131" s="91"/>
    </row>
    <row r="132" ht="15.0" customHeight="1">
      <c r="B132" s="3"/>
      <c r="C132" s="3"/>
      <c r="H132" s="3"/>
      <c r="I132" s="6"/>
      <c r="J132" s="58"/>
      <c r="K132" s="6"/>
      <c r="AG132" s="91"/>
    </row>
    <row r="133" ht="15.0" customHeight="1">
      <c r="B133" s="3"/>
      <c r="C133" s="3"/>
      <c r="H133" s="3"/>
      <c r="I133" s="6"/>
      <c r="J133" s="58"/>
      <c r="K133" s="6"/>
      <c r="AG133" s="91"/>
    </row>
    <row r="134" ht="15.0" customHeight="1">
      <c r="B134" s="3"/>
      <c r="C134" s="3"/>
      <c r="H134" s="3"/>
      <c r="I134" s="6"/>
      <c r="J134" s="58"/>
      <c r="K134" s="6"/>
      <c r="AG134" s="91"/>
    </row>
    <row r="135" ht="15.0" customHeight="1">
      <c r="B135" s="3"/>
      <c r="C135" s="3"/>
      <c r="H135" s="3"/>
      <c r="I135" s="6"/>
      <c r="J135" s="58"/>
      <c r="K135" s="6"/>
      <c r="AG135" s="91"/>
    </row>
    <row r="136" ht="15.0" customHeight="1">
      <c r="B136" s="3"/>
      <c r="C136" s="3"/>
      <c r="H136" s="3"/>
      <c r="I136" s="6"/>
      <c r="J136" s="58"/>
      <c r="K136" s="6"/>
      <c r="AG136" s="91"/>
    </row>
    <row r="137" ht="15.0" customHeight="1">
      <c r="B137" s="3"/>
      <c r="C137" s="3"/>
      <c r="H137" s="3"/>
      <c r="I137" s="6"/>
      <c r="J137" s="58"/>
      <c r="K137" s="6"/>
      <c r="AG137" s="91"/>
    </row>
    <row r="138" ht="15.0" customHeight="1">
      <c r="B138" s="3"/>
      <c r="C138" s="3"/>
      <c r="H138" s="3"/>
      <c r="I138" s="6"/>
      <c r="J138" s="58"/>
      <c r="K138" s="6"/>
      <c r="AG138" s="91"/>
    </row>
    <row r="139" ht="15.0" customHeight="1">
      <c r="B139" s="3"/>
      <c r="C139" s="3"/>
      <c r="H139" s="3"/>
      <c r="I139" s="6"/>
      <c r="J139" s="58"/>
      <c r="K139" s="6"/>
      <c r="AG139" s="91"/>
    </row>
    <row r="140" ht="15.0" customHeight="1">
      <c r="B140" s="3"/>
      <c r="C140" s="3"/>
      <c r="H140" s="3"/>
      <c r="I140" s="6"/>
      <c r="J140" s="58"/>
      <c r="K140" s="6"/>
      <c r="AG140" s="91"/>
    </row>
    <row r="141" ht="15.0" customHeight="1">
      <c r="B141" s="3"/>
      <c r="C141" s="3"/>
      <c r="H141" s="3"/>
      <c r="I141" s="6"/>
      <c r="J141" s="58"/>
      <c r="K141" s="6"/>
      <c r="AG141" s="91"/>
    </row>
    <row r="142" ht="15.0" customHeight="1">
      <c r="B142" s="3"/>
      <c r="C142" s="3"/>
      <c r="H142" s="3"/>
      <c r="I142" s="6"/>
      <c r="J142" s="58"/>
      <c r="K142" s="6"/>
      <c r="AG142" s="91"/>
    </row>
    <row r="143" ht="15.0" customHeight="1">
      <c r="B143" s="3"/>
      <c r="C143" s="3"/>
      <c r="H143" s="3"/>
      <c r="I143" s="6"/>
      <c r="J143" s="58"/>
      <c r="K143" s="6"/>
      <c r="AG143" s="91"/>
    </row>
    <row r="144" ht="15.0" customHeight="1">
      <c r="B144" s="3"/>
      <c r="C144" s="3"/>
      <c r="H144" s="3"/>
      <c r="I144" s="6"/>
      <c r="J144" s="58"/>
      <c r="K144" s="6"/>
      <c r="AG144" s="91"/>
    </row>
    <row r="145" ht="15.0" customHeight="1">
      <c r="B145" s="3"/>
      <c r="C145" s="3"/>
      <c r="H145" s="3"/>
      <c r="I145" s="6"/>
      <c r="J145" s="58"/>
      <c r="K145" s="6"/>
      <c r="AG145" s="91"/>
    </row>
    <row r="146" ht="15.0" customHeight="1">
      <c r="B146" s="3"/>
      <c r="C146" s="3"/>
      <c r="H146" s="3"/>
      <c r="I146" s="6"/>
      <c r="J146" s="58"/>
      <c r="K146" s="6"/>
      <c r="AG146" s="91"/>
    </row>
    <row r="147" ht="15.0" customHeight="1">
      <c r="B147" s="3"/>
      <c r="C147" s="3"/>
      <c r="H147" s="3"/>
      <c r="I147" s="6"/>
      <c r="J147" s="58"/>
      <c r="K147" s="6"/>
      <c r="AG147" s="91"/>
    </row>
    <row r="148" ht="15.75" customHeight="1">
      <c r="B148" s="3"/>
      <c r="C148" s="3"/>
      <c r="H148" s="3"/>
      <c r="AG148" s="91"/>
    </row>
    <row r="149" ht="15.75" customHeight="1">
      <c r="B149" s="3"/>
      <c r="C149" s="3"/>
      <c r="H149" s="3"/>
      <c r="AG149" s="91"/>
    </row>
    <row r="150" ht="15.75" customHeight="1">
      <c r="B150" s="3"/>
      <c r="C150" s="3"/>
      <c r="H150" s="3"/>
      <c r="AG150" s="91"/>
    </row>
    <row r="151" ht="15.75" customHeight="1">
      <c r="B151" s="3"/>
      <c r="C151" s="3"/>
      <c r="H151" s="3"/>
      <c r="AG151" s="91"/>
    </row>
    <row r="152" ht="15.75" customHeight="1">
      <c r="B152" s="3"/>
      <c r="C152" s="3"/>
      <c r="H152" s="3"/>
      <c r="AG152" s="91"/>
    </row>
    <row r="153" ht="15.75" customHeight="1">
      <c r="B153" s="3"/>
      <c r="C153" s="3"/>
      <c r="H153" s="3"/>
      <c r="AG153" s="91"/>
    </row>
    <row r="154" ht="15.75" customHeight="1">
      <c r="B154" s="3"/>
      <c r="C154" s="3"/>
      <c r="H154" s="3"/>
      <c r="AG154" s="91"/>
    </row>
    <row r="155" ht="15.75" customHeight="1">
      <c r="B155" s="3"/>
      <c r="C155" s="3"/>
      <c r="H155" s="3"/>
      <c r="AG155" s="91"/>
    </row>
    <row r="156" ht="15.75" customHeight="1">
      <c r="B156" s="3"/>
      <c r="C156" s="3"/>
      <c r="H156" s="3"/>
      <c r="AG156" s="91"/>
    </row>
    <row r="157" ht="15.75" customHeight="1">
      <c r="B157" s="3"/>
      <c r="C157" s="3"/>
      <c r="H157" s="3"/>
      <c r="AG157" s="91"/>
    </row>
    <row r="158" ht="15.75" customHeight="1">
      <c r="B158" s="3"/>
      <c r="C158" s="3"/>
      <c r="H158" s="3"/>
      <c r="AG158" s="91"/>
    </row>
    <row r="159" ht="15.75" customHeight="1">
      <c r="B159" s="3"/>
      <c r="C159" s="3"/>
      <c r="H159" s="3"/>
      <c r="AG159" s="91"/>
    </row>
    <row r="160" ht="15.75" customHeight="1">
      <c r="B160" s="3"/>
      <c r="C160" s="3"/>
      <c r="H160" s="3"/>
      <c r="AG160" s="91"/>
    </row>
    <row r="161" ht="15.75" customHeight="1">
      <c r="B161" s="3"/>
      <c r="C161" s="3"/>
      <c r="H161" s="3"/>
      <c r="AG161" s="91"/>
    </row>
    <row r="162" ht="15.75" customHeight="1">
      <c r="B162" s="3"/>
      <c r="C162" s="3"/>
      <c r="H162" s="3"/>
      <c r="AG162" s="91"/>
    </row>
    <row r="163" ht="15.75" customHeight="1">
      <c r="B163" s="3"/>
      <c r="C163" s="3"/>
      <c r="H163" s="3"/>
      <c r="AG163" s="91"/>
    </row>
    <row r="164" ht="15.75" customHeight="1">
      <c r="B164" s="3"/>
      <c r="C164" s="3"/>
      <c r="H164" s="3"/>
      <c r="AG164" s="91"/>
    </row>
    <row r="165" ht="15.75" customHeight="1">
      <c r="B165" s="3"/>
      <c r="C165" s="3"/>
      <c r="H165" s="3"/>
      <c r="AG165" s="91"/>
    </row>
    <row r="166" ht="15.75" customHeight="1">
      <c r="B166" s="3"/>
      <c r="C166" s="3"/>
      <c r="H166" s="3"/>
      <c r="AG166" s="91"/>
    </row>
    <row r="167" ht="15.75" customHeight="1">
      <c r="B167" s="3"/>
      <c r="C167" s="3"/>
      <c r="H167" s="3"/>
      <c r="AG167" s="91"/>
    </row>
    <row r="168" ht="15.75" customHeight="1">
      <c r="B168" s="3"/>
      <c r="C168" s="3"/>
      <c r="H168" s="3"/>
      <c r="AG168" s="91"/>
    </row>
    <row r="169" ht="15.75" customHeight="1">
      <c r="B169" s="3"/>
      <c r="C169" s="3"/>
      <c r="H169" s="3"/>
      <c r="AG169" s="91"/>
    </row>
    <row r="170" ht="15.75" customHeight="1">
      <c r="B170" s="3"/>
      <c r="C170" s="3"/>
      <c r="H170" s="3"/>
      <c r="AG170" s="91"/>
    </row>
    <row r="171" ht="15.75" customHeight="1">
      <c r="B171" s="3"/>
      <c r="C171" s="3"/>
      <c r="H171" s="3"/>
      <c r="AG171" s="91"/>
    </row>
    <row r="172" ht="15.75" customHeight="1">
      <c r="B172" s="3"/>
      <c r="C172" s="3"/>
      <c r="H172" s="3"/>
      <c r="AG172" s="91"/>
    </row>
    <row r="173" ht="15.75" customHeight="1">
      <c r="B173" s="3"/>
      <c r="C173" s="3"/>
      <c r="H173" s="3"/>
      <c r="AG173" s="91"/>
    </row>
    <row r="174" ht="15.75" customHeight="1">
      <c r="B174" s="3"/>
      <c r="C174" s="3"/>
      <c r="H174" s="3"/>
      <c r="AG174" s="91"/>
    </row>
    <row r="175" ht="15.75" customHeight="1">
      <c r="B175" s="3"/>
      <c r="C175" s="3"/>
      <c r="H175" s="3"/>
      <c r="AG175" s="91"/>
    </row>
    <row r="176" ht="15.75" customHeight="1">
      <c r="B176" s="3"/>
      <c r="C176" s="3"/>
      <c r="H176" s="3"/>
      <c r="AG176" s="91"/>
    </row>
    <row r="177" ht="15.75" customHeight="1">
      <c r="B177" s="3"/>
      <c r="C177" s="3"/>
      <c r="H177" s="3"/>
      <c r="AG177" s="91"/>
    </row>
    <row r="178" ht="15.75" customHeight="1">
      <c r="B178" s="3"/>
      <c r="C178" s="3"/>
      <c r="H178" s="3"/>
      <c r="AG178" s="91"/>
    </row>
    <row r="179" ht="15.75" customHeight="1">
      <c r="B179" s="3"/>
      <c r="C179" s="3"/>
      <c r="H179" s="3"/>
      <c r="AG179" s="91"/>
    </row>
    <row r="180" ht="15.75" customHeight="1">
      <c r="B180" s="3"/>
      <c r="C180" s="3"/>
      <c r="H180" s="3"/>
      <c r="AG180" s="91"/>
    </row>
    <row r="181" ht="15.75" customHeight="1">
      <c r="B181" s="3"/>
      <c r="C181" s="3"/>
      <c r="H181" s="3"/>
      <c r="AG181" s="91"/>
    </row>
    <row r="182" ht="15.75" customHeight="1">
      <c r="B182" s="3"/>
      <c r="C182" s="3"/>
      <c r="H182" s="3"/>
      <c r="AG182" s="91"/>
    </row>
    <row r="183" ht="15.75" customHeight="1">
      <c r="B183" s="3"/>
      <c r="C183" s="3"/>
      <c r="H183" s="3"/>
      <c r="AG183" s="91"/>
    </row>
    <row r="184" ht="15.75" customHeight="1">
      <c r="B184" s="3"/>
      <c r="C184" s="3"/>
      <c r="H184" s="3"/>
      <c r="AG184" s="91"/>
    </row>
    <row r="185" ht="15.75" customHeight="1">
      <c r="B185" s="3"/>
      <c r="C185" s="3"/>
      <c r="H185" s="3"/>
      <c r="AG185" s="91"/>
    </row>
    <row r="186" ht="15.75" customHeight="1">
      <c r="B186" s="3"/>
      <c r="C186" s="3"/>
      <c r="H186" s="3"/>
      <c r="AG186" s="91"/>
    </row>
    <row r="187" ht="15.75" customHeight="1">
      <c r="B187" s="3"/>
      <c r="C187" s="3"/>
      <c r="H187" s="3"/>
      <c r="AG187" s="91"/>
    </row>
    <row r="188" ht="15.75" customHeight="1">
      <c r="B188" s="3"/>
      <c r="C188" s="3"/>
      <c r="H188" s="3"/>
      <c r="AG188" s="91"/>
    </row>
    <row r="189" ht="15.75" customHeight="1">
      <c r="B189" s="3"/>
      <c r="C189" s="3"/>
      <c r="H189" s="3"/>
      <c r="AG189" s="91"/>
    </row>
    <row r="190" ht="15.75" customHeight="1">
      <c r="B190" s="3"/>
      <c r="C190" s="3"/>
      <c r="H190" s="3"/>
      <c r="AG190" s="91"/>
    </row>
    <row r="191" ht="15.75" customHeight="1">
      <c r="B191" s="3"/>
      <c r="C191" s="3"/>
      <c r="H191" s="3"/>
      <c r="AG191" s="91"/>
    </row>
    <row r="192" ht="15.75" customHeight="1">
      <c r="B192" s="3"/>
      <c r="C192" s="3"/>
      <c r="H192" s="3"/>
      <c r="AG192" s="91"/>
    </row>
    <row r="193" ht="15.75" customHeight="1">
      <c r="B193" s="3"/>
      <c r="C193" s="3"/>
      <c r="H193" s="3"/>
      <c r="AG193" s="91"/>
    </row>
    <row r="194" ht="15.75" customHeight="1">
      <c r="B194" s="3"/>
      <c r="C194" s="3"/>
      <c r="H194" s="3"/>
      <c r="AG194" s="91"/>
    </row>
    <row r="195" ht="15.75" customHeight="1">
      <c r="B195" s="3"/>
      <c r="C195" s="3"/>
      <c r="H195" s="3"/>
      <c r="AG195" s="91"/>
    </row>
    <row r="196" ht="15.75" customHeight="1">
      <c r="B196" s="3"/>
      <c r="C196" s="3"/>
      <c r="H196" s="3"/>
      <c r="AG196" s="91"/>
    </row>
    <row r="197" ht="15.75" customHeight="1">
      <c r="B197" s="3"/>
      <c r="C197" s="3"/>
      <c r="H197" s="3"/>
      <c r="AG197" s="91"/>
    </row>
    <row r="198" ht="15.75" customHeight="1">
      <c r="B198" s="3"/>
      <c r="C198" s="3"/>
      <c r="H198" s="3"/>
      <c r="AG198" s="91"/>
    </row>
    <row r="199" ht="15.75" customHeight="1">
      <c r="B199" s="3"/>
      <c r="C199" s="3"/>
      <c r="H199" s="3"/>
      <c r="AG199" s="91"/>
    </row>
    <row r="200" ht="15.75" customHeight="1">
      <c r="B200" s="3"/>
      <c r="C200" s="3"/>
      <c r="H200" s="3"/>
      <c r="AG200" s="91"/>
    </row>
    <row r="201" ht="15.75" customHeight="1">
      <c r="B201" s="3"/>
      <c r="C201" s="3"/>
      <c r="H201" s="3"/>
      <c r="AG201" s="91"/>
    </row>
    <row r="202" ht="15.75" customHeight="1">
      <c r="B202" s="3"/>
      <c r="C202" s="3"/>
      <c r="H202" s="3"/>
      <c r="AG202" s="91"/>
    </row>
    <row r="203" ht="15.75" customHeight="1">
      <c r="B203" s="3"/>
      <c r="C203" s="3"/>
      <c r="H203" s="3"/>
      <c r="AG203" s="91"/>
    </row>
    <row r="204" ht="15.75" customHeight="1">
      <c r="B204" s="3"/>
      <c r="C204" s="3"/>
      <c r="H204" s="3"/>
      <c r="AG204" s="91"/>
    </row>
    <row r="205" ht="15.75" customHeight="1">
      <c r="B205" s="3"/>
      <c r="C205" s="3"/>
      <c r="H205" s="3"/>
      <c r="AG205" s="91"/>
    </row>
    <row r="206" ht="15.75" customHeight="1">
      <c r="B206" s="3"/>
      <c r="C206" s="3"/>
      <c r="H206" s="3"/>
      <c r="AG206" s="91"/>
    </row>
    <row r="207" ht="15.75" customHeight="1">
      <c r="B207" s="3"/>
      <c r="C207" s="3"/>
      <c r="H207" s="3"/>
      <c r="AG207" s="91"/>
    </row>
    <row r="208" ht="15.75" customHeight="1">
      <c r="B208" s="3"/>
      <c r="C208" s="3"/>
      <c r="H208" s="3"/>
      <c r="AG208" s="91"/>
    </row>
    <row r="209" ht="15.75" customHeight="1">
      <c r="B209" s="3"/>
      <c r="C209" s="3"/>
      <c r="H209" s="3"/>
      <c r="AG209" s="91"/>
    </row>
    <row r="210" ht="15.75" customHeight="1">
      <c r="B210" s="3"/>
      <c r="C210" s="3"/>
      <c r="H210" s="3"/>
      <c r="AG210" s="91"/>
    </row>
    <row r="211" ht="15.75" customHeight="1">
      <c r="B211" s="3"/>
      <c r="C211" s="3"/>
      <c r="H211" s="3"/>
      <c r="AG211" s="91"/>
    </row>
    <row r="212" ht="15.75" customHeight="1">
      <c r="B212" s="3"/>
      <c r="C212" s="3"/>
      <c r="H212" s="3"/>
      <c r="AG212" s="91"/>
    </row>
    <row r="213" ht="15.75" customHeight="1">
      <c r="B213" s="3"/>
      <c r="C213" s="3"/>
      <c r="H213" s="3"/>
      <c r="AG213" s="91"/>
    </row>
    <row r="214" ht="15.75" customHeight="1">
      <c r="B214" s="3"/>
      <c r="C214" s="3"/>
      <c r="H214" s="3"/>
      <c r="AG214" s="91"/>
    </row>
    <row r="215" ht="15.75" customHeight="1">
      <c r="B215" s="3"/>
      <c r="C215" s="3"/>
      <c r="H215" s="3"/>
      <c r="AG215" s="91"/>
    </row>
    <row r="216" ht="15.75" customHeight="1">
      <c r="B216" s="3"/>
      <c r="C216" s="3"/>
      <c r="H216" s="3"/>
      <c r="AG216" s="91"/>
    </row>
    <row r="217" ht="15.75" customHeight="1">
      <c r="B217" s="3"/>
      <c r="C217" s="3"/>
      <c r="H217" s="3"/>
      <c r="AG217" s="91"/>
    </row>
    <row r="218" ht="15.75" customHeight="1">
      <c r="B218" s="3"/>
      <c r="C218" s="3"/>
      <c r="H218" s="3"/>
      <c r="AG218" s="91"/>
    </row>
    <row r="219" ht="15.75" customHeight="1">
      <c r="B219" s="3"/>
      <c r="C219" s="3"/>
      <c r="H219" s="3"/>
      <c r="AG219" s="91"/>
    </row>
    <row r="220" ht="15.75" customHeight="1">
      <c r="B220" s="3"/>
      <c r="C220" s="3"/>
      <c r="H220" s="3"/>
      <c r="AG220" s="91"/>
    </row>
    <row r="221" ht="15.75" customHeight="1">
      <c r="B221" s="3"/>
      <c r="C221" s="3"/>
      <c r="H221" s="3"/>
      <c r="AG221" s="91"/>
    </row>
    <row r="222" ht="15.75" customHeight="1">
      <c r="B222" s="3"/>
      <c r="C222" s="3"/>
      <c r="H222" s="3"/>
      <c r="AG222" s="91"/>
    </row>
    <row r="223" ht="15.75" customHeight="1">
      <c r="B223" s="3"/>
      <c r="C223" s="3"/>
      <c r="H223" s="3"/>
      <c r="AG223" s="91"/>
    </row>
    <row r="224" ht="15.75" customHeight="1">
      <c r="B224" s="3"/>
      <c r="C224" s="3"/>
      <c r="H224" s="3"/>
      <c r="AG224" s="91"/>
    </row>
    <row r="225" ht="15.75" customHeight="1">
      <c r="B225" s="3"/>
      <c r="C225" s="3"/>
      <c r="H225" s="3"/>
      <c r="AG225" s="91"/>
    </row>
    <row r="226" ht="15.75" customHeight="1">
      <c r="B226" s="3"/>
      <c r="C226" s="3"/>
      <c r="H226" s="3"/>
      <c r="AG226" s="91"/>
    </row>
    <row r="227" ht="15.75" customHeight="1">
      <c r="B227" s="3"/>
      <c r="C227" s="3"/>
      <c r="H227" s="3"/>
      <c r="AG227" s="91"/>
    </row>
    <row r="228" ht="15.75" customHeight="1">
      <c r="B228" s="3"/>
      <c r="C228" s="3"/>
      <c r="H228" s="3"/>
      <c r="AG228" s="91"/>
    </row>
    <row r="229" ht="15.75" customHeight="1">
      <c r="B229" s="3"/>
      <c r="C229" s="3"/>
      <c r="H229" s="3"/>
      <c r="AG229" s="91"/>
    </row>
    <row r="230" ht="15.75" customHeight="1">
      <c r="B230" s="3"/>
      <c r="C230" s="3"/>
      <c r="H230" s="3"/>
      <c r="AG230" s="91"/>
    </row>
    <row r="231" ht="15.75" customHeight="1">
      <c r="B231" s="3"/>
      <c r="C231" s="3"/>
      <c r="H231" s="3"/>
      <c r="AG231" s="91"/>
    </row>
    <row r="232" ht="15.75" customHeight="1">
      <c r="B232" s="3"/>
      <c r="C232" s="3"/>
      <c r="H232" s="3"/>
      <c r="AG232" s="91"/>
    </row>
    <row r="233" ht="15.75" customHeight="1">
      <c r="B233" s="3"/>
      <c r="C233" s="3"/>
      <c r="H233" s="3"/>
      <c r="AG233" s="91"/>
    </row>
    <row r="234" ht="15.75" customHeight="1">
      <c r="B234" s="3"/>
      <c r="C234" s="3"/>
      <c r="H234" s="3"/>
      <c r="AG234" s="91"/>
    </row>
    <row r="235" ht="15.75" customHeight="1">
      <c r="B235" s="3"/>
      <c r="C235" s="3"/>
      <c r="H235" s="3"/>
      <c r="AG235" s="91"/>
    </row>
    <row r="236" ht="15.75" customHeight="1">
      <c r="B236" s="3"/>
      <c r="C236" s="3"/>
      <c r="H236" s="3"/>
      <c r="AG236" s="91"/>
    </row>
    <row r="237" ht="15.75" customHeight="1">
      <c r="B237" s="3"/>
      <c r="C237" s="3"/>
      <c r="H237" s="3"/>
      <c r="AG237" s="91"/>
    </row>
    <row r="238" ht="15.75" customHeight="1">
      <c r="B238" s="3"/>
      <c r="C238" s="3"/>
      <c r="H238" s="3"/>
      <c r="AG238" s="91"/>
    </row>
    <row r="239" ht="15.75" customHeight="1">
      <c r="B239" s="3"/>
      <c r="C239" s="3"/>
      <c r="H239" s="3"/>
      <c r="AG239" s="91"/>
    </row>
    <row r="240" ht="15.75" customHeight="1">
      <c r="B240" s="3"/>
      <c r="C240" s="3"/>
      <c r="H240" s="3"/>
      <c r="AG240" s="91"/>
    </row>
    <row r="241" ht="15.75" customHeight="1">
      <c r="B241" s="3"/>
      <c r="C241" s="3"/>
      <c r="H241" s="3"/>
      <c r="AG241" s="91"/>
    </row>
    <row r="242" ht="15.75" customHeight="1">
      <c r="B242" s="3"/>
      <c r="C242" s="3"/>
      <c r="H242" s="3"/>
      <c r="AG242" s="91"/>
    </row>
    <row r="243" ht="15.75" customHeight="1">
      <c r="B243" s="3"/>
      <c r="C243" s="3"/>
      <c r="H243" s="3"/>
      <c r="AG243" s="91"/>
    </row>
    <row r="244" ht="15.75" customHeight="1">
      <c r="B244" s="3"/>
      <c r="C244" s="3"/>
      <c r="H244" s="3"/>
      <c r="AG244" s="91"/>
    </row>
    <row r="245" ht="15.75" customHeight="1">
      <c r="B245" s="3"/>
      <c r="C245" s="3"/>
      <c r="H245" s="3"/>
      <c r="AG245" s="91"/>
    </row>
    <row r="246" ht="15.75" customHeight="1">
      <c r="B246" s="3"/>
      <c r="C246" s="3"/>
      <c r="H246" s="3"/>
      <c r="AG246" s="91"/>
    </row>
    <row r="247" ht="15.75" customHeight="1">
      <c r="B247" s="3"/>
      <c r="C247" s="3"/>
      <c r="H247" s="3"/>
      <c r="AG247" s="91"/>
    </row>
    <row r="248" ht="15.75" customHeight="1">
      <c r="B248" s="3"/>
      <c r="C248" s="3"/>
      <c r="H248" s="3"/>
      <c r="AG248" s="91"/>
    </row>
    <row r="249" ht="15.75" customHeight="1">
      <c r="B249" s="3"/>
      <c r="C249" s="3"/>
      <c r="H249" s="3"/>
      <c r="AG249" s="91"/>
    </row>
    <row r="250" ht="15.75" customHeight="1">
      <c r="B250" s="3"/>
      <c r="C250" s="3"/>
      <c r="H250" s="3"/>
      <c r="AG250" s="91"/>
    </row>
    <row r="251" ht="15.75" customHeight="1">
      <c r="B251" s="3"/>
      <c r="C251" s="3"/>
      <c r="H251" s="3"/>
      <c r="AG251" s="91"/>
    </row>
    <row r="252" ht="15.75" customHeight="1">
      <c r="B252" s="3"/>
      <c r="C252" s="3"/>
      <c r="H252" s="3"/>
      <c r="AG252" s="91"/>
    </row>
    <row r="253" ht="15.75" customHeight="1">
      <c r="B253" s="3"/>
      <c r="C253" s="3"/>
      <c r="H253" s="3"/>
      <c r="AG253" s="91"/>
    </row>
    <row r="254" ht="15.75" customHeight="1">
      <c r="B254" s="3"/>
      <c r="C254" s="3"/>
      <c r="H254" s="3"/>
      <c r="AG254" s="91"/>
    </row>
    <row r="255" ht="15.75" customHeight="1">
      <c r="B255" s="3"/>
      <c r="C255" s="3"/>
      <c r="H255" s="3"/>
      <c r="AG255" s="91"/>
    </row>
    <row r="256" ht="15.75" customHeight="1">
      <c r="B256" s="3"/>
      <c r="C256" s="3"/>
      <c r="H256" s="3"/>
      <c r="AG256" s="91"/>
    </row>
    <row r="257" ht="15.75" customHeight="1">
      <c r="B257" s="3"/>
      <c r="C257" s="3"/>
      <c r="H257" s="3"/>
      <c r="AG257" s="91"/>
    </row>
    <row r="258" ht="15.75" customHeight="1">
      <c r="B258" s="3"/>
      <c r="C258" s="3"/>
      <c r="H258" s="3"/>
      <c r="AG258" s="91"/>
    </row>
    <row r="259" ht="15.75" customHeight="1">
      <c r="B259" s="3"/>
      <c r="C259" s="3"/>
      <c r="H259" s="3"/>
      <c r="AG259" s="91"/>
    </row>
    <row r="260" ht="15.75" customHeight="1">
      <c r="B260" s="3"/>
      <c r="C260" s="3"/>
      <c r="H260" s="3"/>
      <c r="AG260" s="91"/>
    </row>
    <row r="261" ht="15.75" customHeight="1">
      <c r="B261" s="3"/>
      <c r="C261" s="3"/>
      <c r="H261" s="3"/>
      <c r="AG261" s="91"/>
    </row>
    <row r="262" ht="15.75" customHeight="1">
      <c r="B262" s="3"/>
      <c r="C262" s="3"/>
      <c r="H262" s="3"/>
      <c r="AG262" s="91"/>
    </row>
    <row r="263" ht="15.75" customHeight="1">
      <c r="B263" s="3"/>
      <c r="C263" s="3"/>
      <c r="H263" s="3"/>
      <c r="AG263" s="91"/>
    </row>
    <row r="264" ht="15.75" customHeight="1">
      <c r="B264" s="3"/>
      <c r="C264" s="3"/>
      <c r="H264" s="3"/>
      <c r="AG264" s="91"/>
    </row>
    <row r="265" ht="15.75" customHeight="1">
      <c r="B265" s="3"/>
      <c r="C265" s="3"/>
      <c r="H265" s="3"/>
      <c r="AG265" s="91"/>
    </row>
    <row r="266" ht="15.75" customHeight="1">
      <c r="B266" s="3"/>
      <c r="C266" s="3"/>
      <c r="H266" s="3"/>
      <c r="AG266" s="91"/>
    </row>
    <row r="267" ht="15.75" customHeight="1">
      <c r="B267" s="3"/>
      <c r="C267" s="3"/>
      <c r="H267" s="3"/>
      <c r="AG267" s="91"/>
    </row>
    <row r="268" ht="15.75" customHeight="1">
      <c r="B268" s="3"/>
      <c r="C268" s="3"/>
      <c r="H268" s="3"/>
      <c r="AG268" s="91"/>
    </row>
    <row r="269" ht="15.75" customHeight="1">
      <c r="B269" s="3"/>
      <c r="C269" s="3"/>
      <c r="H269" s="3"/>
      <c r="AG269" s="91"/>
    </row>
    <row r="270" ht="15.75" customHeight="1">
      <c r="B270" s="3"/>
      <c r="C270" s="3"/>
      <c r="H270" s="3"/>
      <c r="AG270" s="91"/>
    </row>
    <row r="271" ht="15.75" customHeight="1">
      <c r="B271" s="3"/>
      <c r="C271" s="3"/>
      <c r="H271" s="3"/>
      <c r="AG271" s="91"/>
    </row>
    <row r="272" ht="15.75" customHeight="1">
      <c r="B272" s="3"/>
      <c r="C272" s="3"/>
      <c r="H272" s="3"/>
      <c r="AG272" s="91"/>
    </row>
    <row r="273" ht="15.75" customHeight="1">
      <c r="B273" s="3"/>
      <c r="C273" s="3"/>
      <c r="H273" s="3"/>
      <c r="AG273" s="91"/>
    </row>
    <row r="274" ht="15.75" customHeight="1">
      <c r="B274" s="3"/>
      <c r="C274" s="3"/>
      <c r="H274" s="3"/>
      <c r="AG274" s="91"/>
    </row>
    <row r="275" ht="15.75" customHeight="1">
      <c r="B275" s="3"/>
      <c r="C275" s="3"/>
      <c r="H275" s="3"/>
      <c r="AG275" s="91"/>
    </row>
    <row r="276" ht="15.75" customHeight="1">
      <c r="B276" s="3"/>
      <c r="C276" s="3"/>
      <c r="H276" s="3"/>
      <c r="AG276" s="91"/>
    </row>
    <row r="277" ht="15.75" customHeight="1">
      <c r="B277" s="3"/>
      <c r="C277" s="3"/>
      <c r="H277" s="3"/>
      <c r="AG277" s="91"/>
    </row>
    <row r="278" ht="15.75" customHeight="1">
      <c r="B278" s="3"/>
      <c r="C278" s="3"/>
      <c r="H278" s="3"/>
      <c r="AG278" s="91"/>
    </row>
    <row r="279" ht="15.75" customHeight="1">
      <c r="B279" s="3"/>
      <c r="C279" s="3"/>
      <c r="H279" s="3"/>
      <c r="AG279" s="91"/>
    </row>
    <row r="280" ht="15.75" customHeight="1">
      <c r="B280" s="3"/>
      <c r="C280" s="3"/>
      <c r="H280" s="3"/>
      <c r="AG280" s="91"/>
    </row>
    <row r="281" ht="15.75" customHeight="1">
      <c r="B281" s="3"/>
      <c r="C281" s="3"/>
      <c r="H281" s="3"/>
      <c r="AG281" s="91"/>
    </row>
    <row r="282" ht="15.75" customHeight="1">
      <c r="B282" s="3"/>
      <c r="C282" s="3"/>
      <c r="H282" s="3"/>
      <c r="AG282" s="91"/>
    </row>
    <row r="283" ht="15.75" customHeight="1">
      <c r="B283" s="3"/>
      <c r="C283" s="3"/>
      <c r="H283" s="3"/>
      <c r="AG283" s="91"/>
    </row>
    <row r="284" ht="15.75" customHeight="1">
      <c r="B284" s="3"/>
      <c r="C284" s="3"/>
      <c r="H284" s="3"/>
      <c r="AG284" s="91"/>
    </row>
    <row r="285" ht="15.75" customHeight="1">
      <c r="B285" s="3"/>
      <c r="C285" s="3"/>
      <c r="H285" s="3"/>
      <c r="AG285" s="91"/>
    </row>
    <row r="286" ht="15.75" customHeight="1">
      <c r="B286" s="3"/>
      <c r="C286" s="3"/>
      <c r="H286" s="3"/>
      <c r="AG286" s="91"/>
    </row>
    <row r="287" ht="15.75" customHeight="1">
      <c r="B287" s="3"/>
      <c r="C287" s="3"/>
      <c r="H287" s="3"/>
      <c r="AG287" s="91"/>
    </row>
    <row r="288" ht="15.75" customHeight="1">
      <c r="B288" s="3"/>
      <c r="C288" s="3"/>
      <c r="H288" s="3"/>
      <c r="AG288" s="91"/>
    </row>
    <row r="289" ht="15.75" customHeight="1">
      <c r="B289" s="3"/>
      <c r="C289" s="3"/>
      <c r="H289" s="3"/>
      <c r="AG289" s="91"/>
    </row>
    <row r="290" ht="15.75" customHeight="1">
      <c r="B290" s="3"/>
      <c r="C290" s="3"/>
      <c r="H290" s="3"/>
      <c r="AG290" s="91"/>
    </row>
    <row r="291" ht="15.75" customHeight="1">
      <c r="B291" s="3"/>
      <c r="C291" s="3"/>
      <c r="H291" s="3"/>
      <c r="AG291" s="91"/>
    </row>
    <row r="292" ht="15.75" customHeight="1">
      <c r="B292" s="3"/>
      <c r="C292" s="3"/>
      <c r="H292" s="3"/>
      <c r="AG292" s="91"/>
    </row>
    <row r="293" ht="15.75" customHeight="1">
      <c r="B293" s="3"/>
      <c r="C293" s="3"/>
      <c r="H293" s="3"/>
      <c r="AG293" s="91"/>
    </row>
    <row r="294" ht="15.75" customHeight="1">
      <c r="B294" s="3"/>
      <c r="C294" s="3"/>
      <c r="H294" s="3"/>
      <c r="AG294" s="91"/>
    </row>
    <row r="295" ht="15.75" customHeight="1">
      <c r="B295" s="3"/>
      <c r="C295" s="3"/>
      <c r="H295" s="3"/>
      <c r="AG295" s="91"/>
    </row>
    <row r="296" ht="15.75" customHeight="1">
      <c r="B296" s="3"/>
      <c r="C296" s="3"/>
      <c r="H296" s="3"/>
      <c r="AG296" s="91"/>
    </row>
    <row r="297" ht="15.75" customHeight="1">
      <c r="B297" s="3"/>
      <c r="C297" s="3"/>
      <c r="H297" s="3"/>
      <c r="AG297" s="91"/>
    </row>
    <row r="298" ht="15.75" customHeight="1">
      <c r="B298" s="3"/>
      <c r="C298" s="3"/>
      <c r="H298" s="3"/>
      <c r="AG298" s="91"/>
    </row>
    <row r="299" ht="15.75" customHeight="1">
      <c r="B299" s="3"/>
      <c r="C299" s="3"/>
      <c r="H299" s="3"/>
      <c r="AG299" s="91"/>
    </row>
    <row r="300" ht="15.75" customHeight="1">
      <c r="B300" s="3"/>
      <c r="C300" s="3"/>
      <c r="H300" s="3"/>
      <c r="AG300" s="91"/>
    </row>
    <row r="301" ht="15.75" customHeight="1">
      <c r="B301" s="3"/>
      <c r="C301" s="3"/>
      <c r="H301" s="3"/>
      <c r="AG301" s="91"/>
    </row>
    <row r="302" ht="15.75" customHeight="1">
      <c r="B302" s="3"/>
      <c r="C302" s="3"/>
      <c r="H302" s="3"/>
      <c r="AG302" s="91"/>
    </row>
    <row r="303" ht="15.75" customHeight="1">
      <c r="B303" s="3"/>
      <c r="C303" s="3"/>
      <c r="H303" s="3"/>
      <c r="AG303" s="91"/>
    </row>
    <row r="304" ht="15.75" customHeight="1">
      <c r="B304" s="3"/>
      <c r="C304" s="3"/>
      <c r="H304" s="3"/>
      <c r="AG304" s="91"/>
    </row>
    <row r="305" ht="15.75" customHeight="1">
      <c r="B305" s="3"/>
      <c r="C305" s="3"/>
      <c r="H305" s="3"/>
      <c r="AG305" s="91"/>
    </row>
    <row r="306" ht="15.75" customHeight="1">
      <c r="B306" s="3"/>
      <c r="C306" s="3"/>
      <c r="H306" s="3"/>
      <c r="AG306" s="91"/>
    </row>
    <row r="307" ht="15.75" customHeight="1">
      <c r="B307" s="3"/>
      <c r="C307" s="3"/>
      <c r="H307" s="3"/>
      <c r="AG307" s="91"/>
    </row>
    <row r="308" ht="15.75" customHeight="1">
      <c r="B308" s="3"/>
      <c r="C308" s="3"/>
      <c r="H308" s="3"/>
      <c r="AG308" s="91"/>
    </row>
    <row r="309" ht="15.75" customHeight="1">
      <c r="B309" s="3"/>
      <c r="C309" s="3"/>
      <c r="H309" s="3"/>
      <c r="AG309" s="91"/>
    </row>
    <row r="310" ht="15.75" customHeight="1">
      <c r="B310" s="3"/>
      <c r="C310" s="3"/>
      <c r="H310" s="3"/>
      <c r="AG310" s="91"/>
    </row>
    <row r="311" ht="15.75" customHeight="1">
      <c r="B311" s="3"/>
      <c r="C311" s="3"/>
      <c r="H311" s="3"/>
      <c r="AG311" s="91"/>
    </row>
    <row r="312" ht="15.75" customHeight="1">
      <c r="B312" s="3"/>
      <c r="C312" s="3"/>
      <c r="H312" s="3"/>
      <c r="AG312" s="91"/>
    </row>
    <row r="313" ht="15.75" customHeight="1">
      <c r="B313" s="3"/>
      <c r="C313" s="3"/>
      <c r="H313" s="3"/>
      <c r="AG313" s="91"/>
    </row>
    <row r="314" ht="15.75" customHeight="1">
      <c r="B314" s="3"/>
      <c r="C314" s="3"/>
      <c r="H314" s="3"/>
      <c r="AG314" s="91"/>
    </row>
    <row r="315" ht="15.75" customHeight="1">
      <c r="B315" s="3"/>
      <c r="C315" s="3"/>
      <c r="H315" s="3"/>
      <c r="AG315" s="91"/>
    </row>
    <row r="316" ht="15.75" customHeight="1">
      <c r="B316" s="3"/>
      <c r="C316" s="3"/>
      <c r="H316" s="3"/>
      <c r="AG316" s="91"/>
    </row>
    <row r="317" ht="15.75" customHeight="1">
      <c r="B317" s="3"/>
      <c r="C317" s="3"/>
      <c r="H317" s="3"/>
      <c r="AG317" s="91"/>
    </row>
    <row r="318" ht="15.75" customHeight="1">
      <c r="B318" s="3"/>
      <c r="C318" s="3"/>
      <c r="H318" s="3"/>
      <c r="AG318" s="91"/>
    </row>
    <row r="319" ht="15.75" customHeight="1">
      <c r="B319" s="3"/>
      <c r="C319" s="3"/>
      <c r="H319" s="3"/>
      <c r="AG319" s="91"/>
    </row>
    <row r="320" ht="15.75" customHeight="1">
      <c r="B320" s="3"/>
      <c r="C320" s="3"/>
      <c r="H320" s="3"/>
      <c r="AG320" s="91"/>
    </row>
    <row r="321" ht="15.75" customHeight="1">
      <c r="B321" s="3"/>
      <c r="C321" s="3"/>
      <c r="H321" s="3"/>
      <c r="AG321" s="91"/>
    </row>
    <row r="322" ht="15.75" customHeight="1">
      <c r="B322" s="3"/>
      <c r="C322" s="3"/>
      <c r="H322" s="3"/>
      <c r="AG322" s="91"/>
    </row>
    <row r="323" ht="15.75" customHeight="1">
      <c r="B323" s="3"/>
      <c r="C323" s="3"/>
      <c r="H323" s="3"/>
      <c r="AG323" s="91"/>
    </row>
    <row r="324" ht="15.75" customHeight="1">
      <c r="B324" s="3"/>
      <c r="C324" s="3"/>
      <c r="H324" s="3"/>
      <c r="AG324" s="91"/>
    </row>
    <row r="325" ht="15.75" customHeight="1">
      <c r="B325" s="3"/>
      <c r="C325" s="3"/>
      <c r="H325" s="3"/>
      <c r="AG325" s="91"/>
    </row>
    <row r="326" ht="15.75" customHeight="1">
      <c r="B326" s="3"/>
      <c r="C326" s="3"/>
      <c r="H326" s="3"/>
      <c r="AG326" s="91"/>
    </row>
    <row r="327" ht="15.75" customHeight="1">
      <c r="B327" s="3"/>
      <c r="C327" s="3"/>
      <c r="H327" s="3"/>
      <c r="AG327" s="91"/>
    </row>
    <row r="328" ht="15.75" customHeight="1">
      <c r="B328" s="3"/>
      <c r="C328" s="3"/>
      <c r="H328" s="3"/>
      <c r="AG328" s="91"/>
    </row>
    <row r="329" ht="15.75" customHeight="1">
      <c r="B329" s="3"/>
      <c r="C329" s="3"/>
      <c r="H329" s="3"/>
      <c r="AG329" s="91"/>
    </row>
    <row r="330" ht="15.75" customHeight="1">
      <c r="B330" s="3"/>
      <c r="C330" s="3"/>
      <c r="H330" s="3"/>
      <c r="AG330" s="91"/>
    </row>
    <row r="331" ht="15.75" customHeight="1">
      <c r="B331" s="3"/>
      <c r="C331" s="3"/>
      <c r="H331" s="3"/>
      <c r="AG331" s="91"/>
    </row>
    <row r="332" ht="15.75" customHeight="1">
      <c r="B332" s="3"/>
      <c r="C332" s="3"/>
      <c r="H332" s="3"/>
      <c r="AG332" s="91"/>
    </row>
    <row r="333" ht="15.75" customHeight="1">
      <c r="B333" s="3"/>
      <c r="C333" s="3"/>
      <c r="H333" s="3"/>
      <c r="AG333" s="91"/>
    </row>
    <row r="334" ht="15.75" customHeight="1">
      <c r="B334" s="3"/>
      <c r="C334" s="3"/>
      <c r="H334" s="3"/>
      <c r="AG334" s="91"/>
    </row>
    <row r="335" ht="15.75" customHeight="1">
      <c r="B335" s="3"/>
      <c r="C335" s="3"/>
      <c r="H335" s="3"/>
      <c r="AG335" s="91"/>
    </row>
    <row r="336" ht="15.75" customHeight="1">
      <c r="B336" s="3"/>
      <c r="C336" s="3"/>
      <c r="H336" s="3"/>
      <c r="AG336" s="91"/>
    </row>
    <row r="337" ht="15.75" customHeight="1">
      <c r="B337" s="3"/>
      <c r="C337" s="3"/>
      <c r="H337" s="3"/>
      <c r="AG337" s="91"/>
    </row>
    <row r="338" ht="15.75" customHeight="1">
      <c r="B338" s="3"/>
      <c r="C338" s="3"/>
      <c r="H338" s="3"/>
      <c r="AG338" s="91"/>
    </row>
    <row r="339" ht="15.75" customHeight="1">
      <c r="B339" s="3"/>
      <c r="C339" s="3"/>
      <c r="H339" s="3"/>
      <c r="AG339" s="91"/>
    </row>
    <row r="340" ht="15.75" customHeight="1">
      <c r="B340" s="3"/>
      <c r="C340" s="3"/>
      <c r="H340" s="3"/>
      <c r="AG340" s="91"/>
    </row>
    <row r="341" ht="15.75" customHeight="1">
      <c r="B341" s="3"/>
      <c r="C341" s="3"/>
      <c r="H341" s="3"/>
      <c r="AG341" s="91"/>
    </row>
    <row r="342" ht="15.75" customHeight="1">
      <c r="B342" s="3"/>
      <c r="C342" s="3"/>
      <c r="H342" s="3"/>
      <c r="AG342" s="91"/>
    </row>
    <row r="343" ht="15.75" customHeight="1">
      <c r="B343" s="3"/>
      <c r="C343" s="3"/>
      <c r="H343" s="3"/>
      <c r="AG343" s="91"/>
    </row>
    <row r="344" ht="15.75" customHeight="1">
      <c r="B344" s="3"/>
      <c r="C344" s="3"/>
      <c r="H344" s="3"/>
      <c r="AG344" s="91"/>
    </row>
    <row r="345" ht="15.75" customHeight="1">
      <c r="B345" s="3"/>
      <c r="C345" s="3"/>
      <c r="H345" s="3"/>
      <c r="AG345" s="91"/>
    </row>
    <row r="346" ht="15.75" customHeight="1">
      <c r="B346" s="3"/>
      <c r="C346" s="3"/>
      <c r="H346" s="3"/>
      <c r="AG346" s="91"/>
    </row>
    <row r="347" ht="15.75" customHeight="1">
      <c r="B347" s="3"/>
      <c r="C347" s="3"/>
      <c r="H347" s="3"/>
      <c r="AG347" s="91"/>
    </row>
    <row r="348" ht="15.75" customHeight="1">
      <c r="B348" s="3"/>
      <c r="C348" s="3"/>
      <c r="H348" s="3"/>
      <c r="AG348" s="91"/>
    </row>
    <row r="349" ht="15.75" customHeight="1">
      <c r="B349" s="3"/>
      <c r="C349" s="3"/>
      <c r="H349" s="3"/>
      <c r="AG349" s="91"/>
    </row>
    <row r="350" ht="15.75" customHeight="1">
      <c r="B350" s="3"/>
      <c r="C350" s="3"/>
      <c r="H350" s="3"/>
      <c r="AG350" s="91"/>
    </row>
    <row r="351" ht="15.75" customHeight="1">
      <c r="B351" s="3"/>
      <c r="C351" s="3"/>
      <c r="H351" s="3"/>
      <c r="AG351" s="91"/>
    </row>
    <row r="352" ht="15.75" customHeight="1">
      <c r="B352" s="3"/>
      <c r="C352" s="3"/>
      <c r="H352" s="3"/>
      <c r="AG352" s="91"/>
    </row>
    <row r="353" ht="15.75" customHeight="1">
      <c r="B353" s="3"/>
      <c r="C353" s="3"/>
      <c r="H353" s="3"/>
      <c r="AG353" s="91"/>
    </row>
    <row r="354" ht="15.75" customHeight="1">
      <c r="B354" s="3"/>
      <c r="C354" s="3"/>
      <c r="H354" s="3"/>
      <c r="AG354" s="91"/>
    </row>
    <row r="355" ht="15.75" customHeight="1">
      <c r="B355" s="3"/>
      <c r="C355" s="3"/>
      <c r="H355" s="3"/>
      <c r="AG355" s="91"/>
    </row>
    <row r="356" ht="15.75" customHeight="1">
      <c r="B356" s="3"/>
      <c r="C356" s="3"/>
      <c r="H356" s="3"/>
      <c r="AG356" s="91"/>
    </row>
    <row r="357" ht="15.75" customHeight="1">
      <c r="B357" s="3"/>
      <c r="C357" s="3"/>
      <c r="H357" s="3"/>
      <c r="AG357" s="91"/>
    </row>
    <row r="358" ht="15.75" customHeight="1">
      <c r="B358" s="3"/>
      <c r="C358" s="3"/>
      <c r="H358" s="3"/>
      <c r="AG358" s="91"/>
    </row>
    <row r="359" ht="15.75" customHeight="1">
      <c r="B359" s="3"/>
      <c r="C359" s="3"/>
      <c r="H359" s="3"/>
      <c r="AG359" s="91"/>
    </row>
    <row r="360" ht="15.75" customHeight="1">
      <c r="B360" s="3"/>
      <c r="C360" s="3"/>
      <c r="H360" s="3"/>
      <c r="AG360" s="91"/>
    </row>
    <row r="361" ht="15.75" customHeight="1">
      <c r="B361" s="3"/>
      <c r="C361" s="3"/>
      <c r="H361" s="3"/>
      <c r="AG361" s="91"/>
    </row>
    <row r="362" ht="15.75" customHeight="1">
      <c r="B362" s="3"/>
      <c r="C362" s="3"/>
      <c r="H362" s="3"/>
      <c r="AG362" s="91"/>
    </row>
    <row r="363" ht="15.75" customHeight="1">
      <c r="B363" s="3"/>
      <c r="C363" s="3"/>
      <c r="H363" s="3"/>
      <c r="AG363" s="91"/>
    </row>
    <row r="364" ht="15.75" customHeight="1">
      <c r="B364" s="3"/>
      <c r="C364" s="3"/>
      <c r="H364" s="3"/>
      <c r="AG364" s="91"/>
    </row>
    <row r="365" ht="15.75" customHeight="1">
      <c r="B365" s="3"/>
      <c r="C365" s="3"/>
      <c r="H365" s="3"/>
      <c r="AG365" s="91"/>
    </row>
    <row r="366" ht="15.75" customHeight="1">
      <c r="B366" s="3"/>
      <c r="C366" s="3"/>
      <c r="H366" s="3"/>
      <c r="AG366" s="91"/>
    </row>
    <row r="367" ht="15.75" customHeight="1">
      <c r="B367" s="3"/>
      <c r="C367" s="3"/>
      <c r="H367" s="3"/>
      <c r="AG367" s="91"/>
    </row>
    <row r="368" ht="15.75" customHeight="1">
      <c r="B368" s="3"/>
      <c r="C368" s="3"/>
      <c r="H368" s="3"/>
      <c r="AG368" s="91"/>
    </row>
    <row r="369" ht="15.75" customHeight="1">
      <c r="B369" s="3"/>
      <c r="C369" s="3"/>
      <c r="H369" s="3"/>
      <c r="AG369" s="91"/>
    </row>
    <row r="370" ht="15.75" customHeight="1">
      <c r="B370" s="3"/>
      <c r="C370" s="3"/>
      <c r="H370" s="3"/>
      <c r="AG370" s="91"/>
    </row>
    <row r="371" ht="15.75" customHeight="1">
      <c r="B371" s="3"/>
      <c r="C371" s="3"/>
      <c r="H371" s="3"/>
      <c r="AG371" s="91"/>
    </row>
    <row r="372" ht="15.75" customHeight="1">
      <c r="B372" s="3"/>
      <c r="C372" s="3"/>
      <c r="H372" s="3"/>
      <c r="AG372" s="91"/>
    </row>
    <row r="373" ht="15.75" customHeight="1">
      <c r="B373" s="3"/>
      <c r="C373" s="3"/>
      <c r="H373" s="3"/>
      <c r="AG373" s="91"/>
    </row>
    <row r="374" ht="15.75" customHeight="1">
      <c r="B374" s="3"/>
      <c r="C374" s="3"/>
      <c r="H374" s="3"/>
      <c r="AG374" s="91"/>
    </row>
    <row r="375" ht="15.75" customHeight="1">
      <c r="B375" s="3"/>
      <c r="C375" s="3"/>
      <c r="H375" s="3"/>
      <c r="AG375" s="91"/>
    </row>
    <row r="376" ht="15.75" customHeight="1">
      <c r="B376" s="3"/>
      <c r="C376" s="3"/>
      <c r="H376" s="3"/>
      <c r="AG376" s="91"/>
    </row>
    <row r="377" ht="15.75" customHeight="1">
      <c r="B377" s="3"/>
      <c r="C377" s="3"/>
      <c r="H377" s="3"/>
      <c r="AG377" s="91"/>
    </row>
    <row r="378" ht="15.75" customHeight="1">
      <c r="B378" s="3"/>
      <c r="C378" s="3"/>
      <c r="H378" s="3"/>
      <c r="AG378" s="91"/>
    </row>
    <row r="379" ht="15.75" customHeight="1">
      <c r="B379" s="3"/>
      <c r="C379" s="3"/>
      <c r="H379" s="3"/>
      <c r="AG379" s="91"/>
    </row>
    <row r="380" ht="15.75" customHeight="1">
      <c r="B380" s="3"/>
      <c r="C380" s="3"/>
      <c r="H380" s="3"/>
      <c r="AG380" s="91"/>
    </row>
    <row r="381" ht="15.75" customHeight="1">
      <c r="B381" s="3"/>
      <c r="C381" s="3"/>
      <c r="H381" s="3"/>
      <c r="AG381" s="91"/>
    </row>
    <row r="382" ht="15.75" customHeight="1">
      <c r="B382" s="3"/>
      <c r="C382" s="3"/>
      <c r="H382" s="3"/>
      <c r="AG382" s="91"/>
    </row>
    <row r="383" ht="15.75" customHeight="1">
      <c r="B383" s="3"/>
      <c r="C383" s="3"/>
      <c r="H383" s="3"/>
      <c r="AG383" s="91"/>
    </row>
    <row r="384" ht="15.75" customHeight="1">
      <c r="B384" s="3"/>
      <c r="C384" s="3"/>
      <c r="H384" s="3"/>
      <c r="AG384" s="91"/>
    </row>
    <row r="385" ht="15.75" customHeight="1">
      <c r="B385" s="3"/>
      <c r="C385" s="3"/>
      <c r="H385" s="3"/>
      <c r="AG385" s="91"/>
    </row>
    <row r="386" ht="15.75" customHeight="1">
      <c r="B386" s="3"/>
      <c r="C386" s="3"/>
      <c r="H386" s="3"/>
      <c r="AG386" s="91"/>
    </row>
    <row r="387" ht="15.75" customHeight="1">
      <c r="B387" s="3"/>
      <c r="C387" s="3"/>
      <c r="H387" s="3"/>
      <c r="AG387" s="91"/>
    </row>
    <row r="388" ht="15.75" customHeight="1">
      <c r="B388" s="3"/>
      <c r="C388" s="3"/>
      <c r="H388" s="3"/>
      <c r="AG388" s="91"/>
    </row>
    <row r="389" ht="15.75" customHeight="1">
      <c r="B389" s="3"/>
      <c r="C389" s="3"/>
      <c r="H389" s="3"/>
      <c r="AG389" s="91"/>
    </row>
    <row r="390" ht="15.75" customHeight="1">
      <c r="B390" s="3"/>
      <c r="C390" s="3"/>
      <c r="H390" s="3"/>
      <c r="AG390" s="91"/>
    </row>
    <row r="391" ht="15.75" customHeight="1">
      <c r="B391" s="3"/>
      <c r="C391" s="3"/>
      <c r="H391" s="3"/>
      <c r="AG391" s="91"/>
    </row>
    <row r="392" ht="15.75" customHeight="1">
      <c r="B392" s="3"/>
      <c r="C392" s="3"/>
      <c r="H392" s="3"/>
      <c r="AG392" s="91"/>
    </row>
    <row r="393" ht="15.75" customHeight="1">
      <c r="B393" s="3"/>
      <c r="C393" s="3"/>
      <c r="H393" s="3"/>
      <c r="AG393" s="91"/>
    </row>
    <row r="394" ht="15.75" customHeight="1">
      <c r="B394" s="3"/>
      <c r="C394" s="3"/>
      <c r="H394" s="3"/>
      <c r="AG394" s="91"/>
    </row>
    <row r="395" ht="15.75" customHeight="1">
      <c r="B395" s="3"/>
      <c r="C395" s="3"/>
      <c r="H395" s="3"/>
      <c r="AG395" s="91"/>
    </row>
    <row r="396" ht="15.75" customHeight="1">
      <c r="B396" s="3"/>
      <c r="C396" s="3"/>
      <c r="H396" s="3"/>
      <c r="AG396" s="91"/>
    </row>
    <row r="397" ht="15.75" customHeight="1">
      <c r="B397" s="3"/>
      <c r="C397" s="3"/>
      <c r="H397" s="3"/>
      <c r="AG397" s="91"/>
    </row>
    <row r="398" ht="15.75" customHeight="1">
      <c r="B398" s="3"/>
      <c r="C398" s="3"/>
      <c r="H398" s="3"/>
      <c r="AG398" s="91"/>
    </row>
    <row r="399" ht="15.75" customHeight="1">
      <c r="B399" s="3"/>
      <c r="C399" s="3"/>
      <c r="H399" s="3"/>
      <c r="AG399" s="91"/>
    </row>
    <row r="400" ht="15.75" customHeight="1">
      <c r="B400" s="3"/>
      <c r="C400" s="3"/>
      <c r="H400" s="3"/>
      <c r="AG400" s="91"/>
    </row>
    <row r="401" ht="15.75" customHeight="1">
      <c r="B401" s="3"/>
      <c r="C401" s="3"/>
      <c r="H401" s="3"/>
      <c r="AG401" s="91"/>
    </row>
    <row r="402" ht="15.75" customHeight="1">
      <c r="B402" s="3"/>
      <c r="C402" s="3"/>
      <c r="H402" s="3"/>
      <c r="AG402" s="91"/>
    </row>
    <row r="403" ht="15.75" customHeight="1">
      <c r="B403" s="3"/>
      <c r="C403" s="3"/>
      <c r="H403" s="3"/>
      <c r="AG403" s="91"/>
    </row>
    <row r="404" ht="15.75" customHeight="1">
      <c r="B404" s="3"/>
      <c r="C404" s="3"/>
      <c r="H404" s="3"/>
      <c r="AG404" s="91"/>
    </row>
    <row r="405" ht="15.75" customHeight="1">
      <c r="B405" s="3"/>
      <c r="C405" s="3"/>
      <c r="H405" s="3"/>
      <c r="AG405" s="91"/>
    </row>
    <row r="406" ht="15.75" customHeight="1">
      <c r="B406" s="3"/>
      <c r="C406" s="3"/>
      <c r="H406" s="3"/>
      <c r="AG406" s="91"/>
    </row>
    <row r="407" ht="15.75" customHeight="1">
      <c r="B407" s="3"/>
      <c r="C407" s="3"/>
      <c r="H407" s="3"/>
      <c r="AG407" s="91"/>
    </row>
    <row r="408" ht="15.75" customHeight="1">
      <c r="B408" s="3"/>
      <c r="C408" s="3"/>
      <c r="H408" s="3"/>
      <c r="AG408" s="91"/>
    </row>
    <row r="409" ht="15.75" customHeight="1">
      <c r="B409" s="3"/>
      <c r="C409" s="3"/>
      <c r="H409" s="3"/>
      <c r="AG409" s="91"/>
    </row>
    <row r="410" ht="15.75" customHeight="1">
      <c r="B410" s="3"/>
      <c r="C410" s="3"/>
      <c r="H410" s="3"/>
      <c r="AG410" s="91"/>
    </row>
    <row r="411" ht="15.75" customHeight="1">
      <c r="B411" s="3"/>
      <c r="C411" s="3"/>
      <c r="H411" s="3"/>
      <c r="AG411" s="91"/>
    </row>
    <row r="412" ht="15.75" customHeight="1">
      <c r="B412" s="3"/>
      <c r="C412" s="3"/>
      <c r="H412" s="3"/>
      <c r="AG412" s="91"/>
    </row>
    <row r="413" ht="15.75" customHeight="1">
      <c r="B413" s="3"/>
      <c r="C413" s="3"/>
      <c r="H413" s="3"/>
      <c r="AG413" s="91"/>
    </row>
    <row r="414" ht="15.75" customHeight="1">
      <c r="B414" s="3"/>
      <c r="C414" s="3"/>
      <c r="H414" s="3"/>
      <c r="AG414" s="91"/>
    </row>
    <row r="415" ht="15.75" customHeight="1">
      <c r="B415" s="3"/>
      <c r="C415" s="3"/>
      <c r="H415" s="3"/>
      <c r="AG415" s="91"/>
    </row>
    <row r="416" ht="15.75" customHeight="1">
      <c r="B416" s="3"/>
      <c r="C416" s="3"/>
      <c r="H416" s="3"/>
      <c r="AG416" s="91"/>
    </row>
    <row r="417" ht="15.75" customHeight="1">
      <c r="B417" s="3"/>
      <c r="C417" s="3"/>
      <c r="H417" s="3"/>
      <c r="AG417" s="91"/>
    </row>
    <row r="418" ht="15.75" customHeight="1">
      <c r="B418" s="3"/>
      <c r="C418" s="3"/>
      <c r="H418" s="3"/>
      <c r="AG418" s="91"/>
    </row>
    <row r="419" ht="15.75" customHeight="1">
      <c r="B419" s="3"/>
      <c r="C419" s="3"/>
      <c r="H419" s="3"/>
      <c r="AG419" s="91"/>
    </row>
    <row r="420" ht="15.75" customHeight="1">
      <c r="B420" s="3"/>
      <c r="C420" s="3"/>
      <c r="H420" s="3"/>
      <c r="AG420" s="91"/>
    </row>
    <row r="421" ht="15.75" customHeight="1">
      <c r="B421" s="3"/>
      <c r="C421" s="3"/>
      <c r="H421" s="3"/>
      <c r="AG421" s="91"/>
    </row>
    <row r="422" ht="15.75" customHeight="1">
      <c r="B422" s="3"/>
      <c r="C422" s="3"/>
      <c r="H422" s="3"/>
      <c r="AG422" s="91"/>
    </row>
    <row r="423" ht="15.75" customHeight="1">
      <c r="B423" s="3"/>
      <c r="C423" s="3"/>
      <c r="H423" s="3"/>
      <c r="AG423" s="91"/>
    </row>
    <row r="424" ht="15.75" customHeight="1">
      <c r="B424" s="3"/>
      <c r="C424" s="3"/>
      <c r="H424" s="3"/>
      <c r="AG424" s="91"/>
    </row>
    <row r="425" ht="15.75" customHeight="1">
      <c r="B425" s="3"/>
      <c r="C425" s="3"/>
      <c r="H425" s="3"/>
      <c r="AG425" s="91"/>
    </row>
    <row r="426" ht="15.75" customHeight="1">
      <c r="B426" s="3"/>
      <c r="C426" s="3"/>
      <c r="H426" s="3"/>
      <c r="AG426" s="91"/>
    </row>
    <row r="427" ht="15.75" customHeight="1">
      <c r="B427" s="3"/>
      <c r="C427" s="3"/>
      <c r="H427" s="3"/>
      <c r="AG427" s="91"/>
    </row>
    <row r="428" ht="15.75" customHeight="1">
      <c r="B428" s="3"/>
      <c r="C428" s="3"/>
      <c r="H428" s="3"/>
      <c r="AG428" s="91"/>
    </row>
    <row r="429" ht="15.75" customHeight="1">
      <c r="B429" s="3"/>
      <c r="C429" s="3"/>
      <c r="H429" s="3"/>
      <c r="AG429" s="91"/>
    </row>
    <row r="430" ht="15.75" customHeight="1">
      <c r="B430" s="3"/>
      <c r="C430" s="3"/>
      <c r="H430" s="3"/>
      <c r="AG430" s="91"/>
    </row>
    <row r="431" ht="15.75" customHeight="1">
      <c r="B431" s="3"/>
      <c r="C431" s="3"/>
      <c r="H431" s="3"/>
      <c r="AG431" s="91"/>
    </row>
    <row r="432" ht="15.75" customHeight="1">
      <c r="B432" s="3"/>
      <c r="C432" s="3"/>
      <c r="H432" s="3"/>
      <c r="AG432" s="91"/>
    </row>
    <row r="433" ht="15.75" customHeight="1">
      <c r="B433" s="3"/>
      <c r="C433" s="3"/>
      <c r="H433" s="3"/>
      <c r="AG433" s="91"/>
    </row>
    <row r="434" ht="15.75" customHeight="1">
      <c r="B434" s="3"/>
      <c r="C434" s="3"/>
      <c r="H434" s="3"/>
      <c r="AG434" s="91"/>
    </row>
    <row r="435" ht="15.75" customHeight="1">
      <c r="B435" s="3"/>
      <c r="C435" s="3"/>
      <c r="H435" s="3"/>
      <c r="AG435" s="91"/>
    </row>
    <row r="436" ht="15.75" customHeight="1">
      <c r="B436" s="3"/>
      <c r="C436" s="3"/>
      <c r="H436" s="3"/>
      <c r="AG436" s="91"/>
    </row>
    <row r="437" ht="15.75" customHeight="1">
      <c r="B437" s="3"/>
      <c r="C437" s="3"/>
      <c r="H437" s="3"/>
      <c r="AG437" s="91"/>
    </row>
    <row r="438" ht="15.75" customHeight="1">
      <c r="B438" s="3"/>
      <c r="C438" s="3"/>
      <c r="H438" s="3"/>
      <c r="AG438" s="91"/>
    </row>
    <row r="439" ht="15.75" customHeight="1">
      <c r="B439" s="3"/>
      <c r="C439" s="3"/>
      <c r="H439" s="3"/>
      <c r="AG439" s="91"/>
    </row>
    <row r="440" ht="15.75" customHeight="1">
      <c r="B440" s="3"/>
      <c r="C440" s="3"/>
      <c r="H440" s="3"/>
      <c r="AG440" s="91"/>
    </row>
    <row r="441" ht="15.75" customHeight="1">
      <c r="B441" s="3"/>
      <c r="C441" s="3"/>
      <c r="H441" s="3"/>
      <c r="AG441" s="91"/>
    </row>
    <row r="442" ht="15.75" customHeight="1">
      <c r="B442" s="3"/>
      <c r="C442" s="3"/>
      <c r="H442" s="3"/>
      <c r="AG442" s="91"/>
    </row>
    <row r="443" ht="15.75" customHeight="1">
      <c r="B443" s="3"/>
      <c r="C443" s="3"/>
      <c r="H443" s="3"/>
      <c r="AG443" s="91"/>
    </row>
    <row r="444" ht="15.75" customHeight="1">
      <c r="B444" s="3"/>
      <c r="C444" s="3"/>
      <c r="H444" s="3"/>
      <c r="AG444" s="91"/>
    </row>
    <row r="445" ht="15.75" customHeight="1">
      <c r="B445" s="3"/>
      <c r="C445" s="3"/>
      <c r="H445" s="3"/>
      <c r="AG445" s="91"/>
    </row>
    <row r="446" ht="15.75" customHeight="1">
      <c r="B446" s="3"/>
      <c r="C446" s="3"/>
      <c r="H446" s="3"/>
      <c r="AG446" s="91"/>
    </row>
    <row r="447" ht="15.75" customHeight="1">
      <c r="B447" s="3"/>
      <c r="C447" s="3"/>
      <c r="H447" s="3"/>
      <c r="AG447" s="91"/>
    </row>
    <row r="448" ht="15.75" customHeight="1">
      <c r="B448" s="3"/>
      <c r="C448" s="3"/>
      <c r="H448" s="3"/>
      <c r="AG448" s="91"/>
    </row>
    <row r="449" ht="15.75" customHeight="1">
      <c r="B449" s="3"/>
      <c r="C449" s="3"/>
      <c r="H449" s="3"/>
      <c r="AG449" s="91"/>
    </row>
    <row r="450" ht="15.75" customHeight="1">
      <c r="B450" s="3"/>
      <c r="C450" s="3"/>
      <c r="H450" s="3"/>
      <c r="AG450" s="91"/>
    </row>
    <row r="451" ht="15.75" customHeight="1">
      <c r="B451" s="3"/>
      <c r="C451" s="3"/>
      <c r="H451" s="3"/>
      <c r="AG451" s="91"/>
    </row>
    <row r="452" ht="15.75" customHeight="1">
      <c r="B452" s="3"/>
      <c r="C452" s="3"/>
      <c r="H452" s="3"/>
      <c r="AG452" s="91"/>
    </row>
    <row r="453" ht="15.75" customHeight="1">
      <c r="B453" s="3"/>
      <c r="C453" s="3"/>
      <c r="H453" s="3"/>
      <c r="AG453" s="91"/>
    </row>
    <row r="454" ht="15.75" customHeight="1">
      <c r="B454" s="3"/>
      <c r="C454" s="3"/>
      <c r="H454" s="3"/>
      <c r="AG454" s="91"/>
    </row>
    <row r="455" ht="15.75" customHeight="1">
      <c r="B455" s="3"/>
      <c r="C455" s="3"/>
      <c r="H455" s="3"/>
      <c r="AG455" s="91"/>
    </row>
    <row r="456" ht="15.75" customHeight="1">
      <c r="B456" s="3"/>
      <c r="C456" s="3"/>
      <c r="H456" s="3"/>
      <c r="AG456" s="91"/>
    </row>
    <row r="457" ht="15.75" customHeight="1">
      <c r="B457" s="3"/>
      <c r="C457" s="3"/>
      <c r="H457" s="3"/>
      <c r="AG457" s="91"/>
    </row>
    <row r="458" ht="15.75" customHeight="1">
      <c r="B458" s="3"/>
      <c r="C458" s="3"/>
      <c r="H458" s="3"/>
      <c r="AG458" s="91"/>
    </row>
    <row r="459" ht="15.75" customHeight="1">
      <c r="B459" s="3"/>
      <c r="C459" s="3"/>
      <c r="H459" s="3"/>
      <c r="AG459" s="91"/>
    </row>
    <row r="460" ht="15.75" customHeight="1">
      <c r="B460" s="3"/>
      <c r="C460" s="3"/>
      <c r="H460" s="3"/>
      <c r="AG460" s="91"/>
    </row>
    <row r="461" ht="15.75" customHeight="1">
      <c r="B461" s="3"/>
      <c r="C461" s="3"/>
      <c r="H461" s="3"/>
      <c r="AG461" s="91"/>
    </row>
    <row r="462" ht="15.75" customHeight="1">
      <c r="B462" s="3"/>
      <c r="C462" s="3"/>
      <c r="H462" s="3"/>
      <c r="AG462" s="91"/>
    </row>
    <row r="463" ht="15.75" customHeight="1">
      <c r="B463" s="3"/>
      <c r="C463" s="3"/>
      <c r="H463" s="3"/>
      <c r="AG463" s="91"/>
    </row>
    <row r="464" ht="15.75" customHeight="1">
      <c r="B464" s="3"/>
      <c r="C464" s="3"/>
      <c r="H464" s="3"/>
      <c r="AG464" s="91"/>
    </row>
    <row r="465" ht="15.75" customHeight="1">
      <c r="B465" s="3"/>
      <c r="C465" s="3"/>
      <c r="H465" s="3"/>
      <c r="AG465" s="91"/>
    </row>
    <row r="466" ht="15.75" customHeight="1">
      <c r="B466" s="3"/>
      <c r="C466" s="3"/>
      <c r="H466" s="3"/>
      <c r="AG466" s="91"/>
    </row>
    <row r="467" ht="15.75" customHeight="1">
      <c r="B467" s="3"/>
      <c r="C467" s="3"/>
      <c r="H467" s="3"/>
      <c r="AG467" s="91"/>
    </row>
    <row r="468" ht="15.75" customHeight="1">
      <c r="B468" s="3"/>
      <c r="C468" s="3"/>
      <c r="H468" s="3"/>
      <c r="AG468" s="91"/>
    </row>
    <row r="469" ht="15.75" customHeight="1">
      <c r="B469" s="3"/>
      <c r="C469" s="3"/>
      <c r="H469" s="3"/>
      <c r="AG469" s="91"/>
    </row>
    <row r="470" ht="15.75" customHeight="1">
      <c r="B470" s="3"/>
      <c r="C470" s="3"/>
      <c r="H470" s="3"/>
      <c r="AG470" s="91"/>
    </row>
    <row r="471" ht="15.75" customHeight="1">
      <c r="B471" s="3"/>
      <c r="C471" s="3"/>
      <c r="H471" s="3"/>
      <c r="AG471" s="91"/>
    </row>
    <row r="472" ht="15.75" customHeight="1">
      <c r="B472" s="3"/>
      <c r="C472" s="3"/>
      <c r="H472" s="3"/>
      <c r="AG472" s="91"/>
    </row>
    <row r="473" ht="15.75" customHeight="1">
      <c r="B473" s="3"/>
      <c r="C473" s="3"/>
      <c r="H473" s="3"/>
      <c r="AG473" s="91"/>
    </row>
    <row r="474" ht="15.75" customHeight="1">
      <c r="B474" s="3"/>
      <c r="C474" s="3"/>
      <c r="H474" s="3"/>
      <c r="AG474" s="91"/>
    </row>
    <row r="475" ht="15.75" customHeight="1">
      <c r="B475" s="3"/>
      <c r="C475" s="3"/>
      <c r="H475" s="3"/>
      <c r="AG475" s="91"/>
    </row>
    <row r="476" ht="15.75" customHeight="1">
      <c r="B476" s="3"/>
      <c r="C476" s="3"/>
      <c r="H476" s="3"/>
      <c r="AG476" s="91"/>
    </row>
    <row r="477" ht="15.75" customHeight="1">
      <c r="B477" s="3"/>
      <c r="C477" s="3"/>
      <c r="H477" s="3"/>
      <c r="AG477" s="91"/>
    </row>
    <row r="478" ht="15.75" customHeight="1">
      <c r="B478" s="3"/>
      <c r="C478" s="3"/>
      <c r="H478" s="3"/>
      <c r="AG478" s="91"/>
    </row>
    <row r="479" ht="15.75" customHeight="1">
      <c r="B479" s="3"/>
      <c r="C479" s="3"/>
      <c r="H479" s="3"/>
      <c r="AG479" s="91"/>
    </row>
    <row r="480" ht="15.75" customHeight="1">
      <c r="B480" s="3"/>
      <c r="C480" s="3"/>
      <c r="H480" s="3"/>
      <c r="AG480" s="91"/>
    </row>
    <row r="481" ht="15.75" customHeight="1">
      <c r="B481" s="3"/>
      <c r="C481" s="3"/>
      <c r="H481" s="3"/>
      <c r="AG481" s="91"/>
    </row>
    <row r="482" ht="15.75" customHeight="1">
      <c r="B482" s="3"/>
      <c r="C482" s="3"/>
      <c r="H482" s="3"/>
      <c r="AG482" s="91"/>
    </row>
    <row r="483" ht="15.75" customHeight="1">
      <c r="B483" s="3"/>
      <c r="C483" s="3"/>
      <c r="H483" s="3"/>
      <c r="AG483" s="91"/>
    </row>
    <row r="484" ht="15.75" customHeight="1">
      <c r="B484" s="3"/>
      <c r="C484" s="3"/>
      <c r="H484" s="3"/>
      <c r="AG484" s="91"/>
    </row>
    <row r="485" ht="15.75" customHeight="1">
      <c r="B485" s="3"/>
      <c r="C485" s="3"/>
      <c r="H485" s="3"/>
      <c r="AG485" s="91"/>
    </row>
    <row r="486" ht="15.75" customHeight="1">
      <c r="B486" s="3"/>
      <c r="C486" s="3"/>
      <c r="H486" s="3"/>
      <c r="AG486" s="91"/>
    </row>
    <row r="487" ht="15.75" customHeight="1">
      <c r="B487" s="3"/>
      <c r="C487" s="3"/>
      <c r="H487" s="3"/>
      <c r="AG487" s="91"/>
    </row>
    <row r="488" ht="15.75" customHeight="1">
      <c r="B488" s="3"/>
      <c r="C488" s="3"/>
      <c r="H488" s="3"/>
      <c r="AG488" s="91"/>
    </row>
    <row r="489" ht="15.75" customHeight="1">
      <c r="B489" s="3"/>
      <c r="C489" s="3"/>
      <c r="H489" s="3"/>
      <c r="AG489" s="91"/>
    </row>
    <row r="490" ht="15.75" customHeight="1">
      <c r="B490" s="3"/>
      <c r="C490" s="3"/>
      <c r="H490" s="3"/>
      <c r="AG490" s="91"/>
    </row>
    <row r="491" ht="15.75" customHeight="1">
      <c r="B491" s="3"/>
      <c r="C491" s="3"/>
      <c r="H491" s="3"/>
      <c r="AG491" s="91"/>
    </row>
    <row r="492" ht="15.75" customHeight="1">
      <c r="B492" s="3"/>
      <c r="C492" s="3"/>
      <c r="H492" s="3"/>
      <c r="AG492" s="91"/>
    </row>
    <row r="493" ht="15.75" customHeight="1">
      <c r="B493" s="3"/>
      <c r="C493" s="3"/>
      <c r="H493" s="3"/>
      <c r="AG493" s="91"/>
    </row>
    <row r="494" ht="15.75" customHeight="1">
      <c r="B494" s="3"/>
      <c r="C494" s="3"/>
      <c r="H494" s="3"/>
      <c r="AG494" s="91"/>
    </row>
    <row r="495" ht="15.75" customHeight="1">
      <c r="B495" s="3"/>
      <c r="C495" s="3"/>
      <c r="H495" s="3"/>
      <c r="AG495" s="91"/>
    </row>
    <row r="496" ht="15.75" customHeight="1">
      <c r="B496" s="3"/>
      <c r="C496" s="3"/>
      <c r="H496" s="3"/>
      <c r="AG496" s="91"/>
    </row>
    <row r="497" ht="15.75" customHeight="1">
      <c r="B497" s="3"/>
      <c r="C497" s="3"/>
      <c r="H497" s="3"/>
      <c r="AG497" s="91"/>
    </row>
    <row r="498" ht="15.75" customHeight="1">
      <c r="B498" s="3"/>
      <c r="C498" s="3"/>
      <c r="H498" s="3"/>
      <c r="AG498" s="91"/>
    </row>
    <row r="499" ht="15.75" customHeight="1">
      <c r="B499" s="3"/>
      <c r="C499" s="3"/>
      <c r="H499" s="3"/>
      <c r="AG499" s="91"/>
    </row>
    <row r="500" ht="15.75" customHeight="1">
      <c r="B500" s="3"/>
      <c r="C500" s="3"/>
      <c r="H500" s="3"/>
      <c r="AG500" s="91"/>
    </row>
    <row r="501" ht="15.75" customHeight="1">
      <c r="B501" s="3"/>
      <c r="C501" s="3"/>
      <c r="H501" s="3"/>
      <c r="AG501" s="91"/>
    </row>
    <row r="502" ht="15.75" customHeight="1">
      <c r="B502" s="3"/>
      <c r="C502" s="3"/>
      <c r="H502" s="3"/>
      <c r="AG502" s="91"/>
    </row>
    <row r="503" ht="15.75" customHeight="1">
      <c r="B503" s="3"/>
      <c r="C503" s="3"/>
      <c r="H503" s="3"/>
      <c r="AG503" s="91"/>
    </row>
    <row r="504" ht="15.75" customHeight="1">
      <c r="B504" s="3"/>
      <c r="C504" s="3"/>
      <c r="H504" s="3"/>
      <c r="AG504" s="91"/>
    </row>
    <row r="505" ht="15.75" customHeight="1">
      <c r="B505" s="3"/>
      <c r="C505" s="3"/>
      <c r="H505" s="3"/>
      <c r="AG505" s="91"/>
    </row>
    <row r="506" ht="15.75" customHeight="1">
      <c r="B506" s="3"/>
      <c r="C506" s="3"/>
      <c r="H506" s="3"/>
      <c r="AG506" s="91"/>
    </row>
    <row r="507" ht="15.75" customHeight="1">
      <c r="B507" s="3"/>
      <c r="C507" s="3"/>
      <c r="H507" s="3"/>
      <c r="AG507" s="91"/>
    </row>
    <row r="508" ht="15.75" customHeight="1">
      <c r="B508" s="3"/>
      <c r="C508" s="3"/>
      <c r="H508" s="3"/>
      <c r="AG508" s="91"/>
    </row>
    <row r="509" ht="15.75" customHeight="1">
      <c r="B509" s="3"/>
      <c r="C509" s="3"/>
      <c r="H509" s="3"/>
      <c r="AG509" s="91"/>
    </row>
    <row r="510" ht="15.75" customHeight="1">
      <c r="B510" s="3"/>
      <c r="C510" s="3"/>
      <c r="H510" s="3"/>
      <c r="AG510" s="91"/>
    </row>
    <row r="511" ht="15.75" customHeight="1">
      <c r="B511" s="3"/>
      <c r="C511" s="3"/>
      <c r="H511" s="3"/>
      <c r="AG511" s="91"/>
    </row>
    <row r="512" ht="15.75" customHeight="1">
      <c r="B512" s="3"/>
      <c r="C512" s="3"/>
      <c r="H512" s="3"/>
      <c r="AG512" s="91"/>
    </row>
    <row r="513" ht="15.75" customHeight="1">
      <c r="B513" s="3"/>
      <c r="C513" s="3"/>
      <c r="H513" s="3"/>
      <c r="AG513" s="91"/>
    </row>
    <row r="514" ht="15.75" customHeight="1">
      <c r="B514" s="3"/>
      <c r="C514" s="3"/>
      <c r="H514" s="3"/>
      <c r="AG514" s="91"/>
    </row>
    <row r="515" ht="15.75" customHeight="1">
      <c r="B515" s="3"/>
      <c r="C515" s="3"/>
      <c r="H515" s="3"/>
      <c r="AG515" s="91"/>
    </row>
    <row r="516" ht="15.75" customHeight="1">
      <c r="B516" s="3"/>
      <c r="C516" s="3"/>
      <c r="H516" s="3"/>
      <c r="AG516" s="91"/>
    </row>
    <row r="517" ht="15.75" customHeight="1">
      <c r="B517" s="3"/>
      <c r="C517" s="3"/>
      <c r="H517" s="3"/>
      <c r="AG517" s="91"/>
    </row>
    <row r="518" ht="15.75" customHeight="1">
      <c r="B518" s="3"/>
      <c r="C518" s="3"/>
      <c r="H518" s="3"/>
      <c r="AG518" s="91"/>
    </row>
    <row r="519" ht="15.75" customHeight="1">
      <c r="B519" s="3"/>
      <c r="C519" s="3"/>
      <c r="H519" s="3"/>
      <c r="AG519" s="91"/>
    </row>
    <row r="520" ht="15.75" customHeight="1">
      <c r="B520" s="3"/>
      <c r="C520" s="3"/>
      <c r="H520" s="3"/>
      <c r="AG520" s="91"/>
    </row>
    <row r="521" ht="15.75" customHeight="1">
      <c r="B521" s="3"/>
      <c r="C521" s="3"/>
      <c r="H521" s="3"/>
      <c r="AG521" s="91"/>
    </row>
    <row r="522" ht="15.75" customHeight="1">
      <c r="B522" s="3"/>
      <c r="C522" s="3"/>
      <c r="H522" s="3"/>
      <c r="AG522" s="91"/>
    </row>
    <row r="523" ht="15.75" customHeight="1">
      <c r="B523" s="3"/>
      <c r="C523" s="3"/>
      <c r="H523" s="3"/>
      <c r="AG523" s="91"/>
    </row>
    <row r="524" ht="15.75" customHeight="1">
      <c r="B524" s="3"/>
      <c r="C524" s="3"/>
      <c r="H524" s="3"/>
      <c r="AG524" s="91"/>
    </row>
    <row r="525" ht="15.75" customHeight="1">
      <c r="B525" s="3"/>
      <c r="C525" s="3"/>
      <c r="H525" s="3"/>
      <c r="AG525" s="91"/>
    </row>
    <row r="526" ht="15.75" customHeight="1">
      <c r="B526" s="3"/>
      <c r="C526" s="3"/>
      <c r="H526" s="3"/>
      <c r="AG526" s="91"/>
    </row>
    <row r="527" ht="15.75" customHeight="1">
      <c r="B527" s="3"/>
      <c r="C527" s="3"/>
      <c r="H527" s="3"/>
      <c r="AG527" s="91"/>
    </row>
    <row r="528" ht="15.75" customHeight="1">
      <c r="B528" s="3"/>
      <c r="C528" s="3"/>
      <c r="H528" s="3"/>
      <c r="AG528" s="91"/>
    </row>
    <row r="529" ht="15.75" customHeight="1">
      <c r="B529" s="3"/>
      <c r="C529" s="3"/>
      <c r="H529" s="3"/>
      <c r="AG529" s="91"/>
    </row>
    <row r="530" ht="15.75" customHeight="1">
      <c r="B530" s="3"/>
      <c r="C530" s="3"/>
      <c r="H530" s="3"/>
      <c r="AG530" s="91"/>
    </row>
    <row r="531" ht="15.75" customHeight="1">
      <c r="B531" s="3"/>
      <c r="C531" s="3"/>
      <c r="H531" s="3"/>
      <c r="AG531" s="91"/>
    </row>
    <row r="532" ht="15.75" customHeight="1">
      <c r="B532" s="3"/>
      <c r="C532" s="3"/>
      <c r="H532" s="3"/>
      <c r="AG532" s="91"/>
    </row>
    <row r="533" ht="15.75" customHeight="1">
      <c r="B533" s="3"/>
      <c r="C533" s="3"/>
      <c r="H533" s="3"/>
      <c r="AG533" s="91"/>
    </row>
    <row r="534" ht="15.75" customHeight="1">
      <c r="B534" s="3"/>
      <c r="C534" s="3"/>
      <c r="H534" s="3"/>
      <c r="AG534" s="91"/>
    </row>
    <row r="535" ht="15.75" customHeight="1">
      <c r="B535" s="3"/>
      <c r="C535" s="3"/>
      <c r="H535" s="3"/>
      <c r="AG535" s="91"/>
    </row>
    <row r="536" ht="15.75" customHeight="1">
      <c r="B536" s="3"/>
      <c r="C536" s="3"/>
      <c r="H536" s="3"/>
      <c r="AG536" s="91"/>
    </row>
    <row r="537" ht="15.75" customHeight="1">
      <c r="B537" s="3"/>
      <c r="C537" s="3"/>
      <c r="H537" s="3"/>
      <c r="AG537" s="91"/>
    </row>
    <row r="538" ht="15.75" customHeight="1">
      <c r="B538" s="3"/>
      <c r="C538" s="3"/>
      <c r="H538" s="3"/>
      <c r="AG538" s="91"/>
    </row>
    <row r="539" ht="15.75" customHeight="1">
      <c r="B539" s="3"/>
      <c r="C539" s="3"/>
      <c r="H539" s="3"/>
      <c r="AG539" s="91"/>
    </row>
    <row r="540" ht="15.75" customHeight="1">
      <c r="B540" s="3"/>
      <c r="C540" s="3"/>
      <c r="H540" s="3"/>
      <c r="AG540" s="91"/>
    </row>
    <row r="541" ht="15.75" customHeight="1">
      <c r="B541" s="3"/>
      <c r="C541" s="3"/>
      <c r="H541" s="3"/>
      <c r="AG541" s="91"/>
    </row>
    <row r="542" ht="15.75" customHeight="1">
      <c r="B542" s="3"/>
      <c r="C542" s="3"/>
      <c r="H542" s="3"/>
      <c r="AG542" s="91"/>
    </row>
    <row r="543" ht="15.75" customHeight="1">
      <c r="B543" s="3"/>
      <c r="C543" s="3"/>
      <c r="H543" s="3"/>
      <c r="AG543" s="91"/>
    </row>
    <row r="544" ht="15.75" customHeight="1">
      <c r="B544" s="3"/>
      <c r="C544" s="3"/>
      <c r="H544" s="3"/>
      <c r="AG544" s="91"/>
    </row>
    <row r="545" ht="15.75" customHeight="1">
      <c r="B545" s="3"/>
      <c r="C545" s="3"/>
      <c r="H545" s="3"/>
      <c r="AG545" s="91"/>
    </row>
    <row r="546" ht="15.75" customHeight="1">
      <c r="B546" s="3"/>
      <c r="C546" s="3"/>
      <c r="H546" s="3"/>
      <c r="AG546" s="91"/>
    </row>
    <row r="547" ht="15.75" customHeight="1">
      <c r="B547" s="3"/>
      <c r="C547" s="3"/>
      <c r="H547" s="3"/>
      <c r="AG547" s="91"/>
    </row>
    <row r="548" ht="15.75" customHeight="1">
      <c r="B548" s="3"/>
      <c r="C548" s="3"/>
      <c r="H548" s="3"/>
      <c r="AG548" s="91"/>
    </row>
    <row r="549" ht="15.75" customHeight="1">
      <c r="B549" s="3"/>
      <c r="C549" s="3"/>
      <c r="H549" s="3"/>
      <c r="AG549" s="91"/>
    </row>
    <row r="550" ht="15.75" customHeight="1">
      <c r="B550" s="3"/>
      <c r="C550" s="3"/>
      <c r="H550" s="3"/>
      <c r="AG550" s="91"/>
    </row>
    <row r="551" ht="15.75" customHeight="1">
      <c r="B551" s="3"/>
      <c r="C551" s="3"/>
      <c r="H551" s="3"/>
      <c r="AG551" s="91"/>
    </row>
    <row r="552" ht="15.75" customHeight="1">
      <c r="B552" s="3"/>
      <c r="C552" s="3"/>
      <c r="H552" s="3"/>
      <c r="AG552" s="91"/>
    </row>
    <row r="553" ht="15.75" customHeight="1">
      <c r="B553" s="3"/>
      <c r="C553" s="3"/>
      <c r="H553" s="3"/>
      <c r="AG553" s="91"/>
    </row>
    <row r="554" ht="15.75" customHeight="1">
      <c r="B554" s="3"/>
      <c r="C554" s="3"/>
      <c r="H554" s="3"/>
      <c r="AG554" s="91"/>
    </row>
    <row r="555" ht="15.75" customHeight="1">
      <c r="B555" s="3"/>
      <c r="C555" s="3"/>
      <c r="H555" s="3"/>
      <c r="AG555" s="91"/>
    </row>
    <row r="556" ht="15.75" customHeight="1">
      <c r="B556" s="3"/>
      <c r="C556" s="3"/>
      <c r="H556" s="3"/>
      <c r="AG556" s="91"/>
    </row>
    <row r="557" ht="15.75" customHeight="1">
      <c r="B557" s="3"/>
      <c r="C557" s="3"/>
      <c r="H557" s="3"/>
      <c r="AG557" s="91"/>
    </row>
    <row r="558" ht="15.75" customHeight="1">
      <c r="B558" s="3"/>
      <c r="C558" s="3"/>
      <c r="H558" s="3"/>
      <c r="AG558" s="91"/>
    </row>
    <row r="559" ht="15.75" customHeight="1">
      <c r="B559" s="3"/>
      <c r="C559" s="3"/>
      <c r="H559" s="3"/>
      <c r="AG559" s="91"/>
    </row>
    <row r="560" ht="15.75" customHeight="1">
      <c r="B560" s="3"/>
      <c r="C560" s="3"/>
      <c r="H560" s="3"/>
      <c r="AG560" s="91"/>
    </row>
    <row r="561" ht="15.75" customHeight="1">
      <c r="B561" s="3"/>
      <c r="C561" s="3"/>
      <c r="H561" s="3"/>
      <c r="AG561" s="91"/>
    </row>
    <row r="562" ht="15.75" customHeight="1">
      <c r="B562" s="3"/>
      <c r="C562" s="3"/>
      <c r="H562" s="3"/>
      <c r="AG562" s="91"/>
    </row>
    <row r="563" ht="15.75" customHeight="1">
      <c r="B563" s="3"/>
      <c r="C563" s="3"/>
      <c r="H563" s="3"/>
      <c r="AG563" s="91"/>
    </row>
    <row r="564" ht="15.75" customHeight="1">
      <c r="B564" s="3"/>
      <c r="C564" s="3"/>
      <c r="H564" s="3"/>
      <c r="AG564" s="91"/>
    </row>
    <row r="565" ht="15.75" customHeight="1">
      <c r="B565" s="3"/>
      <c r="C565" s="3"/>
      <c r="H565" s="3"/>
      <c r="AG565" s="91"/>
    </row>
    <row r="566" ht="15.75" customHeight="1">
      <c r="B566" s="3"/>
      <c r="C566" s="3"/>
      <c r="H566" s="3"/>
      <c r="AG566" s="91"/>
    </row>
    <row r="567" ht="15.75" customHeight="1">
      <c r="B567" s="3"/>
      <c r="C567" s="3"/>
      <c r="H567" s="3"/>
      <c r="AG567" s="91"/>
    </row>
    <row r="568" ht="15.75" customHeight="1">
      <c r="B568" s="3"/>
      <c r="C568" s="3"/>
      <c r="H568" s="3"/>
      <c r="AG568" s="91"/>
    </row>
    <row r="569" ht="15.75" customHeight="1">
      <c r="B569" s="3"/>
      <c r="C569" s="3"/>
      <c r="H569" s="3"/>
      <c r="AG569" s="91"/>
    </row>
    <row r="570" ht="15.75" customHeight="1">
      <c r="B570" s="3"/>
      <c r="C570" s="3"/>
      <c r="H570" s="3"/>
      <c r="AG570" s="91"/>
    </row>
    <row r="571" ht="15.75" customHeight="1">
      <c r="B571" s="3"/>
      <c r="C571" s="3"/>
      <c r="H571" s="3"/>
      <c r="AG571" s="91"/>
    </row>
    <row r="572" ht="15.75" customHeight="1">
      <c r="B572" s="3"/>
      <c r="C572" s="3"/>
      <c r="H572" s="3"/>
      <c r="AG572" s="91"/>
    </row>
    <row r="573" ht="15.75" customHeight="1">
      <c r="B573" s="3"/>
      <c r="C573" s="3"/>
      <c r="H573" s="3"/>
      <c r="AG573" s="91"/>
    </row>
    <row r="574" ht="15.75" customHeight="1">
      <c r="B574" s="3"/>
      <c r="C574" s="3"/>
      <c r="H574" s="3"/>
      <c r="AG574" s="91"/>
    </row>
    <row r="575" ht="15.75" customHeight="1">
      <c r="B575" s="3"/>
      <c r="C575" s="3"/>
      <c r="H575" s="3"/>
      <c r="AG575" s="91"/>
    </row>
    <row r="576" ht="15.75" customHeight="1">
      <c r="B576" s="3"/>
      <c r="C576" s="3"/>
      <c r="H576" s="3"/>
      <c r="AG576" s="91"/>
    </row>
    <row r="577" ht="15.75" customHeight="1">
      <c r="B577" s="3"/>
      <c r="C577" s="3"/>
      <c r="H577" s="3"/>
      <c r="AG577" s="91"/>
    </row>
    <row r="578" ht="15.75" customHeight="1">
      <c r="B578" s="3"/>
      <c r="C578" s="3"/>
      <c r="H578" s="3"/>
      <c r="AG578" s="91"/>
    </row>
    <row r="579" ht="15.75" customHeight="1">
      <c r="B579" s="3"/>
      <c r="C579" s="3"/>
      <c r="H579" s="3"/>
      <c r="AG579" s="91"/>
    </row>
    <row r="580" ht="15.75" customHeight="1">
      <c r="B580" s="3"/>
      <c r="C580" s="3"/>
      <c r="H580" s="3"/>
      <c r="AG580" s="91"/>
    </row>
    <row r="581" ht="15.75" customHeight="1">
      <c r="B581" s="3"/>
      <c r="C581" s="3"/>
      <c r="H581" s="3"/>
      <c r="AG581" s="91"/>
    </row>
    <row r="582" ht="15.75" customHeight="1">
      <c r="B582" s="3"/>
      <c r="C582" s="3"/>
      <c r="H582" s="3"/>
      <c r="AG582" s="91"/>
    </row>
    <row r="583" ht="15.75" customHeight="1">
      <c r="B583" s="3"/>
      <c r="C583" s="3"/>
      <c r="H583" s="3"/>
      <c r="AG583" s="91"/>
    </row>
    <row r="584" ht="15.75" customHeight="1">
      <c r="B584" s="3"/>
      <c r="C584" s="3"/>
      <c r="H584" s="3"/>
      <c r="AG584" s="91"/>
    </row>
    <row r="585" ht="15.75" customHeight="1">
      <c r="B585" s="3"/>
      <c r="C585" s="3"/>
      <c r="H585" s="3"/>
      <c r="AG585" s="91"/>
    </row>
    <row r="586" ht="15.75" customHeight="1">
      <c r="B586" s="3"/>
      <c r="C586" s="3"/>
      <c r="H586" s="3"/>
      <c r="AG586" s="91"/>
    </row>
    <row r="587" ht="15.75" customHeight="1">
      <c r="B587" s="3"/>
      <c r="C587" s="3"/>
      <c r="H587" s="3"/>
      <c r="AG587" s="91"/>
    </row>
    <row r="588" ht="15.75" customHeight="1">
      <c r="B588" s="3"/>
      <c r="C588" s="3"/>
      <c r="H588" s="3"/>
      <c r="AG588" s="91"/>
    </row>
    <row r="589" ht="15.75" customHeight="1">
      <c r="B589" s="3"/>
      <c r="C589" s="3"/>
      <c r="H589" s="3"/>
      <c r="AG589" s="91"/>
    </row>
    <row r="590" ht="15.75" customHeight="1">
      <c r="B590" s="3"/>
      <c r="C590" s="3"/>
      <c r="H590" s="3"/>
      <c r="AG590" s="91"/>
    </row>
    <row r="591" ht="15.75" customHeight="1">
      <c r="B591" s="3"/>
      <c r="C591" s="3"/>
      <c r="H591" s="3"/>
      <c r="AG591" s="91"/>
    </row>
    <row r="592" ht="15.75" customHeight="1">
      <c r="B592" s="3"/>
      <c r="C592" s="3"/>
      <c r="H592" s="3"/>
      <c r="AG592" s="91"/>
    </row>
    <row r="593" ht="15.75" customHeight="1">
      <c r="B593" s="3"/>
      <c r="C593" s="3"/>
      <c r="H593" s="3"/>
      <c r="AG593" s="91"/>
    </row>
    <row r="594" ht="15.75" customHeight="1">
      <c r="B594" s="3"/>
      <c r="C594" s="3"/>
      <c r="H594" s="3"/>
      <c r="AG594" s="91"/>
    </row>
    <row r="595" ht="15.75" customHeight="1">
      <c r="B595" s="3"/>
      <c r="C595" s="3"/>
      <c r="H595" s="3"/>
      <c r="AG595" s="91"/>
    </row>
    <row r="596" ht="15.75" customHeight="1">
      <c r="B596" s="3"/>
      <c r="C596" s="3"/>
      <c r="H596" s="3"/>
      <c r="AG596" s="91"/>
    </row>
    <row r="597" ht="15.75" customHeight="1">
      <c r="B597" s="3"/>
      <c r="C597" s="3"/>
      <c r="H597" s="3"/>
      <c r="AG597" s="91"/>
    </row>
    <row r="598" ht="15.75" customHeight="1">
      <c r="B598" s="3"/>
      <c r="C598" s="3"/>
      <c r="H598" s="3"/>
      <c r="AG598" s="91"/>
    </row>
    <row r="599" ht="15.75" customHeight="1">
      <c r="B599" s="3"/>
      <c r="C599" s="3"/>
      <c r="H599" s="3"/>
      <c r="AG599" s="91"/>
    </row>
    <row r="600" ht="15.75" customHeight="1">
      <c r="B600" s="3"/>
      <c r="C600" s="3"/>
      <c r="H600" s="3"/>
      <c r="AG600" s="91"/>
    </row>
    <row r="601" ht="15.75" customHeight="1">
      <c r="B601" s="3"/>
      <c r="C601" s="3"/>
      <c r="H601" s="3"/>
      <c r="AG601" s="91"/>
    </row>
    <row r="602" ht="15.75" customHeight="1">
      <c r="B602" s="3"/>
      <c r="C602" s="3"/>
      <c r="H602" s="3"/>
      <c r="AG602" s="91"/>
    </row>
    <row r="603" ht="15.75" customHeight="1">
      <c r="B603" s="3"/>
      <c r="C603" s="3"/>
      <c r="H603" s="3"/>
      <c r="AG603" s="91"/>
    </row>
    <row r="604" ht="15.75" customHeight="1">
      <c r="B604" s="3"/>
      <c r="C604" s="3"/>
      <c r="H604" s="3"/>
      <c r="AG604" s="91"/>
    </row>
    <row r="605" ht="15.75" customHeight="1">
      <c r="B605" s="3"/>
      <c r="C605" s="3"/>
      <c r="H605" s="3"/>
      <c r="AG605" s="91"/>
    </row>
    <row r="606" ht="15.75" customHeight="1">
      <c r="B606" s="3"/>
      <c r="C606" s="3"/>
      <c r="H606" s="3"/>
      <c r="AG606" s="91"/>
    </row>
    <row r="607" ht="15.75" customHeight="1">
      <c r="B607" s="3"/>
      <c r="C607" s="3"/>
      <c r="H607" s="3"/>
      <c r="AG607" s="91"/>
    </row>
    <row r="608" ht="15.75" customHeight="1">
      <c r="B608" s="3"/>
      <c r="C608" s="3"/>
      <c r="H608" s="3"/>
      <c r="AG608" s="91"/>
    </row>
    <row r="609" ht="15.75" customHeight="1">
      <c r="B609" s="3"/>
      <c r="C609" s="3"/>
      <c r="H609" s="3"/>
      <c r="AG609" s="91"/>
    </row>
    <row r="610" ht="15.75" customHeight="1">
      <c r="B610" s="3"/>
      <c r="C610" s="3"/>
      <c r="H610" s="3"/>
      <c r="AG610" s="91"/>
    </row>
    <row r="611" ht="15.75" customHeight="1">
      <c r="B611" s="3"/>
      <c r="C611" s="3"/>
      <c r="H611" s="3"/>
      <c r="AG611" s="91"/>
    </row>
    <row r="612" ht="15.75" customHeight="1">
      <c r="B612" s="3"/>
      <c r="C612" s="3"/>
      <c r="H612" s="3"/>
      <c r="AG612" s="91"/>
    </row>
    <row r="613" ht="15.75" customHeight="1">
      <c r="B613" s="3"/>
      <c r="C613" s="3"/>
      <c r="H613" s="3"/>
      <c r="AG613" s="91"/>
    </row>
    <row r="614" ht="15.75" customHeight="1">
      <c r="B614" s="3"/>
      <c r="C614" s="3"/>
      <c r="H614" s="3"/>
      <c r="AG614" s="91"/>
    </row>
    <row r="615" ht="15.75" customHeight="1">
      <c r="B615" s="3"/>
      <c r="C615" s="3"/>
      <c r="H615" s="3"/>
      <c r="AG615" s="91"/>
    </row>
    <row r="616" ht="15.75" customHeight="1">
      <c r="B616" s="3"/>
      <c r="C616" s="3"/>
      <c r="H616" s="3"/>
      <c r="AG616" s="91"/>
    </row>
    <row r="617" ht="15.75" customHeight="1">
      <c r="B617" s="3"/>
      <c r="C617" s="3"/>
      <c r="H617" s="3"/>
      <c r="AG617" s="91"/>
    </row>
    <row r="618" ht="15.75" customHeight="1">
      <c r="B618" s="3"/>
      <c r="C618" s="3"/>
      <c r="H618" s="3"/>
      <c r="AG618" s="91"/>
    </row>
    <row r="619" ht="15.75" customHeight="1">
      <c r="B619" s="3"/>
      <c r="C619" s="3"/>
      <c r="H619" s="3"/>
      <c r="AG619" s="91"/>
    </row>
    <row r="620" ht="15.75" customHeight="1">
      <c r="B620" s="3"/>
      <c r="C620" s="3"/>
      <c r="H620" s="3"/>
      <c r="AG620" s="91"/>
    </row>
    <row r="621" ht="15.75" customHeight="1">
      <c r="B621" s="3"/>
      <c r="C621" s="3"/>
      <c r="H621" s="3"/>
      <c r="AG621" s="91"/>
    </row>
    <row r="622" ht="15.75" customHeight="1">
      <c r="B622" s="3"/>
      <c r="C622" s="3"/>
      <c r="H622" s="3"/>
      <c r="AG622" s="91"/>
    </row>
    <row r="623" ht="15.75" customHeight="1">
      <c r="B623" s="3"/>
      <c r="C623" s="3"/>
      <c r="H623" s="3"/>
      <c r="AG623" s="91"/>
    </row>
    <row r="624" ht="15.75" customHeight="1">
      <c r="B624" s="3"/>
      <c r="C624" s="3"/>
      <c r="H624" s="3"/>
      <c r="AG624" s="91"/>
    </row>
    <row r="625" ht="15.75" customHeight="1">
      <c r="B625" s="3"/>
      <c r="C625" s="3"/>
      <c r="H625" s="3"/>
      <c r="AG625" s="91"/>
    </row>
    <row r="626" ht="15.75" customHeight="1">
      <c r="B626" s="3"/>
      <c r="C626" s="3"/>
      <c r="H626" s="3"/>
      <c r="AG626" s="91"/>
    </row>
    <row r="627" ht="15.75" customHeight="1">
      <c r="B627" s="3"/>
      <c r="C627" s="3"/>
      <c r="H627" s="3"/>
      <c r="AG627" s="91"/>
    </row>
    <row r="628" ht="15.75" customHeight="1">
      <c r="B628" s="3"/>
      <c r="C628" s="3"/>
      <c r="H628" s="3"/>
      <c r="AG628" s="91"/>
    </row>
    <row r="629" ht="15.75" customHeight="1">
      <c r="B629" s="3"/>
      <c r="C629" s="3"/>
      <c r="H629" s="3"/>
      <c r="AG629" s="91"/>
    </row>
    <row r="630" ht="15.75" customHeight="1">
      <c r="B630" s="3"/>
      <c r="C630" s="3"/>
      <c r="H630" s="3"/>
      <c r="AG630" s="91"/>
    </row>
    <row r="631" ht="15.75" customHeight="1">
      <c r="B631" s="3"/>
      <c r="C631" s="3"/>
      <c r="H631" s="3"/>
      <c r="AG631" s="91"/>
    </row>
    <row r="632" ht="15.75" customHeight="1">
      <c r="B632" s="3"/>
      <c r="C632" s="3"/>
      <c r="H632" s="3"/>
      <c r="AG632" s="91"/>
    </row>
    <row r="633" ht="15.75" customHeight="1">
      <c r="B633" s="3"/>
      <c r="C633" s="3"/>
      <c r="H633" s="3"/>
      <c r="AG633" s="91"/>
    </row>
    <row r="634" ht="15.75" customHeight="1">
      <c r="B634" s="3"/>
      <c r="C634" s="3"/>
      <c r="H634" s="3"/>
      <c r="AG634" s="91"/>
    </row>
    <row r="635" ht="15.75" customHeight="1">
      <c r="B635" s="3"/>
      <c r="C635" s="3"/>
      <c r="H635" s="3"/>
      <c r="AG635" s="91"/>
    </row>
    <row r="636" ht="15.75" customHeight="1">
      <c r="B636" s="3"/>
      <c r="C636" s="3"/>
      <c r="H636" s="3"/>
      <c r="AG636" s="91"/>
    </row>
    <row r="637" ht="15.75" customHeight="1">
      <c r="B637" s="3"/>
      <c r="C637" s="3"/>
      <c r="H637" s="3"/>
      <c r="AG637" s="91"/>
    </row>
    <row r="638" ht="15.75" customHeight="1">
      <c r="B638" s="3"/>
      <c r="C638" s="3"/>
      <c r="H638" s="3"/>
      <c r="AG638" s="91"/>
    </row>
    <row r="639" ht="15.75" customHeight="1">
      <c r="B639" s="3"/>
      <c r="C639" s="3"/>
      <c r="H639" s="3"/>
      <c r="AG639" s="91"/>
    </row>
    <row r="640" ht="15.75" customHeight="1">
      <c r="B640" s="3"/>
      <c r="C640" s="3"/>
      <c r="H640" s="3"/>
      <c r="AG640" s="91"/>
    </row>
    <row r="641" ht="15.75" customHeight="1">
      <c r="B641" s="3"/>
      <c r="C641" s="3"/>
      <c r="H641" s="3"/>
      <c r="AG641" s="91"/>
    </row>
    <row r="642" ht="15.75" customHeight="1">
      <c r="B642" s="3"/>
      <c r="C642" s="3"/>
      <c r="H642" s="3"/>
      <c r="AG642" s="91"/>
    </row>
    <row r="643" ht="15.75" customHeight="1">
      <c r="B643" s="3"/>
      <c r="C643" s="3"/>
      <c r="H643" s="3"/>
      <c r="AG643" s="91"/>
    </row>
    <row r="644" ht="15.75" customHeight="1">
      <c r="B644" s="3"/>
      <c r="C644" s="3"/>
      <c r="H644" s="3"/>
      <c r="AG644" s="91"/>
    </row>
    <row r="645" ht="15.75" customHeight="1">
      <c r="B645" s="3"/>
      <c r="C645" s="3"/>
      <c r="H645" s="3"/>
      <c r="AG645" s="91"/>
    </row>
    <row r="646" ht="15.75" customHeight="1">
      <c r="B646" s="3"/>
      <c r="C646" s="3"/>
      <c r="H646" s="3"/>
      <c r="AG646" s="91"/>
    </row>
    <row r="647" ht="15.75" customHeight="1">
      <c r="B647" s="3"/>
      <c r="C647" s="3"/>
      <c r="H647" s="3"/>
      <c r="AG647" s="91"/>
    </row>
    <row r="648" ht="15.75" customHeight="1">
      <c r="B648" s="3"/>
      <c r="C648" s="3"/>
      <c r="H648" s="3"/>
      <c r="AG648" s="91"/>
    </row>
    <row r="649" ht="15.75" customHeight="1">
      <c r="B649" s="3"/>
      <c r="C649" s="3"/>
      <c r="H649" s="3"/>
      <c r="AG649" s="91"/>
    </row>
    <row r="650" ht="15.75" customHeight="1">
      <c r="B650" s="3"/>
      <c r="C650" s="3"/>
      <c r="H650" s="3"/>
      <c r="AG650" s="91"/>
    </row>
    <row r="651" ht="15.75" customHeight="1">
      <c r="B651" s="3"/>
      <c r="C651" s="3"/>
      <c r="H651" s="3"/>
      <c r="AG651" s="91"/>
    </row>
    <row r="652" ht="15.75" customHeight="1">
      <c r="B652" s="3"/>
      <c r="C652" s="3"/>
      <c r="H652" s="3"/>
      <c r="AG652" s="91"/>
    </row>
    <row r="653" ht="15.75" customHeight="1">
      <c r="B653" s="3"/>
      <c r="C653" s="3"/>
      <c r="H653" s="3"/>
      <c r="AG653" s="91"/>
    </row>
    <row r="654" ht="15.75" customHeight="1">
      <c r="B654" s="3"/>
      <c r="C654" s="3"/>
      <c r="H654" s="3"/>
      <c r="AG654" s="91"/>
    </row>
    <row r="655" ht="15.75" customHeight="1">
      <c r="B655" s="3"/>
      <c r="C655" s="3"/>
      <c r="H655" s="3"/>
      <c r="AG655" s="91"/>
    </row>
    <row r="656" ht="15.75" customHeight="1">
      <c r="B656" s="3"/>
      <c r="C656" s="3"/>
      <c r="H656" s="3"/>
      <c r="AG656" s="91"/>
    </row>
    <row r="657" ht="15.75" customHeight="1">
      <c r="B657" s="3"/>
      <c r="C657" s="3"/>
      <c r="H657" s="3"/>
      <c r="AG657" s="91"/>
    </row>
    <row r="658" ht="15.75" customHeight="1">
      <c r="B658" s="3"/>
      <c r="C658" s="3"/>
      <c r="H658" s="3"/>
      <c r="AG658" s="91"/>
    </row>
    <row r="659" ht="15.75" customHeight="1">
      <c r="B659" s="3"/>
      <c r="C659" s="3"/>
      <c r="H659" s="3"/>
      <c r="AG659" s="91"/>
    </row>
    <row r="660" ht="15.75" customHeight="1">
      <c r="B660" s="3"/>
      <c r="C660" s="3"/>
      <c r="H660" s="3"/>
      <c r="AG660" s="91"/>
    </row>
    <row r="661" ht="15.75" customHeight="1">
      <c r="B661" s="3"/>
      <c r="C661" s="3"/>
      <c r="H661" s="3"/>
      <c r="AG661" s="91"/>
    </row>
    <row r="662" ht="15.75" customHeight="1">
      <c r="B662" s="3"/>
      <c r="C662" s="3"/>
      <c r="H662" s="3"/>
      <c r="AG662" s="91"/>
    </row>
    <row r="663" ht="15.75" customHeight="1">
      <c r="B663" s="3"/>
      <c r="C663" s="3"/>
      <c r="H663" s="3"/>
      <c r="AG663" s="91"/>
    </row>
    <row r="664" ht="15.75" customHeight="1">
      <c r="B664" s="3"/>
      <c r="C664" s="3"/>
      <c r="H664" s="3"/>
      <c r="AG664" s="91"/>
    </row>
    <row r="665" ht="15.75" customHeight="1">
      <c r="B665" s="3"/>
      <c r="C665" s="3"/>
      <c r="H665" s="3"/>
      <c r="AG665" s="91"/>
    </row>
    <row r="666" ht="15.75" customHeight="1">
      <c r="B666" s="3"/>
      <c r="C666" s="3"/>
      <c r="H666" s="3"/>
      <c r="AG666" s="91"/>
    </row>
    <row r="667" ht="15.75" customHeight="1">
      <c r="B667" s="3"/>
      <c r="C667" s="3"/>
      <c r="H667" s="3"/>
      <c r="AG667" s="91"/>
    </row>
    <row r="668" ht="15.75" customHeight="1">
      <c r="B668" s="3"/>
      <c r="C668" s="3"/>
      <c r="H668" s="3"/>
      <c r="AG668" s="91"/>
    </row>
    <row r="669" ht="15.75" customHeight="1">
      <c r="B669" s="3"/>
      <c r="C669" s="3"/>
      <c r="H669" s="3"/>
      <c r="AG669" s="91"/>
    </row>
    <row r="670" ht="15.75" customHeight="1">
      <c r="B670" s="3"/>
      <c r="C670" s="3"/>
      <c r="H670" s="3"/>
      <c r="AG670" s="91"/>
    </row>
    <row r="671" ht="15.75" customHeight="1">
      <c r="B671" s="3"/>
      <c r="C671" s="3"/>
      <c r="H671" s="3"/>
      <c r="AG671" s="91"/>
    </row>
    <row r="672" ht="15.75" customHeight="1">
      <c r="B672" s="3"/>
      <c r="C672" s="3"/>
      <c r="H672" s="3"/>
      <c r="AG672" s="91"/>
    </row>
    <row r="673" ht="15.75" customHeight="1">
      <c r="B673" s="3"/>
      <c r="C673" s="3"/>
      <c r="H673" s="3"/>
      <c r="AG673" s="91"/>
    </row>
    <row r="674" ht="15.75" customHeight="1">
      <c r="B674" s="3"/>
      <c r="C674" s="3"/>
      <c r="H674" s="3"/>
      <c r="AG674" s="91"/>
    </row>
    <row r="675" ht="15.75" customHeight="1">
      <c r="B675" s="3"/>
      <c r="C675" s="3"/>
      <c r="H675" s="3"/>
      <c r="AG675" s="91"/>
    </row>
    <row r="676" ht="15.75" customHeight="1">
      <c r="B676" s="3"/>
      <c r="C676" s="3"/>
      <c r="H676" s="3"/>
      <c r="AG676" s="91"/>
    </row>
    <row r="677" ht="15.75" customHeight="1">
      <c r="B677" s="3"/>
      <c r="C677" s="3"/>
      <c r="H677" s="3"/>
      <c r="AG677" s="91"/>
    </row>
    <row r="678" ht="15.75" customHeight="1">
      <c r="B678" s="3"/>
      <c r="C678" s="3"/>
      <c r="H678" s="3"/>
      <c r="AG678" s="91"/>
    </row>
    <row r="679" ht="15.75" customHeight="1">
      <c r="B679" s="3"/>
      <c r="C679" s="3"/>
      <c r="H679" s="3"/>
      <c r="AG679" s="91"/>
    </row>
    <row r="680" ht="15.75" customHeight="1">
      <c r="B680" s="3"/>
      <c r="C680" s="3"/>
      <c r="H680" s="3"/>
      <c r="AG680" s="91"/>
    </row>
    <row r="681" ht="15.75" customHeight="1">
      <c r="B681" s="3"/>
      <c r="C681" s="3"/>
      <c r="H681" s="3"/>
      <c r="AG681" s="91"/>
    </row>
    <row r="682" ht="15.75" customHeight="1">
      <c r="B682" s="3"/>
      <c r="C682" s="3"/>
      <c r="H682" s="3"/>
      <c r="AG682" s="91"/>
    </row>
    <row r="683" ht="15.75" customHeight="1">
      <c r="B683" s="3"/>
      <c r="C683" s="3"/>
      <c r="H683" s="3"/>
      <c r="AG683" s="91"/>
    </row>
    <row r="684" ht="15.75" customHeight="1">
      <c r="B684" s="3"/>
      <c r="C684" s="3"/>
      <c r="H684" s="3"/>
      <c r="AG684" s="91"/>
    </row>
    <row r="685" ht="15.75" customHeight="1">
      <c r="B685" s="3"/>
      <c r="C685" s="3"/>
      <c r="H685" s="3"/>
      <c r="AG685" s="91"/>
    </row>
    <row r="686" ht="15.75" customHeight="1">
      <c r="B686" s="3"/>
      <c r="C686" s="3"/>
      <c r="H686" s="3"/>
      <c r="AG686" s="91"/>
    </row>
    <row r="687" ht="15.75" customHeight="1">
      <c r="B687" s="3"/>
      <c r="C687" s="3"/>
      <c r="H687" s="3"/>
      <c r="AG687" s="91"/>
    </row>
    <row r="688" ht="15.75" customHeight="1">
      <c r="B688" s="3"/>
      <c r="C688" s="3"/>
      <c r="H688" s="3"/>
      <c r="AG688" s="91"/>
    </row>
    <row r="689" ht="15.75" customHeight="1">
      <c r="B689" s="3"/>
      <c r="C689" s="3"/>
      <c r="H689" s="3"/>
      <c r="AG689" s="91"/>
    </row>
    <row r="690" ht="15.75" customHeight="1">
      <c r="B690" s="3"/>
      <c r="C690" s="3"/>
      <c r="H690" s="3"/>
      <c r="AG690" s="91"/>
    </row>
    <row r="691" ht="15.75" customHeight="1">
      <c r="B691" s="3"/>
      <c r="C691" s="3"/>
      <c r="H691" s="3"/>
      <c r="AG691" s="91"/>
    </row>
    <row r="692" ht="15.75" customHeight="1">
      <c r="B692" s="3"/>
      <c r="C692" s="3"/>
      <c r="H692" s="3"/>
      <c r="AG692" s="91"/>
    </row>
    <row r="693" ht="15.75" customHeight="1">
      <c r="B693" s="3"/>
      <c r="C693" s="3"/>
      <c r="H693" s="3"/>
      <c r="AG693" s="91"/>
    </row>
    <row r="694" ht="15.75" customHeight="1">
      <c r="B694" s="3"/>
      <c r="C694" s="3"/>
      <c r="H694" s="3"/>
      <c r="AG694" s="91"/>
    </row>
    <row r="695" ht="15.75" customHeight="1">
      <c r="B695" s="3"/>
      <c r="C695" s="3"/>
      <c r="H695" s="3"/>
      <c r="AG695" s="91"/>
    </row>
    <row r="696" ht="15.75" customHeight="1">
      <c r="B696" s="3"/>
      <c r="C696" s="3"/>
      <c r="H696" s="3"/>
      <c r="AG696" s="91"/>
    </row>
    <row r="697" ht="15.75" customHeight="1">
      <c r="B697" s="3"/>
      <c r="C697" s="3"/>
      <c r="H697" s="3"/>
      <c r="AG697" s="91"/>
    </row>
    <row r="698" ht="15.75" customHeight="1">
      <c r="B698" s="3"/>
      <c r="C698" s="3"/>
      <c r="H698" s="3"/>
      <c r="AG698" s="91"/>
    </row>
    <row r="699" ht="15.75" customHeight="1">
      <c r="B699" s="3"/>
      <c r="C699" s="3"/>
      <c r="H699" s="3"/>
      <c r="AG699" s="91"/>
    </row>
    <row r="700" ht="15.75" customHeight="1">
      <c r="B700" s="3"/>
      <c r="C700" s="3"/>
      <c r="H700" s="3"/>
      <c r="AG700" s="91"/>
    </row>
    <row r="701" ht="15.75" customHeight="1">
      <c r="B701" s="3"/>
      <c r="C701" s="3"/>
      <c r="H701" s="3"/>
      <c r="AG701" s="91"/>
    </row>
    <row r="702" ht="15.75" customHeight="1">
      <c r="B702" s="3"/>
      <c r="C702" s="3"/>
      <c r="H702" s="3"/>
      <c r="AG702" s="91"/>
    </row>
    <row r="703" ht="15.75" customHeight="1">
      <c r="B703" s="3"/>
      <c r="C703" s="3"/>
      <c r="H703" s="3"/>
      <c r="AG703" s="91"/>
    </row>
    <row r="704" ht="15.75" customHeight="1">
      <c r="B704" s="3"/>
      <c r="C704" s="3"/>
      <c r="H704" s="3"/>
      <c r="AG704" s="91"/>
    </row>
    <row r="705" ht="15.75" customHeight="1">
      <c r="B705" s="3"/>
      <c r="C705" s="3"/>
      <c r="H705" s="3"/>
      <c r="AG705" s="91"/>
    </row>
    <row r="706" ht="15.75" customHeight="1">
      <c r="B706" s="3"/>
      <c r="C706" s="3"/>
      <c r="H706" s="3"/>
      <c r="AG706" s="91"/>
    </row>
    <row r="707" ht="15.75" customHeight="1">
      <c r="B707" s="3"/>
      <c r="C707" s="3"/>
      <c r="H707" s="3"/>
      <c r="AG707" s="91"/>
    </row>
    <row r="708" ht="15.75" customHeight="1">
      <c r="B708" s="3"/>
      <c r="C708" s="3"/>
      <c r="H708" s="3"/>
      <c r="AG708" s="91"/>
    </row>
    <row r="709" ht="15.75" customHeight="1">
      <c r="B709" s="3"/>
      <c r="C709" s="3"/>
      <c r="H709" s="3"/>
      <c r="AG709" s="91"/>
    </row>
    <row r="710" ht="15.75" customHeight="1">
      <c r="B710" s="3"/>
      <c r="C710" s="3"/>
      <c r="H710" s="3"/>
      <c r="AG710" s="91"/>
    </row>
    <row r="711" ht="15.75" customHeight="1">
      <c r="B711" s="3"/>
      <c r="C711" s="3"/>
      <c r="H711" s="3"/>
      <c r="AG711" s="91"/>
    </row>
    <row r="712" ht="15.75" customHeight="1">
      <c r="B712" s="3"/>
      <c r="C712" s="3"/>
      <c r="H712" s="3"/>
      <c r="AG712" s="91"/>
    </row>
    <row r="713" ht="15.75" customHeight="1">
      <c r="B713" s="3"/>
      <c r="C713" s="3"/>
      <c r="H713" s="3"/>
      <c r="AG713" s="91"/>
    </row>
    <row r="714" ht="15.75" customHeight="1">
      <c r="B714" s="3"/>
      <c r="C714" s="3"/>
      <c r="H714" s="3"/>
      <c r="AG714" s="91"/>
    </row>
    <row r="715" ht="15.75" customHeight="1">
      <c r="B715" s="3"/>
      <c r="C715" s="3"/>
      <c r="H715" s="3"/>
      <c r="AG715" s="91"/>
    </row>
    <row r="716" ht="15.75" customHeight="1">
      <c r="B716" s="3"/>
      <c r="C716" s="3"/>
      <c r="H716" s="3"/>
      <c r="AG716" s="91"/>
    </row>
    <row r="717" ht="15.75" customHeight="1">
      <c r="B717" s="3"/>
      <c r="C717" s="3"/>
      <c r="H717" s="3"/>
      <c r="AG717" s="91"/>
    </row>
    <row r="718" ht="15.75" customHeight="1">
      <c r="B718" s="3"/>
      <c r="C718" s="3"/>
      <c r="H718" s="3"/>
      <c r="AG718" s="91"/>
    </row>
    <row r="719" ht="15.75" customHeight="1">
      <c r="B719" s="3"/>
      <c r="C719" s="3"/>
      <c r="H719" s="3"/>
      <c r="AG719" s="91"/>
    </row>
    <row r="720" ht="15.75" customHeight="1">
      <c r="B720" s="3"/>
      <c r="C720" s="3"/>
      <c r="H720" s="3"/>
      <c r="AG720" s="91"/>
    </row>
    <row r="721" ht="15.75" customHeight="1">
      <c r="B721" s="3"/>
      <c r="C721" s="3"/>
      <c r="H721" s="3"/>
      <c r="AG721" s="91"/>
    </row>
    <row r="722" ht="15.75" customHeight="1">
      <c r="B722" s="3"/>
      <c r="C722" s="3"/>
      <c r="H722" s="3"/>
      <c r="AG722" s="91"/>
    </row>
    <row r="723" ht="15.75" customHeight="1">
      <c r="B723" s="3"/>
      <c r="C723" s="3"/>
      <c r="H723" s="3"/>
      <c r="AG723" s="91"/>
    </row>
    <row r="724" ht="15.75" customHeight="1">
      <c r="B724" s="3"/>
      <c r="C724" s="3"/>
      <c r="H724" s="3"/>
      <c r="AG724" s="91"/>
    </row>
    <row r="725" ht="15.75" customHeight="1">
      <c r="B725" s="3"/>
      <c r="C725" s="3"/>
      <c r="H725" s="3"/>
      <c r="AG725" s="91"/>
    </row>
    <row r="726" ht="15.75" customHeight="1">
      <c r="B726" s="3"/>
      <c r="C726" s="3"/>
      <c r="H726" s="3"/>
      <c r="AG726" s="91"/>
    </row>
    <row r="727" ht="15.75" customHeight="1">
      <c r="B727" s="3"/>
      <c r="C727" s="3"/>
      <c r="H727" s="3"/>
      <c r="AG727" s="91"/>
    </row>
    <row r="728" ht="15.75" customHeight="1">
      <c r="B728" s="3"/>
      <c r="C728" s="3"/>
      <c r="H728" s="3"/>
      <c r="AG728" s="91"/>
    </row>
    <row r="729" ht="15.75" customHeight="1">
      <c r="B729" s="3"/>
      <c r="C729" s="3"/>
      <c r="H729" s="3"/>
      <c r="AG729" s="91"/>
    </row>
    <row r="730" ht="15.75" customHeight="1">
      <c r="B730" s="3"/>
      <c r="C730" s="3"/>
      <c r="H730" s="3"/>
      <c r="AG730" s="91"/>
    </row>
    <row r="731" ht="15.75" customHeight="1">
      <c r="B731" s="3"/>
      <c r="C731" s="3"/>
      <c r="H731" s="3"/>
      <c r="AG731" s="91"/>
    </row>
    <row r="732" ht="15.75" customHeight="1">
      <c r="B732" s="3"/>
      <c r="C732" s="3"/>
      <c r="H732" s="3"/>
      <c r="AG732" s="91"/>
    </row>
    <row r="733" ht="15.75" customHeight="1">
      <c r="B733" s="3"/>
      <c r="C733" s="3"/>
      <c r="H733" s="3"/>
      <c r="AG733" s="91"/>
    </row>
    <row r="734" ht="15.75" customHeight="1">
      <c r="B734" s="3"/>
      <c r="C734" s="3"/>
      <c r="H734" s="3"/>
      <c r="AG734" s="91"/>
    </row>
    <row r="735" ht="15.75" customHeight="1">
      <c r="B735" s="3"/>
      <c r="C735" s="3"/>
      <c r="H735" s="3"/>
      <c r="AG735" s="91"/>
    </row>
    <row r="736" ht="15.75" customHeight="1">
      <c r="B736" s="3"/>
      <c r="C736" s="3"/>
      <c r="H736" s="3"/>
      <c r="AG736" s="91"/>
    </row>
    <row r="737" ht="15.75" customHeight="1">
      <c r="B737" s="3"/>
      <c r="C737" s="3"/>
      <c r="H737" s="3"/>
      <c r="AG737" s="91"/>
    </row>
    <row r="738" ht="15.75" customHeight="1">
      <c r="B738" s="3"/>
      <c r="C738" s="3"/>
      <c r="H738" s="3"/>
      <c r="AG738" s="91"/>
    </row>
    <row r="739" ht="15.75" customHeight="1">
      <c r="B739" s="3"/>
      <c r="C739" s="3"/>
      <c r="H739" s="3"/>
      <c r="AG739" s="91"/>
    </row>
    <row r="740" ht="15.75" customHeight="1">
      <c r="B740" s="3"/>
      <c r="C740" s="3"/>
      <c r="H740" s="3"/>
      <c r="AG740" s="91"/>
    </row>
    <row r="741" ht="15.75" customHeight="1">
      <c r="B741" s="3"/>
      <c r="C741" s="3"/>
      <c r="H741" s="3"/>
      <c r="AG741" s="91"/>
    </row>
    <row r="742" ht="15.75" customHeight="1">
      <c r="B742" s="3"/>
      <c r="C742" s="3"/>
      <c r="H742" s="3"/>
      <c r="AG742" s="91"/>
    </row>
    <row r="743" ht="15.75" customHeight="1">
      <c r="B743" s="3"/>
      <c r="C743" s="3"/>
      <c r="H743" s="3"/>
      <c r="AG743" s="91"/>
    </row>
    <row r="744" ht="15.75" customHeight="1">
      <c r="B744" s="3"/>
      <c r="C744" s="3"/>
      <c r="H744" s="3"/>
      <c r="AG744" s="91"/>
    </row>
    <row r="745" ht="15.75" customHeight="1">
      <c r="B745" s="3"/>
      <c r="C745" s="3"/>
      <c r="H745" s="3"/>
      <c r="AG745" s="91"/>
    </row>
    <row r="746" ht="15.75" customHeight="1">
      <c r="B746" s="3"/>
      <c r="C746" s="3"/>
      <c r="H746" s="3"/>
      <c r="AG746" s="91"/>
    </row>
    <row r="747" ht="15.75" customHeight="1">
      <c r="B747" s="3"/>
      <c r="C747" s="3"/>
      <c r="H747" s="3"/>
      <c r="AG747" s="91"/>
    </row>
    <row r="748" ht="15.75" customHeight="1">
      <c r="B748" s="3"/>
      <c r="C748" s="3"/>
      <c r="H748" s="3"/>
      <c r="AG748" s="91"/>
    </row>
    <row r="749" ht="15.75" customHeight="1">
      <c r="B749" s="3"/>
      <c r="C749" s="3"/>
      <c r="H749" s="3"/>
      <c r="AG749" s="91"/>
    </row>
    <row r="750" ht="15.75" customHeight="1">
      <c r="B750" s="3"/>
      <c r="C750" s="3"/>
      <c r="H750" s="3"/>
      <c r="AG750" s="91"/>
    </row>
    <row r="751" ht="15.75" customHeight="1">
      <c r="B751" s="3"/>
      <c r="C751" s="3"/>
      <c r="H751" s="3"/>
      <c r="AG751" s="91"/>
    </row>
    <row r="752" ht="15.75" customHeight="1">
      <c r="B752" s="3"/>
      <c r="C752" s="3"/>
      <c r="H752" s="3"/>
      <c r="AG752" s="91"/>
    </row>
    <row r="753" ht="15.75" customHeight="1">
      <c r="B753" s="3"/>
      <c r="C753" s="3"/>
      <c r="H753" s="3"/>
      <c r="AG753" s="91"/>
    </row>
    <row r="754" ht="15.75" customHeight="1">
      <c r="B754" s="3"/>
      <c r="C754" s="3"/>
      <c r="H754" s="3"/>
      <c r="AG754" s="91"/>
    </row>
    <row r="755" ht="15.75" customHeight="1">
      <c r="B755" s="3"/>
      <c r="C755" s="3"/>
      <c r="H755" s="3"/>
      <c r="AG755" s="91"/>
    </row>
    <row r="756" ht="15.75" customHeight="1">
      <c r="B756" s="3"/>
      <c r="C756" s="3"/>
      <c r="H756" s="3"/>
      <c r="AG756" s="91"/>
    </row>
    <row r="757" ht="15.75" customHeight="1">
      <c r="B757" s="3"/>
      <c r="C757" s="3"/>
      <c r="H757" s="3"/>
      <c r="AG757" s="91"/>
    </row>
    <row r="758" ht="15.75" customHeight="1">
      <c r="B758" s="3"/>
      <c r="C758" s="3"/>
      <c r="H758" s="3"/>
      <c r="AG758" s="91"/>
    </row>
    <row r="759" ht="15.75" customHeight="1">
      <c r="B759" s="3"/>
      <c r="C759" s="3"/>
      <c r="H759" s="3"/>
      <c r="AG759" s="91"/>
    </row>
    <row r="760" ht="15.75" customHeight="1">
      <c r="B760" s="3"/>
      <c r="C760" s="3"/>
      <c r="H760" s="3"/>
      <c r="AG760" s="91"/>
    </row>
    <row r="761" ht="15.75" customHeight="1">
      <c r="B761" s="3"/>
      <c r="C761" s="3"/>
      <c r="H761" s="3"/>
      <c r="AG761" s="91"/>
    </row>
    <row r="762" ht="15.75" customHeight="1">
      <c r="B762" s="3"/>
      <c r="C762" s="3"/>
      <c r="H762" s="3"/>
      <c r="AG762" s="91"/>
    </row>
    <row r="763" ht="15.75" customHeight="1">
      <c r="B763" s="3"/>
      <c r="C763" s="3"/>
      <c r="H763" s="3"/>
      <c r="AG763" s="91"/>
    </row>
    <row r="764" ht="15.75" customHeight="1">
      <c r="B764" s="3"/>
      <c r="C764" s="3"/>
      <c r="H764" s="3"/>
      <c r="AG764" s="91"/>
    </row>
    <row r="765" ht="15.75" customHeight="1">
      <c r="B765" s="3"/>
      <c r="C765" s="3"/>
      <c r="H765" s="3"/>
      <c r="AG765" s="91"/>
    </row>
    <row r="766" ht="15.75" customHeight="1">
      <c r="B766" s="3"/>
      <c r="C766" s="3"/>
      <c r="H766" s="3"/>
      <c r="AG766" s="91"/>
    </row>
    <row r="767" ht="15.75" customHeight="1">
      <c r="B767" s="3"/>
      <c r="C767" s="3"/>
      <c r="H767" s="3"/>
      <c r="AG767" s="91"/>
    </row>
    <row r="768" ht="15.75" customHeight="1">
      <c r="B768" s="3"/>
      <c r="C768" s="3"/>
      <c r="H768" s="3"/>
      <c r="AG768" s="91"/>
    </row>
    <row r="769" ht="15.75" customHeight="1">
      <c r="B769" s="3"/>
      <c r="C769" s="3"/>
      <c r="H769" s="3"/>
      <c r="AG769" s="91"/>
    </row>
    <row r="770" ht="15.75" customHeight="1">
      <c r="B770" s="3"/>
      <c r="C770" s="3"/>
      <c r="H770" s="3"/>
      <c r="AG770" s="91"/>
    </row>
    <row r="771" ht="15.75" customHeight="1">
      <c r="B771" s="3"/>
      <c r="C771" s="3"/>
      <c r="H771" s="3"/>
      <c r="AG771" s="91"/>
    </row>
    <row r="772" ht="15.75" customHeight="1">
      <c r="B772" s="3"/>
      <c r="C772" s="3"/>
      <c r="H772" s="3"/>
      <c r="AG772" s="91"/>
    </row>
    <row r="773" ht="15.75" customHeight="1">
      <c r="B773" s="3"/>
      <c r="C773" s="3"/>
      <c r="H773" s="3"/>
      <c r="AG773" s="91"/>
    </row>
    <row r="774" ht="15.75" customHeight="1">
      <c r="B774" s="3"/>
      <c r="C774" s="3"/>
      <c r="H774" s="3"/>
      <c r="AG774" s="91"/>
    </row>
    <row r="775" ht="15.75" customHeight="1">
      <c r="B775" s="3"/>
      <c r="C775" s="3"/>
      <c r="H775" s="3"/>
      <c r="AG775" s="91"/>
    </row>
    <row r="776" ht="15.75" customHeight="1">
      <c r="B776" s="3"/>
      <c r="C776" s="3"/>
      <c r="H776" s="3"/>
      <c r="AG776" s="91"/>
    </row>
    <row r="777" ht="15.75" customHeight="1">
      <c r="B777" s="3"/>
      <c r="C777" s="3"/>
      <c r="H777" s="3"/>
      <c r="AG777" s="91"/>
    </row>
    <row r="778" ht="15.75" customHeight="1">
      <c r="B778" s="3"/>
      <c r="C778" s="3"/>
      <c r="H778" s="3"/>
      <c r="AG778" s="91"/>
    </row>
    <row r="779" ht="15.75" customHeight="1">
      <c r="B779" s="3"/>
      <c r="C779" s="3"/>
      <c r="H779" s="3"/>
      <c r="AG779" s="91"/>
    </row>
    <row r="780" ht="15.75" customHeight="1">
      <c r="B780" s="3"/>
      <c r="C780" s="3"/>
      <c r="H780" s="3"/>
      <c r="AG780" s="91"/>
    </row>
    <row r="781" ht="15.75" customHeight="1">
      <c r="B781" s="3"/>
      <c r="C781" s="3"/>
      <c r="H781" s="3"/>
      <c r="AG781" s="91"/>
    </row>
    <row r="782" ht="15.75" customHeight="1">
      <c r="B782" s="3"/>
      <c r="C782" s="3"/>
      <c r="H782" s="3"/>
      <c r="AG782" s="91"/>
    </row>
    <row r="783" ht="15.75" customHeight="1">
      <c r="B783" s="3"/>
      <c r="C783" s="3"/>
      <c r="H783" s="3"/>
      <c r="AG783" s="91"/>
    </row>
    <row r="784" ht="15.75" customHeight="1">
      <c r="B784" s="3"/>
      <c r="C784" s="3"/>
      <c r="H784" s="3"/>
      <c r="AG784" s="91"/>
    </row>
    <row r="785" ht="15.75" customHeight="1">
      <c r="B785" s="3"/>
      <c r="C785" s="3"/>
      <c r="H785" s="3"/>
      <c r="AG785" s="91"/>
    </row>
    <row r="786" ht="15.75" customHeight="1">
      <c r="B786" s="3"/>
      <c r="C786" s="3"/>
      <c r="H786" s="3"/>
      <c r="AG786" s="91"/>
    </row>
    <row r="787" ht="15.75" customHeight="1">
      <c r="B787" s="3"/>
      <c r="C787" s="3"/>
      <c r="H787" s="3"/>
      <c r="AG787" s="91"/>
    </row>
    <row r="788" ht="15.75" customHeight="1">
      <c r="B788" s="3"/>
      <c r="C788" s="3"/>
      <c r="H788" s="3"/>
      <c r="AG788" s="91"/>
    </row>
    <row r="789" ht="15.75" customHeight="1">
      <c r="B789" s="3"/>
      <c r="C789" s="3"/>
      <c r="H789" s="3"/>
      <c r="AG789" s="91"/>
    </row>
    <row r="790" ht="15.75" customHeight="1">
      <c r="B790" s="3"/>
      <c r="C790" s="3"/>
      <c r="H790" s="3"/>
      <c r="AG790" s="91"/>
    </row>
    <row r="791" ht="15.75" customHeight="1">
      <c r="B791" s="3"/>
      <c r="C791" s="3"/>
      <c r="H791" s="3"/>
      <c r="AG791" s="91"/>
    </row>
    <row r="792" ht="15.75" customHeight="1">
      <c r="B792" s="3"/>
      <c r="C792" s="3"/>
      <c r="H792" s="3"/>
      <c r="AG792" s="91"/>
    </row>
    <row r="793" ht="15.75" customHeight="1">
      <c r="B793" s="3"/>
      <c r="C793" s="3"/>
      <c r="H793" s="3"/>
      <c r="AG793" s="91"/>
    </row>
    <row r="794" ht="15.75" customHeight="1">
      <c r="B794" s="3"/>
      <c r="C794" s="3"/>
      <c r="H794" s="3"/>
      <c r="AG794" s="91"/>
    </row>
    <row r="795" ht="15.75" customHeight="1">
      <c r="B795" s="3"/>
      <c r="C795" s="3"/>
      <c r="H795" s="3"/>
      <c r="AG795" s="91"/>
    </row>
    <row r="796" ht="15.75" customHeight="1">
      <c r="B796" s="3"/>
      <c r="C796" s="3"/>
      <c r="H796" s="3"/>
      <c r="AG796" s="91"/>
    </row>
    <row r="797" ht="15.75" customHeight="1">
      <c r="B797" s="3"/>
      <c r="C797" s="3"/>
      <c r="H797" s="3"/>
      <c r="AG797" s="91"/>
    </row>
    <row r="798" ht="15.75" customHeight="1">
      <c r="B798" s="3"/>
      <c r="C798" s="3"/>
      <c r="H798" s="3"/>
      <c r="AG798" s="91"/>
    </row>
    <row r="799" ht="15.75" customHeight="1">
      <c r="B799" s="3"/>
      <c r="C799" s="3"/>
      <c r="H799" s="3"/>
      <c r="AG799" s="91"/>
    </row>
    <row r="800" ht="15.75" customHeight="1">
      <c r="B800" s="3"/>
      <c r="C800" s="3"/>
      <c r="H800" s="3"/>
      <c r="AG800" s="91"/>
    </row>
    <row r="801" ht="15.75" customHeight="1">
      <c r="B801" s="3"/>
      <c r="C801" s="3"/>
      <c r="H801" s="3"/>
      <c r="AG801" s="91"/>
    </row>
    <row r="802" ht="15.75" customHeight="1">
      <c r="B802" s="3"/>
      <c r="C802" s="3"/>
      <c r="H802" s="3"/>
      <c r="AG802" s="91"/>
    </row>
    <row r="803" ht="15.75" customHeight="1">
      <c r="B803" s="3"/>
      <c r="C803" s="3"/>
      <c r="H803" s="3"/>
      <c r="AG803" s="91"/>
    </row>
    <row r="804" ht="15.75" customHeight="1">
      <c r="B804" s="3"/>
      <c r="C804" s="3"/>
      <c r="H804" s="3"/>
      <c r="AG804" s="91"/>
    </row>
    <row r="805" ht="15.75" customHeight="1">
      <c r="B805" s="3"/>
      <c r="C805" s="3"/>
      <c r="H805" s="3"/>
      <c r="AG805" s="91"/>
    </row>
    <row r="806" ht="15.75" customHeight="1">
      <c r="B806" s="3"/>
      <c r="C806" s="3"/>
      <c r="H806" s="3"/>
      <c r="AG806" s="91"/>
    </row>
    <row r="807" ht="15.75" customHeight="1">
      <c r="B807" s="3"/>
      <c r="C807" s="3"/>
      <c r="H807" s="3"/>
      <c r="AG807" s="91"/>
    </row>
    <row r="808" ht="15.75" customHeight="1">
      <c r="B808" s="3"/>
      <c r="C808" s="3"/>
      <c r="H808" s="3"/>
      <c r="AG808" s="91"/>
    </row>
    <row r="809" ht="15.75" customHeight="1">
      <c r="B809" s="3"/>
      <c r="C809" s="3"/>
      <c r="H809" s="3"/>
      <c r="AG809" s="91"/>
    </row>
    <row r="810" ht="15.75" customHeight="1">
      <c r="B810" s="3"/>
      <c r="C810" s="3"/>
      <c r="H810" s="3"/>
      <c r="AG810" s="91"/>
    </row>
    <row r="811" ht="15.75" customHeight="1">
      <c r="B811" s="3"/>
      <c r="C811" s="3"/>
      <c r="H811" s="3"/>
      <c r="AG811" s="91"/>
    </row>
    <row r="812" ht="15.75" customHeight="1">
      <c r="B812" s="3"/>
      <c r="C812" s="3"/>
      <c r="H812" s="3"/>
      <c r="AG812" s="91"/>
    </row>
    <row r="813" ht="15.75" customHeight="1">
      <c r="B813" s="3"/>
      <c r="C813" s="3"/>
      <c r="H813" s="3"/>
      <c r="AG813" s="91"/>
    </row>
    <row r="814" ht="15.75" customHeight="1">
      <c r="B814" s="3"/>
      <c r="C814" s="3"/>
      <c r="H814" s="3"/>
      <c r="AG814" s="91"/>
    </row>
    <row r="815" ht="15.75" customHeight="1">
      <c r="B815" s="3"/>
      <c r="C815" s="3"/>
      <c r="H815" s="3"/>
      <c r="AG815" s="91"/>
    </row>
    <row r="816" ht="15.75" customHeight="1">
      <c r="B816" s="3"/>
      <c r="C816" s="3"/>
      <c r="H816" s="3"/>
      <c r="AG816" s="91"/>
    </row>
    <row r="817" ht="15.75" customHeight="1">
      <c r="B817" s="3"/>
      <c r="C817" s="3"/>
      <c r="H817" s="3"/>
      <c r="AG817" s="91"/>
    </row>
    <row r="818" ht="15.75" customHeight="1">
      <c r="B818" s="3"/>
      <c r="C818" s="3"/>
      <c r="H818" s="3"/>
      <c r="AG818" s="91"/>
    </row>
    <row r="819" ht="15.75" customHeight="1">
      <c r="B819" s="3"/>
      <c r="C819" s="3"/>
      <c r="H819" s="3"/>
      <c r="AG819" s="91"/>
    </row>
    <row r="820" ht="15.75" customHeight="1">
      <c r="B820" s="3"/>
      <c r="C820" s="3"/>
      <c r="H820" s="3"/>
      <c r="AG820" s="91"/>
    </row>
    <row r="821" ht="15.75" customHeight="1">
      <c r="B821" s="3"/>
      <c r="C821" s="3"/>
      <c r="H821" s="3"/>
      <c r="AG821" s="91"/>
    </row>
    <row r="822" ht="15.75" customHeight="1">
      <c r="B822" s="3"/>
      <c r="C822" s="3"/>
      <c r="H822" s="3"/>
      <c r="AG822" s="91"/>
    </row>
    <row r="823" ht="15.75" customHeight="1">
      <c r="B823" s="3"/>
      <c r="C823" s="3"/>
      <c r="H823" s="3"/>
      <c r="AG823" s="91"/>
    </row>
    <row r="824" ht="15.75" customHeight="1">
      <c r="B824" s="3"/>
      <c r="C824" s="3"/>
      <c r="H824" s="3"/>
      <c r="AG824" s="91"/>
    </row>
    <row r="825" ht="15.75" customHeight="1">
      <c r="B825" s="3"/>
      <c r="C825" s="3"/>
      <c r="H825" s="3"/>
      <c r="AG825" s="91"/>
    </row>
    <row r="826" ht="15.75" customHeight="1">
      <c r="B826" s="3"/>
      <c r="C826" s="3"/>
      <c r="H826" s="3"/>
      <c r="AG826" s="91"/>
    </row>
    <row r="827" ht="15.75" customHeight="1">
      <c r="B827" s="3"/>
      <c r="C827" s="3"/>
      <c r="H827" s="3"/>
      <c r="AG827" s="91"/>
    </row>
    <row r="828" ht="15.75" customHeight="1">
      <c r="B828" s="3"/>
      <c r="C828" s="3"/>
      <c r="H828" s="3"/>
      <c r="AG828" s="91"/>
    </row>
    <row r="829" ht="15.75" customHeight="1">
      <c r="B829" s="3"/>
      <c r="C829" s="3"/>
      <c r="H829" s="3"/>
      <c r="AG829" s="91"/>
    </row>
    <row r="830" ht="15.75" customHeight="1">
      <c r="B830" s="3"/>
      <c r="C830" s="3"/>
      <c r="H830" s="3"/>
      <c r="AG830" s="91"/>
    </row>
    <row r="831" ht="15.75" customHeight="1">
      <c r="B831" s="3"/>
      <c r="C831" s="3"/>
      <c r="H831" s="3"/>
      <c r="AG831" s="91"/>
    </row>
    <row r="832" ht="15.75" customHeight="1">
      <c r="B832" s="3"/>
      <c r="C832" s="3"/>
      <c r="H832" s="3"/>
      <c r="AG832" s="91"/>
    </row>
    <row r="833" ht="15.75" customHeight="1">
      <c r="B833" s="3"/>
      <c r="C833" s="3"/>
      <c r="H833" s="3"/>
      <c r="AG833" s="91"/>
    </row>
    <row r="834" ht="15.75" customHeight="1">
      <c r="B834" s="3"/>
      <c r="C834" s="3"/>
      <c r="H834" s="3"/>
      <c r="AG834" s="91"/>
    </row>
    <row r="835" ht="15.75" customHeight="1">
      <c r="B835" s="3"/>
      <c r="C835" s="3"/>
      <c r="H835" s="3"/>
      <c r="AG835" s="91"/>
    </row>
    <row r="836" ht="15.75" customHeight="1">
      <c r="B836" s="3"/>
      <c r="C836" s="3"/>
      <c r="H836" s="3"/>
      <c r="AG836" s="91"/>
    </row>
    <row r="837" ht="15.75" customHeight="1">
      <c r="B837" s="3"/>
      <c r="C837" s="3"/>
      <c r="H837" s="3"/>
      <c r="AG837" s="91"/>
    </row>
    <row r="838" ht="15.75" customHeight="1">
      <c r="B838" s="3"/>
      <c r="C838" s="3"/>
      <c r="H838" s="3"/>
      <c r="AG838" s="91"/>
    </row>
    <row r="839" ht="15.75" customHeight="1">
      <c r="B839" s="3"/>
      <c r="C839" s="3"/>
      <c r="H839" s="3"/>
      <c r="AG839" s="91"/>
    </row>
    <row r="840" ht="15.75" customHeight="1">
      <c r="B840" s="3"/>
      <c r="C840" s="3"/>
      <c r="H840" s="3"/>
      <c r="AG840" s="91"/>
    </row>
    <row r="841" ht="15.75" customHeight="1">
      <c r="B841" s="3"/>
      <c r="C841" s="3"/>
      <c r="H841" s="3"/>
      <c r="AG841" s="91"/>
    </row>
    <row r="842" ht="15.75" customHeight="1">
      <c r="B842" s="3"/>
      <c r="C842" s="3"/>
      <c r="H842" s="3"/>
      <c r="AG842" s="91"/>
    </row>
    <row r="843" ht="15.75" customHeight="1">
      <c r="B843" s="3"/>
      <c r="C843" s="3"/>
      <c r="H843" s="3"/>
      <c r="AG843" s="91"/>
    </row>
    <row r="844" ht="15.75" customHeight="1">
      <c r="B844" s="3"/>
      <c r="C844" s="3"/>
      <c r="H844" s="3"/>
      <c r="AG844" s="91"/>
    </row>
    <row r="845" ht="15.75" customHeight="1">
      <c r="B845" s="3"/>
      <c r="C845" s="3"/>
      <c r="H845" s="3"/>
      <c r="AG845" s="91"/>
    </row>
    <row r="846" ht="15.75" customHeight="1">
      <c r="B846" s="3"/>
      <c r="C846" s="3"/>
      <c r="H846" s="3"/>
      <c r="AG846" s="91"/>
    </row>
    <row r="847" ht="15.75" customHeight="1">
      <c r="B847" s="3"/>
      <c r="C847" s="3"/>
      <c r="H847" s="3"/>
      <c r="AG847" s="91"/>
    </row>
    <row r="848" ht="15.75" customHeight="1">
      <c r="B848" s="3"/>
      <c r="C848" s="3"/>
      <c r="H848" s="3"/>
      <c r="AG848" s="91"/>
    </row>
    <row r="849" ht="15.75" customHeight="1">
      <c r="B849" s="3"/>
      <c r="C849" s="3"/>
      <c r="H849" s="3"/>
      <c r="AG849" s="91"/>
    </row>
    <row r="850" ht="15.75" customHeight="1">
      <c r="B850" s="3"/>
      <c r="C850" s="3"/>
      <c r="H850" s="3"/>
      <c r="AG850" s="91"/>
    </row>
    <row r="851" ht="15.75" customHeight="1">
      <c r="B851" s="3"/>
      <c r="C851" s="3"/>
      <c r="H851" s="3"/>
      <c r="AG851" s="91"/>
    </row>
    <row r="852" ht="15.75" customHeight="1">
      <c r="B852" s="3"/>
      <c r="C852" s="3"/>
      <c r="H852" s="3"/>
      <c r="AG852" s="91"/>
    </row>
    <row r="853" ht="15.75" customHeight="1">
      <c r="B853" s="3"/>
      <c r="C853" s="3"/>
      <c r="H853" s="3"/>
      <c r="AG853" s="91"/>
    </row>
    <row r="854" ht="15.75" customHeight="1">
      <c r="B854" s="3"/>
      <c r="C854" s="3"/>
      <c r="H854" s="3"/>
      <c r="AG854" s="91"/>
    </row>
    <row r="855" ht="15.75" customHeight="1">
      <c r="B855" s="3"/>
      <c r="C855" s="3"/>
      <c r="H855" s="3"/>
      <c r="AG855" s="91"/>
    </row>
    <row r="856" ht="15.75" customHeight="1">
      <c r="B856" s="3"/>
      <c r="C856" s="3"/>
      <c r="H856" s="3"/>
      <c r="AG856" s="91"/>
    </row>
    <row r="857" ht="15.75" customHeight="1">
      <c r="B857" s="3"/>
      <c r="C857" s="3"/>
      <c r="H857" s="3"/>
      <c r="AG857" s="91"/>
    </row>
    <row r="858" ht="15.75" customHeight="1">
      <c r="B858" s="3"/>
      <c r="C858" s="3"/>
      <c r="H858" s="3"/>
      <c r="AG858" s="91"/>
    </row>
    <row r="859" ht="15.75" customHeight="1">
      <c r="B859" s="3"/>
      <c r="C859" s="3"/>
      <c r="H859" s="3"/>
      <c r="AG859" s="91"/>
    </row>
    <row r="860" ht="15.75" customHeight="1">
      <c r="B860" s="3"/>
      <c r="C860" s="3"/>
      <c r="H860" s="3"/>
      <c r="AG860" s="91"/>
    </row>
    <row r="861" ht="15.75" customHeight="1">
      <c r="B861" s="3"/>
      <c r="C861" s="3"/>
      <c r="H861" s="3"/>
      <c r="AG861" s="91"/>
    </row>
    <row r="862" ht="15.75" customHeight="1">
      <c r="B862" s="3"/>
      <c r="C862" s="3"/>
      <c r="H862" s="3"/>
      <c r="AG862" s="91"/>
    </row>
    <row r="863" ht="15.75" customHeight="1">
      <c r="B863" s="3"/>
      <c r="C863" s="3"/>
      <c r="H863" s="3"/>
      <c r="AG863" s="91"/>
    </row>
    <row r="864" ht="15.75" customHeight="1">
      <c r="B864" s="3"/>
      <c r="C864" s="3"/>
      <c r="H864" s="3"/>
      <c r="AG864" s="91"/>
    </row>
    <row r="865" ht="15.75" customHeight="1">
      <c r="B865" s="3"/>
      <c r="C865" s="3"/>
      <c r="H865" s="3"/>
      <c r="AG865" s="91"/>
    </row>
    <row r="866" ht="15.75" customHeight="1">
      <c r="B866" s="3"/>
      <c r="C866" s="3"/>
      <c r="H866" s="3"/>
      <c r="AG866" s="91"/>
    </row>
    <row r="867" ht="15.75" customHeight="1">
      <c r="B867" s="3"/>
      <c r="C867" s="3"/>
      <c r="H867" s="3"/>
      <c r="AG867" s="91"/>
    </row>
    <row r="868" ht="15.75" customHeight="1">
      <c r="B868" s="3"/>
      <c r="C868" s="3"/>
      <c r="H868" s="3"/>
      <c r="AG868" s="91"/>
    </row>
    <row r="869" ht="15.75" customHeight="1">
      <c r="B869" s="3"/>
      <c r="C869" s="3"/>
      <c r="H869" s="3"/>
      <c r="AG869" s="91"/>
    </row>
    <row r="870" ht="15.75" customHeight="1">
      <c r="B870" s="3"/>
      <c r="C870" s="3"/>
      <c r="H870" s="3"/>
      <c r="AG870" s="91"/>
    </row>
    <row r="871" ht="15.75" customHeight="1">
      <c r="B871" s="3"/>
      <c r="C871" s="3"/>
      <c r="H871" s="3"/>
      <c r="AG871" s="91"/>
    </row>
    <row r="872" ht="15.75" customHeight="1">
      <c r="B872" s="3"/>
      <c r="C872" s="3"/>
      <c r="H872" s="3"/>
      <c r="AG872" s="91"/>
    </row>
    <row r="873" ht="15.75" customHeight="1">
      <c r="B873" s="3"/>
      <c r="C873" s="3"/>
      <c r="H873" s="3"/>
      <c r="AG873" s="91"/>
    </row>
    <row r="874" ht="15.75" customHeight="1">
      <c r="B874" s="3"/>
      <c r="C874" s="3"/>
      <c r="H874" s="3"/>
      <c r="AG874" s="91"/>
    </row>
    <row r="875" ht="15.75" customHeight="1">
      <c r="B875" s="3"/>
      <c r="C875" s="3"/>
      <c r="H875" s="3"/>
      <c r="AG875" s="91"/>
    </row>
    <row r="876" ht="15.75" customHeight="1">
      <c r="B876" s="3"/>
      <c r="C876" s="3"/>
      <c r="H876" s="3"/>
      <c r="AG876" s="91"/>
    </row>
    <row r="877" ht="15.75" customHeight="1">
      <c r="B877" s="3"/>
      <c r="C877" s="3"/>
      <c r="H877" s="3"/>
      <c r="AG877" s="91"/>
    </row>
    <row r="878" ht="15.75" customHeight="1">
      <c r="B878" s="3"/>
      <c r="C878" s="3"/>
      <c r="H878" s="3"/>
      <c r="AG878" s="91"/>
    </row>
    <row r="879" ht="15.75" customHeight="1">
      <c r="B879" s="3"/>
      <c r="C879" s="3"/>
      <c r="H879" s="3"/>
      <c r="AG879" s="91"/>
    </row>
    <row r="880" ht="15.75" customHeight="1">
      <c r="B880" s="3"/>
      <c r="C880" s="3"/>
      <c r="H880" s="3"/>
      <c r="AG880" s="91"/>
    </row>
    <row r="881" ht="15.75" customHeight="1">
      <c r="B881" s="3"/>
      <c r="C881" s="3"/>
      <c r="H881" s="3"/>
      <c r="AG881" s="91"/>
    </row>
    <row r="882" ht="15.75" customHeight="1">
      <c r="B882" s="3"/>
      <c r="C882" s="3"/>
      <c r="H882" s="3"/>
      <c r="AG882" s="91"/>
    </row>
    <row r="883" ht="15.75" customHeight="1">
      <c r="B883" s="3"/>
      <c r="C883" s="3"/>
      <c r="H883" s="3"/>
      <c r="AG883" s="91"/>
    </row>
    <row r="884" ht="15.75" customHeight="1">
      <c r="B884" s="3"/>
      <c r="C884" s="3"/>
      <c r="H884" s="3"/>
      <c r="AG884" s="91"/>
    </row>
    <row r="885" ht="15.75" customHeight="1">
      <c r="B885" s="3"/>
      <c r="C885" s="3"/>
      <c r="H885" s="3"/>
      <c r="AG885" s="91"/>
    </row>
    <row r="886" ht="15.75" customHeight="1">
      <c r="B886" s="3"/>
      <c r="C886" s="3"/>
      <c r="H886" s="3"/>
      <c r="AG886" s="91"/>
    </row>
    <row r="887" ht="15.75" customHeight="1">
      <c r="B887" s="3"/>
      <c r="C887" s="3"/>
      <c r="H887" s="3"/>
      <c r="AG887" s="91"/>
    </row>
    <row r="888" ht="15.75" customHeight="1">
      <c r="B888" s="3"/>
      <c r="C888" s="3"/>
      <c r="H888" s="3"/>
      <c r="AG888" s="91"/>
    </row>
    <row r="889" ht="15.75" customHeight="1">
      <c r="B889" s="3"/>
      <c r="C889" s="3"/>
      <c r="H889" s="3"/>
      <c r="AG889" s="91"/>
    </row>
    <row r="890" ht="15.75" customHeight="1">
      <c r="B890" s="3"/>
      <c r="C890" s="3"/>
      <c r="H890" s="3"/>
      <c r="AG890" s="91"/>
    </row>
    <row r="891" ht="15.75" customHeight="1">
      <c r="B891" s="3"/>
      <c r="C891" s="3"/>
      <c r="H891" s="3"/>
      <c r="AG891" s="91"/>
    </row>
    <row r="892" ht="15.75" customHeight="1">
      <c r="B892" s="3"/>
      <c r="C892" s="3"/>
      <c r="H892" s="3"/>
      <c r="AG892" s="91"/>
    </row>
    <row r="893" ht="15.75" customHeight="1">
      <c r="B893" s="3"/>
      <c r="C893" s="3"/>
      <c r="H893" s="3"/>
      <c r="AG893" s="91"/>
    </row>
    <row r="894" ht="15.75" customHeight="1">
      <c r="B894" s="3"/>
      <c r="C894" s="3"/>
      <c r="H894" s="3"/>
      <c r="AG894" s="91"/>
    </row>
    <row r="895" ht="15.75" customHeight="1">
      <c r="B895" s="3"/>
      <c r="C895" s="3"/>
      <c r="H895" s="3"/>
      <c r="AG895" s="91"/>
    </row>
    <row r="896" ht="15.75" customHeight="1">
      <c r="B896" s="3"/>
      <c r="C896" s="3"/>
      <c r="H896" s="3"/>
      <c r="AG896" s="91"/>
    </row>
    <row r="897" ht="15.75" customHeight="1">
      <c r="B897" s="3"/>
      <c r="C897" s="3"/>
      <c r="H897" s="3"/>
      <c r="AG897" s="91"/>
    </row>
    <row r="898" ht="15.75" customHeight="1">
      <c r="B898" s="3"/>
      <c r="C898" s="3"/>
      <c r="H898" s="3"/>
      <c r="AG898" s="91"/>
    </row>
    <row r="899" ht="15.75" customHeight="1">
      <c r="B899" s="3"/>
      <c r="C899" s="3"/>
      <c r="H899" s="3"/>
      <c r="AG899" s="91"/>
    </row>
    <row r="900" ht="15.75" customHeight="1">
      <c r="B900" s="3"/>
      <c r="C900" s="3"/>
      <c r="H900" s="3"/>
      <c r="AG900" s="91"/>
    </row>
    <row r="901" ht="15.75" customHeight="1">
      <c r="B901" s="3"/>
      <c r="C901" s="3"/>
      <c r="H901" s="3"/>
      <c r="AG901" s="91"/>
    </row>
    <row r="902" ht="15.75" customHeight="1">
      <c r="B902" s="3"/>
      <c r="C902" s="3"/>
      <c r="H902" s="3"/>
      <c r="AG902" s="91"/>
    </row>
    <row r="903" ht="15.75" customHeight="1">
      <c r="B903" s="3"/>
      <c r="C903" s="3"/>
      <c r="H903" s="3"/>
      <c r="AG903" s="91"/>
    </row>
    <row r="904" ht="15.75" customHeight="1">
      <c r="B904" s="3"/>
      <c r="C904" s="3"/>
      <c r="H904" s="3"/>
      <c r="AG904" s="91"/>
    </row>
    <row r="905" ht="15.75" customHeight="1">
      <c r="B905" s="3"/>
      <c r="C905" s="3"/>
      <c r="H905" s="3"/>
      <c r="AG905" s="91"/>
    </row>
    <row r="906" ht="15.75" customHeight="1">
      <c r="B906" s="3"/>
      <c r="C906" s="3"/>
      <c r="H906" s="3"/>
      <c r="AG906" s="91"/>
    </row>
    <row r="907" ht="15.75" customHeight="1">
      <c r="B907" s="3"/>
      <c r="C907" s="3"/>
      <c r="H907" s="3"/>
      <c r="AG907" s="91"/>
    </row>
    <row r="908" ht="15.75" customHeight="1">
      <c r="B908" s="3"/>
      <c r="C908" s="3"/>
      <c r="H908" s="3"/>
      <c r="AG908" s="91"/>
    </row>
    <row r="909" ht="15.75" customHeight="1">
      <c r="B909" s="3"/>
      <c r="C909" s="3"/>
      <c r="H909" s="3"/>
      <c r="AG909" s="91"/>
    </row>
    <row r="910" ht="15.75" customHeight="1">
      <c r="B910" s="3"/>
      <c r="C910" s="3"/>
      <c r="H910" s="3"/>
      <c r="AG910" s="91"/>
    </row>
    <row r="911" ht="15.75" customHeight="1">
      <c r="B911" s="3"/>
      <c r="C911" s="3"/>
      <c r="H911" s="3"/>
      <c r="AG911" s="91"/>
    </row>
    <row r="912" ht="15.75" customHeight="1">
      <c r="B912" s="3"/>
      <c r="C912" s="3"/>
      <c r="H912" s="3"/>
      <c r="AG912" s="91"/>
    </row>
    <row r="913" ht="15.75" customHeight="1">
      <c r="B913" s="3"/>
      <c r="C913" s="3"/>
      <c r="H913" s="3"/>
      <c r="AG913" s="91"/>
    </row>
    <row r="914" ht="15.75" customHeight="1">
      <c r="B914" s="3"/>
      <c r="C914" s="3"/>
      <c r="H914" s="3"/>
      <c r="AG914" s="91"/>
    </row>
    <row r="915" ht="15.75" customHeight="1">
      <c r="B915" s="3"/>
      <c r="C915" s="3"/>
      <c r="H915" s="3"/>
      <c r="AG915" s="91"/>
    </row>
    <row r="916" ht="15.75" customHeight="1">
      <c r="B916" s="3"/>
      <c r="C916" s="3"/>
      <c r="H916" s="3"/>
      <c r="AG916" s="91"/>
    </row>
    <row r="917" ht="15.75" customHeight="1">
      <c r="B917" s="3"/>
      <c r="C917" s="3"/>
      <c r="H917" s="3"/>
      <c r="AG917" s="91"/>
    </row>
    <row r="918" ht="15.75" customHeight="1">
      <c r="B918" s="3"/>
      <c r="C918" s="3"/>
      <c r="H918" s="3"/>
      <c r="AG918" s="91"/>
    </row>
    <row r="919" ht="15.75" customHeight="1">
      <c r="B919" s="3"/>
      <c r="C919" s="3"/>
      <c r="H919" s="3"/>
      <c r="AG919" s="91"/>
    </row>
    <row r="920" ht="15.75" customHeight="1">
      <c r="B920" s="3"/>
      <c r="C920" s="3"/>
      <c r="H920" s="3"/>
      <c r="AG920" s="91"/>
    </row>
    <row r="921" ht="15.75" customHeight="1">
      <c r="B921" s="3"/>
      <c r="C921" s="3"/>
      <c r="H921" s="3"/>
      <c r="AG921" s="91"/>
    </row>
    <row r="922" ht="15.75" customHeight="1">
      <c r="B922" s="3"/>
      <c r="C922" s="3"/>
      <c r="H922" s="3"/>
      <c r="AG922" s="91"/>
    </row>
    <row r="923" ht="15.75" customHeight="1">
      <c r="B923" s="3"/>
      <c r="C923" s="3"/>
      <c r="H923" s="3"/>
      <c r="AG923" s="91"/>
    </row>
    <row r="924" ht="15.75" customHeight="1">
      <c r="B924" s="3"/>
      <c r="C924" s="3"/>
      <c r="H924" s="3"/>
      <c r="AG924" s="91"/>
    </row>
    <row r="925" ht="15.75" customHeight="1">
      <c r="B925" s="3"/>
      <c r="C925" s="3"/>
      <c r="H925" s="3"/>
      <c r="AG925" s="91"/>
    </row>
    <row r="926" ht="15.75" customHeight="1">
      <c r="B926" s="3"/>
      <c r="C926" s="3"/>
      <c r="H926" s="3"/>
      <c r="AG926" s="91"/>
    </row>
    <row r="927" ht="15.75" customHeight="1">
      <c r="B927" s="3"/>
      <c r="C927" s="3"/>
      <c r="H927" s="3"/>
      <c r="AG927" s="91"/>
    </row>
    <row r="928" ht="15.75" customHeight="1">
      <c r="B928" s="3"/>
      <c r="C928" s="3"/>
      <c r="H928" s="3"/>
      <c r="AG928" s="91"/>
    </row>
    <row r="929" ht="15.75" customHeight="1">
      <c r="B929" s="3"/>
      <c r="C929" s="3"/>
      <c r="H929" s="3"/>
      <c r="AG929" s="91"/>
    </row>
    <row r="930" ht="15.75" customHeight="1">
      <c r="B930" s="3"/>
      <c r="C930" s="3"/>
      <c r="H930" s="3"/>
      <c r="AG930" s="91"/>
    </row>
    <row r="931" ht="15.75" customHeight="1">
      <c r="B931" s="3"/>
      <c r="C931" s="3"/>
      <c r="H931" s="3"/>
      <c r="AG931" s="91"/>
    </row>
    <row r="932" ht="15.75" customHeight="1">
      <c r="B932" s="3"/>
      <c r="C932" s="3"/>
      <c r="H932" s="3"/>
      <c r="AG932" s="91"/>
    </row>
    <row r="933" ht="15.75" customHeight="1">
      <c r="B933" s="3"/>
      <c r="C933" s="3"/>
      <c r="H933" s="3"/>
      <c r="AG933" s="91"/>
    </row>
    <row r="934" ht="15.75" customHeight="1">
      <c r="B934" s="3"/>
      <c r="C934" s="3"/>
      <c r="H934" s="3"/>
      <c r="AG934" s="91"/>
    </row>
    <row r="935" ht="15.75" customHeight="1">
      <c r="B935" s="3"/>
      <c r="C935" s="3"/>
      <c r="H935" s="3"/>
      <c r="AG935" s="91"/>
    </row>
    <row r="936" ht="15.75" customHeight="1">
      <c r="B936" s="3"/>
      <c r="C936" s="3"/>
      <c r="H936" s="3"/>
      <c r="AG936" s="91"/>
    </row>
    <row r="937" ht="15.75" customHeight="1">
      <c r="B937" s="3"/>
      <c r="C937" s="3"/>
      <c r="H937" s="3"/>
      <c r="AG937" s="91"/>
    </row>
    <row r="938" ht="15.75" customHeight="1">
      <c r="B938" s="3"/>
      <c r="C938" s="3"/>
      <c r="H938" s="3"/>
      <c r="AG938" s="91"/>
    </row>
    <row r="939" ht="15.75" customHeight="1">
      <c r="B939" s="3"/>
      <c r="C939" s="3"/>
      <c r="H939" s="3"/>
      <c r="AG939" s="91"/>
    </row>
    <row r="940" ht="15.75" customHeight="1">
      <c r="B940" s="3"/>
      <c r="C940" s="3"/>
      <c r="H940" s="3"/>
      <c r="AG940" s="91"/>
    </row>
    <row r="941" ht="15.75" customHeight="1">
      <c r="B941" s="3"/>
      <c r="C941" s="3"/>
      <c r="H941" s="3"/>
      <c r="AG941" s="91"/>
    </row>
    <row r="942" ht="15.75" customHeight="1">
      <c r="B942" s="3"/>
      <c r="C942" s="3"/>
      <c r="H942" s="3"/>
      <c r="AG942" s="91"/>
    </row>
    <row r="943" ht="15.75" customHeight="1">
      <c r="B943" s="3"/>
      <c r="C943" s="3"/>
      <c r="H943" s="3"/>
      <c r="AG943" s="91"/>
    </row>
    <row r="944" ht="15.75" customHeight="1">
      <c r="B944" s="3"/>
      <c r="C944" s="3"/>
      <c r="H944" s="3"/>
      <c r="AG944" s="91"/>
    </row>
    <row r="945" ht="15.75" customHeight="1">
      <c r="B945" s="3"/>
      <c r="C945" s="3"/>
      <c r="H945" s="3"/>
      <c r="AG945" s="91"/>
    </row>
    <row r="946" ht="15.75" customHeight="1">
      <c r="B946" s="3"/>
      <c r="C946" s="3"/>
      <c r="H946" s="3"/>
      <c r="AG946" s="91"/>
    </row>
    <row r="947" ht="15.75" customHeight="1">
      <c r="B947" s="3"/>
      <c r="C947" s="3"/>
      <c r="H947" s="3"/>
      <c r="AG947" s="91"/>
    </row>
    <row r="948" ht="15.75" customHeight="1">
      <c r="B948" s="3"/>
      <c r="C948" s="3"/>
      <c r="H948" s="3"/>
      <c r="AG948" s="91"/>
    </row>
    <row r="949" ht="15.75" customHeight="1">
      <c r="B949" s="3"/>
      <c r="C949" s="3"/>
      <c r="H949" s="3"/>
      <c r="AG949" s="91"/>
    </row>
    <row r="950" ht="15.75" customHeight="1">
      <c r="B950" s="3"/>
      <c r="C950" s="3"/>
      <c r="H950" s="3"/>
      <c r="AG950" s="91"/>
    </row>
    <row r="951" ht="15.75" customHeight="1">
      <c r="B951" s="3"/>
      <c r="C951" s="3"/>
      <c r="H951" s="3"/>
      <c r="AG951" s="91"/>
    </row>
    <row r="952" ht="15.75" customHeight="1">
      <c r="B952" s="3"/>
      <c r="C952" s="3"/>
      <c r="H952" s="3"/>
      <c r="AG952" s="91"/>
    </row>
    <row r="953" ht="15.75" customHeight="1">
      <c r="B953" s="3"/>
      <c r="C953" s="3"/>
      <c r="H953" s="3"/>
      <c r="AG953" s="91"/>
    </row>
    <row r="954" ht="15.75" customHeight="1">
      <c r="B954" s="3"/>
      <c r="C954" s="3"/>
      <c r="H954" s="3"/>
      <c r="AG954" s="91"/>
    </row>
    <row r="955" ht="15.75" customHeight="1">
      <c r="B955" s="3"/>
      <c r="C955" s="3"/>
      <c r="H955" s="3"/>
      <c r="AG955" s="91"/>
    </row>
    <row r="956" ht="15.75" customHeight="1">
      <c r="B956" s="3"/>
      <c r="C956" s="3"/>
      <c r="H956" s="3"/>
      <c r="AG956" s="91"/>
    </row>
    <row r="957" ht="15.75" customHeight="1">
      <c r="B957" s="3"/>
      <c r="C957" s="3"/>
      <c r="H957" s="3"/>
      <c r="AG957" s="91"/>
    </row>
    <row r="958" ht="15.75" customHeight="1">
      <c r="B958" s="3"/>
      <c r="C958" s="3"/>
      <c r="H958" s="3"/>
      <c r="AG958" s="91"/>
    </row>
    <row r="959" ht="15.75" customHeight="1">
      <c r="B959" s="3"/>
      <c r="C959" s="3"/>
      <c r="H959" s="3"/>
      <c r="AG959" s="91"/>
    </row>
    <row r="960" ht="15.75" customHeight="1">
      <c r="B960" s="3"/>
      <c r="C960" s="3"/>
      <c r="H960" s="3"/>
      <c r="AG960" s="91"/>
    </row>
    <row r="961" ht="15.75" customHeight="1">
      <c r="B961" s="3"/>
      <c r="C961" s="3"/>
      <c r="H961" s="3"/>
      <c r="AG961" s="91"/>
    </row>
    <row r="962" ht="15.75" customHeight="1">
      <c r="B962" s="3"/>
      <c r="C962" s="3"/>
      <c r="H962" s="3"/>
      <c r="AG962" s="91"/>
    </row>
    <row r="963" ht="15.75" customHeight="1">
      <c r="B963" s="3"/>
      <c r="C963" s="3"/>
      <c r="H963" s="3"/>
      <c r="AG963" s="91"/>
    </row>
    <row r="964" ht="15.75" customHeight="1">
      <c r="B964" s="3"/>
      <c r="C964" s="3"/>
      <c r="H964" s="3"/>
      <c r="AG964" s="91"/>
    </row>
    <row r="965" ht="15.75" customHeight="1">
      <c r="B965" s="3"/>
      <c r="C965" s="3"/>
      <c r="H965" s="3"/>
      <c r="AG965" s="91"/>
    </row>
    <row r="966" ht="15.75" customHeight="1">
      <c r="B966" s="3"/>
      <c r="C966" s="3"/>
      <c r="H966" s="3"/>
      <c r="AG966" s="91"/>
    </row>
    <row r="967" ht="15.75" customHeight="1">
      <c r="B967" s="3"/>
      <c r="C967" s="3"/>
      <c r="H967" s="3"/>
      <c r="AG967" s="91"/>
    </row>
    <row r="968" ht="15.75" customHeight="1">
      <c r="B968" s="3"/>
      <c r="C968" s="3"/>
      <c r="H968" s="3"/>
      <c r="AG968" s="91"/>
    </row>
    <row r="969" ht="15.75" customHeight="1">
      <c r="B969" s="3"/>
      <c r="C969" s="3"/>
      <c r="H969" s="3"/>
      <c r="AG969" s="91"/>
    </row>
    <row r="970" ht="15.75" customHeight="1">
      <c r="B970" s="3"/>
      <c r="C970" s="3"/>
      <c r="H970" s="3"/>
      <c r="AG970" s="91"/>
    </row>
    <row r="971" ht="15.75" customHeight="1">
      <c r="B971" s="3"/>
      <c r="C971" s="3"/>
      <c r="H971" s="3"/>
      <c r="AG971" s="91"/>
    </row>
    <row r="972" ht="15.75" customHeight="1">
      <c r="B972" s="3"/>
      <c r="C972" s="3"/>
      <c r="H972" s="3"/>
      <c r="AG972" s="91"/>
    </row>
    <row r="973" ht="15.75" customHeight="1">
      <c r="B973" s="3"/>
      <c r="C973" s="3"/>
      <c r="H973" s="3"/>
      <c r="AG973" s="91"/>
    </row>
    <row r="974" ht="15.75" customHeight="1">
      <c r="B974" s="3"/>
      <c r="C974" s="3"/>
      <c r="H974" s="3"/>
      <c r="AG974" s="91"/>
    </row>
    <row r="975" ht="15.75" customHeight="1">
      <c r="B975" s="3"/>
      <c r="C975" s="3"/>
      <c r="H975" s="3"/>
      <c r="AG975" s="91"/>
    </row>
    <row r="976" ht="15.75" customHeight="1">
      <c r="B976" s="3"/>
      <c r="C976" s="3"/>
      <c r="H976" s="3"/>
      <c r="AG976" s="91"/>
    </row>
    <row r="977" ht="15.75" customHeight="1">
      <c r="B977" s="3"/>
      <c r="C977" s="3"/>
      <c r="H977" s="3"/>
      <c r="AG977" s="91"/>
    </row>
    <row r="978" ht="15.75" customHeight="1">
      <c r="B978" s="3"/>
      <c r="C978" s="3"/>
      <c r="H978" s="3"/>
      <c r="AG978" s="91"/>
    </row>
    <row r="979" ht="15.75" customHeight="1">
      <c r="B979" s="3"/>
      <c r="C979" s="3"/>
      <c r="H979" s="3"/>
      <c r="AG979" s="91"/>
    </row>
    <row r="980" ht="15.75" customHeight="1">
      <c r="B980" s="3"/>
      <c r="C980" s="3"/>
      <c r="H980" s="3"/>
      <c r="AG980" s="91"/>
    </row>
    <row r="981" ht="15.75" customHeight="1">
      <c r="B981" s="3"/>
      <c r="C981" s="3"/>
      <c r="H981" s="3"/>
      <c r="AG981" s="91"/>
    </row>
    <row r="982" ht="15.75" customHeight="1">
      <c r="B982" s="3"/>
      <c r="C982" s="3"/>
      <c r="H982" s="3"/>
      <c r="AG982" s="91"/>
    </row>
    <row r="983" ht="15.75" customHeight="1">
      <c r="B983" s="3"/>
      <c r="C983" s="3"/>
      <c r="H983" s="3"/>
      <c r="AG983" s="91"/>
    </row>
    <row r="984" ht="15.75" customHeight="1">
      <c r="B984" s="3"/>
      <c r="C984" s="3"/>
      <c r="H984" s="3"/>
      <c r="AG984" s="91"/>
    </row>
    <row r="985" ht="15.75" customHeight="1">
      <c r="B985" s="3"/>
      <c r="C985" s="3"/>
      <c r="H985" s="3"/>
      <c r="AG985" s="91"/>
    </row>
    <row r="986" ht="15.75" customHeight="1">
      <c r="B986" s="3"/>
      <c r="C986" s="3"/>
      <c r="H986" s="3"/>
      <c r="AG986" s="91"/>
    </row>
    <row r="987" ht="15.75" customHeight="1">
      <c r="B987" s="3"/>
      <c r="C987" s="3"/>
      <c r="H987" s="3"/>
      <c r="AG987" s="91"/>
    </row>
    <row r="988" ht="15.75" customHeight="1">
      <c r="B988" s="3"/>
      <c r="C988" s="3"/>
      <c r="H988" s="3"/>
      <c r="AG988" s="91"/>
    </row>
    <row r="989" ht="15.75" customHeight="1">
      <c r="B989" s="3"/>
      <c r="C989" s="3"/>
      <c r="H989" s="3"/>
      <c r="AG989" s="91"/>
    </row>
    <row r="990" ht="15.75" customHeight="1">
      <c r="B990" s="3"/>
      <c r="C990" s="3"/>
      <c r="H990" s="3"/>
      <c r="AG990" s="91"/>
    </row>
    <row r="991" ht="15.75" customHeight="1">
      <c r="B991" s="3"/>
      <c r="C991" s="3"/>
      <c r="H991" s="3"/>
      <c r="AG991" s="91"/>
    </row>
    <row r="992" ht="15.75" customHeight="1">
      <c r="B992" s="3"/>
      <c r="C992" s="3"/>
      <c r="H992" s="3"/>
      <c r="AG992" s="91"/>
    </row>
    <row r="993" ht="15.75" customHeight="1">
      <c r="B993" s="3"/>
      <c r="C993" s="3"/>
      <c r="H993" s="3"/>
      <c r="AG993" s="91"/>
    </row>
    <row r="994" ht="15.75" customHeight="1">
      <c r="B994" s="3"/>
      <c r="C994" s="3"/>
      <c r="H994" s="3"/>
      <c r="AG994" s="91"/>
    </row>
    <row r="995" ht="15.75" customHeight="1">
      <c r="B995" s="3"/>
      <c r="C995" s="3"/>
      <c r="H995" s="3"/>
      <c r="AG995" s="91"/>
    </row>
    <row r="996" ht="15.75" customHeight="1">
      <c r="B996" s="3"/>
      <c r="C996" s="3"/>
      <c r="H996" s="3"/>
      <c r="AG996" s="91"/>
    </row>
    <row r="997" ht="15.75" customHeight="1">
      <c r="B997" s="3"/>
      <c r="C997" s="3"/>
      <c r="H997" s="3"/>
      <c r="AG997" s="91"/>
    </row>
    <row r="998" ht="15.75" customHeight="1">
      <c r="B998" s="3"/>
      <c r="C998" s="3"/>
      <c r="H998" s="3"/>
      <c r="AG998" s="91"/>
    </row>
    <row r="999" ht="15.75" customHeight="1">
      <c r="B999" s="3"/>
      <c r="C999" s="3"/>
      <c r="H999" s="3"/>
      <c r="AG999" s="91"/>
    </row>
    <row r="1000" ht="15.75" customHeight="1">
      <c r="B1000" s="3"/>
      <c r="C1000" s="3"/>
      <c r="H1000" s="3"/>
      <c r="AG1000" s="91"/>
    </row>
  </sheetData>
  <autoFilter ref="$A$3:$AO$110"/>
  <mergeCells count="2">
    <mergeCell ref="AV5:BD5"/>
    <mergeCell ref="AV26:BA26"/>
  </mergeCells>
  <printOptions/>
  <pageMargins bottom="0.75" footer="0.0" header="0.0" left="0.7" right="0.7" top="0.75"/>
  <pageSetup fitToHeight="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29"/>
    <col customWidth="1" min="3" max="3" width="11.71"/>
    <col customWidth="1" min="4" max="4" width="42.57"/>
    <col customWidth="1" min="5" max="5" width="15.86"/>
    <col customWidth="1" min="6" max="6" width="15.29"/>
    <col customWidth="1" min="7" max="7" width="12.14"/>
    <col customWidth="1" min="8" max="8" width="11.43"/>
    <col customWidth="1" min="9" max="10" width="10.29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7.71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3"/>
      <c r="C1" s="3"/>
      <c r="D1" s="97" t="s">
        <v>540</v>
      </c>
      <c r="E1" s="98">
        <f>+AI3</f>
        <v>5181.502</v>
      </c>
      <c r="F1" s="97" t="s">
        <v>241</v>
      </c>
      <c r="G1" s="98" t="str">
        <f>+$AM3</f>
        <v>#N/A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2888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22"/>
      <c r="C2" s="3"/>
      <c r="D2" s="97" t="s">
        <v>242</v>
      </c>
      <c r="E2" s="98">
        <f>+AH3</f>
        <v>4808.437</v>
      </c>
      <c r="F2" s="99" t="s">
        <v>243</v>
      </c>
      <c r="G2" s="100">
        <f>+Q2</f>
        <v>93.23059833</v>
      </c>
      <c r="H2" s="13"/>
      <c r="I2" s="184">
        <f>SUBTOTAL(9,I4:I654)</f>
        <v>509.91</v>
      </c>
      <c r="J2" s="4"/>
      <c r="K2" s="14">
        <f>SUBTOTAL(9,K4:K654)</f>
        <v>452.481</v>
      </c>
      <c r="L2" s="126">
        <f>+SUMPRODUCT(L5:L654,K5:K654)/K2</f>
        <v>0.3339998497</v>
      </c>
      <c r="M2" s="2"/>
      <c r="O2" s="6"/>
      <c r="P2" s="16">
        <f>+SUMPRODUCT(P4:P654,AH4:AH654)/SUM(AH4:AH654)</f>
        <v>87.73053947</v>
      </c>
      <c r="Q2" s="16">
        <f>+SUMPRODUCT(Q4:Q654,AH4:AH654)/SUM(AH4:AH654)</f>
        <v>93.23059833</v>
      </c>
      <c r="R2" s="12">
        <f>+SUMPRODUCT(R4:R654,AH4:AH654)/SUM(AH4:AH654)</f>
        <v>4589.02984</v>
      </c>
      <c r="S2" s="2"/>
      <c r="AB2" s="7"/>
      <c r="AC2" s="7"/>
      <c r="AD2" s="7"/>
      <c r="AE2" s="7"/>
      <c r="AF2" s="7"/>
      <c r="AG2" s="17" t="str">
        <f>SUMPRODUCT($AG4:$AG654,$K4:$K654)/SUM($K4:$K654)</f>
        <v>#N/A</v>
      </c>
      <c r="AH2" s="18"/>
      <c r="AI2" s="2"/>
      <c r="AJ2" s="19">
        <v>5000.0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3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SUBTOTAL(9,AH4:AH654)</f>
        <v>4808.437</v>
      </c>
      <c r="AI3" s="186">
        <f t="shared" si="1"/>
        <v>5181.502</v>
      </c>
      <c r="AJ3" s="187" t="str">
        <f>SUMPRODUCT(K4:K654,AJ4:AJ654)/K2</f>
        <v>#N/A</v>
      </c>
      <c r="AK3" s="39" t="str">
        <f>SUBTOTAL(9,AK4:AK654)</f>
        <v>#N/A</v>
      </c>
      <c r="AL3" s="11"/>
      <c r="AM3" s="39" t="str">
        <f>SUBTOTAL(9,AM4:AM654)</f>
        <v>#N/A</v>
      </c>
      <c r="AN3" s="127" t="s">
        <v>542</v>
      </c>
      <c r="AO3" s="128" t="s">
        <v>543</v>
      </c>
      <c r="AP3" s="131" t="s">
        <v>544</v>
      </c>
      <c r="AQ3" s="131" t="s">
        <v>545</v>
      </c>
      <c r="AS3" s="129"/>
    </row>
    <row r="4" ht="15.75" customHeight="1">
      <c r="A4" s="41"/>
      <c r="B4" s="43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16" t="s">
        <v>2889</v>
      </c>
      <c r="B5" s="182">
        <v>46041.0</v>
      </c>
      <c r="C5" s="182">
        <v>46014.0</v>
      </c>
      <c r="D5" s="57" t="s">
        <v>225</v>
      </c>
      <c r="E5" s="3">
        <f t="array" ref="E5">XLOOKUP(D5,RUC!$B$3:$B$110,RUC!$D$3:$D$110)</f>
        <v>10761932735</v>
      </c>
      <c r="G5" s="141">
        <v>75.0</v>
      </c>
      <c r="H5" s="3" t="s">
        <v>47</v>
      </c>
      <c r="I5" s="6">
        <v>4.56</v>
      </c>
      <c r="J5" s="58">
        <v>9.7</v>
      </c>
      <c r="K5" s="6">
        <f t="shared" ref="K5:K33" si="2">ROUND(+I5-(I5*(J5/100)),3)</f>
        <v>4.118</v>
      </c>
      <c r="L5" s="139">
        <v>0.116</v>
      </c>
      <c r="M5" s="60">
        <f t="shared" ref="M5:M17" si="3">ROUND(+IF(AN5="Melchor Vera",IF(L5&gt;0.467,L5*0.985,(L5-0.007)),IF(L5&gt;0.3,L5*0.94,(L5-0.019))),3)</f>
        <v>0.097</v>
      </c>
      <c r="N5" s="75">
        <v>0.153</v>
      </c>
      <c r="O5" s="60">
        <f t="shared" ref="O5:O8" si="4">+ROUND((M5+N5)/2,3)</f>
        <v>0.125</v>
      </c>
      <c r="P5" s="63">
        <v>80.0</v>
      </c>
      <c r="Q5" s="58">
        <v>96.58</v>
      </c>
      <c r="R5" s="65">
        <v>4449.4</v>
      </c>
      <c r="S5" s="66">
        <f t="array" ref="S5">IF((XLOOKUP(D5,RUC!$B$3:$B$106,RUC!$E$3:$E$106)+ROUNDDOWN(O5,1)*100)&lt;95,95,((XLOOKUP(D5,RUC!$B$3:$B$106,RUC!$E$3:$E$106)+ROUNDDOWN(O5,1)*100)))</f>
        <v>100</v>
      </c>
      <c r="U5" s="67">
        <f t="array" ref="U5">XLOOKUP(D5,RUC!$B$3:$B$110,RUC!$F$3:$F$110)</f>
        <v>120</v>
      </c>
      <c r="V5" s="67">
        <v>1.1023</v>
      </c>
      <c r="Y5" s="57">
        <f t="array" ref="Y5">XLOOKUP(D5,RUC!$B$3:$B$110,RUC!$G$3:$G$110)</f>
        <v>20</v>
      </c>
      <c r="Z5" s="69">
        <f t="array" ref="Z5">XLOOKUP(D5,RUC!$B$3:$B$110,RUC!$H$3:$H$110)</f>
        <v>30</v>
      </c>
      <c r="AA5" s="70">
        <f t="shared" ref="AA5:AA33" si="5">+Y5+Z5</f>
        <v>50</v>
      </c>
      <c r="AB5" s="71">
        <f t="shared" ref="AB5:AB18" si="6">+((O5*P5*(R5-U5)/100)-S5-AA5+T5)*V5</f>
        <v>311.884762</v>
      </c>
      <c r="AC5" s="71">
        <f>+(S5-T5)*V5-'data 1'!$F$4</f>
        <v>30.23</v>
      </c>
      <c r="AD5" s="71">
        <f t="shared" ref="AD5:AD33" si="7">+(Q5-P5)*(R5-U5)*L5*V5/100</f>
        <v>91.78464567</v>
      </c>
      <c r="AE5" s="71">
        <f t="shared" ref="AE5:AE33" si="8">+(Y5*V5-70)+V5*(Z5-IF(D5="UNTUCA",IF(+((W5-3)*2.5+(X5-3)*3.1)&gt;0,+((W5-3)*1.5+(X5-3)*3.1),0),IF(+((W5-3)*1.5+(X5-3)*3.1)&gt;0,+((W5-3)*1.5+(X5-3)*3.1),0)))</f>
        <v>-14.885</v>
      </c>
      <c r="AF5" s="71">
        <f t="shared" ref="AF5:AF33" si="9">(L5-O5)*(R5-U5)*Q5*V5/100</f>
        <v>-41.48176537</v>
      </c>
      <c r="AG5" s="72">
        <f t="shared" ref="AG5:AG18" si="10">AC5+AD5+AE5+AF5+70-53</f>
        <v>82.64788029</v>
      </c>
      <c r="AH5" s="193">
        <f t="shared" ref="AH5:AH33" si="11">ROUND((31.1035*L5*Q5*1.1023*K5/100),3)</f>
        <v>15.818</v>
      </c>
      <c r="AI5" s="193">
        <f t="shared" ref="AI5:AI33" si="12">ROUND((31.1035*L5*1.1023*K5),3)</f>
        <v>16.378</v>
      </c>
      <c r="AJ5" s="73">
        <f t="shared" ref="AJ5:AJ33" si="13">+((+$AJ$2-R5+U5)*L5*Q5*V5)/100</f>
        <v>82.8149124</v>
      </c>
      <c r="AK5" s="73">
        <f t="shared" ref="AK5:AK33" si="14">31.1035*1.1023*K5*P5*O5/100</f>
        <v>14.1187228</v>
      </c>
      <c r="AM5" s="51">
        <f t="shared" ref="AM5:AM33" si="15">+IF(AB5*K5&gt;0,AB5*K5,0)</f>
        <v>1284.34145</v>
      </c>
      <c r="AN5" s="51" t="str">
        <f t="array" ref="AN5">XLOOKUP(D5,RUC!$B$3:$B$565,RUC!$M$3:$M$565)</f>
        <v>Richard Sapacayo</v>
      </c>
      <c r="AO5" s="131" t="s">
        <v>551</v>
      </c>
      <c r="AP5" s="57" t="s">
        <v>2890</v>
      </c>
      <c r="AQ5" s="57" t="s">
        <v>2891</v>
      </c>
      <c r="AV5" s="149" t="s">
        <v>2892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16" t="s">
        <v>2893</v>
      </c>
      <c r="B6" s="194">
        <v>46024.0</v>
      </c>
      <c r="C6" s="182">
        <v>46015.0</v>
      </c>
      <c r="D6" s="57" t="s">
        <v>665</v>
      </c>
      <c r="E6" s="3">
        <f t="array" ref="E6">XLOOKUP(D6,RUC!$B$3:$B$110,RUC!$D$3:$D$110)</f>
        <v>20608774000</v>
      </c>
      <c r="G6" s="141">
        <v>70.0</v>
      </c>
      <c r="H6" s="3" t="s">
        <v>47</v>
      </c>
      <c r="I6" s="6">
        <v>5.73</v>
      </c>
      <c r="J6" s="58">
        <v>1.25</v>
      </c>
      <c r="K6" s="6">
        <f t="shared" si="2"/>
        <v>5.658</v>
      </c>
      <c r="L6" s="139">
        <v>0.69</v>
      </c>
      <c r="M6" s="60">
        <f t="shared" si="3"/>
        <v>0.649</v>
      </c>
      <c r="N6" s="114">
        <f>+M6</f>
        <v>0.649</v>
      </c>
      <c r="O6" s="60">
        <f t="shared" si="4"/>
        <v>0.649</v>
      </c>
      <c r="P6" s="63">
        <v>75.0</v>
      </c>
      <c r="Q6" s="130">
        <v>75.07</v>
      </c>
      <c r="R6" s="65">
        <v>4480.8</v>
      </c>
      <c r="S6" s="66">
        <f t="array" ref="S6">IF((XLOOKUP(D6,RUC!$B$3:$B$106,RUC!$E$3:$E$106)+ROUNDDOWN(O6,1)*100)&lt;95,95,((XLOOKUP(D6,RUC!$B$3:$B$106,RUC!$E$3:$E$106)+ROUNDDOWN(O6,1)*100)))</f>
        <v>145</v>
      </c>
      <c r="U6" s="67">
        <f t="array" ref="U6">XLOOKUP(D6,RUC!$B$3:$B$110,RUC!$F$3:$F$110)</f>
        <v>120</v>
      </c>
      <c r="V6" s="67">
        <v>1.1023</v>
      </c>
      <c r="Y6" s="199">
        <v>25.0</v>
      </c>
      <c r="Z6" s="140">
        <v>35.0</v>
      </c>
      <c r="AA6" s="70">
        <f t="shared" si="5"/>
        <v>60</v>
      </c>
      <c r="AB6" s="71">
        <f t="shared" si="6"/>
        <v>2113.791865</v>
      </c>
      <c r="AC6" s="71">
        <f>+(S6-T6)*V6-'data 1'!$F$4</f>
        <v>79.8335</v>
      </c>
      <c r="AD6" s="71">
        <f t="shared" si="7"/>
        <v>2.321737453</v>
      </c>
      <c r="AE6" s="71">
        <f t="shared" si="8"/>
        <v>-3.862</v>
      </c>
      <c r="AF6" s="71">
        <f t="shared" si="9"/>
        <v>147.9504359</v>
      </c>
      <c r="AG6" s="72">
        <f t="shared" si="10"/>
        <v>243.2436733</v>
      </c>
      <c r="AH6" s="193">
        <f t="shared" si="11"/>
        <v>100.482</v>
      </c>
      <c r="AI6" s="193">
        <f t="shared" si="12"/>
        <v>133.851</v>
      </c>
      <c r="AJ6" s="73">
        <f t="shared" si="13"/>
        <v>364.9657248</v>
      </c>
      <c r="AK6" s="73">
        <f t="shared" si="14"/>
        <v>94.42303868</v>
      </c>
      <c r="AM6" s="51">
        <f t="shared" si="15"/>
        <v>11959.83437</v>
      </c>
      <c r="AN6" s="51" t="str">
        <f t="array" ref="AN6">XLOOKUP(D6,RUC!$B$3:$B$565,RUC!$M$3:$M$565)</f>
        <v>Ronald Miranda</v>
      </c>
      <c r="AO6" s="131" t="s">
        <v>551</v>
      </c>
      <c r="AP6" s="57" t="s">
        <v>2580</v>
      </c>
      <c r="AQ6" s="57" t="s">
        <v>2144</v>
      </c>
      <c r="AR6" s="2" t="s">
        <v>2894</v>
      </c>
      <c r="AV6" s="131"/>
      <c r="AW6" s="131"/>
      <c r="AX6" s="131"/>
      <c r="AY6" s="131"/>
      <c r="AZ6" s="131"/>
      <c r="BA6" s="131"/>
      <c r="BB6" s="131"/>
      <c r="BC6" s="131"/>
      <c r="BD6" s="131"/>
    </row>
    <row r="7" ht="15.0" customHeight="1">
      <c r="A7" s="116" t="s">
        <v>2895</v>
      </c>
      <c r="B7" s="182">
        <v>46024.0</v>
      </c>
      <c r="C7" s="182">
        <v>46015.0</v>
      </c>
      <c r="D7" s="57" t="s">
        <v>665</v>
      </c>
      <c r="E7" s="3">
        <f t="array" ref="E7">XLOOKUP(D7,RUC!$B$3:$B$110,RUC!$D$3:$D$110)</f>
        <v>20608774000</v>
      </c>
      <c r="G7" s="141">
        <v>60.0</v>
      </c>
      <c r="H7" s="3" t="s">
        <v>47</v>
      </c>
      <c r="I7" s="6">
        <v>4.99</v>
      </c>
      <c r="J7" s="58">
        <v>1.25</v>
      </c>
      <c r="K7" s="6">
        <f t="shared" si="2"/>
        <v>4.928</v>
      </c>
      <c r="L7" s="139">
        <v>0.711</v>
      </c>
      <c r="M7" s="60">
        <f t="shared" si="3"/>
        <v>0.668</v>
      </c>
      <c r="N7" s="123">
        <v>0.739</v>
      </c>
      <c r="O7" s="60">
        <f t="shared" si="4"/>
        <v>0.704</v>
      </c>
      <c r="P7" s="63">
        <v>75.0</v>
      </c>
      <c r="Q7" s="130">
        <v>75.25</v>
      </c>
      <c r="R7" s="65">
        <v>4480.8</v>
      </c>
      <c r="S7" s="66">
        <f t="array" ref="S7">IF((XLOOKUP(D7,RUC!$B$3:$B$106,RUC!$E$3:$E$106)+ROUNDDOWN(O7,1)*100)&lt;95,95,((XLOOKUP(D7,RUC!$B$3:$B$106,RUC!$E$3:$E$106)+ROUNDDOWN(O7,1)*100)))</f>
        <v>155</v>
      </c>
      <c r="U7" s="67">
        <f t="array" ref="U7">XLOOKUP(D7,RUC!$B$3:$B$110,RUC!$F$3:$F$110)</f>
        <v>120</v>
      </c>
      <c r="V7" s="67">
        <v>1.1023</v>
      </c>
      <c r="Y7" s="199">
        <v>25.0</v>
      </c>
      <c r="Z7" s="140">
        <v>35.0</v>
      </c>
      <c r="AA7" s="70">
        <f t="shared" si="5"/>
        <v>60</v>
      </c>
      <c r="AB7" s="71">
        <f t="shared" si="6"/>
        <v>2301.053896</v>
      </c>
      <c r="AC7" s="71">
        <f>+(S7-T7)*V7-'data 1'!$F$4</f>
        <v>90.8565</v>
      </c>
      <c r="AD7" s="71">
        <f t="shared" si="7"/>
        <v>8.544282241</v>
      </c>
      <c r="AE7" s="71">
        <f t="shared" si="8"/>
        <v>-3.862</v>
      </c>
      <c r="AF7" s="71">
        <f t="shared" si="9"/>
        <v>25.32039758</v>
      </c>
      <c r="AG7" s="72">
        <f t="shared" si="10"/>
        <v>137.8591798</v>
      </c>
      <c r="AH7" s="193">
        <f t="shared" si="11"/>
        <v>90.397</v>
      </c>
      <c r="AI7" s="193">
        <f t="shared" si="12"/>
        <v>120.129</v>
      </c>
      <c r="AJ7" s="73">
        <f t="shared" si="13"/>
        <v>376.9751118</v>
      </c>
      <c r="AK7" s="73">
        <f t="shared" si="14"/>
        <v>89.21003114</v>
      </c>
      <c r="AM7" s="51">
        <f t="shared" si="15"/>
        <v>11339.5936</v>
      </c>
      <c r="AN7" s="51" t="str">
        <f t="array" ref="AN7">XLOOKUP(D7,RUC!$B$3:$B$565,RUC!$M$3:$M$565)</f>
        <v>Ronald Miranda</v>
      </c>
      <c r="AO7" s="131" t="s">
        <v>558</v>
      </c>
      <c r="AP7" s="57" t="s">
        <v>2580</v>
      </c>
      <c r="AQ7" s="57" t="s">
        <v>2144</v>
      </c>
      <c r="AW7" s="195">
        <f>SUM(AW9:AW18)</f>
        <v>452.481</v>
      </c>
      <c r="AX7" s="196">
        <f>SUMPRODUCT(AW9:AW18,AX9:AX18)/SUM(AW9:AW18)</f>
        <v>0.3339998497</v>
      </c>
      <c r="AY7" s="197"/>
      <c r="AZ7" s="198">
        <f>SUMPRODUCT(AZ9:AZ18,$BB9:$BB18)/SUM($BB9:$BB18)/100</f>
        <v>0.9323059833</v>
      </c>
      <c r="BA7" s="82">
        <f t="shared" ref="BA7:BB7" si="16">SUM(BA9:BA18)</f>
        <v>5181.502216</v>
      </c>
      <c r="BB7" s="82">
        <f t="shared" si="16"/>
        <v>4808.437</v>
      </c>
    </row>
    <row r="8" ht="15.0" customHeight="1">
      <c r="A8" s="116" t="s">
        <v>2896</v>
      </c>
      <c r="B8" s="182">
        <v>46024.0</v>
      </c>
      <c r="C8" s="182">
        <v>46015.0</v>
      </c>
      <c r="D8" s="57" t="s">
        <v>665</v>
      </c>
      <c r="E8" s="3">
        <f t="array" ref="E8">XLOOKUP(D8,RUC!$B$3:$B$110,RUC!$D$3:$D$110)</f>
        <v>20608774000</v>
      </c>
      <c r="G8" s="141">
        <v>60.0</v>
      </c>
      <c r="H8" s="3" t="s">
        <v>47</v>
      </c>
      <c r="I8" s="6">
        <v>4.92</v>
      </c>
      <c r="J8" s="58">
        <v>1.15</v>
      </c>
      <c r="K8" s="6">
        <f t="shared" si="2"/>
        <v>4.863</v>
      </c>
      <c r="L8" s="139">
        <v>0.627</v>
      </c>
      <c r="M8" s="60">
        <f t="shared" si="3"/>
        <v>0.589</v>
      </c>
      <c r="N8" s="114">
        <f t="shared" ref="N8:N26" si="17">+M8</f>
        <v>0.589</v>
      </c>
      <c r="O8" s="60">
        <f t="shared" si="4"/>
        <v>0.589</v>
      </c>
      <c r="P8" s="63">
        <v>80.0</v>
      </c>
      <c r="Q8" s="130">
        <v>80.38</v>
      </c>
      <c r="R8" s="65">
        <v>4480.8</v>
      </c>
      <c r="S8" s="66">
        <f t="array" ref="S8">IF((XLOOKUP(D8,RUC!$B$3:$B$106,RUC!$E$3:$E$106)+ROUNDDOWN(O8,1)*100)&lt;95,95,((XLOOKUP(D8,RUC!$B$3:$B$106,RUC!$E$3:$E$106)+ROUNDDOWN(O8,1)*100)))</f>
        <v>135</v>
      </c>
      <c r="U8" s="67">
        <f t="array" ref="U8">XLOOKUP(D8,RUC!$B$3:$B$110,RUC!$F$3:$F$110)</f>
        <v>120</v>
      </c>
      <c r="V8" s="67">
        <v>1.1023</v>
      </c>
      <c r="Y8" s="199">
        <v>25.0</v>
      </c>
      <c r="Z8" s="140">
        <v>35.0</v>
      </c>
      <c r="AA8" s="70">
        <f t="shared" si="5"/>
        <v>60</v>
      </c>
      <c r="AB8" s="71">
        <f t="shared" si="6"/>
        <v>2050.067417</v>
      </c>
      <c r="AC8" s="71">
        <f>+(S8-T8)*V8-'data 1'!$F$4</f>
        <v>68.8105</v>
      </c>
      <c r="AD8" s="71">
        <f t="shared" si="7"/>
        <v>11.45294338</v>
      </c>
      <c r="AE8" s="71">
        <f t="shared" si="8"/>
        <v>-3.862</v>
      </c>
      <c r="AF8" s="71">
        <f t="shared" si="9"/>
        <v>146.8241769</v>
      </c>
      <c r="AG8" s="72">
        <f t="shared" si="10"/>
        <v>240.2256203</v>
      </c>
      <c r="AH8" s="193">
        <f t="shared" si="11"/>
        <v>84.029</v>
      </c>
      <c r="AI8" s="193">
        <f t="shared" si="12"/>
        <v>104.54</v>
      </c>
      <c r="AJ8" s="73">
        <f t="shared" si="13"/>
        <v>355.1011808</v>
      </c>
      <c r="AK8" s="73">
        <f t="shared" si="14"/>
        <v>78.56310159</v>
      </c>
      <c r="AM8" s="51">
        <f t="shared" si="15"/>
        <v>9969.477847</v>
      </c>
      <c r="AN8" s="51" t="str">
        <f t="array" ref="AN8">XLOOKUP(D8,RUC!$B$3:$B$565,RUC!$M$3:$M$565)</f>
        <v>Ronald Miranda</v>
      </c>
      <c r="AO8" s="131" t="s">
        <v>558</v>
      </c>
      <c r="AP8" s="57" t="s">
        <v>2580</v>
      </c>
      <c r="AQ8" s="57" t="s">
        <v>2144</v>
      </c>
      <c r="AV8" s="3"/>
      <c r="AW8" s="3" t="s">
        <v>14</v>
      </c>
      <c r="AX8" s="3" t="s">
        <v>683</v>
      </c>
      <c r="AY8" s="143" t="s">
        <v>683</v>
      </c>
      <c r="AZ8" s="3" t="s">
        <v>685</v>
      </c>
      <c r="BA8" s="3" t="s">
        <v>686</v>
      </c>
      <c r="BB8" s="3" t="s">
        <v>687</v>
      </c>
      <c r="BC8" s="3" t="s">
        <v>698</v>
      </c>
      <c r="BD8" s="65" t="s">
        <v>699</v>
      </c>
    </row>
    <row r="9" ht="15.0" customHeight="1">
      <c r="A9" s="116" t="s">
        <v>2897</v>
      </c>
      <c r="B9" s="182">
        <v>46034.0</v>
      </c>
      <c r="C9" s="182">
        <v>46017.0</v>
      </c>
      <c r="D9" s="57" t="s">
        <v>665</v>
      </c>
      <c r="E9" s="3">
        <f t="array" ref="E9">XLOOKUP(D9,RUC!$B$3:$B$110,RUC!$D$3:$D$110)</f>
        <v>20608774000</v>
      </c>
      <c r="G9" s="141">
        <v>69.0</v>
      </c>
      <c r="H9" s="3" t="s">
        <v>47</v>
      </c>
      <c r="I9" s="6">
        <v>6.43</v>
      </c>
      <c r="J9" s="58">
        <v>1.4</v>
      </c>
      <c r="K9" s="6">
        <f t="shared" si="2"/>
        <v>6.34</v>
      </c>
      <c r="L9" s="139">
        <v>0.174</v>
      </c>
      <c r="M9" s="60">
        <f t="shared" si="3"/>
        <v>0.155</v>
      </c>
      <c r="N9" s="62">
        <f t="shared" si="17"/>
        <v>0.155</v>
      </c>
      <c r="O9" s="75">
        <v>0.157</v>
      </c>
      <c r="P9" s="63">
        <v>85.0</v>
      </c>
      <c r="Q9" s="58">
        <v>94.86</v>
      </c>
      <c r="R9" s="65">
        <v>4480.8</v>
      </c>
      <c r="S9" s="66">
        <f t="array" ref="S9">IF((XLOOKUP(D9,RUC!$B$3:$B$106,RUC!$E$3:$E$106)+ROUNDDOWN(O9,1)*100)&lt;95,95,((XLOOKUP(D9,RUC!$B$3:$B$106,RUC!$E$3:$E$106)+ROUNDDOWN(O9,1)*100)))</f>
        <v>95</v>
      </c>
      <c r="U9" s="67">
        <f t="array" ref="U9">XLOOKUP(D9,RUC!$B$3:$B$110,RUC!$F$3:$F$110)</f>
        <v>120</v>
      </c>
      <c r="V9" s="67">
        <v>1.1023</v>
      </c>
      <c r="Y9" s="199">
        <v>25.0</v>
      </c>
      <c r="Z9" s="140">
        <v>35.0</v>
      </c>
      <c r="AA9" s="70">
        <f t="shared" si="5"/>
        <v>60</v>
      </c>
      <c r="AB9" s="71">
        <f t="shared" si="6"/>
        <v>470.6256181</v>
      </c>
      <c r="AC9" s="71">
        <f>+(S9-T9)*V9-'data 1'!$F$4</f>
        <v>24.7185</v>
      </c>
      <c r="AD9" s="71">
        <f t="shared" si="7"/>
        <v>82.46926798</v>
      </c>
      <c r="AE9" s="71">
        <f t="shared" si="8"/>
        <v>-3.862</v>
      </c>
      <c r="AF9" s="71">
        <f t="shared" si="9"/>
        <v>77.51718946</v>
      </c>
      <c r="AG9" s="72">
        <f t="shared" si="10"/>
        <v>197.8429574</v>
      </c>
      <c r="AH9" s="193">
        <f t="shared" si="11"/>
        <v>35.878</v>
      </c>
      <c r="AI9" s="193">
        <f t="shared" si="12"/>
        <v>37.822</v>
      </c>
      <c r="AJ9" s="73">
        <f t="shared" si="13"/>
        <v>116.2971153</v>
      </c>
      <c r="AK9" s="73">
        <f t="shared" si="14"/>
        <v>29.00794112</v>
      </c>
      <c r="AM9" s="51">
        <f t="shared" si="15"/>
        <v>2983.766419</v>
      </c>
      <c r="AN9" s="51" t="str">
        <f t="array" ref="AN9">XLOOKUP(D9,RUC!$B$3:$B$565,RUC!$M$3:$M$565)</f>
        <v>Ronald Miranda</v>
      </c>
      <c r="AO9" s="131" t="s">
        <v>558</v>
      </c>
      <c r="AP9" s="57" t="s">
        <v>2769</v>
      </c>
      <c r="AQ9" s="57" t="s">
        <v>2770</v>
      </c>
      <c r="AR9" s="2" t="s">
        <v>2898</v>
      </c>
      <c r="AV9" s="152" t="s">
        <v>558</v>
      </c>
      <c r="AW9" s="154">
        <f t="shared" ref="AW9:AW18" si="18">SUMIF($AO$4:$AO$762,AV9,$K$4:$K$762)</f>
        <v>166.2</v>
      </c>
      <c r="AX9" s="154">
        <f t="array" ref="AX9">+SUMPRODUCT(IF($AO$4:$AO$762=AV9,$L$4:$L$762*$K$4:$K$762/AW9))</f>
        <v>0.3249306558</v>
      </c>
      <c r="AY9" s="155">
        <f t="shared" ref="AY9:AY18" si="19">31.1035*1.1023*AX9*(100-AZ9)/100</f>
        <v>0.9898767869</v>
      </c>
      <c r="AZ9" s="157">
        <f t="array" ref="AZ9">+SUMPRODUCT(IF($AO$4:$AO$762=AV9,($Q$4:$Q$762*$AH$4:$AH$762)/SUMIF($AO$4:$AO$762,$AV9,$AH$4:$AH$762)))</f>
        <v>91.11450998</v>
      </c>
      <c r="BA9" s="200">
        <f t="shared" ref="BA9:BA18" si="20">+AX9*31.1035*1.1023*AW9</f>
        <v>1851.530096</v>
      </c>
      <c r="BB9" s="156">
        <f t="shared" ref="BB9:BB12" si="21">SUMIF($AO$4:$AO$140,$AV9,$AH$4:$AH$140)</f>
        <v>1675.74</v>
      </c>
      <c r="BC9" s="157">
        <f>+BA9-BB9</f>
        <v>175.7900964</v>
      </c>
      <c r="BD9" s="158">
        <f>+AW9</f>
        <v>166.2</v>
      </c>
    </row>
    <row r="10" ht="15.0" customHeight="1">
      <c r="A10" s="116" t="s">
        <v>2899</v>
      </c>
      <c r="B10" s="182">
        <v>46034.0</v>
      </c>
      <c r="C10" s="182">
        <v>46017.0</v>
      </c>
      <c r="D10" s="57" t="s">
        <v>665</v>
      </c>
      <c r="E10" s="3">
        <f t="array" ref="E10">XLOOKUP(D10,RUC!$B$3:$B$110,RUC!$D$3:$D$110)</f>
        <v>20608774000</v>
      </c>
      <c r="G10" s="141">
        <v>55.0</v>
      </c>
      <c r="H10" s="3" t="s">
        <v>47</v>
      </c>
      <c r="I10" s="6">
        <v>4.94</v>
      </c>
      <c r="J10" s="58">
        <v>1.55</v>
      </c>
      <c r="K10" s="6">
        <f t="shared" si="2"/>
        <v>4.863</v>
      </c>
      <c r="L10" s="139">
        <v>0.124</v>
      </c>
      <c r="M10" s="60">
        <f t="shared" si="3"/>
        <v>0.105</v>
      </c>
      <c r="N10" s="62">
        <f t="shared" si="17"/>
        <v>0.105</v>
      </c>
      <c r="O10" s="60">
        <f t="shared" ref="O10:O17" si="22">+ROUND((M10+N10)/2,3)</f>
        <v>0.105</v>
      </c>
      <c r="P10" s="63">
        <v>80.0</v>
      </c>
      <c r="Q10" s="58">
        <v>97.48</v>
      </c>
      <c r="R10" s="65">
        <v>4480.8</v>
      </c>
      <c r="S10" s="66">
        <f t="array" ref="S10">IF((XLOOKUP(D10,RUC!$B$3:$B$106,RUC!$E$3:$E$106)+ROUNDDOWN(O10,1)*100)&lt;95,95,((XLOOKUP(D10,RUC!$B$3:$B$106,RUC!$E$3:$E$106)+ROUNDDOWN(O10,1)*100)))</f>
        <v>95</v>
      </c>
      <c r="U10" s="67">
        <f t="array" ref="U10">XLOOKUP(D10,RUC!$B$3:$B$110,RUC!$F$3:$F$110)</f>
        <v>120</v>
      </c>
      <c r="V10" s="67">
        <v>1.1023</v>
      </c>
      <c r="Y10" s="199">
        <v>25.0</v>
      </c>
      <c r="Z10" s="140">
        <v>35.0</v>
      </c>
      <c r="AA10" s="70">
        <f t="shared" si="5"/>
        <v>60</v>
      </c>
      <c r="AB10" s="71">
        <f t="shared" si="6"/>
        <v>232.9239266</v>
      </c>
      <c r="AC10" s="71">
        <f>+(S10-T10)*V10-'data 1'!$F$4</f>
        <v>24.7185</v>
      </c>
      <c r="AD10" s="71">
        <f t="shared" si="7"/>
        <v>104.1907322</v>
      </c>
      <c r="AE10" s="71">
        <f t="shared" si="8"/>
        <v>-3.862</v>
      </c>
      <c r="AF10" s="71">
        <f t="shared" si="9"/>
        <v>89.02973853</v>
      </c>
      <c r="AG10" s="72">
        <f t="shared" si="10"/>
        <v>231.0769707</v>
      </c>
      <c r="AH10" s="193">
        <f t="shared" si="11"/>
        <v>20.154</v>
      </c>
      <c r="AI10" s="193">
        <f t="shared" si="12"/>
        <v>20.675</v>
      </c>
      <c r="AJ10" s="73">
        <f t="shared" si="13"/>
        <v>85.16747651</v>
      </c>
      <c r="AK10" s="73">
        <f t="shared" si="14"/>
        <v>14.00530674</v>
      </c>
      <c r="AM10" s="51">
        <f t="shared" si="15"/>
        <v>1132.709055</v>
      </c>
      <c r="AN10" s="51" t="str">
        <f t="array" ref="AN10">XLOOKUP(D10,RUC!$B$3:$B$565,RUC!$M$3:$M$565)</f>
        <v>Ronald Miranda</v>
      </c>
      <c r="AO10" s="131" t="s">
        <v>558</v>
      </c>
      <c r="AP10" s="57" t="s">
        <v>2769</v>
      </c>
      <c r="AQ10" s="57" t="s">
        <v>2770</v>
      </c>
      <c r="AV10" s="160" t="s">
        <v>551</v>
      </c>
      <c r="AW10" s="6">
        <f t="shared" si="18"/>
        <v>150.263</v>
      </c>
      <c r="AX10" s="6">
        <f t="array" ref="AX10">+SUMPRODUCT(IF($AO$4:$AO$762=AV10,$L$4:$L$762*$K$4:$K$762/AW10))</f>
        <v>0.3378818205</v>
      </c>
      <c r="AY10" s="145">
        <f t="shared" si="19"/>
        <v>0.5984825721</v>
      </c>
      <c r="AZ10" s="58">
        <f t="array" ref="AZ10">+SUMPRODUCT(IF($AO$4:$AO$762=AV10,($Q$4:$Q$762*$AH$4:$AH$762)/SUMIF($AO$4:$AO$762,$AV10,$AH$4:$AH$762)))</f>
        <v>94.83372389</v>
      </c>
      <c r="BA10" s="5">
        <f t="shared" si="20"/>
        <v>1740.708099</v>
      </c>
      <c r="BB10" s="65">
        <f t="shared" si="21"/>
        <v>1642.923</v>
      </c>
      <c r="BC10" s="58">
        <f t="shared" ref="BC10:BC18" si="23">+BC9+BA10-BB10</f>
        <v>273.5751959</v>
      </c>
      <c r="BD10" s="161">
        <f t="shared" ref="BD10:BD18" si="24">+BD9+AW10</f>
        <v>316.463</v>
      </c>
    </row>
    <row r="11" ht="15.0" customHeight="1">
      <c r="A11" s="116" t="s">
        <v>2900</v>
      </c>
      <c r="B11" s="182">
        <v>46027.0</v>
      </c>
      <c r="C11" s="182">
        <v>46017.0</v>
      </c>
      <c r="D11" s="57" t="s">
        <v>665</v>
      </c>
      <c r="E11" s="3">
        <f t="array" ref="E11">XLOOKUP(D11,RUC!$B$3:$B$110,RUC!$D$3:$D$110)</f>
        <v>20608774000</v>
      </c>
      <c r="G11" s="141">
        <v>25.0</v>
      </c>
      <c r="H11" s="3" t="s">
        <v>47</v>
      </c>
      <c r="I11" s="6">
        <v>2.36</v>
      </c>
      <c r="J11" s="58">
        <v>1.4</v>
      </c>
      <c r="K11" s="6">
        <f t="shared" si="2"/>
        <v>2.327</v>
      </c>
      <c r="L11" s="139">
        <v>0.719</v>
      </c>
      <c r="M11" s="60">
        <f t="shared" si="3"/>
        <v>0.676</v>
      </c>
      <c r="N11" s="62">
        <f t="shared" si="17"/>
        <v>0.676</v>
      </c>
      <c r="O11" s="60">
        <f t="shared" si="22"/>
        <v>0.676</v>
      </c>
      <c r="P11" s="63">
        <v>90.0</v>
      </c>
      <c r="Q11" s="58">
        <v>96.94</v>
      </c>
      <c r="R11" s="65">
        <v>4480.8</v>
      </c>
      <c r="S11" s="66">
        <f t="array" ref="S11">IF((XLOOKUP(D11,RUC!$B$3:$B$106,RUC!$E$3:$E$106)+ROUNDDOWN(O11,1)*100)&lt;95,95,((XLOOKUP(D11,RUC!$B$3:$B$106,RUC!$E$3:$E$106)+ROUNDDOWN(O11,1)*100)))</f>
        <v>145</v>
      </c>
      <c r="U11" s="67">
        <f t="array" ref="U11">XLOOKUP(D11,RUC!$B$3:$B$110,RUC!$F$3:$F$110)</f>
        <v>120</v>
      </c>
      <c r="V11" s="67">
        <v>1.1023</v>
      </c>
      <c r="Y11" s="199">
        <v>25.0</v>
      </c>
      <c r="Z11" s="140">
        <v>35.0</v>
      </c>
      <c r="AA11" s="70">
        <f t="shared" si="5"/>
        <v>60</v>
      </c>
      <c r="AB11" s="71">
        <f t="shared" si="6"/>
        <v>2698.552447</v>
      </c>
      <c r="AC11" s="71">
        <f>+(S11-T11)*V11-'data 1'!$F$4</f>
        <v>79.8335</v>
      </c>
      <c r="AD11" s="71">
        <f t="shared" si="7"/>
        <v>239.8580713</v>
      </c>
      <c r="AE11" s="71">
        <f t="shared" si="8"/>
        <v>-3.862</v>
      </c>
      <c r="AF11" s="71">
        <f t="shared" si="9"/>
        <v>200.3721912</v>
      </c>
      <c r="AG11" s="72">
        <f t="shared" si="10"/>
        <v>533.2017625</v>
      </c>
      <c r="AH11" s="193">
        <f t="shared" si="11"/>
        <v>55.608</v>
      </c>
      <c r="AI11" s="193">
        <f t="shared" si="12"/>
        <v>57.363</v>
      </c>
      <c r="AJ11" s="73">
        <f t="shared" si="13"/>
        <v>491.0983551</v>
      </c>
      <c r="AK11" s="73">
        <f t="shared" si="14"/>
        <v>48.53942842</v>
      </c>
      <c r="AM11" s="51">
        <f t="shared" si="15"/>
        <v>6279.531543</v>
      </c>
      <c r="AN11" s="51" t="str">
        <f t="array" ref="AN11">XLOOKUP(D11,RUC!$B$3:$B$565,RUC!$M$3:$M$565)</f>
        <v>Ronald Miranda</v>
      </c>
      <c r="AO11" s="131" t="s">
        <v>558</v>
      </c>
      <c r="AP11" s="57" t="s">
        <v>2708</v>
      </c>
      <c r="AQ11" s="57" t="s">
        <v>2709</v>
      </c>
      <c r="AV11" s="160" t="s">
        <v>547</v>
      </c>
      <c r="AW11" s="6">
        <f t="shared" si="18"/>
        <v>136.018</v>
      </c>
      <c r="AX11" s="6">
        <f t="array" ref="AX11">+SUMPRODUCT(IF($AO$4:$AO$762=AV11,$L$4:$L$762*$K$4:$K$762/AW11))</f>
        <v>0.3407929465</v>
      </c>
      <c r="AY11" s="145">
        <f t="shared" si="19"/>
        <v>0.719408156</v>
      </c>
      <c r="AZ11" s="58">
        <f t="array" ref="AZ11">+SUMPRODUCT(IF($AO$4:$AO$762=AV11,($Q$4:$Q$762*$AH$4:$AH$762)/SUMIF($AO$4:$AO$762,$AV11,$AH$4:$AH$762)))</f>
        <v>93.84290733</v>
      </c>
      <c r="BA11" s="65">
        <f t="shared" si="20"/>
        <v>1589.264021</v>
      </c>
      <c r="BB11" s="65">
        <f t="shared" si="21"/>
        <v>1489.774</v>
      </c>
      <c r="BC11" s="58">
        <f t="shared" si="23"/>
        <v>373.0652165</v>
      </c>
      <c r="BD11" s="161">
        <f t="shared" si="24"/>
        <v>452.481</v>
      </c>
    </row>
    <row r="12" ht="15.0" customHeight="1">
      <c r="A12" s="116" t="s">
        <v>2901</v>
      </c>
      <c r="B12" s="182">
        <v>46027.0</v>
      </c>
      <c r="C12" s="182">
        <v>46019.0</v>
      </c>
      <c r="D12" s="57" t="s">
        <v>665</v>
      </c>
      <c r="E12" s="3">
        <f t="array" ref="E12">XLOOKUP(D12,RUC!$B$3:$B$110,RUC!$D$3:$D$110)</f>
        <v>20608774000</v>
      </c>
      <c r="G12" s="141">
        <v>38.0</v>
      </c>
      <c r="H12" s="3" t="s">
        <v>47</v>
      </c>
      <c r="I12" s="6">
        <v>3.64</v>
      </c>
      <c r="J12" s="58">
        <v>1.85</v>
      </c>
      <c r="K12" s="6">
        <f t="shared" si="2"/>
        <v>3.573</v>
      </c>
      <c r="L12" s="139">
        <v>0.751</v>
      </c>
      <c r="M12" s="60">
        <f t="shared" si="3"/>
        <v>0.706</v>
      </c>
      <c r="N12" s="62">
        <f t="shared" si="17"/>
        <v>0.706</v>
      </c>
      <c r="O12" s="60">
        <f t="shared" si="22"/>
        <v>0.706</v>
      </c>
      <c r="P12" s="63">
        <v>90.0</v>
      </c>
      <c r="Q12" s="58">
        <v>96.14</v>
      </c>
      <c r="R12" s="65">
        <v>4480.8</v>
      </c>
      <c r="S12" s="66">
        <f t="array" ref="S12">IF((XLOOKUP(D12,RUC!$B$3:$B$106,RUC!$E$3:$E$106)+ROUNDDOWN(O12,1)*100)&lt;95,95,((XLOOKUP(D12,RUC!$B$3:$B$106,RUC!$E$3:$E$106)+ROUNDDOWN(O12,1)*100)))</f>
        <v>155</v>
      </c>
      <c r="U12" s="67">
        <f t="array" ref="U12">XLOOKUP(D12,RUC!$B$3:$B$110,RUC!$F$3:$F$110)</f>
        <v>120</v>
      </c>
      <c r="V12" s="67">
        <v>1.1023</v>
      </c>
      <c r="Y12" s="199">
        <v>25.0</v>
      </c>
      <c r="Z12" s="140">
        <v>35.0</v>
      </c>
      <c r="AA12" s="70">
        <f t="shared" si="5"/>
        <v>60</v>
      </c>
      <c r="AB12" s="71">
        <f t="shared" si="6"/>
        <v>2817.316012</v>
      </c>
      <c r="AC12" s="71">
        <f>+(S12-T12)*V12-'data 1'!$F$4</f>
        <v>90.8565</v>
      </c>
      <c r="AD12" s="71">
        <f t="shared" si="7"/>
        <v>221.6533424</v>
      </c>
      <c r="AE12" s="71">
        <f t="shared" si="8"/>
        <v>-3.862</v>
      </c>
      <c r="AF12" s="71">
        <f t="shared" si="9"/>
        <v>207.9613404</v>
      </c>
      <c r="AG12" s="72">
        <f t="shared" si="10"/>
        <v>533.6091828</v>
      </c>
      <c r="AH12" s="193">
        <f t="shared" si="11"/>
        <v>88.448</v>
      </c>
      <c r="AI12" s="193">
        <f t="shared" si="12"/>
        <v>91.999</v>
      </c>
      <c r="AJ12" s="73">
        <f t="shared" si="13"/>
        <v>508.7221278</v>
      </c>
      <c r="AK12" s="73">
        <f t="shared" si="14"/>
        <v>77.83757478</v>
      </c>
      <c r="AM12" s="51">
        <f t="shared" si="15"/>
        <v>10066.27011</v>
      </c>
      <c r="AN12" s="51" t="str">
        <f t="array" ref="AN12">XLOOKUP(D12,RUC!$B$3:$B$565,RUC!$M$3:$M$565)</f>
        <v>Ronald Miranda</v>
      </c>
      <c r="AO12" s="131" t="s">
        <v>558</v>
      </c>
      <c r="AP12" s="57" t="s">
        <v>2789</v>
      </c>
      <c r="AQ12" s="57" t="s">
        <v>1881</v>
      </c>
      <c r="AV12" s="160" t="s">
        <v>549</v>
      </c>
      <c r="AW12" s="6">
        <f t="shared" si="18"/>
        <v>0</v>
      </c>
      <c r="AX12" s="6">
        <f t="array" ref="AX12">+SUMPRODUCT(IF($AO$4:$AO$762=AV12,$L$4:$L$762*$K$4:$K$762/AW12))</f>
        <v>0</v>
      </c>
      <c r="AY12" s="145">
        <f t="shared" si="19"/>
        <v>0</v>
      </c>
      <c r="AZ12" s="58">
        <f t="array" ref="AZ12">+SUMPRODUCT(IF($AO$4:$AO$762=AV12,($Q$4:$Q$762*$AH$4:$AH$762)/SUMIF($AO$4:$AO$762,$AV12,$AH$4:$AH$762)))</f>
        <v>0</v>
      </c>
      <c r="BA12" s="65">
        <f t="shared" si="20"/>
        <v>0</v>
      </c>
      <c r="BB12" s="65">
        <f t="shared" si="21"/>
        <v>0</v>
      </c>
      <c r="BC12" s="58">
        <f t="shared" si="23"/>
        <v>373.0652165</v>
      </c>
      <c r="BD12" s="161">
        <f t="shared" si="24"/>
        <v>452.481</v>
      </c>
    </row>
    <row r="13" ht="15.0" customHeight="1">
      <c r="A13" s="116" t="s">
        <v>2902</v>
      </c>
      <c r="B13" s="182">
        <v>46027.0</v>
      </c>
      <c r="C13" s="182">
        <v>46019.0</v>
      </c>
      <c r="D13" s="57" t="s">
        <v>665</v>
      </c>
      <c r="E13" s="3">
        <f t="array" ref="E13">XLOOKUP(D13,RUC!$B$3:$B$110,RUC!$D$3:$D$110)</f>
        <v>20608774000</v>
      </c>
      <c r="G13" s="141">
        <v>22.0</v>
      </c>
      <c r="H13" s="3" t="s">
        <v>47</v>
      </c>
      <c r="I13" s="6">
        <v>2.25</v>
      </c>
      <c r="J13" s="58">
        <v>3.25</v>
      </c>
      <c r="K13" s="6">
        <f t="shared" si="2"/>
        <v>2.177</v>
      </c>
      <c r="L13" s="139">
        <v>0.312</v>
      </c>
      <c r="M13" s="60">
        <f t="shared" si="3"/>
        <v>0.293</v>
      </c>
      <c r="N13" s="62">
        <f t="shared" si="17"/>
        <v>0.293</v>
      </c>
      <c r="O13" s="60">
        <f t="shared" si="22"/>
        <v>0.293</v>
      </c>
      <c r="P13" s="63">
        <v>90.0</v>
      </c>
      <c r="Q13" s="58">
        <v>97.12</v>
      </c>
      <c r="R13" s="65">
        <v>4480.8</v>
      </c>
      <c r="S13" s="66">
        <f t="array" ref="S13">IF((XLOOKUP(D13,RUC!$B$3:$B$106,RUC!$E$3:$E$106)+ROUNDDOWN(O13,1)*100)&lt;95,95,((XLOOKUP(D13,RUC!$B$3:$B$106,RUC!$E$3:$E$106)+ROUNDDOWN(O13,1)*100)))</f>
        <v>105</v>
      </c>
      <c r="U13" s="67">
        <f t="array" ref="U13">XLOOKUP(D13,RUC!$B$3:$B$110,RUC!$F$3:$F$110)</f>
        <v>120</v>
      </c>
      <c r="V13" s="67">
        <v>1.1023</v>
      </c>
      <c r="Y13" s="199">
        <v>25.0</v>
      </c>
      <c r="Z13" s="140">
        <v>35.0</v>
      </c>
      <c r="AA13" s="70">
        <f t="shared" si="5"/>
        <v>60</v>
      </c>
      <c r="AB13" s="71">
        <f t="shared" si="6"/>
        <v>1085.702625</v>
      </c>
      <c r="AC13" s="71">
        <f>+(S13-T13)*V13-'data 1'!$F$4</f>
        <v>35.7415</v>
      </c>
      <c r="AD13" s="71">
        <f t="shared" si="7"/>
        <v>106.7826179</v>
      </c>
      <c r="AE13" s="71">
        <f t="shared" si="8"/>
        <v>-3.862</v>
      </c>
      <c r="AF13" s="71">
        <f t="shared" si="9"/>
        <v>88.7009459</v>
      </c>
      <c r="AG13" s="72">
        <f t="shared" si="10"/>
        <v>244.3630638</v>
      </c>
      <c r="AH13" s="193">
        <f t="shared" si="11"/>
        <v>22.617</v>
      </c>
      <c r="AI13" s="193">
        <f t="shared" si="12"/>
        <v>23.287</v>
      </c>
      <c r="AJ13" s="73">
        <f t="shared" si="13"/>
        <v>213.5009646</v>
      </c>
      <c r="AK13" s="73">
        <f t="shared" si="14"/>
        <v>19.68238072</v>
      </c>
      <c r="AM13" s="51">
        <f t="shared" si="15"/>
        <v>2363.574614</v>
      </c>
      <c r="AN13" s="51" t="str">
        <f t="array" ref="AN13">XLOOKUP(D13,RUC!$B$3:$B$565,RUC!$M$3:$M$565)</f>
        <v>Ronald Miranda</v>
      </c>
      <c r="AO13" s="131" t="s">
        <v>558</v>
      </c>
      <c r="AP13" s="57" t="s">
        <v>2789</v>
      </c>
      <c r="AQ13" s="57" t="s">
        <v>1881</v>
      </c>
      <c r="AV13" s="160" t="s">
        <v>561</v>
      </c>
      <c r="AW13" s="6">
        <f t="shared" si="18"/>
        <v>0</v>
      </c>
      <c r="AX13" s="6">
        <f t="array" ref="AX13">+SUMPRODUCT(IF($AO$4:$AO$762=AV13,$L$4:$L$762*$K$4:$K$762/AW13))</f>
        <v>0</v>
      </c>
      <c r="AY13" s="145">
        <f t="shared" si="19"/>
        <v>0</v>
      </c>
      <c r="AZ13" s="58">
        <f t="array" ref="AZ13">+SUMPRODUCT(IF($AO$4:$AO$762=AV13,($Q$4:$Q$762*$AH$4:$AH$762)/SUMIF($AO$4:$AO$762,$AV13,$AH$4:$AH$762)))</f>
        <v>0</v>
      </c>
      <c r="BA13" s="65">
        <f t="shared" si="20"/>
        <v>0</v>
      </c>
      <c r="BB13" s="65">
        <f t="shared" ref="BB13:BB18" si="25">SUMIF($AO$4:$AO$65,$AV13,$AH$4:$AH$65)</f>
        <v>0</v>
      </c>
      <c r="BC13" s="58">
        <f t="shared" si="23"/>
        <v>373.0652165</v>
      </c>
      <c r="BD13" s="161">
        <f t="shared" si="24"/>
        <v>452.481</v>
      </c>
    </row>
    <row r="14" ht="15.0" customHeight="1">
      <c r="A14" s="116" t="s">
        <v>2903</v>
      </c>
      <c r="B14" s="182">
        <v>46027.0</v>
      </c>
      <c r="C14" s="182">
        <v>46019.0</v>
      </c>
      <c r="D14" s="57" t="s">
        <v>665</v>
      </c>
      <c r="E14" s="3">
        <f t="array" ref="E14">XLOOKUP(D14,RUC!$B$3:$B$110,RUC!$D$3:$D$110)</f>
        <v>20608774000</v>
      </c>
      <c r="G14" s="141">
        <v>80.0</v>
      </c>
      <c r="H14" s="3" t="s">
        <v>47</v>
      </c>
      <c r="I14" s="6">
        <v>7.35</v>
      </c>
      <c r="J14" s="58">
        <v>2.05</v>
      </c>
      <c r="K14" s="6">
        <f t="shared" si="2"/>
        <v>7.199</v>
      </c>
      <c r="L14" s="139">
        <v>0.627</v>
      </c>
      <c r="M14" s="60">
        <f t="shared" si="3"/>
        <v>0.589</v>
      </c>
      <c r="N14" s="62">
        <f t="shared" si="17"/>
        <v>0.589</v>
      </c>
      <c r="O14" s="60">
        <f t="shared" si="22"/>
        <v>0.589</v>
      </c>
      <c r="P14" s="63">
        <v>79.0</v>
      </c>
      <c r="Q14" s="130">
        <v>79.27</v>
      </c>
      <c r="R14" s="65">
        <v>4480.8</v>
      </c>
      <c r="S14" s="66">
        <f t="array" ref="S14">IF((XLOOKUP(D14,RUC!$B$3:$B$106,RUC!$E$3:$E$106)+ROUNDDOWN(O14,1)*100)&lt;95,95,((XLOOKUP(D14,RUC!$B$3:$B$106,RUC!$E$3:$E$106)+ROUNDDOWN(O14,1)*100)))</f>
        <v>135</v>
      </c>
      <c r="U14" s="67">
        <f t="array" ref="U14">XLOOKUP(D14,RUC!$B$3:$B$110,RUC!$F$3:$F$110)</f>
        <v>120</v>
      </c>
      <c r="V14" s="67">
        <v>1.1023</v>
      </c>
      <c r="Y14" s="199">
        <v>25.0</v>
      </c>
      <c r="Z14" s="140">
        <v>35.0</v>
      </c>
      <c r="AA14" s="70">
        <f t="shared" si="5"/>
        <v>60</v>
      </c>
      <c r="AB14" s="71">
        <f t="shared" si="6"/>
        <v>2021.754718</v>
      </c>
      <c r="AC14" s="71">
        <f>+(S14-T14)*V14-'data 1'!$F$4</f>
        <v>68.8105</v>
      </c>
      <c r="AD14" s="71">
        <f t="shared" si="7"/>
        <v>8.137617668</v>
      </c>
      <c r="AE14" s="71">
        <f t="shared" si="8"/>
        <v>-3.862</v>
      </c>
      <c r="AF14" s="71">
        <f t="shared" si="9"/>
        <v>144.7966223</v>
      </c>
      <c r="AG14" s="72">
        <f t="shared" si="10"/>
        <v>234.88274</v>
      </c>
      <c r="AH14" s="193">
        <f t="shared" si="11"/>
        <v>122.675</v>
      </c>
      <c r="AI14" s="193">
        <f t="shared" si="12"/>
        <v>154.756</v>
      </c>
      <c r="AJ14" s="73">
        <f t="shared" si="13"/>
        <v>350.1974446</v>
      </c>
      <c r="AK14" s="73">
        <f t="shared" si="14"/>
        <v>114.8480508</v>
      </c>
      <c r="AM14" s="51">
        <f t="shared" si="15"/>
        <v>14554.61221</v>
      </c>
      <c r="AN14" s="51" t="str">
        <f t="array" ref="AN14">XLOOKUP(D14,RUC!$B$3:$B$565,RUC!$M$3:$M$565)</f>
        <v>Ronald Miranda</v>
      </c>
      <c r="AO14" s="131" t="s">
        <v>558</v>
      </c>
      <c r="AP14" s="57" t="s">
        <v>2789</v>
      </c>
      <c r="AQ14" s="57" t="s">
        <v>1881</v>
      </c>
      <c r="AV14" s="160" t="s">
        <v>689</v>
      </c>
      <c r="AW14" s="6">
        <f t="shared" si="18"/>
        <v>0</v>
      </c>
      <c r="AX14" s="6">
        <f t="array" ref="AX14">+SUMPRODUCT(IF($AO$4:$AO$762=AV14,$L$4:$L$762*$K$4:$K$762/AW14))</f>
        <v>0</v>
      </c>
      <c r="AY14" s="145">
        <f t="shared" si="19"/>
        <v>0</v>
      </c>
      <c r="AZ14" s="58">
        <f t="array" ref="AZ14">+SUMPRODUCT(IF('38'!$AO$4:$AO$654=AV14,('38'!$Q$4:$Q$654*'38'!$AH$4:$AH$654)/SUMIF('38'!$AO$4:$AO$654,#REF!,'38'!$AH$4:$AH$654)))</f>
        <v>0</v>
      </c>
      <c r="BA14" s="65">
        <f t="shared" si="20"/>
        <v>0</v>
      </c>
      <c r="BB14" s="65">
        <f t="shared" si="25"/>
        <v>0</v>
      </c>
      <c r="BC14" s="58">
        <f t="shared" si="23"/>
        <v>373.0652165</v>
      </c>
      <c r="BD14" s="161">
        <f t="shared" si="24"/>
        <v>452.481</v>
      </c>
    </row>
    <row r="15" ht="15.0" customHeight="1">
      <c r="A15" s="116" t="s">
        <v>2904</v>
      </c>
      <c r="B15" s="182">
        <v>46027.0</v>
      </c>
      <c r="C15" s="182">
        <v>46019.0</v>
      </c>
      <c r="D15" s="57" t="s">
        <v>665</v>
      </c>
      <c r="E15" s="3">
        <f t="array" ref="E15">XLOOKUP(D15,RUC!$B$3:$B$110,RUC!$D$3:$D$110)</f>
        <v>20608774000</v>
      </c>
      <c r="G15" s="141">
        <v>20.0</v>
      </c>
      <c r="H15" s="3" t="s">
        <v>47</v>
      </c>
      <c r="I15" s="6">
        <v>1.83</v>
      </c>
      <c r="J15" s="58">
        <v>4.2</v>
      </c>
      <c r="K15" s="6">
        <f t="shared" si="2"/>
        <v>1.753</v>
      </c>
      <c r="L15" s="139">
        <v>0.489</v>
      </c>
      <c r="M15" s="60">
        <f t="shared" si="3"/>
        <v>0.46</v>
      </c>
      <c r="N15" s="62">
        <f t="shared" si="17"/>
        <v>0.46</v>
      </c>
      <c r="O15" s="60">
        <f t="shared" si="22"/>
        <v>0.46</v>
      </c>
      <c r="P15" s="63">
        <v>89.0</v>
      </c>
      <c r="Q15" s="58">
        <v>89.16</v>
      </c>
      <c r="R15" s="65">
        <v>4480.8</v>
      </c>
      <c r="S15" s="66">
        <f t="array" ref="S15">IF((XLOOKUP(D15,RUC!$B$3:$B$106,RUC!$E$3:$E$106)+ROUNDDOWN(O15,1)*100)&lt;95,95,((XLOOKUP(D15,RUC!$B$3:$B$106,RUC!$E$3:$E$106)+ROUNDDOWN(O15,1)*100)))</f>
        <v>125</v>
      </c>
      <c r="U15" s="67">
        <f t="array" ref="U15">XLOOKUP(D15,RUC!$B$3:$B$110,RUC!$F$3:$F$110)</f>
        <v>120</v>
      </c>
      <c r="V15" s="67">
        <v>1.1023</v>
      </c>
      <c r="Y15" s="199">
        <v>25.0</v>
      </c>
      <c r="Z15" s="140">
        <v>35.0</v>
      </c>
      <c r="AA15" s="70">
        <f t="shared" si="5"/>
        <v>60</v>
      </c>
      <c r="AB15" s="71">
        <f t="shared" si="6"/>
        <v>1764.023388</v>
      </c>
      <c r="AC15" s="71">
        <f>+(S15-T15)*V15-'data 1'!$F$4</f>
        <v>57.7875</v>
      </c>
      <c r="AD15" s="71">
        <f t="shared" si="7"/>
        <v>3.760926259</v>
      </c>
      <c r="AE15" s="71">
        <f t="shared" si="8"/>
        <v>-3.862</v>
      </c>
      <c r="AF15" s="71">
        <f t="shared" si="9"/>
        <v>124.2893836</v>
      </c>
      <c r="AG15" s="72">
        <f t="shared" si="10"/>
        <v>198.9758098</v>
      </c>
      <c r="AH15" s="193">
        <f t="shared" si="11"/>
        <v>26.204</v>
      </c>
      <c r="AI15" s="193">
        <f t="shared" si="12"/>
        <v>29.39</v>
      </c>
      <c r="AJ15" s="73">
        <f t="shared" si="13"/>
        <v>307.1959549</v>
      </c>
      <c r="AK15" s="73">
        <f t="shared" si="14"/>
        <v>24.60587558</v>
      </c>
      <c r="AM15" s="51">
        <f t="shared" si="15"/>
        <v>3092.333</v>
      </c>
      <c r="AN15" s="51" t="str">
        <f t="array" ref="AN15">XLOOKUP(D15,RUC!$B$3:$B$565,RUC!$M$3:$M$565)</f>
        <v>Ronald Miranda</v>
      </c>
      <c r="AO15" s="131" t="s">
        <v>558</v>
      </c>
      <c r="AP15" s="57" t="s">
        <v>2789</v>
      </c>
      <c r="AQ15" s="57" t="s">
        <v>1881</v>
      </c>
      <c r="AV15" s="160" t="s">
        <v>690</v>
      </c>
      <c r="AW15" s="6">
        <f t="shared" si="18"/>
        <v>0</v>
      </c>
      <c r="AX15" s="6">
        <f t="array" ref="AX15">+SUMPRODUCT(IF($AO$4:$AO$762=AV15,$L$4:$L$762*$K$4:$K$762/AW15))</f>
        <v>0</v>
      </c>
      <c r="AY15" s="145">
        <f t="shared" si="19"/>
        <v>0</v>
      </c>
      <c r="AZ15" s="58">
        <f t="array" ref="AZ15">+SUMPRODUCT(IF('38'!$AO$4:$AO$654=AV15,('38'!$Q$4:$Q$654*'38'!$AH$4:$AH$654)/SUMIF('38'!$AO$4:$AO$654,#REF!,'38'!$AH$4:$AH$654)))</f>
        <v>0</v>
      </c>
      <c r="BA15" s="65">
        <f t="shared" si="20"/>
        <v>0</v>
      </c>
      <c r="BB15" s="65">
        <f t="shared" si="25"/>
        <v>0</v>
      </c>
      <c r="BC15" s="58">
        <f t="shared" si="23"/>
        <v>373.0652165</v>
      </c>
      <c r="BD15" s="161">
        <f t="shared" si="24"/>
        <v>452.481</v>
      </c>
    </row>
    <row r="16" ht="15.0" customHeight="1">
      <c r="A16" s="116" t="s">
        <v>2905</v>
      </c>
      <c r="B16" s="182">
        <v>46027.0</v>
      </c>
      <c r="C16" s="182">
        <v>46019.0</v>
      </c>
      <c r="D16" s="57" t="s">
        <v>665</v>
      </c>
      <c r="E16" s="3">
        <f t="array" ref="E16">XLOOKUP(D16,RUC!$B$3:$B$110,RUC!$D$3:$D$110)</f>
        <v>20608774000</v>
      </c>
      <c r="G16" s="141">
        <v>9.0</v>
      </c>
      <c r="H16" s="3" t="s">
        <v>47</v>
      </c>
      <c r="I16" s="6">
        <v>0.88</v>
      </c>
      <c r="J16" s="58">
        <v>2.6</v>
      </c>
      <c r="K16" s="6">
        <f t="shared" si="2"/>
        <v>0.857</v>
      </c>
      <c r="L16" s="139">
        <v>0.348</v>
      </c>
      <c r="M16" s="60">
        <f t="shared" si="3"/>
        <v>0.327</v>
      </c>
      <c r="N16" s="62">
        <f t="shared" si="17"/>
        <v>0.327</v>
      </c>
      <c r="O16" s="60">
        <f t="shared" si="22"/>
        <v>0.327</v>
      </c>
      <c r="P16" s="63">
        <v>89.0</v>
      </c>
      <c r="Q16" s="58">
        <v>89.94</v>
      </c>
      <c r="R16" s="65">
        <v>4480.8</v>
      </c>
      <c r="S16" s="66">
        <f t="array" ref="S16">IF((XLOOKUP(D16,RUC!$B$3:$B$106,RUC!$E$3:$E$106)+ROUNDDOWN(O16,1)*100)&lt;95,95,((XLOOKUP(D16,RUC!$B$3:$B$106,RUC!$E$3:$E$106)+ROUNDDOWN(O16,1)*100)))</f>
        <v>115</v>
      </c>
      <c r="U16" s="67">
        <f t="array" ref="U16">XLOOKUP(D16,RUC!$B$3:$B$110,RUC!$F$3:$F$110)</f>
        <v>120</v>
      </c>
      <c r="V16" s="67">
        <v>1.1023</v>
      </c>
      <c r="Y16" s="199">
        <v>25.0</v>
      </c>
      <c r="Z16" s="140">
        <v>35.0</v>
      </c>
      <c r="AA16" s="70">
        <f t="shared" si="5"/>
        <v>60</v>
      </c>
      <c r="AB16" s="71">
        <f t="shared" si="6"/>
        <v>1206.052471</v>
      </c>
      <c r="AC16" s="71">
        <f>+(S16-T16)*V16-'data 1'!$F$4</f>
        <v>46.7645</v>
      </c>
      <c r="AD16" s="71">
        <f t="shared" si="7"/>
        <v>15.72436347</v>
      </c>
      <c r="AE16" s="71">
        <f t="shared" si="8"/>
        <v>-3.862</v>
      </c>
      <c r="AF16" s="71">
        <f t="shared" si="9"/>
        <v>90.79002891</v>
      </c>
      <c r="AG16" s="72">
        <f t="shared" si="10"/>
        <v>166.4168924</v>
      </c>
      <c r="AH16" s="193">
        <f t="shared" si="11"/>
        <v>9.196</v>
      </c>
      <c r="AI16" s="193">
        <f t="shared" si="12"/>
        <v>10.225</v>
      </c>
      <c r="AJ16" s="73">
        <f t="shared" si="13"/>
        <v>220.5305197</v>
      </c>
      <c r="AK16" s="73">
        <f t="shared" si="14"/>
        <v>8.551211547</v>
      </c>
      <c r="AM16" s="51">
        <f t="shared" si="15"/>
        <v>1033.586967</v>
      </c>
      <c r="AN16" s="51" t="str">
        <f t="array" ref="AN16">XLOOKUP(D16,RUC!$B$3:$B$565,RUC!$M$3:$M$565)</f>
        <v>Ronald Miranda</v>
      </c>
      <c r="AO16" s="131" t="s">
        <v>558</v>
      </c>
      <c r="AP16" s="57" t="s">
        <v>2789</v>
      </c>
      <c r="AQ16" s="57" t="s">
        <v>1881</v>
      </c>
      <c r="AV16" s="160" t="s">
        <v>691</v>
      </c>
      <c r="AW16" s="6">
        <f t="shared" si="18"/>
        <v>0</v>
      </c>
      <c r="AX16" s="6">
        <f t="array" ref="AX16">+SUMPRODUCT(IF($AO$4:$AO$762=AV16,$L$4:$L$762*$K$4:$K$762/AW16))</f>
        <v>0</v>
      </c>
      <c r="AY16" s="145">
        <f t="shared" si="19"/>
        <v>0</v>
      </c>
      <c r="AZ16" s="58">
        <f t="array" ref="AZ16">+SUMPRODUCT(IF('38'!$AO$4:$AO$654=AV16,('38'!$Q$4:$Q$654*'38'!$AH$4:$AH$654)/SUMIF('38'!$AO$4:$AO$654,#REF!,'38'!$AH$4:$AH$654)))</f>
        <v>0</v>
      </c>
      <c r="BA16" s="65">
        <f t="shared" si="20"/>
        <v>0</v>
      </c>
      <c r="BB16" s="65">
        <f t="shared" si="25"/>
        <v>0</v>
      </c>
      <c r="BC16" s="58">
        <f t="shared" si="23"/>
        <v>373.0652165</v>
      </c>
      <c r="BD16" s="161">
        <f t="shared" si="24"/>
        <v>452.481</v>
      </c>
    </row>
    <row r="17" ht="15.0" customHeight="1">
      <c r="A17" s="116" t="s">
        <v>2906</v>
      </c>
      <c r="B17" s="182">
        <v>46027.0</v>
      </c>
      <c r="C17" s="182">
        <v>46019.0</v>
      </c>
      <c r="D17" s="57" t="s">
        <v>665</v>
      </c>
      <c r="E17" s="3">
        <f t="array" ref="E17">XLOOKUP(D17,RUC!$B$3:$B$110,RUC!$D$3:$D$110)</f>
        <v>20608774000</v>
      </c>
      <c r="G17" s="141">
        <v>62.0</v>
      </c>
      <c r="H17" s="3" t="s">
        <v>47</v>
      </c>
      <c r="I17" s="6">
        <v>5.92</v>
      </c>
      <c r="J17" s="58">
        <v>5.0</v>
      </c>
      <c r="K17" s="6">
        <f t="shared" si="2"/>
        <v>5.624</v>
      </c>
      <c r="L17" s="139">
        <v>0.243</v>
      </c>
      <c r="M17" s="60">
        <f t="shared" si="3"/>
        <v>0.224</v>
      </c>
      <c r="N17" s="62">
        <f t="shared" si="17"/>
        <v>0.224</v>
      </c>
      <c r="O17" s="60">
        <f t="shared" si="22"/>
        <v>0.224</v>
      </c>
      <c r="P17" s="63">
        <v>90.0</v>
      </c>
      <c r="Q17" s="58">
        <v>96.3</v>
      </c>
      <c r="R17" s="65">
        <v>4480.8</v>
      </c>
      <c r="S17" s="66">
        <f t="array" ref="S17">IF((XLOOKUP(D17,RUC!$B$3:$B$106,RUC!$E$3:$E$106)+ROUNDDOWN(O17,1)*100)&lt;95,95,((XLOOKUP(D17,RUC!$B$3:$B$106,RUC!$E$3:$E$106)+ROUNDDOWN(O17,1)*100)))</f>
        <v>105</v>
      </c>
      <c r="U17" s="67">
        <f t="array" ref="U17">XLOOKUP(D17,RUC!$B$3:$B$110,RUC!$F$3:$F$110)</f>
        <v>120</v>
      </c>
      <c r="V17" s="67">
        <v>1.1023</v>
      </c>
      <c r="Y17" s="199">
        <v>25.0</v>
      </c>
      <c r="Z17" s="140">
        <v>35.0</v>
      </c>
      <c r="AA17" s="70">
        <f t="shared" si="5"/>
        <v>60</v>
      </c>
      <c r="AB17" s="71">
        <f t="shared" si="6"/>
        <v>787.1935237</v>
      </c>
      <c r="AC17" s="71">
        <f>+(S17-T17)*V17-'data 1'!$F$4</f>
        <v>35.7415</v>
      </c>
      <c r="AD17" s="71">
        <f t="shared" si="7"/>
        <v>73.58898274</v>
      </c>
      <c r="AE17" s="71">
        <f t="shared" si="8"/>
        <v>-3.862</v>
      </c>
      <c r="AF17" s="71">
        <f t="shared" si="9"/>
        <v>87.95202934</v>
      </c>
      <c r="AG17" s="72">
        <f t="shared" si="10"/>
        <v>210.4205121</v>
      </c>
      <c r="AH17" s="193">
        <f t="shared" si="11"/>
        <v>45.122</v>
      </c>
      <c r="AI17" s="193">
        <f t="shared" si="12"/>
        <v>46.856</v>
      </c>
      <c r="AJ17" s="73">
        <f t="shared" si="13"/>
        <v>164.8804388</v>
      </c>
      <c r="AK17" s="73">
        <f t="shared" si="14"/>
        <v>38.87271811</v>
      </c>
      <c r="AM17" s="51">
        <f t="shared" si="15"/>
        <v>4427.176378</v>
      </c>
      <c r="AN17" s="51" t="str">
        <f t="array" ref="AN17">XLOOKUP(D17,RUC!$B$3:$B$565,RUC!$M$3:$M$565)</f>
        <v>Ronald Miranda</v>
      </c>
      <c r="AO17" s="131" t="s">
        <v>558</v>
      </c>
      <c r="AP17" s="57" t="s">
        <v>2789</v>
      </c>
      <c r="AQ17" s="57" t="s">
        <v>1881</v>
      </c>
      <c r="AV17" s="160" t="s">
        <v>692</v>
      </c>
      <c r="AW17" s="6">
        <f t="shared" si="18"/>
        <v>0</v>
      </c>
      <c r="AX17" s="6">
        <f t="array" ref="AX17">+SUMPRODUCT(IF($AO$4:$AO$762=AV17,$L$4:$L$762*$K$4:$K$762/AW17))</f>
        <v>0</v>
      </c>
      <c r="AY17" s="145">
        <f t="shared" si="19"/>
        <v>0</v>
      </c>
      <c r="AZ17" s="58">
        <f t="array" ref="AZ17">+SUMPRODUCT(IF('38'!$AO$4:$AO$654=AV17,('38'!$Q$4:$Q$654*'38'!$AH$4:$AH$654)/SUMIF('38'!$AO$4:$AO$654,#REF!,'38'!$AH$4:$AH$654)))</f>
        <v>0</v>
      </c>
      <c r="BA17" s="65">
        <f t="shared" si="20"/>
        <v>0</v>
      </c>
      <c r="BB17" s="65">
        <f t="shared" si="25"/>
        <v>0</v>
      </c>
      <c r="BC17" s="58">
        <f t="shared" si="23"/>
        <v>373.0652165</v>
      </c>
      <c r="BD17" s="161">
        <f t="shared" si="24"/>
        <v>452.481</v>
      </c>
    </row>
    <row r="18" ht="15.0" customHeight="1">
      <c r="A18" s="192" t="s">
        <v>2907</v>
      </c>
      <c r="B18" s="194">
        <v>46025.0</v>
      </c>
      <c r="C18" s="182">
        <v>46020.0</v>
      </c>
      <c r="D18" s="2" t="s">
        <v>806</v>
      </c>
      <c r="E18" s="3">
        <f t="array" ref="E18">XLOOKUP(D18,RUC!$B$3:$B$110,RUC!$D$3:$D$110)</f>
        <v>20614284740</v>
      </c>
      <c r="G18" s="141">
        <v>22.0</v>
      </c>
      <c r="H18" s="3" t="s">
        <v>47</v>
      </c>
      <c r="I18" s="6">
        <v>1.82</v>
      </c>
      <c r="J18" s="58">
        <v>1.25</v>
      </c>
      <c r="K18" s="6">
        <f t="shared" si="2"/>
        <v>1.797</v>
      </c>
      <c r="L18" s="139">
        <v>0.115</v>
      </c>
      <c r="M18" s="60">
        <v>0.097</v>
      </c>
      <c r="N18" s="62">
        <f t="shared" si="17"/>
        <v>0.097</v>
      </c>
      <c r="O18" s="61">
        <v>0.11</v>
      </c>
      <c r="P18" s="63">
        <v>80.0</v>
      </c>
      <c r="Q18" s="58">
        <v>96.36</v>
      </c>
      <c r="R18" s="65">
        <v>4337.05</v>
      </c>
      <c r="S18" s="66">
        <f t="array" ref="S18">IF((XLOOKUP(D18,RUC!$B$3:$B$106,RUC!$E$3:$E$106)+ROUNDDOWN(O18,1)*100)&lt;95,95,((XLOOKUP(D18,RUC!$B$3:$B$106,RUC!$E$3:$E$106)+ROUNDDOWN(O18,1)*100)))</f>
        <v>100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69">
        <f t="array" ref="Z18">XLOOKUP(D18,RUC!$B$3:$B$110,RUC!$H$3:$H$110)</f>
        <v>30</v>
      </c>
      <c r="AA18" s="70">
        <f t="shared" si="5"/>
        <v>50</v>
      </c>
      <c r="AB18" s="71">
        <f t="shared" si="6"/>
        <v>243.7189709</v>
      </c>
      <c r="AC18" s="71">
        <f>+(S18-T18)*V18-'data 1'!$F$4</f>
        <v>30.23</v>
      </c>
      <c r="AD18" s="71">
        <f t="shared" si="7"/>
        <v>87.4560176</v>
      </c>
      <c r="AE18" s="71">
        <f t="shared" si="8"/>
        <v>-14.885</v>
      </c>
      <c r="AF18" s="71">
        <f t="shared" si="9"/>
        <v>22.39625241</v>
      </c>
      <c r="AG18" s="72">
        <f t="shared" si="10"/>
        <v>142.19727</v>
      </c>
      <c r="AH18" s="193">
        <f t="shared" si="11"/>
        <v>6.827</v>
      </c>
      <c r="AI18" s="193">
        <f t="shared" si="12"/>
        <v>7.085</v>
      </c>
      <c r="AJ18" s="73">
        <f t="shared" si="13"/>
        <v>95.63755562</v>
      </c>
      <c r="AK18" s="73">
        <f t="shared" si="14"/>
        <v>5.421754125</v>
      </c>
      <c r="AM18" s="51">
        <f t="shared" si="15"/>
        <v>437.9629907</v>
      </c>
      <c r="AN18" s="51" t="str">
        <f t="array" ref="AN18">XLOOKUP(D18,RUC!$B$3:$B$565,RUC!$M$3:$M$565)</f>
        <v>Dante </v>
      </c>
      <c r="AO18" s="131" t="s">
        <v>551</v>
      </c>
      <c r="AP18" s="57" t="s">
        <v>2712</v>
      </c>
      <c r="AQ18" s="57" t="s">
        <v>2713</v>
      </c>
      <c r="AR18" s="2" t="s">
        <v>2824</v>
      </c>
      <c r="AV18" s="163" t="s">
        <v>693</v>
      </c>
      <c r="AW18" s="165">
        <f t="shared" si="18"/>
        <v>0</v>
      </c>
      <c r="AX18" s="165">
        <f t="array" ref="AX18">+SUMPRODUCT(IF('38'!$AO$4:$AO$654=AV18,'38'!$L$4:$L$654*'38'!$K$4:$K$654/AW18))</f>
        <v>0</v>
      </c>
      <c r="AY18" s="166">
        <f t="shared" si="19"/>
        <v>0</v>
      </c>
      <c r="AZ18" s="168">
        <f t="array" ref="AZ18">+SUMPRODUCT(IF('38'!$AO$4:$AO$654=AV18,('38'!$Q$4:$Q$654*'38'!$AH$4:$AH$654)/SUMIF('38'!$AO$4:$AO$654,#REF!,'38'!$AH$4:$AH$654)))</f>
        <v>0</v>
      </c>
      <c r="BA18" s="167">
        <f t="shared" si="20"/>
        <v>0</v>
      </c>
      <c r="BB18" s="167">
        <f t="shared" si="25"/>
        <v>0</v>
      </c>
      <c r="BC18" s="168">
        <f t="shared" si="23"/>
        <v>373.0652165</v>
      </c>
      <c r="BD18" s="169">
        <f t="shared" si="24"/>
        <v>452.481</v>
      </c>
    </row>
    <row r="19" ht="15.0" customHeight="1">
      <c r="A19" s="192" t="s">
        <v>2908</v>
      </c>
      <c r="B19" s="194">
        <v>46025.0</v>
      </c>
      <c r="C19" s="182">
        <v>46022.0</v>
      </c>
      <c r="D19" s="57" t="s">
        <v>806</v>
      </c>
      <c r="E19" s="3">
        <f t="array" ref="E19">XLOOKUP(D19,RUC!$B$3:$B$110,RUC!$D$3:$D$110)</f>
        <v>20614284740</v>
      </c>
      <c r="G19" s="141">
        <v>72.0</v>
      </c>
      <c r="H19" s="3" t="s">
        <v>47</v>
      </c>
      <c r="I19" s="6">
        <v>7.28</v>
      </c>
      <c r="J19" s="58">
        <v>1.25</v>
      </c>
      <c r="K19" s="6">
        <f t="shared" si="2"/>
        <v>7.189</v>
      </c>
      <c r="L19" s="139">
        <v>0.045</v>
      </c>
      <c r="M19" s="60">
        <f t="shared" ref="M19:M20" si="26">ROUND(+IF(AN19="Melchor Vera",IF(L19&gt;0.467,L19*0.985,(L19-0.007)),IF(L19&gt;0.3,L19*0.94,(L19-0.019))),3)</f>
        <v>0.026</v>
      </c>
      <c r="N19" s="62">
        <f t="shared" si="17"/>
        <v>0.026</v>
      </c>
      <c r="O19" s="60">
        <f t="shared" ref="O19:O33" si="27">+ROUND((M19+N19)/2,3)</f>
        <v>0.026</v>
      </c>
      <c r="P19" s="63">
        <v>80.0</v>
      </c>
      <c r="Q19" s="58">
        <v>91.3</v>
      </c>
      <c r="R19" s="65">
        <v>4307.95</v>
      </c>
      <c r="S19" s="66">
        <f t="array" ref="S19">IF((XLOOKUP(D19,RUC!$B$3:$B$106,RUC!$E$3:$E$106)+ROUNDDOWN(O19,1)*100)&lt;95,95,((XLOOKUP(D19,RUC!$B$3:$B$106,RUC!$E$3:$E$106)+ROUNDDOWN(O19,1)*100)))</f>
        <v>95</v>
      </c>
      <c r="U19" s="67">
        <f t="array" ref="U19">XLOOKUP(D19,RUC!$B$3:$B$110,RUC!$F$3:$F$110)</f>
        <v>120</v>
      </c>
      <c r="V19" s="67">
        <v>1.1023</v>
      </c>
      <c r="Y19" s="57">
        <f t="array" ref="Y19">XLOOKUP(D19,RUC!$B$3:$B$110,RUC!$G$3:$G$110)</f>
        <v>20</v>
      </c>
      <c r="Z19" s="69">
        <f t="array" ref="Z19">XLOOKUP(D19,RUC!$B$3:$B$110,RUC!$H$3:$H$110)</f>
        <v>30</v>
      </c>
      <c r="AA19" s="70">
        <f t="shared" si="5"/>
        <v>50</v>
      </c>
      <c r="AB19" s="71">
        <v>0.0</v>
      </c>
      <c r="AC19" s="71">
        <f>+(S19-T19)*V19-'data 1'!$F$4</f>
        <v>24.7185</v>
      </c>
      <c r="AD19" s="71">
        <f t="shared" si="7"/>
        <v>23.47427849</v>
      </c>
      <c r="AE19" s="71">
        <f t="shared" si="8"/>
        <v>-14.885</v>
      </c>
      <c r="AF19" s="71">
        <f t="shared" si="9"/>
        <v>80.08029676</v>
      </c>
      <c r="AG19" s="72">
        <f>AC19+AD19+AE19+AF19+70</f>
        <v>183.3880753</v>
      </c>
      <c r="AH19" s="193">
        <f t="shared" si="11"/>
        <v>10.127</v>
      </c>
      <c r="AI19" s="193">
        <f t="shared" si="12"/>
        <v>11.091</v>
      </c>
      <c r="AJ19" s="73">
        <f t="shared" si="13"/>
        <v>36.77611675</v>
      </c>
      <c r="AK19" s="73">
        <f t="shared" si="14"/>
        <v>5.126735218</v>
      </c>
      <c r="AM19" s="51">
        <f t="shared" si="15"/>
        <v>0</v>
      </c>
      <c r="AN19" s="51" t="str">
        <f t="array" ref="AN19">XLOOKUP(D19,RUC!$B$3:$B$565,RUC!$M$3:$M$565)</f>
        <v>Dante </v>
      </c>
      <c r="AO19" s="131" t="s">
        <v>551</v>
      </c>
      <c r="AP19" s="57" t="s">
        <v>2722</v>
      </c>
      <c r="AQ19" s="57" t="s">
        <v>2723</v>
      </c>
      <c r="AV19" s="2"/>
      <c r="AW19" s="6"/>
      <c r="AX19" s="6"/>
      <c r="AY19" s="145"/>
      <c r="AZ19" s="58"/>
      <c r="BA19" s="65"/>
      <c r="BB19" s="65"/>
      <c r="BC19" s="58"/>
      <c r="BD19" s="65"/>
    </row>
    <row r="20" ht="15.0" customHeight="1">
      <c r="A20" s="192" t="s">
        <v>2909</v>
      </c>
      <c r="B20" s="194">
        <v>46025.0</v>
      </c>
      <c r="C20" s="182">
        <v>46022.0</v>
      </c>
      <c r="D20" s="57" t="s">
        <v>806</v>
      </c>
      <c r="E20" s="3">
        <f t="array" ref="E20">XLOOKUP(D20,RUC!$B$3:$B$110,RUC!$D$3:$D$110)</f>
        <v>20614284740</v>
      </c>
      <c r="G20" s="141">
        <v>10.0</v>
      </c>
      <c r="H20" s="3" t="s">
        <v>47</v>
      </c>
      <c r="I20" s="6">
        <v>0.97</v>
      </c>
      <c r="J20" s="58">
        <v>1.35</v>
      </c>
      <c r="K20" s="6">
        <f t="shared" si="2"/>
        <v>0.957</v>
      </c>
      <c r="L20" s="139">
        <v>0.098</v>
      </c>
      <c r="M20" s="60">
        <f t="shared" si="26"/>
        <v>0.079</v>
      </c>
      <c r="N20" s="62">
        <f t="shared" si="17"/>
        <v>0.079</v>
      </c>
      <c r="O20" s="60">
        <f t="shared" si="27"/>
        <v>0.079</v>
      </c>
      <c r="P20" s="63">
        <v>80.0</v>
      </c>
      <c r="Q20" s="58">
        <v>87.63</v>
      </c>
      <c r="R20" s="65">
        <v>4307.95</v>
      </c>
      <c r="S20" s="66">
        <f t="array" ref="S20">IF((XLOOKUP(D20,RUC!$B$3:$B$106,RUC!$E$3:$E$106)+ROUNDDOWN(O20,1)*100)&lt;95,95,((XLOOKUP(D20,RUC!$B$3:$B$106,RUC!$E$3:$E$106)+ROUNDDOWN(O20,1)*100)))</f>
        <v>95</v>
      </c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69">
        <f t="array" ref="Z20">XLOOKUP(D20,RUC!$B$3:$B$110,RUC!$H$3:$H$110)</f>
        <v>30</v>
      </c>
      <c r="AA20" s="70">
        <f t="shared" si="5"/>
        <v>50</v>
      </c>
      <c r="AB20" s="71">
        <v>0.001</v>
      </c>
      <c r="AC20" s="71">
        <f>+(S20-T20)*V20-'data 1'!$F$4</f>
        <v>24.7185</v>
      </c>
      <c r="AD20" s="71">
        <f t="shared" si="7"/>
        <v>34.51849951</v>
      </c>
      <c r="AE20" s="71">
        <f t="shared" si="8"/>
        <v>-14.885</v>
      </c>
      <c r="AF20" s="71">
        <f t="shared" si="9"/>
        <v>76.86129688</v>
      </c>
      <c r="AG20" s="72">
        <f>AC20+AD20+AE20+AF20+70-53+131.92</f>
        <v>270.1332964</v>
      </c>
      <c r="AH20" s="193">
        <f t="shared" si="11"/>
        <v>2.818</v>
      </c>
      <c r="AI20" s="193">
        <f t="shared" si="12"/>
        <v>3.215</v>
      </c>
      <c r="AJ20" s="73">
        <f t="shared" si="13"/>
        <v>76.87081145</v>
      </c>
      <c r="AK20" s="73">
        <f t="shared" si="14"/>
        <v>2.073662554</v>
      </c>
      <c r="AM20" s="51">
        <f t="shared" si="15"/>
        <v>0.000957</v>
      </c>
      <c r="AN20" s="51" t="str">
        <f t="array" ref="AN20">XLOOKUP(D20,RUC!$B$3:$B$565,RUC!$M$3:$M$565)</f>
        <v>Dante </v>
      </c>
      <c r="AO20" s="131" t="s">
        <v>551</v>
      </c>
      <c r="AP20" s="57" t="s">
        <v>2722</v>
      </c>
      <c r="AQ20" s="57" t="s">
        <v>2723</v>
      </c>
    </row>
    <row r="21" ht="15.0" customHeight="1">
      <c r="A21" s="116" t="s">
        <v>2910</v>
      </c>
      <c r="B21" s="182">
        <v>46030.0</v>
      </c>
      <c r="C21" s="182">
        <v>46024.0</v>
      </c>
      <c r="D21" s="57" t="s">
        <v>665</v>
      </c>
      <c r="E21" s="3">
        <f t="array" ref="E21">XLOOKUP(D21,RUC!$B$3:$B$110,RUC!$D$3:$D$110)</f>
        <v>20608774000</v>
      </c>
      <c r="G21" s="141">
        <v>22.0</v>
      </c>
      <c r="H21" s="3" t="s">
        <v>47</v>
      </c>
      <c r="I21" s="6">
        <v>1.95</v>
      </c>
      <c r="J21" s="58">
        <v>1.2</v>
      </c>
      <c r="K21" s="6">
        <f t="shared" si="2"/>
        <v>1.927</v>
      </c>
      <c r="L21" s="139">
        <v>0.124</v>
      </c>
      <c r="M21" s="60">
        <f t="shared" ref="M21:M27" si="28">ROUND(+IF(AN21="Melchor Vera",IF(L21&gt;0.467,L21*0.985,(L21-0.007)),IF(L21&gt;0.3,L21*0.94,(L21-0.018))),3)</f>
        <v>0.106</v>
      </c>
      <c r="N21" s="62">
        <f t="shared" si="17"/>
        <v>0.106</v>
      </c>
      <c r="O21" s="60">
        <f t="shared" si="27"/>
        <v>0.106</v>
      </c>
      <c r="P21" s="63">
        <v>80.0</v>
      </c>
      <c r="Q21" s="58">
        <v>92.21</v>
      </c>
      <c r="R21" s="65">
        <v>4307.95</v>
      </c>
      <c r="S21" s="66">
        <f t="array" ref="S21">IF((XLOOKUP(D21,RUC!$B$3:$B$106,RUC!$E$3:$E$106)+ROUNDDOWN(O21,1)*100)&lt;95,95,((XLOOKUP(D21,RUC!$B$3:$B$106,RUC!$E$3:$E$106)+ROUNDDOWN(O21,1)*100)))</f>
        <v>95</v>
      </c>
      <c r="U21" s="67">
        <f t="array" ref="U21">XLOOKUP(D21,RUC!$B$3:$B$110,RUC!$F$3:$F$110)</f>
        <v>120</v>
      </c>
      <c r="V21" s="67">
        <v>1.1023</v>
      </c>
      <c r="Y21" s="199">
        <v>25.0</v>
      </c>
      <c r="Z21" s="140">
        <v>35.0</v>
      </c>
      <c r="AA21" s="70">
        <f t="shared" si="5"/>
        <v>60</v>
      </c>
      <c r="AB21" s="71">
        <f t="shared" ref="AB21:AB30" si="29">+((O21*P21*(R21-U21)/100)-S21-AA21+T21)*V21</f>
        <v>220.6122938</v>
      </c>
      <c r="AC21" s="71">
        <f>+(S21-T21)*V21-'data 1'!$F$4</f>
        <v>24.7185</v>
      </c>
      <c r="AD21" s="71">
        <f t="shared" si="7"/>
        <v>69.89379865</v>
      </c>
      <c r="AE21" s="71">
        <f t="shared" si="8"/>
        <v>-3.862</v>
      </c>
      <c r="AF21" s="71">
        <f t="shared" si="9"/>
        <v>76.6217069</v>
      </c>
      <c r="AG21" s="72">
        <f t="shared" ref="AG21:AG25" si="30">AC21+AD21+AE21+AF21+70-53</f>
        <v>184.3720055</v>
      </c>
      <c r="AH21" s="193">
        <f t="shared" si="11"/>
        <v>7.554</v>
      </c>
      <c r="AI21" s="193">
        <f t="shared" si="12"/>
        <v>8.192</v>
      </c>
      <c r="AJ21" s="73">
        <f t="shared" si="13"/>
        <v>102.3486893</v>
      </c>
      <c r="AK21" s="73">
        <f t="shared" si="14"/>
        <v>5.602561547</v>
      </c>
      <c r="AM21" s="51">
        <f t="shared" si="15"/>
        <v>425.1198901</v>
      </c>
      <c r="AN21" s="51" t="str">
        <f t="array" ref="AN21">XLOOKUP(D21,RUC!$B$3:$B$565,RUC!$M$3:$M$565)</f>
        <v>Ronald Miranda</v>
      </c>
      <c r="AO21" s="131" t="s">
        <v>558</v>
      </c>
      <c r="AP21" s="57" t="s">
        <v>2794</v>
      </c>
      <c r="AQ21" s="57" t="s">
        <v>2795</v>
      </c>
    </row>
    <row r="22" ht="15.0" customHeight="1">
      <c r="A22" s="116" t="s">
        <v>2911</v>
      </c>
      <c r="B22" s="182">
        <v>46030.0</v>
      </c>
      <c r="C22" s="182">
        <v>46024.0</v>
      </c>
      <c r="D22" s="57" t="s">
        <v>665</v>
      </c>
      <c r="E22" s="3">
        <f t="array" ref="E22">XLOOKUP(D22,RUC!$B$3:$B$110,RUC!$D$3:$D$110)</f>
        <v>20608774000</v>
      </c>
      <c r="G22" s="141">
        <v>12.0</v>
      </c>
      <c r="H22" s="3" t="s">
        <v>47</v>
      </c>
      <c r="I22" s="6">
        <v>1.18</v>
      </c>
      <c r="J22" s="58">
        <v>6.5</v>
      </c>
      <c r="K22" s="6">
        <f t="shared" si="2"/>
        <v>1.103</v>
      </c>
      <c r="L22" s="139">
        <v>0.165</v>
      </c>
      <c r="M22" s="60">
        <f t="shared" si="28"/>
        <v>0.147</v>
      </c>
      <c r="N22" s="62">
        <f t="shared" si="17"/>
        <v>0.147</v>
      </c>
      <c r="O22" s="60">
        <f t="shared" si="27"/>
        <v>0.147</v>
      </c>
      <c r="P22" s="63">
        <v>80.0</v>
      </c>
      <c r="Q22" s="58">
        <v>95.76</v>
      </c>
      <c r="R22" s="65">
        <v>4307.95</v>
      </c>
      <c r="S22" s="66">
        <f t="array" ref="S22">IF((XLOOKUP(D22,RUC!$B$3:$B$106,RUC!$E$3:$E$106)+ROUNDDOWN(O22,1)*100)&lt;95,95,((XLOOKUP(D22,RUC!$B$3:$B$106,RUC!$E$3:$E$106)+ROUNDDOWN(O22,1)*100)))</f>
        <v>95</v>
      </c>
      <c r="U22" s="67">
        <f t="array" ref="U22">XLOOKUP(D22,RUC!$B$3:$B$110,RUC!$F$3:$F$110)</f>
        <v>120</v>
      </c>
      <c r="V22" s="67">
        <v>1.1023</v>
      </c>
      <c r="Y22" s="199">
        <v>25.0</v>
      </c>
      <c r="Z22" s="140">
        <v>35.0</v>
      </c>
      <c r="AA22" s="70">
        <f t="shared" si="5"/>
        <v>60</v>
      </c>
      <c r="AB22" s="71">
        <f t="shared" si="29"/>
        <v>372.0294687</v>
      </c>
      <c r="AC22" s="71">
        <f>+(S22-T22)*V22-'data 1'!$F$4</f>
        <v>24.7185</v>
      </c>
      <c r="AD22" s="71">
        <f t="shared" si="7"/>
        <v>120.0442749</v>
      </c>
      <c r="AE22" s="71">
        <f t="shared" si="8"/>
        <v>-3.862</v>
      </c>
      <c r="AF22" s="71">
        <f t="shared" si="9"/>
        <v>79.57157199</v>
      </c>
      <c r="AG22" s="72">
        <f t="shared" si="30"/>
        <v>237.4723469</v>
      </c>
      <c r="AH22" s="193">
        <f t="shared" si="11"/>
        <v>5.975</v>
      </c>
      <c r="AI22" s="193">
        <f t="shared" si="12"/>
        <v>6.24</v>
      </c>
      <c r="AJ22" s="73">
        <f t="shared" si="13"/>
        <v>141.4329695</v>
      </c>
      <c r="AK22" s="73">
        <f t="shared" si="14"/>
        <v>4.447253683</v>
      </c>
      <c r="AM22" s="51">
        <f t="shared" si="15"/>
        <v>410.348504</v>
      </c>
      <c r="AN22" s="51" t="str">
        <f t="array" ref="AN22">XLOOKUP(D22,RUC!$B$3:$B$565,RUC!$M$3:$M$565)</f>
        <v>Ronald Miranda</v>
      </c>
      <c r="AO22" s="131" t="s">
        <v>558</v>
      </c>
      <c r="AP22" s="57" t="s">
        <v>2794</v>
      </c>
      <c r="AQ22" s="57" t="s">
        <v>2795</v>
      </c>
    </row>
    <row r="23" ht="15.0" customHeight="1">
      <c r="A23" s="116" t="s">
        <v>2912</v>
      </c>
      <c r="B23" s="182">
        <v>46030.0</v>
      </c>
      <c r="C23" s="182">
        <v>46024.0</v>
      </c>
      <c r="D23" s="57" t="s">
        <v>665</v>
      </c>
      <c r="E23" s="3">
        <f t="array" ref="E23">XLOOKUP(D23,RUC!$B$3:$B$110,RUC!$D$3:$D$110)</f>
        <v>20608774000</v>
      </c>
      <c r="G23" s="141">
        <v>14.0</v>
      </c>
      <c r="H23" s="3" t="s">
        <v>47</v>
      </c>
      <c r="I23" s="6">
        <v>1.24</v>
      </c>
      <c r="J23" s="58">
        <v>1.25</v>
      </c>
      <c r="K23" s="6">
        <f t="shared" si="2"/>
        <v>1.225</v>
      </c>
      <c r="L23" s="139">
        <v>0.229</v>
      </c>
      <c r="M23" s="60">
        <f t="shared" si="28"/>
        <v>0.211</v>
      </c>
      <c r="N23" s="62">
        <f t="shared" si="17"/>
        <v>0.211</v>
      </c>
      <c r="O23" s="60">
        <f t="shared" si="27"/>
        <v>0.211</v>
      </c>
      <c r="P23" s="63">
        <v>90.0</v>
      </c>
      <c r="Q23" s="58">
        <v>95.2</v>
      </c>
      <c r="R23" s="65">
        <v>4307.95</v>
      </c>
      <c r="S23" s="66">
        <f t="array" ref="S23">IF((XLOOKUP(D23,RUC!$B$3:$B$106,RUC!$E$3:$E$106)+ROUNDDOWN(O23,1)*100)&lt;95,95,((XLOOKUP(D23,RUC!$B$3:$B$106,RUC!$E$3:$E$106)+ROUNDDOWN(O23,1)*100)))</f>
        <v>105</v>
      </c>
      <c r="U23" s="67">
        <f t="array" ref="U23">XLOOKUP(D23,RUC!$B$3:$B$110,RUC!$F$3:$F$110)</f>
        <v>120</v>
      </c>
      <c r="V23" s="67">
        <v>1.1023</v>
      </c>
      <c r="Y23" s="199">
        <v>25.0</v>
      </c>
      <c r="Z23" s="140">
        <v>35.0</v>
      </c>
      <c r="AA23" s="70">
        <f t="shared" si="5"/>
        <v>60</v>
      </c>
      <c r="AB23" s="71">
        <f t="shared" si="29"/>
        <v>694.7705464</v>
      </c>
      <c r="AC23" s="71">
        <f>+(S23-T23)*V23-'data 1'!$F$4</f>
        <v>35.7415</v>
      </c>
      <c r="AD23" s="71">
        <f t="shared" si="7"/>
        <v>54.97182071</v>
      </c>
      <c r="AE23" s="71">
        <f t="shared" si="8"/>
        <v>-3.862</v>
      </c>
      <c r="AF23" s="71">
        <f t="shared" si="9"/>
        <v>79.10624116</v>
      </c>
      <c r="AG23" s="72">
        <f t="shared" si="30"/>
        <v>182.9575619</v>
      </c>
      <c r="AH23" s="193">
        <f t="shared" si="11"/>
        <v>9.156</v>
      </c>
      <c r="AI23" s="193">
        <f t="shared" si="12"/>
        <v>9.618</v>
      </c>
      <c r="AJ23" s="73">
        <f t="shared" si="13"/>
        <v>195.1439129</v>
      </c>
      <c r="AK23" s="73">
        <f t="shared" si="14"/>
        <v>7.975724109</v>
      </c>
      <c r="AM23" s="51">
        <f t="shared" si="15"/>
        <v>851.0939194</v>
      </c>
      <c r="AN23" s="51" t="str">
        <f t="array" ref="AN23">XLOOKUP(D23,RUC!$B$3:$B$565,RUC!$M$3:$M$565)</f>
        <v>Ronald Miranda</v>
      </c>
      <c r="AO23" s="131" t="s">
        <v>558</v>
      </c>
      <c r="AP23" s="57" t="s">
        <v>2794</v>
      </c>
      <c r="AQ23" s="57" t="s">
        <v>2795</v>
      </c>
    </row>
    <row r="24" ht="15.0" customHeight="1">
      <c r="A24" s="116" t="s">
        <v>2913</v>
      </c>
      <c r="B24" s="182">
        <v>46029.0</v>
      </c>
      <c r="C24" s="182">
        <v>46024.0</v>
      </c>
      <c r="D24" s="57" t="s">
        <v>665</v>
      </c>
      <c r="E24" s="3">
        <f t="array" ref="E24">XLOOKUP(D24,RUC!$B$3:$B$110,RUC!$D$3:$D$110)</f>
        <v>20608774000</v>
      </c>
      <c r="G24" s="141">
        <v>15.0</v>
      </c>
      <c r="H24" s="3" t="s">
        <v>47</v>
      </c>
      <c r="I24" s="6">
        <v>1.3</v>
      </c>
      <c r="J24" s="58">
        <v>1.2</v>
      </c>
      <c r="K24" s="6">
        <f t="shared" si="2"/>
        <v>1.284</v>
      </c>
      <c r="L24" s="139">
        <v>2.092</v>
      </c>
      <c r="M24" s="60">
        <f t="shared" si="28"/>
        <v>1.966</v>
      </c>
      <c r="N24" s="62">
        <f t="shared" si="17"/>
        <v>1.966</v>
      </c>
      <c r="O24" s="60">
        <f t="shared" si="27"/>
        <v>1.966</v>
      </c>
      <c r="P24" s="63">
        <v>90.0</v>
      </c>
      <c r="Q24" s="58">
        <v>95.75</v>
      </c>
      <c r="R24" s="65">
        <v>4307.95</v>
      </c>
      <c r="S24" s="66">
        <f t="array" ref="S24">IF((XLOOKUP(D24,RUC!$B$3:$B$106,RUC!$E$3:$E$106)+ROUNDDOWN(O24,1)*100)&lt;95,95,((XLOOKUP(D24,RUC!$B$3:$B$106,RUC!$E$3:$E$106)+ROUNDDOWN(O24,1)*100)))</f>
        <v>275</v>
      </c>
      <c r="U24" s="67">
        <f t="array" ref="U24">XLOOKUP(D24,RUC!$B$3:$B$110,RUC!$F$3:$F$110)</f>
        <v>120</v>
      </c>
      <c r="V24" s="67">
        <v>1.1023</v>
      </c>
      <c r="Y24" s="199">
        <v>25.0</v>
      </c>
      <c r="Z24" s="140">
        <v>35.0</v>
      </c>
      <c r="AA24" s="70">
        <f t="shared" si="5"/>
        <v>60</v>
      </c>
      <c r="AB24" s="71">
        <f t="shared" si="29"/>
        <v>7798.947468</v>
      </c>
      <c r="AC24" s="71">
        <f>+(S24-T24)*V24-'data 1'!$F$4</f>
        <v>223.1325</v>
      </c>
      <c r="AD24" s="71">
        <f t="shared" si="7"/>
        <v>555.3040236</v>
      </c>
      <c r="AE24" s="71">
        <f t="shared" si="8"/>
        <v>-3.862</v>
      </c>
      <c r="AF24" s="71">
        <f t="shared" si="9"/>
        <v>556.9428375</v>
      </c>
      <c r="AG24" s="72">
        <f t="shared" si="30"/>
        <v>1348.517361</v>
      </c>
      <c r="AH24" s="193">
        <f t="shared" si="11"/>
        <v>88.181</v>
      </c>
      <c r="AI24" s="193">
        <f t="shared" si="12"/>
        <v>92.095</v>
      </c>
      <c r="AJ24" s="73">
        <f t="shared" si="13"/>
        <v>1793.011359</v>
      </c>
      <c r="AK24" s="73">
        <f t="shared" si="14"/>
        <v>77.89330225</v>
      </c>
      <c r="AM24" s="51">
        <f t="shared" si="15"/>
        <v>10013.84855</v>
      </c>
      <c r="AN24" s="51" t="str">
        <f t="array" ref="AN24">XLOOKUP(D24,RUC!$B$3:$B$565,RUC!$M$3:$M$565)</f>
        <v>Ronald Miranda</v>
      </c>
      <c r="AO24" s="131" t="s">
        <v>558</v>
      </c>
      <c r="AP24" s="57" t="s">
        <v>2794</v>
      </c>
      <c r="AQ24" s="57" t="s">
        <v>2795</v>
      </c>
      <c r="BA24" s="203"/>
    </row>
    <row r="25" ht="15.0" customHeight="1">
      <c r="A25" s="116" t="s">
        <v>2914</v>
      </c>
      <c r="B25" s="182">
        <v>46030.0</v>
      </c>
      <c r="C25" s="182">
        <v>46024.0</v>
      </c>
      <c r="D25" s="57" t="s">
        <v>665</v>
      </c>
      <c r="E25" s="3">
        <f t="array" ref="E25">XLOOKUP(D25,RUC!$B$3:$B$110,RUC!$D$3:$D$110)</f>
        <v>20608774000</v>
      </c>
      <c r="G25" s="141">
        <v>74.0</v>
      </c>
      <c r="H25" s="3" t="s">
        <v>47</v>
      </c>
      <c r="I25" s="6">
        <v>6.55</v>
      </c>
      <c r="J25" s="58">
        <v>1.3</v>
      </c>
      <c r="K25" s="6">
        <f t="shared" si="2"/>
        <v>6.465</v>
      </c>
      <c r="L25" s="139">
        <v>0.353</v>
      </c>
      <c r="M25" s="60">
        <f t="shared" si="28"/>
        <v>0.332</v>
      </c>
      <c r="N25" s="62">
        <f t="shared" si="17"/>
        <v>0.332</v>
      </c>
      <c r="O25" s="60">
        <f t="shared" si="27"/>
        <v>0.332</v>
      </c>
      <c r="P25" s="63">
        <v>90.0</v>
      </c>
      <c r="Q25" s="58">
        <v>92.63</v>
      </c>
      <c r="R25" s="65">
        <v>4307.95</v>
      </c>
      <c r="S25" s="66">
        <f t="array" ref="S25">IF((XLOOKUP(D25,RUC!$B$3:$B$106,RUC!$E$3:$E$106)+ROUNDDOWN(O25,1)*100)&lt;95,95,((XLOOKUP(D25,RUC!$B$3:$B$106,RUC!$E$3:$E$106)+ROUNDDOWN(O25,1)*100)))</f>
        <v>115</v>
      </c>
      <c r="U25" s="67">
        <f t="array" ref="U25">XLOOKUP(D25,RUC!$B$3:$B$110,RUC!$F$3:$F$110)</f>
        <v>120</v>
      </c>
      <c r="V25" s="67">
        <v>1.1023</v>
      </c>
      <c r="Y25" s="199">
        <v>25.0</v>
      </c>
      <c r="Z25" s="140">
        <v>35.0</v>
      </c>
      <c r="AA25" s="70">
        <f t="shared" si="5"/>
        <v>60</v>
      </c>
      <c r="AB25" s="71">
        <f t="shared" si="29"/>
        <v>1186.471033</v>
      </c>
      <c r="AC25" s="71">
        <f>+(S25-T25)*V25-'data 1'!$F$4</f>
        <v>46.7645</v>
      </c>
      <c r="AD25" s="71">
        <f t="shared" si="7"/>
        <v>42.85798508</v>
      </c>
      <c r="AE25" s="71">
        <f t="shared" si="8"/>
        <v>-3.862</v>
      </c>
      <c r="AF25" s="71">
        <f t="shared" si="9"/>
        <v>89.79915586</v>
      </c>
      <c r="AG25" s="72">
        <f t="shared" si="30"/>
        <v>192.5596409</v>
      </c>
      <c r="AH25" s="193">
        <f t="shared" si="11"/>
        <v>72.478</v>
      </c>
      <c r="AI25" s="193">
        <f t="shared" si="12"/>
        <v>78.244</v>
      </c>
      <c r="AJ25" s="73">
        <f t="shared" si="13"/>
        <v>292.6907163</v>
      </c>
      <c r="AK25" s="73">
        <f t="shared" si="14"/>
        <v>66.23052408</v>
      </c>
      <c r="AM25" s="51">
        <f t="shared" si="15"/>
        <v>7670.535227</v>
      </c>
      <c r="AN25" s="51" t="str">
        <f t="array" ref="AN25">XLOOKUP(D25,RUC!$B$3:$B$565,RUC!$M$3:$M$565)</f>
        <v>Ronald Miranda</v>
      </c>
      <c r="AO25" s="131" t="s">
        <v>558</v>
      </c>
      <c r="AP25" s="57" t="s">
        <v>2794</v>
      </c>
      <c r="AQ25" s="57" t="s">
        <v>2795</v>
      </c>
      <c r="BA25" s="203"/>
    </row>
    <row r="26" ht="15.0" customHeight="1">
      <c r="A26" s="192" t="s">
        <v>2915</v>
      </c>
      <c r="B26" s="3"/>
      <c r="C26" s="448">
        <v>46024.0</v>
      </c>
      <c r="D26" s="57" t="s">
        <v>306</v>
      </c>
      <c r="E26" s="3">
        <f t="array" ref="E26">XLOOKUP(D26,RUC!$B$3:$B$110,RUC!$D$3:$D$110)</f>
        <v>20612921866</v>
      </c>
      <c r="G26" s="141" t="s">
        <v>1145</v>
      </c>
      <c r="H26" s="3" t="s">
        <v>47</v>
      </c>
      <c r="I26" s="6">
        <v>4.41</v>
      </c>
      <c r="J26" s="58">
        <v>1.3</v>
      </c>
      <c r="K26" s="6">
        <f t="shared" si="2"/>
        <v>4.353</v>
      </c>
      <c r="L26" s="139">
        <v>0.089</v>
      </c>
      <c r="M26" s="60">
        <f t="shared" si="28"/>
        <v>0.071</v>
      </c>
      <c r="N26" s="62">
        <f t="shared" si="17"/>
        <v>0.071</v>
      </c>
      <c r="O26" s="60">
        <f t="shared" si="27"/>
        <v>0.071</v>
      </c>
      <c r="P26" s="63">
        <v>90.0</v>
      </c>
      <c r="Q26" s="58">
        <v>82.02</v>
      </c>
      <c r="R26" s="65">
        <v>4307.95</v>
      </c>
      <c r="S26" s="66">
        <f t="array" ref="S26">IF((XLOOKUP(D26,RUC!$B$3:$B$106,RUC!$E$3:$E$106)+ROUNDDOWN(O26,1)*100)&lt;95,95,((XLOOKUP(D26,RUC!$B$3:$B$106,RUC!$E$3:$E$106)+ROUNDDOWN(O26,1)*100)))</f>
        <v>95</v>
      </c>
      <c r="U26" s="67">
        <f t="array" ref="U26">XLOOKUP(D26,RUC!$B$3:$B$110,RUC!$F$3:$F$110)</f>
        <v>100</v>
      </c>
      <c r="V26" s="67">
        <v>1.1023</v>
      </c>
      <c r="Y26" s="57" t="str">
        <f t="array" ref="Y26">XLOOKUP(D26,RUC!$B$3:$B$110,RUC!$G$3:$G$110)</f>
        <v/>
      </c>
      <c r="Z26" s="69">
        <f t="array" ref="Z26">XLOOKUP(D26,RUC!$B$3:$B$110,RUC!$H$3:$H$110)</f>
        <v>30</v>
      </c>
      <c r="AA26" s="70">
        <f t="shared" si="5"/>
        <v>30</v>
      </c>
      <c r="AB26" s="71">
        <f t="shared" si="29"/>
        <v>158.6077479</v>
      </c>
      <c r="AC26" s="71">
        <f>+(S26-T26)*V26-'data 1'!$F$4</f>
        <v>24.7185</v>
      </c>
      <c r="AD26" s="71">
        <f t="shared" si="7"/>
        <v>-32.94300985</v>
      </c>
      <c r="AE26" s="71">
        <f t="shared" si="8"/>
        <v>-36.931</v>
      </c>
      <c r="AF26" s="71">
        <f t="shared" si="9"/>
        <v>68.47982601</v>
      </c>
      <c r="AG26" s="72">
        <f>AC26+AD26+AE26+AF26+70-10</f>
        <v>83.32431616</v>
      </c>
      <c r="AH26" s="193">
        <f t="shared" si="11"/>
        <v>10.895</v>
      </c>
      <c r="AI26" s="193">
        <f t="shared" si="12"/>
        <v>13.283</v>
      </c>
      <c r="AJ26" s="73">
        <f t="shared" si="13"/>
        <v>63.73267943</v>
      </c>
      <c r="AK26" s="73">
        <f t="shared" si="14"/>
        <v>9.536710398</v>
      </c>
      <c r="AM26" s="51">
        <f t="shared" si="15"/>
        <v>690.4195267</v>
      </c>
      <c r="AN26" s="51" t="str">
        <f t="array" ref="AN26">XLOOKUP(D26,RUC!$B$3:$B$565,RUC!$M$3:$M$565)</f>
        <v>Ronald Garibay</v>
      </c>
      <c r="AO26" s="131" t="s">
        <v>551</v>
      </c>
      <c r="AP26" s="57" t="s">
        <v>2916</v>
      </c>
      <c r="AQ26" s="57" t="s">
        <v>2917</v>
      </c>
      <c r="AV26" s="149" t="s">
        <v>2918</v>
      </c>
      <c r="AW26" s="150"/>
      <c r="AX26" s="150"/>
      <c r="AY26" s="150"/>
      <c r="AZ26" s="150"/>
      <c r="BA26" s="151"/>
    </row>
    <row r="27" ht="15.0" customHeight="1">
      <c r="A27" s="116" t="s">
        <v>2919</v>
      </c>
      <c r="B27" s="182">
        <v>46031.0</v>
      </c>
      <c r="C27" s="182">
        <v>46025.0</v>
      </c>
      <c r="D27" s="57" t="s">
        <v>806</v>
      </c>
      <c r="E27" s="3">
        <f t="array" ref="E27">XLOOKUP(D27,RUC!$B$3:$B$110,RUC!$D$3:$D$110)</f>
        <v>20614284740</v>
      </c>
      <c r="G27" s="141">
        <v>16.0</v>
      </c>
      <c r="H27" s="3" t="s">
        <v>40</v>
      </c>
      <c r="I27" s="6">
        <v>1.15</v>
      </c>
      <c r="J27" s="58">
        <v>12.5</v>
      </c>
      <c r="K27" s="6">
        <f t="shared" si="2"/>
        <v>1.006</v>
      </c>
      <c r="L27" s="139">
        <v>0.81</v>
      </c>
      <c r="M27" s="60">
        <f t="shared" si="28"/>
        <v>0.761</v>
      </c>
      <c r="N27" s="75">
        <v>0.841</v>
      </c>
      <c r="O27" s="60">
        <f t="shared" si="27"/>
        <v>0.801</v>
      </c>
      <c r="P27" s="63">
        <v>90.0</v>
      </c>
      <c r="Q27" s="58">
        <v>96.53</v>
      </c>
      <c r="R27" s="65">
        <v>4307.95</v>
      </c>
      <c r="S27" s="66">
        <f t="array" ref="S27">IF((XLOOKUP(D27,RUC!$B$3:$B$106,RUC!$E$3:$E$106)+ROUNDDOWN(O27,1)*100)&lt;95,95,((XLOOKUP(D27,RUC!$B$3:$B$106,RUC!$E$3:$E$106)+ROUNDDOWN(O27,1)*100)))</f>
        <v>170</v>
      </c>
      <c r="U27" s="67">
        <f t="array" ref="U27">XLOOKUP(D27,RUC!$B$3:$B$110,RUC!$F$3:$F$110)</f>
        <v>120</v>
      </c>
      <c r="V27" s="67">
        <v>1.1023</v>
      </c>
      <c r="Y27" s="199">
        <v>30.0</v>
      </c>
      <c r="Z27" s="140">
        <v>40.0</v>
      </c>
      <c r="AA27" s="70">
        <f t="shared" si="5"/>
        <v>70</v>
      </c>
      <c r="AB27" s="71">
        <f t="shared" si="29"/>
        <v>3063.394385</v>
      </c>
      <c r="AC27" s="71">
        <f>+(S27-T27)*V27-'data 1'!$F$4</f>
        <v>107.391</v>
      </c>
      <c r="AD27" s="71">
        <f t="shared" si="7"/>
        <v>244.1740437</v>
      </c>
      <c r="AE27" s="71">
        <f t="shared" si="8"/>
        <v>7.161</v>
      </c>
      <c r="AF27" s="71">
        <f t="shared" si="9"/>
        <v>40.10570094</v>
      </c>
      <c r="AG27" s="72">
        <f t="shared" ref="AG27:AG28" si="31">AC27+AD27+AE27+AF27+70</f>
        <v>468.8317447</v>
      </c>
      <c r="AH27" s="193">
        <f t="shared" si="11"/>
        <v>26.968</v>
      </c>
      <c r="AI27" s="193">
        <f t="shared" si="12"/>
        <v>27.938</v>
      </c>
      <c r="AJ27" s="73">
        <f t="shared" si="13"/>
        <v>699.890185</v>
      </c>
      <c r="AK27" s="73">
        <f t="shared" si="14"/>
        <v>24.86463426</v>
      </c>
      <c r="AM27" s="51">
        <f t="shared" si="15"/>
        <v>3081.774751</v>
      </c>
      <c r="AN27" s="51" t="str">
        <f t="array" ref="AN27">XLOOKUP(D27,RUC!$B$3:$B$565,RUC!$M$3:$M$565)</f>
        <v>Dante </v>
      </c>
      <c r="AO27" s="131" t="s">
        <v>551</v>
      </c>
      <c r="AP27" s="57" t="s">
        <v>1811</v>
      </c>
      <c r="AQ27" s="57" t="s">
        <v>2920</v>
      </c>
      <c r="BA27" s="203">
        <f>SUM(BA29:BA38)</f>
        <v>0</v>
      </c>
    </row>
    <row r="28" ht="15.0" customHeight="1">
      <c r="A28" s="116" t="s">
        <v>2921</v>
      </c>
      <c r="B28" s="182">
        <v>46037.0</v>
      </c>
      <c r="C28" s="182">
        <v>46025.0</v>
      </c>
      <c r="D28" s="57" t="s">
        <v>806</v>
      </c>
      <c r="E28" s="3">
        <f t="array" ref="E28">XLOOKUP(D28,RUC!$B$3:$B$110,RUC!$D$3:$D$110)</f>
        <v>20614284740</v>
      </c>
      <c r="G28" s="141" t="s">
        <v>1145</v>
      </c>
      <c r="H28" s="3" t="s">
        <v>40</v>
      </c>
      <c r="I28" s="6">
        <v>3.92</v>
      </c>
      <c r="J28" s="58">
        <v>16.25</v>
      </c>
      <c r="K28" s="6">
        <f t="shared" si="2"/>
        <v>3.283</v>
      </c>
      <c r="L28" s="139">
        <v>0.944</v>
      </c>
      <c r="M28" s="75">
        <v>0.919</v>
      </c>
      <c r="N28" s="75">
        <v>1.05</v>
      </c>
      <c r="O28" s="60">
        <f t="shared" si="27"/>
        <v>0.985</v>
      </c>
      <c r="P28" s="63">
        <v>90.0</v>
      </c>
      <c r="Q28" s="58">
        <v>95.71</v>
      </c>
      <c r="R28" s="65">
        <v>4307.95</v>
      </c>
      <c r="S28" s="66">
        <f t="array" ref="S28">IF((XLOOKUP(D28,RUC!$B$3:$B$106,RUC!$E$3:$E$106)+ROUNDDOWN(O28,1)*100)&lt;95,95,((XLOOKUP(D28,RUC!$B$3:$B$106,RUC!$E$3:$E$106)+ROUNDDOWN(O28,1)*100)))</f>
        <v>180</v>
      </c>
      <c r="U28" s="67">
        <f t="array" ref="U28">XLOOKUP(D28,RUC!$B$3:$B$110,RUC!$F$3:$F$110)</f>
        <v>120</v>
      </c>
      <c r="V28" s="67">
        <v>1.1023</v>
      </c>
      <c r="Y28" s="199">
        <v>30.0</v>
      </c>
      <c r="Z28" s="140">
        <v>40.0</v>
      </c>
      <c r="AA28" s="70">
        <f t="shared" si="5"/>
        <v>70</v>
      </c>
      <c r="AB28" s="71">
        <f t="shared" si="29"/>
        <v>3816.843463</v>
      </c>
      <c r="AC28" s="71">
        <f>+(S28-T28)*V28-'data 1'!$F$4</f>
        <v>118.414</v>
      </c>
      <c r="AD28" s="71">
        <f t="shared" si="7"/>
        <v>248.833815</v>
      </c>
      <c r="AE28" s="71">
        <f t="shared" si="8"/>
        <v>7.161</v>
      </c>
      <c r="AF28" s="71">
        <f t="shared" si="9"/>
        <v>-181.1517227</v>
      </c>
      <c r="AG28" s="72">
        <f t="shared" si="31"/>
        <v>263.2570923</v>
      </c>
      <c r="AH28" s="193">
        <f t="shared" si="11"/>
        <v>101.697</v>
      </c>
      <c r="AI28" s="193">
        <f t="shared" si="12"/>
        <v>106.256</v>
      </c>
      <c r="AJ28" s="73">
        <f t="shared" si="13"/>
        <v>808.7455213</v>
      </c>
      <c r="AK28" s="73">
        <f t="shared" si="14"/>
        <v>99.78349053</v>
      </c>
      <c r="AM28" s="51">
        <f t="shared" si="15"/>
        <v>12530.69709</v>
      </c>
      <c r="AN28" s="51" t="str">
        <f t="array" ref="AN28">XLOOKUP(D28,RUC!$B$3:$B$565,RUC!$M$3:$M$565)</f>
        <v>Dante </v>
      </c>
      <c r="AO28" s="131" t="s">
        <v>551</v>
      </c>
      <c r="AP28" s="57" t="s">
        <v>1811</v>
      </c>
      <c r="AQ28" s="57" t="s">
        <v>2920</v>
      </c>
      <c r="AR28" s="2" t="s">
        <v>2922</v>
      </c>
      <c r="AV28" s="3"/>
      <c r="AW28" s="3" t="s">
        <v>14</v>
      </c>
      <c r="AX28" s="3" t="s">
        <v>683</v>
      </c>
      <c r="AY28" s="3" t="s">
        <v>686</v>
      </c>
      <c r="AZ28" s="204" t="s">
        <v>700</v>
      </c>
      <c r="BA28" s="3" t="s">
        <v>687</v>
      </c>
    </row>
    <row r="29" ht="15.0" customHeight="1">
      <c r="A29" s="116" t="s">
        <v>2923</v>
      </c>
      <c r="B29" s="182">
        <v>46038.0</v>
      </c>
      <c r="C29" s="182">
        <v>46025.0</v>
      </c>
      <c r="D29" s="57" t="s">
        <v>2814</v>
      </c>
      <c r="E29" s="3" t="str">
        <f t="array" ref="E29">XLOOKUP(D29,RUC!$B$3:$B$110,RUC!$D$3:$D$110)</f>
        <v>#N/A</v>
      </c>
      <c r="G29" s="141">
        <v>67.0</v>
      </c>
      <c r="H29" s="3" t="s">
        <v>339</v>
      </c>
      <c r="I29" s="6">
        <v>5.25</v>
      </c>
      <c r="J29" s="58">
        <v>1.2</v>
      </c>
      <c r="K29" s="6">
        <f t="shared" si="2"/>
        <v>5.187</v>
      </c>
      <c r="L29" s="139">
        <v>0.927</v>
      </c>
      <c r="M29" s="75">
        <v>0.85</v>
      </c>
      <c r="N29" s="62">
        <f t="shared" ref="N29:N33" si="32">+M29</f>
        <v>0.85</v>
      </c>
      <c r="O29" s="60">
        <f t="shared" si="27"/>
        <v>0.85</v>
      </c>
      <c r="P29" s="63">
        <v>90.0</v>
      </c>
      <c r="Q29" s="58">
        <v>96.22</v>
      </c>
      <c r="R29" s="65">
        <v>4307.95</v>
      </c>
      <c r="S29" s="66" t="str">
        <f t="array" ref="S29">IF((XLOOKUP(D29,RUC!$B$3:$B$106,RUC!$E$3:$E$106)+ROUNDDOWN(O29,1)*100)&lt;95,95,((XLOOKUP(D29,RUC!$B$3:$B$106,RUC!$E$3:$E$106)+ROUNDDOWN(O29,1)*100)))</f>
        <v>#N/A</v>
      </c>
      <c r="U29" s="67" t="str">
        <f t="array" ref="U29">XLOOKUP(D29,RUC!$B$3:$B$110,RUC!$F$3:$F$110)</f>
        <v>#N/A</v>
      </c>
      <c r="V29" s="67">
        <v>1.1023</v>
      </c>
      <c r="Y29" s="199">
        <v>60.0</v>
      </c>
      <c r="Z29" s="69" t="str">
        <f t="array" ref="Z29">XLOOKUP(D29,RUC!$B$3:$B$110,RUC!$H$3:$H$110)</f>
        <v>#N/A</v>
      </c>
      <c r="AA29" s="70" t="str">
        <f t="shared" si="5"/>
        <v>#N/A</v>
      </c>
      <c r="AB29" s="7" t="str">
        <f t="shared" si="29"/>
        <v>#N/A</v>
      </c>
      <c r="AC29" s="71" t="str">
        <f>+(S29-T29)*V29-'data 1'!$F$4</f>
        <v>#N/A</v>
      </c>
      <c r="AD29" s="71" t="str">
        <f t="shared" si="7"/>
        <v>#N/A</v>
      </c>
      <c r="AE29" s="71" t="str">
        <f t="shared" si="8"/>
        <v>#N/A</v>
      </c>
      <c r="AF29" s="71" t="str">
        <f t="shared" si="9"/>
        <v>#N/A</v>
      </c>
      <c r="AG29" s="72" t="str">
        <f t="shared" ref="AG29:AG30" si="33">AC29+AD29+AE29+AF29+70-53</f>
        <v>#N/A</v>
      </c>
      <c r="AH29" s="193">
        <f t="shared" si="11"/>
        <v>158.625</v>
      </c>
      <c r="AI29" s="193">
        <f t="shared" si="12"/>
        <v>164.856</v>
      </c>
      <c r="AJ29" s="73" t="str">
        <f t="shared" si="13"/>
        <v>#N/A</v>
      </c>
      <c r="AK29" s="73">
        <f t="shared" si="14"/>
        <v>136.0463055</v>
      </c>
      <c r="AM29" s="51" t="str">
        <f t="shared" si="15"/>
        <v>#N/A</v>
      </c>
      <c r="AN29" s="51" t="str">
        <f t="array" ref="AN29">XLOOKUP(D29,RUC!$B$3:$B$565,RUC!$M$3:$M$565)</f>
        <v>#N/A</v>
      </c>
      <c r="AO29" s="131" t="s">
        <v>551</v>
      </c>
      <c r="AP29" s="57" t="s">
        <v>2924</v>
      </c>
      <c r="AQ29" s="57" t="s">
        <v>2925</v>
      </c>
      <c r="AR29" s="2" t="s">
        <v>2926</v>
      </c>
      <c r="AV29" s="152" t="s">
        <v>558</v>
      </c>
      <c r="AW29" s="154">
        <f t="shared" ref="AW29:AW38" si="34">SUMIF($AO$4:$AO$762,AV29,$K$4:$K$762)</f>
        <v>166.2</v>
      </c>
      <c r="AX29" s="154"/>
      <c r="AY29" s="157">
        <f t="shared" ref="AY29:AY38" si="35">AW29*AX29*31.1035*1.1023</f>
        <v>0</v>
      </c>
      <c r="AZ29" s="58"/>
      <c r="BA29" s="159">
        <f t="shared" ref="BA29:BA38" si="36">AY29*AZ29/100</f>
        <v>0</v>
      </c>
      <c r="BB29" s="449" t="s">
        <v>2927</v>
      </c>
      <c r="BC29" s="450">
        <f>+BB7</f>
        <v>4808.437</v>
      </c>
    </row>
    <row r="30" ht="15.0" customHeight="1">
      <c r="A30" s="116" t="s">
        <v>2928</v>
      </c>
      <c r="B30" s="182">
        <v>46038.0</v>
      </c>
      <c r="C30" s="182">
        <v>46025.0</v>
      </c>
      <c r="D30" s="57" t="s">
        <v>2814</v>
      </c>
      <c r="E30" s="3" t="str">
        <f t="array" ref="E30">XLOOKUP(D30,RUC!$B$3:$B$110,RUC!$D$3:$D$110)</f>
        <v>#N/A</v>
      </c>
      <c r="G30" s="141">
        <v>29.0</v>
      </c>
      <c r="H30" s="3" t="s">
        <v>339</v>
      </c>
      <c r="I30" s="6">
        <v>2.17</v>
      </c>
      <c r="J30" s="58">
        <v>1.25</v>
      </c>
      <c r="K30" s="6">
        <f t="shared" si="2"/>
        <v>2.143</v>
      </c>
      <c r="L30" s="139">
        <v>0.178</v>
      </c>
      <c r="M30" s="60" t="str">
        <f t="shared" ref="M30:M33" si="37">ROUND(+IF(AN30="Melchor Vera",IF(L30&gt;0.467,L30*0.985,(L30-0.007)),IF(L30&gt;0.3,L30*0.94,(L30-0.018))),3)</f>
        <v>#N/A</v>
      </c>
      <c r="N30" s="62" t="str">
        <f t="shared" si="32"/>
        <v>#N/A</v>
      </c>
      <c r="O30" s="60" t="str">
        <f t="shared" si="27"/>
        <v>#N/A</v>
      </c>
      <c r="P30" s="63">
        <v>80.0</v>
      </c>
      <c r="Q30" s="58">
        <v>82.58</v>
      </c>
      <c r="R30" s="469">
        <v>4330.0</v>
      </c>
      <c r="S30" s="462">
        <v>110.0</v>
      </c>
      <c r="U30" s="67" t="str">
        <f t="array" ref="U30">XLOOKUP(D30,RUC!$B$3:$B$110,RUC!$F$3:$F$110)</f>
        <v>#N/A</v>
      </c>
      <c r="V30" s="67">
        <v>1.1023</v>
      </c>
      <c r="Y30" s="199">
        <v>40.0</v>
      </c>
      <c r="Z30" s="69" t="str">
        <f t="array" ref="Z30">XLOOKUP(D30,RUC!$B$3:$B$110,RUC!$H$3:$H$110)</f>
        <v>#N/A</v>
      </c>
      <c r="AA30" s="70" t="str">
        <f t="shared" si="5"/>
        <v>#N/A</v>
      </c>
      <c r="AB30" s="7" t="str">
        <f t="shared" si="29"/>
        <v>#N/A</v>
      </c>
      <c r="AC30" s="71">
        <f>+(S30-T30)*V30-'data 1'!$F$4</f>
        <v>41.253</v>
      </c>
      <c r="AD30" s="71" t="str">
        <f t="shared" si="7"/>
        <v>#N/A</v>
      </c>
      <c r="AE30" s="71" t="str">
        <f t="shared" si="8"/>
        <v>#N/A</v>
      </c>
      <c r="AF30" s="71" t="str">
        <f t="shared" si="9"/>
        <v>#N/A</v>
      </c>
      <c r="AG30" s="72" t="str">
        <f t="shared" si="33"/>
        <v>#N/A</v>
      </c>
      <c r="AH30" s="193">
        <f t="shared" si="11"/>
        <v>10.8</v>
      </c>
      <c r="AI30" s="193">
        <f t="shared" si="12"/>
        <v>13.078</v>
      </c>
      <c r="AJ30" s="73" t="str">
        <f t="shared" si="13"/>
        <v>#N/A</v>
      </c>
      <c r="AK30" s="73" t="str">
        <f t="shared" si="14"/>
        <v>#N/A</v>
      </c>
      <c r="AM30" s="51" t="str">
        <f t="shared" si="15"/>
        <v>#N/A</v>
      </c>
      <c r="AN30" s="51" t="str">
        <f t="array" ref="AN30">XLOOKUP(D30,RUC!$B$3:$B$565,RUC!$M$3:$M$565)</f>
        <v>#N/A</v>
      </c>
      <c r="AO30" s="131" t="s">
        <v>551</v>
      </c>
      <c r="AP30" s="57" t="s">
        <v>2924</v>
      </c>
      <c r="AQ30" s="57" t="s">
        <v>2925</v>
      </c>
      <c r="AR30" s="2" t="s">
        <v>2929</v>
      </c>
      <c r="AV30" s="160" t="s">
        <v>551</v>
      </c>
      <c r="AW30" s="6">
        <f t="shared" si="34"/>
        <v>150.263</v>
      </c>
      <c r="AX30" s="6"/>
      <c r="AY30" s="58">
        <f t="shared" si="35"/>
        <v>0</v>
      </c>
      <c r="AZ30" s="58"/>
      <c r="BA30" s="162">
        <f t="shared" si="36"/>
        <v>0</v>
      </c>
      <c r="BB30" s="451" t="s">
        <v>2930</v>
      </c>
      <c r="BC30" s="452">
        <f>+'37'!BC32+'37'!BC33</f>
        <v>1213.29</v>
      </c>
    </row>
    <row r="31" ht="15.0" customHeight="1">
      <c r="A31" s="192" t="s">
        <v>2931</v>
      </c>
      <c r="B31" s="3"/>
      <c r="C31" s="182">
        <v>46026.0</v>
      </c>
      <c r="D31" s="57" t="s">
        <v>295</v>
      </c>
      <c r="E31" s="3">
        <f t="array" ref="E31">XLOOKUP(D31,RUC!$B$3:$B$110,RUC!$D$3:$D$110)</f>
        <v>20601769396</v>
      </c>
      <c r="G31" s="141">
        <v>41.0</v>
      </c>
      <c r="H31" s="3" t="s">
        <v>47</v>
      </c>
      <c r="I31" s="6">
        <v>3.34</v>
      </c>
      <c r="J31" s="58">
        <v>7.3</v>
      </c>
      <c r="K31" s="6">
        <f t="shared" si="2"/>
        <v>3.096</v>
      </c>
      <c r="L31" s="139">
        <v>0.079</v>
      </c>
      <c r="M31" s="60">
        <f t="shared" si="37"/>
        <v>0.061</v>
      </c>
      <c r="N31" s="62">
        <f t="shared" si="32"/>
        <v>0.061</v>
      </c>
      <c r="O31" s="60">
        <f t="shared" si="27"/>
        <v>0.061</v>
      </c>
      <c r="P31" s="63">
        <v>80.0</v>
      </c>
      <c r="Q31" s="58">
        <v>91.04</v>
      </c>
      <c r="R31" s="65">
        <v>4456.4</v>
      </c>
      <c r="S31" s="66">
        <f t="array" ref="S31">IF((XLOOKUP(D31,RUC!$B$3:$B$106,RUC!$E$3:$E$106)+ROUNDDOWN(O31,1)*100)&lt;95,95,((XLOOKUP(D31,RUC!$B$3:$B$106,RUC!$E$3:$E$106)+ROUNDDOWN(O31,1)*100)))</f>
        <v>95</v>
      </c>
      <c r="U31" s="67">
        <f t="array" ref="U31">XLOOKUP(D31,RUC!$B$3:$B$110,RUC!$F$3:$F$110)</f>
        <v>120</v>
      </c>
      <c r="V31" s="67">
        <v>1.1023</v>
      </c>
      <c r="Y31" s="57">
        <f t="array" ref="Y31">XLOOKUP(D31,RUC!$B$3:$B$110,RUC!$G$3:$G$110)</f>
        <v>20</v>
      </c>
      <c r="Z31" s="69">
        <f t="array" ref="Z31">XLOOKUP(D31,RUC!$B$3:$B$110,RUC!$H$3:$H$110)</f>
        <v>30</v>
      </c>
      <c r="AA31" s="70">
        <f t="shared" si="5"/>
        <v>50</v>
      </c>
      <c r="AB31" s="71">
        <v>0.0</v>
      </c>
      <c r="AC31" s="71">
        <f>+(S31-T31)*V31-'data 1'!$F$4</f>
        <v>24.7185</v>
      </c>
      <c r="AD31" s="71">
        <f t="shared" si="7"/>
        <v>41.68936766</v>
      </c>
      <c r="AE31" s="71">
        <f t="shared" si="8"/>
        <v>-14.885</v>
      </c>
      <c r="AF31" s="71">
        <f t="shared" si="9"/>
        <v>78.33104083</v>
      </c>
      <c r="AG31" s="72">
        <f>AC31+AD31+AE31+AF31+70-53+73.43</f>
        <v>220.2839085</v>
      </c>
      <c r="AH31" s="193">
        <f t="shared" si="11"/>
        <v>7.634</v>
      </c>
      <c r="AI31" s="193">
        <f t="shared" si="12"/>
        <v>8.386</v>
      </c>
      <c r="AJ31" s="73">
        <f t="shared" si="13"/>
        <v>52.60966364</v>
      </c>
      <c r="AK31" s="73">
        <f t="shared" si="14"/>
        <v>5.180000996</v>
      </c>
      <c r="AM31" s="51">
        <f t="shared" si="15"/>
        <v>0</v>
      </c>
      <c r="AN31" s="51" t="str">
        <f t="array" ref="AN31">XLOOKUP(D31,RUC!$B$3:$B$565,RUC!$M$3:$M$565)</f>
        <v>Evelyn</v>
      </c>
      <c r="AO31" s="131" t="s">
        <v>547</v>
      </c>
      <c r="AP31" s="57" t="s">
        <v>2729</v>
      </c>
      <c r="AQ31" s="57" t="s">
        <v>2730</v>
      </c>
      <c r="AV31" s="160" t="s">
        <v>547</v>
      </c>
      <c r="AW31" s="6">
        <f t="shared" si="34"/>
        <v>136.018</v>
      </c>
      <c r="AX31" s="6"/>
      <c r="AY31" s="58">
        <f t="shared" si="35"/>
        <v>0</v>
      </c>
      <c r="AZ31" s="58"/>
      <c r="BA31" s="162">
        <f t="shared" si="36"/>
        <v>0</v>
      </c>
      <c r="BB31" s="454" t="s">
        <v>2932</v>
      </c>
      <c r="BC31" s="470">
        <v>4337.97</v>
      </c>
    </row>
    <row r="32" ht="15.0" customHeight="1">
      <c r="A32" s="192" t="s">
        <v>2933</v>
      </c>
      <c r="B32" s="3"/>
      <c r="C32" s="182">
        <v>46026.0</v>
      </c>
      <c r="D32" s="57" t="s">
        <v>295</v>
      </c>
      <c r="E32" s="3">
        <f t="array" ref="E32">XLOOKUP(D32,RUC!$B$3:$B$110,RUC!$D$3:$D$110)</f>
        <v>20601769396</v>
      </c>
      <c r="G32" s="141">
        <v>40.0</v>
      </c>
      <c r="H32" s="3" t="s">
        <v>47</v>
      </c>
      <c r="I32" s="6">
        <v>3.3</v>
      </c>
      <c r="J32" s="58">
        <v>7.65</v>
      </c>
      <c r="K32" s="6">
        <f t="shared" si="2"/>
        <v>3.048</v>
      </c>
      <c r="L32" s="139">
        <v>0.073</v>
      </c>
      <c r="M32" s="60">
        <f t="shared" si="37"/>
        <v>0.055</v>
      </c>
      <c r="N32" s="62">
        <f t="shared" si="32"/>
        <v>0.055</v>
      </c>
      <c r="O32" s="60">
        <f t="shared" si="27"/>
        <v>0.055</v>
      </c>
      <c r="P32" s="63">
        <v>80.0</v>
      </c>
      <c r="Q32" s="58">
        <v>91.46</v>
      </c>
      <c r="R32" s="65">
        <v>4456.4</v>
      </c>
      <c r="S32" s="66">
        <f t="array" ref="S32">IF((XLOOKUP(D32,RUC!$B$3:$B$106,RUC!$E$3:$E$106)+ROUNDDOWN(O32,1)*100)&lt;95,95,((XLOOKUP(D32,RUC!$B$3:$B$106,RUC!$E$3:$E$106)+ROUNDDOWN(O32,1)*100)))</f>
        <v>95</v>
      </c>
      <c r="U32" s="67">
        <f t="array" ref="U32">XLOOKUP(D32,RUC!$B$3:$B$110,RUC!$F$3:$F$110)</f>
        <v>120</v>
      </c>
      <c r="V32" s="67">
        <v>1.1023</v>
      </c>
      <c r="Y32" s="57">
        <f t="array" ref="Y32">XLOOKUP(D32,RUC!$B$3:$B$110,RUC!$G$3:$G$110)</f>
        <v>20</v>
      </c>
      <c r="Z32" s="69">
        <f t="array" ref="Z32">XLOOKUP(D32,RUC!$B$3:$B$110,RUC!$H$3:$H$110)</f>
        <v>30</v>
      </c>
      <c r="AA32" s="70">
        <f t="shared" si="5"/>
        <v>50</v>
      </c>
      <c r="AB32" s="71">
        <v>0.0</v>
      </c>
      <c r="AC32" s="71">
        <f>+(S32-T32)*V32-'data 1'!$F$4</f>
        <v>24.7185</v>
      </c>
      <c r="AD32" s="71">
        <f t="shared" si="7"/>
        <v>39.98863878</v>
      </c>
      <c r="AE32" s="71">
        <f t="shared" si="8"/>
        <v>-14.885</v>
      </c>
      <c r="AF32" s="71">
        <f t="shared" si="9"/>
        <v>78.69240987</v>
      </c>
      <c r="AG32" s="72">
        <f>AC32+AD32+AE32+AF32+70-53+50.49</f>
        <v>196.0045486</v>
      </c>
      <c r="AH32" s="193">
        <f t="shared" si="11"/>
        <v>6.977</v>
      </c>
      <c r="AI32" s="193">
        <f t="shared" si="12"/>
        <v>7.629</v>
      </c>
      <c r="AJ32" s="73">
        <f t="shared" si="13"/>
        <v>48.83826667</v>
      </c>
      <c r="AK32" s="73">
        <f t="shared" si="14"/>
        <v>4.598081962</v>
      </c>
      <c r="AM32" s="51">
        <f t="shared" si="15"/>
        <v>0</v>
      </c>
      <c r="AN32" s="51" t="str">
        <f t="array" ref="AN32">XLOOKUP(D32,RUC!$B$3:$B$565,RUC!$M$3:$M$565)</f>
        <v>Evelyn</v>
      </c>
      <c r="AO32" s="131" t="s">
        <v>547</v>
      </c>
      <c r="AP32" s="57" t="s">
        <v>2729</v>
      </c>
      <c r="AQ32" s="57" t="s">
        <v>2730</v>
      </c>
      <c r="AV32" s="160" t="s">
        <v>549</v>
      </c>
      <c r="AW32" s="6">
        <f t="shared" si="34"/>
        <v>0</v>
      </c>
      <c r="AX32" s="6"/>
      <c r="AY32" s="58">
        <f t="shared" si="35"/>
        <v>0</v>
      </c>
      <c r="AZ32" s="58"/>
      <c r="BA32" s="162">
        <f t="shared" si="36"/>
        <v>0</v>
      </c>
      <c r="BB32" s="454" t="s">
        <v>2934</v>
      </c>
      <c r="BC32" s="459">
        <v>1278.9</v>
      </c>
    </row>
    <row r="33" ht="15.0" customHeight="1">
      <c r="A33" s="192" t="s">
        <v>2935</v>
      </c>
      <c r="B33" s="3"/>
      <c r="C33" s="182">
        <v>46026.0</v>
      </c>
      <c r="D33" s="57" t="s">
        <v>295</v>
      </c>
      <c r="E33" s="3">
        <f t="array" ref="E33">XLOOKUP(D33,RUC!$B$3:$B$110,RUC!$D$3:$D$110)</f>
        <v>20601769396</v>
      </c>
      <c r="G33" s="141">
        <v>38.0</v>
      </c>
      <c r="H33" s="3" t="s">
        <v>339</v>
      </c>
      <c r="I33" s="6">
        <v>2.94</v>
      </c>
      <c r="J33" s="58">
        <v>7.85</v>
      </c>
      <c r="K33" s="6">
        <f t="shared" si="2"/>
        <v>2.709</v>
      </c>
      <c r="L33" s="139">
        <v>0.096</v>
      </c>
      <c r="M33" s="60">
        <f t="shared" si="37"/>
        <v>0.078</v>
      </c>
      <c r="N33" s="62">
        <f t="shared" si="32"/>
        <v>0.078</v>
      </c>
      <c r="O33" s="60">
        <f t="shared" si="27"/>
        <v>0.078</v>
      </c>
      <c r="P33" s="63">
        <v>90.0</v>
      </c>
      <c r="Q33" s="58">
        <v>87.88</v>
      </c>
      <c r="R33" s="65">
        <v>4456.4</v>
      </c>
      <c r="S33" s="66">
        <f t="array" ref="S33">IF((XLOOKUP(D33,RUC!$B$3:$B$106,RUC!$E$3:$E$106)+ROUNDDOWN(O33,1)*100)&lt;95,95,((XLOOKUP(D33,RUC!$B$3:$B$106,RUC!$E$3:$E$106)+ROUNDDOWN(O33,1)*100)))</f>
        <v>95</v>
      </c>
      <c r="U33" s="67">
        <f t="array" ref="U33">XLOOKUP(D33,RUC!$B$3:$B$110,RUC!$F$3:$F$110)</f>
        <v>120</v>
      </c>
      <c r="V33" s="67">
        <v>1.1023</v>
      </c>
      <c r="Y33" s="57">
        <f t="array" ref="Y33">XLOOKUP(D33,RUC!$B$3:$B$110,RUC!$G$3:$G$110)</f>
        <v>20</v>
      </c>
      <c r="Z33" s="69">
        <f t="array" ref="Z33">XLOOKUP(D33,RUC!$B$3:$B$110,RUC!$H$3:$H$110)</f>
        <v>30</v>
      </c>
      <c r="AA33" s="70">
        <f t="shared" si="5"/>
        <v>50</v>
      </c>
      <c r="AB33" s="71">
        <v>0.0</v>
      </c>
      <c r="AC33" s="71">
        <f>+(S33-T33)*V33-'data 1'!$F$4</f>
        <v>24.7185</v>
      </c>
      <c r="AD33" s="71">
        <f t="shared" si="7"/>
        <v>-9.728283923</v>
      </c>
      <c r="AE33" s="71">
        <f t="shared" si="8"/>
        <v>-14.885</v>
      </c>
      <c r="AF33" s="71">
        <f t="shared" si="9"/>
        <v>75.61216903</v>
      </c>
      <c r="AG33" s="72">
        <f>AC33+AD33+AE33+AF33+70-53+175.72</f>
        <v>268.4373851</v>
      </c>
      <c r="AH33" s="193">
        <f t="shared" si="11"/>
        <v>7.836</v>
      </c>
      <c r="AI33" s="193">
        <f t="shared" si="12"/>
        <v>8.916</v>
      </c>
      <c r="AJ33" s="73">
        <f t="shared" si="13"/>
        <v>61.71169371</v>
      </c>
      <c r="AK33" s="73">
        <f t="shared" si="14"/>
        <v>6.520113959</v>
      </c>
      <c r="AM33" s="51">
        <f t="shared" si="15"/>
        <v>0</v>
      </c>
      <c r="AN33" s="51" t="str">
        <f t="array" ref="AN33">XLOOKUP(D33,RUC!$B$3:$B$565,RUC!$M$3:$M$565)</f>
        <v>Evelyn</v>
      </c>
      <c r="AO33" s="131" t="s">
        <v>551</v>
      </c>
      <c r="AP33" s="57" t="s">
        <v>2729</v>
      </c>
      <c r="AQ33" s="57" t="s">
        <v>2730</v>
      </c>
      <c r="AV33" s="160" t="s">
        <v>561</v>
      </c>
      <c r="AW33" s="6">
        <f t="shared" si="34"/>
        <v>0</v>
      </c>
      <c r="AX33" s="6"/>
      <c r="AY33" s="58">
        <f t="shared" si="35"/>
        <v>0</v>
      </c>
      <c r="AZ33" s="58"/>
      <c r="BA33" s="162">
        <f t="shared" si="36"/>
        <v>0</v>
      </c>
      <c r="BB33" s="454" t="s">
        <v>2936</v>
      </c>
      <c r="BC33" s="459">
        <v>283.6</v>
      </c>
    </row>
    <row r="34" ht="15.0" customHeight="1">
      <c r="A34" s="117" t="s">
        <v>2937</v>
      </c>
      <c r="B34" s="182">
        <v>46034.0</v>
      </c>
      <c r="C34" s="182">
        <v>46026.0</v>
      </c>
      <c r="D34" s="2" t="s">
        <v>806</v>
      </c>
      <c r="E34" s="3">
        <f t="array" ref="E34">XLOOKUP(D34,RUC!$B$3:$B$110,RUC!$D$3:$D$110)</f>
        <v>20614284740</v>
      </c>
      <c r="G34" s="141" t="s">
        <v>735</v>
      </c>
      <c r="H34" s="3" t="s">
        <v>339</v>
      </c>
      <c r="I34" s="6"/>
      <c r="K34" s="6"/>
      <c r="L34" s="139"/>
      <c r="M34" s="60"/>
      <c r="N34" s="62"/>
      <c r="O34" s="60"/>
      <c r="P34" s="63"/>
      <c r="Q34" s="58"/>
      <c r="R34" s="65"/>
      <c r="S34" s="66"/>
      <c r="U34" s="67"/>
      <c r="V34" s="67"/>
      <c r="Z34" s="69"/>
      <c r="AA34" s="70"/>
      <c r="AB34" s="71"/>
      <c r="AC34" s="71"/>
      <c r="AD34" s="71"/>
      <c r="AE34" s="71"/>
      <c r="AF34" s="71"/>
      <c r="AG34" s="72"/>
      <c r="AH34" s="193"/>
      <c r="AI34" s="193"/>
      <c r="AJ34" s="73"/>
      <c r="AK34" s="73"/>
      <c r="AM34" s="51"/>
      <c r="AN34" s="51" t="str">
        <f t="array" ref="AN34">XLOOKUP(D34,RUC!$B$3:$B$565,RUC!$M$3:$M$565)</f>
        <v>Dante </v>
      </c>
      <c r="AO34" s="131" t="s">
        <v>731</v>
      </c>
      <c r="AP34" s="57" t="s">
        <v>1835</v>
      </c>
      <c r="AQ34" s="57" t="s">
        <v>2938</v>
      </c>
      <c r="AV34" s="160" t="s">
        <v>689</v>
      </c>
      <c r="AW34" s="6">
        <f t="shared" si="34"/>
        <v>0</v>
      </c>
      <c r="AY34" s="58">
        <f t="shared" si="35"/>
        <v>0</v>
      </c>
      <c r="BA34" s="162">
        <f t="shared" si="36"/>
        <v>0</v>
      </c>
      <c r="BB34" s="456" t="s">
        <v>1206</v>
      </c>
      <c r="BC34" s="457">
        <f>-BC29-BC30+BC31+BC32+BC33</f>
        <v>-121.257</v>
      </c>
    </row>
    <row r="35" ht="15.0" customHeight="1">
      <c r="A35" s="116" t="s">
        <v>2939</v>
      </c>
      <c r="B35" s="182">
        <v>46038.0</v>
      </c>
      <c r="C35" s="182">
        <v>46028.0</v>
      </c>
      <c r="D35" s="57" t="s">
        <v>665</v>
      </c>
      <c r="E35" s="3">
        <f t="array" ref="E35">XLOOKUP(D35,RUC!$B$3:$B$110,RUC!$D$3:$D$110)</f>
        <v>20608774000</v>
      </c>
      <c r="G35" s="141">
        <v>10.0</v>
      </c>
      <c r="H35" s="3" t="s">
        <v>47</v>
      </c>
      <c r="I35" s="6">
        <v>0.87</v>
      </c>
      <c r="J35" s="58">
        <v>1.1</v>
      </c>
      <c r="K35" s="6">
        <f t="shared" ref="K35:K43" si="38">ROUND(+I35-(I35*(J35/100)),3)</f>
        <v>0.86</v>
      </c>
      <c r="L35" s="139">
        <v>0.337</v>
      </c>
      <c r="M35" s="60">
        <f>ROUND(+IF(AN35="Melchor Vera",IF(L35&gt;0.467,L35*0.985,(L35-0.007)),IF(L35&gt;0.3,L35*0.94,(L35-0.019))),3)</f>
        <v>0.317</v>
      </c>
      <c r="N35" s="62">
        <f t="shared" ref="N35:N36" si="39">+M35</f>
        <v>0.317</v>
      </c>
      <c r="O35" s="60">
        <f>+ROUND((M35+N35)/2,3)</f>
        <v>0.317</v>
      </c>
      <c r="P35" s="63">
        <v>90.0</v>
      </c>
      <c r="Q35" s="58">
        <v>90.8</v>
      </c>
      <c r="R35" s="65">
        <v>4490.35</v>
      </c>
      <c r="S35" s="66">
        <f t="array" ref="S35">IF((XLOOKUP(D35,RUC!$B$3:$B$106,RUC!$E$3:$E$106)+ROUNDDOWN(O35,1)*100)&lt;95,95,((XLOOKUP(D35,RUC!$B$3:$B$106,RUC!$E$3:$E$106)+ROUNDDOWN(O35,1)*100)))</f>
        <v>115</v>
      </c>
      <c r="U35" s="67">
        <f t="array" ref="U35">XLOOKUP(D35,RUC!$B$3:$B$110,RUC!$F$3:$F$110)</f>
        <v>120</v>
      </c>
      <c r="V35" s="67">
        <v>1.1023</v>
      </c>
      <c r="Y35" s="199">
        <v>25.0</v>
      </c>
      <c r="Z35" s="140">
        <v>30.0</v>
      </c>
      <c r="AA35" s="70">
        <f t="shared" ref="AA35:AA43" si="40">+Y35+Z35</f>
        <v>55</v>
      </c>
      <c r="AB35" s="71">
        <f t="shared" ref="AB35:AB43" si="41">+((O35*P35*(R35-U35)/100)-S35-AA35+T35)*V35</f>
        <v>1187.02372</v>
      </c>
      <c r="AC35" s="71">
        <f>+(S35-T35)*V35-'data 1'!$F$4</f>
        <v>46.7645</v>
      </c>
      <c r="AD35" s="71">
        <f t="shared" ref="AD35:AD43" si="42">+(Q35-P35)*(R35-U35)*L35*V35/100</f>
        <v>12.98780963</v>
      </c>
      <c r="AE35" s="71">
        <f t="shared" ref="AE35:AE43" si="43">+(Y35*V35-70)+V35*(Z35-IF(D35="UNTUCA",IF(+((W35-3)*2.5+(X35-3)*3.1)&gt;0,+((W35-3)*1.5+(X35-3)*3.1),0),IF(+((W35-3)*1.5+(X35-3)*3.1)&gt;0,+((W35-3)*1.5+(X35-3)*3.1),0)))</f>
        <v>-9.3735</v>
      </c>
      <c r="AF35" s="71">
        <f t="shared" ref="AF35:AF43" si="44">(L35-O35)*(R35-U35)*Q35*V35/100</f>
        <v>87.48465238</v>
      </c>
      <c r="AG35" s="72">
        <f>AC35+AD35+AE35+AF35+70-53</f>
        <v>154.863462</v>
      </c>
      <c r="AH35" s="193">
        <f t="shared" ref="AH35:AH43" si="45">ROUND((31.1035*L35*Q35*1.1023*K35/100),3)</f>
        <v>9.022</v>
      </c>
      <c r="AI35" s="193">
        <f t="shared" ref="AI35:AI43" si="46">ROUND((31.1035*L35*1.1023*K35),3)</f>
        <v>9.937</v>
      </c>
      <c r="AJ35" s="73">
        <f t="shared" ref="AJ35:AJ43" si="47">+((+$AJ$2-R35+U35)*L35*Q35*V35)/100</f>
        <v>212.3805614</v>
      </c>
      <c r="AK35" s="73">
        <f t="shared" ref="AK35:AK43" si="48">31.1035*1.1023*K35*P35*O35/100</f>
        <v>8.412194241</v>
      </c>
      <c r="AM35" s="51">
        <f t="shared" ref="AM35:AM43" si="49">+IF(AB35*K35&gt;0,AB35*K35,0)</f>
        <v>1020.8404</v>
      </c>
      <c r="AN35" s="51" t="str">
        <f t="array" ref="AN35">XLOOKUP(D35,RUC!$B$3:$B$565,RUC!$M$3:$M$565)</f>
        <v>Ronald Miranda</v>
      </c>
      <c r="AO35" s="131" t="s">
        <v>551</v>
      </c>
      <c r="AP35" s="57" t="s">
        <v>2818</v>
      </c>
      <c r="AQ35" s="57" t="s">
        <v>930</v>
      </c>
      <c r="AV35" s="160" t="s">
        <v>690</v>
      </c>
      <c r="AW35" s="6">
        <f t="shared" si="34"/>
        <v>0</v>
      </c>
      <c r="AY35" s="58">
        <f t="shared" si="35"/>
        <v>0</v>
      </c>
      <c r="BA35" s="162">
        <f t="shared" si="36"/>
        <v>0</v>
      </c>
    </row>
    <row r="36" ht="15.0" customHeight="1">
      <c r="A36" s="116" t="s">
        <v>2940</v>
      </c>
      <c r="B36" s="182">
        <v>45673.0</v>
      </c>
      <c r="C36" s="182">
        <v>46029.0</v>
      </c>
      <c r="D36" s="57" t="s">
        <v>806</v>
      </c>
      <c r="E36" s="3">
        <f t="array" ref="E36">XLOOKUP(D36,RUC!$B$3:$B$110,RUC!$D$3:$D$110)</f>
        <v>20614284740</v>
      </c>
      <c r="G36" s="141">
        <v>62.0</v>
      </c>
      <c r="H36" s="3" t="s">
        <v>47</v>
      </c>
      <c r="I36" s="6">
        <v>5.14</v>
      </c>
      <c r="J36" s="58">
        <v>4.3</v>
      </c>
      <c r="K36" s="6">
        <f t="shared" si="38"/>
        <v>4.919</v>
      </c>
      <c r="L36" s="139">
        <v>0.577</v>
      </c>
      <c r="M36" s="60">
        <v>0.53</v>
      </c>
      <c r="N36" s="62">
        <f t="shared" si="39"/>
        <v>0.53</v>
      </c>
      <c r="O36" s="61">
        <v>0.655</v>
      </c>
      <c r="P36" s="63">
        <v>90.0</v>
      </c>
      <c r="Q36" s="58">
        <v>98.94</v>
      </c>
      <c r="R36" s="65">
        <v>4438.0</v>
      </c>
      <c r="S36" s="66">
        <f t="array" ref="S36">IF((XLOOKUP(D36,RUC!$B$3:$B$106,RUC!$E$3:$E$106)+ROUNDDOWN(O36,1)*100)&lt;95,95,((XLOOKUP(D36,RUC!$B$3:$B$106,RUC!$E$3:$E$106)+ROUNDDOWN(O36,1)*100)))</f>
        <v>150</v>
      </c>
      <c r="U36" s="67">
        <f t="array" ref="U36">XLOOKUP(D36,RUC!$B$3:$B$110,RUC!$F$3:$F$110)</f>
        <v>120</v>
      </c>
      <c r="V36" s="67">
        <v>1.1023</v>
      </c>
      <c r="Y36" s="199">
        <v>40.0</v>
      </c>
      <c r="Z36" s="69">
        <f t="array" ref="Z36">XLOOKUP(D36,RUC!$B$3:$B$110,RUC!$H$3:$H$110)</f>
        <v>30</v>
      </c>
      <c r="AA36" s="70">
        <f t="shared" si="40"/>
        <v>70</v>
      </c>
      <c r="AB36" s="71">
        <f t="shared" si="41"/>
        <v>2563.35566</v>
      </c>
      <c r="AC36" s="71">
        <f>+(S36-T36)*V36-'data 1'!$F$4</f>
        <v>85.345</v>
      </c>
      <c r="AD36" s="71">
        <f t="shared" si="42"/>
        <v>245.5250326</v>
      </c>
      <c r="AE36" s="71">
        <f t="shared" si="43"/>
        <v>7.161</v>
      </c>
      <c r="AF36" s="71">
        <f t="shared" si="44"/>
        <v>-367.3237033</v>
      </c>
      <c r="AG36" s="72">
        <f t="shared" ref="AG36:AG43" si="50">AC36+AD36+AE36+AF36+70</f>
        <v>40.70732931</v>
      </c>
      <c r="AH36" s="193">
        <f t="shared" si="45"/>
        <v>96.279</v>
      </c>
      <c r="AI36" s="193">
        <f t="shared" si="46"/>
        <v>97.311</v>
      </c>
      <c r="AJ36" s="73">
        <f t="shared" si="47"/>
        <v>429.1725151</v>
      </c>
      <c r="AK36" s="73">
        <f t="shared" si="48"/>
        <v>99.41907114</v>
      </c>
      <c r="AM36" s="51">
        <f t="shared" si="49"/>
        <v>12609.14649</v>
      </c>
      <c r="AN36" s="51" t="str">
        <f t="array" ref="AN36">XLOOKUP(D36,RUC!$B$3:$B$565,RUC!$M$3:$M$565)</f>
        <v>Dante </v>
      </c>
      <c r="AO36" s="131" t="s">
        <v>547</v>
      </c>
      <c r="AP36" s="57" t="s">
        <v>2033</v>
      </c>
      <c r="AQ36" s="57" t="s">
        <v>2823</v>
      </c>
      <c r="AR36" s="2" t="s">
        <v>2941</v>
      </c>
      <c r="AV36" s="160" t="s">
        <v>691</v>
      </c>
      <c r="AW36" s="6">
        <f t="shared" si="34"/>
        <v>0</v>
      </c>
      <c r="AY36" s="58">
        <f t="shared" si="35"/>
        <v>0</v>
      </c>
      <c r="BA36" s="162">
        <f t="shared" si="36"/>
        <v>0</v>
      </c>
    </row>
    <row r="37" ht="15.0" customHeight="1">
      <c r="A37" s="116" t="s">
        <v>2942</v>
      </c>
      <c r="B37" s="182">
        <v>46036.0</v>
      </c>
      <c r="C37" s="182">
        <v>46029.0</v>
      </c>
      <c r="D37" s="57" t="s">
        <v>74</v>
      </c>
      <c r="E37" s="3">
        <f t="array" ref="E37">XLOOKUP(D37,RUC!$B$3:$B$110,RUC!$D$3:$D$110)</f>
        <v>10082235774</v>
      </c>
      <c r="G37" s="141">
        <v>99.0</v>
      </c>
      <c r="H37" s="3" t="s">
        <v>47</v>
      </c>
      <c r="I37" s="6">
        <v>9.7</v>
      </c>
      <c r="J37" s="58">
        <v>2.2</v>
      </c>
      <c r="K37" s="6">
        <f t="shared" si="38"/>
        <v>9.487</v>
      </c>
      <c r="L37" s="139">
        <v>0.385</v>
      </c>
      <c r="M37" s="60">
        <f t="shared" ref="M37:M43" si="51">ROUND(+IF(AN37="Melchor Vera",IF(L37&gt;0.467,L37*0.985,(L37-0.007)),IF(L37&gt;0.3,L37*0.94,(L37-0.019))),3)</f>
        <v>0.378</v>
      </c>
      <c r="N37" s="75">
        <v>0.431</v>
      </c>
      <c r="O37" s="60">
        <f t="shared" ref="O37:O43" si="52">+ROUND((M37+N37)/2,3)</f>
        <v>0.405</v>
      </c>
      <c r="P37" s="63">
        <v>90.0</v>
      </c>
      <c r="Q37" s="58">
        <v>92.47</v>
      </c>
      <c r="R37" s="65">
        <v>4438.0</v>
      </c>
      <c r="S37" s="133">
        <v>115.0</v>
      </c>
      <c r="U37" s="2">
        <f t="array" ref="U37">XLOOKUP(D37,RUC!$B$3:$B$110,RUC!$F$3:$F$110)</f>
        <v>80</v>
      </c>
      <c r="V37" s="67">
        <v>1.1023</v>
      </c>
      <c r="Y37" s="57" t="str">
        <f t="array" ref="Y37">XLOOKUP(D37,RUC!$B$3:$B$110,RUC!$G$3:$G$110)</f>
        <v/>
      </c>
      <c r="Z37" s="69">
        <f t="array" ref="Z37">XLOOKUP(D37,RUC!$B$3:$B$110,RUC!$H$3:$H$110)</f>
        <v>10</v>
      </c>
      <c r="AA37" s="70">
        <f t="shared" si="40"/>
        <v>10</v>
      </c>
      <c r="AB37" s="71">
        <f t="shared" si="41"/>
        <v>1613.206129</v>
      </c>
      <c r="AC37" s="71">
        <f>+(S37-T37)*V37-'data 1'!$F$4</f>
        <v>46.7645</v>
      </c>
      <c r="AD37" s="71">
        <f t="shared" si="42"/>
        <v>45.68195862</v>
      </c>
      <c r="AE37" s="71">
        <f t="shared" si="43"/>
        <v>-58.977</v>
      </c>
      <c r="AF37" s="71">
        <f t="shared" si="44"/>
        <v>-88.84190996</v>
      </c>
      <c r="AG37" s="72">
        <f t="shared" si="50"/>
        <v>14.62754866</v>
      </c>
      <c r="AH37" s="193">
        <f t="shared" si="45"/>
        <v>115.798</v>
      </c>
      <c r="AI37" s="193">
        <f t="shared" si="46"/>
        <v>125.227</v>
      </c>
      <c r="AJ37" s="73">
        <f t="shared" si="47"/>
        <v>251.9395925</v>
      </c>
      <c r="AK37" s="73">
        <f t="shared" si="48"/>
        <v>118.5592662</v>
      </c>
      <c r="AM37" s="51">
        <f t="shared" si="49"/>
        <v>15304.48655</v>
      </c>
      <c r="AN37" s="51" t="str">
        <f t="array" ref="AN37">XLOOKUP(D37,RUC!$B$3:$B$565,RUC!$M$3:$M$565)</f>
        <v>Melchor Vera</v>
      </c>
      <c r="AO37" s="131" t="s">
        <v>547</v>
      </c>
      <c r="AP37" s="57" t="s">
        <v>2827</v>
      </c>
      <c r="AQ37" s="57" t="s">
        <v>667</v>
      </c>
      <c r="AV37" s="160" t="s">
        <v>692</v>
      </c>
      <c r="AW37" s="6">
        <f t="shared" si="34"/>
        <v>0</v>
      </c>
      <c r="AY37" s="58">
        <f t="shared" si="35"/>
        <v>0</v>
      </c>
      <c r="BA37" s="162">
        <f t="shared" si="36"/>
        <v>0</v>
      </c>
    </row>
    <row r="38" ht="15.0" customHeight="1">
      <c r="A38" s="116" t="s">
        <v>2943</v>
      </c>
      <c r="B38" s="182">
        <v>46036.0</v>
      </c>
      <c r="C38" s="182">
        <v>46029.0</v>
      </c>
      <c r="D38" s="57" t="s">
        <v>74</v>
      </c>
      <c r="E38" s="3">
        <f t="array" ref="E38">XLOOKUP(D38,RUC!$B$3:$B$110,RUC!$D$3:$D$110)</f>
        <v>10082235774</v>
      </c>
      <c r="G38" s="141">
        <v>68.0</v>
      </c>
      <c r="H38" s="3" t="s">
        <v>47</v>
      </c>
      <c r="I38" s="6">
        <v>6.62</v>
      </c>
      <c r="J38" s="58">
        <v>2.9</v>
      </c>
      <c r="K38" s="6">
        <f t="shared" si="38"/>
        <v>6.428</v>
      </c>
      <c r="L38" s="139">
        <v>0.315</v>
      </c>
      <c r="M38" s="60">
        <f t="shared" si="51"/>
        <v>0.308</v>
      </c>
      <c r="N38" s="75">
        <v>0.346</v>
      </c>
      <c r="O38" s="60">
        <f t="shared" si="52"/>
        <v>0.327</v>
      </c>
      <c r="P38" s="63">
        <v>90.0</v>
      </c>
      <c r="Q38" s="58">
        <v>92.06</v>
      </c>
      <c r="R38" s="65">
        <v>4438.0</v>
      </c>
      <c r="S38" s="133">
        <v>110.0</v>
      </c>
      <c r="U38" s="2">
        <f t="array" ref="U38">XLOOKUP(D38,RUC!$B$3:$B$110,RUC!$F$3:$F$110)</f>
        <v>80</v>
      </c>
      <c r="V38" s="67">
        <v>1.1023</v>
      </c>
      <c r="Y38" s="57" t="str">
        <f t="array" ref="Y38">XLOOKUP(D38,RUC!$B$3:$B$110,RUC!$G$3:$G$110)</f>
        <v/>
      </c>
      <c r="Z38" s="69">
        <f t="array" ref="Z38">XLOOKUP(D38,RUC!$B$3:$B$110,RUC!$H$3:$H$110)</f>
        <v>10</v>
      </c>
      <c r="AA38" s="70">
        <f t="shared" si="40"/>
        <v>10</v>
      </c>
      <c r="AB38" s="71">
        <f t="shared" si="41"/>
        <v>1281.489227</v>
      </c>
      <c r="AC38" s="71">
        <f>+(S38-T38)*V38-'data 1'!$F$4</f>
        <v>41.253</v>
      </c>
      <c r="AD38" s="71">
        <f t="shared" si="42"/>
        <v>31.17201004</v>
      </c>
      <c r="AE38" s="71">
        <f t="shared" si="43"/>
        <v>-58.977</v>
      </c>
      <c r="AF38" s="71">
        <f t="shared" si="44"/>
        <v>-53.06879786</v>
      </c>
      <c r="AG38" s="72">
        <f t="shared" si="50"/>
        <v>30.37921218</v>
      </c>
      <c r="AH38" s="193">
        <f t="shared" si="45"/>
        <v>63.91</v>
      </c>
      <c r="AI38" s="193">
        <f t="shared" si="46"/>
        <v>69.422</v>
      </c>
      <c r="AJ38" s="73">
        <f t="shared" si="47"/>
        <v>205.2184296</v>
      </c>
      <c r="AK38" s="73">
        <f t="shared" si="48"/>
        <v>64.85973941</v>
      </c>
      <c r="AM38" s="51">
        <f t="shared" si="49"/>
        <v>8237.412749</v>
      </c>
      <c r="AN38" s="51" t="str">
        <f t="array" ref="AN38">XLOOKUP(D38,RUC!$B$3:$B$565,RUC!$M$3:$M$565)</f>
        <v>Melchor Vera</v>
      </c>
      <c r="AO38" s="131" t="s">
        <v>551</v>
      </c>
      <c r="AP38" s="57" t="s">
        <v>2827</v>
      </c>
      <c r="AQ38" s="57" t="s">
        <v>667</v>
      </c>
      <c r="AV38" s="163" t="s">
        <v>693</v>
      </c>
      <c r="AW38" s="165">
        <f t="shared" si="34"/>
        <v>0</v>
      </c>
      <c r="AX38" s="170"/>
      <c r="AY38" s="168">
        <f t="shared" si="35"/>
        <v>0</v>
      </c>
      <c r="AZ38" s="170"/>
      <c r="BA38" s="171">
        <f t="shared" si="36"/>
        <v>0</v>
      </c>
    </row>
    <row r="39" ht="15.0" customHeight="1">
      <c r="A39" s="116" t="s">
        <v>2944</v>
      </c>
      <c r="B39" s="182">
        <v>46036.0</v>
      </c>
      <c r="C39" s="182">
        <v>46029.0</v>
      </c>
      <c r="D39" s="57" t="s">
        <v>74</v>
      </c>
      <c r="E39" s="3">
        <f t="array" ref="E39">XLOOKUP(D39,RUC!$B$3:$B$110,RUC!$D$3:$D$110)</f>
        <v>10082235774</v>
      </c>
      <c r="G39" s="141">
        <v>51.0</v>
      </c>
      <c r="H39" s="3" t="s">
        <v>47</v>
      </c>
      <c r="I39" s="6">
        <v>5.24</v>
      </c>
      <c r="J39" s="58">
        <v>4.1</v>
      </c>
      <c r="K39" s="6">
        <f t="shared" si="38"/>
        <v>5.025</v>
      </c>
      <c r="L39" s="139">
        <v>0.278</v>
      </c>
      <c r="M39" s="60">
        <f t="shared" si="51"/>
        <v>0.271</v>
      </c>
      <c r="N39" s="62">
        <f>+M39</f>
        <v>0.271</v>
      </c>
      <c r="O39" s="60">
        <f t="shared" si="52"/>
        <v>0.271</v>
      </c>
      <c r="P39" s="63">
        <v>90.0</v>
      </c>
      <c r="Q39" s="58">
        <v>93.17</v>
      </c>
      <c r="R39" s="65">
        <v>4438.0</v>
      </c>
      <c r="S39" s="133">
        <v>105.0</v>
      </c>
      <c r="U39" s="2">
        <f t="array" ref="U39">XLOOKUP(D39,RUC!$B$3:$B$110,RUC!$F$3:$F$110)</f>
        <v>80</v>
      </c>
      <c r="V39" s="67">
        <v>1.1023</v>
      </c>
      <c r="Y39" s="57" t="str">
        <f t="array" ref="Y39">XLOOKUP(D39,RUC!$B$3:$B$110,RUC!$G$3:$G$110)</f>
        <v/>
      </c>
      <c r="Z39" s="69">
        <f t="array" ref="Z39">XLOOKUP(D39,RUC!$B$3:$B$110,RUC!$H$3:$H$110)</f>
        <v>10</v>
      </c>
      <c r="AA39" s="70">
        <f t="shared" si="40"/>
        <v>10</v>
      </c>
      <c r="AB39" s="71">
        <f t="shared" si="41"/>
        <v>1044.888027</v>
      </c>
      <c r="AC39" s="71">
        <f>+(S39-T39)*V39-'data 1'!$F$4</f>
        <v>35.7415</v>
      </c>
      <c r="AD39" s="71">
        <f t="shared" si="42"/>
        <v>42.33417409</v>
      </c>
      <c r="AE39" s="71">
        <f t="shared" si="43"/>
        <v>-58.977</v>
      </c>
      <c r="AF39" s="71">
        <f t="shared" si="44"/>
        <v>31.33005583</v>
      </c>
      <c r="AG39" s="72">
        <f t="shared" si="50"/>
        <v>120.4287299</v>
      </c>
      <c r="AH39" s="193">
        <f t="shared" si="45"/>
        <v>44.624</v>
      </c>
      <c r="AI39" s="193">
        <f t="shared" si="46"/>
        <v>47.895</v>
      </c>
      <c r="AJ39" s="73">
        <f t="shared" si="47"/>
        <v>183.2971561</v>
      </c>
      <c r="AK39" s="73">
        <f t="shared" si="48"/>
        <v>42.02008588</v>
      </c>
      <c r="AM39" s="51">
        <f t="shared" si="49"/>
        <v>5250.562337</v>
      </c>
      <c r="AN39" s="51" t="str">
        <f t="array" ref="AN39">XLOOKUP(D39,RUC!$B$3:$B$565,RUC!$M$3:$M$565)</f>
        <v>Melchor Vera</v>
      </c>
      <c r="AO39" s="131" t="s">
        <v>551</v>
      </c>
      <c r="AP39" s="57" t="s">
        <v>2827</v>
      </c>
      <c r="AQ39" s="57" t="s">
        <v>667</v>
      </c>
    </row>
    <row r="40" ht="15.0" customHeight="1">
      <c r="A40" s="116" t="s">
        <v>2945</v>
      </c>
      <c r="B40" s="182">
        <v>46036.0</v>
      </c>
      <c r="C40" s="182">
        <v>46029.0</v>
      </c>
      <c r="D40" s="57" t="s">
        <v>74</v>
      </c>
      <c r="E40" s="3">
        <f t="array" ref="E40">XLOOKUP(D40,RUC!$B$3:$B$110,RUC!$D$3:$D$110)</f>
        <v>10082235774</v>
      </c>
      <c r="G40" s="141">
        <v>21.0</v>
      </c>
      <c r="H40" s="3" t="s">
        <v>47</v>
      </c>
      <c r="I40" s="6">
        <v>1.71</v>
      </c>
      <c r="J40" s="58">
        <v>2.9</v>
      </c>
      <c r="K40" s="6">
        <f t="shared" si="38"/>
        <v>1.66</v>
      </c>
      <c r="L40" s="139">
        <v>0.35</v>
      </c>
      <c r="M40" s="60">
        <f t="shared" si="51"/>
        <v>0.343</v>
      </c>
      <c r="N40" s="75">
        <v>0.383</v>
      </c>
      <c r="O40" s="60">
        <f t="shared" si="52"/>
        <v>0.363</v>
      </c>
      <c r="P40" s="63">
        <v>90.0</v>
      </c>
      <c r="Q40" s="58">
        <v>90.29</v>
      </c>
      <c r="R40" s="65">
        <v>4438.0</v>
      </c>
      <c r="S40" s="133">
        <v>110.0</v>
      </c>
      <c r="U40" s="2">
        <f t="array" ref="U40">XLOOKUP(D40,RUC!$B$3:$B$110,RUC!$F$3:$F$110)</f>
        <v>80</v>
      </c>
      <c r="V40" s="67">
        <v>1.1023</v>
      </c>
      <c r="Y40" s="57" t="str">
        <f t="array" ref="Y40">XLOOKUP(D40,RUC!$B$3:$B$110,RUC!$G$3:$G$110)</f>
        <v/>
      </c>
      <c r="Z40" s="69">
        <f t="array" ref="Z40">XLOOKUP(D40,RUC!$B$3:$B$110,RUC!$H$3:$H$110)</f>
        <v>10</v>
      </c>
      <c r="AA40" s="70">
        <f t="shared" si="40"/>
        <v>10</v>
      </c>
      <c r="AB40" s="71">
        <f t="shared" si="41"/>
        <v>1437.133105</v>
      </c>
      <c r="AC40" s="71">
        <f>+(S40-T40)*V40-'data 1'!$F$4</f>
        <v>41.253</v>
      </c>
      <c r="AD40" s="71">
        <f t="shared" si="42"/>
        <v>4.875880751</v>
      </c>
      <c r="AE40" s="71">
        <f t="shared" si="43"/>
        <v>-58.977</v>
      </c>
      <c r="AF40" s="71">
        <f t="shared" si="44"/>
        <v>-56.38583792</v>
      </c>
      <c r="AG40" s="72">
        <f t="shared" si="50"/>
        <v>0.7660428288</v>
      </c>
      <c r="AH40" s="193">
        <f t="shared" si="45"/>
        <v>17.986</v>
      </c>
      <c r="AI40" s="193">
        <f t="shared" si="46"/>
        <v>19.92</v>
      </c>
      <c r="AJ40" s="73">
        <f t="shared" si="47"/>
        <v>223.6364207</v>
      </c>
      <c r="AK40" s="73">
        <f t="shared" si="48"/>
        <v>18.59372022</v>
      </c>
      <c r="AM40" s="51">
        <f t="shared" si="49"/>
        <v>2385.640954</v>
      </c>
      <c r="AN40" s="51" t="str">
        <f t="array" ref="AN40">XLOOKUP(D40,RUC!$B$3:$B$565,RUC!$M$3:$M$565)</f>
        <v>Melchor Vera</v>
      </c>
      <c r="AO40" s="131" t="s">
        <v>551</v>
      </c>
      <c r="AP40" s="57" t="s">
        <v>2827</v>
      </c>
      <c r="AQ40" s="57" t="s">
        <v>667</v>
      </c>
    </row>
    <row r="41" ht="15.0" customHeight="1">
      <c r="A41" s="116" t="s">
        <v>2946</v>
      </c>
      <c r="B41" s="182">
        <v>46036.0</v>
      </c>
      <c r="C41" s="182">
        <v>46029.0</v>
      </c>
      <c r="D41" s="57" t="s">
        <v>74</v>
      </c>
      <c r="E41" s="3">
        <f t="array" ref="E41">XLOOKUP(D41,RUC!$B$3:$B$110,RUC!$D$3:$D$110)</f>
        <v>10082235774</v>
      </c>
      <c r="G41" s="141">
        <v>53.0</v>
      </c>
      <c r="H41" s="3" t="s">
        <v>47</v>
      </c>
      <c r="I41" s="6">
        <v>5.02</v>
      </c>
      <c r="J41" s="58">
        <v>1.9</v>
      </c>
      <c r="K41" s="6">
        <f t="shared" si="38"/>
        <v>4.925</v>
      </c>
      <c r="L41" s="139">
        <v>0.179</v>
      </c>
      <c r="M41" s="60">
        <f t="shared" si="51"/>
        <v>0.172</v>
      </c>
      <c r="N41" s="62">
        <f>+M41</f>
        <v>0.172</v>
      </c>
      <c r="O41" s="60">
        <f t="shared" si="52"/>
        <v>0.172</v>
      </c>
      <c r="P41" s="63">
        <v>85.0</v>
      </c>
      <c r="Q41" s="58">
        <v>92.74</v>
      </c>
      <c r="R41" s="65">
        <v>4438.0</v>
      </c>
      <c r="S41" s="133">
        <v>95.0</v>
      </c>
      <c r="U41" s="2">
        <f t="array" ref="U41">XLOOKUP(D41,RUC!$B$3:$B$110,RUC!$F$3:$F$110)</f>
        <v>80</v>
      </c>
      <c r="V41" s="67">
        <v>1.1023</v>
      </c>
      <c r="Y41" s="57" t="str">
        <f t="array" ref="Y41">XLOOKUP(D41,RUC!$B$3:$B$110,RUC!$G$3:$G$110)</f>
        <v/>
      </c>
      <c r="Z41" s="69">
        <f t="array" ref="Z41">XLOOKUP(D41,RUC!$B$3:$B$110,RUC!$H$3:$H$110)</f>
        <v>10</v>
      </c>
      <c r="AA41" s="70">
        <f t="shared" si="40"/>
        <v>10</v>
      </c>
      <c r="AB41" s="71">
        <f t="shared" si="41"/>
        <v>586.5774811</v>
      </c>
      <c r="AC41" s="71">
        <f>+(S41-T41)*V41-'data 1'!$F$4</f>
        <v>24.7185</v>
      </c>
      <c r="AD41" s="71">
        <f t="shared" si="42"/>
        <v>66.55505168</v>
      </c>
      <c r="AE41" s="71">
        <f t="shared" si="43"/>
        <v>-58.977</v>
      </c>
      <c r="AF41" s="71">
        <f t="shared" si="44"/>
        <v>31.18546075</v>
      </c>
      <c r="AG41" s="72">
        <f t="shared" si="50"/>
        <v>133.4820124</v>
      </c>
      <c r="AH41" s="193">
        <f t="shared" si="45"/>
        <v>28.031</v>
      </c>
      <c r="AI41" s="193">
        <f t="shared" si="46"/>
        <v>30.225</v>
      </c>
      <c r="AJ41" s="73">
        <f t="shared" si="47"/>
        <v>117.4775709</v>
      </c>
      <c r="AK41" s="73">
        <f t="shared" si="48"/>
        <v>24.68667938</v>
      </c>
      <c r="AM41" s="51">
        <f t="shared" si="49"/>
        <v>2888.894094</v>
      </c>
      <c r="AN41" s="51" t="str">
        <f t="array" ref="AN41">XLOOKUP(D41,RUC!$B$3:$B$565,RUC!$M$3:$M$565)</f>
        <v>Melchor Vera</v>
      </c>
      <c r="AO41" s="131" t="s">
        <v>551</v>
      </c>
      <c r="AP41" s="57" t="s">
        <v>2827</v>
      </c>
      <c r="AQ41" s="57" t="s">
        <v>667</v>
      </c>
    </row>
    <row r="42" ht="15.0" customHeight="1">
      <c r="A42" s="116" t="s">
        <v>2947</v>
      </c>
      <c r="B42" s="182">
        <v>46036.0</v>
      </c>
      <c r="C42" s="182">
        <v>46029.0</v>
      </c>
      <c r="D42" s="57" t="s">
        <v>74</v>
      </c>
      <c r="E42" s="3">
        <f t="array" ref="E42">XLOOKUP(D42,RUC!$B$3:$B$110,RUC!$D$3:$D$110)</f>
        <v>10082235774</v>
      </c>
      <c r="G42" s="141">
        <v>40.0</v>
      </c>
      <c r="H42" s="3" t="s">
        <v>47</v>
      </c>
      <c r="I42" s="6">
        <v>3.37</v>
      </c>
      <c r="J42" s="58">
        <v>1.2</v>
      </c>
      <c r="K42" s="6">
        <f t="shared" si="38"/>
        <v>3.33</v>
      </c>
      <c r="L42" s="139">
        <v>0.189</v>
      </c>
      <c r="M42" s="60">
        <f t="shared" si="51"/>
        <v>0.182</v>
      </c>
      <c r="N42" s="75">
        <v>0.211</v>
      </c>
      <c r="O42" s="60">
        <f t="shared" si="52"/>
        <v>0.197</v>
      </c>
      <c r="P42" s="63">
        <v>85.0</v>
      </c>
      <c r="Q42" s="58">
        <v>86.24</v>
      </c>
      <c r="R42" s="65">
        <v>4438.0</v>
      </c>
      <c r="S42" s="133">
        <v>95.0</v>
      </c>
      <c r="U42" s="2">
        <f t="array" ref="U42">XLOOKUP(D42,RUC!$B$3:$B$110,RUC!$F$3:$F$110)</f>
        <v>80</v>
      </c>
      <c r="V42" s="67">
        <v>1.1023</v>
      </c>
      <c r="Y42" s="57" t="str">
        <f t="array" ref="Y42">XLOOKUP(D42,RUC!$B$3:$B$110,RUC!$G$3:$G$110)</f>
        <v/>
      </c>
      <c r="Z42" s="69">
        <f t="array" ref="Z42">XLOOKUP(D42,RUC!$B$3:$B$110,RUC!$H$3:$H$110)</f>
        <v>10</v>
      </c>
      <c r="AA42" s="70">
        <f t="shared" si="40"/>
        <v>10</v>
      </c>
      <c r="AB42" s="71">
        <f t="shared" si="41"/>
        <v>688.6587283</v>
      </c>
      <c r="AC42" s="71">
        <f>+(S42-T42)*V42-'data 1'!$F$4</f>
        <v>24.7185</v>
      </c>
      <c r="AD42" s="71">
        <f t="shared" si="42"/>
        <v>11.25824052</v>
      </c>
      <c r="AE42" s="71">
        <f t="shared" si="43"/>
        <v>-58.977</v>
      </c>
      <c r="AF42" s="71">
        <f t="shared" si="44"/>
        <v>-33.1425384</v>
      </c>
      <c r="AG42" s="72">
        <f t="shared" si="50"/>
        <v>13.85720212</v>
      </c>
      <c r="AH42" s="193">
        <f t="shared" si="45"/>
        <v>18.609</v>
      </c>
      <c r="AI42" s="193">
        <f t="shared" si="46"/>
        <v>21.578</v>
      </c>
      <c r="AJ42" s="73">
        <f t="shared" si="47"/>
        <v>115.3467567</v>
      </c>
      <c r="AK42" s="73">
        <f t="shared" si="48"/>
        <v>19.1178238</v>
      </c>
      <c r="AM42" s="51">
        <f t="shared" si="49"/>
        <v>2293.233565</v>
      </c>
      <c r="AN42" s="51" t="str">
        <f t="array" ref="AN42">XLOOKUP(D42,RUC!$B$3:$B$565,RUC!$M$3:$M$565)</f>
        <v>Melchor Vera</v>
      </c>
      <c r="AO42" s="131" t="s">
        <v>551</v>
      </c>
      <c r="AP42" s="57" t="s">
        <v>2827</v>
      </c>
      <c r="AQ42" s="57" t="s">
        <v>667</v>
      </c>
    </row>
    <row r="43" ht="15.0" customHeight="1">
      <c r="A43" s="116" t="s">
        <v>2948</v>
      </c>
      <c r="B43" s="182">
        <v>46036.0</v>
      </c>
      <c r="C43" s="182">
        <v>46029.0</v>
      </c>
      <c r="D43" s="57" t="s">
        <v>74</v>
      </c>
      <c r="E43" s="3">
        <f t="array" ref="E43">XLOOKUP(D43,RUC!$B$3:$B$110,RUC!$D$3:$D$110)</f>
        <v>10082235774</v>
      </c>
      <c r="G43" s="141">
        <v>25.0</v>
      </c>
      <c r="H43" s="3" t="s">
        <v>47</v>
      </c>
      <c r="I43" s="6">
        <v>2.33</v>
      </c>
      <c r="J43" s="58">
        <v>2.4</v>
      </c>
      <c r="K43" s="6">
        <f t="shared" si="38"/>
        <v>2.274</v>
      </c>
      <c r="L43" s="139">
        <v>0.321</v>
      </c>
      <c r="M43" s="60">
        <f t="shared" si="51"/>
        <v>0.314</v>
      </c>
      <c r="N43" s="75">
        <v>0.354</v>
      </c>
      <c r="O43" s="60">
        <f t="shared" si="52"/>
        <v>0.334</v>
      </c>
      <c r="P43" s="63">
        <v>90.0</v>
      </c>
      <c r="Q43" s="58">
        <v>92.83</v>
      </c>
      <c r="R43" s="65">
        <v>4438.0</v>
      </c>
      <c r="S43" s="133">
        <v>110.0</v>
      </c>
      <c r="U43" s="2">
        <f t="array" ref="U43">XLOOKUP(D43,RUC!$B$3:$B$110,RUC!$F$3:$F$110)</f>
        <v>80</v>
      </c>
      <c r="V43" s="67">
        <v>1.1023</v>
      </c>
      <c r="Y43" s="57" t="str">
        <f t="array" ref="Y43">XLOOKUP(D43,RUC!$B$3:$B$110,RUC!$G$3:$G$110)</f>
        <v/>
      </c>
      <c r="Z43" s="69">
        <f t="array" ref="Z43">XLOOKUP(D43,RUC!$B$3:$B$110,RUC!$H$3:$H$110)</f>
        <v>10</v>
      </c>
      <c r="AA43" s="70">
        <f t="shared" si="40"/>
        <v>10</v>
      </c>
      <c r="AB43" s="71">
        <f t="shared" si="41"/>
        <v>1311.753314</v>
      </c>
      <c r="AC43" s="71">
        <f>+(S43-T43)*V43-'data 1'!$F$4</f>
        <v>41.253</v>
      </c>
      <c r="AD43" s="71">
        <f t="shared" si="42"/>
        <v>43.63937291</v>
      </c>
      <c r="AE43" s="71">
        <f t="shared" si="43"/>
        <v>-58.977</v>
      </c>
      <c r="AF43" s="71">
        <f t="shared" si="44"/>
        <v>-57.97206041</v>
      </c>
      <c r="AG43" s="72">
        <f t="shared" si="50"/>
        <v>37.9433125</v>
      </c>
      <c r="AH43" s="193">
        <f t="shared" si="45"/>
        <v>23.232</v>
      </c>
      <c r="AI43" s="193">
        <f t="shared" si="46"/>
        <v>25.027</v>
      </c>
      <c r="AJ43" s="73">
        <f t="shared" si="47"/>
        <v>210.8765163</v>
      </c>
      <c r="AK43" s="73">
        <f t="shared" si="48"/>
        <v>23.43627071</v>
      </c>
      <c r="AM43" s="51">
        <f t="shared" si="49"/>
        <v>2982.927036</v>
      </c>
      <c r="AN43" s="51" t="str">
        <f t="array" ref="AN43">XLOOKUP(D43,RUC!$B$3:$B$565,RUC!$M$3:$M$565)</f>
        <v>Melchor Vera</v>
      </c>
      <c r="AO43" s="131" t="s">
        <v>551</v>
      </c>
      <c r="AP43" s="57" t="s">
        <v>2827</v>
      </c>
      <c r="AQ43" s="57" t="s">
        <v>667</v>
      </c>
    </row>
    <row r="44" ht="15.0" customHeight="1">
      <c r="A44" s="117" t="s">
        <v>2949</v>
      </c>
      <c r="B44" s="3"/>
      <c r="C44" s="182">
        <v>46030.0</v>
      </c>
      <c r="D44" s="57" t="s">
        <v>806</v>
      </c>
      <c r="E44" s="3">
        <f t="array" ref="E44">XLOOKUP(D44,RUC!$B$3:$B$110,RUC!$D$3:$D$110)</f>
        <v>20614284740</v>
      </c>
      <c r="G44" s="141">
        <v>176.0</v>
      </c>
      <c r="H44" s="3" t="s">
        <v>47</v>
      </c>
      <c r="I44" s="6"/>
      <c r="J44" s="58"/>
      <c r="K44" s="6"/>
      <c r="L44" s="139"/>
      <c r="M44" s="60"/>
      <c r="N44" s="62"/>
      <c r="O44" s="60"/>
      <c r="P44" s="63"/>
      <c r="Q44" s="58"/>
      <c r="R44" s="65"/>
      <c r="S44" s="66"/>
      <c r="U44" s="67"/>
      <c r="V44" s="67"/>
      <c r="Z44" s="69"/>
      <c r="AA44" s="70"/>
      <c r="AB44" s="71"/>
      <c r="AC44" s="71"/>
      <c r="AD44" s="71"/>
      <c r="AE44" s="71"/>
      <c r="AF44" s="71"/>
      <c r="AG44" s="72"/>
      <c r="AH44" s="193"/>
      <c r="AI44" s="193"/>
      <c r="AJ44" s="73"/>
      <c r="AK44" s="73"/>
      <c r="AM44" s="51"/>
      <c r="AN44" s="51" t="str">
        <f t="array" ref="AN44">XLOOKUP(D44,RUC!$B$3:$B$565,RUC!$M$3:$M$565)</f>
        <v>Dante </v>
      </c>
      <c r="AO44" s="131" t="s">
        <v>731</v>
      </c>
      <c r="AP44" s="57" t="s">
        <v>2020</v>
      </c>
      <c r="AQ44" s="57" t="s">
        <v>2950</v>
      </c>
    </row>
    <row r="45" ht="15.0" customHeight="1">
      <c r="A45" s="116" t="s">
        <v>2951</v>
      </c>
      <c r="B45" s="182">
        <v>46050.0</v>
      </c>
      <c r="C45" s="182">
        <v>46031.0</v>
      </c>
      <c r="D45" s="57" t="s">
        <v>225</v>
      </c>
      <c r="E45" s="3">
        <f t="array" ref="E45">XLOOKUP(D45,RUC!$B$3:$B$110,RUC!$D$3:$D$110)</f>
        <v>10761932735</v>
      </c>
      <c r="G45" s="141">
        <v>9.0</v>
      </c>
      <c r="H45" s="3" t="s">
        <v>47</v>
      </c>
      <c r="I45" s="6">
        <v>0.58</v>
      </c>
      <c r="J45" s="58">
        <v>3.15</v>
      </c>
      <c r="K45" s="6">
        <f t="shared" ref="K45:K119" si="53">ROUND(+I45-(I45*(J45/100)),3)</f>
        <v>0.562</v>
      </c>
      <c r="L45" s="139">
        <v>0.555</v>
      </c>
      <c r="M45" s="60">
        <f t="shared" ref="M45:M47" si="54">ROUND(+IF(AN45="Melchor Vera",IF(L45&gt;0.467,L45*0.985,(L45-0.007)),IF(L45&gt;0.3,L45*0.94,(L45-0.019))),3)</f>
        <v>0.522</v>
      </c>
      <c r="N45" s="75">
        <v>0.611</v>
      </c>
      <c r="O45" s="60">
        <f t="shared" ref="O45:O47" si="55">+ROUND((M45+N45)/2,3)</f>
        <v>0.567</v>
      </c>
      <c r="P45" s="63">
        <v>90.0</v>
      </c>
      <c r="Q45" s="58">
        <v>98.05</v>
      </c>
      <c r="R45" s="65">
        <v>4493.85</v>
      </c>
      <c r="S45" s="66">
        <f t="array" ref="S45">IF((XLOOKUP(D45,RUC!$B$3:$B$106,RUC!$E$3:$E$106)+ROUNDDOWN(O45,1)*100)&lt;95,95,((XLOOKUP(D45,RUC!$B$3:$B$106,RUC!$E$3:$E$106)+ROUNDDOWN(O45,1)*100)))</f>
        <v>140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ref="AA45:AA119" si="56">+Y45+Z45</f>
        <v>50</v>
      </c>
      <c r="AB45" s="71">
        <f t="shared" ref="AB45:AB119" si="57">+((O45*P45*(R45-U45)/100)-S45-AA45+T45)*V45</f>
        <v>2250.869765</v>
      </c>
      <c r="AC45" s="71">
        <f>+(S45-T45)*V45-'data 1'!$F$4</f>
        <v>74.322</v>
      </c>
      <c r="AD45" s="71">
        <f t="shared" ref="AD45:AD119" si="58">+(Q45-P45)*(R45-U45)*L45*V45/100</f>
        <v>215.4034009</v>
      </c>
      <c r="AE45" s="71">
        <f t="shared" ref="AE45:AE119" si="59">+(Y45*V45-70)+V45*(Z45-IF(D45="UNTUCA",IF(+((W45-3)*2.5+(X45-3)*3.1)&gt;0,+((W45-3)*1.5+(X45-3)*3.1),0),IF(+((W45-3)*1.5+(X45-3)*3.1)&gt;0,+((W45-3)*1.5+(X45-3)*3.1),0)))</f>
        <v>-14.885</v>
      </c>
      <c r="AF45" s="71">
        <f t="shared" ref="AF45:AF119" si="60">(L45-O45)*(R45-U45)*Q45*V45/100</f>
        <v>-56.72735526</v>
      </c>
      <c r="AG45" s="72">
        <f t="shared" ref="AG45:AG48" si="61">AC45+AD45+AE45+AF45+70-53</f>
        <v>235.1130456</v>
      </c>
      <c r="AH45" s="193">
        <f t="shared" ref="AH45:AH119" si="62">ROUND((31.1035*L45*Q45*1.1023*K45/100),3)</f>
        <v>10.485</v>
      </c>
      <c r="AI45" s="193">
        <f t="shared" ref="AI45:AI119" si="63">ROUND((31.1035*L45*1.1023*K45),3)</f>
        <v>10.694</v>
      </c>
      <c r="AJ45" s="73">
        <f t="shared" ref="AJ45:AJ119" si="64">+((+$AJ$2-R45+U45)*L45*Q45*V45)/100</f>
        <v>375.5941103</v>
      </c>
      <c r="AK45" s="73">
        <f t="shared" ref="AK45:AK119" si="65">31.1035*1.1023*K45*P45*O45/100</f>
        <v>9.832658439</v>
      </c>
      <c r="AM45" s="51">
        <f t="shared" ref="AM45:AM119" si="66">+IF(AB45*K45&gt;0,AB45*K45,0)</f>
        <v>1264.988808</v>
      </c>
      <c r="AN45" s="51" t="str">
        <f t="array" ref="AN45">XLOOKUP(D45,RUC!$B$3:$B$565,RUC!$M$3:$M$565)</f>
        <v>Richard Sapacayo</v>
      </c>
      <c r="AO45" s="131" t="s">
        <v>547</v>
      </c>
      <c r="AP45" s="57" t="s">
        <v>2952</v>
      </c>
      <c r="AQ45" s="57" t="s">
        <v>2953</v>
      </c>
    </row>
    <row r="46" ht="15.0" customHeight="1">
      <c r="A46" s="116" t="s">
        <v>2954</v>
      </c>
      <c r="B46" s="182">
        <v>46050.0</v>
      </c>
      <c r="C46" s="182">
        <v>46031.0</v>
      </c>
      <c r="D46" s="57" t="s">
        <v>225</v>
      </c>
      <c r="E46" s="3">
        <f t="array" ref="E46">XLOOKUP(D46,RUC!$B$3:$B$110,RUC!$D$3:$D$110)</f>
        <v>10761932735</v>
      </c>
      <c r="G46" s="141">
        <v>29.0</v>
      </c>
      <c r="H46" s="3" t="s">
        <v>47</v>
      </c>
      <c r="I46" s="6">
        <v>2.15</v>
      </c>
      <c r="J46" s="58">
        <v>4.55</v>
      </c>
      <c r="K46" s="6">
        <f t="shared" si="53"/>
        <v>2.052</v>
      </c>
      <c r="L46" s="139">
        <v>0.247</v>
      </c>
      <c r="M46" s="60">
        <f t="shared" si="54"/>
        <v>0.228</v>
      </c>
      <c r="N46" s="62">
        <f t="shared" ref="N46:N60" si="67">+M46</f>
        <v>0.228</v>
      </c>
      <c r="O46" s="60">
        <f t="shared" si="55"/>
        <v>0.228</v>
      </c>
      <c r="P46" s="63">
        <v>90.0</v>
      </c>
      <c r="Q46" s="58">
        <v>98.88</v>
      </c>
      <c r="R46" s="65">
        <v>4493.85</v>
      </c>
      <c r="S46" s="66">
        <f t="array" ref="S46">IF((XLOOKUP(D46,RUC!$B$3:$B$106,RUC!$E$3:$E$106)+ROUNDDOWN(O46,1)*100)&lt;95,95,((XLOOKUP(D46,RUC!$B$3:$B$106,RUC!$E$3:$E$106)+ROUNDDOWN(O46,1)*100)))</f>
        <v>110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56"/>
        <v>50</v>
      </c>
      <c r="AB46" s="71">
        <f t="shared" si="57"/>
        <v>812.9617042</v>
      </c>
      <c r="AC46" s="71">
        <f>+(S46-T46)*V46-'data 1'!$F$4</f>
        <v>41.253</v>
      </c>
      <c r="AD46" s="71">
        <f t="shared" si="58"/>
        <v>105.7483528</v>
      </c>
      <c r="AE46" s="71">
        <f t="shared" si="59"/>
        <v>-14.885</v>
      </c>
      <c r="AF46" s="71">
        <f t="shared" si="60"/>
        <v>90.5786307</v>
      </c>
      <c r="AG46" s="72">
        <f t="shared" si="61"/>
        <v>239.6949835</v>
      </c>
      <c r="AH46" s="193">
        <f t="shared" si="62"/>
        <v>17.183</v>
      </c>
      <c r="AI46" s="193">
        <f t="shared" si="63"/>
        <v>17.377</v>
      </c>
      <c r="AJ46" s="73">
        <f t="shared" si="64"/>
        <v>168.5712873</v>
      </c>
      <c r="AK46" s="73">
        <f t="shared" si="65"/>
        <v>14.43656206</v>
      </c>
      <c r="AM46" s="51">
        <f t="shared" si="66"/>
        <v>1668.197417</v>
      </c>
      <c r="AN46" s="51" t="str">
        <f t="array" ref="AN46">XLOOKUP(D46,RUC!$B$3:$B$565,RUC!$M$3:$M$565)</f>
        <v>Richard Sapacayo</v>
      </c>
      <c r="AO46" s="131" t="s">
        <v>551</v>
      </c>
      <c r="AP46" s="57" t="s">
        <v>2952</v>
      </c>
      <c r="AQ46" s="57" t="s">
        <v>2953</v>
      </c>
    </row>
    <row r="47" ht="15.0" customHeight="1">
      <c r="A47" s="116" t="s">
        <v>2955</v>
      </c>
      <c r="B47" s="182">
        <v>46050.0</v>
      </c>
      <c r="C47" s="182">
        <v>46031.0</v>
      </c>
      <c r="D47" s="57" t="s">
        <v>225</v>
      </c>
      <c r="E47" s="3">
        <f t="array" ref="E47">XLOOKUP(D47,RUC!$B$3:$B$110,RUC!$D$3:$D$110)</f>
        <v>10761932735</v>
      </c>
      <c r="G47" s="141">
        <v>71.0</v>
      </c>
      <c r="H47" s="3" t="s">
        <v>47</v>
      </c>
      <c r="I47" s="6">
        <v>5.38</v>
      </c>
      <c r="J47" s="58">
        <v>5.7</v>
      </c>
      <c r="K47" s="6">
        <f t="shared" si="53"/>
        <v>5.073</v>
      </c>
      <c r="L47" s="139">
        <v>0.193</v>
      </c>
      <c r="M47" s="60">
        <f t="shared" si="54"/>
        <v>0.174</v>
      </c>
      <c r="N47" s="62">
        <f t="shared" si="67"/>
        <v>0.174</v>
      </c>
      <c r="O47" s="60">
        <f t="shared" si="55"/>
        <v>0.174</v>
      </c>
      <c r="P47" s="63">
        <v>90.0</v>
      </c>
      <c r="Q47" s="58">
        <v>98.46</v>
      </c>
      <c r="R47" s="65">
        <v>4493.85</v>
      </c>
      <c r="S47" s="66">
        <f t="array" ref="S47">IF((XLOOKUP(D47,RUC!$B$3:$B$106,RUC!$E$3:$E$106)+ROUNDDOWN(O47,1)*100)&lt;95,95,((XLOOKUP(D47,RUC!$B$3:$B$106,RUC!$E$3:$E$106)+ROUNDDOWN(O47,1)*100)))</f>
        <v>100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56"/>
        <v>50</v>
      </c>
      <c r="AB47" s="71">
        <f t="shared" si="57"/>
        <v>589.6697743</v>
      </c>
      <c r="AC47" s="71">
        <f>+(S47-T47)*V47-'data 1'!$F$4</f>
        <v>30.23</v>
      </c>
      <c r="AD47" s="71">
        <f t="shared" si="58"/>
        <v>78.72113813</v>
      </c>
      <c r="AE47" s="71">
        <f t="shared" si="59"/>
        <v>-14.885</v>
      </c>
      <c r="AF47" s="71">
        <f t="shared" si="60"/>
        <v>90.19389137</v>
      </c>
      <c r="AG47" s="72">
        <f t="shared" si="61"/>
        <v>201.2600295</v>
      </c>
      <c r="AH47" s="193">
        <f t="shared" si="62"/>
        <v>33.051</v>
      </c>
      <c r="AI47" s="193">
        <f t="shared" si="63"/>
        <v>33.568</v>
      </c>
      <c r="AJ47" s="73">
        <f t="shared" si="64"/>
        <v>131.1581653</v>
      </c>
      <c r="AK47" s="73">
        <f t="shared" si="65"/>
        <v>27.23740254</v>
      </c>
      <c r="AM47" s="51">
        <f t="shared" si="66"/>
        <v>2991.394765</v>
      </c>
      <c r="AN47" s="51" t="str">
        <f t="array" ref="AN47">XLOOKUP(D47,RUC!$B$3:$B$565,RUC!$M$3:$M$565)</f>
        <v>Richard Sapacayo</v>
      </c>
      <c r="AO47" s="131" t="s">
        <v>551</v>
      </c>
      <c r="AP47" s="57" t="s">
        <v>2952</v>
      </c>
      <c r="AQ47" s="57" t="s">
        <v>2953</v>
      </c>
    </row>
    <row r="48" ht="15.0" customHeight="1">
      <c r="A48" s="116" t="s">
        <v>2956</v>
      </c>
      <c r="B48" s="182">
        <v>46042.0</v>
      </c>
      <c r="C48" s="182">
        <v>46031.0</v>
      </c>
      <c r="D48" s="57" t="s">
        <v>806</v>
      </c>
      <c r="E48" s="3">
        <f t="array" ref="E48">XLOOKUP(D48,RUC!$B$3:$B$110,RUC!$D$3:$D$110)</f>
        <v>20614284740</v>
      </c>
      <c r="G48" s="141">
        <v>116.0</v>
      </c>
      <c r="H48" s="3" t="s">
        <v>47</v>
      </c>
      <c r="I48" s="6">
        <v>7.97</v>
      </c>
      <c r="J48" s="58">
        <v>1.4</v>
      </c>
      <c r="K48" s="6">
        <f t="shared" si="53"/>
        <v>7.858</v>
      </c>
      <c r="L48" s="139">
        <v>0.181</v>
      </c>
      <c r="M48" s="60">
        <v>0.109</v>
      </c>
      <c r="N48" s="62">
        <f t="shared" si="67"/>
        <v>0.109</v>
      </c>
      <c r="O48" s="471">
        <v>0.212</v>
      </c>
      <c r="P48" s="63">
        <v>90.0</v>
      </c>
      <c r="Q48" s="58">
        <v>97.44</v>
      </c>
      <c r="R48" s="65">
        <v>4493.85</v>
      </c>
      <c r="S48" s="66">
        <f t="array" ref="S48">IF((XLOOKUP(D48,RUC!$B$3:$B$106,RUC!$E$3:$E$106)+ROUNDDOWN(O48,1)*100)&lt;95,95,((XLOOKUP(D48,RUC!$B$3:$B$106,RUC!$E$3:$E$106)+ROUNDDOWN(O48,1)*100)))</f>
        <v>110</v>
      </c>
      <c r="U48" s="67">
        <f t="array" ref="U48">XLOOKUP(D48,RUC!$B$3:$B$110,RUC!$F$3:$F$110)</f>
        <v>120</v>
      </c>
      <c r="V48" s="67">
        <v>1.1023</v>
      </c>
      <c r="Y48" s="199">
        <v>30.0</v>
      </c>
      <c r="Z48" s="69">
        <f t="array" ref="Z48">XLOOKUP(D48,RUC!$B$3:$B$110,RUC!$H$3:$H$110)</f>
        <v>30</v>
      </c>
      <c r="AA48" s="70">
        <f t="shared" si="56"/>
        <v>60</v>
      </c>
      <c r="AB48" s="71">
        <f t="shared" si="57"/>
        <v>732.5120583</v>
      </c>
      <c r="AC48" s="71">
        <f>+(S48-T48)*V48-'data 1'!$F$4</f>
        <v>41.253</v>
      </c>
      <c r="AD48" s="71">
        <f t="shared" si="58"/>
        <v>64.92548504</v>
      </c>
      <c r="AE48" s="71">
        <f t="shared" si="59"/>
        <v>-3.862</v>
      </c>
      <c r="AF48" s="71">
        <f t="shared" si="60"/>
        <v>-145.6339609</v>
      </c>
      <c r="AG48" s="72">
        <f t="shared" si="61"/>
        <v>-26.31747587</v>
      </c>
      <c r="AH48" s="193">
        <f t="shared" si="62"/>
        <v>47.516</v>
      </c>
      <c r="AI48" s="193">
        <f t="shared" si="63"/>
        <v>48.764</v>
      </c>
      <c r="AJ48" s="73">
        <f t="shared" si="64"/>
        <v>121.7289967</v>
      </c>
      <c r="AK48" s="73">
        <f t="shared" si="65"/>
        <v>51.40430173</v>
      </c>
      <c r="AM48" s="51">
        <f t="shared" si="66"/>
        <v>5756.079754</v>
      </c>
      <c r="AN48" s="51" t="str">
        <f t="array" ref="AN48">XLOOKUP(D48,RUC!$B$3:$B$565,RUC!$M$3:$M$565)</f>
        <v>Dante </v>
      </c>
      <c r="AO48" s="131" t="s">
        <v>547</v>
      </c>
      <c r="AP48" s="57" t="s">
        <v>2106</v>
      </c>
      <c r="AQ48" s="57" t="s">
        <v>2957</v>
      </c>
      <c r="AR48" s="2" t="s">
        <v>2824</v>
      </c>
    </row>
    <row r="49" ht="15.0" customHeight="1">
      <c r="A49" s="192" t="s">
        <v>2958</v>
      </c>
      <c r="B49" s="3"/>
      <c r="C49" s="182">
        <v>46031.0</v>
      </c>
      <c r="D49" s="57" t="s">
        <v>806</v>
      </c>
      <c r="E49" s="3">
        <f t="array" ref="E49">XLOOKUP(D49,RUC!$B$3:$B$110,RUC!$D$3:$D$110)</f>
        <v>20614284740</v>
      </c>
      <c r="G49" s="141">
        <v>29.0</v>
      </c>
      <c r="H49" s="3" t="s">
        <v>47</v>
      </c>
      <c r="I49" s="6">
        <v>2.26</v>
      </c>
      <c r="J49" s="58">
        <v>1.5</v>
      </c>
      <c r="K49" s="6">
        <f t="shared" si="53"/>
        <v>2.226</v>
      </c>
      <c r="L49" s="139">
        <v>0.113</v>
      </c>
      <c r="M49" s="60">
        <f t="shared" ref="M49:M102" si="68">ROUND(+IF(AN49="Melchor Vera",IF(L49&gt;0.467,L49*0.985,(L49-0.007)),IF(L49&gt;0.3,L49*0.94,(L49-0.019))),3)</f>
        <v>0.094</v>
      </c>
      <c r="N49" s="62">
        <f t="shared" si="67"/>
        <v>0.094</v>
      </c>
      <c r="O49" s="60">
        <f t="shared" ref="O49:O58" si="69">+ROUND((M49+N49)/2,3)</f>
        <v>0.094</v>
      </c>
      <c r="P49" s="63">
        <v>90.0</v>
      </c>
      <c r="Q49" s="58">
        <v>98.21</v>
      </c>
      <c r="R49" s="65">
        <v>4493.85</v>
      </c>
      <c r="S49" s="66">
        <f t="array" ref="S49">IF((XLOOKUP(D49,RUC!$B$3:$B$106,RUC!$E$3:$E$106)+ROUNDDOWN(O49,1)*100)&lt;95,95,((XLOOKUP(D49,RUC!$B$3:$B$106,RUC!$E$3:$E$106)+ROUNDDOWN(O49,1)*100)))</f>
        <v>95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56"/>
        <v>50</v>
      </c>
      <c r="AB49" s="71">
        <f t="shared" si="57"/>
        <v>248.0480447</v>
      </c>
      <c r="AC49" s="71">
        <f>+(S49-T49)*V49-'data 1'!$F$4</f>
        <v>24.7185</v>
      </c>
      <c r="AD49" s="71">
        <f t="shared" si="58"/>
        <v>44.72859876</v>
      </c>
      <c r="AE49" s="71">
        <f t="shared" si="59"/>
        <v>-14.885</v>
      </c>
      <c r="AF49" s="71">
        <f t="shared" si="60"/>
        <v>89.96487986</v>
      </c>
      <c r="AG49" s="72">
        <f t="shared" ref="AG49:AG54" si="70">AC49+AD49+AE49+AF49+70</f>
        <v>214.5269786</v>
      </c>
      <c r="AH49" s="193">
        <f t="shared" si="62"/>
        <v>8.47</v>
      </c>
      <c r="AI49" s="193">
        <f t="shared" si="63"/>
        <v>8.624</v>
      </c>
      <c r="AJ49" s="73">
        <f t="shared" si="64"/>
        <v>76.59710344</v>
      </c>
      <c r="AK49" s="73">
        <f t="shared" si="65"/>
        <v>6.456610563</v>
      </c>
      <c r="AM49" s="51">
        <f t="shared" si="66"/>
        <v>552.1549476</v>
      </c>
      <c r="AN49" s="51" t="str">
        <f t="array" ref="AN49">XLOOKUP(D49,RUC!$B$3:$B$565,RUC!$M$3:$M$565)</f>
        <v>Dante </v>
      </c>
      <c r="AO49" s="131" t="s">
        <v>551</v>
      </c>
      <c r="AP49" s="57" t="s">
        <v>2106</v>
      </c>
      <c r="AQ49" s="57" t="s">
        <v>2957</v>
      </c>
    </row>
    <row r="50" ht="15.0" customHeight="1">
      <c r="A50" s="116" t="s">
        <v>2959</v>
      </c>
      <c r="B50" s="182">
        <v>46041.0</v>
      </c>
      <c r="C50" s="182">
        <v>46032.0</v>
      </c>
      <c r="D50" s="57" t="s">
        <v>705</v>
      </c>
      <c r="E50" s="3">
        <f t="array" ref="E50">XLOOKUP(D50,RUC!$B$3:$B$110,RUC!$D$3:$D$110)</f>
        <v>20614031698</v>
      </c>
      <c r="G50" s="141">
        <v>17.0</v>
      </c>
      <c r="H50" s="3" t="s">
        <v>47</v>
      </c>
      <c r="I50" s="6">
        <v>1.78</v>
      </c>
      <c r="J50" s="58">
        <v>2.5</v>
      </c>
      <c r="K50" s="6">
        <f t="shared" si="53"/>
        <v>1.736</v>
      </c>
      <c r="L50" s="139">
        <v>0.17</v>
      </c>
      <c r="M50" s="60">
        <f t="shared" si="68"/>
        <v>0.151</v>
      </c>
      <c r="N50" s="62">
        <f t="shared" si="67"/>
        <v>0.151</v>
      </c>
      <c r="O50" s="60">
        <f t="shared" si="69"/>
        <v>0.151</v>
      </c>
      <c r="P50" s="63">
        <v>85.0</v>
      </c>
      <c r="Q50" s="58">
        <v>96.47</v>
      </c>
      <c r="R50" s="65">
        <v>4493.85</v>
      </c>
      <c r="S50" s="66">
        <f t="array" ref="S50">IF((XLOOKUP(D50,RUC!$B$3:$B$106,RUC!$E$3:$E$106)+ROUNDDOWN(O50,1)*100)&lt;95,95,((XLOOKUP(D50,RUC!$B$3:$B$106,RUC!$E$3:$E$106)+ROUNDDOWN(O50,1)*100)))</f>
        <v>95</v>
      </c>
      <c r="U50" s="67">
        <f t="array" ref="U50">XLOOKUP(D50,RUC!$B$3:$B$110,RUC!$F$3:$F$110)</f>
        <v>110</v>
      </c>
      <c r="V50" s="67">
        <v>1.1023</v>
      </c>
      <c r="Y50" s="57">
        <f t="array" ref="Y50">XLOOKUP(D50,RUC!$B$3:$B$110,RUC!$G$3:$G$110)</f>
        <v>0</v>
      </c>
      <c r="Z50" s="69">
        <f t="array" ref="Z50">XLOOKUP(D50,RUC!$B$3:$B$110,RUC!$H$3:$H$110)</f>
        <v>35</v>
      </c>
      <c r="AA50" s="70">
        <f t="shared" si="56"/>
        <v>35</v>
      </c>
      <c r="AB50" s="71">
        <f t="shared" si="57"/>
        <v>476.9289967</v>
      </c>
      <c r="AC50" s="71">
        <f>+(S50-T50)*V50-'data 1'!$F$4</f>
        <v>24.7185</v>
      </c>
      <c r="AD50" s="71">
        <f t="shared" si="58"/>
        <v>94.22536585</v>
      </c>
      <c r="AE50" s="71">
        <f t="shared" si="59"/>
        <v>-31.4195</v>
      </c>
      <c r="AF50" s="71">
        <f t="shared" si="60"/>
        <v>88.57300366</v>
      </c>
      <c r="AG50" s="72">
        <f t="shared" si="70"/>
        <v>246.0973695</v>
      </c>
      <c r="AH50" s="193">
        <f t="shared" si="62"/>
        <v>9.761</v>
      </c>
      <c r="AI50" s="193">
        <f t="shared" si="63"/>
        <v>10.118</v>
      </c>
      <c r="AJ50" s="73">
        <f t="shared" si="64"/>
        <v>111.3851926</v>
      </c>
      <c r="AK50" s="73">
        <f t="shared" si="65"/>
        <v>7.63931931</v>
      </c>
      <c r="AM50" s="51">
        <f t="shared" si="66"/>
        <v>827.9487383</v>
      </c>
      <c r="AN50" s="51" t="str">
        <f t="array" ref="AN50">XLOOKUP(D50,RUC!$B$3:$B$565,RUC!$M$3:$M$565)</f>
        <v>Robinson Tuya</v>
      </c>
      <c r="AO50" s="131" t="s">
        <v>551</v>
      </c>
      <c r="AP50" s="57" t="s">
        <v>706</v>
      </c>
      <c r="AQ50" s="57" t="s">
        <v>707</v>
      </c>
    </row>
    <row r="51" ht="15.0" customHeight="1">
      <c r="A51" s="116" t="s">
        <v>2960</v>
      </c>
      <c r="B51" s="182">
        <v>46041.0</v>
      </c>
      <c r="C51" s="182">
        <v>46032.0</v>
      </c>
      <c r="D51" s="57" t="s">
        <v>705</v>
      </c>
      <c r="E51" s="3">
        <f t="array" ref="E51">XLOOKUP(D51,RUC!$B$3:$B$110,RUC!$D$3:$D$110)</f>
        <v>20614031698</v>
      </c>
      <c r="G51" s="141">
        <v>21.0</v>
      </c>
      <c r="H51" s="3" t="s">
        <v>47</v>
      </c>
      <c r="I51" s="6">
        <v>2.32</v>
      </c>
      <c r="J51" s="58">
        <v>2.7</v>
      </c>
      <c r="K51" s="6">
        <f t="shared" si="53"/>
        <v>2.257</v>
      </c>
      <c r="L51" s="139">
        <v>0.134</v>
      </c>
      <c r="M51" s="60">
        <f t="shared" si="68"/>
        <v>0.115</v>
      </c>
      <c r="N51" s="62">
        <f t="shared" si="67"/>
        <v>0.115</v>
      </c>
      <c r="O51" s="60">
        <f t="shared" si="69"/>
        <v>0.115</v>
      </c>
      <c r="P51" s="63">
        <v>80.0</v>
      </c>
      <c r="Q51" s="58">
        <v>95.52</v>
      </c>
      <c r="R51" s="65">
        <v>4493.85</v>
      </c>
      <c r="S51" s="66">
        <f t="array" ref="S51">IF((XLOOKUP(D51,RUC!$B$3:$B$106,RUC!$E$3:$E$106)+ROUNDDOWN(O51,1)*100)&lt;95,95,((XLOOKUP(D51,RUC!$B$3:$B$106,RUC!$E$3:$E$106)+ROUNDDOWN(O51,1)*100)))</f>
        <v>95</v>
      </c>
      <c r="U51" s="67">
        <f t="array" ref="U51">XLOOKUP(D51,RUC!$B$3:$B$110,RUC!$F$3:$F$110)</f>
        <v>110</v>
      </c>
      <c r="V51" s="67">
        <v>1.1023</v>
      </c>
      <c r="Y51" s="57">
        <f t="array" ref="Y51">XLOOKUP(D51,RUC!$B$3:$B$110,RUC!$G$3:$G$110)</f>
        <v>0</v>
      </c>
      <c r="Z51" s="69">
        <f t="array" ref="Z51">XLOOKUP(D51,RUC!$B$3:$B$110,RUC!$H$3:$H$110)</f>
        <v>35</v>
      </c>
      <c r="AA51" s="70">
        <f t="shared" si="56"/>
        <v>35</v>
      </c>
      <c r="AB51" s="71">
        <f t="shared" si="57"/>
        <v>301.2742427</v>
      </c>
      <c r="AC51" s="71">
        <f>+(S51-T51)*V51-'data 1'!$F$4</f>
        <v>24.7185</v>
      </c>
      <c r="AD51" s="71">
        <f t="shared" si="58"/>
        <v>100.496748</v>
      </c>
      <c r="AE51" s="71">
        <f t="shared" si="59"/>
        <v>-31.4195</v>
      </c>
      <c r="AF51" s="71">
        <f t="shared" si="60"/>
        <v>87.70077029</v>
      </c>
      <c r="AG51" s="72">
        <f t="shared" si="70"/>
        <v>251.4965183</v>
      </c>
      <c r="AH51" s="193">
        <f t="shared" si="62"/>
        <v>9.905</v>
      </c>
      <c r="AI51" s="193">
        <f t="shared" si="63"/>
        <v>10.369</v>
      </c>
      <c r="AJ51" s="73">
        <f t="shared" si="64"/>
        <v>86.93314118</v>
      </c>
      <c r="AK51" s="73">
        <f t="shared" si="65"/>
        <v>7.119155116</v>
      </c>
      <c r="AM51" s="51">
        <f t="shared" si="66"/>
        <v>679.9759657</v>
      </c>
      <c r="AN51" s="51" t="str">
        <f t="array" ref="AN51">XLOOKUP(D51,RUC!$B$3:$B$565,RUC!$M$3:$M$565)</f>
        <v>Robinson Tuya</v>
      </c>
      <c r="AO51" s="131" t="s">
        <v>551</v>
      </c>
      <c r="AP51" s="57" t="s">
        <v>706</v>
      </c>
      <c r="AQ51" s="57" t="s">
        <v>707</v>
      </c>
    </row>
    <row r="52" ht="15.0" customHeight="1">
      <c r="A52" s="116" t="s">
        <v>2961</v>
      </c>
      <c r="B52" s="182">
        <v>46041.0</v>
      </c>
      <c r="C52" s="182">
        <v>46032.0</v>
      </c>
      <c r="D52" s="57" t="s">
        <v>705</v>
      </c>
      <c r="E52" s="3">
        <f t="array" ref="E52">XLOOKUP(D52,RUC!$B$3:$B$110,RUC!$D$3:$D$110)</f>
        <v>20614031698</v>
      </c>
      <c r="G52" s="141">
        <v>19.0</v>
      </c>
      <c r="H52" s="3" t="s">
        <v>47</v>
      </c>
      <c r="I52" s="6">
        <v>1.93</v>
      </c>
      <c r="J52" s="58">
        <v>2.5</v>
      </c>
      <c r="K52" s="6">
        <f t="shared" si="53"/>
        <v>1.882</v>
      </c>
      <c r="L52" s="139">
        <v>0.125</v>
      </c>
      <c r="M52" s="60">
        <f t="shared" si="68"/>
        <v>0.106</v>
      </c>
      <c r="N52" s="62">
        <f t="shared" si="67"/>
        <v>0.106</v>
      </c>
      <c r="O52" s="60">
        <f t="shared" si="69"/>
        <v>0.106</v>
      </c>
      <c r="P52" s="63">
        <v>80.0</v>
      </c>
      <c r="Q52" s="58">
        <v>99.2</v>
      </c>
      <c r="R52" s="65">
        <v>4493.85</v>
      </c>
      <c r="S52" s="66">
        <f t="array" ref="S52">IF((XLOOKUP(D52,RUC!$B$3:$B$106,RUC!$E$3:$E$106)+ROUNDDOWN(O52,1)*100)&lt;95,95,((XLOOKUP(D52,RUC!$B$3:$B$106,RUC!$E$3:$E$106)+ROUNDDOWN(O52,1)*100)))</f>
        <v>95</v>
      </c>
      <c r="U52" s="67">
        <f t="array" ref="U52">XLOOKUP(D52,RUC!$B$3:$B$110,RUC!$F$3:$F$110)</f>
        <v>110</v>
      </c>
      <c r="V52" s="67">
        <v>1.1023</v>
      </c>
      <c r="Y52" s="57">
        <f t="array" ref="Y52">XLOOKUP(D52,RUC!$B$3:$B$110,RUC!$G$3:$G$110)</f>
        <v>0</v>
      </c>
      <c r="Z52" s="69">
        <f t="array" ref="Z52">XLOOKUP(D52,RUC!$B$3:$B$110,RUC!$H$3:$H$110)</f>
        <v>35</v>
      </c>
      <c r="AA52" s="70">
        <f t="shared" si="56"/>
        <v>35</v>
      </c>
      <c r="AB52" s="71">
        <f t="shared" si="57"/>
        <v>266.4815541</v>
      </c>
      <c r="AC52" s="71">
        <f>+(S52-T52)*V52-'data 1'!$F$4</f>
        <v>24.7185</v>
      </c>
      <c r="AD52" s="71">
        <f t="shared" si="58"/>
        <v>115.9756285</v>
      </c>
      <c r="AE52" s="71">
        <f t="shared" si="59"/>
        <v>-31.4195</v>
      </c>
      <c r="AF52" s="71">
        <f t="shared" si="60"/>
        <v>91.07952693</v>
      </c>
      <c r="AG52" s="72">
        <f t="shared" si="70"/>
        <v>270.3541555</v>
      </c>
      <c r="AH52" s="193">
        <f t="shared" si="62"/>
        <v>8.001</v>
      </c>
      <c r="AI52" s="193">
        <f t="shared" si="63"/>
        <v>8.066</v>
      </c>
      <c r="AJ52" s="73">
        <f t="shared" si="64"/>
        <v>84.21858598</v>
      </c>
      <c r="AK52" s="73">
        <f t="shared" si="65"/>
        <v>5.471728506</v>
      </c>
      <c r="AM52" s="51">
        <f t="shared" si="66"/>
        <v>501.5182848</v>
      </c>
      <c r="AN52" s="51" t="str">
        <f t="array" ref="AN52">XLOOKUP(D52,RUC!$B$3:$B$565,RUC!$M$3:$M$565)</f>
        <v>Robinson Tuya</v>
      </c>
      <c r="AO52" s="131" t="s">
        <v>551</v>
      </c>
      <c r="AP52" s="57" t="s">
        <v>706</v>
      </c>
      <c r="AQ52" s="57" t="s">
        <v>707</v>
      </c>
    </row>
    <row r="53" ht="15.0" customHeight="1">
      <c r="A53" s="116" t="s">
        <v>2962</v>
      </c>
      <c r="B53" s="182">
        <v>46041.0</v>
      </c>
      <c r="C53" s="182">
        <v>46032.0</v>
      </c>
      <c r="D53" s="57" t="s">
        <v>705</v>
      </c>
      <c r="E53" s="3">
        <f t="array" ref="E53">XLOOKUP(D53,RUC!$B$3:$B$110,RUC!$D$3:$D$110)</f>
        <v>20614031698</v>
      </c>
      <c r="G53" s="141">
        <v>23.0</v>
      </c>
      <c r="H53" s="3" t="s">
        <v>47</v>
      </c>
      <c r="I53" s="6">
        <v>2.4</v>
      </c>
      <c r="J53" s="58">
        <v>28.59</v>
      </c>
      <c r="K53" s="6">
        <f t="shared" si="53"/>
        <v>1.714</v>
      </c>
      <c r="L53" s="139">
        <v>0.271</v>
      </c>
      <c r="M53" s="60">
        <f t="shared" si="68"/>
        <v>0.252</v>
      </c>
      <c r="N53" s="62">
        <f t="shared" si="67"/>
        <v>0.252</v>
      </c>
      <c r="O53" s="60">
        <f t="shared" si="69"/>
        <v>0.252</v>
      </c>
      <c r="P53" s="63">
        <v>90.0</v>
      </c>
      <c r="Q53" s="58">
        <v>95.2</v>
      </c>
      <c r="R53" s="65">
        <v>4493.85</v>
      </c>
      <c r="S53" s="66">
        <f t="array" ref="S53">IF((XLOOKUP(D53,RUC!$B$3:$B$106,RUC!$E$3:$E$106)+ROUNDDOWN(O53,1)*100)&lt;95,95,((XLOOKUP(D53,RUC!$B$3:$B$106,RUC!$E$3:$E$106)+ROUNDDOWN(O53,1)*100)))</f>
        <v>100</v>
      </c>
      <c r="U53" s="67">
        <f t="array" ref="U53">XLOOKUP(D53,RUC!$B$3:$B$110,RUC!$F$3:$F$110)</f>
        <v>110</v>
      </c>
      <c r="V53" s="67">
        <v>1.1023</v>
      </c>
      <c r="Y53" s="57">
        <f t="array" ref="Y53">XLOOKUP(D53,RUC!$B$3:$B$110,RUC!$G$3:$G$110)</f>
        <v>0</v>
      </c>
      <c r="Z53" s="69">
        <f t="array" ref="Z53">XLOOKUP(D53,RUC!$B$3:$B$110,RUC!$H$3:$H$110)</f>
        <v>35</v>
      </c>
      <c r="AA53" s="70">
        <f t="shared" si="56"/>
        <v>35</v>
      </c>
      <c r="AB53" s="71">
        <f t="shared" si="57"/>
        <v>947.1591895</v>
      </c>
      <c r="AC53" s="71">
        <f>+(S53-T53)*V53-'data 1'!$F$4</f>
        <v>30.23</v>
      </c>
      <c r="AD53" s="71">
        <f t="shared" si="58"/>
        <v>68.09702321</v>
      </c>
      <c r="AE53" s="71">
        <f t="shared" si="59"/>
        <v>-31.4195</v>
      </c>
      <c r="AF53" s="71">
        <f t="shared" si="60"/>
        <v>87.40696536</v>
      </c>
      <c r="AG53" s="72">
        <f t="shared" si="70"/>
        <v>224.3144886</v>
      </c>
      <c r="AH53" s="193">
        <f t="shared" si="62"/>
        <v>15.161</v>
      </c>
      <c r="AI53" s="193">
        <f t="shared" si="63"/>
        <v>15.925</v>
      </c>
      <c r="AJ53" s="73">
        <f t="shared" si="64"/>
        <v>175.22356</v>
      </c>
      <c r="AK53" s="73">
        <f t="shared" si="65"/>
        <v>13.32793718</v>
      </c>
      <c r="AM53" s="51">
        <f t="shared" si="66"/>
        <v>1623.430851</v>
      </c>
      <c r="AN53" s="51" t="str">
        <f t="array" ref="AN53">XLOOKUP(D53,RUC!$B$3:$B$565,RUC!$M$3:$M$565)</f>
        <v>Robinson Tuya</v>
      </c>
      <c r="AO53" s="131" t="s">
        <v>551</v>
      </c>
      <c r="AP53" s="57" t="s">
        <v>706</v>
      </c>
      <c r="AQ53" s="57" t="s">
        <v>707</v>
      </c>
    </row>
    <row r="54" ht="15.0" customHeight="1">
      <c r="A54" s="116" t="s">
        <v>2963</v>
      </c>
      <c r="B54" s="182">
        <v>46041.0</v>
      </c>
      <c r="C54" s="182">
        <v>46032.0</v>
      </c>
      <c r="D54" s="57" t="s">
        <v>705</v>
      </c>
      <c r="E54" s="3">
        <f t="array" ref="E54">XLOOKUP(D54,RUC!$B$3:$B$110,RUC!$D$3:$D$110)</f>
        <v>20614031698</v>
      </c>
      <c r="G54" s="141">
        <v>24.0</v>
      </c>
      <c r="H54" s="3" t="s">
        <v>47</v>
      </c>
      <c r="I54" s="6">
        <v>2.63</v>
      </c>
      <c r="J54" s="58">
        <v>3.2</v>
      </c>
      <c r="K54" s="6">
        <f t="shared" si="53"/>
        <v>2.546</v>
      </c>
      <c r="L54" s="139">
        <v>0.218</v>
      </c>
      <c r="M54" s="60">
        <f t="shared" si="68"/>
        <v>0.199</v>
      </c>
      <c r="N54" s="62">
        <f t="shared" si="67"/>
        <v>0.199</v>
      </c>
      <c r="O54" s="60">
        <f t="shared" si="69"/>
        <v>0.199</v>
      </c>
      <c r="P54" s="63">
        <v>85.0</v>
      </c>
      <c r="Q54" s="58">
        <v>94.5</v>
      </c>
      <c r="R54" s="65">
        <v>4493.85</v>
      </c>
      <c r="S54" s="66">
        <f t="array" ref="S54">IF((XLOOKUP(D54,RUC!$B$3:$B$106,RUC!$E$3:$E$106)+ROUNDDOWN(O54,1)*100)&lt;95,95,((XLOOKUP(D54,RUC!$B$3:$B$106,RUC!$E$3:$E$106)+ROUNDDOWN(O54,1)*100)))</f>
        <v>95</v>
      </c>
      <c r="U54" s="67">
        <f t="array" ref="U54">XLOOKUP(D54,RUC!$B$3:$B$110,RUC!$F$3:$F$110)</f>
        <v>110</v>
      </c>
      <c r="V54" s="67">
        <v>1.1023</v>
      </c>
      <c r="Y54" s="57">
        <f t="array" ref="Y54">XLOOKUP(D54,RUC!$B$3:$B$110,RUC!$G$3:$G$110)</f>
        <v>0</v>
      </c>
      <c r="Z54" s="69">
        <f t="array" ref="Z54">XLOOKUP(D54,RUC!$B$3:$B$110,RUC!$H$3:$H$110)</f>
        <v>35</v>
      </c>
      <c r="AA54" s="70">
        <f t="shared" si="56"/>
        <v>35</v>
      </c>
      <c r="AB54" s="71">
        <f t="shared" si="57"/>
        <v>674.0875652</v>
      </c>
      <c r="AC54" s="71">
        <f>+(S54-T54)*V54-'data 1'!$F$4</f>
        <v>24.7185</v>
      </c>
      <c r="AD54" s="71">
        <f t="shared" si="58"/>
        <v>100.0773028</v>
      </c>
      <c r="AE54" s="71">
        <f t="shared" si="59"/>
        <v>-31.4195</v>
      </c>
      <c r="AF54" s="71">
        <f t="shared" si="60"/>
        <v>86.76426709</v>
      </c>
      <c r="AG54" s="72">
        <f t="shared" si="70"/>
        <v>250.1405699</v>
      </c>
      <c r="AH54" s="193">
        <f t="shared" si="62"/>
        <v>17.983</v>
      </c>
      <c r="AI54" s="193">
        <f t="shared" si="63"/>
        <v>19.029</v>
      </c>
      <c r="AJ54" s="73">
        <f t="shared" si="64"/>
        <v>139.9183137</v>
      </c>
      <c r="AK54" s="73">
        <f t="shared" si="65"/>
        <v>14.76520465</v>
      </c>
      <c r="AM54" s="51">
        <f t="shared" si="66"/>
        <v>1716.226941</v>
      </c>
      <c r="AN54" s="51" t="str">
        <f t="array" ref="AN54">XLOOKUP(D54,RUC!$B$3:$B$565,RUC!$M$3:$M$565)</f>
        <v>Robinson Tuya</v>
      </c>
      <c r="AO54" s="131" t="s">
        <v>551</v>
      </c>
      <c r="AP54" s="57" t="s">
        <v>706</v>
      </c>
      <c r="AQ54" s="57" t="s">
        <v>707</v>
      </c>
    </row>
    <row r="55" ht="15.0" customHeight="1">
      <c r="A55" s="116" t="s">
        <v>2964</v>
      </c>
      <c r="B55" s="182">
        <v>46043.0</v>
      </c>
      <c r="C55" s="182">
        <v>46033.0</v>
      </c>
      <c r="D55" s="57" t="s">
        <v>295</v>
      </c>
      <c r="E55" s="3">
        <f t="array" ref="E55">XLOOKUP(D55,RUC!$B$3:$B$110,RUC!$D$3:$D$110)</f>
        <v>20601769396</v>
      </c>
      <c r="G55" s="141">
        <v>37.0</v>
      </c>
      <c r="H55" s="3" t="s">
        <v>40</v>
      </c>
      <c r="I55" s="6">
        <v>3.2</v>
      </c>
      <c r="J55" s="58">
        <v>17.2</v>
      </c>
      <c r="K55" s="6">
        <f t="shared" si="53"/>
        <v>2.65</v>
      </c>
      <c r="L55" s="139">
        <v>0.253</v>
      </c>
      <c r="M55" s="60">
        <f t="shared" si="68"/>
        <v>0.234</v>
      </c>
      <c r="N55" s="62">
        <f t="shared" si="67"/>
        <v>0.234</v>
      </c>
      <c r="O55" s="60">
        <f t="shared" si="69"/>
        <v>0.234</v>
      </c>
      <c r="P55" s="63">
        <v>88.0</v>
      </c>
      <c r="Q55" s="58">
        <v>97.23</v>
      </c>
      <c r="R55" s="65">
        <v>4612.95</v>
      </c>
      <c r="S55" s="66">
        <f t="array" ref="S55">IF((XLOOKUP(D55,RUC!$B$3:$B$106,RUC!$E$3:$E$106)+ROUNDDOWN(O55,1)*100)&lt;95,95,((XLOOKUP(D55,RUC!$B$3:$B$106,RUC!$E$3:$E$106)+ROUNDDOWN(O55,1)*100)))</f>
        <v>110</v>
      </c>
      <c r="U55" s="67">
        <f t="array" ref="U55">XLOOKUP(D55,RUC!$B$3:$B$110,RUC!$F$3:$F$110)</f>
        <v>120</v>
      </c>
      <c r="V55" s="67">
        <v>1.1023</v>
      </c>
      <c r="Y55" s="87">
        <v>30.0</v>
      </c>
      <c r="Z55" s="77">
        <v>40.0</v>
      </c>
      <c r="AA55" s="70">
        <f t="shared" si="56"/>
        <v>70</v>
      </c>
      <c r="AB55" s="71">
        <f t="shared" si="57"/>
        <v>821.4210234</v>
      </c>
      <c r="AC55" s="71">
        <f>+(S55-T55)*V55-'data 1'!$F$4</f>
        <v>41.253</v>
      </c>
      <c r="AD55" s="71">
        <f t="shared" si="58"/>
        <v>115.6521245</v>
      </c>
      <c r="AE55" s="71">
        <f t="shared" si="59"/>
        <v>7.161</v>
      </c>
      <c r="AF55" s="71">
        <f t="shared" si="60"/>
        <v>91.4924547</v>
      </c>
      <c r="AG55" s="72">
        <f t="shared" ref="AG55:AG58" si="71">AC55+AD55+AE55+AF55+70-53</f>
        <v>272.5585792</v>
      </c>
      <c r="AH55" s="193">
        <f t="shared" si="62"/>
        <v>22.35</v>
      </c>
      <c r="AI55" s="193">
        <f t="shared" si="63"/>
        <v>22.987</v>
      </c>
      <c r="AJ55" s="73">
        <f t="shared" si="64"/>
        <v>137.4900916</v>
      </c>
      <c r="AK55" s="73">
        <f t="shared" si="65"/>
        <v>18.70912483</v>
      </c>
      <c r="AM55" s="51">
        <f t="shared" si="66"/>
        <v>2176.765712</v>
      </c>
      <c r="AN55" s="51" t="str">
        <f t="array" ref="AN55">XLOOKUP(D55,RUC!$B$3:$B$565,RUC!$M$3:$M$565)</f>
        <v>Evelyn</v>
      </c>
      <c r="AO55" s="131" t="s">
        <v>551</v>
      </c>
      <c r="AP55" s="57" t="s">
        <v>2965</v>
      </c>
      <c r="AQ55" s="57" t="s">
        <v>2966</v>
      </c>
    </row>
    <row r="56" ht="15.0" customHeight="1">
      <c r="A56" s="116" t="s">
        <v>2967</v>
      </c>
      <c r="B56" s="182">
        <v>46043.0</v>
      </c>
      <c r="C56" s="182">
        <v>46033.0</v>
      </c>
      <c r="D56" s="57" t="s">
        <v>295</v>
      </c>
      <c r="E56" s="3">
        <f t="array" ref="E56">XLOOKUP(D56,RUC!$B$3:$B$110,RUC!$D$3:$D$110)</f>
        <v>20601769396</v>
      </c>
      <c r="G56" s="141">
        <v>38.0</v>
      </c>
      <c r="H56" s="3" t="s">
        <v>40</v>
      </c>
      <c r="I56" s="6">
        <v>3.1</v>
      </c>
      <c r="J56" s="58">
        <v>19.9</v>
      </c>
      <c r="K56" s="6">
        <f t="shared" si="53"/>
        <v>2.483</v>
      </c>
      <c r="L56" s="139">
        <v>0.243</v>
      </c>
      <c r="M56" s="60">
        <f t="shared" si="68"/>
        <v>0.224</v>
      </c>
      <c r="N56" s="62">
        <f t="shared" si="67"/>
        <v>0.224</v>
      </c>
      <c r="O56" s="60">
        <f t="shared" si="69"/>
        <v>0.224</v>
      </c>
      <c r="P56" s="63">
        <v>88.0</v>
      </c>
      <c r="Q56" s="58">
        <v>97.53</v>
      </c>
      <c r="R56" s="65">
        <v>4612.95</v>
      </c>
      <c r="S56" s="66">
        <f t="array" ref="S56">IF((XLOOKUP(D56,RUC!$B$3:$B$106,RUC!$E$3:$E$106)+ROUNDDOWN(O56,1)*100)&lt;95,95,((XLOOKUP(D56,RUC!$B$3:$B$106,RUC!$E$3:$E$106)+ROUNDDOWN(O56,1)*100)))</f>
        <v>110</v>
      </c>
      <c r="U56" s="67">
        <f t="array" ref="U56">XLOOKUP(D56,RUC!$B$3:$B$110,RUC!$F$3:$F$110)</f>
        <v>120</v>
      </c>
      <c r="V56" s="67">
        <v>1.1023</v>
      </c>
      <c r="Y56" s="87">
        <v>30.0</v>
      </c>
      <c r="Z56" s="77">
        <v>40.0</v>
      </c>
      <c r="AA56" s="70">
        <f t="shared" si="56"/>
        <v>70</v>
      </c>
      <c r="AB56" s="71">
        <f t="shared" si="57"/>
        <v>777.8383301</v>
      </c>
      <c r="AC56" s="71">
        <f>+(S56-T56)*V56-'data 1'!$F$4</f>
        <v>41.253</v>
      </c>
      <c r="AD56" s="71">
        <f t="shared" si="58"/>
        <v>114.6913242</v>
      </c>
      <c r="AE56" s="71">
        <f t="shared" si="59"/>
        <v>7.161</v>
      </c>
      <c r="AF56" s="71">
        <f t="shared" si="60"/>
        <v>91.77475169</v>
      </c>
      <c r="AG56" s="72">
        <f t="shared" si="71"/>
        <v>271.8800759</v>
      </c>
      <c r="AH56" s="193">
        <f t="shared" si="62"/>
        <v>20.176</v>
      </c>
      <c r="AI56" s="193">
        <f t="shared" si="63"/>
        <v>20.687</v>
      </c>
      <c r="AJ56" s="73">
        <f t="shared" si="64"/>
        <v>132.4631542</v>
      </c>
      <c r="AK56" s="73">
        <f t="shared" si="65"/>
        <v>16.78094752</v>
      </c>
      <c r="AM56" s="51">
        <f t="shared" si="66"/>
        <v>1931.372574</v>
      </c>
      <c r="AN56" s="51" t="str">
        <f t="array" ref="AN56">XLOOKUP(D56,RUC!$B$3:$B$565,RUC!$M$3:$M$565)</f>
        <v>Evelyn</v>
      </c>
      <c r="AO56" s="131" t="s">
        <v>551</v>
      </c>
      <c r="AP56" s="57" t="s">
        <v>2965</v>
      </c>
      <c r="AQ56" s="57" t="s">
        <v>2966</v>
      </c>
    </row>
    <row r="57" ht="15.0" customHeight="1">
      <c r="A57" s="116" t="s">
        <v>2968</v>
      </c>
      <c r="B57" s="182">
        <v>46043.0</v>
      </c>
      <c r="C57" s="182">
        <v>46033.0</v>
      </c>
      <c r="D57" s="57" t="s">
        <v>295</v>
      </c>
      <c r="E57" s="3">
        <f t="array" ref="E57">XLOOKUP(D57,RUC!$B$3:$B$110,RUC!$D$3:$D$110)</f>
        <v>20601769396</v>
      </c>
      <c r="G57" s="141">
        <v>37.0</v>
      </c>
      <c r="H57" s="3" t="s">
        <v>40</v>
      </c>
      <c r="I57" s="6">
        <v>3.14</v>
      </c>
      <c r="J57" s="58">
        <v>18.6</v>
      </c>
      <c r="K57" s="6">
        <f t="shared" si="53"/>
        <v>2.556</v>
      </c>
      <c r="L57" s="139">
        <v>0.254</v>
      </c>
      <c r="M57" s="60">
        <f t="shared" si="68"/>
        <v>0.235</v>
      </c>
      <c r="N57" s="62">
        <f t="shared" si="67"/>
        <v>0.235</v>
      </c>
      <c r="O57" s="60">
        <f t="shared" si="69"/>
        <v>0.235</v>
      </c>
      <c r="P57" s="63">
        <v>88.0</v>
      </c>
      <c r="Q57" s="58">
        <v>98.82</v>
      </c>
      <c r="R57" s="65">
        <v>4612.95</v>
      </c>
      <c r="S57" s="66">
        <f t="array" ref="S57">IF((XLOOKUP(D57,RUC!$B$3:$B$106,RUC!$E$3:$E$106)+ROUNDDOWN(O57,1)*100)&lt;95,95,((XLOOKUP(D57,RUC!$B$3:$B$106,RUC!$E$3:$E$106)+ROUNDDOWN(O57,1)*100)))</f>
        <v>110</v>
      </c>
      <c r="U57" s="67">
        <f t="array" ref="U57">XLOOKUP(D57,RUC!$B$3:$B$110,RUC!$F$3:$F$110)</f>
        <v>120</v>
      </c>
      <c r="V57" s="67">
        <v>1.1023</v>
      </c>
      <c r="Y57" s="87">
        <v>30.0</v>
      </c>
      <c r="Z57" s="77">
        <v>40.0</v>
      </c>
      <c r="AA57" s="70">
        <f t="shared" si="56"/>
        <v>70</v>
      </c>
      <c r="AB57" s="71">
        <f t="shared" si="57"/>
        <v>825.7792927</v>
      </c>
      <c r="AC57" s="71">
        <f>+(S57-T57)*V57-'data 1'!$F$4</f>
        <v>41.253</v>
      </c>
      <c r="AD57" s="71">
        <f t="shared" si="58"/>
        <v>136.1107322</v>
      </c>
      <c r="AE57" s="71">
        <f t="shared" si="59"/>
        <v>7.161</v>
      </c>
      <c r="AF57" s="71">
        <f t="shared" si="60"/>
        <v>92.98862875</v>
      </c>
      <c r="AG57" s="72">
        <f t="shared" si="71"/>
        <v>294.513361</v>
      </c>
      <c r="AH57" s="193">
        <f t="shared" si="62"/>
        <v>21.996</v>
      </c>
      <c r="AI57" s="193">
        <f t="shared" si="63"/>
        <v>22.259</v>
      </c>
      <c r="AJ57" s="73">
        <f t="shared" si="64"/>
        <v>140.2907899</v>
      </c>
      <c r="AK57" s="73">
        <f t="shared" si="65"/>
        <v>18.12259784</v>
      </c>
      <c r="AM57" s="51">
        <f t="shared" si="66"/>
        <v>2110.691872</v>
      </c>
      <c r="AN57" s="51" t="str">
        <f t="array" ref="AN57">XLOOKUP(D57,RUC!$B$3:$B$565,RUC!$M$3:$M$565)</f>
        <v>Evelyn</v>
      </c>
      <c r="AO57" s="131" t="s">
        <v>551</v>
      </c>
      <c r="AP57" s="57" t="s">
        <v>2965</v>
      </c>
      <c r="AQ57" s="57" t="s">
        <v>2966</v>
      </c>
    </row>
    <row r="58" ht="15.0" customHeight="1">
      <c r="A58" s="116" t="s">
        <v>2969</v>
      </c>
      <c r="B58" s="182">
        <v>46043.0</v>
      </c>
      <c r="C58" s="182">
        <v>46033.0</v>
      </c>
      <c r="D58" s="57" t="s">
        <v>295</v>
      </c>
      <c r="E58" s="3">
        <f t="array" ref="E58">XLOOKUP(D58,RUC!$B$3:$B$110,RUC!$D$3:$D$110)</f>
        <v>20601769396</v>
      </c>
      <c r="G58" s="141">
        <v>38.0</v>
      </c>
      <c r="H58" s="3" t="s">
        <v>40</v>
      </c>
      <c r="I58" s="6">
        <v>3.05</v>
      </c>
      <c r="J58" s="58">
        <v>19.1</v>
      </c>
      <c r="K58" s="6">
        <f t="shared" si="53"/>
        <v>2.467</v>
      </c>
      <c r="L58" s="139">
        <v>0.192</v>
      </c>
      <c r="M58" s="60">
        <f t="shared" si="68"/>
        <v>0.173</v>
      </c>
      <c r="N58" s="62">
        <f t="shared" si="67"/>
        <v>0.173</v>
      </c>
      <c r="O58" s="60">
        <f t="shared" si="69"/>
        <v>0.173</v>
      </c>
      <c r="P58" s="63">
        <v>88.0</v>
      </c>
      <c r="Q58" s="58">
        <v>91.67</v>
      </c>
      <c r="R58" s="65">
        <v>4612.95</v>
      </c>
      <c r="S58" s="66">
        <f t="array" ref="S58">IF((XLOOKUP(D58,RUC!$B$3:$B$106,RUC!$E$3:$E$106)+ROUNDDOWN(O58,1)*100)&lt;95,95,((XLOOKUP(D58,RUC!$B$3:$B$106,RUC!$E$3:$E$106)+ROUNDDOWN(O58,1)*100)))</f>
        <v>100</v>
      </c>
      <c r="U58" s="67">
        <f t="array" ref="U58">XLOOKUP(D58,RUC!$B$3:$B$110,RUC!$F$3:$F$110)</f>
        <v>120</v>
      </c>
      <c r="V58" s="67">
        <v>1.1023</v>
      </c>
      <c r="Y58" s="87">
        <v>30.0</v>
      </c>
      <c r="Z58" s="77">
        <v>40.0</v>
      </c>
      <c r="AA58" s="70">
        <f t="shared" si="56"/>
        <v>70</v>
      </c>
      <c r="AB58" s="71">
        <f t="shared" si="57"/>
        <v>566.5895942</v>
      </c>
      <c r="AC58" s="71">
        <f>+(S58-T58)*V58-'data 1'!$F$4</f>
        <v>30.23</v>
      </c>
      <c r="AD58" s="71">
        <f t="shared" si="58"/>
        <v>34.89785115</v>
      </c>
      <c r="AE58" s="71">
        <f t="shared" si="59"/>
        <v>7.161</v>
      </c>
      <c r="AF58" s="71">
        <f t="shared" si="60"/>
        <v>86.26055047</v>
      </c>
      <c r="AG58" s="72">
        <f t="shared" si="71"/>
        <v>175.5494016</v>
      </c>
      <c r="AH58" s="193">
        <f t="shared" si="62"/>
        <v>14.887</v>
      </c>
      <c r="AI58" s="193">
        <f t="shared" si="63"/>
        <v>16.24</v>
      </c>
      <c r="AJ58" s="73">
        <f t="shared" si="64"/>
        <v>98.37371094</v>
      </c>
      <c r="AK58" s="73">
        <f t="shared" si="65"/>
        <v>12.87677165</v>
      </c>
      <c r="AM58" s="51">
        <f t="shared" si="66"/>
        <v>1397.776529</v>
      </c>
      <c r="AN58" s="51" t="str">
        <f t="array" ref="AN58">XLOOKUP(D58,RUC!$B$3:$B$565,RUC!$M$3:$M$565)</f>
        <v>Evelyn</v>
      </c>
      <c r="AO58" s="131" t="s">
        <v>551</v>
      </c>
      <c r="AP58" s="57" t="s">
        <v>2965</v>
      </c>
      <c r="AQ58" s="57" t="s">
        <v>2966</v>
      </c>
    </row>
    <row r="59" ht="15.0" customHeight="1">
      <c r="A59" s="116" t="s">
        <v>2970</v>
      </c>
      <c r="B59" s="182">
        <v>46042.0</v>
      </c>
      <c r="C59" s="182">
        <v>46033.0</v>
      </c>
      <c r="D59" s="57" t="s">
        <v>806</v>
      </c>
      <c r="E59" s="3">
        <f t="array" ref="E59">XLOOKUP(D59,RUC!$B$3:$B$110,RUC!$D$3:$D$110)</f>
        <v>20614284740</v>
      </c>
      <c r="G59" s="141" t="s">
        <v>735</v>
      </c>
      <c r="H59" s="3" t="s">
        <v>40</v>
      </c>
      <c r="I59" s="6">
        <v>4.48</v>
      </c>
      <c r="J59" s="58">
        <v>14.5</v>
      </c>
      <c r="K59" s="6">
        <f t="shared" si="53"/>
        <v>3.83</v>
      </c>
      <c r="L59" s="139">
        <v>1.069</v>
      </c>
      <c r="M59" s="60">
        <f t="shared" si="68"/>
        <v>1.005</v>
      </c>
      <c r="N59" s="62">
        <f t="shared" si="67"/>
        <v>1.005</v>
      </c>
      <c r="O59" s="61">
        <v>1.114</v>
      </c>
      <c r="P59" s="63">
        <v>90.0</v>
      </c>
      <c r="Q59" s="58">
        <v>99.63</v>
      </c>
      <c r="R59" s="65">
        <v>4612.95</v>
      </c>
      <c r="S59" s="66">
        <f t="array" ref="S59">IF((XLOOKUP(D59,RUC!$B$3:$B$106,RUC!$E$3:$E$106)+ROUNDDOWN(O59,1)*100)&lt;95,95,((XLOOKUP(D59,RUC!$B$3:$B$106,RUC!$E$3:$E$106)+ROUNDDOWN(O59,1)*100)))</f>
        <v>200</v>
      </c>
      <c r="U59" s="67">
        <f t="array" ref="U59">XLOOKUP(D59,RUC!$B$3:$B$110,RUC!$F$3:$F$110)</f>
        <v>120</v>
      </c>
      <c r="V59" s="67">
        <v>1.1023</v>
      </c>
      <c r="Y59" s="199">
        <v>30.0</v>
      </c>
      <c r="Z59" s="69">
        <f t="array" ref="Z59">XLOOKUP(D59,RUC!$B$3:$B$110,RUC!$H$3:$H$110)</f>
        <v>30</v>
      </c>
      <c r="AA59" s="70">
        <f t="shared" si="56"/>
        <v>60</v>
      </c>
      <c r="AB59" s="71">
        <f t="shared" si="57"/>
        <v>4678.85749</v>
      </c>
      <c r="AC59" s="71">
        <f>+(S59-T59)*V59-'data 1'!$F$4</f>
        <v>140.46</v>
      </c>
      <c r="AD59" s="71">
        <f t="shared" si="58"/>
        <v>509.8417372</v>
      </c>
      <c r="AE59" s="71">
        <f t="shared" si="59"/>
        <v>-3.862</v>
      </c>
      <c r="AF59" s="71">
        <f t="shared" si="60"/>
        <v>-222.041441</v>
      </c>
      <c r="AG59" s="72">
        <f>AC59+AD59+AE59+AF59+70</f>
        <v>494.3982963</v>
      </c>
      <c r="AH59" s="193">
        <f t="shared" si="62"/>
        <v>139.854</v>
      </c>
      <c r="AI59" s="193">
        <f t="shared" si="63"/>
        <v>140.374</v>
      </c>
      <c r="AJ59" s="73">
        <f t="shared" si="64"/>
        <v>595.2760778</v>
      </c>
      <c r="AK59" s="73">
        <f t="shared" si="65"/>
        <v>131.6544501</v>
      </c>
      <c r="AM59" s="51">
        <f t="shared" si="66"/>
        <v>17920.02419</v>
      </c>
      <c r="AN59" s="51" t="str">
        <f t="array" ref="AN59">XLOOKUP(D59,RUC!$B$3:$B$565,RUC!$M$3:$M$565)</f>
        <v>Dante </v>
      </c>
      <c r="AO59" s="131" t="s">
        <v>551</v>
      </c>
      <c r="AP59" s="57" t="s">
        <v>2971</v>
      </c>
      <c r="AQ59" s="57" t="s">
        <v>2972</v>
      </c>
    </row>
    <row r="60" ht="15.0" customHeight="1">
      <c r="A60" s="116" t="s">
        <v>2973</v>
      </c>
      <c r="B60" s="182">
        <v>46043.0</v>
      </c>
      <c r="C60" s="182">
        <v>46034.0</v>
      </c>
      <c r="D60" s="57" t="s">
        <v>295</v>
      </c>
      <c r="E60" s="3">
        <f t="array" ref="E60">XLOOKUP(D60,RUC!$B$3:$B$110,RUC!$D$3:$D$110)</f>
        <v>20601769396</v>
      </c>
      <c r="G60" s="141">
        <v>63.0</v>
      </c>
      <c r="H60" s="3" t="s">
        <v>339</v>
      </c>
      <c r="I60" s="6">
        <v>5.95</v>
      </c>
      <c r="J60" s="58">
        <v>9.6</v>
      </c>
      <c r="K60" s="6">
        <f t="shared" si="53"/>
        <v>5.379</v>
      </c>
      <c r="L60" s="139">
        <v>0.174</v>
      </c>
      <c r="M60" s="60">
        <f t="shared" si="68"/>
        <v>0.155</v>
      </c>
      <c r="N60" s="62">
        <f t="shared" si="67"/>
        <v>0.155</v>
      </c>
      <c r="O60" s="60">
        <f t="shared" ref="O60:O103" si="72">+ROUND((M60+N60)/2,3)</f>
        <v>0.155</v>
      </c>
      <c r="P60" s="63">
        <v>85.0</v>
      </c>
      <c r="Q60" s="58">
        <v>94.25</v>
      </c>
      <c r="R60" s="65">
        <v>4612.95</v>
      </c>
      <c r="S60" s="66">
        <f t="array" ref="S60">IF((XLOOKUP(D60,RUC!$B$3:$B$106,RUC!$E$3:$E$106)+ROUNDDOWN(O60,1)*100)&lt;95,95,((XLOOKUP(D60,RUC!$B$3:$B$106,RUC!$E$3:$E$106)+ROUNDDOWN(O60,1)*100)))</f>
        <v>100</v>
      </c>
      <c r="U60" s="67">
        <f t="array" ref="U60">XLOOKUP(D60,RUC!$B$3:$B$110,RUC!$F$3:$F$110)</f>
        <v>120</v>
      </c>
      <c r="V60" s="67">
        <v>1.1023</v>
      </c>
      <c r="Y60" s="87">
        <v>30.0</v>
      </c>
      <c r="Z60" s="77">
        <v>40.0</v>
      </c>
      <c r="AA60" s="70">
        <f t="shared" si="56"/>
        <v>70</v>
      </c>
      <c r="AB60" s="71">
        <f t="shared" si="57"/>
        <v>465.1112549</v>
      </c>
      <c r="AC60" s="71">
        <f>+(S60-T60)*V60-'data 1'!$F$4</f>
        <v>30.23</v>
      </c>
      <c r="AD60" s="71">
        <f t="shared" si="58"/>
        <v>79.71175554</v>
      </c>
      <c r="AE60" s="71">
        <f t="shared" si="59"/>
        <v>7.161</v>
      </c>
      <c r="AF60" s="71">
        <f t="shared" si="60"/>
        <v>88.68830459</v>
      </c>
      <c r="AG60" s="72">
        <f t="shared" ref="AG60:AG63" si="73">AC60+AD60+AE60+AF60+70-53</f>
        <v>222.7910601</v>
      </c>
      <c r="AH60" s="193">
        <f t="shared" si="62"/>
        <v>30.244</v>
      </c>
      <c r="AI60" s="193">
        <f t="shared" si="63"/>
        <v>32.089</v>
      </c>
      <c r="AJ60" s="73">
        <f t="shared" si="64"/>
        <v>91.66028465</v>
      </c>
      <c r="AK60" s="73">
        <f t="shared" si="65"/>
        <v>24.29748023</v>
      </c>
      <c r="AM60" s="51">
        <f t="shared" si="66"/>
        <v>2501.83344</v>
      </c>
      <c r="AN60" s="51" t="str">
        <f t="array" ref="AN60">XLOOKUP(D60,RUC!$B$3:$B$565,RUC!$M$3:$M$565)</f>
        <v>Evelyn</v>
      </c>
      <c r="AO60" s="131" t="s">
        <v>551</v>
      </c>
      <c r="AP60" s="57" t="s">
        <v>2874</v>
      </c>
      <c r="AQ60" s="57" t="s">
        <v>2875</v>
      </c>
    </row>
    <row r="61" ht="15.0" customHeight="1">
      <c r="A61" s="116" t="s">
        <v>2974</v>
      </c>
      <c r="B61" s="182">
        <v>46058.0</v>
      </c>
      <c r="C61" s="182">
        <v>46034.0</v>
      </c>
      <c r="D61" s="57" t="s">
        <v>295</v>
      </c>
      <c r="E61" s="3">
        <f t="array" ref="E61">XLOOKUP(D61,RUC!$B$3:$B$110,RUC!$D$3:$D$110)</f>
        <v>20601769396</v>
      </c>
      <c r="G61" s="141">
        <v>41.0</v>
      </c>
      <c r="H61" s="3" t="s">
        <v>339</v>
      </c>
      <c r="I61" s="6">
        <v>2.83</v>
      </c>
      <c r="J61" s="58">
        <v>9.0</v>
      </c>
      <c r="K61" s="6">
        <f t="shared" si="53"/>
        <v>2.575</v>
      </c>
      <c r="L61" s="139">
        <v>0.119</v>
      </c>
      <c r="M61" s="60">
        <f t="shared" si="68"/>
        <v>0.1</v>
      </c>
      <c r="N61" s="75">
        <v>0.199</v>
      </c>
      <c r="O61" s="60">
        <f t="shared" si="72"/>
        <v>0.15</v>
      </c>
      <c r="P61" s="63">
        <v>80.0</v>
      </c>
      <c r="Q61" s="58">
        <v>94.96</v>
      </c>
      <c r="R61" s="65">
        <v>4612.95</v>
      </c>
      <c r="S61" s="66">
        <f t="array" ref="S61">IF((XLOOKUP(D61,RUC!$B$3:$B$106,RUC!$E$3:$E$106)+ROUNDDOWN(O61,1)*100)&lt;95,95,((XLOOKUP(D61,RUC!$B$3:$B$106,RUC!$E$3:$E$106)+ROUNDDOWN(O61,1)*100)))</f>
        <v>100</v>
      </c>
      <c r="U61" s="67">
        <f t="array" ref="U61">XLOOKUP(D61,RUC!$B$3:$B$110,RUC!$F$3:$F$110)</f>
        <v>120</v>
      </c>
      <c r="V61" s="67">
        <v>1.1023</v>
      </c>
      <c r="Y61" s="199">
        <v>40.0</v>
      </c>
      <c r="Z61" s="69">
        <f t="array" ref="Z61">XLOOKUP(D61,RUC!$B$3:$B$110,RUC!$H$3:$H$110)</f>
        <v>30</v>
      </c>
      <c r="AA61" s="70">
        <f t="shared" si="56"/>
        <v>70</v>
      </c>
      <c r="AB61" s="71">
        <f t="shared" si="57"/>
        <v>406.9184542</v>
      </c>
      <c r="AC61" s="71">
        <f>+(S61-T61)*V61-'data 1'!$F$4</f>
        <v>30.23</v>
      </c>
      <c r="AD61" s="71">
        <f t="shared" si="58"/>
        <v>88.16778856</v>
      </c>
      <c r="AE61" s="71">
        <f t="shared" si="59"/>
        <v>7.161</v>
      </c>
      <c r="AF61" s="71">
        <f t="shared" si="60"/>
        <v>-145.7920332</v>
      </c>
      <c r="AG61" s="72">
        <f t="shared" si="73"/>
        <v>-3.233244679</v>
      </c>
      <c r="AH61" s="193">
        <f t="shared" si="62"/>
        <v>9.976</v>
      </c>
      <c r="AI61" s="193">
        <f t="shared" si="63"/>
        <v>10.506</v>
      </c>
      <c r="AJ61" s="73">
        <f t="shared" si="64"/>
        <v>63.15943871</v>
      </c>
      <c r="AK61" s="73">
        <f t="shared" si="65"/>
        <v>10.59418491</v>
      </c>
      <c r="AM61" s="51">
        <f t="shared" si="66"/>
        <v>1047.81502</v>
      </c>
      <c r="AN61" s="51" t="str">
        <f t="array" ref="AN61">XLOOKUP(D61,RUC!$B$3:$B$565,RUC!$M$3:$M$565)</f>
        <v>Evelyn</v>
      </c>
      <c r="AO61" s="131" t="s">
        <v>547</v>
      </c>
      <c r="AP61" s="57" t="s">
        <v>710</v>
      </c>
      <c r="AQ61" s="57" t="s">
        <v>711</v>
      </c>
    </row>
    <row r="62" ht="15.0" customHeight="1">
      <c r="A62" s="116" t="s">
        <v>2975</v>
      </c>
      <c r="B62" s="182">
        <v>46051.0</v>
      </c>
      <c r="C62" s="182">
        <v>46034.0</v>
      </c>
      <c r="D62" s="57" t="s">
        <v>295</v>
      </c>
      <c r="E62" s="3">
        <f t="array" ref="E62">XLOOKUP(D62,RUC!$B$3:$B$110,RUC!$D$3:$D$110)</f>
        <v>20601769396</v>
      </c>
      <c r="G62" s="141">
        <v>38.0</v>
      </c>
      <c r="H62" s="3" t="s">
        <v>339</v>
      </c>
      <c r="I62" s="6">
        <v>2.74</v>
      </c>
      <c r="J62" s="58">
        <v>7.5</v>
      </c>
      <c r="K62" s="6">
        <f t="shared" si="53"/>
        <v>2.535</v>
      </c>
      <c r="L62" s="139">
        <v>0.184</v>
      </c>
      <c r="M62" s="60">
        <f t="shared" si="68"/>
        <v>0.165</v>
      </c>
      <c r="N62" s="62">
        <f t="shared" ref="N62:N63" si="74">+M62</f>
        <v>0.165</v>
      </c>
      <c r="O62" s="60">
        <f t="shared" si="72"/>
        <v>0.165</v>
      </c>
      <c r="P62" s="63">
        <v>85.0</v>
      </c>
      <c r="Q62" s="58">
        <v>93.48</v>
      </c>
      <c r="R62" s="65">
        <v>4612.95</v>
      </c>
      <c r="S62" s="66">
        <f t="array" ref="S62">IF((XLOOKUP(D62,RUC!$B$3:$B$106,RUC!$E$3:$E$106)+ROUNDDOWN(O62,1)*100)&lt;95,95,((XLOOKUP(D62,RUC!$B$3:$B$106,RUC!$E$3:$E$106)+ROUNDDOWN(O62,1)*100)))</f>
        <v>100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69">
        <f t="array" ref="Z62">XLOOKUP(D62,RUC!$B$3:$B$110,RUC!$H$3:$H$110)</f>
        <v>30</v>
      </c>
      <c r="AA62" s="70">
        <f t="shared" si="56"/>
        <v>50</v>
      </c>
      <c r="AB62" s="71">
        <f t="shared" si="57"/>
        <v>529.2541746</v>
      </c>
      <c r="AC62" s="71">
        <f>+(S62-T62)*V62-'data 1'!$F$4</f>
        <v>30.23</v>
      </c>
      <c r="AD62" s="71">
        <f t="shared" si="58"/>
        <v>77.2760773</v>
      </c>
      <c r="AE62" s="71">
        <f t="shared" si="59"/>
        <v>-14.885</v>
      </c>
      <c r="AF62" s="71">
        <f t="shared" si="60"/>
        <v>87.96374232</v>
      </c>
      <c r="AG62" s="72">
        <f t="shared" si="73"/>
        <v>197.5848196</v>
      </c>
      <c r="AH62" s="193">
        <f t="shared" si="62"/>
        <v>14.949</v>
      </c>
      <c r="AI62" s="193">
        <f t="shared" si="63"/>
        <v>15.992</v>
      </c>
      <c r="AJ62" s="73">
        <f t="shared" si="64"/>
        <v>96.13623753</v>
      </c>
      <c r="AK62" s="73">
        <f t="shared" si="65"/>
        <v>12.18961258</v>
      </c>
      <c r="AM62" s="51">
        <f t="shared" si="66"/>
        <v>1341.659333</v>
      </c>
      <c r="AN62" s="51" t="str">
        <f t="array" ref="AN62">XLOOKUP(D62,RUC!$B$3:$B$565,RUC!$M$3:$M$565)</f>
        <v>Evelyn</v>
      </c>
      <c r="AO62" s="131" t="s">
        <v>551</v>
      </c>
      <c r="AP62" s="57" t="s">
        <v>710</v>
      </c>
      <c r="AQ62" s="57" t="s">
        <v>711</v>
      </c>
    </row>
    <row r="63" ht="15.0" customHeight="1">
      <c r="A63" s="116" t="s">
        <v>2976</v>
      </c>
      <c r="B63" s="182">
        <v>46051.0</v>
      </c>
      <c r="C63" s="182">
        <v>46034.0</v>
      </c>
      <c r="D63" s="57" t="s">
        <v>295</v>
      </c>
      <c r="E63" s="3">
        <f t="array" ref="E63">XLOOKUP(D63,RUC!$B$3:$B$110,RUC!$D$3:$D$110)</f>
        <v>20601769396</v>
      </c>
      <c r="G63" s="141">
        <v>38.0</v>
      </c>
      <c r="H63" s="3" t="s">
        <v>339</v>
      </c>
      <c r="I63" s="6">
        <v>2.81</v>
      </c>
      <c r="J63" s="58">
        <v>7.5</v>
      </c>
      <c r="K63" s="6">
        <f t="shared" si="53"/>
        <v>2.599</v>
      </c>
      <c r="L63" s="139">
        <v>0.164</v>
      </c>
      <c r="M63" s="60">
        <f t="shared" si="68"/>
        <v>0.145</v>
      </c>
      <c r="N63" s="62">
        <f t="shared" si="74"/>
        <v>0.145</v>
      </c>
      <c r="O63" s="60">
        <f t="shared" si="72"/>
        <v>0.145</v>
      </c>
      <c r="P63" s="63">
        <v>85.0</v>
      </c>
      <c r="Q63" s="58">
        <v>97.56</v>
      </c>
      <c r="R63" s="65">
        <v>4612.95</v>
      </c>
      <c r="S63" s="66">
        <f t="array" ref="S63">IF((XLOOKUP(D63,RUC!$B$3:$B$106,RUC!$E$3:$E$106)+ROUNDDOWN(O63,1)*100)&lt;95,95,((XLOOKUP(D63,RUC!$B$3:$B$106,RUC!$E$3:$E$106)+ROUNDDOWN(O63,1)*100)))</f>
        <v>100</v>
      </c>
      <c r="U63" s="67">
        <f t="array" ref="U63">XLOOKUP(D63,RUC!$B$3:$B$110,RUC!$F$3:$F$110)</f>
        <v>120</v>
      </c>
      <c r="V63" s="67">
        <v>1.1023</v>
      </c>
      <c r="Y63" s="57">
        <f t="array" ref="Y63">XLOOKUP(D63,RUC!$B$3:$B$110,RUC!$G$3:$G$110)</f>
        <v>20</v>
      </c>
      <c r="Z63" s="69">
        <f t="array" ref="Z63">XLOOKUP(D63,RUC!$B$3:$B$110,RUC!$H$3:$H$110)</f>
        <v>30</v>
      </c>
      <c r="AA63" s="70">
        <f t="shared" si="56"/>
        <v>50</v>
      </c>
      <c r="AB63" s="71">
        <f t="shared" si="57"/>
        <v>445.0603353</v>
      </c>
      <c r="AC63" s="71">
        <f>+(S63-T63)*V63-'data 1'!$F$4</f>
        <v>30.23</v>
      </c>
      <c r="AD63" s="71">
        <f t="shared" si="58"/>
        <v>102.0151988</v>
      </c>
      <c r="AE63" s="71">
        <f t="shared" si="59"/>
        <v>-14.885</v>
      </c>
      <c r="AF63" s="71">
        <f t="shared" si="60"/>
        <v>91.80298139</v>
      </c>
      <c r="AG63" s="72">
        <f t="shared" si="73"/>
        <v>226.1631802</v>
      </c>
      <c r="AH63" s="193">
        <f t="shared" si="62"/>
        <v>14.257</v>
      </c>
      <c r="AI63" s="193">
        <f t="shared" si="63"/>
        <v>14.614</v>
      </c>
      <c r="AJ63" s="73">
        <f t="shared" si="64"/>
        <v>89.42650013</v>
      </c>
      <c r="AK63" s="73">
        <f t="shared" si="65"/>
        <v>10.98252693</v>
      </c>
      <c r="AM63" s="51">
        <f t="shared" si="66"/>
        <v>1156.711811</v>
      </c>
      <c r="AN63" s="51" t="str">
        <f t="array" ref="AN63">XLOOKUP(D63,RUC!$B$3:$B$565,RUC!$M$3:$M$565)</f>
        <v>Evelyn</v>
      </c>
      <c r="AO63" s="131" t="s">
        <v>547</v>
      </c>
      <c r="AP63" s="57" t="s">
        <v>710</v>
      </c>
      <c r="AQ63" s="57" t="s">
        <v>711</v>
      </c>
    </row>
    <row r="64" ht="15.0" customHeight="1">
      <c r="A64" s="116" t="s">
        <v>2977</v>
      </c>
      <c r="B64" s="182">
        <v>46041.0</v>
      </c>
      <c r="C64" s="182">
        <v>46034.0</v>
      </c>
      <c r="D64" s="57" t="s">
        <v>730</v>
      </c>
      <c r="E64" s="3">
        <f t="array" ref="E64">XLOOKUP(D64,RUC!$B$3:$B$110,RUC!$D$3:$D$110)</f>
        <v>20613935151</v>
      </c>
      <c r="G64" s="141">
        <v>91.0</v>
      </c>
      <c r="H64" s="3" t="s">
        <v>339</v>
      </c>
      <c r="I64" s="6">
        <v>7.05</v>
      </c>
      <c r="J64" s="58">
        <v>2.7</v>
      </c>
      <c r="K64" s="6">
        <f t="shared" si="53"/>
        <v>6.86</v>
      </c>
      <c r="L64" s="139">
        <v>0.19</v>
      </c>
      <c r="M64" s="60">
        <f t="shared" si="68"/>
        <v>0.171</v>
      </c>
      <c r="N64" s="75">
        <v>0.222</v>
      </c>
      <c r="O64" s="60">
        <f t="shared" si="72"/>
        <v>0.197</v>
      </c>
      <c r="P64" s="63">
        <v>90.0</v>
      </c>
      <c r="Q64" s="58">
        <v>98.42</v>
      </c>
      <c r="R64" s="65">
        <v>4612.95</v>
      </c>
      <c r="S64" s="66">
        <f t="array" ref="S64">IF((XLOOKUP(D64,RUC!$B$3:$B$106,RUC!$E$3:$E$106)+ROUNDDOWN(O64,1)*100)&lt;95,95,((XLOOKUP(D64,RUC!$B$3:$B$106,RUC!$E$3:$E$106)+ROUNDDOWN(O64,1)*100)))</f>
        <v>100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69">
        <f t="array" ref="Z64">XLOOKUP(D64,RUC!$B$3:$B$110,RUC!$H$3:$H$110)</f>
        <v>30</v>
      </c>
      <c r="AA64" s="70">
        <f t="shared" si="56"/>
        <v>50</v>
      </c>
      <c r="AB64" s="71">
        <f t="shared" si="57"/>
        <v>712.7472186</v>
      </c>
      <c r="AC64" s="71">
        <f>+(S64-T64)*V64-'data 1'!$F$4</f>
        <v>30.23</v>
      </c>
      <c r="AD64" s="71">
        <f t="shared" si="58"/>
        <v>79.2313554</v>
      </c>
      <c r="AE64" s="71">
        <f t="shared" si="59"/>
        <v>-14.885</v>
      </c>
      <c r="AF64" s="71">
        <f t="shared" si="60"/>
        <v>-34.12029628</v>
      </c>
      <c r="AG64" s="72">
        <f>AC64+AD64+AE64+AF64+70</f>
        <v>130.4560591</v>
      </c>
      <c r="AH64" s="193">
        <f t="shared" si="62"/>
        <v>43.982</v>
      </c>
      <c r="AI64" s="193">
        <f t="shared" si="63"/>
        <v>44.688</v>
      </c>
      <c r="AJ64" s="73">
        <f t="shared" si="64"/>
        <v>104.5171494</v>
      </c>
      <c r="AK64" s="73">
        <f t="shared" si="65"/>
        <v>41.70056321</v>
      </c>
      <c r="AM64" s="51">
        <f t="shared" si="66"/>
        <v>4889.445919</v>
      </c>
      <c r="AN64" s="51" t="str">
        <f t="array" ref="AN64">XLOOKUP(D64,RUC!$B$3:$B$565,RUC!$M$3:$M$565)</f>
        <v>Dante </v>
      </c>
      <c r="AO64" s="131" t="s">
        <v>551</v>
      </c>
      <c r="AP64" s="57" t="s">
        <v>2978</v>
      </c>
      <c r="AQ64" s="57" t="s">
        <v>2979</v>
      </c>
    </row>
    <row r="65" ht="15.0" customHeight="1">
      <c r="A65" s="116" t="s">
        <v>2980</v>
      </c>
      <c r="B65" s="182">
        <v>46048.0</v>
      </c>
      <c r="C65" s="182">
        <v>46036.0</v>
      </c>
      <c r="D65" s="57" t="s">
        <v>225</v>
      </c>
      <c r="E65" s="3">
        <f t="array" ref="E65">XLOOKUP(D65,RUC!$B$3:$B$110,RUC!$D$3:$D$110)</f>
        <v>10761932735</v>
      </c>
      <c r="G65" s="141">
        <v>130.0</v>
      </c>
      <c r="H65" s="3" t="s">
        <v>339</v>
      </c>
      <c r="I65" s="6">
        <v>9.64</v>
      </c>
      <c r="J65" s="58">
        <v>15.1</v>
      </c>
      <c r="K65" s="6">
        <f t="shared" si="53"/>
        <v>8.184</v>
      </c>
      <c r="L65" s="139">
        <v>0.296</v>
      </c>
      <c r="M65" s="60">
        <f t="shared" si="68"/>
        <v>0.277</v>
      </c>
      <c r="N65" s="75">
        <v>0.351</v>
      </c>
      <c r="O65" s="60">
        <f t="shared" si="72"/>
        <v>0.314</v>
      </c>
      <c r="P65" s="63">
        <v>90.0</v>
      </c>
      <c r="Q65" s="58">
        <v>96.62</v>
      </c>
      <c r="R65" s="65">
        <v>4606.5</v>
      </c>
      <c r="S65" s="66">
        <f t="array" ref="S65">IF((XLOOKUP(D65,RUC!$B$3:$B$106,RUC!$E$3:$E$106)+ROUNDDOWN(O65,1)*100)&lt;95,95,((XLOOKUP(D65,RUC!$B$3:$B$106,RUC!$E$3:$E$106)+ROUNDDOWN(O65,1)*100)))</f>
        <v>120</v>
      </c>
      <c r="U65" s="67">
        <f t="array" ref="U65">XLOOKUP(D65,RUC!$B$3:$B$110,RUC!$F$3:$F$110)</f>
        <v>120</v>
      </c>
      <c r="V65" s="67">
        <v>1.1023</v>
      </c>
      <c r="Y65" s="57">
        <f t="array" ref="Y65">XLOOKUP(D65,RUC!$B$3:$B$110,RUC!$G$3:$G$110)</f>
        <v>20</v>
      </c>
      <c r="Z65" s="69">
        <f t="array" ref="Z65">XLOOKUP(D65,RUC!$B$3:$B$110,RUC!$H$3:$H$110)</f>
        <v>30</v>
      </c>
      <c r="AA65" s="70">
        <f t="shared" si="56"/>
        <v>50</v>
      </c>
      <c r="AB65" s="71">
        <f t="shared" si="57"/>
        <v>1210.198525</v>
      </c>
      <c r="AC65" s="71">
        <f>+(S65-T65)*V65-'data 1'!$F$4</f>
        <v>52.276</v>
      </c>
      <c r="AD65" s="71">
        <f t="shared" si="58"/>
        <v>96.90745317</v>
      </c>
      <c r="AE65" s="71">
        <f t="shared" si="59"/>
        <v>-14.885</v>
      </c>
      <c r="AF65" s="71">
        <f t="shared" si="60"/>
        <v>-86.00961779</v>
      </c>
      <c r="AG65" s="72">
        <f t="shared" ref="AG65:AG76" si="75">AC65+AD65+AE65+AF65+70-53</f>
        <v>65.28883538</v>
      </c>
      <c r="AH65" s="193">
        <f t="shared" si="62"/>
        <v>80.248</v>
      </c>
      <c r="AI65" s="193">
        <f t="shared" si="63"/>
        <v>83.055</v>
      </c>
      <c r="AJ65" s="73">
        <f t="shared" si="64"/>
        <v>161.8821634</v>
      </c>
      <c r="AK65" s="73">
        <f t="shared" si="65"/>
        <v>79.29519063</v>
      </c>
      <c r="AM65" s="51">
        <f t="shared" si="66"/>
        <v>9904.264731</v>
      </c>
      <c r="AN65" s="51" t="str">
        <f t="array" ref="AN65">XLOOKUP(D65,RUC!$B$3:$B$565,RUC!$M$3:$M$565)</f>
        <v>Richard Sapacayo</v>
      </c>
      <c r="AO65" s="131" t="s">
        <v>551</v>
      </c>
      <c r="AP65" s="57" t="s">
        <v>2981</v>
      </c>
      <c r="AQ65" s="57" t="s">
        <v>2982</v>
      </c>
    </row>
    <row r="66" ht="15.0" customHeight="1">
      <c r="A66" s="116" t="s">
        <v>2983</v>
      </c>
      <c r="B66" s="182">
        <v>46048.0</v>
      </c>
      <c r="C66" s="182">
        <v>46036.0</v>
      </c>
      <c r="D66" s="57" t="s">
        <v>225</v>
      </c>
      <c r="E66" s="3">
        <f t="array" ref="E66">XLOOKUP(D66,RUC!$B$3:$B$110,RUC!$D$3:$D$110)</f>
        <v>10761932735</v>
      </c>
      <c r="G66" s="141">
        <v>260.0</v>
      </c>
      <c r="H66" s="3" t="s">
        <v>339</v>
      </c>
      <c r="I66" s="6">
        <v>18.71</v>
      </c>
      <c r="J66" s="58">
        <v>17.1</v>
      </c>
      <c r="K66" s="6">
        <f t="shared" si="53"/>
        <v>15.511</v>
      </c>
      <c r="L66" s="139">
        <v>0.704</v>
      </c>
      <c r="M66" s="60">
        <f t="shared" si="68"/>
        <v>0.662</v>
      </c>
      <c r="N66" s="75">
        <v>0.741</v>
      </c>
      <c r="O66" s="60">
        <f t="shared" si="72"/>
        <v>0.702</v>
      </c>
      <c r="P66" s="63">
        <v>90.0</v>
      </c>
      <c r="Q66" s="58">
        <v>98.72</v>
      </c>
      <c r="R66" s="65">
        <v>4606.5</v>
      </c>
      <c r="S66" s="66">
        <f t="array" ref="S66">IF((XLOOKUP(D66,RUC!$B$3:$B$106,RUC!$E$3:$E$106)+ROUNDDOWN(O66,1)*100)&lt;95,95,((XLOOKUP(D66,RUC!$B$3:$B$106,RUC!$E$3:$E$106)+ROUNDDOWN(O66,1)*100)))</f>
        <v>160</v>
      </c>
      <c r="U66" s="67">
        <f t="array" ref="U66">XLOOKUP(D66,RUC!$B$3:$B$110,RUC!$F$3:$F$110)</f>
        <v>120</v>
      </c>
      <c r="V66" s="67">
        <v>1.1023</v>
      </c>
      <c r="Y66" s="57">
        <f t="array" ref="Y66">XLOOKUP(D66,RUC!$B$3:$B$110,RUC!$G$3:$G$110)</f>
        <v>20</v>
      </c>
      <c r="Z66" s="69">
        <f t="array" ref="Z66">XLOOKUP(D66,RUC!$B$3:$B$110,RUC!$H$3:$H$110)</f>
        <v>30</v>
      </c>
      <c r="AA66" s="70">
        <f t="shared" si="56"/>
        <v>50</v>
      </c>
      <c r="AB66" s="71">
        <f t="shared" si="57"/>
        <v>2893.064283</v>
      </c>
      <c r="AC66" s="71">
        <f>+(S66-T66)*V66-'data 1'!$F$4</f>
        <v>96.368</v>
      </c>
      <c r="AD66" s="71">
        <f t="shared" si="58"/>
        <v>303.5964043</v>
      </c>
      <c r="AE66" s="71">
        <f t="shared" si="59"/>
        <v>-14.885</v>
      </c>
      <c r="AF66" s="71">
        <f t="shared" si="60"/>
        <v>9.764333895</v>
      </c>
      <c r="AG66" s="72">
        <f t="shared" si="75"/>
        <v>411.8437382</v>
      </c>
      <c r="AH66" s="193">
        <f t="shared" si="62"/>
        <v>369.595</v>
      </c>
      <c r="AI66" s="193">
        <f t="shared" si="63"/>
        <v>374.388</v>
      </c>
      <c r="AJ66" s="73">
        <f t="shared" si="64"/>
        <v>393.3852402</v>
      </c>
      <c r="AK66" s="73">
        <f t="shared" si="65"/>
        <v>335.9916532</v>
      </c>
      <c r="AM66" s="51">
        <f t="shared" si="66"/>
        <v>44874.32009</v>
      </c>
      <c r="AN66" s="51" t="str">
        <f t="array" ref="AN66">XLOOKUP(D66,RUC!$B$3:$B$565,RUC!$M$3:$M$565)</f>
        <v>Richard Sapacayo</v>
      </c>
      <c r="AO66" s="131" t="s">
        <v>551</v>
      </c>
      <c r="AP66" s="57" t="s">
        <v>2984</v>
      </c>
      <c r="AQ66" s="57" t="s">
        <v>2985</v>
      </c>
    </row>
    <row r="67" ht="15.0" customHeight="1">
      <c r="A67" s="116" t="s">
        <v>2986</v>
      </c>
      <c r="B67" s="182">
        <v>46041.0</v>
      </c>
      <c r="C67" s="182">
        <v>46036.0</v>
      </c>
      <c r="D67" s="57" t="s">
        <v>225</v>
      </c>
      <c r="E67" s="3">
        <f t="array" ref="E67">XLOOKUP(D67,RUC!$B$3:$B$110,RUC!$D$3:$D$110)</f>
        <v>10761932735</v>
      </c>
      <c r="G67" s="141" t="s">
        <v>735</v>
      </c>
      <c r="H67" s="3" t="s">
        <v>40</v>
      </c>
      <c r="I67" s="6">
        <v>32.17</v>
      </c>
      <c r="J67" s="58">
        <v>21.0</v>
      </c>
      <c r="K67" s="6">
        <f t="shared" si="53"/>
        <v>25.414</v>
      </c>
      <c r="L67" s="139">
        <v>0.194</v>
      </c>
      <c r="M67" s="60">
        <f t="shared" si="68"/>
        <v>0.175</v>
      </c>
      <c r="N67" s="62">
        <f t="shared" ref="N67:N72" si="76">+M67</f>
        <v>0.175</v>
      </c>
      <c r="O67" s="60">
        <f t="shared" si="72"/>
        <v>0.175</v>
      </c>
      <c r="P67" s="63">
        <v>90.0</v>
      </c>
      <c r="Q67" s="58">
        <v>97.94</v>
      </c>
      <c r="R67" s="65">
        <v>4606.5</v>
      </c>
      <c r="S67" s="66">
        <f t="array" ref="S67">IF((XLOOKUP(D67,RUC!$B$3:$B$106,RUC!$E$3:$E$106)+ROUNDDOWN(O67,1)*100)&lt;95,95,((XLOOKUP(D67,RUC!$B$3:$B$106,RUC!$E$3:$E$106)+ROUNDDOWN(O67,1)*100)))</f>
        <v>100</v>
      </c>
      <c r="U67" s="67">
        <f t="array" ref="U67">XLOOKUP(D67,RUC!$B$3:$B$110,RUC!$F$3:$F$110)</f>
        <v>120</v>
      </c>
      <c r="V67" s="67">
        <v>1.1023</v>
      </c>
      <c r="Y67" s="57">
        <f t="array" ref="Y67">XLOOKUP(D67,RUC!$B$3:$B$110,RUC!$G$3:$G$110)</f>
        <v>20</v>
      </c>
      <c r="Z67" s="69">
        <f t="array" ref="Z67">XLOOKUP(D67,RUC!$B$3:$B$110,RUC!$H$3:$H$110)</f>
        <v>30</v>
      </c>
      <c r="AA67" s="70">
        <f t="shared" si="56"/>
        <v>50</v>
      </c>
      <c r="AB67" s="71">
        <f t="shared" si="57"/>
        <v>613.5663596</v>
      </c>
      <c r="AC67" s="71">
        <f>+(S67-T67)*V67-'data 1'!$F$4</f>
        <v>30.23</v>
      </c>
      <c r="AD67" s="71">
        <f t="shared" si="58"/>
        <v>76.17802552</v>
      </c>
      <c r="AE67" s="71">
        <f t="shared" si="59"/>
        <v>-14.885</v>
      </c>
      <c r="AF67" s="71">
        <f t="shared" si="60"/>
        <v>92.0282535</v>
      </c>
      <c r="AG67" s="72">
        <f t="shared" si="75"/>
        <v>200.551279</v>
      </c>
      <c r="AH67" s="193">
        <f t="shared" si="62"/>
        <v>165.556</v>
      </c>
      <c r="AI67" s="193">
        <f t="shared" si="63"/>
        <v>169.038</v>
      </c>
      <c r="AJ67" s="73">
        <f t="shared" si="64"/>
        <v>107.5479372</v>
      </c>
      <c r="AK67" s="73">
        <f t="shared" si="65"/>
        <v>137.2342942</v>
      </c>
      <c r="AM67" s="51">
        <f t="shared" si="66"/>
        <v>15593.17546</v>
      </c>
      <c r="AN67" s="51" t="str">
        <f t="array" ref="AN67">XLOOKUP(D67,RUC!$B$3:$B$565,RUC!$M$3:$M$565)</f>
        <v>Richard Sapacayo</v>
      </c>
      <c r="AO67" s="131" t="s">
        <v>558</v>
      </c>
      <c r="AP67" s="57" t="s">
        <v>2981</v>
      </c>
      <c r="AQ67" s="57" t="s">
        <v>2982</v>
      </c>
    </row>
    <row r="68" ht="15.0" customHeight="1">
      <c r="A68" s="116" t="s">
        <v>2987</v>
      </c>
      <c r="B68" s="182">
        <v>46043.0</v>
      </c>
      <c r="C68" s="182">
        <v>46038.0</v>
      </c>
      <c r="D68" s="57" t="s">
        <v>806</v>
      </c>
      <c r="E68" s="3">
        <f t="array" ref="E68">XLOOKUP(D68,RUC!$B$3:$B$110,RUC!$D$3:$D$110)</f>
        <v>20614284740</v>
      </c>
      <c r="G68" s="141">
        <v>44.0</v>
      </c>
      <c r="H68" s="3" t="s">
        <v>339</v>
      </c>
      <c r="I68" s="6">
        <v>3.7</v>
      </c>
      <c r="J68" s="58">
        <v>2.65</v>
      </c>
      <c r="K68" s="6">
        <f t="shared" si="53"/>
        <v>3.602</v>
      </c>
      <c r="L68" s="139">
        <v>0.613</v>
      </c>
      <c r="M68" s="60">
        <f t="shared" si="68"/>
        <v>0.576</v>
      </c>
      <c r="N68" s="62">
        <f t="shared" si="76"/>
        <v>0.576</v>
      </c>
      <c r="O68" s="60">
        <f t="shared" si="72"/>
        <v>0.576</v>
      </c>
      <c r="P68" s="63">
        <v>90.0</v>
      </c>
      <c r="Q68" s="58">
        <v>99.18</v>
      </c>
      <c r="R68" s="65">
        <v>4611.05</v>
      </c>
      <c r="S68" s="66">
        <f t="array" ref="S68">IF((XLOOKUP(D68,RUC!$B$3:$B$106,RUC!$E$3:$E$106)+ROUNDDOWN(O68,1)*100)&lt;95,95,((XLOOKUP(D68,RUC!$B$3:$B$106,RUC!$E$3:$E$106)+ROUNDDOWN(O68,1)*100)))</f>
        <v>140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56"/>
        <v>50</v>
      </c>
      <c r="AB68" s="71">
        <f t="shared" si="57"/>
        <v>2356.894121</v>
      </c>
      <c r="AC68" s="71">
        <f>+(S68-T68)*V68-'data 1'!$F$4</f>
        <v>74.322</v>
      </c>
      <c r="AD68" s="71">
        <f t="shared" si="58"/>
        <v>278.5805897</v>
      </c>
      <c r="AE68" s="71">
        <f t="shared" si="59"/>
        <v>-14.885</v>
      </c>
      <c r="AF68" s="71">
        <f t="shared" si="60"/>
        <v>181.6659464</v>
      </c>
      <c r="AG68" s="72">
        <f t="shared" si="75"/>
        <v>536.6835361</v>
      </c>
      <c r="AH68" s="193">
        <f t="shared" si="62"/>
        <v>75.082</v>
      </c>
      <c r="AI68" s="193">
        <f t="shared" si="63"/>
        <v>75.703</v>
      </c>
      <c r="AJ68" s="73">
        <f t="shared" si="64"/>
        <v>341.0825527</v>
      </c>
      <c r="AK68" s="73">
        <f t="shared" si="65"/>
        <v>64.02030968</v>
      </c>
      <c r="AM68" s="51">
        <f t="shared" si="66"/>
        <v>8489.532623</v>
      </c>
      <c r="AN68" s="51" t="str">
        <f t="array" ref="AN68">XLOOKUP(D68,RUC!$B$3:$B$565,RUC!$M$3:$M$565)</f>
        <v>Dante </v>
      </c>
      <c r="AO68" s="131" t="s">
        <v>547</v>
      </c>
      <c r="AP68" s="57" t="s">
        <v>788</v>
      </c>
      <c r="AQ68" s="57" t="s">
        <v>2988</v>
      </c>
    </row>
    <row r="69" ht="15.0" customHeight="1">
      <c r="A69" s="116" t="s">
        <v>2989</v>
      </c>
      <c r="B69" s="182">
        <v>46043.0</v>
      </c>
      <c r="C69" s="182">
        <v>46038.0</v>
      </c>
      <c r="D69" s="57" t="s">
        <v>806</v>
      </c>
      <c r="E69" s="3">
        <f t="array" ref="E69">XLOOKUP(D69,RUC!$B$3:$B$110,RUC!$D$3:$D$110)</f>
        <v>20614284740</v>
      </c>
      <c r="G69" s="141">
        <v>8.0</v>
      </c>
      <c r="H69" s="3" t="s">
        <v>339</v>
      </c>
      <c r="I69" s="6">
        <v>0.83</v>
      </c>
      <c r="J69" s="58">
        <v>3.2</v>
      </c>
      <c r="K69" s="6">
        <f t="shared" si="53"/>
        <v>0.803</v>
      </c>
      <c r="L69" s="139">
        <v>0.885</v>
      </c>
      <c r="M69" s="60">
        <f t="shared" si="68"/>
        <v>0.832</v>
      </c>
      <c r="N69" s="62">
        <f t="shared" si="76"/>
        <v>0.832</v>
      </c>
      <c r="O69" s="60">
        <f t="shared" si="72"/>
        <v>0.832</v>
      </c>
      <c r="P69" s="63">
        <v>90.0</v>
      </c>
      <c r="Q69" s="58">
        <v>98.19</v>
      </c>
      <c r="R69" s="65">
        <v>4611.05</v>
      </c>
      <c r="S69" s="66">
        <f t="array" ref="S69">IF((XLOOKUP(D69,RUC!$B$3:$B$106,RUC!$E$3:$E$106)+ROUNDDOWN(O69,1)*100)&lt;95,95,((XLOOKUP(D69,RUC!$B$3:$B$106,RUC!$E$3:$E$106)+ROUNDDOWN(O69,1)*100)))</f>
        <v>170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56"/>
        <v>50</v>
      </c>
      <c r="AB69" s="71">
        <f t="shared" si="57"/>
        <v>3464.41673</v>
      </c>
      <c r="AC69" s="71">
        <f>+(S69-T69)*V69-'data 1'!$F$4</f>
        <v>107.391</v>
      </c>
      <c r="AD69" s="71">
        <f t="shared" si="58"/>
        <v>358.8185361</v>
      </c>
      <c r="AE69" s="71">
        <f t="shared" si="59"/>
        <v>-14.885</v>
      </c>
      <c r="AF69" s="71">
        <f t="shared" si="60"/>
        <v>257.6266743</v>
      </c>
      <c r="AG69" s="72">
        <f t="shared" si="75"/>
        <v>725.9512104</v>
      </c>
      <c r="AH69" s="193">
        <f t="shared" si="62"/>
        <v>23.924</v>
      </c>
      <c r="AI69" s="193">
        <f t="shared" si="63"/>
        <v>24.365</v>
      </c>
      <c r="AJ69" s="73">
        <f t="shared" si="64"/>
        <v>487.5121646</v>
      </c>
      <c r="AK69" s="73">
        <f t="shared" si="65"/>
        <v>20.61533755</v>
      </c>
      <c r="AM69" s="51">
        <f t="shared" si="66"/>
        <v>2781.926634</v>
      </c>
      <c r="AN69" s="51" t="str">
        <f t="array" ref="AN69">XLOOKUP(D69,RUC!$B$3:$B$565,RUC!$M$3:$M$565)</f>
        <v>Dante </v>
      </c>
      <c r="AO69" s="131" t="s">
        <v>547</v>
      </c>
      <c r="AP69" s="57" t="s">
        <v>788</v>
      </c>
      <c r="AQ69" s="57" t="s">
        <v>2988</v>
      </c>
    </row>
    <row r="70" ht="15.0" customHeight="1">
      <c r="A70" s="116" t="s">
        <v>2990</v>
      </c>
      <c r="B70" s="182">
        <v>46052.0</v>
      </c>
      <c r="C70" s="182">
        <v>46039.0</v>
      </c>
      <c r="D70" s="57" t="s">
        <v>705</v>
      </c>
      <c r="E70" s="3">
        <f t="array" ref="E70">XLOOKUP(D70,RUC!$B$3:$B$110,RUC!$D$3:$D$110)</f>
        <v>20614031698</v>
      </c>
      <c r="G70" s="141">
        <v>10.0</v>
      </c>
      <c r="H70" s="3" t="s">
        <v>339</v>
      </c>
      <c r="I70" s="6">
        <v>0.97</v>
      </c>
      <c r="J70" s="58">
        <v>1.3</v>
      </c>
      <c r="K70" s="6">
        <f t="shared" si="53"/>
        <v>0.957</v>
      </c>
      <c r="L70" s="139">
        <v>0.19</v>
      </c>
      <c r="M70" s="60">
        <f t="shared" si="68"/>
        <v>0.171</v>
      </c>
      <c r="N70" s="62">
        <f t="shared" si="76"/>
        <v>0.171</v>
      </c>
      <c r="O70" s="60">
        <f t="shared" si="72"/>
        <v>0.171</v>
      </c>
      <c r="P70" s="63">
        <v>85.0</v>
      </c>
      <c r="Q70" s="58">
        <v>94.76</v>
      </c>
      <c r="R70" s="65">
        <v>4611.05</v>
      </c>
      <c r="S70" s="66">
        <f t="array" ref="S70">IF((XLOOKUP(D70,RUC!$B$3:$B$106,RUC!$E$3:$E$106)+ROUNDDOWN(O70,1)*100)&lt;95,95,((XLOOKUP(D70,RUC!$B$3:$B$106,RUC!$E$3:$E$106)+ROUNDDOWN(O70,1)*100)))</f>
        <v>95</v>
      </c>
      <c r="U70" s="67">
        <f t="array" ref="U70">XLOOKUP(D70,RUC!$B$3:$B$110,RUC!$F$3:$F$110)</f>
        <v>110</v>
      </c>
      <c r="V70" s="67">
        <v>1.1023</v>
      </c>
      <c r="Y70" s="57">
        <f t="array" ref="Y70">XLOOKUP(D70,RUC!$B$3:$B$110,RUC!$G$3:$G$110)</f>
        <v>0</v>
      </c>
      <c r="Z70" s="69">
        <f t="array" ref="Z70">XLOOKUP(D70,RUC!$B$3:$B$110,RUC!$H$3:$H$110)</f>
        <v>35</v>
      </c>
      <c r="AA70" s="70">
        <f t="shared" si="56"/>
        <v>35</v>
      </c>
      <c r="AB70" s="71">
        <f t="shared" si="57"/>
        <v>577.8561028</v>
      </c>
      <c r="AC70" s="71">
        <f>+(S70-T70)*V70-'data 1'!$F$4</f>
        <v>24.7185</v>
      </c>
      <c r="AD70" s="71">
        <f t="shared" si="58"/>
        <v>92.0061935</v>
      </c>
      <c r="AE70" s="71">
        <f t="shared" si="59"/>
        <v>-31.4195</v>
      </c>
      <c r="AF70" s="71">
        <f t="shared" si="60"/>
        <v>89.3289641</v>
      </c>
      <c r="AG70" s="72">
        <f t="shared" si="75"/>
        <v>191.6341576</v>
      </c>
      <c r="AH70" s="193">
        <f t="shared" si="62"/>
        <v>5.907</v>
      </c>
      <c r="AI70" s="193">
        <f t="shared" si="63"/>
        <v>6.234</v>
      </c>
      <c r="AJ70" s="73">
        <f t="shared" si="64"/>
        <v>99.02286497</v>
      </c>
      <c r="AK70" s="73">
        <f t="shared" si="65"/>
        <v>4.769095763</v>
      </c>
      <c r="AM70" s="51">
        <f t="shared" si="66"/>
        <v>553.0082904</v>
      </c>
      <c r="AN70" s="51" t="str">
        <f t="array" ref="AN70">XLOOKUP(D70,RUC!$B$3:$B$565,RUC!$M$3:$M$565)</f>
        <v>Robinson Tuya</v>
      </c>
      <c r="AO70" s="131" t="s">
        <v>551</v>
      </c>
      <c r="AP70" s="57" t="s">
        <v>775</v>
      </c>
      <c r="AQ70" s="57" t="s">
        <v>2991</v>
      </c>
    </row>
    <row r="71" ht="15.0" customHeight="1">
      <c r="A71" s="116" t="s">
        <v>2992</v>
      </c>
      <c r="B71" s="182">
        <v>46052.0</v>
      </c>
      <c r="C71" s="182">
        <v>46039.0</v>
      </c>
      <c r="D71" s="57" t="s">
        <v>705</v>
      </c>
      <c r="E71" s="3">
        <f t="array" ref="E71">XLOOKUP(D71,RUC!$B$3:$B$110,RUC!$D$3:$D$110)</f>
        <v>20614031698</v>
      </c>
      <c r="G71" s="141">
        <v>25.0</v>
      </c>
      <c r="H71" s="3" t="s">
        <v>339</v>
      </c>
      <c r="I71" s="6">
        <v>2.51</v>
      </c>
      <c r="J71" s="58">
        <v>3.3</v>
      </c>
      <c r="K71" s="6">
        <f t="shared" si="53"/>
        <v>2.427</v>
      </c>
      <c r="L71" s="139">
        <v>0.203</v>
      </c>
      <c r="M71" s="60">
        <f t="shared" si="68"/>
        <v>0.184</v>
      </c>
      <c r="N71" s="62">
        <f t="shared" si="76"/>
        <v>0.184</v>
      </c>
      <c r="O71" s="60">
        <f t="shared" si="72"/>
        <v>0.184</v>
      </c>
      <c r="P71" s="63">
        <v>85.0</v>
      </c>
      <c r="Q71" s="58">
        <v>93.33</v>
      </c>
      <c r="R71" s="65">
        <v>4611.05</v>
      </c>
      <c r="S71" s="66">
        <f t="array" ref="S71">IF((XLOOKUP(D71,RUC!$B$3:$B$106,RUC!$E$3:$E$106)+ROUNDDOWN(O71,1)*100)&lt;95,95,((XLOOKUP(D71,RUC!$B$3:$B$106,RUC!$E$3:$E$106)+ROUNDDOWN(O71,1)*100)))</f>
        <v>95</v>
      </c>
      <c r="U71" s="67">
        <f t="array" ref="U71">XLOOKUP(D71,RUC!$B$3:$B$110,RUC!$F$3:$F$110)</f>
        <v>110</v>
      </c>
      <c r="V71" s="67">
        <v>1.1023</v>
      </c>
      <c r="Y71" s="57">
        <f t="array" ref="Y71">XLOOKUP(D71,RUC!$B$3:$B$110,RUC!$G$3:$G$110)</f>
        <v>0</v>
      </c>
      <c r="Z71" s="69">
        <f t="array" ref="Z71">XLOOKUP(D71,RUC!$B$3:$B$110,RUC!$H$3:$H$110)</f>
        <v>35</v>
      </c>
      <c r="AA71" s="70">
        <f t="shared" si="56"/>
        <v>35</v>
      </c>
      <c r="AB71" s="71">
        <f t="shared" si="57"/>
        <v>632.6807597</v>
      </c>
      <c r="AC71" s="71">
        <f>+(S71-T71)*V71-'data 1'!$F$4</f>
        <v>24.7185</v>
      </c>
      <c r="AD71" s="71">
        <f t="shared" si="58"/>
        <v>83.89859424</v>
      </c>
      <c r="AE71" s="71">
        <f t="shared" si="59"/>
        <v>-31.4195</v>
      </c>
      <c r="AF71" s="71">
        <f t="shared" si="60"/>
        <v>87.98092254</v>
      </c>
      <c r="AG71" s="72">
        <f t="shared" si="75"/>
        <v>182.1785168</v>
      </c>
      <c r="AH71" s="193">
        <f t="shared" si="62"/>
        <v>15.765</v>
      </c>
      <c r="AI71" s="193">
        <f t="shared" si="63"/>
        <v>16.892</v>
      </c>
      <c r="AJ71" s="73">
        <f t="shared" si="64"/>
        <v>104.2015402</v>
      </c>
      <c r="AK71" s="73">
        <f t="shared" si="65"/>
        <v>13.0141436</v>
      </c>
      <c r="AM71" s="51">
        <f t="shared" si="66"/>
        <v>1535.516204</v>
      </c>
      <c r="AN71" s="51" t="str">
        <f t="array" ref="AN71">XLOOKUP(D71,RUC!$B$3:$B$565,RUC!$M$3:$M$565)</f>
        <v>Robinson Tuya</v>
      </c>
      <c r="AO71" s="131" t="s">
        <v>551</v>
      </c>
      <c r="AP71" s="57" t="s">
        <v>775</v>
      </c>
      <c r="AQ71" s="57" t="s">
        <v>2991</v>
      </c>
    </row>
    <row r="72" ht="15.0" customHeight="1">
      <c r="A72" s="116" t="s">
        <v>2993</v>
      </c>
      <c r="B72" s="182">
        <v>46052.0</v>
      </c>
      <c r="C72" s="182">
        <v>46039.0</v>
      </c>
      <c r="D72" s="57" t="s">
        <v>705</v>
      </c>
      <c r="E72" s="3">
        <f t="array" ref="E72">XLOOKUP(D72,RUC!$B$3:$B$110,RUC!$D$3:$D$110)</f>
        <v>20614031698</v>
      </c>
      <c r="G72" s="141">
        <v>17.0</v>
      </c>
      <c r="H72" s="3" t="s">
        <v>339</v>
      </c>
      <c r="I72" s="6">
        <v>1.83</v>
      </c>
      <c r="J72" s="58">
        <v>4.15</v>
      </c>
      <c r="K72" s="6">
        <f t="shared" si="53"/>
        <v>1.754</v>
      </c>
      <c r="L72" s="139">
        <v>0.126</v>
      </c>
      <c r="M72" s="60">
        <f t="shared" si="68"/>
        <v>0.107</v>
      </c>
      <c r="N72" s="62">
        <f t="shared" si="76"/>
        <v>0.107</v>
      </c>
      <c r="O72" s="60">
        <f t="shared" si="72"/>
        <v>0.107</v>
      </c>
      <c r="P72" s="63">
        <v>80.0</v>
      </c>
      <c r="Q72" s="58">
        <v>97.6</v>
      </c>
      <c r="R72" s="65">
        <v>4611.05</v>
      </c>
      <c r="S72" s="66">
        <f t="array" ref="S72">IF((XLOOKUP(D72,RUC!$B$3:$B$106,RUC!$E$3:$E$106)+ROUNDDOWN(O72,1)*100)&lt;95,95,((XLOOKUP(D72,RUC!$B$3:$B$106,RUC!$E$3:$E$106)+ROUNDDOWN(O72,1)*100)))</f>
        <v>95</v>
      </c>
      <c r="U72" s="67">
        <f t="array" ref="U72">XLOOKUP(D72,RUC!$B$3:$B$110,RUC!$F$3:$F$110)</f>
        <v>110</v>
      </c>
      <c r="V72" s="67">
        <v>1.1023</v>
      </c>
      <c r="Y72" s="57">
        <f t="array" ref="Y72">XLOOKUP(D72,RUC!$B$3:$B$110,RUC!$G$3:$G$110)</f>
        <v>0</v>
      </c>
      <c r="Z72" s="69">
        <f t="array" ref="Z72">XLOOKUP(D72,RUC!$B$3:$B$110,RUC!$H$3:$H$110)</f>
        <v>35</v>
      </c>
      <c r="AA72" s="70">
        <f t="shared" si="56"/>
        <v>35</v>
      </c>
      <c r="AB72" s="71">
        <f t="shared" si="57"/>
        <v>281.4060347</v>
      </c>
      <c r="AC72" s="71">
        <f>+(S72-T72)*V72-'data 1'!$F$4</f>
        <v>24.7185</v>
      </c>
      <c r="AD72" s="71">
        <f t="shared" si="58"/>
        <v>110.0263884</v>
      </c>
      <c r="AE72" s="71">
        <f t="shared" si="59"/>
        <v>-31.4195</v>
      </c>
      <c r="AF72" s="71">
        <f t="shared" si="60"/>
        <v>92.0061935</v>
      </c>
      <c r="AG72" s="72">
        <f t="shared" si="75"/>
        <v>212.3315819</v>
      </c>
      <c r="AH72" s="193">
        <f t="shared" si="62"/>
        <v>7.395</v>
      </c>
      <c r="AI72" s="193">
        <f t="shared" si="63"/>
        <v>7.577</v>
      </c>
      <c r="AJ72" s="73">
        <f t="shared" si="64"/>
        <v>67.63588813</v>
      </c>
      <c r="AK72" s="73">
        <f t="shared" si="65"/>
        <v>5.147690447</v>
      </c>
      <c r="AM72" s="51">
        <f t="shared" si="66"/>
        <v>493.5861849</v>
      </c>
      <c r="AN72" s="51" t="str">
        <f t="array" ref="AN72">XLOOKUP(D72,RUC!$B$3:$B$565,RUC!$M$3:$M$565)</f>
        <v>Robinson Tuya</v>
      </c>
      <c r="AO72" s="131" t="s">
        <v>551</v>
      </c>
      <c r="AP72" s="57" t="s">
        <v>775</v>
      </c>
      <c r="AQ72" s="57" t="s">
        <v>2991</v>
      </c>
    </row>
    <row r="73" ht="15.0" customHeight="1">
      <c r="A73" s="116" t="s">
        <v>2994</v>
      </c>
      <c r="B73" s="182">
        <v>46046.0</v>
      </c>
      <c r="C73" s="182">
        <v>46039.0</v>
      </c>
      <c r="D73" s="57" t="s">
        <v>806</v>
      </c>
      <c r="E73" s="3">
        <f t="array" ref="E73">XLOOKUP(D73,RUC!$B$3:$B$110,RUC!$D$3:$D$110)</f>
        <v>20614284740</v>
      </c>
      <c r="G73" s="141">
        <v>60.0</v>
      </c>
      <c r="H73" s="3" t="s">
        <v>47</v>
      </c>
      <c r="I73" s="6">
        <v>4.49</v>
      </c>
      <c r="J73" s="58">
        <v>3.5</v>
      </c>
      <c r="K73" s="6">
        <f t="shared" si="53"/>
        <v>4.333</v>
      </c>
      <c r="L73" s="139">
        <v>0.653</v>
      </c>
      <c r="M73" s="60">
        <f t="shared" si="68"/>
        <v>0.614</v>
      </c>
      <c r="N73" s="75">
        <v>0.66</v>
      </c>
      <c r="O73" s="60">
        <f t="shared" si="72"/>
        <v>0.637</v>
      </c>
      <c r="P73" s="63">
        <v>90.0</v>
      </c>
      <c r="Q73" s="58">
        <v>96.63</v>
      </c>
      <c r="R73" s="65">
        <v>4611.05</v>
      </c>
      <c r="S73" s="66">
        <f t="array" ref="S73">IF((XLOOKUP(D73,RUC!$B$3:$B$106,RUC!$E$3:$E$106)+ROUNDDOWN(O73,1)*100)&lt;95,95,((XLOOKUP(D73,RUC!$B$3:$B$106,RUC!$E$3:$E$106)+ROUNDDOWN(O73,1)*100)))</f>
        <v>150</v>
      </c>
      <c r="U73" s="67">
        <f t="array" ref="U73">XLOOKUP(D73,RUC!$B$3:$B$110,RUC!$F$3:$F$110)</f>
        <v>120</v>
      </c>
      <c r="V73" s="67">
        <v>1.1023</v>
      </c>
      <c r="Y73" s="199">
        <v>30.0</v>
      </c>
      <c r="Z73" s="69">
        <f t="array" ref="Z73">XLOOKUP(D73,RUC!$B$3:$B$110,RUC!$H$3:$H$110)</f>
        <v>30</v>
      </c>
      <c r="AA73" s="70">
        <f t="shared" si="56"/>
        <v>60</v>
      </c>
      <c r="AB73" s="71">
        <f t="shared" si="57"/>
        <v>2606.629715</v>
      </c>
      <c r="AC73" s="71">
        <f>+(S73-T73)*V73-'data 1'!$F$4</f>
        <v>85.345</v>
      </c>
      <c r="AD73" s="71">
        <f t="shared" si="58"/>
        <v>214.3257772</v>
      </c>
      <c r="AE73" s="71">
        <f t="shared" si="59"/>
        <v>-3.862</v>
      </c>
      <c r="AF73" s="71">
        <f t="shared" si="60"/>
        <v>76.53844944</v>
      </c>
      <c r="AG73" s="72">
        <f t="shared" si="75"/>
        <v>389.3472267</v>
      </c>
      <c r="AH73" s="193">
        <f t="shared" si="62"/>
        <v>93.74</v>
      </c>
      <c r="AI73" s="193">
        <f t="shared" si="63"/>
        <v>97.009</v>
      </c>
      <c r="AJ73" s="73">
        <f t="shared" si="64"/>
        <v>353.9974119</v>
      </c>
      <c r="AK73" s="73">
        <f t="shared" si="65"/>
        <v>85.16863759</v>
      </c>
      <c r="AM73" s="51">
        <f t="shared" si="66"/>
        <v>11294.52656</v>
      </c>
      <c r="AN73" s="51" t="str">
        <f t="array" ref="AN73">XLOOKUP(D73,RUC!$B$3:$B$565,RUC!$M$3:$M$565)</f>
        <v>Dante </v>
      </c>
      <c r="AO73" s="131" t="s">
        <v>558</v>
      </c>
      <c r="AP73" s="57" t="s">
        <v>2244</v>
      </c>
      <c r="AQ73" s="57" t="s">
        <v>2995</v>
      </c>
    </row>
    <row r="74" ht="15.0" customHeight="1">
      <c r="A74" s="116" t="s">
        <v>2996</v>
      </c>
      <c r="B74" s="182">
        <v>46047.0</v>
      </c>
      <c r="C74" s="182">
        <v>46040.0</v>
      </c>
      <c r="D74" s="57" t="s">
        <v>852</v>
      </c>
      <c r="E74" s="3">
        <f t="array" ref="E74">XLOOKUP(D74,RUC!$B$3:$B$110,RUC!$D$3:$D$110)</f>
        <v>20610807004</v>
      </c>
      <c r="G74" s="141">
        <v>48.0</v>
      </c>
      <c r="H74" s="3" t="s">
        <v>339</v>
      </c>
      <c r="I74" s="6">
        <v>3.97</v>
      </c>
      <c r="J74" s="58">
        <v>9.75</v>
      </c>
      <c r="K74" s="6">
        <f t="shared" si="53"/>
        <v>3.583</v>
      </c>
      <c r="L74" s="139">
        <v>0.289</v>
      </c>
      <c r="M74" s="60">
        <f t="shared" si="68"/>
        <v>0.27</v>
      </c>
      <c r="N74" s="62">
        <f t="shared" ref="N74:N76" si="77">+M74</f>
        <v>0.27</v>
      </c>
      <c r="O74" s="60">
        <f t="shared" si="72"/>
        <v>0.27</v>
      </c>
      <c r="P74" s="63">
        <v>83.0</v>
      </c>
      <c r="Q74" s="58">
        <v>83.74</v>
      </c>
      <c r="R74" s="65">
        <v>4666.85</v>
      </c>
      <c r="S74" s="66">
        <f t="array" ref="S74">IF((XLOOKUP(D74,RUC!$B$3:$B$106,RUC!$E$3:$E$106)+ROUNDDOWN(O74,1)*100)&lt;95,95,((XLOOKUP(D74,RUC!$B$3:$B$106,RUC!$E$3:$E$106)+ROUNDDOWN(O74,1)*100)))</f>
        <v>105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69">
        <f t="array" ref="Z74">XLOOKUP(D74,RUC!$B$3:$B$110,RUC!$H$3:$H$110)</f>
        <v>30</v>
      </c>
      <c r="AA74" s="70">
        <f t="shared" si="56"/>
        <v>50</v>
      </c>
      <c r="AB74" s="71">
        <f t="shared" si="57"/>
        <v>952.3310764</v>
      </c>
      <c r="AC74" s="71">
        <f>+(S74-T74)*V74-'data 1'!$F$4</f>
        <v>35.7415</v>
      </c>
      <c r="AD74" s="71">
        <f t="shared" si="58"/>
        <v>10.71864771</v>
      </c>
      <c r="AE74" s="71">
        <f t="shared" si="59"/>
        <v>-14.885</v>
      </c>
      <c r="AF74" s="71">
        <f t="shared" si="60"/>
        <v>79.74381193</v>
      </c>
      <c r="AG74" s="72">
        <f t="shared" si="75"/>
        <v>128.3189596</v>
      </c>
      <c r="AH74" s="193">
        <f t="shared" si="62"/>
        <v>29.729</v>
      </c>
      <c r="AI74" s="193">
        <f t="shared" si="63"/>
        <v>35.502</v>
      </c>
      <c r="AJ74" s="73">
        <f t="shared" si="64"/>
        <v>120.8850491</v>
      </c>
      <c r="AK74" s="73">
        <f t="shared" si="65"/>
        <v>27.52946262</v>
      </c>
      <c r="AM74" s="51">
        <f t="shared" si="66"/>
        <v>3412.202247</v>
      </c>
      <c r="AN74" s="51" t="str">
        <f t="array" ref="AN74">XLOOKUP(D74,RUC!$B$3:$B$565,RUC!$M$3:$M$565)</f>
        <v>Renzo</v>
      </c>
      <c r="AO74" s="131" t="s">
        <v>558</v>
      </c>
      <c r="AP74" s="57" t="s">
        <v>1613</v>
      </c>
      <c r="AQ74" s="57" t="s">
        <v>1343</v>
      </c>
      <c r="AR74" s="57" t="s">
        <v>2997</v>
      </c>
    </row>
    <row r="75" ht="15.0" customHeight="1">
      <c r="A75" s="116" t="s">
        <v>2998</v>
      </c>
      <c r="B75" s="182">
        <v>46047.0</v>
      </c>
      <c r="C75" s="182">
        <v>46040.0</v>
      </c>
      <c r="D75" s="57" t="s">
        <v>852</v>
      </c>
      <c r="E75" s="3">
        <f t="array" ref="E75">XLOOKUP(D75,RUC!$B$3:$B$110,RUC!$D$3:$D$110)</f>
        <v>20610807004</v>
      </c>
      <c r="G75" s="141">
        <v>50.0</v>
      </c>
      <c r="H75" s="3" t="s">
        <v>339</v>
      </c>
      <c r="I75" s="6">
        <v>3.63</v>
      </c>
      <c r="J75" s="58">
        <v>18.8</v>
      </c>
      <c r="K75" s="6">
        <f t="shared" si="53"/>
        <v>2.948</v>
      </c>
      <c r="L75" s="139">
        <v>0.169</v>
      </c>
      <c r="M75" s="60">
        <f t="shared" si="68"/>
        <v>0.15</v>
      </c>
      <c r="N75" s="62">
        <f t="shared" si="77"/>
        <v>0.15</v>
      </c>
      <c r="O75" s="60">
        <f t="shared" si="72"/>
        <v>0.15</v>
      </c>
      <c r="P75" s="63">
        <v>76.0</v>
      </c>
      <c r="Q75" s="58">
        <v>79.29</v>
      </c>
      <c r="R75" s="65">
        <v>4666.85</v>
      </c>
      <c r="S75" s="66">
        <f t="array" ref="S75">IF((XLOOKUP(D75,RUC!$B$3:$B$106,RUC!$E$3:$E$106)+ROUNDDOWN(O75,1)*100)&lt;95,95,((XLOOKUP(D75,RUC!$B$3:$B$106,RUC!$E$3:$E$106)+ROUNDDOWN(O75,1)*100)))</f>
        <v>95</v>
      </c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69">
        <f t="array" ref="Z75">XLOOKUP(D75,RUC!$B$3:$B$110,RUC!$H$3:$H$110)</f>
        <v>30</v>
      </c>
      <c r="AA75" s="70">
        <f t="shared" si="56"/>
        <v>50</v>
      </c>
      <c r="AB75" s="71">
        <f t="shared" si="57"/>
        <v>411.5336741</v>
      </c>
      <c r="AC75" s="71">
        <f>+(S75-T75)*V75-'data 1'!$F$4</f>
        <v>24.7185</v>
      </c>
      <c r="AD75" s="71">
        <f t="shared" si="58"/>
        <v>27.86718092</v>
      </c>
      <c r="AE75" s="71">
        <f t="shared" si="59"/>
        <v>-14.885</v>
      </c>
      <c r="AF75" s="71">
        <f t="shared" si="60"/>
        <v>75.50617205</v>
      </c>
      <c r="AG75" s="72">
        <f t="shared" si="75"/>
        <v>130.206853</v>
      </c>
      <c r="AH75" s="193">
        <f t="shared" si="62"/>
        <v>13.544</v>
      </c>
      <c r="AI75" s="193">
        <f t="shared" si="63"/>
        <v>17.081</v>
      </c>
      <c r="AJ75" s="73">
        <f t="shared" si="64"/>
        <v>66.93402078</v>
      </c>
      <c r="AK75" s="73">
        <f t="shared" si="65"/>
        <v>11.52235893</v>
      </c>
      <c r="AM75" s="51">
        <f t="shared" si="66"/>
        <v>1213.201271</v>
      </c>
      <c r="AN75" s="51" t="str">
        <f t="array" ref="AN75">XLOOKUP(D75,RUC!$B$3:$B$565,RUC!$M$3:$M$565)</f>
        <v>Renzo</v>
      </c>
      <c r="AO75" s="131" t="s">
        <v>558</v>
      </c>
      <c r="AP75" s="57" t="s">
        <v>1613</v>
      </c>
      <c r="AQ75" s="57" t="s">
        <v>1343</v>
      </c>
      <c r="AR75" s="57" t="s">
        <v>2999</v>
      </c>
    </row>
    <row r="76" ht="15.0" customHeight="1">
      <c r="A76" s="116" t="s">
        <v>3000</v>
      </c>
      <c r="B76" s="182">
        <v>46047.0</v>
      </c>
      <c r="C76" s="182">
        <v>46040.0</v>
      </c>
      <c r="D76" s="57" t="s">
        <v>852</v>
      </c>
      <c r="E76" s="3">
        <f t="array" ref="E76">XLOOKUP(D76,RUC!$B$3:$B$110,RUC!$D$3:$D$110)</f>
        <v>20610807004</v>
      </c>
      <c r="G76" s="141">
        <v>77.0</v>
      </c>
      <c r="H76" s="3" t="s">
        <v>339</v>
      </c>
      <c r="I76" s="6">
        <v>6.19</v>
      </c>
      <c r="J76" s="58">
        <v>11.32</v>
      </c>
      <c r="K76" s="6">
        <f t="shared" si="53"/>
        <v>5.489</v>
      </c>
      <c r="L76" s="139">
        <v>0.22</v>
      </c>
      <c r="M76" s="60">
        <f t="shared" si="68"/>
        <v>0.201</v>
      </c>
      <c r="N76" s="62">
        <f t="shared" si="77"/>
        <v>0.201</v>
      </c>
      <c r="O76" s="60">
        <f t="shared" si="72"/>
        <v>0.201</v>
      </c>
      <c r="P76" s="63">
        <v>85.0</v>
      </c>
      <c r="Q76" s="58">
        <v>90.45</v>
      </c>
      <c r="R76" s="65">
        <v>4666.85</v>
      </c>
      <c r="S76" s="66">
        <f t="array" ref="S76">IF((XLOOKUP(D76,RUC!$B$3:$B$106,RUC!$E$3:$E$106)+ROUNDDOWN(O76,1)*100)&lt;95,95,((XLOOKUP(D76,RUC!$B$3:$B$106,RUC!$E$3:$E$106)+ROUNDDOWN(O76,1)*100)))</f>
        <v>105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69">
        <f t="array" ref="Z76">XLOOKUP(D76,RUC!$B$3:$B$110,RUC!$H$3:$H$110)</f>
        <v>30</v>
      </c>
      <c r="AA76" s="70">
        <f t="shared" si="56"/>
        <v>50</v>
      </c>
      <c r="AB76" s="71">
        <f t="shared" si="57"/>
        <v>685.4424622</v>
      </c>
      <c r="AC76" s="71">
        <f>+(S76-T76)*V76-'data 1'!$F$4</f>
        <v>35.7415</v>
      </c>
      <c r="AD76" s="71">
        <f t="shared" si="58"/>
        <v>60.09379313</v>
      </c>
      <c r="AE76" s="71">
        <f t="shared" si="59"/>
        <v>-14.885</v>
      </c>
      <c r="AF76" s="71">
        <f t="shared" si="60"/>
        <v>86.13360149</v>
      </c>
      <c r="AG76" s="72">
        <f t="shared" si="75"/>
        <v>184.0838946</v>
      </c>
      <c r="AH76" s="193">
        <f t="shared" si="62"/>
        <v>37.448</v>
      </c>
      <c r="AI76" s="193">
        <f t="shared" si="63"/>
        <v>41.402</v>
      </c>
      <c r="AJ76" s="73">
        <f t="shared" si="64"/>
        <v>99.39694668</v>
      </c>
      <c r="AK76" s="73">
        <f t="shared" si="65"/>
        <v>32.15268777</v>
      </c>
      <c r="AM76" s="51">
        <f t="shared" si="66"/>
        <v>3762.393675</v>
      </c>
      <c r="AN76" s="51" t="str">
        <f t="array" ref="AN76">XLOOKUP(D76,RUC!$B$3:$B$565,RUC!$M$3:$M$565)</f>
        <v>Renzo</v>
      </c>
      <c r="AO76" s="131" t="s">
        <v>558</v>
      </c>
      <c r="AP76" s="57" t="s">
        <v>1613</v>
      </c>
      <c r="AQ76" s="57" t="s">
        <v>1343</v>
      </c>
      <c r="AR76" s="57" t="s">
        <v>3001</v>
      </c>
    </row>
    <row r="77" ht="15.0" customHeight="1">
      <c r="A77" s="116" t="s">
        <v>3002</v>
      </c>
      <c r="B77" s="182">
        <v>46052.0</v>
      </c>
      <c r="C77" s="182">
        <v>46041.0</v>
      </c>
      <c r="D77" s="57" t="s">
        <v>74</v>
      </c>
      <c r="E77" s="3">
        <f t="array" ref="E77">XLOOKUP(D77,RUC!$B$3:$B$110,RUC!$D$3:$D$110)</f>
        <v>10082235774</v>
      </c>
      <c r="G77" s="141">
        <v>54.0</v>
      </c>
      <c r="H77" s="3" t="s">
        <v>47</v>
      </c>
      <c r="I77" s="6">
        <v>5.6</v>
      </c>
      <c r="J77" s="58">
        <v>1.8</v>
      </c>
      <c r="K77" s="6">
        <f t="shared" si="53"/>
        <v>5.499</v>
      </c>
      <c r="L77" s="139">
        <v>0.535</v>
      </c>
      <c r="M77" s="60">
        <f t="shared" si="68"/>
        <v>0.527</v>
      </c>
      <c r="N77" s="75">
        <v>0.561</v>
      </c>
      <c r="O77" s="60">
        <f t="shared" si="72"/>
        <v>0.544</v>
      </c>
      <c r="P77" s="63">
        <v>86.0</v>
      </c>
      <c r="Q77" s="58">
        <v>88.6</v>
      </c>
      <c r="R77" s="65">
        <v>4666.85</v>
      </c>
      <c r="S77" s="133">
        <v>120.0</v>
      </c>
      <c r="U77" s="67">
        <f t="array" ref="U77">XLOOKUP(D77,RUC!$B$3:$B$110,RUC!$F$3:$F$110)</f>
        <v>80</v>
      </c>
      <c r="V77" s="67">
        <v>1.1023</v>
      </c>
      <c r="Y77" s="57" t="str">
        <f t="array" ref="Y77">XLOOKUP(D77,RUC!$B$3:$B$110,RUC!$G$3:$G$110)</f>
        <v/>
      </c>
      <c r="Z77" s="69">
        <f t="array" ref="Z77">XLOOKUP(D77,RUC!$B$3:$B$110,RUC!$H$3:$H$110)</f>
        <v>10</v>
      </c>
      <c r="AA77" s="70">
        <f t="shared" si="56"/>
        <v>10</v>
      </c>
      <c r="AB77" s="71">
        <f t="shared" si="57"/>
        <v>2222.139692</v>
      </c>
      <c r="AC77" s="71">
        <f>+(S77-T77)*V77-'data 1'!$F$4</f>
        <v>52.276</v>
      </c>
      <c r="AD77" s="71">
        <f t="shared" si="58"/>
        <v>70.33013894</v>
      </c>
      <c r="AE77" s="71">
        <f t="shared" si="59"/>
        <v>-58.977</v>
      </c>
      <c r="AF77" s="71">
        <f t="shared" si="60"/>
        <v>-40.31721984</v>
      </c>
      <c r="AG77" s="72">
        <f t="shared" ref="AG77:AG84" si="78">AC77+AD77+AE77+AF77+70</f>
        <v>93.31191911</v>
      </c>
      <c r="AH77" s="193">
        <f t="shared" si="62"/>
        <v>89.368</v>
      </c>
      <c r="AI77" s="193">
        <f t="shared" si="63"/>
        <v>100.866</v>
      </c>
      <c r="AJ77" s="73">
        <f t="shared" si="64"/>
        <v>215.8713803</v>
      </c>
      <c r="AK77" s="73">
        <f t="shared" si="65"/>
        <v>88.20437762</v>
      </c>
      <c r="AM77" s="51">
        <f t="shared" si="66"/>
        <v>12219.54617</v>
      </c>
      <c r="AN77" s="51" t="str">
        <f t="array" ref="AN77">XLOOKUP(D77,RUC!$B$3:$B$565,RUC!$M$3:$M$565)</f>
        <v>Melchor Vera</v>
      </c>
      <c r="AO77" s="131" t="s">
        <v>547</v>
      </c>
      <c r="AP77" s="57" t="s">
        <v>3003</v>
      </c>
      <c r="AQ77" s="57" t="s">
        <v>898</v>
      </c>
    </row>
    <row r="78" ht="15.0" customHeight="1">
      <c r="A78" s="116" t="s">
        <v>3004</v>
      </c>
      <c r="B78" s="182">
        <v>46052.0</v>
      </c>
      <c r="C78" s="182">
        <v>46041.0</v>
      </c>
      <c r="D78" s="57" t="s">
        <v>74</v>
      </c>
      <c r="E78" s="3">
        <f t="array" ref="E78">XLOOKUP(D78,RUC!$B$3:$B$110,RUC!$D$3:$D$110)</f>
        <v>10082235774</v>
      </c>
      <c r="G78" s="141">
        <v>53.0</v>
      </c>
      <c r="H78" s="3" t="s">
        <v>47</v>
      </c>
      <c r="I78" s="6">
        <v>5.25</v>
      </c>
      <c r="J78" s="58">
        <v>3.4</v>
      </c>
      <c r="K78" s="6">
        <f t="shared" si="53"/>
        <v>5.072</v>
      </c>
      <c r="L78" s="139">
        <v>0.417</v>
      </c>
      <c r="M78" s="60">
        <f t="shared" si="68"/>
        <v>0.41</v>
      </c>
      <c r="N78" s="62">
        <f>+M78</f>
        <v>0.41</v>
      </c>
      <c r="O78" s="60">
        <f t="shared" si="72"/>
        <v>0.41</v>
      </c>
      <c r="P78" s="63">
        <v>90.0</v>
      </c>
      <c r="Q78" s="58">
        <v>95.68</v>
      </c>
      <c r="R78" s="65">
        <v>4666.85</v>
      </c>
      <c r="S78" s="133">
        <v>115.0</v>
      </c>
      <c r="U78" s="67">
        <f t="array" ref="U78">XLOOKUP(D78,RUC!$B$3:$B$110,RUC!$F$3:$F$110)</f>
        <v>80</v>
      </c>
      <c r="V78" s="67">
        <v>1.1023</v>
      </c>
      <c r="Y78" s="57" t="str">
        <f t="array" ref="Y78">XLOOKUP(D78,RUC!$B$3:$B$110,RUC!$G$3:$G$110)</f>
        <v/>
      </c>
      <c r="Z78" s="69">
        <f t="array" ref="Z78">XLOOKUP(D78,RUC!$B$3:$B$110,RUC!$H$3:$H$110)</f>
        <v>10</v>
      </c>
      <c r="AA78" s="70">
        <f t="shared" si="56"/>
        <v>10</v>
      </c>
      <c r="AB78" s="71">
        <f t="shared" si="57"/>
        <v>1727.907775</v>
      </c>
      <c r="AC78" s="71">
        <f>+(S78-T78)*V78-'data 1'!$F$4</f>
        <v>46.7645</v>
      </c>
      <c r="AD78" s="71">
        <f t="shared" si="58"/>
        <v>119.7564011</v>
      </c>
      <c r="AE78" s="71">
        <f t="shared" si="59"/>
        <v>-58.977</v>
      </c>
      <c r="AF78" s="71">
        <f t="shared" si="60"/>
        <v>33.86363326</v>
      </c>
      <c r="AG78" s="72">
        <f t="shared" si="78"/>
        <v>211.4075343</v>
      </c>
      <c r="AH78" s="193">
        <f t="shared" si="62"/>
        <v>69.382</v>
      </c>
      <c r="AI78" s="193">
        <f t="shared" si="63"/>
        <v>72.514</v>
      </c>
      <c r="AJ78" s="73">
        <f t="shared" si="64"/>
        <v>181.7041248</v>
      </c>
      <c r="AK78" s="73">
        <f t="shared" si="65"/>
        <v>64.16743514</v>
      </c>
      <c r="AM78" s="51">
        <f t="shared" si="66"/>
        <v>8763.948233</v>
      </c>
      <c r="AN78" s="51" t="str">
        <f t="array" ref="AN78">XLOOKUP(D78,RUC!$B$3:$B$565,RUC!$M$3:$M$565)</f>
        <v>Melchor Vera</v>
      </c>
      <c r="AO78" s="131" t="s">
        <v>547</v>
      </c>
      <c r="AP78" s="57" t="s">
        <v>3003</v>
      </c>
      <c r="AQ78" s="57" t="s">
        <v>898</v>
      </c>
    </row>
    <row r="79" ht="15.0" customHeight="1">
      <c r="A79" s="116" t="s">
        <v>3005</v>
      </c>
      <c r="B79" s="182">
        <v>46052.0</v>
      </c>
      <c r="C79" s="182">
        <v>46041.0</v>
      </c>
      <c r="D79" s="57" t="s">
        <v>74</v>
      </c>
      <c r="E79" s="3">
        <f t="array" ref="E79">XLOOKUP(D79,RUC!$B$3:$B$110,RUC!$D$3:$D$110)</f>
        <v>10082235774</v>
      </c>
      <c r="G79" s="141">
        <v>73.0</v>
      </c>
      <c r="H79" s="3" t="s">
        <v>47</v>
      </c>
      <c r="I79" s="6">
        <v>7.31</v>
      </c>
      <c r="J79" s="58">
        <v>2.7</v>
      </c>
      <c r="K79" s="6">
        <f t="shared" si="53"/>
        <v>7.113</v>
      </c>
      <c r="L79" s="139">
        <v>0.584</v>
      </c>
      <c r="M79" s="60">
        <f t="shared" si="68"/>
        <v>0.575</v>
      </c>
      <c r="N79" s="75">
        <v>0.608</v>
      </c>
      <c r="O79" s="60">
        <f t="shared" si="72"/>
        <v>0.592</v>
      </c>
      <c r="P79" s="63">
        <v>90.0</v>
      </c>
      <c r="Q79" s="58">
        <v>94.18</v>
      </c>
      <c r="R79" s="65">
        <v>4666.85</v>
      </c>
      <c r="S79" s="133">
        <v>120.0</v>
      </c>
      <c r="U79" s="67">
        <f t="array" ref="U79">XLOOKUP(D79,RUC!$B$3:$B$110,RUC!$F$3:$F$110)</f>
        <v>80</v>
      </c>
      <c r="V79" s="67">
        <v>1.1023</v>
      </c>
      <c r="Y79" s="57" t="str">
        <f t="array" ref="Y79">XLOOKUP(D79,RUC!$B$3:$B$110,RUC!$G$3:$G$110)</f>
        <v/>
      </c>
      <c r="Z79" s="69">
        <f t="array" ref="Z79">XLOOKUP(D79,RUC!$B$3:$B$110,RUC!$H$3:$H$110)</f>
        <v>10</v>
      </c>
      <c r="AA79" s="70">
        <f t="shared" si="56"/>
        <v>10</v>
      </c>
      <c r="AB79" s="71">
        <f t="shared" si="57"/>
        <v>2550.582957</v>
      </c>
      <c r="AC79" s="71">
        <f>+(S79-T79)*V79-'data 1'!$F$4</f>
        <v>52.276</v>
      </c>
      <c r="AD79" s="71">
        <f t="shared" si="58"/>
        <v>123.4250962</v>
      </c>
      <c r="AE79" s="71">
        <f t="shared" si="59"/>
        <v>-58.977</v>
      </c>
      <c r="AF79" s="71">
        <f t="shared" si="60"/>
        <v>-38.09456498</v>
      </c>
      <c r="AG79" s="72">
        <f t="shared" si="78"/>
        <v>148.6295312</v>
      </c>
      <c r="AH79" s="193">
        <f t="shared" si="62"/>
        <v>134.132</v>
      </c>
      <c r="AI79" s="193">
        <f t="shared" si="63"/>
        <v>142.421</v>
      </c>
      <c r="AJ79" s="73">
        <f t="shared" si="64"/>
        <v>250.4834854</v>
      </c>
      <c r="AK79" s="73">
        <f t="shared" si="65"/>
        <v>129.9349831</v>
      </c>
      <c r="AM79" s="51">
        <f t="shared" si="66"/>
        <v>18142.29658</v>
      </c>
      <c r="AN79" s="51" t="str">
        <f t="array" ref="AN79">XLOOKUP(D79,RUC!$B$3:$B$565,RUC!$M$3:$M$565)</f>
        <v>Melchor Vera</v>
      </c>
      <c r="AO79" s="131" t="s">
        <v>547</v>
      </c>
      <c r="AP79" s="57" t="s">
        <v>3003</v>
      </c>
      <c r="AQ79" s="57" t="s">
        <v>898</v>
      </c>
    </row>
    <row r="80" ht="15.0" customHeight="1">
      <c r="A80" s="116" t="s">
        <v>3006</v>
      </c>
      <c r="B80" s="182">
        <v>46052.0</v>
      </c>
      <c r="C80" s="182">
        <v>46041.0</v>
      </c>
      <c r="D80" s="57" t="s">
        <v>74</v>
      </c>
      <c r="E80" s="3">
        <f t="array" ref="E80">XLOOKUP(D80,RUC!$B$3:$B$110,RUC!$D$3:$D$110)</f>
        <v>10082235774</v>
      </c>
      <c r="G80" s="141">
        <v>55.0</v>
      </c>
      <c r="H80" s="3" t="s">
        <v>47</v>
      </c>
      <c r="I80" s="6">
        <v>5.04</v>
      </c>
      <c r="J80" s="58">
        <v>3.8</v>
      </c>
      <c r="K80" s="6">
        <f t="shared" si="53"/>
        <v>4.848</v>
      </c>
      <c r="L80" s="139">
        <v>0.16</v>
      </c>
      <c r="M80" s="60">
        <f t="shared" si="68"/>
        <v>0.153</v>
      </c>
      <c r="N80" s="62">
        <f t="shared" ref="N80:N82" si="79">+M80</f>
        <v>0.153</v>
      </c>
      <c r="O80" s="60">
        <f t="shared" si="72"/>
        <v>0.153</v>
      </c>
      <c r="P80" s="63">
        <v>85.0</v>
      </c>
      <c r="Q80" s="58">
        <v>96.25</v>
      </c>
      <c r="R80" s="65">
        <v>4666.85</v>
      </c>
      <c r="S80" s="133">
        <v>95.0</v>
      </c>
      <c r="U80" s="67">
        <f t="array" ref="U80">XLOOKUP(D80,RUC!$B$3:$B$110,RUC!$F$3:$F$110)</f>
        <v>80</v>
      </c>
      <c r="V80" s="67">
        <v>1.1023</v>
      </c>
      <c r="Y80" s="57" t="str">
        <f t="array" ref="Y80">XLOOKUP(D80,RUC!$B$3:$B$110,RUC!$G$3:$G$110)</f>
        <v/>
      </c>
      <c r="Z80" s="69">
        <f t="array" ref="Z80">XLOOKUP(D80,RUC!$B$3:$B$110,RUC!$H$3:$H$110)</f>
        <v>10</v>
      </c>
      <c r="AA80" s="70">
        <f t="shared" si="56"/>
        <v>10</v>
      </c>
      <c r="AB80" s="71">
        <f t="shared" si="57"/>
        <v>541.8023224</v>
      </c>
      <c r="AC80" s="71">
        <f>+(S80-T80)*V80-'data 1'!$F$4</f>
        <v>24.7185</v>
      </c>
      <c r="AD80" s="71">
        <f t="shared" si="58"/>
        <v>91.00952559</v>
      </c>
      <c r="AE80" s="71">
        <f t="shared" si="59"/>
        <v>-58.977</v>
      </c>
      <c r="AF80" s="71">
        <f t="shared" si="60"/>
        <v>34.06537104</v>
      </c>
      <c r="AG80" s="72">
        <f t="shared" si="78"/>
        <v>160.8163966</v>
      </c>
      <c r="AH80" s="193">
        <f t="shared" si="62"/>
        <v>25.597</v>
      </c>
      <c r="AI80" s="193">
        <f t="shared" si="63"/>
        <v>26.594</v>
      </c>
      <c r="AJ80" s="73">
        <f t="shared" si="64"/>
        <v>70.13394773</v>
      </c>
      <c r="AK80" s="73">
        <f t="shared" si="65"/>
        <v>21.61633374</v>
      </c>
      <c r="AM80" s="51">
        <f t="shared" si="66"/>
        <v>2626.657659</v>
      </c>
      <c r="AN80" s="51" t="str">
        <f t="array" ref="AN80">XLOOKUP(D80,RUC!$B$3:$B$565,RUC!$M$3:$M$565)</f>
        <v>Melchor Vera</v>
      </c>
      <c r="AO80" s="131" t="s">
        <v>547</v>
      </c>
      <c r="AP80" s="57" t="s">
        <v>3003</v>
      </c>
      <c r="AQ80" s="57" t="s">
        <v>898</v>
      </c>
    </row>
    <row r="81" ht="15.0" customHeight="1">
      <c r="A81" s="116" t="s">
        <v>3007</v>
      </c>
      <c r="B81" s="182">
        <v>46052.0</v>
      </c>
      <c r="C81" s="182">
        <v>46041.0</v>
      </c>
      <c r="D81" s="57" t="s">
        <v>74</v>
      </c>
      <c r="E81" s="3">
        <f t="array" ref="E81">XLOOKUP(D81,RUC!$B$3:$B$110,RUC!$D$3:$D$110)</f>
        <v>10082235774</v>
      </c>
      <c r="G81" s="141">
        <v>41.0</v>
      </c>
      <c r="H81" s="3" t="s">
        <v>47</v>
      </c>
      <c r="I81" s="6">
        <v>4.06</v>
      </c>
      <c r="J81" s="58">
        <v>6.0</v>
      </c>
      <c r="K81" s="6">
        <f t="shared" si="53"/>
        <v>3.816</v>
      </c>
      <c r="L81" s="139">
        <v>0.206</v>
      </c>
      <c r="M81" s="60">
        <f t="shared" si="68"/>
        <v>0.199</v>
      </c>
      <c r="N81" s="62">
        <f t="shared" si="79"/>
        <v>0.199</v>
      </c>
      <c r="O81" s="60">
        <f t="shared" si="72"/>
        <v>0.199</v>
      </c>
      <c r="P81" s="63">
        <v>85.0</v>
      </c>
      <c r="Q81" s="58">
        <v>97.09</v>
      </c>
      <c r="R81" s="65">
        <v>4666.85</v>
      </c>
      <c r="S81" s="133">
        <v>95.0</v>
      </c>
      <c r="U81" s="67">
        <f t="array" ref="U81">XLOOKUP(D81,RUC!$B$3:$B$110,RUC!$F$3:$F$110)</f>
        <v>80</v>
      </c>
      <c r="V81" s="67">
        <v>1.1023</v>
      </c>
      <c r="Y81" s="57" t="str">
        <f t="array" ref="Y81">XLOOKUP(D81,RUC!$B$3:$B$110,RUC!$G$3:$G$110)</f>
        <v/>
      </c>
      <c r="Z81" s="69">
        <f t="array" ref="Z81">XLOOKUP(D81,RUC!$B$3:$B$110,RUC!$H$3:$H$110)</f>
        <v>10</v>
      </c>
      <c r="AA81" s="70">
        <f t="shared" si="56"/>
        <v>10</v>
      </c>
      <c r="AB81" s="71">
        <f t="shared" si="57"/>
        <v>739.4952363</v>
      </c>
      <c r="AC81" s="71">
        <f>+(S81-T81)*V81-'data 1'!$F$4</f>
        <v>24.7185</v>
      </c>
      <c r="AD81" s="71">
        <f t="shared" si="58"/>
        <v>125.9238133</v>
      </c>
      <c r="AE81" s="71">
        <f t="shared" si="59"/>
        <v>-58.977</v>
      </c>
      <c r="AF81" s="71">
        <f t="shared" si="60"/>
        <v>34.36266882</v>
      </c>
      <c r="AG81" s="72">
        <f t="shared" si="78"/>
        <v>196.0279821</v>
      </c>
      <c r="AH81" s="193">
        <f t="shared" si="62"/>
        <v>26.167</v>
      </c>
      <c r="AI81" s="193">
        <f t="shared" si="63"/>
        <v>26.952</v>
      </c>
      <c r="AJ81" s="73">
        <f t="shared" si="64"/>
        <v>91.08550824</v>
      </c>
      <c r="AK81" s="73">
        <f t="shared" si="65"/>
        <v>22.13040885</v>
      </c>
      <c r="AM81" s="51">
        <f t="shared" si="66"/>
        <v>2821.913822</v>
      </c>
      <c r="AN81" s="51" t="str">
        <f t="array" ref="AN81">XLOOKUP(D81,RUC!$B$3:$B$565,RUC!$M$3:$M$565)</f>
        <v>Melchor Vera</v>
      </c>
      <c r="AO81" s="131" t="s">
        <v>551</v>
      </c>
      <c r="AP81" s="57" t="s">
        <v>3003</v>
      </c>
      <c r="AQ81" s="57" t="s">
        <v>898</v>
      </c>
    </row>
    <row r="82" ht="15.0" customHeight="1">
      <c r="A82" s="116" t="s">
        <v>3008</v>
      </c>
      <c r="B82" s="182">
        <v>46052.0</v>
      </c>
      <c r="C82" s="182">
        <v>46041.0</v>
      </c>
      <c r="D82" s="57" t="s">
        <v>74</v>
      </c>
      <c r="E82" s="3">
        <f t="array" ref="E82">XLOOKUP(D82,RUC!$B$3:$B$110,RUC!$D$3:$D$110)</f>
        <v>10082235774</v>
      </c>
      <c r="G82" s="141">
        <v>34.0</v>
      </c>
      <c r="H82" s="3" t="s">
        <v>47</v>
      </c>
      <c r="I82" s="6">
        <v>3.27</v>
      </c>
      <c r="J82" s="58">
        <v>3.35</v>
      </c>
      <c r="K82" s="6">
        <f t="shared" si="53"/>
        <v>3.16</v>
      </c>
      <c r="L82" s="139">
        <v>0.289</v>
      </c>
      <c r="M82" s="60">
        <f t="shared" si="68"/>
        <v>0.282</v>
      </c>
      <c r="N82" s="62">
        <f t="shared" si="79"/>
        <v>0.282</v>
      </c>
      <c r="O82" s="60">
        <f t="shared" si="72"/>
        <v>0.282</v>
      </c>
      <c r="P82" s="63">
        <v>90.0</v>
      </c>
      <c r="Q82" s="58">
        <v>93.08</v>
      </c>
      <c r="R82" s="65">
        <v>4666.85</v>
      </c>
      <c r="S82" s="133">
        <v>105.0</v>
      </c>
      <c r="U82" s="67">
        <f t="array" ref="U82">XLOOKUP(D82,RUC!$B$3:$B$110,RUC!$F$3:$F$110)</f>
        <v>80</v>
      </c>
      <c r="V82" s="67">
        <v>1.1023</v>
      </c>
      <c r="Y82" s="57" t="str">
        <f t="array" ref="Y82">XLOOKUP(D82,RUC!$B$3:$B$110,RUC!$G$3:$G$110)</f>
        <v/>
      </c>
      <c r="Z82" s="69">
        <f t="array" ref="Z82">XLOOKUP(D82,RUC!$B$3:$B$110,RUC!$H$3:$H$110)</f>
        <v>10</v>
      </c>
      <c r="AA82" s="70">
        <f t="shared" si="56"/>
        <v>10</v>
      </c>
      <c r="AB82" s="71">
        <f t="shared" si="57"/>
        <v>1156.469811</v>
      </c>
      <c r="AC82" s="71">
        <f>+(S82-T82)*V82-'data 1'!$F$4</f>
        <v>35.7415</v>
      </c>
      <c r="AD82" s="71">
        <f t="shared" si="58"/>
        <v>45.00522162</v>
      </c>
      <c r="AE82" s="71">
        <f t="shared" si="59"/>
        <v>-58.977</v>
      </c>
      <c r="AF82" s="71">
        <f t="shared" si="60"/>
        <v>32.94342583</v>
      </c>
      <c r="AG82" s="72">
        <f t="shared" si="78"/>
        <v>124.7131475</v>
      </c>
      <c r="AH82" s="193">
        <f t="shared" si="62"/>
        <v>29.144</v>
      </c>
      <c r="AI82" s="193">
        <f t="shared" si="63"/>
        <v>31.311</v>
      </c>
      <c r="AJ82" s="73">
        <f t="shared" si="64"/>
        <v>122.5072474</v>
      </c>
      <c r="AK82" s="73">
        <f t="shared" si="65"/>
        <v>27.4971555</v>
      </c>
      <c r="AM82" s="51">
        <f t="shared" si="66"/>
        <v>3654.444602</v>
      </c>
      <c r="AN82" s="51" t="str">
        <f t="array" ref="AN82">XLOOKUP(D82,RUC!$B$3:$B$565,RUC!$M$3:$M$565)</f>
        <v>Melchor Vera</v>
      </c>
      <c r="AO82" s="131" t="s">
        <v>551</v>
      </c>
      <c r="AP82" s="57" t="s">
        <v>3003</v>
      </c>
      <c r="AQ82" s="57" t="s">
        <v>898</v>
      </c>
    </row>
    <row r="83" ht="15.0" customHeight="1">
      <c r="A83" s="116" t="s">
        <v>3009</v>
      </c>
      <c r="B83" s="182">
        <v>46052.0</v>
      </c>
      <c r="C83" s="182">
        <v>46041.0</v>
      </c>
      <c r="D83" s="57" t="s">
        <v>74</v>
      </c>
      <c r="E83" s="3">
        <f t="array" ref="E83">XLOOKUP(D83,RUC!$B$3:$B$110,RUC!$D$3:$D$110)</f>
        <v>10082235774</v>
      </c>
      <c r="G83" s="141">
        <v>63.0</v>
      </c>
      <c r="H83" s="3" t="s">
        <v>47</v>
      </c>
      <c r="I83" s="6">
        <v>5.58</v>
      </c>
      <c r="J83" s="58">
        <v>1.75</v>
      </c>
      <c r="K83" s="6">
        <f t="shared" si="53"/>
        <v>5.482</v>
      </c>
      <c r="L83" s="139">
        <v>0.25</v>
      </c>
      <c r="M83" s="60">
        <f t="shared" si="68"/>
        <v>0.243</v>
      </c>
      <c r="N83" s="75">
        <v>0.285</v>
      </c>
      <c r="O83" s="60">
        <f t="shared" si="72"/>
        <v>0.264</v>
      </c>
      <c r="P83" s="63">
        <v>90.0</v>
      </c>
      <c r="Q83" s="58">
        <v>91.2</v>
      </c>
      <c r="R83" s="65">
        <v>4666.85</v>
      </c>
      <c r="S83" s="133">
        <v>105.0</v>
      </c>
      <c r="U83" s="67">
        <f t="array" ref="U83">XLOOKUP(D83,RUC!$B$3:$B$110,RUC!$F$3:$F$110)</f>
        <v>80</v>
      </c>
      <c r="V83" s="67">
        <v>1.1023</v>
      </c>
      <c r="Y83" s="57" t="str">
        <f t="array" ref="Y83">XLOOKUP(D83,RUC!$B$3:$B$110,RUC!$G$3:$G$110)</f>
        <v/>
      </c>
      <c r="Z83" s="69">
        <f t="array" ref="Z83">XLOOKUP(D83,RUC!$B$3:$B$110,RUC!$H$3:$H$110)</f>
        <v>10</v>
      </c>
      <c r="AA83" s="70">
        <f t="shared" si="56"/>
        <v>10</v>
      </c>
      <c r="AB83" s="71">
        <f t="shared" si="57"/>
        <v>1074.561238</v>
      </c>
      <c r="AC83" s="71">
        <f>+(S83-T83)*V83-'data 1'!$F$4</f>
        <v>35.7415</v>
      </c>
      <c r="AD83" s="71">
        <f t="shared" si="58"/>
        <v>15.16825427</v>
      </c>
      <c r="AE83" s="71">
        <f t="shared" si="59"/>
        <v>-58.977</v>
      </c>
      <c r="AF83" s="71">
        <f t="shared" si="60"/>
        <v>-64.55609015</v>
      </c>
      <c r="AG83" s="72">
        <f t="shared" si="78"/>
        <v>-2.623335887</v>
      </c>
      <c r="AH83" s="193">
        <f t="shared" si="62"/>
        <v>42.853</v>
      </c>
      <c r="AI83" s="193">
        <f t="shared" si="63"/>
        <v>46.988</v>
      </c>
      <c r="AJ83" s="73">
        <f t="shared" si="64"/>
        <v>103.8346759</v>
      </c>
      <c r="AK83" s="73">
        <f t="shared" si="65"/>
        <v>44.65751336</v>
      </c>
      <c r="AM83" s="51">
        <f t="shared" si="66"/>
        <v>5890.744706</v>
      </c>
      <c r="AN83" s="51" t="str">
        <f t="array" ref="AN83">XLOOKUP(D83,RUC!$B$3:$B$565,RUC!$M$3:$M$565)</f>
        <v>Melchor Vera</v>
      </c>
      <c r="AO83" s="131" t="s">
        <v>558</v>
      </c>
      <c r="AP83" s="57" t="s">
        <v>3003</v>
      </c>
      <c r="AQ83" s="57" t="s">
        <v>898</v>
      </c>
    </row>
    <row r="84" ht="15.0" customHeight="1">
      <c r="A84" s="116" t="s">
        <v>3010</v>
      </c>
      <c r="B84" s="182">
        <v>46052.0</v>
      </c>
      <c r="C84" s="182">
        <v>46041.0</v>
      </c>
      <c r="D84" s="57" t="s">
        <v>74</v>
      </c>
      <c r="E84" s="3">
        <f t="array" ref="E84">XLOOKUP(D84,RUC!$B$3:$B$110,RUC!$D$3:$D$110)</f>
        <v>10082235774</v>
      </c>
      <c r="G84" s="141">
        <v>27.0</v>
      </c>
      <c r="H84" s="3" t="s">
        <v>47</v>
      </c>
      <c r="I84" s="6">
        <v>2.48</v>
      </c>
      <c r="J84" s="58">
        <v>2.95</v>
      </c>
      <c r="K84" s="6">
        <f t="shared" si="53"/>
        <v>2.407</v>
      </c>
      <c r="L84" s="139">
        <v>0.456</v>
      </c>
      <c r="M84" s="60">
        <f t="shared" si="68"/>
        <v>0.449</v>
      </c>
      <c r="N84" s="75">
        <v>0.472</v>
      </c>
      <c r="O84" s="60">
        <f t="shared" si="72"/>
        <v>0.461</v>
      </c>
      <c r="P84" s="63">
        <v>89.0</v>
      </c>
      <c r="Q84" s="472">
        <v>89.04</v>
      </c>
      <c r="R84" s="65">
        <v>4666.85</v>
      </c>
      <c r="S84" s="133">
        <v>115.0</v>
      </c>
      <c r="U84" s="67">
        <f t="array" ref="U84">XLOOKUP(D84,RUC!$B$3:$B$110,RUC!$F$3:$F$110)</f>
        <v>80</v>
      </c>
      <c r="V84" s="67">
        <v>1.1023</v>
      </c>
      <c r="Y84" s="57" t="str">
        <f t="array" ref="Y84">XLOOKUP(D84,RUC!$B$3:$B$110,RUC!$G$3:$G$110)</f>
        <v/>
      </c>
      <c r="Z84" s="69">
        <f t="array" ref="Z84">XLOOKUP(D84,RUC!$B$3:$B$110,RUC!$H$3:$H$110)</f>
        <v>10</v>
      </c>
      <c r="AA84" s="70">
        <f t="shared" si="56"/>
        <v>10</v>
      </c>
      <c r="AB84" s="71">
        <f t="shared" si="57"/>
        <v>1936.673514</v>
      </c>
      <c r="AC84" s="71">
        <f>+(S84-T84)*V84-'data 1'!$F$4</f>
        <v>46.7645</v>
      </c>
      <c r="AD84" s="71">
        <f t="shared" si="58"/>
        <v>0.9222298593</v>
      </c>
      <c r="AE84" s="71">
        <f t="shared" si="59"/>
        <v>-58.977</v>
      </c>
      <c r="AF84" s="71">
        <f t="shared" si="60"/>
        <v>-22.50968933</v>
      </c>
      <c r="AG84" s="72">
        <f t="shared" si="78"/>
        <v>36.20004053</v>
      </c>
      <c r="AH84" s="193">
        <f t="shared" si="62"/>
        <v>33.507</v>
      </c>
      <c r="AI84" s="193">
        <f t="shared" si="63"/>
        <v>37.631</v>
      </c>
      <c r="AJ84" s="73">
        <f t="shared" si="64"/>
        <v>184.9087908</v>
      </c>
      <c r="AK84" s="73">
        <f t="shared" si="65"/>
        <v>33.85915313</v>
      </c>
      <c r="AM84" s="51">
        <f t="shared" si="66"/>
        <v>4661.573149</v>
      </c>
      <c r="AN84" s="51" t="str">
        <f t="array" ref="AN84">XLOOKUP(D84,RUC!$B$3:$B$565,RUC!$M$3:$M$565)</f>
        <v>Melchor Vera</v>
      </c>
      <c r="AO84" s="131" t="s">
        <v>558</v>
      </c>
      <c r="AP84" s="57" t="s">
        <v>3003</v>
      </c>
      <c r="AQ84" s="57" t="s">
        <v>898</v>
      </c>
    </row>
    <row r="85" ht="15.0" customHeight="1">
      <c r="A85" s="116" t="s">
        <v>3011</v>
      </c>
      <c r="B85" s="182">
        <v>46050.0</v>
      </c>
      <c r="C85" s="182">
        <v>46041.0</v>
      </c>
      <c r="D85" s="2" t="s">
        <v>2222</v>
      </c>
      <c r="E85" s="3" t="str">
        <f t="array" ref="E85">XLOOKUP(D85,RUC!$B$3:$B$110,RUC!$D$3:$D$110)</f>
        <v>20601769396*</v>
      </c>
      <c r="G85" s="141">
        <v>55.0</v>
      </c>
      <c r="H85" s="3" t="s">
        <v>40</v>
      </c>
      <c r="I85" s="6">
        <v>4.19</v>
      </c>
      <c r="J85" s="58">
        <v>21.1</v>
      </c>
      <c r="K85" s="6">
        <f t="shared" si="53"/>
        <v>3.306</v>
      </c>
      <c r="L85" s="139">
        <v>0.229</v>
      </c>
      <c r="M85" s="60">
        <f t="shared" si="68"/>
        <v>0.21</v>
      </c>
      <c r="N85" s="114">
        <f t="shared" ref="N85:N90" si="80">+M85</f>
        <v>0.21</v>
      </c>
      <c r="O85" s="60">
        <f t="shared" si="72"/>
        <v>0.21</v>
      </c>
      <c r="P85" s="63">
        <v>85.0</v>
      </c>
      <c r="Q85" s="58">
        <v>86.46</v>
      </c>
      <c r="R85" s="65">
        <v>4666.85</v>
      </c>
      <c r="S85" s="66">
        <f t="array" ref="S85">IF((XLOOKUP(D85,RUC!$B$3:$B$106,RUC!$E$3:$E$106)+ROUNDDOWN(O85,1)*100)&lt;95,95,((XLOOKUP(D85,RUC!$B$3:$B$106,RUC!$E$3:$E$106)+ROUNDDOWN(O85,1)*100)))</f>
        <v>110</v>
      </c>
      <c r="U85" s="67">
        <f t="array" ref="U85">XLOOKUP(D85,RUC!$B$3:$B$110,RUC!$F$3:$F$110)</f>
        <v>120</v>
      </c>
      <c r="V85" s="67">
        <v>1.1023</v>
      </c>
      <c r="Y85" s="199">
        <v>30.0</v>
      </c>
      <c r="Z85" s="140">
        <v>40.0</v>
      </c>
      <c r="AA85" s="70">
        <f t="shared" si="56"/>
        <v>70</v>
      </c>
      <c r="AB85" s="71">
        <f t="shared" si="57"/>
        <v>696.2267068</v>
      </c>
      <c r="AC85" s="71">
        <f>+(S85-T85)*V85-'data 1'!$F$4</f>
        <v>41.253</v>
      </c>
      <c r="AD85" s="71">
        <f t="shared" si="58"/>
        <v>16.75709658</v>
      </c>
      <c r="AE85" s="71">
        <f t="shared" si="59"/>
        <v>7.161</v>
      </c>
      <c r="AF85" s="71">
        <f t="shared" si="60"/>
        <v>82.33400978</v>
      </c>
      <c r="AG85" s="72">
        <f t="shared" ref="AG85:AG119" si="81">AC85+AD85+AE85+AF85+70-53</f>
        <v>164.5051064</v>
      </c>
      <c r="AH85" s="193">
        <f t="shared" si="62"/>
        <v>22.442</v>
      </c>
      <c r="AI85" s="193">
        <f t="shared" si="63"/>
        <v>25.957</v>
      </c>
      <c r="AJ85" s="73">
        <f t="shared" si="64"/>
        <v>98.89913776</v>
      </c>
      <c r="AK85" s="73">
        <f t="shared" si="65"/>
        <v>20.23252748</v>
      </c>
      <c r="AM85" s="51">
        <f t="shared" si="66"/>
        <v>2301.725493</v>
      </c>
      <c r="AN85" s="51" t="str">
        <f t="array" ref="AN85">XLOOKUP(D85,RUC!$B$3:$B$565,RUC!$M$3:$M$565)</f>
        <v>Zudaire</v>
      </c>
      <c r="AO85" s="131" t="s">
        <v>551</v>
      </c>
      <c r="AP85" s="57" t="s">
        <v>3012</v>
      </c>
      <c r="AQ85" s="57" t="s">
        <v>878</v>
      </c>
    </row>
    <row r="86" ht="15.0" customHeight="1">
      <c r="A86" s="116" t="s">
        <v>3013</v>
      </c>
      <c r="B86" s="182">
        <v>46050.0</v>
      </c>
      <c r="C86" s="182">
        <v>46041.0</v>
      </c>
      <c r="D86" s="2" t="s">
        <v>2222</v>
      </c>
      <c r="E86" s="3" t="str">
        <f t="array" ref="E86">XLOOKUP(D86,RUC!$B$3:$B$110,RUC!$D$3:$D$110)</f>
        <v>20601769396*</v>
      </c>
      <c r="G86" s="141">
        <v>55.0</v>
      </c>
      <c r="H86" s="3" t="s">
        <v>40</v>
      </c>
      <c r="I86" s="6">
        <v>4.08</v>
      </c>
      <c r="J86" s="58">
        <v>22.12</v>
      </c>
      <c r="K86" s="6">
        <f t="shared" si="53"/>
        <v>3.178</v>
      </c>
      <c r="L86" s="139">
        <v>0.232</v>
      </c>
      <c r="M86" s="60">
        <f t="shared" si="68"/>
        <v>0.213</v>
      </c>
      <c r="N86" s="114">
        <f t="shared" si="80"/>
        <v>0.213</v>
      </c>
      <c r="O86" s="60">
        <f t="shared" si="72"/>
        <v>0.213</v>
      </c>
      <c r="P86" s="63">
        <v>90.0</v>
      </c>
      <c r="Q86" s="58">
        <v>95.69</v>
      </c>
      <c r="R86" s="65">
        <v>4666.85</v>
      </c>
      <c r="S86" s="66">
        <f t="array" ref="S86">IF((XLOOKUP(D86,RUC!$B$3:$B$106,RUC!$E$3:$E$106)+ROUNDDOWN(O86,1)*100)&lt;95,95,((XLOOKUP(D86,RUC!$B$3:$B$106,RUC!$E$3:$E$106)+ROUNDDOWN(O86,1)*100)))</f>
        <v>110</v>
      </c>
      <c r="U86" s="67">
        <f t="array" ref="U86">XLOOKUP(D86,RUC!$B$3:$B$110,RUC!$F$3:$F$110)</f>
        <v>120</v>
      </c>
      <c r="V86" s="67">
        <v>1.1023</v>
      </c>
      <c r="Y86" s="199">
        <v>30.0</v>
      </c>
      <c r="Z86" s="140">
        <v>40.0</v>
      </c>
      <c r="AA86" s="70">
        <f t="shared" si="56"/>
        <v>70</v>
      </c>
      <c r="AB86" s="71">
        <f t="shared" si="57"/>
        <v>762.3850111</v>
      </c>
      <c r="AC86" s="71">
        <f>+(S86-T86)*V86-'data 1'!$F$4</f>
        <v>41.253</v>
      </c>
      <c r="AD86" s="71">
        <f t="shared" si="58"/>
        <v>66.16231396</v>
      </c>
      <c r="AE86" s="71">
        <f t="shared" si="59"/>
        <v>7.161</v>
      </c>
      <c r="AF86" s="71">
        <f t="shared" si="60"/>
        <v>91.12354148</v>
      </c>
      <c r="AG86" s="72">
        <f t="shared" si="81"/>
        <v>222.6998554</v>
      </c>
      <c r="AH86" s="193">
        <f t="shared" si="62"/>
        <v>24.189</v>
      </c>
      <c r="AI86" s="193">
        <f t="shared" si="63"/>
        <v>25.278</v>
      </c>
      <c r="AJ86" s="73">
        <f t="shared" si="64"/>
        <v>110.891008</v>
      </c>
      <c r="AK86" s="73">
        <f t="shared" si="65"/>
        <v>20.88743325</v>
      </c>
      <c r="AM86" s="51">
        <f t="shared" si="66"/>
        <v>2422.859565</v>
      </c>
      <c r="AN86" s="51" t="str">
        <f t="array" ref="AN86">XLOOKUP(D86,RUC!$B$3:$B$565,RUC!$M$3:$M$565)</f>
        <v>Zudaire</v>
      </c>
      <c r="AO86" s="131" t="s">
        <v>547</v>
      </c>
      <c r="AP86" s="57" t="s">
        <v>3012</v>
      </c>
      <c r="AQ86" s="57" t="s">
        <v>878</v>
      </c>
    </row>
    <row r="87" ht="15.0" customHeight="1">
      <c r="A87" s="116" t="s">
        <v>3014</v>
      </c>
      <c r="B87" s="182">
        <v>46050.0</v>
      </c>
      <c r="C87" s="182">
        <v>46041.0</v>
      </c>
      <c r="D87" s="2" t="s">
        <v>2222</v>
      </c>
      <c r="E87" s="3" t="str">
        <f t="array" ref="E87">XLOOKUP(D87,RUC!$B$3:$B$110,RUC!$D$3:$D$110)</f>
        <v>20601769396*</v>
      </c>
      <c r="G87" s="141">
        <v>55.0</v>
      </c>
      <c r="H87" s="3" t="s">
        <v>40</v>
      </c>
      <c r="I87" s="6">
        <v>4.01</v>
      </c>
      <c r="J87" s="58">
        <v>22.18</v>
      </c>
      <c r="K87" s="6">
        <f t="shared" si="53"/>
        <v>3.121</v>
      </c>
      <c r="L87" s="139">
        <v>0.209</v>
      </c>
      <c r="M87" s="60">
        <f t="shared" si="68"/>
        <v>0.19</v>
      </c>
      <c r="N87" s="114">
        <f t="shared" si="80"/>
        <v>0.19</v>
      </c>
      <c r="O87" s="60">
        <f t="shared" si="72"/>
        <v>0.19</v>
      </c>
      <c r="P87" s="63">
        <v>85.0</v>
      </c>
      <c r="Q87" s="58">
        <v>92.34</v>
      </c>
      <c r="R87" s="65">
        <v>4666.85</v>
      </c>
      <c r="S87" s="66">
        <f t="array" ref="S87">IF((XLOOKUP(D87,RUC!$B$3:$B$106,RUC!$E$3:$E$106)+ROUNDDOWN(O87,1)*100)&lt;95,95,((XLOOKUP(D87,RUC!$B$3:$B$106,RUC!$E$3:$E$106)+ROUNDDOWN(O87,1)*100)))</f>
        <v>100</v>
      </c>
      <c r="U87" s="67">
        <f t="array" ref="U87">XLOOKUP(D87,RUC!$B$3:$B$110,RUC!$F$3:$F$110)</f>
        <v>120</v>
      </c>
      <c r="V87" s="67">
        <v>1.1023</v>
      </c>
      <c r="Y87" s="199">
        <v>30.0</v>
      </c>
      <c r="Z87" s="140">
        <v>40.0</v>
      </c>
      <c r="AA87" s="70">
        <f t="shared" si="56"/>
        <v>70</v>
      </c>
      <c r="AB87" s="71">
        <f t="shared" si="57"/>
        <v>622.0458299</v>
      </c>
      <c r="AC87" s="71">
        <f>+(S87-T87)*V87-'data 1'!$F$4</f>
        <v>30.23</v>
      </c>
      <c r="AD87" s="71">
        <f t="shared" si="58"/>
        <v>76.88697606</v>
      </c>
      <c r="AE87" s="71">
        <f t="shared" si="59"/>
        <v>7.161</v>
      </c>
      <c r="AF87" s="71">
        <f t="shared" si="60"/>
        <v>87.93340809</v>
      </c>
      <c r="AG87" s="72">
        <f t="shared" si="81"/>
        <v>219.2113841</v>
      </c>
      <c r="AH87" s="193">
        <f t="shared" si="62"/>
        <v>20.651</v>
      </c>
      <c r="AI87" s="193">
        <f t="shared" si="63"/>
        <v>22.364</v>
      </c>
      <c r="AJ87" s="73">
        <f t="shared" si="64"/>
        <v>96.40020292</v>
      </c>
      <c r="AK87" s="73">
        <f t="shared" si="65"/>
        <v>17.28125842</v>
      </c>
      <c r="AM87" s="51">
        <f t="shared" si="66"/>
        <v>1941.405035</v>
      </c>
      <c r="AN87" s="51" t="str">
        <f t="array" ref="AN87">XLOOKUP(D87,RUC!$B$3:$B$565,RUC!$M$3:$M$565)</f>
        <v>Zudaire</v>
      </c>
      <c r="AO87" s="131" t="s">
        <v>547</v>
      </c>
      <c r="AP87" s="57" t="s">
        <v>3012</v>
      </c>
      <c r="AQ87" s="57" t="s">
        <v>878</v>
      </c>
    </row>
    <row r="88" ht="15.0" customHeight="1">
      <c r="A88" s="116" t="s">
        <v>3015</v>
      </c>
      <c r="B88" s="182">
        <v>46049.0</v>
      </c>
      <c r="C88" s="182">
        <v>46041.0</v>
      </c>
      <c r="D88" s="2" t="s">
        <v>806</v>
      </c>
      <c r="E88" s="3">
        <f t="array" ref="E88">XLOOKUP(D88,RUC!$B$3:$B$110,RUC!$D$3:$D$110)</f>
        <v>20614284740</v>
      </c>
      <c r="G88" s="3" t="s">
        <v>735</v>
      </c>
      <c r="H88" s="3" t="s">
        <v>40</v>
      </c>
      <c r="I88" s="6">
        <v>12.96</v>
      </c>
      <c r="J88" s="58">
        <v>17.67</v>
      </c>
      <c r="K88" s="6">
        <f t="shared" si="53"/>
        <v>10.67</v>
      </c>
      <c r="L88" s="139">
        <v>0.274</v>
      </c>
      <c r="M88" s="60">
        <f t="shared" si="68"/>
        <v>0.255</v>
      </c>
      <c r="N88" s="62">
        <f t="shared" si="80"/>
        <v>0.255</v>
      </c>
      <c r="O88" s="60">
        <f t="shared" si="72"/>
        <v>0.255</v>
      </c>
      <c r="P88" s="63">
        <v>90.0</v>
      </c>
      <c r="Q88" s="58">
        <v>91.61</v>
      </c>
      <c r="R88" s="65">
        <v>4666.85</v>
      </c>
      <c r="S88" s="66">
        <f t="array" ref="S88">IF((XLOOKUP(D88,RUC!$B$3:$B$106,RUC!$E$3:$E$106)+ROUNDDOWN(O88,1)*100)&lt;95,95,((XLOOKUP(D88,RUC!$B$3:$B$106,RUC!$E$3:$E$106)+ROUNDDOWN(O88,1)*100)))</f>
        <v>110</v>
      </c>
      <c r="U88" s="67">
        <f t="array" ref="U88">XLOOKUP(D88,RUC!$B$3:$B$110,RUC!$F$3:$F$110)</f>
        <v>120</v>
      </c>
      <c r="V88" s="67">
        <v>1.1023</v>
      </c>
      <c r="Y88" s="57">
        <v>40.0</v>
      </c>
      <c r="Z88" s="69">
        <f t="array" ref="Z88">XLOOKUP(D88,RUC!$B$3:$B$110,RUC!$H$3:$H$110)</f>
        <v>30</v>
      </c>
      <c r="AA88" s="70">
        <f t="shared" si="56"/>
        <v>70</v>
      </c>
      <c r="AB88" s="71">
        <f t="shared" si="57"/>
        <v>951.8383373</v>
      </c>
      <c r="AC88" s="71">
        <f>+(S88-T88)*V88-'data 1'!$F$4</f>
        <v>41.253</v>
      </c>
      <c r="AD88" s="71">
        <f t="shared" si="58"/>
        <v>22.10990484</v>
      </c>
      <c r="AE88" s="71">
        <f t="shared" si="59"/>
        <v>7.161</v>
      </c>
      <c r="AF88" s="71">
        <f t="shared" si="60"/>
        <v>87.23824469</v>
      </c>
      <c r="AG88" s="72">
        <f t="shared" si="81"/>
        <v>174.7621495</v>
      </c>
      <c r="AH88" s="193">
        <f t="shared" si="62"/>
        <v>91.826</v>
      </c>
      <c r="AI88" s="193">
        <f t="shared" si="63"/>
        <v>100.236</v>
      </c>
      <c r="AJ88" s="73">
        <f t="shared" si="64"/>
        <v>125.3820129</v>
      </c>
      <c r="AK88" s="73">
        <f t="shared" si="65"/>
        <v>83.95685827</v>
      </c>
      <c r="AM88" s="51">
        <f t="shared" si="66"/>
        <v>10156.11506</v>
      </c>
      <c r="AN88" s="51" t="str">
        <f t="array" ref="AN88">XLOOKUP(D88,RUC!$B$3:$B$565,RUC!$M$3:$M$565)</f>
        <v>Dante </v>
      </c>
      <c r="AO88" s="131" t="s">
        <v>547</v>
      </c>
      <c r="AP88" s="57" t="s">
        <v>3016</v>
      </c>
      <c r="AQ88" s="57" t="s">
        <v>3017</v>
      </c>
    </row>
    <row r="89" ht="15.0" customHeight="1">
      <c r="A89" s="116" t="s">
        <v>3018</v>
      </c>
      <c r="B89" s="182">
        <v>46050.0</v>
      </c>
      <c r="C89" s="182">
        <v>46041.0</v>
      </c>
      <c r="D89" s="2" t="s">
        <v>2222</v>
      </c>
      <c r="E89" s="3" t="str">
        <f t="array" ref="E89">XLOOKUP(D89,RUC!$B$3:$B$110,RUC!$D$3:$D$110)</f>
        <v>20601769396*</v>
      </c>
      <c r="G89" s="3">
        <v>55.0</v>
      </c>
      <c r="H89" s="3" t="s">
        <v>40</v>
      </c>
      <c r="I89" s="6">
        <v>4.1</v>
      </c>
      <c r="J89" s="58">
        <v>21.98</v>
      </c>
      <c r="K89" s="6">
        <f t="shared" si="53"/>
        <v>3.199</v>
      </c>
      <c r="L89" s="139">
        <v>0.222</v>
      </c>
      <c r="M89" s="60">
        <f t="shared" si="68"/>
        <v>0.203</v>
      </c>
      <c r="N89" s="114">
        <f t="shared" si="80"/>
        <v>0.203</v>
      </c>
      <c r="O89" s="60">
        <f t="shared" si="72"/>
        <v>0.203</v>
      </c>
      <c r="P89" s="63">
        <v>90.0</v>
      </c>
      <c r="Q89" s="58">
        <v>93.24</v>
      </c>
      <c r="R89" s="65">
        <v>4666.85</v>
      </c>
      <c r="S89" s="66">
        <f t="array" ref="S89">IF((XLOOKUP(D89,RUC!$B$3:$B$106,RUC!$E$3:$E$106)+ROUNDDOWN(O89,1)*100)&lt;95,95,((XLOOKUP(D89,RUC!$B$3:$B$106,RUC!$E$3:$E$106)+ROUNDDOWN(O89,1)*100)))</f>
        <v>110</v>
      </c>
      <c r="U89" s="67">
        <f t="array" ref="U89">XLOOKUP(D89,RUC!$B$3:$B$110,RUC!$F$3:$F$110)</f>
        <v>120</v>
      </c>
      <c r="V89" s="67">
        <v>1.1023</v>
      </c>
      <c r="Y89" s="199">
        <v>30.0</v>
      </c>
      <c r="Z89" s="140">
        <v>40.0</v>
      </c>
      <c r="AA89" s="70">
        <f t="shared" si="56"/>
        <v>70</v>
      </c>
      <c r="AB89" s="71">
        <f t="shared" si="57"/>
        <v>717.2770763</v>
      </c>
      <c r="AC89" s="71">
        <f>+(S89-T89)*V89-'data 1'!$F$4</f>
        <v>41.253</v>
      </c>
      <c r="AD89" s="71">
        <f t="shared" si="58"/>
        <v>36.05026149</v>
      </c>
      <c r="AE89" s="71">
        <f t="shared" si="59"/>
        <v>7.161</v>
      </c>
      <c r="AF89" s="71">
        <f t="shared" si="60"/>
        <v>88.79045885</v>
      </c>
      <c r="AG89" s="72">
        <f t="shared" si="81"/>
        <v>190.2547203</v>
      </c>
      <c r="AH89" s="193">
        <f t="shared" si="62"/>
        <v>22.703</v>
      </c>
      <c r="AI89" s="193">
        <f t="shared" si="63"/>
        <v>24.349</v>
      </c>
      <c r="AJ89" s="73">
        <f t="shared" si="64"/>
        <v>103.3944033</v>
      </c>
      <c r="AK89" s="73">
        <f t="shared" si="65"/>
        <v>20.03834533</v>
      </c>
      <c r="AM89" s="51">
        <f t="shared" si="66"/>
        <v>2294.569367</v>
      </c>
      <c r="AN89" s="51" t="str">
        <f t="array" ref="AN89">XLOOKUP(D89,RUC!$B$3:$B$565,RUC!$M$3:$M$565)</f>
        <v>Zudaire</v>
      </c>
      <c r="AO89" s="131" t="s">
        <v>547</v>
      </c>
      <c r="AP89" s="57" t="s">
        <v>3012</v>
      </c>
      <c r="AQ89" s="57" t="s">
        <v>878</v>
      </c>
    </row>
    <row r="90" ht="15.0" customHeight="1">
      <c r="A90" s="116" t="s">
        <v>3019</v>
      </c>
      <c r="B90" s="182">
        <v>46050.0</v>
      </c>
      <c r="C90" s="182">
        <v>46041.0</v>
      </c>
      <c r="D90" s="2" t="s">
        <v>2222</v>
      </c>
      <c r="E90" s="3" t="str">
        <f t="array" ref="E90">XLOOKUP(D90,RUC!$B$3:$B$110,RUC!$D$3:$D$110)</f>
        <v>20601769396*</v>
      </c>
      <c r="G90" s="3">
        <v>55.0</v>
      </c>
      <c r="H90" s="3" t="s">
        <v>40</v>
      </c>
      <c r="I90" s="6">
        <v>4.2</v>
      </c>
      <c r="J90" s="58">
        <v>19.35</v>
      </c>
      <c r="K90" s="6">
        <f t="shared" si="53"/>
        <v>3.387</v>
      </c>
      <c r="L90" s="139">
        <v>0.237</v>
      </c>
      <c r="M90" s="60">
        <f t="shared" si="68"/>
        <v>0.218</v>
      </c>
      <c r="N90" s="114">
        <f t="shared" si="80"/>
        <v>0.218</v>
      </c>
      <c r="O90" s="60">
        <f t="shared" si="72"/>
        <v>0.218</v>
      </c>
      <c r="P90" s="63">
        <v>87.0</v>
      </c>
      <c r="Q90" s="58">
        <v>88.19</v>
      </c>
      <c r="R90" s="65">
        <v>4666.85</v>
      </c>
      <c r="S90" s="66">
        <f t="array" ref="S90">IF((XLOOKUP(D90,RUC!$B$3:$B$106,RUC!$E$3:$E$106)+ROUNDDOWN(O90,1)*100)&lt;95,95,((XLOOKUP(D90,RUC!$B$3:$B$106,RUC!$E$3:$E$106)+ROUNDDOWN(O90,1)*100)))</f>
        <v>110</v>
      </c>
      <c r="U90" s="67">
        <f t="array" ref="U90">XLOOKUP(D90,RUC!$B$3:$B$110,RUC!$F$3:$F$110)</f>
        <v>120</v>
      </c>
      <c r="V90" s="67">
        <v>1.1023</v>
      </c>
      <c r="Y90" s="199">
        <v>30.0</v>
      </c>
      <c r="Z90" s="140">
        <v>40.0</v>
      </c>
      <c r="AA90" s="70">
        <f t="shared" si="56"/>
        <v>70</v>
      </c>
      <c r="AB90" s="71">
        <f t="shared" si="57"/>
        <v>752.1605459</v>
      </c>
      <c r="AC90" s="71">
        <f>+(S90-T90)*V90-'data 1'!$F$4</f>
        <v>41.253</v>
      </c>
      <c r="AD90" s="71">
        <f t="shared" si="58"/>
        <v>14.13532317</v>
      </c>
      <c r="AE90" s="71">
        <f t="shared" si="59"/>
        <v>7.161</v>
      </c>
      <c r="AF90" s="71">
        <f t="shared" si="60"/>
        <v>83.9814518</v>
      </c>
      <c r="AG90" s="72">
        <f t="shared" si="81"/>
        <v>163.530775</v>
      </c>
      <c r="AH90" s="193">
        <f t="shared" si="62"/>
        <v>24.271</v>
      </c>
      <c r="AI90" s="193">
        <f t="shared" si="63"/>
        <v>27.522</v>
      </c>
      <c r="AJ90" s="73">
        <f t="shared" si="64"/>
        <v>104.4021591</v>
      </c>
      <c r="AK90" s="73">
        <f t="shared" si="65"/>
        <v>22.0241934</v>
      </c>
      <c r="AM90" s="51">
        <f t="shared" si="66"/>
        <v>2547.567769</v>
      </c>
      <c r="AN90" s="51" t="str">
        <f t="array" ref="AN90">XLOOKUP(D90,RUC!$B$3:$B$565,RUC!$M$3:$M$565)</f>
        <v>Zudaire</v>
      </c>
      <c r="AO90" s="131" t="s">
        <v>547</v>
      </c>
      <c r="AP90" s="57" t="s">
        <v>3012</v>
      </c>
      <c r="AQ90" s="57" t="s">
        <v>878</v>
      </c>
    </row>
    <row r="91" ht="15.0" customHeight="1">
      <c r="A91" s="116" t="s">
        <v>3020</v>
      </c>
      <c r="B91" s="182">
        <v>46050.0</v>
      </c>
      <c r="C91" s="182">
        <v>46041.0</v>
      </c>
      <c r="D91" s="2" t="s">
        <v>2222</v>
      </c>
      <c r="E91" s="3" t="str">
        <f t="array" ref="E91">XLOOKUP(D91,RUC!$B$3:$B$110,RUC!$D$3:$D$110)</f>
        <v>20601769396*</v>
      </c>
      <c r="G91" s="3">
        <v>57.0</v>
      </c>
      <c r="H91" s="3" t="s">
        <v>40</v>
      </c>
      <c r="I91" s="6">
        <v>4.41</v>
      </c>
      <c r="J91" s="58">
        <v>20.63</v>
      </c>
      <c r="K91" s="6">
        <f t="shared" si="53"/>
        <v>3.5</v>
      </c>
      <c r="L91" s="139">
        <v>0.228</v>
      </c>
      <c r="M91" s="60">
        <f t="shared" si="68"/>
        <v>0.209</v>
      </c>
      <c r="N91" s="75">
        <v>0.256</v>
      </c>
      <c r="O91" s="60">
        <f t="shared" si="72"/>
        <v>0.233</v>
      </c>
      <c r="P91" s="63">
        <v>90.0</v>
      </c>
      <c r="Q91" s="58">
        <v>92.11</v>
      </c>
      <c r="R91" s="65">
        <v>4666.85</v>
      </c>
      <c r="S91" s="66">
        <f t="array" ref="S91">IF((XLOOKUP(D91,RUC!$B$3:$B$106,RUC!$E$3:$E$106)+ROUNDDOWN(O91,1)*100)&lt;95,95,((XLOOKUP(D91,RUC!$B$3:$B$106,RUC!$E$3:$E$106)+ROUNDDOWN(O91,1)*100)))</f>
        <v>110</v>
      </c>
      <c r="U91" s="67">
        <f t="array" ref="U91">XLOOKUP(D91,RUC!$B$3:$B$110,RUC!$F$3:$F$110)</f>
        <v>120</v>
      </c>
      <c r="V91" s="67">
        <v>1.1023</v>
      </c>
      <c r="Y91" s="199">
        <v>30.0</v>
      </c>
      <c r="Z91" s="140">
        <v>40.0</v>
      </c>
      <c r="AA91" s="70">
        <f t="shared" si="56"/>
        <v>70</v>
      </c>
      <c r="AB91" s="71">
        <f t="shared" si="57"/>
        <v>852.6008807</v>
      </c>
      <c r="AC91" s="71">
        <f>+(S91-T91)*V91-'data 1'!$F$4</f>
        <v>41.253</v>
      </c>
      <c r="AD91" s="71">
        <f t="shared" si="58"/>
        <v>24.11169475</v>
      </c>
      <c r="AE91" s="71">
        <f t="shared" si="59"/>
        <v>7.161</v>
      </c>
      <c r="AF91" s="71">
        <f t="shared" si="60"/>
        <v>-23.08273263</v>
      </c>
      <c r="AG91" s="72">
        <f t="shared" si="81"/>
        <v>66.44296211</v>
      </c>
      <c r="AH91" s="193">
        <f t="shared" si="62"/>
        <v>25.201</v>
      </c>
      <c r="AI91" s="193">
        <f t="shared" si="63"/>
        <v>27.36</v>
      </c>
      <c r="AJ91" s="73">
        <f t="shared" si="64"/>
        <v>104.9019161</v>
      </c>
      <c r="AK91" s="73">
        <f t="shared" si="65"/>
        <v>25.16376056</v>
      </c>
      <c r="AM91" s="51">
        <f t="shared" si="66"/>
        <v>2984.103083</v>
      </c>
      <c r="AN91" s="51" t="str">
        <f t="array" ref="AN91">XLOOKUP(D91,RUC!$B$3:$B$565,RUC!$M$3:$M$565)</f>
        <v>Zudaire</v>
      </c>
      <c r="AO91" s="131" t="s">
        <v>547</v>
      </c>
      <c r="AP91" s="57" t="s">
        <v>3012</v>
      </c>
      <c r="AQ91" s="57" t="s">
        <v>878</v>
      </c>
    </row>
    <row r="92" ht="15.0" customHeight="1">
      <c r="A92" s="116" t="s">
        <v>3021</v>
      </c>
      <c r="B92" s="182">
        <v>46052.0</v>
      </c>
      <c r="C92" s="182">
        <v>46041.0</v>
      </c>
      <c r="D92" s="57" t="s">
        <v>295</v>
      </c>
      <c r="E92" s="3">
        <f t="array" ref="E92">XLOOKUP(D92,RUC!$B$3:$B$110,RUC!$D$3:$D$110)</f>
        <v>20601769396</v>
      </c>
      <c r="G92" s="3">
        <v>27.0</v>
      </c>
      <c r="H92" s="3" t="s">
        <v>47</v>
      </c>
      <c r="I92" s="6">
        <v>2.29</v>
      </c>
      <c r="J92" s="58">
        <v>14.53</v>
      </c>
      <c r="K92" s="6">
        <f t="shared" si="53"/>
        <v>1.957</v>
      </c>
      <c r="L92" s="139">
        <v>0.194</v>
      </c>
      <c r="M92" s="60">
        <f t="shared" si="68"/>
        <v>0.175</v>
      </c>
      <c r="N92" s="62">
        <f t="shared" ref="N92:N95" si="82">+M92</f>
        <v>0.175</v>
      </c>
      <c r="O92" s="60">
        <f t="shared" si="72"/>
        <v>0.175</v>
      </c>
      <c r="P92" s="63">
        <v>85.0</v>
      </c>
      <c r="Q92" s="58">
        <v>86.6</v>
      </c>
      <c r="R92" s="65">
        <v>4666.85</v>
      </c>
      <c r="S92" s="66">
        <f t="array" ref="S92">IF((XLOOKUP(D92,RUC!$B$3:$B$106,RUC!$E$3:$E$106)+ROUNDDOWN(O92,1)*100)&lt;95,95,((XLOOKUP(D92,RUC!$B$3:$B$106,RUC!$E$3:$E$106)+ROUNDDOWN(O92,1)*100)))</f>
        <v>100</v>
      </c>
      <c r="U92" s="67">
        <f t="array" ref="U92">XLOOKUP(D92,RUC!$B$3:$B$110,RUC!$F$3:$F$110)</f>
        <v>120</v>
      </c>
      <c r="V92" s="67">
        <v>1.1023</v>
      </c>
      <c r="Y92" s="57">
        <f t="array" ref="Y92">XLOOKUP(D92,RUC!$B$3:$B$110,RUC!$G$3:$G$110)</f>
        <v>20</v>
      </c>
      <c r="Z92" s="69">
        <f t="array" ref="Z92">XLOOKUP(D92,RUC!$B$3:$B$110,RUC!$H$3:$H$110)</f>
        <v>30</v>
      </c>
      <c r="AA92" s="70">
        <f t="shared" si="56"/>
        <v>50</v>
      </c>
      <c r="AB92" s="71">
        <f t="shared" si="57"/>
        <v>580.1889223</v>
      </c>
      <c r="AC92" s="71">
        <f>+(S92-T92)*V92-'data 1'!$F$4</f>
        <v>30.23</v>
      </c>
      <c r="AD92" s="71">
        <f t="shared" si="58"/>
        <v>15.55722551</v>
      </c>
      <c r="AE92" s="71">
        <f t="shared" si="59"/>
        <v>-14.885</v>
      </c>
      <c r="AF92" s="71">
        <f t="shared" si="60"/>
        <v>82.46732879</v>
      </c>
      <c r="AG92" s="72">
        <f t="shared" si="81"/>
        <v>130.3695543</v>
      </c>
      <c r="AH92" s="193">
        <f t="shared" si="62"/>
        <v>11.272</v>
      </c>
      <c r="AI92" s="193">
        <f t="shared" si="63"/>
        <v>13.017</v>
      </c>
      <c r="AJ92" s="73">
        <f t="shared" si="64"/>
        <v>83.91921519</v>
      </c>
      <c r="AK92" s="73">
        <f t="shared" si="65"/>
        <v>9.980605032</v>
      </c>
      <c r="AM92" s="51">
        <f t="shared" si="66"/>
        <v>1135.429721</v>
      </c>
      <c r="AN92" s="51" t="str">
        <f t="array" ref="AN92">XLOOKUP(D92,RUC!$B$3:$B$565,RUC!$M$3:$M$565)</f>
        <v>Evelyn</v>
      </c>
      <c r="AO92" s="131" t="s">
        <v>547</v>
      </c>
      <c r="AP92" s="57" t="s">
        <v>3022</v>
      </c>
      <c r="AQ92" s="57" t="s">
        <v>3023</v>
      </c>
    </row>
    <row r="93" ht="15.0" customHeight="1">
      <c r="A93" s="116" t="s">
        <v>3024</v>
      </c>
      <c r="B93" s="182">
        <v>46052.0</v>
      </c>
      <c r="C93" s="182">
        <v>46041.0</v>
      </c>
      <c r="D93" s="57" t="s">
        <v>295</v>
      </c>
      <c r="E93" s="3">
        <f t="array" ref="E93">XLOOKUP(D93,RUC!$B$3:$B$110,RUC!$D$3:$D$110)</f>
        <v>20601769396</v>
      </c>
      <c r="G93" s="3">
        <v>27.0</v>
      </c>
      <c r="H93" s="3" t="s">
        <v>47</v>
      </c>
      <c r="I93" s="6">
        <v>2.24</v>
      </c>
      <c r="J93" s="58">
        <v>13.98</v>
      </c>
      <c r="K93" s="6">
        <f t="shared" si="53"/>
        <v>1.927</v>
      </c>
      <c r="L93" s="139">
        <v>0.367</v>
      </c>
      <c r="M93" s="60">
        <f t="shared" si="68"/>
        <v>0.345</v>
      </c>
      <c r="N93" s="62">
        <f t="shared" si="82"/>
        <v>0.345</v>
      </c>
      <c r="O93" s="60">
        <f t="shared" si="72"/>
        <v>0.345</v>
      </c>
      <c r="P93" s="63">
        <v>88.0</v>
      </c>
      <c r="Q93" s="58">
        <v>89.65</v>
      </c>
      <c r="R93" s="65">
        <v>4666.85</v>
      </c>
      <c r="S93" s="66">
        <f t="array" ref="S93">IF((XLOOKUP(D93,RUC!$B$3:$B$106,RUC!$E$3:$E$106)+ROUNDDOWN(O93,1)*100)&lt;95,95,((XLOOKUP(D93,RUC!$B$3:$B$106,RUC!$E$3:$E$106)+ROUNDDOWN(O93,1)*100)))</f>
        <v>120</v>
      </c>
      <c r="U93" s="67">
        <f t="array" ref="U93">XLOOKUP(D93,RUC!$B$3:$B$110,RUC!$F$3:$F$110)</f>
        <v>120</v>
      </c>
      <c r="V93" s="67">
        <v>1.1023</v>
      </c>
      <c r="Y93" s="57">
        <f t="array" ref="Y93">XLOOKUP(D93,RUC!$B$3:$B$110,RUC!$G$3:$G$110)</f>
        <v>20</v>
      </c>
      <c r="Z93" s="69">
        <f t="array" ref="Z93">XLOOKUP(D93,RUC!$B$3:$B$110,RUC!$H$3:$H$110)</f>
        <v>30</v>
      </c>
      <c r="AA93" s="70">
        <f t="shared" si="56"/>
        <v>50</v>
      </c>
      <c r="AB93" s="71">
        <f t="shared" si="57"/>
        <v>1334.25</v>
      </c>
      <c r="AC93" s="71">
        <f>+(S93-T93)*V93-'data 1'!$F$4</f>
        <v>52.276</v>
      </c>
      <c r="AD93" s="71">
        <f t="shared" si="58"/>
        <v>30.35012213</v>
      </c>
      <c r="AE93" s="71">
        <f t="shared" si="59"/>
        <v>-14.885</v>
      </c>
      <c r="AF93" s="71">
        <f t="shared" si="60"/>
        <v>98.85153311</v>
      </c>
      <c r="AG93" s="72">
        <f t="shared" si="81"/>
        <v>183.5926552</v>
      </c>
      <c r="AH93" s="193">
        <f t="shared" si="62"/>
        <v>21.737</v>
      </c>
      <c r="AI93" s="193">
        <f t="shared" si="63"/>
        <v>24.247</v>
      </c>
      <c r="AJ93" s="73">
        <f t="shared" si="64"/>
        <v>164.345626</v>
      </c>
      <c r="AK93" s="73">
        <f t="shared" si="65"/>
        <v>20.05822743</v>
      </c>
      <c r="AM93" s="51">
        <f t="shared" si="66"/>
        <v>2571.099751</v>
      </c>
      <c r="AN93" s="51" t="str">
        <f t="array" ref="AN93">XLOOKUP(D93,RUC!$B$3:$B$565,RUC!$M$3:$M$565)</f>
        <v>Evelyn</v>
      </c>
      <c r="AO93" s="131" t="s">
        <v>547</v>
      </c>
      <c r="AP93" s="57" t="s">
        <v>3022</v>
      </c>
      <c r="AQ93" s="57" t="s">
        <v>3023</v>
      </c>
    </row>
    <row r="94" ht="15.0" customHeight="1">
      <c r="A94" s="116" t="s">
        <v>3025</v>
      </c>
      <c r="B94" s="182">
        <v>46052.0</v>
      </c>
      <c r="C94" s="182">
        <v>46041.0</v>
      </c>
      <c r="D94" s="57" t="s">
        <v>295</v>
      </c>
      <c r="E94" s="3">
        <f t="array" ref="E94">XLOOKUP(D94,RUC!$B$3:$B$110,RUC!$D$3:$D$110)</f>
        <v>20601769396</v>
      </c>
      <c r="G94" s="3">
        <v>27.0</v>
      </c>
      <c r="H94" s="3" t="s">
        <v>47</v>
      </c>
      <c r="I94" s="6">
        <v>2.4</v>
      </c>
      <c r="J94" s="58">
        <v>14.3</v>
      </c>
      <c r="K94" s="6">
        <f t="shared" si="53"/>
        <v>2.057</v>
      </c>
      <c r="L94" s="139">
        <v>0.236</v>
      </c>
      <c r="M94" s="60">
        <f t="shared" si="68"/>
        <v>0.217</v>
      </c>
      <c r="N94" s="62">
        <f t="shared" si="82"/>
        <v>0.217</v>
      </c>
      <c r="O94" s="60">
        <f t="shared" si="72"/>
        <v>0.217</v>
      </c>
      <c r="P94" s="63">
        <v>88.0</v>
      </c>
      <c r="Q94" s="58">
        <v>89.41</v>
      </c>
      <c r="R94" s="65">
        <v>4666.85</v>
      </c>
      <c r="S94" s="66">
        <f t="array" ref="S94">IF((XLOOKUP(D94,RUC!$B$3:$B$106,RUC!$E$3:$E$106)+ROUNDDOWN(O94,1)*100)&lt;95,95,((XLOOKUP(D94,RUC!$B$3:$B$106,RUC!$E$3:$E$106)+ROUNDDOWN(O94,1)*100)))</f>
        <v>110</v>
      </c>
      <c r="U94" s="67">
        <f t="array" ref="U94">XLOOKUP(D94,RUC!$B$3:$B$110,RUC!$F$3:$F$110)</f>
        <v>120</v>
      </c>
      <c r="V94" s="67">
        <v>1.1023</v>
      </c>
      <c r="Y94" s="57">
        <f t="array" ref="Y94">XLOOKUP(D94,RUC!$B$3:$B$110,RUC!$G$3:$G$110)</f>
        <v>20</v>
      </c>
      <c r="Z94" s="69">
        <f t="array" ref="Z94">XLOOKUP(D94,RUC!$B$3:$B$110,RUC!$H$3:$H$110)</f>
        <v>30</v>
      </c>
      <c r="AA94" s="70">
        <f t="shared" si="56"/>
        <v>50</v>
      </c>
      <c r="AB94" s="71">
        <f t="shared" si="57"/>
        <v>780.7221365</v>
      </c>
      <c r="AC94" s="71">
        <f>+(S94-T94)*V94-'data 1'!$F$4</f>
        <v>41.253</v>
      </c>
      <c r="AD94" s="71">
        <f t="shared" si="58"/>
        <v>16.67790709</v>
      </c>
      <c r="AE94" s="71">
        <f t="shared" si="59"/>
        <v>-14.885</v>
      </c>
      <c r="AF94" s="71">
        <f t="shared" si="60"/>
        <v>85.14323172</v>
      </c>
      <c r="AG94" s="72">
        <f t="shared" si="81"/>
        <v>145.1891388</v>
      </c>
      <c r="AH94" s="193">
        <f t="shared" si="62"/>
        <v>14.881</v>
      </c>
      <c r="AI94" s="193">
        <f t="shared" si="63"/>
        <v>16.644</v>
      </c>
      <c r="AJ94" s="73">
        <f t="shared" si="64"/>
        <v>105.399825</v>
      </c>
      <c r="AK94" s="73">
        <f t="shared" si="65"/>
        <v>13.46746225</v>
      </c>
      <c r="AM94" s="51">
        <f t="shared" si="66"/>
        <v>1605.945435</v>
      </c>
      <c r="AN94" s="51" t="str">
        <f t="array" ref="AN94">XLOOKUP(D94,RUC!$B$3:$B$565,RUC!$M$3:$M$565)</f>
        <v>Evelyn</v>
      </c>
      <c r="AO94" s="131" t="s">
        <v>547</v>
      </c>
      <c r="AP94" s="57" t="s">
        <v>3022</v>
      </c>
      <c r="AQ94" s="57" t="s">
        <v>3023</v>
      </c>
    </row>
    <row r="95" ht="15.0" customHeight="1">
      <c r="A95" s="116" t="s">
        <v>3026</v>
      </c>
      <c r="B95" s="182">
        <v>46052.0</v>
      </c>
      <c r="C95" s="182">
        <v>46041.0</v>
      </c>
      <c r="D95" s="57" t="s">
        <v>295</v>
      </c>
      <c r="E95" s="3">
        <f t="array" ref="E95">XLOOKUP(D95,RUC!$B$3:$B$110,RUC!$D$3:$D$110)</f>
        <v>20601769396</v>
      </c>
      <c r="G95" s="3">
        <v>27.0</v>
      </c>
      <c r="H95" s="3" t="s">
        <v>47</v>
      </c>
      <c r="I95" s="6">
        <v>2.35</v>
      </c>
      <c r="J95" s="58">
        <v>12.63</v>
      </c>
      <c r="K95" s="6">
        <f t="shared" si="53"/>
        <v>2.053</v>
      </c>
      <c r="L95" s="139">
        <v>0.259</v>
      </c>
      <c r="M95" s="60">
        <f t="shared" si="68"/>
        <v>0.24</v>
      </c>
      <c r="N95" s="62">
        <f t="shared" si="82"/>
        <v>0.24</v>
      </c>
      <c r="O95" s="60">
        <f t="shared" si="72"/>
        <v>0.24</v>
      </c>
      <c r="P95" s="63">
        <v>90.0</v>
      </c>
      <c r="Q95" s="58">
        <v>95.37</v>
      </c>
      <c r="R95" s="65">
        <v>4666.85</v>
      </c>
      <c r="S95" s="66">
        <f t="array" ref="S95">IF((XLOOKUP(D95,RUC!$B$3:$B$106,RUC!$E$3:$E$106)+ROUNDDOWN(O95,1)*100)&lt;95,95,((XLOOKUP(D95,RUC!$B$3:$B$106,RUC!$E$3:$E$106)+ROUNDDOWN(O95,1)*100)))</f>
        <v>110</v>
      </c>
      <c r="U95" s="67">
        <f t="array" ref="U95">XLOOKUP(D95,RUC!$B$3:$B$110,RUC!$F$3:$F$110)</f>
        <v>120</v>
      </c>
      <c r="V95" s="67">
        <v>1.1023</v>
      </c>
      <c r="Y95" s="57">
        <f t="array" ref="Y95">XLOOKUP(D95,RUC!$B$3:$B$110,RUC!$G$3:$G$110)</f>
        <v>20</v>
      </c>
      <c r="Z95" s="69">
        <f t="array" ref="Z95">XLOOKUP(D95,RUC!$B$3:$B$110,RUC!$H$3:$H$110)</f>
        <v>30</v>
      </c>
      <c r="AA95" s="70">
        <f t="shared" si="56"/>
        <v>50</v>
      </c>
      <c r="AB95" s="71">
        <f t="shared" si="57"/>
        <v>906.2224351</v>
      </c>
      <c r="AC95" s="71">
        <f>+(S95-T95)*V95-'data 1'!$F$4</f>
        <v>41.253</v>
      </c>
      <c r="AD95" s="71">
        <f t="shared" si="58"/>
        <v>69.70829883</v>
      </c>
      <c r="AE95" s="71">
        <f t="shared" si="59"/>
        <v>-14.885</v>
      </c>
      <c r="AF95" s="71">
        <f t="shared" si="60"/>
        <v>90.81881232</v>
      </c>
      <c r="AG95" s="72">
        <f t="shared" si="81"/>
        <v>203.8951112</v>
      </c>
      <c r="AH95" s="193">
        <f t="shared" si="62"/>
        <v>17.386</v>
      </c>
      <c r="AI95" s="193">
        <f t="shared" si="63"/>
        <v>18.23</v>
      </c>
      <c r="AJ95" s="73">
        <f t="shared" si="64"/>
        <v>123.3824354</v>
      </c>
      <c r="AK95" s="73">
        <f t="shared" si="65"/>
        <v>15.20378676</v>
      </c>
      <c r="AM95" s="51">
        <f t="shared" si="66"/>
        <v>1860.474659</v>
      </c>
      <c r="AN95" s="51" t="str">
        <f t="array" ref="AN95">XLOOKUP(D95,RUC!$B$3:$B$565,RUC!$M$3:$M$565)</f>
        <v>Evelyn</v>
      </c>
      <c r="AO95" s="131" t="s">
        <v>547</v>
      </c>
      <c r="AP95" s="57" t="s">
        <v>3022</v>
      </c>
      <c r="AQ95" s="57" t="s">
        <v>3023</v>
      </c>
    </row>
    <row r="96" ht="15.0" customHeight="1">
      <c r="A96" s="116" t="s">
        <v>3027</v>
      </c>
      <c r="B96" s="182">
        <v>46049.0</v>
      </c>
      <c r="C96" s="182">
        <v>46041.0</v>
      </c>
      <c r="D96" s="2" t="s">
        <v>806</v>
      </c>
      <c r="E96" s="3">
        <f t="array" ref="E96">XLOOKUP(D96,RUC!$B$3:$B$110,RUC!$D$3:$D$110)</f>
        <v>20614284740</v>
      </c>
      <c r="G96" s="3" t="s">
        <v>735</v>
      </c>
      <c r="H96" s="3" t="s">
        <v>40</v>
      </c>
      <c r="I96" s="6">
        <v>11.98</v>
      </c>
      <c r="J96" s="58">
        <v>16.85</v>
      </c>
      <c r="K96" s="6">
        <f t="shared" si="53"/>
        <v>9.961</v>
      </c>
      <c r="L96" s="139">
        <v>0.272</v>
      </c>
      <c r="M96" s="60">
        <f t="shared" si="68"/>
        <v>0.253</v>
      </c>
      <c r="N96" s="75">
        <v>0.311</v>
      </c>
      <c r="O96" s="60">
        <f t="shared" si="72"/>
        <v>0.282</v>
      </c>
      <c r="P96" s="63">
        <v>90.0</v>
      </c>
      <c r="Q96" s="58">
        <v>92.65</v>
      </c>
      <c r="R96" s="65">
        <v>4666.85</v>
      </c>
      <c r="S96" s="66">
        <f t="array" ref="S96">IF((XLOOKUP(D96,RUC!$B$3:$B$106,RUC!$E$3:$E$106)+ROUNDDOWN(O96,1)*100)&lt;95,95,((XLOOKUP(D96,RUC!$B$3:$B$106,RUC!$E$3:$E$106)+ROUNDDOWN(O96,1)*100)))</f>
        <v>110</v>
      </c>
      <c r="U96" s="67">
        <f t="array" ref="U96">XLOOKUP(D96,RUC!$B$3:$B$110,RUC!$F$3:$F$110)</f>
        <v>120</v>
      </c>
      <c r="V96" s="67">
        <v>1.1023</v>
      </c>
      <c r="Y96" s="199">
        <v>30.0</v>
      </c>
      <c r="Z96" s="140">
        <v>40.0</v>
      </c>
      <c r="AA96" s="70">
        <f t="shared" si="56"/>
        <v>70</v>
      </c>
      <c r="AB96" s="71">
        <f t="shared" si="57"/>
        <v>1073.629761</v>
      </c>
      <c r="AC96" s="71">
        <f>+(S96-T96)*V96-'data 1'!$F$4</f>
        <v>41.253</v>
      </c>
      <c r="AD96" s="71">
        <f t="shared" si="58"/>
        <v>36.12644378</v>
      </c>
      <c r="AE96" s="71">
        <f t="shared" si="59"/>
        <v>7.161</v>
      </c>
      <c r="AF96" s="71">
        <f t="shared" si="60"/>
        <v>-46.43611288</v>
      </c>
      <c r="AG96" s="72">
        <f t="shared" si="81"/>
        <v>55.1043309</v>
      </c>
      <c r="AH96" s="193">
        <f t="shared" si="62"/>
        <v>86.065</v>
      </c>
      <c r="AI96" s="193">
        <f t="shared" si="63"/>
        <v>92.893</v>
      </c>
      <c r="AJ96" s="73">
        <f t="shared" si="64"/>
        <v>125.8798218</v>
      </c>
      <c r="AK96" s="73">
        <f t="shared" si="65"/>
        <v>86.67695124</v>
      </c>
      <c r="AM96" s="51">
        <f t="shared" si="66"/>
        <v>10694.42605</v>
      </c>
      <c r="AN96" s="51" t="str">
        <f t="array" ref="AN96">XLOOKUP(D96,RUC!$B$3:$B$565,RUC!$M$3:$M$565)</f>
        <v>Dante </v>
      </c>
      <c r="AO96" s="131" t="s">
        <v>547</v>
      </c>
      <c r="AP96" s="57" t="s">
        <v>2130</v>
      </c>
      <c r="AQ96" s="57" t="s">
        <v>3028</v>
      </c>
    </row>
    <row r="97" ht="15.0" customHeight="1">
      <c r="A97" s="116" t="s">
        <v>3029</v>
      </c>
      <c r="B97" s="182">
        <v>46052.0</v>
      </c>
      <c r="C97" s="182">
        <v>46041.0</v>
      </c>
      <c r="D97" s="57" t="s">
        <v>295</v>
      </c>
      <c r="E97" s="3">
        <f t="array" ref="E97">XLOOKUP(D97,RUC!$B$3:$B$110,RUC!$D$3:$D$110)</f>
        <v>20601769396</v>
      </c>
      <c r="G97" s="3">
        <v>27.0</v>
      </c>
      <c r="H97" s="3" t="s">
        <v>47</v>
      </c>
      <c r="I97" s="6">
        <v>2.38</v>
      </c>
      <c r="J97" s="58">
        <v>15.65</v>
      </c>
      <c r="K97" s="6">
        <f t="shared" si="53"/>
        <v>2.008</v>
      </c>
      <c r="L97" s="139">
        <v>0.314</v>
      </c>
      <c r="M97" s="60">
        <f t="shared" si="68"/>
        <v>0.295</v>
      </c>
      <c r="N97" s="62">
        <f t="shared" ref="N97:N105" si="83">+M97</f>
        <v>0.295</v>
      </c>
      <c r="O97" s="60">
        <f t="shared" si="72"/>
        <v>0.295</v>
      </c>
      <c r="P97" s="63">
        <v>90.0</v>
      </c>
      <c r="Q97" s="58">
        <v>92.99</v>
      </c>
      <c r="R97" s="65">
        <v>4666.85</v>
      </c>
      <c r="S97" s="66">
        <f t="array" ref="S97">IF((XLOOKUP(D97,RUC!$B$3:$B$106,RUC!$E$3:$E$106)+ROUNDDOWN(O97,1)*100)&lt;95,95,((XLOOKUP(D97,RUC!$B$3:$B$106,RUC!$E$3:$E$106)+ROUNDDOWN(O97,1)*100)))</f>
        <v>110</v>
      </c>
      <c r="U97" s="67">
        <f t="array" ref="U97">XLOOKUP(D97,RUC!$B$3:$B$110,RUC!$F$3:$F$110)</f>
        <v>120</v>
      </c>
      <c r="V97" s="67">
        <v>1.1023</v>
      </c>
      <c r="Y97" s="57">
        <f t="array" ref="Y97">XLOOKUP(D97,RUC!$B$3:$B$110,RUC!$G$3:$G$110)</f>
        <v>20</v>
      </c>
      <c r="Z97" s="69">
        <f t="array" ref="Z97">XLOOKUP(D97,RUC!$B$3:$B$110,RUC!$H$3:$H$110)</f>
        <v>30</v>
      </c>
      <c r="AA97" s="70">
        <f t="shared" si="56"/>
        <v>50</v>
      </c>
      <c r="AB97" s="71">
        <f t="shared" si="57"/>
        <v>1154.316076</v>
      </c>
      <c r="AC97" s="71">
        <f>+(S97-T97)*V97-'data 1'!$F$4</f>
        <v>41.253</v>
      </c>
      <c r="AD97" s="71">
        <f t="shared" si="58"/>
        <v>47.05559518</v>
      </c>
      <c r="AE97" s="71">
        <f t="shared" si="59"/>
        <v>-14.885</v>
      </c>
      <c r="AF97" s="71">
        <f t="shared" si="60"/>
        <v>88.55238919</v>
      </c>
      <c r="AG97" s="72">
        <f t="shared" si="81"/>
        <v>178.9759844</v>
      </c>
      <c r="AH97" s="193">
        <f t="shared" si="62"/>
        <v>20.102</v>
      </c>
      <c r="AI97" s="193">
        <f t="shared" si="63"/>
        <v>21.617</v>
      </c>
      <c r="AJ97" s="73">
        <f t="shared" si="64"/>
        <v>145.8504212</v>
      </c>
      <c r="AK97" s="73">
        <f t="shared" si="65"/>
        <v>18.27836322</v>
      </c>
      <c r="AM97" s="51">
        <f t="shared" si="66"/>
        <v>2317.866682</v>
      </c>
      <c r="AN97" s="51" t="str">
        <f t="array" ref="AN97">XLOOKUP(D97,RUC!$B$3:$B$565,RUC!$M$3:$M$565)</f>
        <v>Evelyn</v>
      </c>
      <c r="AO97" s="131" t="s">
        <v>547</v>
      </c>
      <c r="AP97" s="57" t="s">
        <v>3022</v>
      </c>
      <c r="AQ97" s="57" t="s">
        <v>3023</v>
      </c>
    </row>
    <row r="98" ht="15.0" customHeight="1">
      <c r="A98" s="116" t="s">
        <v>3030</v>
      </c>
      <c r="B98" s="182">
        <v>46052.0</v>
      </c>
      <c r="C98" s="182">
        <v>46041.0</v>
      </c>
      <c r="D98" s="57" t="s">
        <v>295</v>
      </c>
      <c r="E98" s="3">
        <f t="array" ref="E98">XLOOKUP(D98,RUC!$B$3:$B$110,RUC!$D$3:$D$110)</f>
        <v>20601769396</v>
      </c>
      <c r="G98" s="3">
        <v>17.0</v>
      </c>
      <c r="H98" s="3" t="s">
        <v>47</v>
      </c>
      <c r="I98" s="6">
        <v>1.41</v>
      </c>
      <c r="J98" s="58">
        <v>10.8</v>
      </c>
      <c r="K98" s="6">
        <f t="shared" si="53"/>
        <v>1.258</v>
      </c>
      <c r="L98" s="139">
        <v>0.505</v>
      </c>
      <c r="M98" s="60">
        <f t="shared" si="68"/>
        <v>0.475</v>
      </c>
      <c r="N98" s="62">
        <f t="shared" si="83"/>
        <v>0.475</v>
      </c>
      <c r="O98" s="60">
        <f t="shared" si="72"/>
        <v>0.475</v>
      </c>
      <c r="P98" s="63">
        <v>90.0</v>
      </c>
      <c r="Q98" s="58">
        <v>93.27</v>
      </c>
      <c r="R98" s="65">
        <v>4666.85</v>
      </c>
      <c r="S98" s="66">
        <f t="array" ref="S98">IF((XLOOKUP(D98,RUC!$B$3:$B$106,RUC!$E$3:$E$106)+ROUNDDOWN(O98,1)*100)&lt;95,95,((XLOOKUP(D98,RUC!$B$3:$B$106,RUC!$E$3:$E$106)+ROUNDDOWN(O98,1)*100)))</f>
        <v>130</v>
      </c>
      <c r="U98" s="67">
        <f t="array" ref="U98">XLOOKUP(D98,RUC!$B$3:$B$110,RUC!$F$3:$F$110)</f>
        <v>120</v>
      </c>
      <c r="V98" s="67">
        <v>1.1023</v>
      </c>
      <c r="Y98" s="57">
        <f t="array" ref="Y98">XLOOKUP(D98,RUC!$B$3:$B$110,RUC!$G$3:$G$110)</f>
        <v>20</v>
      </c>
      <c r="Z98" s="69">
        <f t="array" ref="Z98">XLOOKUP(D98,RUC!$B$3:$B$110,RUC!$H$3:$H$110)</f>
        <v>30</v>
      </c>
      <c r="AA98" s="70">
        <f t="shared" si="56"/>
        <v>50</v>
      </c>
      <c r="AB98" s="71">
        <f t="shared" si="57"/>
        <v>1944.212903</v>
      </c>
      <c r="AC98" s="71">
        <f>+(S98-T98)*V98-'data 1'!$F$4</f>
        <v>63.299</v>
      </c>
      <c r="AD98" s="71">
        <f t="shared" si="58"/>
        <v>82.76554236</v>
      </c>
      <c r="AE98" s="71">
        <f t="shared" si="59"/>
        <v>-14.885</v>
      </c>
      <c r="AF98" s="71">
        <f t="shared" si="60"/>
        <v>140.2405693</v>
      </c>
      <c r="AG98" s="72">
        <f t="shared" si="81"/>
        <v>288.4201116</v>
      </c>
      <c r="AH98" s="193">
        <f t="shared" si="62"/>
        <v>20.315</v>
      </c>
      <c r="AI98" s="193">
        <f t="shared" si="63"/>
        <v>21.781</v>
      </c>
      <c r="AJ98" s="73">
        <f t="shared" si="64"/>
        <v>235.2746557</v>
      </c>
      <c r="AK98" s="73">
        <f t="shared" si="65"/>
        <v>18.43851027</v>
      </c>
      <c r="AM98" s="51">
        <f t="shared" si="66"/>
        <v>2445.819832</v>
      </c>
      <c r="AN98" s="51" t="str">
        <f t="array" ref="AN98">XLOOKUP(D98,RUC!$B$3:$B$565,RUC!$M$3:$M$565)</f>
        <v>Evelyn</v>
      </c>
      <c r="AO98" s="131" t="s">
        <v>547</v>
      </c>
      <c r="AP98" s="57" t="s">
        <v>3022</v>
      </c>
      <c r="AQ98" s="57" t="s">
        <v>3023</v>
      </c>
    </row>
    <row r="99" ht="15.0" customHeight="1">
      <c r="A99" s="116" t="s">
        <v>3031</v>
      </c>
      <c r="B99" s="182">
        <v>46052.0</v>
      </c>
      <c r="C99" s="182">
        <v>46041.0</v>
      </c>
      <c r="D99" s="57" t="s">
        <v>295</v>
      </c>
      <c r="E99" s="3">
        <f t="array" ref="E99">XLOOKUP(D99,RUC!$B$3:$B$110,RUC!$D$3:$D$110)</f>
        <v>20601769396</v>
      </c>
      <c r="G99" s="3">
        <v>17.0</v>
      </c>
      <c r="H99" s="3" t="s">
        <v>47</v>
      </c>
      <c r="I99" s="6">
        <v>1.39</v>
      </c>
      <c r="J99" s="58">
        <v>9.67</v>
      </c>
      <c r="K99" s="6">
        <f t="shared" si="53"/>
        <v>1.256</v>
      </c>
      <c r="L99" s="139">
        <v>0.529</v>
      </c>
      <c r="M99" s="60">
        <f t="shared" si="68"/>
        <v>0.497</v>
      </c>
      <c r="N99" s="62">
        <f t="shared" si="83"/>
        <v>0.497</v>
      </c>
      <c r="O99" s="60">
        <f t="shared" si="72"/>
        <v>0.497</v>
      </c>
      <c r="P99" s="63">
        <v>90.0</v>
      </c>
      <c r="Q99" s="58">
        <v>94.33</v>
      </c>
      <c r="R99" s="65">
        <v>4666.85</v>
      </c>
      <c r="S99" s="66">
        <f t="array" ref="S99">IF((XLOOKUP(D99,RUC!$B$3:$B$106,RUC!$E$3:$E$106)+ROUNDDOWN(O99,1)*100)&lt;95,95,((XLOOKUP(D99,RUC!$B$3:$B$106,RUC!$E$3:$E$106)+ROUNDDOWN(O99,1)*100)))</f>
        <v>130</v>
      </c>
      <c r="U99" s="67">
        <f t="array" ref="U99">XLOOKUP(D99,RUC!$B$3:$B$110,RUC!$F$3:$F$110)</f>
        <v>120</v>
      </c>
      <c r="V99" s="67">
        <v>1.1023</v>
      </c>
      <c r="Y99" s="57">
        <f t="array" ref="Y99">XLOOKUP(D99,RUC!$B$3:$B$110,RUC!$G$3:$G$110)</f>
        <v>20</v>
      </c>
      <c r="Z99" s="69">
        <f t="array" ref="Z99">XLOOKUP(D99,RUC!$B$3:$B$110,RUC!$H$3:$H$110)</f>
        <v>30</v>
      </c>
      <c r="AA99" s="70">
        <f t="shared" si="56"/>
        <v>50</v>
      </c>
      <c r="AB99" s="71">
        <f t="shared" si="57"/>
        <v>2043.450359</v>
      </c>
      <c r="AC99" s="71">
        <f>+(S99-T99)*V99-'data 1'!$F$4</f>
        <v>63.299</v>
      </c>
      <c r="AD99" s="71">
        <f t="shared" si="58"/>
        <v>114.8032024</v>
      </c>
      <c r="AE99" s="71">
        <f t="shared" si="59"/>
        <v>-14.885</v>
      </c>
      <c r="AF99" s="71">
        <f t="shared" si="60"/>
        <v>151.2900085</v>
      </c>
      <c r="AG99" s="72">
        <f t="shared" si="81"/>
        <v>331.507211</v>
      </c>
      <c r="AH99" s="193">
        <f t="shared" si="62"/>
        <v>21.488</v>
      </c>
      <c r="AI99" s="193">
        <f t="shared" si="63"/>
        <v>22.78</v>
      </c>
      <c r="AJ99" s="73">
        <f t="shared" si="64"/>
        <v>249.2569624</v>
      </c>
      <c r="AK99" s="73">
        <f t="shared" si="65"/>
        <v>19.26183272</v>
      </c>
      <c r="AM99" s="51">
        <f t="shared" si="66"/>
        <v>2566.573651</v>
      </c>
      <c r="AN99" s="51" t="str">
        <f t="array" ref="AN99">XLOOKUP(D99,RUC!$B$3:$B$565,RUC!$M$3:$M$565)</f>
        <v>Evelyn</v>
      </c>
      <c r="AO99" s="131" t="s">
        <v>547</v>
      </c>
      <c r="AP99" s="57" t="s">
        <v>3022</v>
      </c>
      <c r="AQ99" s="57" t="s">
        <v>3023</v>
      </c>
    </row>
    <row r="100" ht="15.0" customHeight="1">
      <c r="A100" s="116" t="s">
        <v>3032</v>
      </c>
      <c r="B100" s="182">
        <v>46057.0</v>
      </c>
      <c r="C100" s="182">
        <v>46041.0</v>
      </c>
      <c r="D100" s="57" t="s">
        <v>295</v>
      </c>
      <c r="E100" s="3">
        <f t="array" ref="E100">XLOOKUP(D100,RUC!$B$3:$B$110,RUC!$D$3:$D$110)</f>
        <v>20601769396</v>
      </c>
      <c r="G100" s="3">
        <v>15.0</v>
      </c>
      <c r="H100" s="3" t="s">
        <v>40</v>
      </c>
      <c r="I100" s="6">
        <v>1.16</v>
      </c>
      <c r="J100" s="58">
        <v>16.58</v>
      </c>
      <c r="K100" s="6">
        <f t="shared" si="53"/>
        <v>0.968</v>
      </c>
      <c r="L100" s="139">
        <v>0.389</v>
      </c>
      <c r="M100" s="60">
        <f t="shared" si="68"/>
        <v>0.366</v>
      </c>
      <c r="N100" s="62">
        <f t="shared" si="83"/>
        <v>0.366</v>
      </c>
      <c r="O100" s="60">
        <f t="shared" si="72"/>
        <v>0.366</v>
      </c>
      <c r="P100" s="63">
        <v>89.0</v>
      </c>
      <c r="Q100" s="58">
        <v>89.97</v>
      </c>
      <c r="R100" s="65">
        <v>4666.85</v>
      </c>
      <c r="S100" s="66">
        <f t="array" ref="S100">IF((XLOOKUP(D100,RUC!$B$3:$B$106,RUC!$E$3:$E$106)+ROUNDDOWN(O100,1)*100)&lt;95,95,((XLOOKUP(D100,RUC!$B$3:$B$106,RUC!$E$3:$E$106)+ROUNDDOWN(O100,1)*100)))</f>
        <v>120</v>
      </c>
      <c r="U100" s="67">
        <f t="array" ref="U100">XLOOKUP(D100,RUC!$B$3:$B$110,RUC!$F$3:$F$110)</f>
        <v>120</v>
      </c>
      <c r="V100" s="67">
        <v>1.1023</v>
      </c>
      <c r="Y100" s="199">
        <v>30.0</v>
      </c>
      <c r="Z100" s="140">
        <v>40.0</v>
      </c>
      <c r="AA100" s="70">
        <f t="shared" si="56"/>
        <v>70</v>
      </c>
      <c r="AB100" s="71">
        <f t="shared" si="57"/>
        <v>1423.16952</v>
      </c>
      <c r="AC100" s="71">
        <f>+(S100-T100)*V100-'data 1'!$F$4</f>
        <v>52.276</v>
      </c>
      <c r="AD100" s="71">
        <f t="shared" si="58"/>
        <v>18.91175226</v>
      </c>
      <c r="AE100" s="71">
        <f t="shared" si="59"/>
        <v>7.161</v>
      </c>
      <c r="AF100" s="71">
        <f t="shared" si="60"/>
        <v>103.7136673</v>
      </c>
      <c r="AG100" s="72">
        <f t="shared" si="81"/>
        <v>199.0624195</v>
      </c>
      <c r="AH100" s="193">
        <f t="shared" si="62"/>
        <v>11.615</v>
      </c>
      <c r="AI100" s="193">
        <f t="shared" si="63"/>
        <v>12.91</v>
      </c>
      <c r="AJ100" s="73">
        <f t="shared" si="64"/>
        <v>174.819194</v>
      </c>
      <c r="AK100" s="73">
        <f t="shared" si="65"/>
        <v>10.81074239</v>
      </c>
      <c r="AM100" s="51">
        <f t="shared" si="66"/>
        <v>1377.628095</v>
      </c>
      <c r="AN100" s="51" t="str">
        <f t="array" ref="AN100">XLOOKUP(D100,RUC!$B$3:$B$565,RUC!$M$3:$M$565)</f>
        <v>Evelyn</v>
      </c>
      <c r="AO100" s="131" t="s">
        <v>547</v>
      </c>
      <c r="AP100" s="57" t="s">
        <v>3022</v>
      </c>
      <c r="AQ100" s="57" t="s">
        <v>3023</v>
      </c>
    </row>
    <row r="101" ht="15.0" customHeight="1">
      <c r="A101" s="116" t="s">
        <v>3033</v>
      </c>
      <c r="B101" s="182">
        <v>46057.0</v>
      </c>
      <c r="C101" s="182">
        <v>46041.0</v>
      </c>
      <c r="D101" s="57" t="s">
        <v>295</v>
      </c>
      <c r="E101" s="3">
        <f t="array" ref="E101">XLOOKUP(D101,RUC!$B$3:$B$110,RUC!$D$3:$D$110)</f>
        <v>20601769396</v>
      </c>
      <c r="G101" s="3">
        <v>16.0</v>
      </c>
      <c r="H101" s="3" t="s">
        <v>40</v>
      </c>
      <c r="I101" s="6">
        <v>1.25</v>
      </c>
      <c r="J101" s="58">
        <v>15.68</v>
      </c>
      <c r="K101" s="6">
        <f t="shared" si="53"/>
        <v>1.054</v>
      </c>
      <c r="L101" s="139">
        <v>0.315</v>
      </c>
      <c r="M101" s="60">
        <f t="shared" si="68"/>
        <v>0.296</v>
      </c>
      <c r="N101" s="62">
        <f t="shared" si="83"/>
        <v>0.296</v>
      </c>
      <c r="O101" s="60">
        <f t="shared" si="72"/>
        <v>0.296</v>
      </c>
      <c r="P101" s="63">
        <v>90.0</v>
      </c>
      <c r="Q101" s="58">
        <v>90.79</v>
      </c>
      <c r="R101" s="65">
        <v>4666.85</v>
      </c>
      <c r="S101" s="66">
        <f t="array" ref="S101">IF((XLOOKUP(D101,RUC!$B$3:$B$106,RUC!$E$3:$E$106)+ROUNDDOWN(O101,1)*100)&lt;95,95,((XLOOKUP(D101,RUC!$B$3:$B$106,RUC!$E$3:$E$106)+ROUNDDOWN(O101,1)*100)))</f>
        <v>110</v>
      </c>
      <c r="U101" s="67">
        <f t="array" ref="U101">XLOOKUP(D101,RUC!$B$3:$B$110,RUC!$F$3:$F$110)</f>
        <v>120</v>
      </c>
      <c r="V101" s="67">
        <v>1.1023</v>
      </c>
      <c r="Y101" s="199">
        <v>30.0</v>
      </c>
      <c r="Z101" s="140">
        <v>40.0</v>
      </c>
      <c r="AA101" s="70">
        <f t="shared" si="56"/>
        <v>70</v>
      </c>
      <c r="AB101" s="71">
        <f t="shared" si="57"/>
        <v>1136.78087</v>
      </c>
      <c r="AC101" s="71">
        <f>+(S101-T101)*V101-'data 1'!$F$4</f>
        <v>41.253</v>
      </c>
      <c r="AD101" s="71">
        <f t="shared" si="58"/>
        <v>12.47234397</v>
      </c>
      <c r="AE101" s="71">
        <f t="shared" si="59"/>
        <v>7.161</v>
      </c>
      <c r="AF101" s="71">
        <f t="shared" si="60"/>
        <v>86.45737622</v>
      </c>
      <c r="AG101" s="72">
        <f t="shared" si="81"/>
        <v>164.3437202</v>
      </c>
      <c r="AH101" s="193">
        <f t="shared" si="62"/>
        <v>10.335</v>
      </c>
      <c r="AI101" s="193">
        <f t="shared" si="63"/>
        <v>11.383</v>
      </c>
      <c r="AJ101" s="73">
        <f t="shared" si="64"/>
        <v>142.8533277</v>
      </c>
      <c r="AK101" s="73">
        <f t="shared" si="65"/>
        <v>9.626843255</v>
      </c>
      <c r="AM101" s="51">
        <f t="shared" si="66"/>
        <v>1198.167037</v>
      </c>
      <c r="AN101" s="51" t="str">
        <f t="array" ref="AN101">XLOOKUP(D101,RUC!$B$3:$B$565,RUC!$M$3:$M$565)</f>
        <v>Evelyn</v>
      </c>
      <c r="AO101" s="131" t="s">
        <v>547</v>
      </c>
      <c r="AP101" s="57" t="s">
        <v>3022</v>
      </c>
      <c r="AQ101" s="57" t="s">
        <v>3023</v>
      </c>
    </row>
    <row r="102" ht="15.0" customHeight="1">
      <c r="A102" s="116" t="s">
        <v>3034</v>
      </c>
      <c r="B102" s="182">
        <v>46057.0</v>
      </c>
      <c r="C102" s="182">
        <v>46041.0</v>
      </c>
      <c r="D102" s="57" t="s">
        <v>295</v>
      </c>
      <c r="E102" s="3">
        <f t="array" ref="E102">XLOOKUP(D102,RUC!$B$3:$B$110,RUC!$D$3:$D$110)</f>
        <v>20601769396</v>
      </c>
      <c r="G102" s="3">
        <v>14.0</v>
      </c>
      <c r="H102" s="3" t="s">
        <v>40</v>
      </c>
      <c r="I102" s="6">
        <v>0.78</v>
      </c>
      <c r="J102" s="58">
        <v>14.23</v>
      </c>
      <c r="K102" s="6">
        <f t="shared" si="53"/>
        <v>0.669</v>
      </c>
      <c r="L102" s="139">
        <v>0.524</v>
      </c>
      <c r="M102" s="60">
        <f t="shared" si="68"/>
        <v>0.493</v>
      </c>
      <c r="N102" s="62">
        <f t="shared" si="83"/>
        <v>0.493</v>
      </c>
      <c r="O102" s="60">
        <f t="shared" si="72"/>
        <v>0.493</v>
      </c>
      <c r="P102" s="63">
        <v>90.0</v>
      </c>
      <c r="Q102" s="58">
        <v>94.47</v>
      </c>
      <c r="R102" s="65">
        <v>4666.85</v>
      </c>
      <c r="S102" s="66">
        <f t="array" ref="S102">IF((XLOOKUP(D102,RUC!$B$3:$B$106,RUC!$E$3:$E$106)+ROUNDDOWN(O102,1)*100)&lt;95,95,((XLOOKUP(D102,RUC!$B$3:$B$106,RUC!$E$3:$E$106)+ROUNDDOWN(O102,1)*100)))</f>
        <v>130</v>
      </c>
      <c r="U102" s="67">
        <f t="array" ref="U102">XLOOKUP(D102,RUC!$B$3:$B$110,RUC!$F$3:$F$110)</f>
        <v>120</v>
      </c>
      <c r="V102" s="67">
        <v>1.1023</v>
      </c>
      <c r="Y102" s="199">
        <v>30.0</v>
      </c>
      <c r="Z102" s="140">
        <v>40.0</v>
      </c>
      <c r="AA102" s="70">
        <f t="shared" si="56"/>
        <v>70</v>
      </c>
      <c r="AB102" s="71">
        <f t="shared" si="57"/>
        <v>2003.361185</v>
      </c>
      <c r="AC102" s="71">
        <f>+(S102-T102)*V102-'data 1'!$F$4</f>
        <v>63.299</v>
      </c>
      <c r="AD102" s="71">
        <f t="shared" si="58"/>
        <v>117.3949039</v>
      </c>
      <c r="AE102" s="71">
        <f t="shared" si="59"/>
        <v>7.161</v>
      </c>
      <c r="AF102" s="71">
        <f t="shared" si="60"/>
        <v>146.7797162</v>
      </c>
      <c r="AG102" s="72">
        <f t="shared" si="81"/>
        <v>351.6346201</v>
      </c>
      <c r="AH102" s="193">
        <f t="shared" si="62"/>
        <v>11.354</v>
      </c>
      <c r="AI102" s="193">
        <f t="shared" si="63"/>
        <v>12.019</v>
      </c>
      <c r="AJ102" s="73">
        <f t="shared" si="64"/>
        <v>247.267475</v>
      </c>
      <c r="AK102" s="73">
        <f t="shared" si="65"/>
        <v>10.17711345</v>
      </c>
      <c r="AM102" s="51">
        <f t="shared" si="66"/>
        <v>1340.248633</v>
      </c>
      <c r="AN102" s="51" t="str">
        <f t="array" ref="AN102">XLOOKUP(D102,RUC!$B$3:$B$565,RUC!$M$3:$M$565)</f>
        <v>Evelyn</v>
      </c>
      <c r="AO102" s="131" t="s">
        <v>547</v>
      </c>
      <c r="AP102" s="57" t="s">
        <v>3022</v>
      </c>
      <c r="AQ102" s="57" t="s">
        <v>3023</v>
      </c>
    </row>
    <row r="103" ht="15.0" customHeight="1">
      <c r="A103" s="116" t="s">
        <v>3035</v>
      </c>
      <c r="B103" s="182">
        <v>46054.0</v>
      </c>
      <c r="C103" s="182">
        <v>46042.0</v>
      </c>
      <c r="D103" s="57" t="s">
        <v>2583</v>
      </c>
      <c r="E103" s="3">
        <f t="array" ref="E103">XLOOKUP(D103,RUC!$B$3:$B$110,RUC!$D$3:$D$110)</f>
        <v>10239291240</v>
      </c>
      <c r="G103" s="3" t="s">
        <v>735</v>
      </c>
      <c r="H103" s="3" t="s">
        <v>47</v>
      </c>
      <c r="I103" s="6">
        <v>27.58</v>
      </c>
      <c r="J103" s="58">
        <v>20.38</v>
      </c>
      <c r="K103" s="6">
        <f t="shared" si="53"/>
        <v>21.959</v>
      </c>
      <c r="L103" s="139">
        <v>0.128</v>
      </c>
      <c r="M103" s="75">
        <v>0.11</v>
      </c>
      <c r="N103" s="62">
        <f t="shared" si="83"/>
        <v>0.11</v>
      </c>
      <c r="O103" s="60">
        <f t="shared" si="72"/>
        <v>0.11</v>
      </c>
      <c r="P103" s="63">
        <v>80.0</v>
      </c>
      <c r="Q103" s="58">
        <v>97.66</v>
      </c>
      <c r="R103" s="65">
        <v>4747.8</v>
      </c>
      <c r="S103" s="121">
        <v>110.0</v>
      </c>
      <c r="U103" s="67">
        <f t="array" ref="U103">XLOOKUP(D103,RUC!$B$3:$B$110,RUC!$F$3:$F$110)</f>
        <v>100</v>
      </c>
      <c r="V103" s="67">
        <v>1.1023</v>
      </c>
      <c r="Y103" s="57" t="str">
        <f t="array" ref="Y103">XLOOKUP(D103,RUC!$B$3:$B$110,RUC!$G$3:$G$110)</f>
        <v/>
      </c>
      <c r="Z103" s="140">
        <v>90.0</v>
      </c>
      <c r="AA103" s="70">
        <f t="shared" si="56"/>
        <v>90</v>
      </c>
      <c r="AB103" s="71">
        <f t="shared" si="57"/>
        <v>230.3877547</v>
      </c>
      <c r="AC103" s="71">
        <f>+(S103-T103)*V103-'data 1'!$F$4</f>
        <v>41.253</v>
      </c>
      <c r="AD103" s="71">
        <f t="shared" si="58"/>
        <v>115.8104923</v>
      </c>
      <c r="AE103" s="71">
        <f t="shared" si="59"/>
        <v>29.207</v>
      </c>
      <c r="AF103" s="71">
        <f t="shared" si="60"/>
        <v>90.06093762</v>
      </c>
      <c r="AG103" s="72">
        <f t="shared" si="81"/>
        <v>293.33143</v>
      </c>
      <c r="AH103" s="193">
        <f t="shared" si="62"/>
        <v>94.113</v>
      </c>
      <c r="AI103" s="193">
        <f t="shared" si="63"/>
        <v>96.368</v>
      </c>
      <c r="AJ103" s="73">
        <f t="shared" si="64"/>
        <v>48.530621</v>
      </c>
      <c r="AK103" s="73">
        <f t="shared" si="65"/>
        <v>66.25280958</v>
      </c>
      <c r="AM103" s="51">
        <f t="shared" si="66"/>
        <v>5059.084706</v>
      </c>
      <c r="AN103" s="51" t="str">
        <f t="array" ref="AN103">XLOOKUP(D103,RUC!$B$3:$B$565,RUC!$M$3:$M$565)</f>
        <v>Alfred Torres  *</v>
      </c>
      <c r="AO103" s="131" t="s">
        <v>558</v>
      </c>
      <c r="AP103" s="57" t="s">
        <v>587</v>
      </c>
      <c r="AQ103" s="57" t="s">
        <v>1413</v>
      </c>
      <c r="AR103" s="2" t="s">
        <v>3036</v>
      </c>
    </row>
    <row r="104" ht="15.0" customHeight="1">
      <c r="A104" s="116" t="s">
        <v>3037</v>
      </c>
      <c r="B104" s="182">
        <v>46057.0</v>
      </c>
      <c r="C104" s="182">
        <v>46043.0</v>
      </c>
      <c r="D104" s="57" t="s">
        <v>295</v>
      </c>
      <c r="E104" s="3">
        <f t="array" ref="E104">XLOOKUP(D104,RUC!$B$3:$B$110,RUC!$D$3:$D$110)</f>
        <v>20601769396</v>
      </c>
      <c r="G104" s="3">
        <v>113.0</v>
      </c>
      <c r="H104" s="3" t="s">
        <v>40</v>
      </c>
      <c r="I104" s="6">
        <v>4.1</v>
      </c>
      <c r="J104" s="58">
        <v>16.22</v>
      </c>
      <c r="K104" s="6">
        <f t="shared" si="53"/>
        <v>3.435</v>
      </c>
      <c r="L104" s="139">
        <v>0.416</v>
      </c>
      <c r="M104" s="60">
        <f t="shared" ref="M104:M119" si="84">ROUND(+IF(AN104="Melchor Vera",IF(L104&gt;0.467,L104*0.985,(L104-0.007)),IF(L104&gt;0.3,L104*0.94,(L104-0.019))),3)</f>
        <v>0.391</v>
      </c>
      <c r="N104" s="62">
        <f t="shared" si="83"/>
        <v>0.391</v>
      </c>
      <c r="O104" s="123">
        <v>0.452</v>
      </c>
      <c r="P104" s="63">
        <v>90.0</v>
      </c>
      <c r="Q104" s="58">
        <v>95.19</v>
      </c>
      <c r="R104" s="65">
        <v>4866.5</v>
      </c>
      <c r="S104" s="66">
        <f t="array" ref="S104">IF((XLOOKUP(D104,RUC!$B$3:$B$106,RUC!$E$3:$E$106)+ROUNDDOWN(O104,1)*100)&lt;95,95,((XLOOKUP(D104,RUC!$B$3:$B$106,RUC!$E$3:$E$106)+ROUNDDOWN(O104,1)*100)))</f>
        <v>130</v>
      </c>
      <c r="U104" s="67">
        <f t="array" ref="U104">XLOOKUP(D104,RUC!$B$3:$B$110,RUC!$F$3:$F$110)</f>
        <v>120</v>
      </c>
      <c r="V104" s="67">
        <v>1.1023</v>
      </c>
      <c r="Y104" s="199">
        <v>40.0</v>
      </c>
      <c r="Z104" s="140">
        <v>40.0</v>
      </c>
      <c r="AA104" s="70">
        <f t="shared" si="56"/>
        <v>80</v>
      </c>
      <c r="AB104" s="71">
        <f t="shared" si="57"/>
        <v>1896.921835</v>
      </c>
      <c r="AC104" s="71">
        <f>+(S104-T104)*V104-'data 1'!$F$4</f>
        <v>63.299</v>
      </c>
      <c r="AD104" s="71">
        <f t="shared" si="58"/>
        <v>112.9624183</v>
      </c>
      <c r="AE104" s="71">
        <f t="shared" si="59"/>
        <v>18.184</v>
      </c>
      <c r="AF104" s="71">
        <f t="shared" si="60"/>
        <v>-179.2945631</v>
      </c>
      <c r="AG104" s="72">
        <f t="shared" si="81"/>
        <v>32.15085521</v>
      </c>
      <c r="AH104" s="193">
        <f t="shared" si="62"/>
        <v>46.636</v>
      </c>
      <c r="AI104" s="193">
        <f t="shared" si="63"/>
        <v>48.992</v>
      </c>
      <c r="AJ104" s="73">
        <f t="shared" si="64"/>
        <v>110.6528052</v>
      </c>
      <c r="AK104" s="73">
        <f t="shared" si="65"/>
        <v>47.90896127</v>
      </c>
      <c r="AM104" s="51">
        <f t="shared" si="66"/>
        <v>6515.926504</v>
      </c>
      <c r="AN104" s="51" t="str">
        <f t="array" ref="AN104">XLOOKUP(D104,RUC!$B$3:$B$565,RUC!$M$3:$M$565)</f>
        <v>Evelyn</v>
      </c>
      <c r="AO104" s="131" t="s">
        <v>547</v>
      </c>
      <c r="AP104" s="57" t="s">
        <v>2281</v>
      </c>
      <c r="AQ104" s="57" t="s">
        <v>3038</v>
      </c>
      <c r="AR104" s="2" t="s">
        <v>3039</v>
      </c>
    </row>
    <row r="105" ht="15.0" customHeight="1">
      <c r="A105" s="116" t="s">
        <v>3040</v>
      </c>
      <c r="B105" s="182">
        <v>46057.0</v>
      </c>
      <c r="C105" s="182">
        <v>46043.0</v>
      </c>
      <c r="D105" s="57" t="s">
        <v>295</v>
      </c>
      <c r="E105" s="3">
        <f t="array" ref="E105">XLOOKUP(D105,RUC!$B$3:$B$110,RUC!$D$3:$D$110)</f>
        <v>20601769396</v>
      </c>
      <c r="G105" s="3">
        <v>112.0</v>
      </c>
      <c r="H105" s="3" t="s">
        <v>40</v>
      </c>
      <c r="I105" s="6">
        <v>4.21</v>
      </c>
      <c r="J105" s="58">
        <v>17.12</v>
      </c>
      <c r="K105" s="6">
        <f t="shared" si="53"/>
        <v>3.489</v>
      </c>
      <c r="L105" s="139">
        <v>0.614</v>
      </c>
      <c r="M105" s="60">
        <f t="shared" si="84"/>
        <v>0.577</v>
      </c>
      <c r="N105" s="62">
        <f t="shared" si="83"/>
        <v>0.577</v>
      </c>
      <c r="O105" s="60">
        <f t="shared" ref="O105:O106" si="85">+ROUND((M105+N105)/2,3)</f>
        <v>0.577</v>
      </c>
      <c r="P105" s="63">
        <v>90.0</v>
      </c>
      <c r="Q105" s="58">
        <v>95.28</v>
      </c>
      <c r="R105" s="65">
        <v>4866.5</v>
      </c>
      <c r="S105" s="66">
        <f t="array" ref="S105">IF((XLOOKUP(D105,RUC!$B$3:$B$106,RUC!$E$3:$E$106)+ROUNDDOWN(O105,1)*100)&lt;95,95,((XLOOKUP(D105,RUC!$B$3:$B$106,RUC!$E$3:$E$106)+ROUNDDOWN(O105,1)*100)))</f>
        <v>140</v>
      </c>
      <c r="U105" s="67">
        <f t="array" ref="U105">XLOOKUP(D105,RUC!$B$3:$B$110,RUC!$F$3:$F$110)</f>
        <v>120</v>
      </c>
      <c r="V105" s="67">
        <v>1.1023</v>
      </c>
      <c r="Y105" s="199">
        <v>30.0</v>
      </c>
      <c r="Z105" s="140">
        <v>40.0</v>
      </c>
      <c r="AA105" s="70">
        <f t="shared" si="56"/>
        <v>70</v>
      </c>
      <c r="AB105" s="71">
        <f t="shared" si="57"/>
        <v>2485.529367</v>
      </c>
      <c r="AC105" s="71">
        <f>+(S105-T105)*V105-'data 1'!$F$4</f>
        <v>74.322</v>
      </c>
      <c r="AD105" s="71">
        <f t="shared" si="58"/>
        <v>169.6194249</v>
      </c>
      <c r="AE105" s="71">
        <f t="shared" si="59"/>
        <v>7.161</v>
      </c>
      <c r="AF105" s="71">
        <f t="shared" si="60"/>
        <v>184.4491954</v>
      </c>
      <c r="AG105" s="72">
        <f t="shared" si="81"/>
        <v>452.5516203</v>
      </c>
      <c r="AH105" s="193">
        <f t="shared" si="62"/>
        <v>69.981</v>
      </c>
      <c r="AI105" s="193">
        <f t="shared" si="63"/>
        <v>73.448</v>
      </c>
      <c r="AJ105" s="73">
        <f t="shared" si="64"/>
        <v>163.4736994</v>
      </c>
      <c r="AK105" s="73">
        <f t="shared" si="65"/>
        <v>62.11955863</v>
      </c>
      <c r="AM105" s="51">
        <f t="shared" si="66"/>
        <v>8672.011962</v>
      </c>
      <c r="AN105" s="51" t="str">
        <f t="array" ref="AN105">XLOOKUP(D105,RUC!$B$3:$B$565,RUC!$M$3:$M$565)</f>
        <v>Evelyn</v>
      </c>
      <c r="AO105" s="131" t="s">
        <v>547</v>
      </c>
      <c r="AP105" s="57" t="s">
        <v>2281</v>
      </c>
      <c r="AQ105" s="57" t="s">
        <v>3038</v>
      </c>
    </row>
    <row r="106" ht="15.0" customHeight="1">
      <c r="A106" s="116" t="s">
        <v>3041</v>
      </c>
      <c r="B106" s="182">
        <v>46057.0</v>
      </c>
      <c r="C106" s="182">
        <v>46043.0</v>
      </c>
      <c r="D106" s="57" t="s">
        <v>295</v>
      </c>
      <c r="E106" s="3">
        <f t="array" ref="E106">XLOOKUP(D106,RUC!$B$3:$B$110,RUC!$D$3:$D$110)</f>
        <v>20601769396</v>
      </c>
      <c r="G106" s="3">
        <v>113.0</v>
      </c>
      <c r="H106" s="3" t="s">
        <v>40</v>
      </c>
      <c r="I106" s="6">
        <v>4.29</v>
      </c>
      <c r="J106" s="58">
        <v>14.42</v>
      </c>
      <c r="K106" s="6">
        <f t="shared" si="53"/>
        <v>3.671</v>
      </c>
      <c r="L106" s="139">
        <v>0.561</v>
      </c>
      <c r="M106" s="60">
        <f t="shared" si="84"/>
        <v>0.527</v>
      </c>
      <c r="N106" s="75">
        <v>0.597</v>
      </c>
      <c r="O106" s="60">
        <f t="shared" si="85"/>
        <v>0.562</v>
      </c>
      <c r="P106" s="63">
        <v>90.0</v>
      </c>
      <c r="Q106" s="58">
        <v>92.69</v>
      </c>
      <c r="R106" s="65">
        <v>4866.5</v>
      </c>
      <c r="S106" s="66">
        <f t="array" ref="S106">IF((XLOOKUP(D106,RUC!$B$3:$B$106,RUC!$E$3:$E$106)+ROUNDDOWN(O106,1)*100)&lt;95,95,((XLOOKUP(D106,RUC!$B$3:$B$106,RUC!$E$3:$E$106)+ROUNDDOWN(O106,1)*100)))</f>
        <v>140</v>
      </c>
      <c r="U106" s="67">
        <f t="array" ref="U106">XLOOKUP(D106,RUC!$B$3:$B$110,RUC!$F$3:$F$110)</f>
        <v>120</v>
      </c>
      <c r="V106" s="67">
        <v>1.1023</v>
      </c>
      <c r="Y106" s="199">
        <v>40.0</v>
      </c>
      <c r="Z106" s="140">
        <v>40.0</v>
      </c>
      <c r="AA106" s="70">
        <f t="shared" si="56"/>
        <v>80</v>
      </c>
      <c r="AB106" s="71">
        <f t="shared" si="57"/>
        <v>2403.873463</v>
      </c>
      <c r="AC106" s="71">
        <f>+(S106-T106)*V106-'data 1'!$F$4</f>
        <v>74.322</v>
      </c>
      <c r="AD106" s="71">
        <f t="shared" si="58"/>
        <v>78.95659914</v>
      </c>
      <c r="AE106" s="71">
        <f t="shared" si="59"/>
        <v>18.184</v>
      </c>
      <c r="AF106" s="71">
        <f t="shared" si="60"/>
        <v>-4.849602856</v>
      </c>
      <c r="AG106" s="72">
        <f t="shared" si="81"/>
        <v>183.6129963</v>
      </c>
      <c r="AH106" s="193">
        <f t="shared" si="62"/>
        <v>65.447</v>
      </c>
      <c r="AI106" s="193">
        <f t="shared" si="63"/>
        <v>70.608</v>
      </c>
      <c r="AJ106" s="73">
        <f t="shared" si="64"/>
        <v>145.3026432</v>
      </c>
      <c r="AK106" s="73">
        <f t="shared" si="65"/>
        <v>63.66082739</v>
      </c>
      <c r="AM106" s="51">
        <f t="shared" si="66"/>
        <v>8824.619484</v>
      </c>
      <c r="AN106" s="51" t="str">
        <f t="array" ref="AN106">XLOOKUP(D106,RUC!$B$3:$B$565,RUC!$M$3:$M$565)</f>
        <v>Evelyn</v>
      </c>
      <c r="AO106" s="131" t="s">
        <v>547</v>
      </c>
      <c r="AP106" s="57" t="s">
        <v>2281</v>
      </c>
      <c r="AQ106" s="57" t="s">
        <v>3038</v>
      </c>
    </row>
    <row r="107" ht="15.0" customHeight="1">
      <c r="A107" s="116" t="s">
        <v>3042</v>
      </c>
      <c r="B107" s="182">
        <v>46057.0</v>
      </c>
      <c r="C107" s="182">
        <v>46043.0</v>
      </c>
      <c r="D107" s="57" t="s">
        <v>295</v>
      </c>
      <c r="E107" s="3">
        <f t="array" ref="E107">XLOOKUP(D107,RUC!$B$3:$B$110,RUC!$D$3:$D$110)</f>
        <v>20601769396</v>
      </c>
      <c r="G107" s="3">
        <v>112.0</v>
      </c>
      <c r="H107" s="3" t="s">
        <v>40</v>
      </c>
      <c r="I107" s="6">
        <v>4.01</v>
      </c>
      <c r="J107" s="58">
        <v>16.25</v>
      </c>
      <c r="K107" s="6">
        <f t="shared" si="53"/>
        <v>3.358</v>
      </c>
      <c r="L107" s="139">
        <v>0.567</v>
      </c>
      <c r="M107" s="60">
        <f t="shared" si="84"/>
        <v>0.533</v>
      </c>
      <c r="N107" s="62">
        <f t="shared" ref="N107:N119" si="86">+M107</f>
        <v>0.533</v>
      </c>
      <c r="O107" s="123">
        <v>0.57</v>
      </c>
      <c r="P107" s="63">
        <v>90.0</v>
      </c>
      <c r="Q107" s="58">
        <v>93.12</v>
      </c>
      <c r="R107" s="65">
        <v>4866.5</v>
      </c>
      <c r="S107" s="66">
        <f t="array" ref="S107">IF((XLOOKUP(D107,RUC!$B$3:$B$106,RUC!$E$3:$E$106)+ROUNDDOWN(O107,1)*100)&lt;95,95,((XLOOKUP(D107,RUC!$B$3:$B$106,RUC!$E$3:$E$106)+ROUNDDOWN(O107,1)*100)))</f>
        <v>140</v>
      </c>
      <c r="U107" s="67">
        <f t="array" ref="U107">XLOOKUP(D107,RUC!$B$3:$B$110,RUC!$F$3:$F$110)</f>
        <v>120</v>
      </c>
      <c r="V107" s="67">
        <v>1.1023</v>
      </c>
      <c r="Y107" s="199">
        <v>40.0</v>
      </c>
      <c r="Z107" s="140">
        <v>40.0</v>
      </c>
      <c r="AA107" s="70">
        <f t="shared" si="56"/>
        <v>80</v>
      </c>
      <c r="AB107" s="71">
        <f t="shared" si="57"/>
        <v>2441.544345</v>
      </c>
      <c r="AC107" s="71">
        <f>+(S107-T107)*V107-'data 1'!$F$4</f>
        <v>74.322</v>
      </c>
      <c r="AD107" s="71">
        <f t="shared" si="58"/>
        <v>92.55735717</v>
      </c>
      <c r="AE107" s="71">
        <f t="shared" si="59"/>
        <v>18.184</v>
      </c>
      <c r="AF107" s="71">
        <f t="shared" si="60"/>
        <v>-14.61630223</v>
      </c>
      <c r="AG107" s="72">
        <f t="shared" si="81"/>
        <v>187.4470549</v>
      </c>
      <c r="AH107" s="193">
        <f t="shared" si="62"/>
        <v>60.788</v>
      </c>
      <c r="AI107" s="193">
        <f t="shared" si="63"/>
        <v>65.279</v>
      </c>
      <c r="AJ107" s="73">
        <f t="shared" si="64"/>
        <v>147.5379678</v>
      </c>
      <c r="AK107" s="73">
        <f t="shared" si="65"/>
        <v>59.06186087</v>
      </c>
      <c r="AM107" s="51">
        <f t="shared" si="66"/>
        <v>8198.705912</v>
      </c>
      <c r="AN107" s="51" t="str">
        <f t="array" ref="AN107">XLOOKUP(D107,RUC!$B$3:$B$565,RUC!$M$3:$M$565)</f>
        <v>Evelyn</v>
      </c>
      <c r="AO107" s="131" t="s">
        <v>547</v>
      </c>
      <c r="AP107" s="57" t="s">
        <v>2281</v>
      </c>
      <c r="AQ107" s="57" t="s">
        <v>3038</v>
      </c>
      <c r="AR107" s="2" t="s">
        <v>3039</v>
      </c>
    </row>
    <row r="108" ht="15.0" customHeight="1">
      <c r="A108" s="116" t="s">
        <v>3043</v>
      </c>
      <c r="B108" s="182">
        <v>46052.0</v>
      </c>
      <c r="C108" s="182">
        <v>46043.0</v>
      </c>
      <c r="D108" s="57" t="s">
        <v>295</v>
      </c>
      <c r="E108" s="3">
        <f t="array" ref="E108">XLOOKUP(D108,RUC!$B$3:$B$110,RUC!$D$3:$D$110)</f>
        <v>20601769396</v>
      </c>
      <c r="G108" s="3">
        <v>101.0</v>
      </c>
      <c r="H108" s="3" t="s">
        <v>40</v>
      </c>
      <c r="I108" s="6">
        <v>6.34</v>
      </c>
      <c r="J108" s="58">
        <v>32.27</v>
      </c>
      <c r="K108" s="6">
        <f t="shared" si="53"/>
        <v>4.294</v>
      </c>
      <c r="L108" s="139">
        <v>0.202</v>
      </c>
      <c r="M108" s="60">
        <f t="shared" si="84"/>
        <v>0.183</v>
      </c>
      <c r="N108" s="62">
        <f t="shared" si="86"/>
        <v>0.183</v>
      </c>
      <c r="O108" s="60">
        <f t="shared" ref="O108:O119" si="87">+ROUND((M108+N108)/2,3)</f>
        <v>0.183</v>
      </c>
      <c r="P108" s="63">
        <v>90.0</v>
      </c>
      <c r="Q108" s="58">
        <v>93.56</v>
      </c>
      <c r="R108" s="65">
        <v>4866.5</v>
      </c>
      <c r="S108" s="66">
        <f t="array" ref="S108">IF((XLOOKUP(D108,RUC!$B$3:$B$106,RUC!$E$3:$E$106)+ROUNDDOWN(O108,1)*100)&lt;95,95,((XLOOKUP(D108,RUC!$B$3:$B$106,RUC!$E$3:$E$106)+ROUNDDOWN(O108,1)*100)))</f>
        <v>100</v>
      </c>
      <c r="U108" s="67">
        <f t="array" ref="U108">XLOOKUP(D108,RUC!$B$3:$B$110,RUC!$F$3:$F$110)</f>
        <v>120</v>
      </c>
      <c r="V108" s="67">
        <v>1.1023</v>
      </c>
      <c r="Y108" s="199">
        <v>30.0</v>
      </c>
      <c r="Z108" s="140">
        <v>40.0</v>
      </c>
      <c r="AA108" s="70">
        <f t="shared" si="56"/>
        <v>70</v>
      </c>
      <c r="AB108" s="71">
        <f t="shared" si="57"/>
        <v>674.3304267</v>
      </c>
      <c r="AC108" s="71">
        <f>+(S108-T108)*V108-'data 1'!$F$4</f>
        <v>30.23</v>
      </c>
      <c r="AD108" s="71">
        <f t="shared" si="58"/>
        <v>37.62483985</v>
      </c>
      <c r="AE108" s="71">
        <f t="shared" si="59"/>
        <v>7.161</v>
      </c>
      <c r="AF108" s="71">
        <f t="shared" si="60"/>
        <v>93.00731493</v>
      </c>
      <c r="AG108" s="72">
        <f t="shared" si="81"/>
        <v>185.0231548</v>
      </c>
      <c r="AH108" s="193">
        <f t="shared" si="62"/>
        <v>27.824</v>
      </c>
      <c r="AI108" s="193">
        <f t="shared" si="63"/>
        <v>29.739</v>
      </c>
      <c r="AJ108" s="73">
        <f t="shared" si="64"/>
        <v>52.81038744</v>
      </c>
      <c r="AK108" s="73">
        <f t="shared" si="65"/>
        <v>24.24737385</v>
      </c>
      <c r="AM108" s="51">
        <f t="shared" si="66"/>
        <v>2895.574852</v>
      </c>
      <c r="AN108" s="51" t="str">
        <f t="array" ref="AN108">XLOOKUP(D108,RUC!$B$3:$B$565,RUC!$M$3:$M$565)</f>
        <v>Evelyn</v>
      </c>
      <c r="AO108" s="131" t="s">
        <v>558</v>
      </c>
      <c r="AP108" s="57" t="s">
        <v>3044</v>
      </c>
      <c r="AQ108" s="57" t="s">
        <v>3045</v>
      </c>
    </row>
    <row r="109" ht="15.0" customHeight="1">
      <c r="A109" s="116" t="s">
        <v>3046</v>
      </c>
      <c r="B109" s="182">
        <v>46052.0</v>
      </c>
      <c r="C109" s="182">
        <v>46043.0</v>
      </c>
      <c r="D109" s="57" t="s">
        <v>295</v>
      </c>
      <c r="E109" s="3">
        <f t="array" ref="E109">XLOOKUP(D109,RUC!$B$3:$B$110,RUC!$D$3:$D$110)</f>
        <v>20601769396</v>
      </c>
      <c r="G109" s="3">
        <v>101.0</v>
      </c>
      <c r="H109" s="3" t="s">
        <v>40</v>
      </c>
      <c r="I109" s="6">
        <v>6.72</v>
      </c>
      <c r="J109" s="58">
        <v>33.27</v>
      </c>
      <c r="K109" s="6">
        <f t="shared" si="53"/>
        <v>4.484</v>
      </c>
      <c r="L109" s="139">
        <v>0.191</v>
      </c>
      <c r="M109" s="60">
        <f t="shared" si="84"/>
        <v>0.172</v>
      </c>
      <c r="N109" s="62">
        <f t="shared" si="86"/>
        <v>0.172</v>
      </c>
      <c r="O109" s="60">
        <f t="shared" si="87"/>
        <v>0.172</v>
      </c>
      <c r="P109" s="63">
        <v>90.0</v>
      </c>
      <c r="Q109" s="58">
        <v>91.62</v>
      </c>
      <c r="R109" s="65">
        <v>4866.5</v>
      </c>
      <c r="S109" s="66">
        <f t="array" ref="S109">IF((XLOOKUP(D109,RUC!$B$3:$B$106,RUC!$E$3:$E$106)+ROUNDDOWN(O109,1)*100)&lt;95,95,((XLOOKUP(D109,RUC!$B$3:$B$106,RUC!$E$3:$E$106)+ROUNDDOWN(O109,1)*100)))</f>
        <v>100</v>
      </c>
      <c r="U109" s="67">
        <f t="array" ref="U109">XLOOKUP(D109,RUC!$B$3:$B$110,RUC!$F$3:$F$110)</f>
        <v>120</v>
      </c>
      <c r="V109" s="67">
        <v>1.1023</v>
      </c>
      <c r="Y109" s="199">
        <v>30.0</v>
      </c>
      <c r="Z109" s="140">
        <v>40.0</v>
      </c>
      <c r="AA109" s="70">
        <f t="shared" si="56"/>
        <v>70</v>
      </c>
      <c r="AB109" s="71">
        <f t="shared" si="57"/>
        <v>622.5329639</v>
      </c>
      <c r="AC109" s="71">
        <f>+(S109-T109)*V109-'data 1'!$F$4</f>
        <v>30.23</v>
      </c>
      <c r="AD109" s="71">
        <f t="shared" si="58"/>
        <v>16.18906156</v>
      </c>
      <c r="AE109" s="71">
        <f t="shared" si="59"/>
        <v>7.161</v>
      </c>
      <c r="AF109" s="71">
        <f t="shared" si="60"/>
        <v>91.07877505</v>
      </c>
      <c r="AG109" s="72">
        <f t="shared" si="81"/>
        <v>161.6588366</v>
      </c>
      <c r="AH109" s="193">
        <f t="shared" si="62"/>
        <v>26.903</v>
      </c>
      <c r="AI109" s="193">
        <f t="shared" si="63"/>
        <v>29.364</v>
      </c>
      <c r="AJ109" s="73">
        <f t="shared" si="64"/>
        <v>48.89916304</v>
      </c>
      <c r="AK109" s="73">
        <f t="shared" si="65"/>
        <v>23.79828327</v>
      </c>
      <c r="AM109" s="51">
        <f t="shared" si="66"/>
        <v>2791.43781</v>
      </c>
      <c r="AN109" s="51" t="str">
        <f t="array" ref="AN109">XLOOKUP(D109,RUC!$B$3:$B$565,RUC!$M$3:$M$565)</f>
        <v>Evelyn</v>
      </c>
      <c r="AO109" s="131" t="s">
        <v>558</v>
      </c>
      <c r="AP109" s="57" t="s">
        <v>3044</v>
      </c>
      <c r="AQ109" s="57" t="s">
        <v>3045</v>
      </c>
    </row>
    <row r="110" ht="15.0" customHeight="1">
      <c r="A110" s="116" t="s">
        <v>3047</v>
      </c>
      <c r="B110" s="182">
        <v>46050.0</v>
      </c>
      <c r="C110" s="182">
        <v>46043.0</v>
      </c>
      <c r="D110" s="57" t="s">
        <v>2222</v>
      </c>
      <c r="E110" s="3" t="str">
        <f t="array" ref="E110">XLOOKUP(D110,RUC!$B$3:$B$110,RUC!$D$3:$D$110)</f>
        <v>20601769396*</v>
      </c>
      <c r="G110" s="3">
        <v>159.0</v>
      </c>
      <c r="H110" s="3" t="s">
        <v>40</v>
      </c>
      <c r="I110" s="6">
        <v>5.1</v>
      </c>
      <c r="J110" s="58">
        <v>17.25</v>
      </c>
      <c r="K110" s="6">
        <f t="shared" si="53"/>
        <v>4.22</v>
      </c>
      <c r="L110" s="139">
        <v>0.279</v>
      </c>
      <c r="M110" s="60">
        <f t="shared" si="84"/>
        <v>0.26</v>
      </c>
      <c r="N110" s="62">
        <f t="shared" si="86"/>
        <v>0.26</v>
      </c>
      <c r="O110" s="60">
        <f t="shared" si="87"/>
        <v>0.26</v>
      </c>
      <c r="P110" s="63">
        <v>90.0</v>
      </c>
      <c r="Q110" s="58">
        <v>95.34</v>
      </c>
      <c r="R110" s="65">
        <v>4866.5</v>
      </c>
      <c r="S110" s="66">
        <f t="array" ref="S110">IF((XLOOKUP(D110,RUC!$B$3:$B$106,RUC!$E$3:$E$106)+ROUNDDOWN(O110,1)*100)&lt;95,95,((XLOOKUP(D110,RUC!$B$3:$B$106,RUC!$E$3:$E$106)+ROUNDDOWN(O110,1)*100)))</f>
        <v>110</v>
      </c>
      <c r="U110" s="67">
        <f t="array" ref="U110">XLOOKUP(D110,RUC!$B$3:$B$110,RUC!$F$3:$F$110)</f>
        <v>120</v>
      </c>
      <c r="V110" s="67">
        <v>1.1023</v>
      </c>
      <c r="Y110" s="199">
        <v>30.0</v>
      </c>
      <c r="Z110" s="140">
        <v>40.0</v>
      </c>
      <c r="AA110" s="70">
        <f t="shared" si="56"/>
        <v>70</v>
      </c>
      <c r="AB110" s="71">
        <f t="shared" si="57"/>
        <v>1025.889666</v>
      </c>
      <c r="AC110" s="71">
        <f>+(S110-T110)*V110-'data 1'!$F$4</f>
        <v>41.253</v>
      </c>
      <c r="AD110" s="71">
        <f t="shared" si="58"/>
        <v>77.95047266</v>
      </c>
      <c r="AE110" s="71">
        <f t="shared" si="59"/>
        <v>7.161</v>
      </c>
      <c r="AF110" s="71">
        <f t="shared" si="60"/>
        <v>94.77679997</v>
      </c>
      <c r="AG110" s="72">
        <f t="shared" si="81"/>
        <v>238.1412726</v>
      </c>
      <c r="AH110" s="193">
        <f t="shared" si="62"/>
        <v>38.486</v>
      </c>
      <c r="AI110" s="193">
        <f t="shared" si="63"/>
        <v>40.367</v>
      </c>
      <c r="AJ110" s="73">
        <f t="shared" si="64"/>
        <v>74.32880009</v>
      </c>
      <c r="AK110" s="73">
        <f t="shared" si="65"/>
        <v>33.85613499</v>
      </c>
      <c r="AM110" s="51">
        <f t="shared" si="66"/>
        <v>4329.254392</v>
      </c>
      <c r="AN110" s="51" t="str">
        <f t="array" ref="AN110">XLOOKUP(D110,RUC!$B$3:$B$565,RUC!$M$3:$M$565)</f>
        <v>Zudaire</v>
      </c>
      <c r="AO110" s="131" t="s">
        <v>547</v>
      </c>
      <c r="AP110" s="57" t="s">
        <v>2298</v>
      </c>
      <c r="AQ110" s="57" t="s">
        <v>733</v>
      </c>
    </row>
    <row r="111" ht="15.0" customHeight="1">
      <c r="A111" s="116" t="s">
        <v>3048</v>
      </c>
      <c r="B111" s="182">
        <v>46050.0</v>
      </c>
      <c r="C111" s="182">
        <v>46043.0</v>
      </c>
      <c r="D111" s="57" t="s">
        <v>2222</v>
      </c>
      <c r="E111" s="3" t="str">
        <f t="array" ref="E111">XLOOKUP(D111,RUC!$B$3:$B$110,RUC!$D$3:$D$110)</f>
        <v>20601769396*</v>
      </c>
      <c r="G111" s="3">
        <v>90.0</v>
      </c>
      <c r="H111" s="3" t="s">
        <v>40</v>
      </c>
      <c r="I111" s="6">
        <v>2.55</v>
      </c>
      <c r="J111" s="58">
        <v>17.5</v>
      </c>
      <c r="K111" s="6">
        <f t="shared" si="53"/>
        <v>2.104</v>
      </c>
      <c r="L111" s="139">
        <v>0.167</v>
      </c>
      <c r="M111" s="60">
        <f t="shared" si="84"/>
        <v>0.148</v>
      </c>
      <c r="N111" s="62">
        <f t="shared" si="86"/>
        <v>0.148</v>
      </c>
      <c r="O111" s="60">
        <f t="shared" si="87"/>
        <v>0.148</v>
      </c>
      <c r="P111" s="63">
        <v>85.0</v>
      </c>
      <c r="Q111" s="58">
        <v>92.81</v>
      </c>
      <c r="R111" s="65">
        <v>4866.5</v>
      </c>
      <c r="S111" s="66">
        <f t="array" ref="S111">IF((XLOOKUP(D111,RUC!$B$3:$B$106,RUC!$E$3:$E$106)+ROUNDDOWN(O111,1)*100)&lt;95,95,((XLOOKUP(D111,RUC!$B$3:$B$106,RUC!$E$3:$E$106)+ROUNDDOWN(O111,1)*100)))</f>
        <v>100</v>
      </c>
      <c r="U111" s="67">
        <f t="array" ref="U111">XLOOKUP(D111,RUC!$B$3:$B$110,RUC!$F$3:$F$110)</f>
        <v>120</v>
      </c>
      <c r="V111" s="67">
        <v>1.1023</v>
      </c>
      <c r="Y111" s="199">
        <v>30.0</v>
      </c>
      <c r="Z111" s="140">
        <v>40.0</v>
      </c>
      <c r="AA111" s="70">
        <f t="shared" si="56"/>
        <v>70</v>
      </c>
      <c r="AB111" s="71">
        <f t="shared" si="57"/>
        <v>470.8030223</v>
      </c>
      <c r="AC111" s="71">
        <f>+(S111-T111)*V111-'data 1'!$F$4</f>
        <v>30.23</v>
      </c>
      <c r="AD111" s="71">
        <f t="shared" si="58"/>
        <v>68.24027961</v>
      </c>
      <c r="AE111" s="71">
        <f t="shared" si="59"/>
        <v>7.161</v>
      </c>
      <c r="AF111" s="71">
        <f t="shared" si="60"/>
        <v>92.26174539</v>
      </c>
      <c r="AG111" s="72">
        <f t="shared" si="81"/>
        <v>214.893025</v>
      </c>
      <c r="AH111" s="193">
        <f t="shared" si="62"/>
        <v>11.181</v>
      </c>
      <c r="AI111" s="193">
        <f t="shared" si="63"/>
        <v>12.047</v>
      </c>
      <c r="AJ111" s="73">
        <f t="shared" si="64"/>
        <v>43.31008289</v>
      </c>
      <c r="AK111" s="73">
        <f t="shared" si="65"/>
        <v>9.074766222</v>
      </c>
      <c r="AM111" s="51">
        <f t="shared" si="66"/>
        <v>990.5695589</v>
      </c>
      <c r="AN111" s="51" t="str">
        <f t="array" ref="AN111">XLOOKUP(D111,RUC!$B$3:$B$565,RUC!$M$3:$M$565)</f>
        <v>Zudaire</v>
      </c>
      <c r="AO111" s="131" t="s">
        <v>547</v>
      </c>
      <c r="AP111" s="57" t="s">
        <v>2298</v>
      </c>
      <c r="AQ111" s="57" t="s">
        <v>733</v>
      </c>
    </row>
    <row r="112" ht="15.0" customHeight="1">
      <c r="A112" s="116" t="s">
        <v>3049</v>
      </c>
      <c r="B112" s="182">
        <v>46050.0</v>
      </c>
      <c r="C112" s="182">
        <v>46043.0</v>
      </c>
      <c r="D112" s="57" t="s">
        <v>2222</v>
      </c>
      <c r="E112" s="3" t="str">
        <f t="array" ref="E112">XLOOKUP(D112,RUC!$B$3:$B$110,RUC!$D$3:$D$110)</f>
        <v>20601769396*</v>
      </c>
      <c r="G112" s="3">
        <v>102.0</v>
      </c>
      <c r="H112" s="3" t="s">
        <v>40</v>
      </c>
      <c r="I112" s="6">
        <v>2.94</v>
      </c>
      <c r="J112" s="58">
        <v>17.12</v>
      </c>
      <c r="K112" s="6">
        <f t="shared" si="53"/>
        <v>2.437</v>
      </c>
      <c r="L112" s="139">
        <v>0.219</v>
      </c>
      <c r="M112" s="60">
        <f t="shared" si="84"/>
        <v>0.2</v>
      </c>
      <c r="N112" s="62">
        <f t="shared" si="86"/>
        <v>0.2</v>
      </c>
      <c r="O112" s="60">
        <f t="shared" si="87"/>
        <v>0.2</v>
      </c>
      <c r="P112" s="63">
        <v>90.0</v>
      </c>
      <c r="Q112" s="58">
        <v>84.47</v>
      </c>
      <c r="R112" s="65">
        <v>4866.5</v>
      </c>
      <c r="S112" s="66">
        <f t="array" ref="S112">IF((XLOOKUP(D112,RUC!$B$3:$B$106,RUC!$E$3:$E$106)+ROUNDDOWN(O112,1)*100)&lt;95,95,((XLOOKUP(D112,RUC!$B$3:$B$106,RUC!$E$3:$E$106)+ROUNDDOWN(O112,1)*100)))</f>
        <v>110</v>
      </c>
      <c r="U112" s="67">
        <f t="array" ref="U112">XLOOKUP(D112,RUC!$B$3:$B$110,RUC!$F$3:$F$110)</f>
        <v>120</v>
      </c>
      <c r="V112" s="67">
        <v>1.1023</v>
      </c>
      <c r="Y112" s="199">
        <v>30.0</v>
      </c>
      <c r="Z112" s="140">
        <v>40.0</v>
      </c>
      <c r="AA112" s="70">
        <f t="shared" si="56"/>
        <v>70</v>
      </c>
      <c r="AB112" s="71">
        <f t="shared" si="57"/>
        <v>743.358051</v>
      </c>
      <c r="AC112" s="71">
        <f>+(S112-T112)*V112-'data 1'!$F$4</f>
        <v>41.253</v>
      </c>
      <c r="AD112" s="71">
        <f t="shared" si="58"/>
        <v>-63.36399321</v>
      </c>
      <c r="AE112" s="71">
        <f t="shared" si="59"/>
        <v>7.161</v>
      </c>
      <c r="AF112" s="71">
        <f t="shared" si="60"/>
        <v>83.9710121</v>
      </c>
      <c r="AG112" s="72">
        <f t="shared" si="81"/>
        <v>86.02101889</v>
      </c>
      <c r="AH112" s="193">
        <f t="shared" si="62"/>
        <v>15.457</v>
      </c>
      <c r="AI112" s="193">
        <f t="shared" si="63"/>
        <v>18.298</v>
      </c>
      <c r="AJ112" s="73">
        <f t="shared" si="64"/>
        <v>51.69212432</v>
      </c>
      <c r="AK112" s="73">
        <f t="shared" si="65"/>
        <v>15.03962832</v>
      </c>
      <c r="AM112" s="51">
        <f t="shared" si="66"/>
        <v>1811.56357</v>
      </c>
      <c r="AN112" s="51" t="str">
        <f t="array" ref="AN112">XLOOKUP(D112,RUC!$B$3:$B$565,RUC!$M$3:$M$565)</f>
        <v>Zudaire</v>
      </c>
      <c r="AO112" s="131" t="s">
        <v>547</v>
      </c>
      <c r="AP112" s="57" t="s">
        <v>2298</v>
      </c>
      <c r="AQ112" s="57" t="s">
        <v>733</v>
      </c>
    </row>
    <row r="113" ht="15.0" customHeight="1">
      <c r="A113" s="116" t="s">
        <v>3050</v>
      </c>
      <c r="B113" s="182">
        <v>46050.0</v>
      </c>
      <c r="C113" s="182">
        <v>46043.0</v>
      </c>
      <c r="D113" s="57" t="s">
        <v>2222</v>
      </c>
      <c r="E113" s="3" t="str">
        <f t="array" ref="E113">XLOOKUP(D113,RUC!$B$3:$B$110,RUC!$D$3:$D$110)</f>
        <v>20601769396*</v>
      </c>
      <c r="G113" s="3">
        <v>152.0</v>
      </c>
      <c r="H113" s="3" t="s">
        <v>40</v>
      </c>
      <c r="I113" s="6">
        <v>4.35</v>
      </c>
      <c r="J113" s="58">
        <v>16.8</v>
      </c>
      <c r="K113" s="6">
        <f t="shared" si="53"/>
        <v>3.619</v>
      </c>
      <c r="L113" s="139">
        <v>0.794</v>
      </c>
      <c r="M113" s="60">
        <f t="shared" si="84"/>
        <v>0.746</v>
      </c>
      <c r="N113" s="62">
        <f t="shared" si="86"/>
        <v>0.746</v>
      </c>
      <c r="O113" s="60">
        <f t="shared" si="87"/>
        <v>0.746</v>
      </c>
      <c r="P113" s="63">
        <v>90.0</v>
      </c>
      <c r="Q113" s="58">
        <v>95.47</v>
      </c>
      <c r="R113" s="65">
        <v>4866.5</v>
      </c>
      <c r="S113" s="66">
        <f t="array" ref="S113">IF((XLOOKUP(D113,RUC!$B$3:$B$106,RUC!$E$3:$E$106)+ROUNDDOWN(O113,1)*100)&lt;95,95,((XLOOKUP(D113,RUC!$B$3:$B$106,RUC!$E$3:$E$106)+ROUNDDOWN(O113,1)*100)))</f>
        <v>160</v>
      </c>
      <c r="U113" s="67">
        <f t="array" ref="U113">XLOOKUP(D113,RUC!$B$3:$B$110,RUC!$F$3:$F$110)</f>
        <v>120</v>
      </c>
      <c r="V113" s="67">
        <v>1.1023</v>
      </c>
      <c r="Y113" s="199">
        <v>30.0</v>
      </c>
      <c r="Z113" s="140">
        <v>40.0</v>
      </c>
      <c r="AA113" s="70">
        <f t="shared" si="56"/>
        <v>70</v>
      </c>
      <c r="AB113" s="71">
        <f t="shared" si="57"/>
        <v>3259.28075</v>
      </c>
      <c r="AC113" s="71">
        <f>+(S113-T113)*V113-'data 1'!$F$4</f>
        <v>96.368</v>
      </c>
      <c r="AD113" s="71">
        <f t="shared" si="58"/>
        <v>227.2380854</v>
      </c>
      <c r="AE113" s="71">
        <f t="shared" si="59"/>
        <v>7.161</v>
      </c>
      <c r="AF113" s="71">
        <f t="shared" si="60"/>
        <v>239.7626072</v>
      </c>
      <c r="AG113" s="72">
        <f t="shared" si="81"/>
        <v>587.5296926</v>
      </c>
      <c r="AH113" s="193">
        <f t="shared" si="62"/>
        <v>94.056</v>
      </c>
      <c r="AI113" s="193">
        <f t="shared" si="63"/>
        <v>98.519</v>
      </c>
      <c r="AJ113" s="73">
        <f t="shared" si="64"/>
        <v>211.8191379</v>
      </c>
      <c r="AK113" s="73">
        <f t="shared" si="65"/>
        <v>83.30651931</v>
      </c>
      <c r="AM113" s="51">
        <f t="shared" si="66"/>
        <v>11795.33704</v>
      </c>
      <c r="AN113" s="51" t="str">
        <f t="array" ref="AN113">XLOOKUP(D113,RUC!$B$3:$B$565,RUC!$M$3:$M$565)</f>
        <v>Zudaire</v>
      </c>
      <c r="AO113" s="131" t="s">
        <v>558</v>
      </c>
      <c r="AP113" s="57" t="s">
        <v>2298</v>
      </c>
      <c r="AQ113" s="57" t="s">
        <v>733</v>
      </c>
    </row>
    <row r="114" ht="15.0" customHeight="1">
      <c r="A114" s="116" t="s">
        <v>3051</v>
      </c>
      <c r="B114" s="182">
        <v>46050.0</v>
      </c>
      <c r="C114" s="182">
        <v>46044.0</v>
      </c>
      <c r="D114" s="57" t="s">
        <v>2222</v>
      </c>
      <c r="E114" s="3" t="str">
        <f t="array" ref="E114">XLOOKUP(D114,RUC!$B$3:$B$110,RUC!$D$3:$D$110)</f>
        <v>20601769396*</v>
      </c>
      <c r="G114" s="3">
        <v>126.0</v>
      </c>
      <c r="H114" s="3" t="s">
        <v>40</v>
      </c>
      <c r="I114" s="6">
        <v>3.59</v>
      </c>
      <c r="J114" s="58">
        <v>17.37</v>
      </c>
      <c r="K114" s="6">
        <f t="shared" si="53"/>
        <v>2.966</v>
      </c>
      <c r="L114" s="139">
        <v>0.423</v>
      </c>
      <c r="M114" s="60">
        <f t="shared" si="84"/>
        <v>0.398</v>
      </c>
      <c r="N114" s="62">
        <f t="shared" si="86"/>
        <v>0.398</v>
      </c>
      <c r="O114" s="60">
        <f t="shared" si="87"/>
        <v>0.398</v>
      </c>
      <c r="P114" s="63">
        <v>90.0</v>
      </c>
      <c r="Q114" s="58">
        <v>96.22</v>
      </c>
      <c r="R114" s="65">
        <v>4832.05</v>
      </c>
      <c r="S114" s="66">
        <f t="array" ref="S114">IF((XLOOKUP(D114,RUC!$B$3:$B$106,RUC!$E$3:$E$106)+ROUNDDOWN(O114,1)*100)&lt;95,95,((XLOOKUP(D114,RUC!$B$3:$B$106,RUC!$E$3:$E$106)+ROUNDDOWN(O114,1)*100)))</f>
        <v>120</v>
      </c>
      <c r="U114" s="67">
        <f t="array" ref="U114">XLOOKUP(D114,RUC!$B$3:$B$110,RUC!$F$3:$F$110)</f>
        <v>120</v>
      </c>
      <c r="V114" s="67">
        <v>1.1023</v>
      </c>
      <c r="Y114" s="199">
        <v>30.0</v>
      </c>
      <c r="Z114" s="140">
        <v>40.0</v>
      </c>
      <c r="AA114" s="70">
        <f t="shared" si="56"/>
        <v>70</v>
      </c>
      <c r="AB114" s="71">
        <f t="shared" si="57"/>
        <v>1651.087011</v>
      </c>
      <c r="AC114" s="71">
        <f>+(S114-T114)*V114-'data 1'!$F$4</f>
        <v>52.276</v>
      </c>
      <c r="AD114" s="71">
        <f t="shared" si="58"/>
        <v>136.6596958</v>
      </c>
      <c r="AE114" s="71">
        <f t="shared" si="59"/>
        <v>7.161</v>
      </c>
      <c r="AF114" s="71">
        <f t="shared" si="60"/>
        <v>124.9439003</v>
      </c>
      <c r="AG114" s="72">
        <f t="shared" si="81"/>
        <v>338.040596</v>
      </c>
      <c r="AH114" s="193">
        <f t="shared" si="62"/>
        <v>41.389</v>
      </c>
      <c r="AI114" s="193">
        <f t="shared" si="63"/>
        <v>43.015</v>
      </c>
      <c r="AJ114" s="73">
        <f t="shared" si="64"/>
        <v>129.1881295</v>
      </c>
      <c r="AK114" s="73">
        <f t="shared" si="65"/>
        <v>36.42552311</v>
      </c>
      <c r="AM114" s="51">
        <f t="shared" si="66"/>
        <v>4897.124073</v>
      </c>
      <c r="AN114" s="51" t="str">
        <f t="array" ref="AN114">XLOOKUP(D114,RUC!$B$3:$B$565,RUC!$M$3:$M$565)</f>
        <v>Zudaire</v>
      </c>
      <c r="AO114" s="131" t="s">
        <v>558</v>
      </c>
      <c r="AP114" s="57" t="s">
        <v>3052</v>
      </c>
      <c r="AQ114" s="57" t="s">
        <v>3053</v>
      </c>
    </row>
    <row r="115" ht="15.0" customHeight="1">
      <c r="A115" s="116" t="s">
        <v>3054</v>
      </c>
      <c r="B115" s="182">
        <v>46050.0</v>
      </c>
      <c r="C115" s="182">
        <v>46044.0</v>
      </c>
      <c r="D115" s="57" t="s">
        <v>2222</v>
      </c>
      <c r="E115" s="3" t="str">
        <f t="array" ref="E115">XLOOKUP(D115,RUC!$B$3:$B$110,RUC!$D$3:$D$110)</f>
        <v>20601769396*</v>
      </c>
      <c r="G115" s="3">
        <v>145.0</v>
      </c>
      <c r="H115" s="3" t="s">
        <v>40</v>
      </c>
      <c r="I115" s="6">
        <v>3.96</v>
      </c>
      <c r="J115" s="58">
        <v>17.7</v>
      </c>
      <c r="K115" s="6">
        <f t="shared" si="53"/>
        <v>3.259</v>
      </c>
      <c r="L115" s="139">
        <v>0.198</v>
      </c>
      <c r="M115" s="60">
        <f t="shared" si="84"/>
        <v>0.179</v>
      </c>
      <c r="N115" s="62">
        <f t="shared" si="86"/>
        <v>0.179</v>
      </c>
      <c r="O115" s="60">
        <f t="shared" si="87"/>
        <v>0.179</v>
      </c>
      <c r="P115" s="63">
        <v>90.0</v>
      </c>
      <c r="Q115" s="58">
        <v>92.42</v>
      </c>
      <c r="R115" s="65">
        <v>4832.05</v>
      </c>
      <c r="S115" s="66">
        <f t="array" ref="S115">IF((XLOOKUP(D115,RUC!$B$3:$B$106,RUC!$E$3:$E$106)+ROUNDDOWN(O115,1)*100)&lt;95,95,((XLOOKUP(D115,RUC!$B$3:$B$106,RUC!$E$3:$E$106)+ROUNDDOWN(O115,1)*100)))</f>
        <v>100</v>
      </c>
      <c r="U115" s="67">
        <f t="array" ref="U115">XLOOKUP(D115,RUC!$B$3:$B$110,RUC!$F$3:$F$110)</f>
        <v>120</v>
      </c>
      <c r="V115" s="67">
        <v>1.1023</v>
      </c>
      <c r="Y115" s="199">
        <v>30.0</v>
      </c>
      <c r="Z115" s="140">
        <v>40.0</v>
      </c>
      <c r="AA115" s="70">
        <f t="shared" si="56"/>
        <v>70</v>
      </c>
      <c r="AB115" s="71">
        <f t="shared" si="57"/>
        <v>649.3773364</v>
      </c>
      <c r="AC115" s="71">
        <f>+(S115-T115)*V115-'data 1'!$F$4</f>
        <v>30.23</v>
      </c>
      <c r="AD115" s="71">
        <f t="shared" si="58"/>
        <v>24.88801465</v>
      </c>
      <c r="AE115" s="71">
        <f t="shared" si="59"/>
        <v>7.161</v>
      </c>
      <c r="AF115" s="71">
        <f t="shared" si="60"/>
        <v>91.20722926</v>
      </c>
      <c r="AG115" s="72">
        <f t="shared" si="81"/>
        <v>170.4862439</v>
      </c>
      <c r="AH115" s="193">
        <f t="shared" si="62"/>
        <v>20.447</v>
      </c>
      <c r="AI115" s="193">
        <f t="shared" si="63"/>
        <v>22.124</v>
      </c>
      <c r="AJ115" s="73">
        <f t="shared" si="64"/>
        <v>58.08286693</v>
      </c>
      <c r="AK115" s="73">
        <f t="shared" si="65"/>
        <v>18.00068243</v>
      </c>
      <c r="AM115" s="51">
        <f t="shared" si="66"/>
        <v>2116.320739</v>
      </c>
      <c r="AN115" s="51" t="str">
        <f t="array" ref="AN115">XLOOKUP(D115,RUC!$B$3:$B$565,RUC!$M$3:$M$565)</f>
        <v>Zudaire</v>
      </c>
      <c r="AO115" s="131" t="s">
        <v>558</v>
      </c>
      <c r="AP115" s="57" t="s">
        <v>3052</v>
      </c>
      <c r="AQ115" s="57" t="s">
        <v>3053</v>
      </c>
    </row>
    <row r="116" ht="15.0" customHeight="1">
      <c r="A116" s="116" t="s">
        <v>3055</v>
      </c>
      <c r="B116" s="182">
        <v>46050.0</v>
      </c>
      <c r="C116" s="182">
        <v>46044.0</v>
      </c>
      <c r="D116" s="57" t="s">
        <v>2222</v>
      </c>
      <c r="E116" s="3" t="str">
        <f t="array" ref="E116">XLOOKUP(D116,RUC!$B$3:$B$110,RUC!$D$3:$D$110)</f>
        <v>20601769396*</v>
      </c>
      <c r="G116" s="3">
        <v>135.0</v>
      </c>
      <c r="H116" s="3" t="s">
        <v>40</v>
      </c>
      <c r="I116" s="6">
        <v>3.71</v>
      </c>
      <c r="J116" s="58">
        <v>18.55</v>
      </c>
      <c r="K116" s="6">
        <f t="shared" si="53"/>
        <v>3.022</v>
      </c>
      <c r="L116" s="139">
        <v>0.216</v>
      </c>
      <c r="M116" s="60">
        <f t="shared" si="84"/>
        <v>0.197</v>
      </c>
      <c r="N116" s="62">
        <f t="shared" si="86"/>
        <v>0.197</v>
      </c>
      <c r="O116" s="60">
        <f t="shared" si="87"/>
        <v>0.197</v>
      </c>
      <c r="P116" s="63">
        <v>90.0</v>
      </c>
      <c r="Q116" s="58">
        <v>95.37</v>
      </c>
      <c r="R116" s="65">
        <v>4832.05</v>
      </c>
      <c r="S116" s="66">
        <f t="array" ref="S116">IF((XLOOKUP(D116,RUC!$B$3:$B$106,RUC!$E$3:$E$106)+ROUNDDOWN(O116,1)*100)&lt;95,95,((XLOOKUP(D116,RUC!$B$3:$B$106,RUC!$E$3:$E$106)+ROUNDDOWN(O116,1)*100)))</f>
        <v>100</v>
      </c>
      <c r="U116" s="67">
        <f t="array" ref="U116">XLOOKUP(D116,RUC!$B$3:$B$110,RUC!$F$3:$F$110)</f>
        <v>120</v>
      </c>
      <c r="V116" s="67">
        <v>1.1023</v>
      </c>
      <c r="Y116" s="199">
        <v>30.0</v>
      </c>
      <c r="Z116" s="140">
        <v>40.0</v>
      </c>
      <c r="AA116" s="70">
        <f t="shared" si="56"/>
        <v>70</v>
      </c>
      <c r="AB116" s="71">
        <f t="shared" si="57"/>
        <v>733.5216384</v>
      </c>
      <c r="AC116" s="71">
        <f>+(S116-T116)*V116-'data 1'!$F$4</f>
        <v>30.23</v>
      </c>
      <c r="AD116" s="71">
        <f t="shared" si="58"/>
        <v>60.24732022</v>
      </c>
      <c r="AE116" s="71">
        <f t="shared" si="59"/>
        <v>7.161</v>
      </c>
      <c r="AF116" s="71">
        <f t="shared" si="60"/>
        <v>94.11851822</v>
      </c>
      <c r="AG116" s="72">
        <f t="shared" si="81"/>
        <v>208.7568384</v>
      </c>
      <c r="AH116" s="193">
        <f t="shared" si="62"/>
        <v>21.344</v>
      </c>
      <c r="AI116" s="193">
        <f t="shared" si="63"/>
        <v>22.38</v>
      </c>
      <c r="AJ116" s="73">
        <f t="shared" si="64"/>
        <v>65.38564678</v>
      </c>
      <c r="AK116" s="73">
        <f t="shared" si="65"/>
        <v>18.37013149</v>
      </c>
      <c r="AM116" s="51">
        <f t="shared" si="66"/>
        <v>2216.702391</v>
      </c>
      <c r="AN116" s="51" t="str">
        <f t="array" ref="AN116">XLOOKUP(D116,RUC!$B$3:$B$565,RUC!$M$3:$M$565)</f>
        <v>Zudaire</v>
      </c>
      <c r="AO116" s="131" t="s">
        <v>558</v>
      </c>
      <c r="AP116" s="57" t="s">
        <v>3052</v>
      </c>
      <c r="AQ116" s="57" t="s">
        <v>3053</v>
      </c>
    </row>
    <row r="117" ht="15.0" customHeight="1">
      <c r="A117" s="116" t="s">
        <v>3056</v>
      </c>
      <c r="B117" s="182">
        <v>46050.0</v>
      </c>
      <c r="C117" s="182">
        <v>46044.0</v>
      </c>
      <c r="D117" s="57" t="s">
        <v>2222</v>
      </c>
      <c r="E117" s="3" t="str">
        <f t="array" ref="E117">XLOOKUP(D117,RUC!$B$3:$B$110,RUC!$D$3:$D$110)</f>
        <v>20601769396*</v>
      </c>
      <c r="G117" s="3">
        <v>156.0</v>
      </c>
      <c r="H117" s="3" t="s">
        <v>40</v>
      </c>
      <c r="I117" s="6">
        <v>4.17</v>
      </c>
      <c r="J117" s="58">
        <v>17.47</v>
      </c>
      <c r="K117" s="6">
        <f t="shared" si="53"/>
        <v>3.442</v>
      </c>
      <c r="L117" s="139">
        <v>0.64</v>
      </c>
      <c r="M117" s="60">
        <f t="shared" si="84"/>
        <v>0.602</v>
      </c>
      <c r="N117" s="62">
        <f t="shared" si="86"/>
        <v>0.602</v>
      </c>
      <c r="O117" s="60">
        <f t="shared" si="87"/>
        <v>0.602</v>
      </c>
      <c r="P117" s="63">
        <v>84.0</v>
      </c>
      <c r="Q117" s="58">
        <v>85.0</v>
      </c>
      <c r="R117" s="65">
        <v>4832.05</v>
      </c>
      <c r="S117" s="66">
        <f t="array" ref="S117">IF((XLOOKUP(D117,RUC!$B$3:$B$106,RUC!$E$3:$E$106)+ROUNDDOWN(O117,1)*100)&lt;95,95,((XLOOKUP(D117,RUC!$B$3:$B$106,RUC!$E$3:$E$106)+ROUNDDOWN(O117,1)*100)))</f>
        <v>150</v>
      </c>
      <c r="U117" s="67">
        <f t="array" ref="U117">XLOOKUP(D117,RUC!$B$3:$B$110,RUC!$F$3:$F$110)</f>
        <v>120</v>
      </c>
      <c r="V117" s="67">
        <v>1.1023</v>
      </c>
      <c r="Y117" s="199">
        <v>30.0</v>
      </c>
      <c r="Z117" s="140">
        <v>40.0</v>
      </c>
      <c r="AA117" s="70">
        <f t="shared" si="56"/>
        <v>70</v>
      </c>
      <c r="AB117" s="71">
        <f t="shared" si="57"/>
        <v>2384.042804</v>
      </c>
      <c r="AC117" s="71">
        <f>+(S117-T117)*V117-'data 1'!$F$4</f>
        <v>85.345</v>
      </c>
      <c r="AD117" s="71">
        <f t="shared" si="58"/>
        <v>33.24219338</v>
      </c>
      <c r="AE117" s="71">
        <f t="shared" si="59"/>
        <v>7.161</v>
      </c>
      <c r="AF117" s="71">
        <f t="shared" si="60"/>
        <v>167.7691947</v>
      </c>
      <c r="AG117" s="72">
        <f t="shared" si="81"/>
        <v>310.5173881</v>
      </c>
      <c r="AH117" s="193">
        <f t="shared" si="62"/>
        <v>64.198</v>
      </c>
      <c r="AI117" s="193">
        <f t="shared" si="63"/>
        <v>75.527</v>
      </c>
      <c r="AJ117" s="73">
        <f t="shared" si="64"/>
        <v>172.669563</v>
      </c>
      <c r="AK117" s="73">
        <f t="shared" si="65"/>
        <v>59.67545137</v>
      </c>
      <c r="AM117" s="51">
        <f t="shared" si="66"/>
        <v>8205.875332</v>
      </c>
      <c r="AN117" s="51" t="str">
        <f t="array" ref="AN117">XLOOKUP(D117,RUC!$B$3:$B$565,RUC!$M$3:$M$565)</f>
        <v>Zudaire</v>
      </c>
      <c r="AO117" s="131" t="s">
        <v>558</v>
      </c>
      <c r="AP117" s="57" t="s">
        <v>3052</v>
      </c>
      <c r="AQ117" s="57" t="s">
        <v>3053</v>
      </c>
    </row>
    <row r="118" ht="15.0" customHeight="1">
      <c r="A118" s="116" t="s">
        <v>3057</v>
      </c>
      <c r="B118" s="182">
        <v>46050.0</v>
      </c>
      <c r="C118" s="182">
        <v>46044.0</v>
      </c>
      <c r="D118" s="57" t="s">
        <v>2222</v>
      </c>
      <c r="E118" s="3" t="str">
        <f t="array" ref="E118">XLOOKUP(D118,RUC!$B$3:$B$110,RUC!$D$3:$D$110)</f>
        <v>20601769396*</v>
      </c>
      <c r="G118" s="3">
        <v>112.0</v>
      </c>
      <c r="H118" s="3" t="s">
        <v>40</v>
      </c>
      <c r="I118" s="6">
        <v>2.84</v>
      </c>
      <c r="J118" s="58">
        <v>17.77</v>
      </c>
      <c r="K118" s="6">
        <f t="shared" si="53"/>
        <v>2.335</v>
      </c>
      <c r="L118" s="139">
        <v>0.206</v>
      </c>
      <c r="M118" s="60">
        <f t="shared" si="84"/>
        <v>0.187</v>
      </c>
      <c r="N118" s="62">
        <f t="shared" si="86"/>
        <v>0.187</v>
      </c>
      <c r="O118" s="60">
        <f t="shared" si="87"/>
        <v>0.187</v>
      </c>
      <c r="P118" s="63">
        <v>88.0</v>
      </c>
      <c r="Q118" s="58">
        <v>89.32</v>
      </c>
      <c r="R118" s="65">
        <v>4832.05</v>
      </c>
      <c r="S118" s="66">
        <f t="array" ref="S118">IF((XLOOKUP(D118,RUC!$B$3:$B$106,RUC!$E$3:$E$106)+ROUNDDOWN(O118,1)*100)&lt;95,95,((XLOOKUP(D118,RUC!$B$3:$B$106,RUC!$E$3:$E$106)+ROUNDDOWN(O118,1)*100)))</f>
        <v>100</v>
      </c>
      <c r="U118" s="67">
        <f t="array" ref="U118">XLOOKUP(D118,RUC!$B$3:$B$110,RUC!$F$3:$F$110)</f>
        <v>120</v>
      </c>
      <c r="V118" s="67">
        <v>1.1023</v>
      </c>
      <c r="Y118" s="199">
        <v>30.0</v>
      </c>
      <c r="Z118" s="140">
        <v>40.0</v>
      </c>
      <c r="AA118" s="70">
        <f t="shared" si="56"/>
        <v>70</v>
      </c>
      <c r="AB118" s="71">
        <f t="shared" si="57"/>
        <v>667.3488972</v>
      </c>
      <c r="AC118" s="71">
        <f>+(S118-T118)*V118-'data 1'!$F$4</f>
        <v>30.23</v>
      </c>
      <c r="AD118" s="71">
        <f t="shared" si="58"/>
        <v>14.12377691</v>
      </c>
      <c r="AE118" s="71">
        <f t="shared" si="59"/>
        <v>7.161</v>
      </c>
      <c r="AF118" s="71">
        <f t="shared" si="60"/>
        <v>88.14790865</v>
      </c>
      <c r="AG118" s="72">
        <f t="shared" si="81"/>
        <v>156.6626856</v>
      </c>
      <c r="AH118" s="193">
        <f t="shared" si="62"/>
        <v>14.73</v>
      </c>
      <c r="AI118" s="193">
        <f t="shared" si="63"/>
        <v>16.492</v>
      </c>
      <c r="AJ118" s="73">
        <f t="shared" si="64"/>
        <v>58.40268651</v>
      </c>
      <c r="AK118" s="73">
        <f t="shared" si="65"/>
        <v>13.17407807</v>
      </c>
      <c r="AM118" s="51">
        <f t="shared" si="66"/>
        <v>1558.259675</v>
      </c>
      <c r="AN118" s="51" t="str">
        <f t="array" ref="AN118">XLOOKUP(D118,RUC!$B$3:$B$565,RUC!$M$3:$M$565)</f>
        <v>Zudaire</v>
      </c>
      <c r="AO118" s="131" t="s">
        <v>558</v>
      </c>
      <c r="AP118" s="57" t="s">
        <v>3052</v>
      </c>
      <c r="AQ118" s="57" t="s">
        <v>3053</v>
      </c>
    </row>
    <row r="119" ht="15.0" customHeight="1">
      <c r="A119" s="116" t="s">
        <v>3058</v>
      </c>
      <c r="B119" s="182">
        <v>46050.0</v>
      </c>
      <c r="C119" s="182">
        <v>46044.0</v>
      </c>
      <c r="D119" s="57" t="s">
        <v>2222</v>
      </c>
      <c r="E119" s="3" t="str">
        <f t="array" ref="E119">XLOOKUP(D119,RUC!$B$3:$B$110,RUC!$D$3:$D$110)</f>
        <v>20601769396*</v>
      </c>
      <c r="G119" s="3">
        <v>227.0</v>
      </c>
      <c r="H119" s="3" t="s">
        <v>40</v>
      </c>
      <c r="I119" s="6">
        <v>6.69</v>
      </c>
      <c r="J119" s="58">
        <v>18.85</v>
      </c>
      <c r="K119" s="6">
        <f t="shared" si="53"/>
        <v>5.429</v>
      </c>
      <c r="L119" s="139">
        <v>0.245</v>
      </c>
      <c r="M119" s="60">
        <f t="shared" si="84"/>
        <v>0.226</v>
      </c>
      <c r="N119" s="62">
        <f t="shared" si="86"/>
        <v>0.226</v>
      </c>
      <c r="O119" s="60">
        <f t="shared" si="87"/>
        <v>0.226</v>
      </c>
      <c r="P119" s="63">
        <v>84.0</v>
      </c>
      <c r="Q119" s="58">
        <v>84.49</v>
      </c>
      <c r="R119" s="65">
        <v>4832.05</v>
      </c>
      <c r="S119" s="66">
        <f t="array" ref="S119">IF((XLOOKUP(D119,RUC!$B$3:$B$106,RUC!$E$3:$E$106)+ROUNDDOWN(O119,1)*100)&lt;95,95,((XLOOKUP(D119,RUC!$B$3:$B$106,RUC!$E$3:$E$106)+ROUNDDOWN(O119,1)*100)))</f>
        <v>110</v>
      </c>
      <c r="U119" s="67">
        <f t="array" ref="U119">XLOOKUP(D119,RUC!$B$3:$B$110,RUC!$F$3:$F$110)</f>
        <v>120</v>
      </c>
      <c r="V119" s="67">
        <v>1.1023</v>
      </c>
      <c r="Y119" s="199">
        <v>30.0</v>
      </c>
      <c r="Z119" s="140">
        <v>40.0</v>
      </c>
      <c r="AA119" s="70">
        <f t="shared" si="56"/>
        <v>70</v>
      </c>
      <c r="AB119" s="71">
        <f t="shared" si="57"/>
        <v>787.632561</v>
      </c>
      <c r="AC119" s="71">
        <f>+(S119-T119)*V119-'data 1'!$F$4</f>
        <v>41.253</v>
      </c>
      <c r="AD119" s="71">
        <f t="shared" si="58"/>
        <v>6.235508304</v>
      </c>
      <c r="AE119" s="71">
        <f t="shared" si="59"/>
        <v>7.161</v>
      </c>
      <c r="AF119" s="71">
        <f t="shared" si="60"/>
        <v>83.38128976</v>
      </c>
      <c r="AG119" s="72">
        <f t="shared" si="81"/>
        <v>155.0307981</v>
      </c>
      <c r="AH119" s="193">
        <f t="shared" si="62"/>
        <v>38.53</v>
      </c>
      <c r="AI119" s="193">
        <f t="shared" si="63"/>
        <v>45.603</v>
      </c>
      <c r="AJ119" s="73">
        <f t="shared" si="64"/>
        <v>65.7034667</v>
      </c>
      <c r="AK119" s="73">
        <f t="shared" si="65"/>
        <v>35.33593897</v>
      </c>
      <c r="AM119" s="51">
        <f t="shared" si="66"/>
        <v>4276.057174</v>
      </c>
      <c r="AN119" s="51" t="str">
        <f t="array" ref="AN119">XLOOKUP(D119,RUC!$B$3:$B$565,RUC!$M$3:$M$565)</f>
        <v>Zudaire</v>
      </c>
      <c r="AO119" s="131" t="s">
        <v>558</v>
      </c>
      <c r="AP119" s="57" t="s">
        <v>3052</v>
      </c>
      <c r="AQ119" s="57" t="s">
        <v>3053</v>
      </c>
    </row>
    <row r="120" ht="15.0" customHeight="1">
      <c r="A120" s="117" t="s">
        <v>3059</v>
      </c>
      <c r="B120" s="3"/>
      <c r="C120" s="182">
        <v>46045.0</v>
      </c>
      <c r="D120" s="57" t="s">
        <v>723</v>
      </c>
      <c r="E120" s="3">
        <f t="array" ref="E120">XLOOKUP(D120,RUC!$B$3:$B$110,RUC!$D$3:$D$110)</f>
        <v>20606480840</v>
      </c>
      <c r="G120" s="3">
        <v>77.0</v>
      </c>
      <c r="H120" s="3" t="s">
        <v>40</v>
      </c>
      <c r="I120" s="6"/>
      <c r="J120" s="58"/>
      <c r="K120" s="6"/>
      <c r="L120" s="139"/>
      <c r="M120" s="60"/>
      <c r="N120" s="62"/>
      <c r="O120" s="60"/>
      <c r="P120" s="63"/>
      <c r="Q120" s="64"/>
      <c r="R120" s="65"/>
      <c r="S120" s="66"/>
      <c r="U120" s="67"/>
      <c r="V120" s="67"/>
      <c r="Y120" s="199"/>
      <c r="Z120" s="69"/>
      <c r="AA120" s="70"/>
      <c r="AB120" s="71"/>
      <c r="AC120" s="71"/>
      <c r="AD120" s="71"/>
      <c r="AE120" s="71"/>
      <c r="AF120" s="71"/>
      <c r="AG120" s="72"/>
      <c r="AH120" s="193"/>
      <c r="AI120" s="193"/>
      <c r="AJ120" s="73"/>
      <c r="AK120" s="73"/>
      <c r="AM120" s="51"/>
      <c r="AN120" s="51" t="str">
        <f t="array" ref="AN120">XLOOKUP(D120,RUC!$B$3:$B$565,RUC!$M$3:$M$565)</f>
        <v>Robinson Tuya</v>
      </c>
      <c r="AO120" s="131" t="s">
        <v>731</v>
      </c>
      <c r="AP120" s="57" t="s">
        <v>3060</v>
      </c>
      <c r="AQ120" s="57" t="s">
        <v>3061</v>
      </c>
    </row>
    <row r="121" ht="15.0" customHeight="1">
      <c r="A121" s="117" t="s">
        <v>3062</v>
      </c>
      <c r="B121" s="3"/>
      <c r="C121" s="182">
        <v>46045.0</v>
      </c>
      <c r="D121" s="2" t="s">
        <v>723</v>
      </c>
      <c r="E121" s="3">
        <f t="array" ref="E121">XLOOKUP(D121,RUC!$B$3:$B$110,RUC!$D$3:$D$110)</f>
        <v>20606480840</v>
      </c>
      <c r="G121" s="3">
        <v>60.0</v>
      </c>
      <c r="H121" s="3" t="s">
        <v>40</v>
      </c>
      <c r="I121" s="6"/>
      <c r="J121" s="58"/>
      <c r="K121" s="6"/>
      <c r="L121" s="139"/>
      <c r="M121" s="60"/>
      <c r="N121" s="62"/>
      <c r="O121" s="60"/>
      <c r="P121" s="63"/>
      <c r="Q121" s="64"/>
      <c r="R121" s="65"/>
      <c r="S121" s="66"/>
      <c r="U121" s="67"/>
      <c r="V121" s="67"/>
      <c r="Y121" s="199"/>
      <c r="Z121" s="69"/>
      <c r="AA121" s="70"/>
      <c r="AB121" s="71"/>
      <c r="AC121" s="71"/>
      <c r="AD121" s="71"/>
      <c r="AE121" s="71"/>
      <c r="AF121" s="71"/>
      <c r="AG121" s="72"/>
      <c r="AH121" s="193"/>
      <c r="AI121" s="193"/>
      <c r="AJ121" s="73"/>
      <c r="AK121" s="73"/>
      <c r="AM121" s="51"/>
      <c r="AN121" s="51" t="str">
        <f t="array" ref="AN121">XLOOKUP(D121,RUC!$B$3:$B$565,RUC!$M$3:$M$565)</f>
        <v>Robinson Tuya</v>
      </c>
      <c r="AO121" s="131" t="s">
        <v>731</v>
      </c>
      <c r="AP121" s="57" t="s">
        <v>3060</v>
      </c>
      <c r="AQ121" s="57" t="s">
        <v>3061</v>
      </c>
    </row>
    <row r="122" ht="15.0" customHeight="1">
      <c r="A122" s="117" t="s">
        <v>3063</v>
      </c>
      <c r="B122" s="3"/>
      <c r="C122" s="182">
        <v>46045.0</v>
      </c>
      <c r="D122" s="57" t="s">
        <v>723</v>
      </c>
      <c r="E122" s="3">
        <f t="array" ref="E122">XLOOKUP(D122,RUC!$B$3:$B$110,RUC!$D$3:$D$110)</f>
        <v>20606480840</v>
      </c>
      <c r="G122" s="3">
        <v>60.0</v>
      </c>
      <c r="H122" s="3" t="s">
        <v>40</v>
      </c>
      <c r="I122" s="6"/>
      <c r="J122" s="58"/>
      <c r="K122" s="6"/>
      <c r="L122" s="139"/>
      <c r="M122" s="60"/>
      <c r="N122" s="62"/>
      <c r="O122" s="60"/>
      <c r="P122" s="63"/>
      <c r="Q122" s="64"/>
      <c r="R122" s="65"/>
      <c r="S122" s="66"/>
      <c r="U122" s="67"/>
      <c r="V122" s="67"/>
      <c r="Y122" s="199"/>
      <c r="Z122" s="69"/>
      <c r="AA122" s="70"/>
      <c r="AB122" s="71"/>
      <c r="AC122" s="71"/>
      <c r="AD122" s="71"/>
      <c r="AE122" s="71"/>
      <c r="AF122" s="71"/>
      <c r="AG122" s="72"/>
      <c r="AH122" s="193"/>
      <c r="AI122" s="193"/>
      <c r="AJ122" s="73"/>
      <c r="AK122" s="73"/>
      <c r="AM122" s="51"/>
      <c r="AN122" s="51" t="str">
        <f t="array" ref="AN122">XLOOKUP(D122,RUC!$B$3:$B$565,RUC!$M$3:$M$565)</f>
        <v>Robinson Tuya</v>
      </c>
      <c r="AO122" s="131" t="s">
        <v>731</v>
      </c>
      <c r="AP122" s="57" t="s">
        <v>3060</v>
      </c>
      <c r="AQ122" s="57" t="s">
        <v>3061</v>
      </c>
    </row>
    <row r="123" ht="15.0" customHeight="1">
      <c r="A123" s="117" t="s">
        <v>3064</v>
      </c>
      <c r="B123" s="3"/>
      <c r="C123" s="182">
        <v>46045.0</v>
      </c>
      <c r="D123" s="57" t="s">
        <v>723</v>
      </c>
      <c r="E123" s="3">
        <f t="array" ref="E123">XLOOKUP(D123,RUC!$B$3:$B$110,RUC!$D$3:$D$110)</f>
        <v>20606480840</v>
      </c>
      <c r="G123" s="3">
        <v>60.0</v>
      </c>
      <c r="H123" s="3" t="s">
        <v>40</v>
      </c>
      <c r="I123" s="6"/>
      <c r="J123" s="58"/>
      <c r="K123" s="6"/>
      <c r="L123" s="139"/>
      <c r="M123" s="60"/>
      <c r="N123" s="62"/>
      <c r="O123" s="60"/>
      <c r="P123" s="63"/>
      <c r="Q123" s="64"/>
      <c r="R123" s="65"/>
      <c r="S123" s="66"/>
      <c r="U123" s="67"/>
      <c r="V123" s="67"/>
      <c r="Y123" s="199"/>
      <c r="Z123" s="69"/>
      <c r="AA123" s="70"/>
      <c r="AB123" s="71"/>
      <c r="AC123" s="71"/>
      <c r="AD123" s="71"/>
      <c r="AE123" s="71"/>
      <c r="AF123" s="71"/>
      <c r="AG123" s="72"/>
      <c r="AH123" s="193"/>
      <c r="AI123" s="193"/>
      <c r="AJ123" s="73"/>
      <c r="AK123" s="73"/>
      <c r="AM123" s="51"/>
      <c r="AN123" s="51" t="str">
        <f t="array" ref="AN123">XLOOKUP(D123,RUC!$B$3:$B$565,RUC!$M$3:$M$565)</f>
        <v>Robinson Tuya</v>
      </c>
      <c r="AO123" s="131" t="s">
        <v>731</v>
      </c>
      <c r="AP123" s="57" t="s">
        <v>3060</v>
      </c>
      <c r="AQ123" s="57" t="s">
        <v>3061</v>
      </c>
    </row>
    <row r="124" ht="15.0" customHeight="1">
      <c r="A124" s="117" t="s">
        <v>3065</v>
      </c>
      <c r="B124" s="3"/>
      <c r="C124" s="182">
        <v>46045.0</v>
      </c>
      <c r="D124" s="57" t="s">
        <v>723</v>
      </c>
      <c r="E124" s="3">
        <f t="array" ref="E124">XLOOKUP(D124,RUC!$B$3:$B$110,RUC!$D$3:$D$110)</f>
        <v>20606480840</v>
      </c>
      <c r="G124" s="3">
        <v>60.0</v>
      </c>
      <c r="H124" s="3" t="s">
        <v>40</v>
      </c>
      <c r="I124" s="6"/>
      <c r="J124" s="58"/>
      <c r="K124" s="6"/>
      <c r="L124" s="139"/>
      <c r="M124" s="60"/>
      <c r="N124" s="62"/>
      <c r="O124" s="60"/>
      <c r="P124" s="63"/>
      <c r="Q124" s="64"/>
      <c r="R124" s="65"/>
      <c r="S124" s="66"/>
      <c r="U124" s="67"/>
      <c r="V124" s="67"/>
      <c r="Y124" s="199"/>
      <c r="Z124" s="69"/>
      <c r="AA124" s="70"/>
      <c r="AB124" s="71"/>
      <c r="AC124" s="71"/>
      <c r="AD124" s="71"/>
      <c r="AE124" s="71"/>
      <c r="AF124" s="71"/>
      <c r="AG124" s="72"/>
      <c r="AH124" s="193"/>
      <c r="AI124" s="193"/>
      <c r="AJ124" s="73"/>
      <c r="AK124" s="73"/>
      <c r="AM124" s="51"/>
      <c r="AN124" s="51" t="str">
        <f t="array" ref="AN124">XLOOKUP(D124,RUC!$B$3:$B$565,RUC!$M$3:$M$565)</f>
        <v>Robinson Tuya</v>
      </c>
      <c r="AO124" s="131" t="s">
        <v>731</v>
      </c>
      <c r="AP124" s="57" t="s">
        <v>3060</v>
      </c>
      <c r="AQ124" s="57" t="s">
        <v>3061</v>
      </c>
    </row>
    <row r="125" ht="15.0" customHeight="1">
      <c r="A125" s="116" t="s">
        <v>3066</v>
      </c>
      <c r="B125" s="182">
        <v>46052.0</v>
      </c>
      <c r="C125" s="182">
        <v>46045.0</v>
      </c>
      <c r="D125" s="2" t="s">
        <v>806</v>
      </c>
      <c r="E125" s="3">
        <f t="array" ref="E125">XLOOKUP(D125,RUC!$B$3:$B$110,RUC!$D$3:$D$110)</f>
        <v>20614284740</v>
      </c>
      <c r="G125" s="3" t="s">
        <v>735</v>
      </c>
      <c r="H125" s="3" t="s">
        <v>47</v>
      </c>
      <c r="I125" s="6">
        <v>4.57</v>
      </c>
      <c r="J125" s="58">
        <v>6.1</v>
      </c>
      <c r="K125" s="6">
        <f t="shared" ref="K125:K126" si="88">ROUND(+I125-(I125*(J125/100)),3)</f>
        <v>4.291</v>
      </c>
      <c r="L125" s="139">
        <v>0.198</v>
      </c>
      <c r="M125" s="60">
        <f t="shared" ref="M125:M126" si="89">ROUND(+IF(AN125="Melchor Vera",IF(L125&gt;0.467,L125*0.985,(L125-0.007)),IF(L125&gt;0.3,L125*0.94,(L125-0.019))),3)</f>
        <v>0.179</v>
      </c>
      <c r="N125" s="62">
        <f t="shared" ref="N125:N126" si="90">+M125</f>
        <v>0.179</v>
      </c>
      <c r="O125" s="60">
        <f t="shared" ref="O125:O126" si="91">+ROUND((M125+N125)/2,3)</f>
        <v>0.179</v>
      </c>
      <c r="P125" s="63">
        <v>86.0</v>
      </c>
      <c r="Q125" s="58">
        <v>87.37</v>
      </c>
      <c r="R125" s="65">
        <v>4946.25</v>
      </c>
      <c r="S125" s="66">
        <f t="array" ref="S125">IF((XLOOKUP(D125,RUC!$B$3:$B$106,RUC!$E$3:$E$106)+ROUNDDOWN(O125,1)*100)&lt;95,95,((XLOOKUP(D125,RUC!$B$3:$B$106,RUC!$E$3:$E$106)+ROUNDDOWN(O125,1)*100)))</f>
        <v>100</v>
      </c>
      <c r="U125" s="67">
        <f t="array" ref="U125">XLOOKUP(D125,RUC!$B$3:$B$110,RUC!$F$3:$F$110)</f>
        <v>120</v>
      </c>
      <c r="V125" s="67">
        <v>1.1023</v>
      </c>
      <c r="Y125" s="57">
        <f t="array" ref="Y125">XLOOKUP(D125,RUC!$B$3:$B$110,RUC!$G$3:$G$110)</f>
        <v>20</v>
      </c>
      <c r="Z125" s="69">
        <f t="array" ref="Z125">XLOOKUP(D125,RUC!$B$3:$B$110,RUC!$H$3:$H$110)</f>
        <v>30</v>
      </c>
      <c r="AA125" s="70">
        <f t="shared" ref="AA125:AA126" si="92">+Y125+Z125</f>
        <v>50</v>
      </c>
      <c r="AB125" s="71">
        <f t="shared" ref="AB125:AB126" si="93">+((O125*P125*(R125-U125)/100)-S125-AA125+T125)*V125</f>
        <v>653.6120092</v>
      </c>
      <c r="AC125" s="71">
        <f>+(S125-T125)*V125-'data 1'!$F$4</f>
        <v>30.23</v>
      </c>
      <c r="AD125" s="71">
        <f t="shared" ref="AD125:AD126" si="94">+(Q125-P125)*(R125-U125)*L125*V125/100</f>
        <v>14.4309652</v>
      </c>
      <c r="AE125" s="71">
        <f t="shared" ref="AE125:AE126" si="95">+(Y125*V125-70)+V125*(Z125-IF(D125="UNTUCA",IF(+((W125-3)*2.5+(X125-3)*3.1)&gt;0,+((W125-3)*1.5+(X125-3)*3.1),0),IF(+((W125-3)*1.5+(X125-3)*3.1)&gt;0,+((W125-3)*1.5+(X125-3)*3.1),0)))</f>
        <v>-14.885</v>
      </c>
      <c r="AF125" s="71">
        <f t="shared" ref="AF125:AF126" si="96">(L125-O125)*(R125-U125)*Q125*V125/100</f>
        <v>88.31318722</v>
      </c>
      <c r="AG125" s="72">
        <f t="shared" ref="AG125:AG126" si="97">AC125+AD125+AE125+AF125+70</f>
        <v>188.0891524</v>
      </c>
      <c r="AH125" s="193">
        <f t="shared" ref="AH125:AH126" si="98">ROUND((31.1035*L125*Q125*1.1023*K125/100),3)</f>
        <v>25.45</v>
      </c>
      <c r="AI125" s="193">
        <f t="shared" ref="AI125:AI126" si="99">ROUND((31.1035*L125*1.1023*K125),3)</f>
        <v>29.129</v>
      </c>
      <c r="AJ125" s="73">
        <f t="shared" ref="AJ125:AJ126" si="100">+((+$AJ$2-R125+U125)*L125*Q125*V125)/100</f>
        <v>33.13234284</v>
      </c>
      <c r="AK125" s="73">
        <f t="shared" ref="AK125:AK126" si="101">31.1035*1.1023*K125*P125*O125/100</f>
        <v>22.6474373</v>
      </c>
      <c r="AM125" s="51">
        <f t="shared" ref="AM125:AM126" si="102">+IF(AB125*K125&gt;0,AB125*K125,0)</f>
        <v>2804.649132</v>
      </c>
      <c r="AN125" s="51" t="str">
        <f t="array" ref="AN125">XLOOKUP(D125,RUC!$B$3:$B$565,RUC!$M$3:$M$565)</f>
        <v>Dante </v>
      </c>
      <c r="AO125" s="131" t="s">
        <v>558</v>
      </c>
      <c r="AP125" s="57" t="s">
        <v>2522</v>
      </c>
      <c r="AQ125" s="57" t="s">
        <v>3067</v>
      </c>
    </row>
    <row r="126" ht="15.0" customHeight="1">
      <c r="A126" s="116" t="s">
        <v>3068</v>
      </c>
      <c r="B126" s="182">
        <v>46050.0</v>
      </c>
      <c r="C126" s="182">
        <v>46045.0</v>
      </c>
      <c r="D126" s="2" t="s">
        <v>806</v>
      </c>
      <c r="E126" s="3">
        <f t="array" ref="E126">XLOOKUP(D126,RUC!$B$3:$B$110,RUC!$D$3:$D$110)</f>
        <v>20614284740</v>
      </c>
      <c r="G126" s="3">
        <v>13.0</v>
      </c>
      <c r="H126" s="3" t="s">
        <v>40</v>
      </c>
      <c r="I126" s="6">
        <v>1.06</v>
      </c>
      <c r="J126" s="58">
        <v>11.7</v>
      </c>
      <c r="K126" s="6">
        <f t="shared" si="88"/>
        <v>0.936</v>
      </c>
      <c r="L126" s="139">
        <v>0.224</v>
      </c>
      <c r="M126" s="60">
        <f t="shared" si="89"/>
        <v>0.205</v>
      </c>
      <c r="N126" s="62">
        <f t="shared" si="90"/>
        <v>0.205</v>
      </c>
      <c r="O126" s="60">
        <f t="shared" si="91"/>
        <v>0.205</v>
      </c>
      <c r="P126" s="63">
        <v>90.0</v>
      </c>
      <c r="Q126" s="58">
        <v>93.3</v>
      </c>
      <c r="R126" s="65">
        <v>4946.25</v>
      </c>
      <c r="S126" s="66">
        <f t="array" ref="S126">IF((XLOOKUP(D126,RUC!$B$3:$B$106,RUC!$E$3:$E$106)+ROUNDDOWN(O126,1)*100)&lt;95,95,((XLOOKUP(D126,RUC!$B$3:$B$106,RUC!$E$3:$E$106)+ROUNDDOWN(O126,1)*100)))</f>
        <v>110</v>
      </c>
      <c r="U126" s="67">
        <f t="array" ref="U126">XLOOKUP(D126,RUC!$B$3:$B$110,RUC!$F$3:$F$110)</f>
        <v>120</v>
      </c>
      <c r="V126" s="67">
        <v>1.1023</v>
      </c>
      <c r="Y126" s="199">
        <v>30.0</v>
      </c>
      <c r="Z126" s="140">
        <v>40.0</v>
      </c>
      <c r="AA126" s="70">
        <f t="shared" si="92"/>
        <v>70</v>
      </c>
      <c r="AB126" s="71">
        <f t="shared" si="93"/>
        <v>783.1214567</v>
      </c>
      <c r="AC126" s="71">
        <f>+(S126-T126)*V126-'data 1'!$F$4</f>
        <v>41.253</v>
      </c>
      <c r="AD126" s="71">
        <f t="shared" si="94"/>
        <v>39.32525797</v>
      </c>
      <c r="AE126" s="71">
        <f t="shared" si="95"/>
        <v>7.161</v>
      </c>
      <c r="AF126" s="71">
        <f t="shared" si="96"/>
        <v>94.30720347</v>
      </c>
      <c r="AG126" s="72">
        <f t="shared" si="97"/>
        <v>252.0464614</v>
      </c>
      <c r="AH126" s="193">
        <f t="shared" si="98"/>
        <v>6.707</v>
      </c>
      <c r="AI126" s="193">
        <f t="shared" si="99"/>
        <v>7.188</v>
      </c>
      <c r="AJ126" s="73">
        <f t="shared" si="100"/>
        <v>40.02711443</v>
      </c>
      <c r="AK126" s="73">
        <f t="shared" si="101"/>
        <v>5.920812233</v>
      </c>
      <c r="AM126" s="51">
        <f t="shared" si="102"/>
        <v>733.0016835</v>
      </c>
      <c r="AN126" s="51" t="str">
        <f t="array" ref="AN126">XLOOKUP(D126,RUC!$B$3:$B$565,RUC!$M$3:$M$565)</f>
        <v>Dante </v>
      </c>
      <c r="AO126" s="131" t="s">
        <v>558</v>
      </c>
      <c r="AP126" s="57" t="s">
        <v>2522</v>
      </c>
      <c r="AQ126" s="57" t="s">
        <v>3067</v>
      </c>
    </row>
    <row r="127" ht="15.0" customHeight="1">
      <c r="A127" s="117" t="s">
        <v>3069</v>
      </c>
      <c r="B127" s="3"/>
      <c r="C127" s="182">
        <v>46045.0</v>
      </c>
      <c r="D127" s="2" t="s">
        <v>806</v>
      </c>
      <c r="E127" s="3">
        <f t="array" ref="E127">XLOOKUP(D127,RUC!$B$3:$B$110,RUC!$D$3:$D$110)</f>
        <v>20614284740</v>
      </c>
      <c r="G127" s="3">
        <v>73.0</v>
      </c>
      <c r="H127" s="3" t="s">
        <v>47</v>
      </c>
      <c r="I127" s="6"/>
      <c r="J127" s="58"/>
      <c r="K127" s="6"/>
      <c r="L127" s="139"/>
      <c r="M127" s="60"/>
      <c r="N127" s="62"/>
      <c r="O127" s="60"/>
      <c r="P127" s="63"/>
      <c r="Q127" s="58"/>
      <c r="R127" s="65"/>
      <c r="S127" s="66"/>
      <c r="U127" s="67"/>
      <c r="V127" s="67"/>
      <c r="Z127" s="69"/>
      <c r="AA127" s="70"/>
      <c r="AB127" s="71"/>
      <c r="AC127" s="71"/>
      <c r="AD127" s="71"/>
      <c r="AE127" s="71"/>
      <c r="AF127" s="71"/>
      <c r="AG127" s="72"/>
      <c r="AH127" s="193"/>
      <c r="AI127" s="193"/>
      <c r="AJ127" s="73"/>
      <c r="AK127" s="73"/>
      <c r="AM127" s="51"/>
      <c r="AN127" s="51" t="str">
        <f t="array" ref="AN127">XLOOKUP(D127,RUC!$B$3:$B$565,RUC!$M$3:$M$565)</f>
        <v>Dante </v>
      </c>
      <c r="AO127" s="131" t="s">
        <v>731</v>
      </c>
      <c r="AP127" s="57" t="s">
        <v>2567</v>
      </c>
      <c r="AQ127" s="57" t="s">
        <v>3070</v>
      </c>
    </row>
    <row r="128" ht="15.0" customHeight="1">
      <c r="A128" s="117" t="s">
        <v>3071</v>
      </c>
      <c r="B128" s="3"/>
      <c r="C128" s="182">
        <v>46058.0</v>
      </c>
      <c r="D128" s="57" t="s">
        <v>306</v>
      </c>
      <c r="E128" s="3">
        <f t="array" ref="E128">XLOOKUP(D128,RUC!$B$3:$B$110,RUC!$D$3:$D$110)</f>
        <v>20612921866</v>
      </c>
      <c r="G128" s="3">
        <v>130.0</v>
      </c>
      <c r="H128" s="3" t="s">
        <v>47</v>
      </c>
      <c r="I128" s="6"/>
      <c r="J128" s="58"/>
      <c r="K128" s="6"/>
      <c r="L128" s="139"/>
      <c r="M128" s="60"/>
      <c r="N128" s="62"/>
      <c r="O128" s="60"/>
      <c r="P128" s="63"/>
      <c r="Q128" s="58"/>
      <c r="R128" s="65"/>
      <c r="S128" s="66"/>
      <c r="U128" s="67"/>
      <c r="V128" s="67"/>
      <c r="Z128" s="69"/>
      <c r="AA128" s="70"/>
      <c r="AB128" s="71"/>
      <c r="AC128" s="71"/>
      <c r="AD128" s="71"/>
      <c r="AE128" s="71"/>
      <c r="AF128" s="71"/>
      <c r="AG128" s="72"/>
      <c r="AH128" s="193"/>
      <c r="AI128" s="193"/>
      <c r="AJ128" s="73"/>
      <c r="AK128" s="73"/>
      <c r="AM128" s="51"/>
      <c r="AN128" s="51" t="str">
        <f t="array" ref="AN128">XLOOKUP(D128,RUC!$B$3:$B$565,RUC!$M$3:$M$565)</f>
        <v>Ronald Garibay</v>
      </c>
      <c r="AO128" s="131" t="s">
        <v>731</v>
      </c>
      <c r="AP128" s="57" t="s">
        <v>3072</v>
      </c>
      <c r="AQ128" s="57" t="s">
        <v>1416</v>
      </c>
    </row>
    <row r="129" ht="15.75" customHeight="1">
      <c r="B129" s="3"/>
      <c r="C129" s="3"/>
      <c r="H129" s="3"/>
      <c r="AG129" s="91"/>
    </row>
    <row r="130" ht="15.75" customHeight="1">
      <c r="B130" s="3"/>
      <c r="C130" s="3"/>
      <c r="H130" s="3"/>
      <c r="AG130" s="91"/>
    </row>
    <row r="131" ht="15.75" customHeight="1">
      <c r="B131" s="3"/>
      <c r="C131" s="3"/>
      <c r="H131" s="3"/>
      <c r="AG131" s="91"/>
    </row>
    <row r="132" ht="15.75" customHeight="1">
      <c r="B132" s="3"/>
      <c r="C132" s="3"/>
      <c r="H132" s="3"/>
      <c r="AG132" s="91"/>
    </row>
    <row r="133" ht="15.75" customHeight="1">
      <c r="B133" s="3"/>
      <c r="C133" s="3"/>
      <c r="H133" s="3"/>
      <c r="AG133" s="91"/>
    </row>
    <row r="134" ht="15.75" customHeight="1">
      <c r="B134" s="3"/>
      <c r="C134" s="3"/>
      <c r="H134" s="3"/>
      <c r="AG134" s="91"/>
    </row>
    <row r="135" ht="15.75" customHeight="1">
      <c r="B135" s="3"/>
      <c r="C135" s="3"/>
      <c r="H135" s="3"/>
      <c r="AG135" s="91"/>
    </row>
    <row r="136" ht="15.75" customHeight="1">
      <c r="B136" s="3"/>
      <c r="C136" s="3"/>
      <c r="H136" s="3"/>
      <c r="AG136" s="91"/>
    </row>
    <row r="137" ht="15.75" customHeight="1">
      <c r="B137" s="3"/>
      <c r="C137" s="3"/>
      <c r="H137" s="3"/>
      <c r="AG137" s="91"/>
    </row>
    <row r="138" ht="15.75" customHeight="1">
      <c r="B138" s="3"/>
      <c r="C138" s="3"/>
      <c r="H138" s="3"/>
      <c r="AG138" s="91"/>
    </row>
    <row r="139" ht="15.75" customHeight="1">
      <c r="B139" s="3"/>
      <c r="C139" s="3"/>
      <c r="H139" s="3"/>
      <c r="AG139" s="91"/>
    </row>
    <row r="140" ht="15.75" customHeight="1">
      <c r="B140" s="3"/>
      <c r="C140" s="3"/>
      <c r="H140" s="3"/>
      <c r="AG140" s="91"/>
    </row>
    <row r="141" ht="15.75" customHeight="1">
      <c r="B141" s="3"/>
      <c r="C141" s="3"/>
      <c r="H141" s="3"/>
      <c r="AG141" s="91"/>
    </row>
    <row r="142" ht="15.75" customHeight="1">
      <c r="B142" s="3"/>
      <c r="C142" s="3"/>
      <c r="H142" s="3"/>
      <c r="AG142" s="91"/>
    </row>
    <row r="143" ht="15.75" customHeight="1">
      <c r="B143" s="3"/>
      <c r="C143" s="3"/>
      <c r="H143" s="3"/>
      <c r="AG143" s="91"/>
    </row>
    <row r="144" ht="15.75" customHeight="1">
      <c r="B144" s="3"/>
      <c r="C144" s="3"/>
      <c r="H144" s="3"/>
      <c r="AG144" s="91"/>
    </row>
    <row r="145" ht="15.75" customHeight="1">
      <c r="B145" s="3"/>
      <c r="C145" s="3"/>
      <c r="H145" s="3"/>
      <c r="AG145" s="91"/>
    </row>
    <row r="146" ht="15.75" customHeight="1">
      <c r="B146" s="3"/>
      <c r="C146" s="3"/>
      <c r="H146" s="3"/>
      <c r="AG146" s="91"/>
    </row>
    <row r="147" ht="15.75" customHeight="1">
      <c r="B147" s="3"/>
      <c r="C147" s="3"/>
      <c r="H147" s="3"/>
      <c r="AG147" s="91"/>
    </row>
    <row r="148" ht="15.75" customHeight="1">
      <c r="B148" s="3"/>
      <c r="C148" s="3"/>
      <c r="H148" s="3"/>
      <c r="AG148" s="91"/>
    </row>
    <row r="149" ht="15.75" customHeight="1">
      <c r="B149" s="3"/>
      <c r="C149" s="3"/>
      <c r="H149" s="3"/>
      <c r="AG149" s="91"/>
    </row>
    <row r="150" ht="15.75" customHeight="1">
      <c r="B150" s="3"/>
      <c r="C150" s="3"/>
      <c r="H150" s="3"/>
      <c r="AG150" s="91"/>
    </row>
    <row r="151" ht="15.75" customHeight="1">
      <c r="B151" s="3"/>
      <c r="C151" s="3"/>
      <c r="H151" s="3"/>
      <c r="AG151" s="91"/>
    </row>
    <row r="152" ht="15.75" customHeight="1">
      <c r="B152" s="3"/>
      <c r="C152" s="3"/>
      <c r="H152" s="3"/>
      <c r="AG152" s="91"/>
    </row>
    <row r="153" ht="15.75" customHeight="1">
      <c r="B153" s="3"/>
      <c r="C153" s="3"/>
      <c r="H153" s="3"/>
      <c r="AG153" s="91"/>
    </row>
    <row r="154" ht="15.75" customHeight="1">
      <c r="B154" s="3"/>
      <c r="C154" s="3"/>
      <c r="H154" s="3"/>
      <c r="AG154" s="91"/>
    </row>
    <row r="155" ht="15.75" customHeight="1">
      <c r="B155" s="3"/>
      <c r="C155" s="3"/>
      <c r="H155" s="3"/>
      <c r="AG155" s="91"/>
    </row>
    <row r="156" ht="15.75" customHeight="1">
      <c r="B156" s="3"/>
      <c r="C156" s="3"/>
      <c r="H156" s="3"/>
      <c r="AG156" s="91"/>
    </row>
    <row r="157" ht="15.75" customHeight="1">
      <c r="B157" s="3"/>
      <c r="C157" s="3"/>
      <c r="H157" s="3"/>
      <c r="AG157" s="91"/>
    </row>
    <row r="158" ht="15.75" customHeight="1">
      <c r="B158" s="3"/>
      <c r="C158" s="3"/>
      <c r="H158" s="3"/>
      <c r="AG158" s="91"/>
    </row>
    <row r="159" ht="15.75" customHeight="1">
      <c r="B159" s="3"/>
      <c r="C159" s="3"/>
      <c r="H159" s="3"/>
      <c r="AG159" s="91"/>
    </row>
    <row r="160" ht="15.75" customHeight="1">
      <c r="B160" s="3"/>
      <c r="C160" s="3"/>
      <c r="H160" s="3"/>
      <c r="AG160" s="91"/>
    </row>
    <row r="161" ht="15.75" customHeight="1">
      <c r="B161" s="3"/>
      <c r="C161" s="3"/>
      <c r="H161" s="3"/>
      <c r="AG161" s="91"/>
    </row>
    <row r="162" ht="15.75" customHeight="1">
      <c r="B162" s="3"/>
      <c r="C162" s="3"/>
      <c r="H162" s="3"/>
      <c r="AG162" s="91"/>
    </row>
    <row r="163" ht="15.75" customHeight="1">
      <c r="B163" s="3"/>
      <c r="C163" s="3"/>
      <c r="H163" s="3"/>
      <c r="AG163" s="91"/>
    </row>
    <row r="164" ht="15.75" customHeight="1">
      <c r="B164" s="3"/>
      <c r="C164" s="3"/>
      <c r="H164" s="3"/>
      <c r="AG164" s="91"/>
    </row>
    <row r="165" ht="15.75" customHeight="1">
      <c r="B165" s="3"/>
      <c r="C165" s="3"/>
      <c r="H165" s="3"/>
      <c r="AG165" s="91"/>
    </row>
    <row r="166" ht="15.75" customHeight="1">
      <c r="B166" s="3"/>
      <c r="C166" s="3"/>
      <c r="H166" s="3"/>
      <c r="AG166" s="91"/>
    </row>
    <row r="167" ht="15.75" customHeight="1">
      <c r="B167" s="3"/>
      <c r="C167" s="3"/>
      <c r="H167" s="3"/>
      <c r="AG167" s="91"/>
    </row>
    <row r="168" ht="15.75" customHeight="1">
      <c r="B168" s="3"/>
      <c r="C168" s="3"/>
      <c r="H168" s="3"/>
      <c r="AG168" s="91"/>
    </row>
    <row r="169" ht="15.75" customHeight="1">
      <c r="B169" s="3"/>
      <c r="C169" s="3"/>
      <c r="H169" s="3"/>
      <c r="AG169" s="91"/>
    </row>
    <row r="170" ht="15.75" customHeight="1">
      <c r="B170" s="3"/>
      <c r="C170" s="3"/>
      <c r="H170" s="3"/>
      <c r="AG170" s="91"/>
    </row>
    <row r="171" ht="15.75" customHeight="1">
      <c r="B171" s="3"/>
      <c r="C171" s="3"/>
      <c r="H171" s="3"/>
      <c r="AG171" s="91"/>
    </row>
    <row r="172" ht="15.75" customHeight="1">
      <c r="B172" s="3"/>
      <c r="C172" s="3"/>
      <c r="H172" s="3"/>
      <c r="AG172" s="91"/>
    </row>
    <row r="173" ht="15.75" customHeight="1">
      <c r="B173" s="3"/>
      <c r="C173" s="3"/>
      <c r="H173" s="3"/>
      <c r="AG173" s="91"/>
    </row>
    <row r="174" ht="15.75" customHeight="1">
      <c r="B174" s="3"/>
      <c r="C174" s="3"/>
      <c r="H174" s="3"/>
      <c r="AG174" s="91"/>
    </row>
    <row r="175" ht="15.75" customHeight="1">
      <c r="B175" s="3"/>
      <c r="C175" s="3"/>
      <c r="H175" s="3"/>
      <c r="AG175" s="91"/>
    </row>
    <row r="176" ht="15.75" customHeight="1">
      <c r="B176" s="3"/>
      <c r="C176" s="3"/>
      <c r="H176" s="3"/>
      <c r="AG176" s="91"/>
    </row>
    <row r="177" ht="15.75" customHeight="1">
      <c r="B177" s="3"/>
      <c r="C177" s="3"/>
      <c r="H177" s="3"/>
      <c r="AG177" s="91"/>
    </row>
    <row r="178" ht="15.75" customHeight="1">
      <c r="B178" s="3"/>
      <c r="C178" s="3"/>
      <c r="H178" s="3"/>
      <c r="AG178" s="91"/>
    </row>
    <row r="179" ht="15.75" customHeight="1">
      <c r="B179" s="3"/>
      <c r="C179" s="3"/>
      <c r="H179" s="3"/>
      <c r="AG179" s="91"/>
    </row>
    <row r="180" ht="15.75" customHeight="1">
      <c r="B180" s="3"/>
      <c r="C180" s="3"/>
      <c r="H180" s="3"/>
      <c r="AG180" s="91"/>
    </row>
    <row r="181" ht="15.75" customHeight="1">
      <c r="B181" s="3"/>
      <c r="C181" s="3"/>
      <c r="H181" s="3"/>
      <c r="AG181" s="91"/>
    </row>
    <row r="182" ht="15.75" customHeight="1">
      <c r="B182" s="3"/>
      <c r="C182" s="3"/>
      <c r="H182" s="3"/>
      <c r="AG182" s="91"/>
    </row>
    <row r="183" ht="15.75" customHeight="1">
      <c r="B183" s="3"/>
      <c r="C183" s="3"/>
      <c r="H183" s="3"/>
      <c r="AG183" s="91"/>
    </row>
    <row r="184" ht="15.75" customHeight="1">
      <c r="B184" s="3"/>
      <c r="C184" s="3"/>
      <c r="H184" s="3"/>
      <c r="AG184" s="91"/>
    </row>
    <row r="185" ht="15.75" customHeight="1">
      <c r="B185" s="3"/>
      <c r="C185" s="3"/>
      <c r="H185" s="3"/>
      <c r="AG185" s="91"/>
    </row>
    <row r="186" ht="15.75" customHeight="1">
      <c r="B186" s="3"/>
      <c r="C186" s="3"/>
      <c r="H186" s="3"/>
      <c r="AG186" s="91"/>
    </row>
    <row r="187" ht="15.75" customHeight="1">
      <c r="B187" s="3"/>
      <c r="C187" s="3"/>
      <c r="H187" s="3"/>
      <c r="AG187" s="91"/>
    </row>
    <row r="188" ht="15.75" customHeight="1">
      <c r="B188" s="3"/>
      <c r="C188" s="3"/>
      <c r="H188" s="3"/>
      <c r="AG188" s="91"/>
    </row>
    <row r="189" ht="15.75" customHeight="1">
      <c r="B189" s="3"/>
      <c r="C189" s="3"/>
      <c r="H189" s="3"/>
      <c r="AG189" s="91"/>
    </row>
    <row r="190" ht="15.75" customHeight="1">
      <c r="B190" s="3"/>
      <c r="C190" s="3"/>
      <c r="H190" s="3"/>
      <c r="AG190" s="91"/>
    </row>
    <row r="191" ht="15.75" customHeight="1">
      <c r="B191" s="3"/>
      <c r="C191" s="3"/>
      <c r="H191" s="3"/>
      <c r="AG191" s="91"/>
    </row>
    <row r="192" ht="15.75" customHeight="1">
      <c r="B192" s="3"/>
      <c r="C192" s="3"/>
      <c r="H192" s="3"/>
      <c r="AG192" s="91"/>
    </row>
    <row r="193" ht="15.75" customHeight="1">
      <c r="B193" s="3"/>
      <c r="C193" s="3"/>
      <c r="H193" s="3"/>
      <c r="AG193" s="91"/>
    </row>
    <row r="194" ht="15.75" customHeight="1">
      <c r="B194" s="3"/>
      <c r="C194" s="3"/>
      <c r="H194" s="3"/>
      <c r="AG194" s="91"/>
    </row>
    <row r="195" ht="15.75" customHeight="1">
      <c r="B195" s="3"/>
      <c r="C195" s="3"/>
      <c r="H195" s="3"/>
      <c r="AG195" s="91"/>
    </row>
    <row r="196" ht="15.75" customHeight="1">
      <c r="B196" s="3"/>
      <c r="C196" s="3"/>
      <c r="H196" s="3"/>
      <c r="AG196" s="91"/>
    </row>
    <row r="197" ht="15.75" customHeight="1">
      <c r="B197" s="3"/>
      <c r="C197" s="3"/>
      <c r="H197" s="3"/>
      <c r="AG197" s="91"/>
    </row>
    <row r="198" ht="15.75" customHeight="1">
      <c r="B198" s="3"/>
      <c r="C198" s="3"/>
      <c r="H198" s="3"/>
      <c r="AG198" s="91"/>
    </row>
    <row r="199" ht="15.75" customHeight="1">
      <c r="B199" s="3"/>
      <c r="C199" s="3"/>
      <c r="H199" s="3"/>
      <c r="AG199" s="91"/>
    </row>
    <row r="200" ht="15.75" customHeight="1">
      <c r="B200" s="3"/>
      <c r="C200" s="3"/>
      <c r="H200" s="3"/>
      <c r="AG200" s="91"/>
    </row>
    <row r="201" ht="15.75" customHeight="1">
      <c r="B201" s="3"/>
      <c r="C201" s="3"/>
      <c r="H201" s="3"/>
      <c r="AG201" s="91"/>
    </row>
    <row r="202" ht="15.75" customHeight="1">
      <c r="B202" s="3"/>
      <c r="C202" s="3"/>
      <c r="H202" s="3"/>
      <c r="AG202" s="91"/>
    </row>
    <row r="203" ht="15.75" customHeight="1">
      <c r="B203" s="3"/>
      <c r="C203" s="3"/>
      <c r="H203" s="3"/>
      <c r="AG203" s="91"/>
    </row>
    <row r="204" ht="15.75" customHeight="1">
      <c r="B204" s="3"/>
      <c r="C204" s="3"/>
      <c r="H204" s="3"/>
      <c r="AG204" s="91"/>
    </row>
    <row r="205" ht="15.75" customHeight="1">
      <c r="B205" s="3"/>
      <c r="C205" s="3"/>
      <c r="H205" s="3"/>
      <c r="AG205" s="91"/>
    </row>
    <row r="206" ht="15.75" customHeight="1">
      <c r="B206" s="3"/>
      <c r="C206" s="3"/>
      <c r="H206" s="3"/>
      <c r="AG206" s="91"/>
    </row>
    <row r="207" ht="15.75" customHeight="1">
      <c r="B207" s="3"/>
      <c r="C207" s="3"/>
      <c r="H207" s="3"/>
      <c r="AG207" s="91"/>
    </row>
    <row r="208" ht="15.75" customHeight="1">
      <c r="B208" s="3"/>
      <c r="C208" s="3"/>
      <c r="H208" s="3"/>
      <c r="AG208" s="91"/>
    </row>
    <row r="209" ht="15.75" customHeight="1">
      <c r="B209" s="3"/>
      <c r="C209" s="3"/>
      <c r="H209" s="3"/>
      <c r="AG209" s="91"/>
    </row>
    <row r="210" ht="15.75" customHeight="1">
      <c r="B210" s="3"/>
      <c r="C210" s="3"/>
      <c r="H210" s="3"/>
      <c r="AG210" s="91"/>
    </row>
    <row r="211" ht="15.75" customHeight="1">
      <c r="B211" s="3"/>
      <c r="C211" s="3"/>
      <c r="H211" s="3"/>
      <c r="AG211" s="91"/>
    </row>
    <row r="212" ht="15.75" customHeight="1">
      <c r="B212" s="3"/>
      <c r="C212" s="3"/>
      <c r="H212" s="3"/>
      <c r="AG212" s="91"/>
    </row>
    <row r="213" ht="15.75" customHeight="1">
      <c r="B213" s="3"/>
      <c r="C213" s="3"/>
      <c r="H213" s="3"/>
      <c r="AG213" s="91"/>
    </row>
    <row r="214" ht="15.75" customHeight="1">
      <c r="B214" s="3"/>
      <c r="C214" s="3"/>
      <c r="H214" s="3"/>
      <c r="AG214" s="91"/>
    </row>
    <row r="215" ht="15.75" customHeight="1">
      <c r="B215" s="3"/>
      <c r="C215" s="3"/>
      <c r="H215" s="3"/>
      <c r="AG215" s="91"/>
    </row>
    <row r="216" ht="15.75" customHeight="1">
      <c r="B216" s="3"/>
      <c r="C216" s="3"/>
      <c r="H216" s="3"/>
      <c r="AG216" s="91"/>
    </row>
    <row r="217" ht="15.75" customHeight="1">
      <c r="B217" s="3"/>
      <c r="C217" s="3"/>
      <c r="H217" s="3"/>
      <c r="AG217" s="91"/>
    </row>
    <row r="218" ht="15.75" customHeight="1">
      <c r="B218" s="3"/>
      <c r="C218" s="3"/>
      <c r="H218" s="3"/>
      <c r="AG218" s="91"/>
    </row>
    <row r="219" ht="15.75" customHeight="1">
      <c r="B219" s="3"/>
      <c r="C219" s="3"/>
      <c r="H219" s="3"/>
      <c r="AG219" s="91"/>
    </row>
    <row r="220" ht="15.75" customHeight="1">
      <c r="B220" s="3"/>
      <c r="C220" s="3"/>
      <c r="H220" s="3"/>
      <c r="AG220" s="91"/>
    </row>
    <row r="221" ht="15.75" customHeight="1">
      <c r="B221" s="3"/>
      <c r="C221" s="3"/>
      <c r="H221" s="3"/>
      <c r="AG221" s="91"/>
    </row>
    <row r="222" ht="15.75" customHeight="1">
      <c r="B222" s="3"/>
      <c r="C222" s="3"/>
      <c r="H222" s="3"/>
      <c r="AG222" s="91"/>
    </row>
    <row r="223" ht="15.75" customHeight="1">
      <c r="B223" s="3"/>
      <c r="C223" s="3"/>
      <c r="H223" s="3"/>
      <c r="AG223" s="91"/>
    </row>
    <row r="224" ht="15.75" customHeight="1">
      <c r="B224" s="3"/>
      <c r="C224" s="3"/>
      <c r="H224" s="3"/>
      <c r="AG224" s="91"/>
    </row>
    <row r="225" ht="15.75" customHeight="1">
      <c r="B225" s="3"/>
      <c r="C225" s="3"/>
      <c r="H225" s="3"/>
      <c r="AG225" s="91"/>
    </row>
    <row r="226" ht="15.75" customHeight="1">
      <c r="B226" s="3"/>
      <c r="C226" s="3"/>
      <c r="H226" s="3"/>
      <c r="AG226" s="91"/>
    </row>
    <row r="227" ht="15.75" customHeight="1">
      <c r="B227" s="3"/>
      <c r="C227" s="3"/>
      <c r="H227" s="3"/>
      <c r="AG227" s="91"/>
    </row>
    <row r="228" ht="15.75" customHeight="1">
      <c r="B228" s="3"/>
      <c r="C228" s="3"/>
      <c r="H228" s="3"/>
      <c r="AG228" s="91"/>
    </row>
    <row r="229" ht="15.75" customHeight="1">
      <c r="B229" s="3"/>
      <c r="C229" s="3"/>
      <c r="H229" s="3"/>
      <c r="AG229" s="91"/>
    </row>
    <row r="230" ht="15.75" customHeight="1">
      <c r="B230" s="3"/>
      <c r="C230" s="3"/>
      <c r="H230" s="3"/>
      <c r="AG230" s="91"/>
    </row>
    <row r="231" ht="15.75" customHeight="1">
      <c r="B231" s="3"/>
      <c r="C231" s="3"/>
      <c r="H231" s="3"/>
      <c r="AG231" s="91"/>
    </row>
    <row r="232" ht="15.75" customHeight="1">
      <c r="B232" s="3"/>
      <c r="C232" s="3"/>
      <c r="H232" s="3"/>
      <c r="AG232" s="91"/>
    </row>
    <row r="233" ht="15.75" customHeight="1">
      <c r="B233" s="3"/>
      <c r="C233" s="3"/>
      <c r="H233" s="3"/>
      <c r="AG233" s="91"/>
    </row>
    <row r="234" ht="15.75" customHeight="1">
      <c r="B234" s="3"/>
      <c r="C234" s="3"/>
      <c r="H234" s="3"/>
      <c r="AG234" s="91"/>
    </row>
    <row r="235" ht="15.75" customHeight="1">
      <c r="B235" s="3"/>
      <c r="C235" s="3"/>
      <c r="H235" s="3"/>
      <c r="AG235" s="91"/>
    </row>
    <row r="236" ht="15.75" customHeight="1">
      <c r="B236" s="3"/>
      <c r="C236" s="3"/>
      <c r="H236" s="3"/>
      <c r="AG236" s="91"/>
    </row>
    <row r="237" ht="15.75" customHeight="1">
      <c r="B237" s="3"/>
      <c r="C237" s="3"/>
      <c r="H237" s="3"/>
      <c r="AG237" s="91"/>
    </row>
    <row r="238" ht="15.75" customHeight="1">
      <c r="B238" s="3"/>
      <c r="C238" s="3"/>
      <c r="H238" s="3"/>
      <c r="AG238" s="91"/>
    </row>
    <row r="239" ht="15.75" customHeight="1">
      <c r="B239" s="3"/>
      <c r="C239" s="3"/>
      <c r="H239" s="3"/>
      <c r="AG239" s="91"/>
    </row>
    <row r="240" ht="15.75" customHeight="1">
      <c r="B240" s="3"/>
      <c r="C240" s="3"/>
      <c r="H240" s="3"/>
      <c r="AG240" s="91"/>
    </row>
    <row r="241" ht="15.75" customHeight="1">
      <c r="B241" s="3"/>
      <c r="C241" s="3"/>
      <c r="H241" s="3"/>
      <c r="AG241" s="91"/>
    </row>
    <row r="242" ht="15.75" customHeight="1">
      <c r="B242" s="3"/>
      <c r="C242" s="3"/>
      <c r="H242" s="3"/>
      <c r="AG242" s="91"/>
    </row>
    <row r="243" ht="15.75" customHeight="1">
      <c r="B243" s="3"/>
      <c r="C243" s="3"/>
      <c r="H243" s="3"/>
      <c r="AG243" s="91"/>
    </row>
    <row r="244" ht="15.75" customHeight="1">
      <c r="B244" s="3"/>
      <c r="C244" s="3"/>
      <c r="H244" s="3"/>
      <c r="AG244" s="91"/>
    </row>
    <row r="245" ht="15.75" customHeight="1">
      <c r="B245" s="3"/>
      <c r="C245" s="3"/>
      <c r="H245" s="3"/>
      <c r="AG245" s="91"/>
    </row>
    <row r="246" ht="15.75" customHeight="1">
      <c r="B246" s="3"/>
      <c r="C246" s="3"/>
      <c r="H246" s="3"/>
      <c r="AG246" s="91"/>
    </row>
    <row r="247" ht="15.75" customHeight="1">
      <c r="B247" s="3"/>
      <c r="C247" s="3"/>
      <c r="H247" s="3"/>
      <c r="AG247" s="91"/>
    </row>
    <row r="248" ht="15.75" customHeight="1">
      <c r="B248" s="3"/>
      <c r="C248" s="3"/>
      <c r="H248" s="3"/>
      <c r="AG248" s="91"/>
    </row>
    <row r="249" ht="15.75" customHeight="1">
      <c r="B249" s="3"/>
      <c r="C249" s="3"/>
      <c r="H249" s="3"/>
      <c r="AG249" s="91"/>
    </row>
    <row r="250" ht="15.75" customHeight="1">
      <c r="B250" s="3"/>
      <c r="C250" s="3"/>
      <c r="H250" s="3"/>
      <c r="AG250" s="91"/>
    </row>
    <row r="251" ht="15.75" customHeight="1">
      <c r="B251" s="3"/>
      <c r="C251" s="3"/>
      <c r="H251" s="3"/>
      <c r="AG251" s="91"/>
    </row>
    <row r="252" ht="15.75" customHeight="1">
      <c r="B252" s="3"/>
      <c r="C252" s="3"/>
      <c r="H252" s="3"/>
      <c r="AG252" s="91"/>
    </row>
    <row r="253" ht="15.75" customHeight="1">
      <c r="B253" s="3"/>
      <c r="C253" s="3"/>
      <c r="H253" s="3"/>
      <c r="AG253" s="91"/>
    </row>
    <row r="254" ht="15.75" customHeight="1">
      <c r="B254" s="3"/>
      <c r="C254" s="3"/>
      <c r="H254" s="3"/>
      <c r="AG254" s="91"/>
    </row>
    <row r="255" ht="15.75" customHeight="1">
      <c r="B255" s="3"/>
      <c r="C255" s="3"/>
      <c r="H255" s="3"/>
      <c r="AG255" s="91"/>
    </row>
    <row r="256" ht="15.75" customHeight="1">
      <c r="B256" s="3"/>
      <c r="C256" s="3"/>
      <c r="H256" s="3"/>
      <c r="AG256" s="91"/>
    </row>
    <row r="257" ht="15.75" customHeight="1">
      <c r="B257" s="3"/>
      <c r="C257" s="3"/>
      <c r="H257" s="3"/>
      <c r="AG257" s="91"/>
    </row>
    <row r="258" ht="15.75" customHeight="1">
      <c r="B258" s="3"/>
      <c r="C258" s="3"/>
      <c r="H258" s="3"/>
      <c r="AG258" s="91"/>
    </row>
    <row r="259" ht="15.75" customHeight="1">
      <c r="B259" s="3"/>
      <c r="C259" s="3"/>
      <c r="H259" s="3"/>
      <c r="AG259" s="91"/>
    </row>
    <row r="260" ht="15.75" customHeight="1">
      <c r="B260" s="3"/>
      <c r="C260" s="3"/>
      <c r="H260" s="3"/>
      <c r="AG260" s="91"/>
    </row>
    <row r="261" ht="15.75" customHeight="1">
      <c r="B261" s="3"/>
      <c r="C261" s="3"/>
      <c r="H261" s="3"/>
      <c r="AG261" s="91"/>
    </row>
    <row r="262" ht="15.75" customHeight="1">
      <c r="B262" s="3"/>
      <c r="C262" s="3"/>
      <c r="H262" s="3"/>
      <c r="AG262" s="91"/>
    </row>
    <row r="263" ht="15.75" customHeight="1">
      <c r="B263" s="3"/>
      <c r="C263" s="3"/>
      <c r="H263" s="3"/>
      <c r="AG263" s="91"/>
    </row>
    <row r="264" ht="15.75" customHeight="1">
      <c r="B264" s="3"/>
      <c r="C264" s="3"/>
      <c r="H264" s="3"/>
      <c r="AG264" s="91"/>
    </row>
    <row r="265" ht="15.75" customHeight="1">
      <c r="B265" s="3"/>
      <c r="C265" s="3"/>
      <c r="H265" s="3"/>
      <c r="AG265" s="91"/>
    </row>
    <row r="266" ht="15.75" customHeight="1">
      <c r="B266" s="3"/>
      <c r="C266" s="3"/>
      <c r="H266" s="3"/>
      <c r="AG266" s="91"/>
    </row>
    <row r="267" ht="15.75" customHeight="1">
      <c r="B267" s="3"/>
      <c r="C267" s="3"/>
      <c r="H267" s="3"/>
      <c r="AG267" s="91"/>
    </row>
    <row r="268" ht="15.75" customHeight="1">
      <c r="B268" s="3"/>
      <c r="C268" s="3"/>
      <c r="H268" s="3"/>
      <c r="AG268" s="91"/>
    </row>
    <row r="269" ht="15.75" customHeight="1">
      <c r="B269" s="3"/>
      <c r="C269" s="3"/>
      <c r="H269" s="3"/>
      <c r="AG269" s="91"/>
    </row>
    <row r="270" ht="15.75" customHeight="1">
      <c r="B270" s="3"/>
      <c r="C270" s="3"/>
      <c r="H270" s="3"/>
      <c r="AG270" s="91"/>
    </row>
    <row r="271" ht="15.75" customHeight="1">
      <c r="B271" s="3"/>
      <c r="C271" s="3"/>
      <c r="H271" s="3"/>
      <c r="AG271" s="91"/>
    </row>
    <row r="272" ht="15.75" customHeight="1">
      <c r="B272" s="3"/>
      <c r="C272" s="3"/>
      <c r="H272" s="3"/>
      <c r="AG272" s="91"/>
    </row>
    <row r="273" ht="15.75" customHeight="1">
      <c r="B273" s="3"/>
      <c r="C273" s="3"/>
      <c r="H273" s="3"/>
      <c r="AG273" s="91"/>
    </row>
    <row r="274" ht="15.75" customHeight="1">
      <c r="B274" s="3"/>
      <c r="C274" s="3"/>
      <c r="H274" s="3"/>
      <c r="AG274" s="91"/>
    </row>
    <row r="275" ht="15.75" customHeight="1">
      <c r="B275" s="3"/>
      <c r="C275" s="3"/>
      <c r="H275" s="3"/>
      <c r="AG275" s="91"/>
    </row>
    <row r="276" ht="15.75" customHeight="1">
      <c r="B276" s="3"/>
      <c r="C276" s="3"/>
      <c r="H276" s="3"/>
      <c r="AG276" s="91"/>
    </row>
    <row r="277" ht="15.75" customHeight="1">
      <c r="B277" s="3"/>
      <c r="C277" s="3"/>
      <c r="H277" s="3"/>
      <c r="AG277" s="91"/>
    </row>
    <row r="278" ht="15.75" customHeight="1">
      <c r="B278" s="3"/>
      <c r="C278" s="3"/>
      <c r="H278" s="3"/>
      <c r="AG278" s="91"/>
    </row>
    <row r="279" ht="15.75" customHeight="1">
      <c r="B279" s="3"/>
      <c r="C279" s="3"/>
      <c r="H279" s="3"/>
      <c r="AG279" s="91"/>
    </row>
    <row r="280" ht="15.75" customHeight="1">
      <c r="B280" s="3"/>
      <c r="C280" s="3"/>
      <c r="H280" s="3"/>
      <c r="AG280" s="91"/>
    </row>
    <row r="281" ht="15.75" customHeight="1">
      <c r="B281" s="3"/>
      <c r="C281" s="3"/>
      <c r="H281" s="3"/>
      <c r="AG281" s="91"/>
    </row>
    <row r="282" ht="15.75" customHeight="1">
      <c r="B282" s="3"/>
      <c r="C282" s="3"/>
      <c r="H282" s="3"/>
      <c r="AG282" s="91"/>
    </row>
    <row r="283" ht="15.75" customHeight="1">
      <c r="B283" s="3"/>
      <c r="C283" s="3"/>
      <c r="H283" s="3"/>
      <c r="AG283" s="91"/>
    </row>
    <row r="284" ht="15.75" customHeight="1">
      <c r="B284" s="3"/>
      <c r="C284" s="3"/>
      <c r="H284" s="3"/>
      <c r="AG284" s="91"/>
    </row>
    <row r="285" ht="15.75" customHeight="1">
      <c r="B285" s="3"/>
      <c r="C285" s="3"/>
      <c r="H285" s="3"/>
      <c r="AG285" s="91"/>
    </row>
    <row r="286" ht="15.75" customHeight="1">
      <c r="B286" s="3"/>
      <c r="C286" s="3"/>
      <c r="H286" s="3"/>
      <c r="AG286" s="91"/>
    </row>
    <row r="287" ht="15.75" customHeight="1">
      <c r="B287" s="3"/>
      <c r="C287" s="3"/>
      <c r="H287" s="3"/>
      <c r="AG287" s="91"/>
    </row>
    <row r="288" ht="15.75" customHeight="1">
      <c r="B288" s="3"/>
      <c r="C288" s="3"/>
      <c r="H288" s="3"/>
      <c r="AG288" s="91"/>
    </row>
    <row r="289" ht="15.75" customHeight="1">
      <c r="B289" s="3"/>
      <c r="C289" s="3"/>
      <c r="H289" s="3"/>
      <c r="AG289" s="91"/>
    </row>
    <row r="290" ht="15.75" customHeight="1">
      <c r="B290" s="3"/>
      <c r="C290" s="3"/>
      <c r="H290" s="3"/>
      <c r="AG290" s="91"/>
    </row>
    <row r="291" ht="15.75" customHeight="1">
      <c r="B291" s="3"/>
      <c r="C291" s="3"/>
      <c r="H291" s="3"/>
      <c r="AG291" s="91"/>
    </row>
    <row r="292" ht="15.75" customHeight="1">
      <c r="B292" s="3"/>
      <c r="C292" s="3"/>
      <c r="H292" s="3"/>
      <c r="AG292" s="91"/>
    </row>
    <row r="293" ht="15.75" customHeight="1">
      <c r="B293" s="3"/>
      <c r="C293" s="3"/>
      <c r="H293" s="3"/>
      <c r="AG293" s="91"/>
    </row>
    <row r="294" ht="15.75" customHeight="1">
      <c r="B294" s="3"/>
      <c r="C294" s="3"/>
      <c r="H294" s="3"/>
      <c r="AG294" s="91"/>
    </row>
    <row r="295" ht="15.75" customHeight="1">
      <c r="B295" s="3"/>
      <c r="C295" s="3"/>
      <c r="H295" s="3"/>
      <c r="AG295" s="91"/>
    </row>
    <row r="296" ht="15.75" customHeight="1">
      <c r="B296" s="3"/>
      <c r="C296" s="3"/>
      <c r="H296" s="3"/>
      <c r="AG296" s="91"/>
    </row>
    <row r="297" ht="15.75" customHeight="1">
      <c r="B297" s="3"/>
      <c r="C297" s="3"/>
      <c r="H297" s="3"/>
      <c r="AG297" s="91"/>
    </row>
    <row r="298" ht="15.75" customHeight="1">
      <c r="B298" s="3"/>
      <c r="C298" s="3"/>
      <c r="H298" s="3"/>
      <c r="AG298" s="91"/>
    </row>
    <row r="299" ht="15.75" customHeight="1">
      <c r="B299" s="3"/>
      <c r="C299" s="3"/>
      <c r="H299" s="3"/>
      <c r="AG299" s="91"/>
    </row>
    <row r="300" ht="15.75" customHeight="1">
      <c r="B300" s="3"/>
      <c r="C300" s="3"/>
      <c r="H300" s="3"/>
      <c r="AG300" s="91"/>
    </row>
    <row r="301" ht="15.75" customHeight="1">
      <c r="B301" s="3"/>
      <c r="C301" s="3"/>
      <c r="H301" s="3"/>
      <c r="AG301" s="91"/>
    </row>
    <row r="302" ht="15.75" customHeight="1">
      <c r="B302" s="3"/>
      <c r="C302" s="3"/>
      <c r="H302" s="3"/>
      <c r="AG302" s="91"/>
    </row>
    <row r="303" ht="15.75" customHeight="1">
      <c r="B303" s="3"/>
      <c r="C303" s="3"/>
      <c r="H303" s="3"/>
      <c r="AG303" s="91"/>
    </row>
    <row r="304" ht="15.75" customHeight="1">
      <c r="B304" s="3"/>
      <c r="C304" s="3"/>
      <c r="H304" s="3"/>
      <c r="AG304" s="91"/>
    </row>
    <row r="305" ht="15.75" customHeight="1">
      <c r="B305" s="3"/>
      <c r="C305" s="3"/>
      <c r="H305" s="3"/>
      <c r="AG305" s="91"/>
    </row>
    <row r="306" ht="15.75" customHeight="1">
      <c r="B306" s="3"/>
      <c r="C306" s="3"/>
      <c r="H306" s="3"/>
      <c r="AG306" s="91"/>
    </row>
    <row r="307" ht="15.75" customHeight="1">
      <c r="B307" s="3"/>
      <c r="C307" s="3"/>
      <c r="H307" s="3"/>
      <c r="AG307" s="91"/>
    </row>
    <row r="308" ht="15.75" customHeight="1">
      <c r="B308" s="3"/>
      <c r="C308" s="3"/>
      <c r="H308" s="3"/>
      <c r="AG308" s="91"/>
    </row>
    <row r="309" ht="15.75" customHeight="1">
      <c r="B309" s="3"/>
      <c r="C309" s="3"/>
      <c r="H309" s="3"/>
      <c r="AG309" s="91"/>
    </row>
    <row r="310" ht="15.75" customHeight="1">
      <c r="B310" s="3"/>
      <c r="C310" s="3"/>
      <c r="H310" s="3"/>
      <c r="AG310" s="91"/>
    </row>
    <row r="311" ht="15.75" customHeight="1">
      <c r="B311" s="3"/>
      <c r="C311" s="3"/>
      <c r="H311" s="3"/>
      <c r="AG311" s="91"/>
    </row>
    <row r="312" ht="15.75" customHeight="1">
      <c r="B312" s="3"/>
      <c r="C312" s="3"/>
      <c r="H312" s="3"/>
      <c r="AG312" s="91"/>
    </row>
    <row r="313" ht="15.75" customHeight="1">
      <c r="B313" s="3"/>
      <c r="C313" s="3"/>
      <c r="H313" s="3"/>
      <c r="AG313" s="91"/>
    </row>
    <row r="314" ht="15.75" customHeight="1">
      <c r="B314" s="3"/>
      <c r="C314" s="3"/>
      <c r="H314" s="3"/>
      <c r="AG314" s="91"/>
    </row>
    <row r="315" ht="15.75" customHeight="1">
      <c r="B315" s="3"/>
      <c r="C315" s="3"/>
      <c r="H315" s="3"/>
      <c r="AG315" s="91"/>
    </row>
    <row r="316" ht="15.75" customHeight="1">
      <c r="B316" s="3"/>
      <c r="C316" s="3"/>
      <c r="H316" s="3"/>
      <c r="AG316" s="91"/>
    </row>
    <row r="317" ht="15.75" customHeight="1">
      <c r="B317" s="3"/>
      <c r="C317" s="3"/>
      <c r="H317" s="3"/>
      <c r="AG317" s="91"/>
    </row>
    <row r="318" ht="15.75" customHeight="1">
      <c r="B318" s="3"/>
      <c r="C318" s="3"/>
      <c r="H318" s="3"/>
      <c r="AG318" s="91"/>
    </row>
    <row r="319" ht="15.75" customHeight="1">
      <c r="B319" s="3"/>
      <c r="C319" s="3"/>
      <c r="H319" s="3"/>
      <c r="AG319" s="91"/>
    </row>
    <row r="320" ht="15.75" customHeight="1">
      <c r="B320" s="3"/>
      <c r="C320" s="3"/>
      <c r="H320" s="3"/>
      <c r="AG320" s="91"/>
    </row>
    <row r="321" ht="15.75" customHeight="1">
      <c r="B321" s="3"/>
      <c r="C321" s="3"/>
      <c r="H321" s="3"/>
      <c r="AG321" s="91"/>
    </row>
    <row r="322" ht="15.75" customHeight="1">
      <c r="B322" s="3"/>
      <c r="C322" s="3"/>
      <c r="H322" s="3"/>
      <c r="AG322" s="91"/>
    </row>
    <row r="323" ht="15.75" customHeight="1">
      <c r="B323" s="3"/>
      <c r="C323" s="3"/>
      <c r="H323" s="3"/>
      <c r="AG323" s="91"/>
    </row>
    <row r="324" ht="15.75" customHeight="1">
      <c r="B324" s="3"/>
      <c r="C324" s="3"/>
      <c r="H324" s="3"/>
      <c r="AG324" s="91"/>
    </row>
    <row r="325" ht="15.75" customHeight="1">
      <c r="B325" s="3"/>
      <c r="C325" s="3"/>
      <c r="H325" s="3"/>
      <c r="AG325" s="91"/>
    </row>
    <row r="326" ht="15.75" customHeight="1">
      <c r="B326" s="3"/>
      <c r="C326" s="3"/>
      <c r="H326" s="3"/>
      <c r="AG326" s="91"/>
    </row>
    <row r="327" ht="15.75" customHeight="1">
      <c r="B327" s="3"/>
      <c r="C327" s="3"/>
      <c r="H327" s="3"/>
      <c r="AG327" s="91"/>
    </row>
    <row r="328" ht="15.75" customHeight="1">
      <c r="B328" s="3"/>
      <c r="C328" s="3"/>
      <c r="H328" s="3"/>
      <c r="AG328" s="91"/>
    </row>
    <row r="329" ht="15.75" customHeight="1">
      <c r="B329" s="3"/>
      <c r="C329" s="3"/>
      <c r="H329" s="3"/>
      <c r="AG329" s="91"/>
    </row>
    <row r="330" ht="15.75" customHeight="1">
      <c r="B330" s="3"/>
      <c r="C330" s="3"/>
      <c r="H330" s="3"/>
      <c r="AG330" s="91"/>
    </row>
    <row r="331" ht="15.75" customHeight="1">
      <c r="B331" s="3"/>
      <c r="C331" s="3"/>
      <c r="H331" s="3"/>
      <c r="AG331" s="91"/>
    </row>
    <row r="332" ht="15.75" customHeight="1">
      <c r="B332" s="3"/>
      <c r="C332" s="3"/>
      <c r="H332" s="3"/>
      <c r="AG332" s="91"/>
    </row>
    <row r="333" ht="15.75" customHeight="1">
      <c r="B333" s="3"/>
      <c r="C333" s="3"/>
      <c r="H333" s="3"/>
      <c r="AG333" s="91"/>
    </row>
    <row r="334" ht="15.75" customHeight="1">
      <c r="B334" s="3"/>
      <c r="C334" s="3"/>
      <c r="H334" s="3"/>
      <c r="AG334" s="91"/>
    </row>
    <row r="335" ht="15.75" customHeight="1">
      <c r="B335" s="3"/>
      <c r="C335" s="3"/>
      <c r="H335" s="3"/>
      <c r="AG335" s="91"/>
    </row>
    <row r="336" ht="15.75" customHeight="1">
      <c r="B336" s="3"/>
      <c r="C336" s="3"/>
      <c r="H336" s="3"/>
      <c r="AG336" s="91"/>
    </row>
    <row r="337" ht="15.75" customHeight="1">
      <c r="B337" s="3"/>
      <c r="C337" s="3"/>
      <c r="H337" s="3"/>
      <c r="AG337" s="91"/>
    </row>
    <row r="338" ht="15.75" customHeight="1">
      <c r="B338" s="3"/>
      <c r="C338" s="3"/>
      <c r="H338" s="3"/>
      <c r="AG338" s="91"/>
    </row>
    <row r="339" ht="15.75" customHeight="1">
      <c r="B339" s="3"/>
      <c r="C339" s="3"/>
      <c r="H339" s="3"/>
      <c r="AG339" s="91"/>
    </row>
    <row r="340" ht="15.75" customHeight="1">
      <c r="B340" s="3"/>
      <c r="C340" s="3"/>
      <c r="H340" s="3"/>
      <c r="AG340" s="91"/>
    </row>
    <row r="341" ht="15.75" customHeight="1">
      <c r="B341" s="3"/>
      <c r="C341" s="3"/>
      <c r="H341" s="3"/>
      <c r="AG341" s="91"/>
    </row>
    <row r="342" ht="15.75" customHeight="1">
      <c r="B342" s="3"/>
      <c r="C342" s="3"/>
      <c r="H342" s="3"/>
      <c r="AG342" s="91"/>
    </row>
    <row r="343" ht="15.75" customHeight="1">
      <c r="B343" s="3"/>
      <c r="C343" s="3"/>
      <c r="H343" s="3"/>
      <c r="AG343" s="91"/>
    </row>
    <row r="344" ht="15.75" customHeight="1">
      <c r="B344" s="3"/>
      <c r="C344" s="3"/>
      <c r="H344" s="3"/>
      <c r="AG344" s="91"/>
    </row>
    <row r="345" ht="15.75" customHeight="1">
      <c r="B345" s="3"/>
      <c r="C345" s="3"/>
      <c r="H345" s="3"/>
      <c r="AG345" s="91"/>
    </row>
    <row r="346" ht="15.75" customHeight="1">
      <c r="B346" s="3"/>
      <c r="C346" s="3"/>
      <c r="H346" s="3"/>
      <c r="AG346" s="91"/>
    </row>
    <row r="347" ht="15.75" customHeight="1">
      <c r="B347" s="3"/>
      <c r="C347" s="3"/>
      <c r="H347" s="3"/>
      <c r="AG347" s="91"/>
    </row>
    <row r="348" ht="15.75" customHeight="1">
      <c r="B348" s="3"/>
      <c r="C348" s="3"/>
      <c r="H348" s="3"/>
      <c r="AG348" s="91"/>
    </row>
    <row r="349" ht="15.75" customHeight="1">
      <c r="B349" s="3"/>
      <c r="C349" s="3"/>
      <c r="H349" s="3"/>
      <c r="AG349" s="91"/>
    </row>
    <row r="350" ht="15.75" customHeight="1">
      <c r="B350" s="3"/>
      <c r="C350" s="3"/>
      <c r="H350" s="3"/>
      <c r="AG350" s="91"/>
    </row>
    <row r="351" ht="15.75" customHeight="1">
      <c r="B351" s="3"/>
      <c r="C351" s="3"/>
      <c r="H351" s="3"/>
      <c r="AG351" s="91"/>
    </row>
    <row r="352" ht="15.75" customHeight="1">
      <c r="B352" s="3"/>
      <c r="C352" s="3"/>
      <c r="H352" s="3"/>
      <c r="AG352" s="91"/>
    </row>
    <row r="353" ht="15.75" customHeight="1">
      <c r="B353" s="3"/>
      <c r="C353" s="3"/>
      <c r="H353" s="3"/>
      <c r="AG353" s="91"/>
    </row>
    <row r="354" ht="15.75" customHeight="1">
      <c r="B354" s="3"/>
      <c r="C354" s="3"/>
      <c r="H354" s="3"/>
      <c r="AG354" s="91"/>
    </row>
    <row r="355" ht="15.75" customHeight="1">
      <c r="B355" s="3"/>
      <c r="C355" s="3"/>
      <c r="H355" s="3"/>
      <c r="AG355" s="91"/>
    </row>
    <row r="356" ht="15.75" customHeight="1">
      <c r="B356" s="3"/>
      <c r="C356" s="3"/>
      <c r="H356" s="3"/>
      <c r="AG356" s="91"/>
    </row>
    <row r="357" ht="15.75" customHeight="1">
      <c r="B357" s="3"/>
      <c r="C357" s="3"/>
      <c r="H357" s="3"/>
      <c r="AG357" s="91"/>
    </row>
    <row r="358" ht="15.75" customHeight="1">
      <c r="B358" s="3"/>
      <c r="C358" s="3"/>
      <c r="H358" s="3"/>
      <c r="AG358" s="91"/>
    </row>
    <row r="359" ht="15.75" customHeight="1">
      <c r="B359" s="3"/>
      <c r="C359" s="3"/>
      <c r="H359" s="3"/>
      <c r="AG359" s="91"/>
    </row>
    <row r="360" ht="15.75" customHeight="1">
      <c r="B360" s="3"/>
      <c r="C360" s="3"/>
      <c r="H360" s="3"/>
      <c r="AG360" s="91"/>
    </row>
    <row r="361" ht="15.75" customHeight="1">
      <c r="B361" s="3"/>
      <c r="C361" s="3"/>
      <c r="H361" s="3"/>
      <c r="AG361" s="91"/>
    </row>
    <row r="362" ht="15.75" customHeight="1">
      <c r="B362" s="3"/>
      <c r="C362" s="3"/>
      <c r="H362" s="3"/>
      <c r="AG362" s="91"/>
    </row>
    <row r="363" ht="15.75" customHeight="1">
      <c r="B363" s="3"/>
      <c r="C363" s="3"/>
      <c r="H363" s="3"/>
      <c r="AG363" s="91"/>
    </row>
    <row r="364" ht="15.75" customHeight="1">
      <c r="B364" s="3"/>
      <c r="C364" s="3"/>
      <c r="H364" s="3"/>
      <c r="AG364" s="91"/>
    </row>
    <row r="365" ht="15.75" customHeight="1">
      <c r="B365" s="3"/>
      <c r="C365" s="3"/>
      <c r="H365" s="3"/>
      <c r="AG365" s="91"/>
    </row>
    <row r="366" ht="15.75" customHeight="1">
      <c r="B366" s="3"/>
      <c r="C366" s="3"/>
      <c r="H366" s="3"/>
      <c r="AG366" s="91"/>
    </row>
    <row r="367" ht="15.75" customHeight="1">
      <c r="B367" s="3"/>
      <c r="C367" s="3"/>
      <c r="H367" s="3"/>
      <c r="AG367" s="91"/>
    </row>
    <row r="368" ht="15.75" customHeight="1">
      <c r="B368" s="3"/>
      <c r="C368" s="3"/>
      <c r="H368" s="3"/>
      <c r="AG368" s="91"/>
    </row>
    <row r="369" ht="15.75" customHeight="1">
      <c r="B369" s="3"/>
      <c r="C369" s="3"/>
      <c r="H369" s="3"/>
      <c r="AG369" s="91"/>
    </row>
    <row r="370" ht="15.75" customHeight="1">
      <c r="B370" s="3"/>
      <c r="C370" s="3"/>
      <c r="H370" s="3"/>
      <c r="AG370" s="91"/>
    </row>
    <row r="371" ht="15.75" customHeight="1">
      <c r="B371" s="3"/>
      <c r="C371" s="3"/>
      <c r="H371" s="3"/>
      <c r="AG371" s="91"/>
    </row>
    <row r="372" ht="15.75" customHeight="1">
      <c r="B372" s="3"/>
      <c r="C372" s="3"/>
      <c r="H372" s="3"/>
      <c r="AG372" s="91"/>
    </row>
    <row r="373" ht="15.75" customHeight="1">
      <c r="B373" s="3"/>
      <c r="C373" s="3"/>
      <c r="H373" s="3"/>
      <c r="AG373" s="91"/>
    </row>
    <row r="374" ht="15.75" customHeight="1">
      <c r="B374" s="3"/>
      <c r="C374" s="3"/>
      <c r="H374" s="3"/>
      <c r="AG374" s="91"/>
    </row>
    <row r="375" ht="15.75" customHeight="1">
      <c r="B375" s="3"/>
      <c r="C375" s="3"/>
      <c r="H375" s="3"/>
      <c r="AG375" s="91"/>
    </row>
    <row r="376" ht="15.75" customHeight="1">
      <c r="B376" s="3"/>
      <c r="C376" s="3"/>
      <c r="H376" s="3"/>
      <c r="AG376" s="91"/>
    </row>
    <row r="377" ht="15.75" customHeight="1">
      <c r="B377" s="3"/>
      <c r="C377" s="3"/>
      <c r="H377" s="3"/>
      <c r="AG377" s="91"/>
    </row>
    <row r="378" ht="15.75" customHeight="1">
      <c r="B378" s="3"/>
      <c r="C378" s="3"/>
      <c r="H378" s="3"/>
      <c r="AG378" s="91"/>
    </row>
    <row r="379" ht="15.75" customHeight="1">
      <c r="B379" s="3"/>
      <c r="C379" s="3"/>
      <c r="H379" s="3"/>
      <c r="AG379" s="91"/>
    </row>
    <row r="380" ht="15.75" customHeight="1">
      <c r="B380" s="3"/>
      <c r="C380" s="3"/>
      <c r="H380" s="3"/>
      <c r="AG380" s="91"/>
    </row>
    <row r="381" ht="15.75" customHeight="1">
      <c r="B381" s="3"/>
      <c r="C381" s="3"/>
      <c r="H381" s="3"/>
      <c r="AG381" s="91"/>
    </row>
    <row r="382" ht="15.75" customHeight="1">
      <c r="B382" s="3"/>
      <c r="C382" s="3"/>
      <c r="H382" s="3"/>
      <c r="AG382" s="91"/>
    </row>
    <row r="383" ht="15.75" customHeight="1">
      <c r="B383" s="3"/>
      <c r="C383" s="3"/>
      <c r="H383" s="3"/>
      <c r="AG383" s="91"/>
    </row>
    <row r="384" ht="15.75" customHeight="1">
      <c r="B384" s="3"/>
      <c r="C384" s="3"/>
      <c r="H384" s="3"/>
      <c r="AG384" s="91"/>
    </row>
    <row r="385" ht="15.75" customHeight="1">
      <c r="B385" s="3"/>
      <c r="C385" s="3"/>
      <c r="H385" s="3"/>
      <c r="AG385" s="91"/>
    </row>
    <row r="386" ht="15.75" customHeight="1">
      <c r="B386" s="3"/>
      <c r="C386" s="3"/>
      <c r="H386" s="3"/>
      <c r="AG386" s="91"/>
    </row>
    <row r="387" ht="15.75" customHeight="1">
      <c r="B387" s="3"/>
      <c r="C387" s="3"/>
      <c r="H387" s="3"/>
      <c r="AG387" s="91"/>
    </row>
    <row r="388" ht="15.75" customHeight="1">
      <c r="B388" s="3"/>
      <c r="C388" s="3"/>
      <c r="H388" s="3"/>
      <c r="AG388" s="91"/>
    </row>
    <row r="389" ht="15.75" customHeight="1">
      <c r="B389" s="3"/>
      <c r="C389" s="3"/>
      <c r="H389" s="3"/>
      <c r="AG389" s="91"/>
    </row>
    <row r="390" ht="15.75" customHeight="1">
      <c r="B390" s="3"/>
      <c r="C390" s="3"/>
      <c r="H390" s="3"/>
      <c r="AG390" s="91"/>
    </row>
    <row r="391" ht="15.75" customHeight="1">
      <c r="B391" s="3"/>
      <c r="C391" s="3"/>
      <c r="H391" s="3"/>
      <c r="AG391" s="91"/>
    </row>
    <row r="392" ht="15.75" customHeight="1">
      <c r="B392" s="3"/>
      <c r="C392" s="3"/>
      <c r="H392" s="3"/>
      <c r="AG392" s="91"/>
    </row>
    <row r="393" ht="15.75" customHeight="1">
      <c r="B393" s="3"/>
      <c r="C393" s="3"/>
      <c r="H393" s="3"/>
      <c r="AG393" s="91"/>
    </row>
    <row r="394" ht="15.75" customHeight="1">
      <c r="B394" s="3"/>
      <c r="C394" s="3"/>
      <c r="H394" s="3"/>
      <c r="AG394" s="91"/>
    </row>
    <row r="395" ht="15.75" customHeight="1">
      <c r="B395" s="3"/>
      <c r="C395" s="3"/>
      <c r="H395" s="3"/>
      <c r="AG395" s="91"/>
    </row>
    <row r="396" ht="15.75" customHeight="1">
      <c r="B396" s="3"/>
      <c r="C396" s="3"/>
      <c r="H396" s="3"/>
      <c r="AG396" s="91"/>
    </row>
    <row r="397" ht="15.75" customHeight="1">
      <c r="B397" s="3"/>
      <c r="C397" s="3"/>
      <c r="H397" s="3"/>
      <c r="AG397" s="91"/>
    </row>
    <row r="398" ht="15.75" customHeight="1">
      <c r="B398" s="3"/>
      <c r="C398" s="3"/>
      <c r="H398" s="3"/>
      <c r="AG398" s="91"/>
    </row>
    <row r="399" ht="15.75" customHeight="1">
      <c r="B399" s="3"/>
      <c r="C399" s="3"/>
      <c r="H399" s="3"/>
      <c r="AG399" s="91"/>
    </row>
    <row r="400" ht="15.75" customHeight="1">
      <c r="B400" s="3"/>
      <c r="C400" s="3"/>
      <c r="H400" s="3"/>
      <c r="AG400" s="91"/>
    </row>
    <row r="401" ht="15.75" customHeight="1">
      <c r="B401" s="3"/>
      <c r="C401" s="3"/>
      <c r="H401" s="3"/>
      <c r="AG401" s="91"/>
    </row>
    <row r="402" ht="15.75" customHeight="1">
      <c r="B402" s="3"/>
      <c r="C402" s="3"/>
      <c r="H402" s="3"/>
      <c r="AG402" s="91"/>
    </row>
    <row r="403" ht="15.75" customHeight="1">
      <c r="B403" s="3"/>
      <c r="C403" s="3"/>
      <c r="H403" s="3"/>
      <c r="AG403" s="91"/>
    </row>
    <row r="404" ht="15.75" customHeight="1">
      <c r="B404" s="3"/>
      <c r="C404" s="3"/>
      <c r="H404" s="3"/>
      <c r="AG404" s="91"/>
    </row>
    <row r="405" ht="15.75" customHeight="1">
      <c r="B405" s="3"/>
      <c r="C405" s="3"/>
      <c r="H405" s="3"/>
      <c r="AG405" s="91"/>
    </row>
    <row r="406" ht="15.75" customHeight="1">
      <c r="B406" s="3"/>
      <c r="C406" s="3"/>
      <c r="H406" s="3"/>
      <c r="AG406" s="91"/>
    </row>
    <row r="407" ht="15.75" customHeight="1">
      <c r="B407" s="3"/>
      <c r="C407" s="3"/>
      <c r="H407" s="3"/>
      <c r="AG407" s="91"/>
    </row>
    <row r="408" ht="15.75" customHeight="1">
      <c r="B408" s="3"/>
      <c r="C408" s="3"/>
      <c r="H408" s="3"/>
      <c r="AG408" s="91"/>
    </row>
    <row r="409" ht="15.75" customHeight="1">
      <c r="B409" s="3"/>
      <c r="C409" s="3"/>
      <c r="H409" s="3"/>
      <c r="AG409" s="91"/>
    </row>
    <row r="410" ht="15.75" customHeight="1">
      <c r="B410" s="3"/>
      <c r="C410" s="3"/>
      <c r="H410" s="3"/>
      <c r="AG410" s="91"/>
    </row>
    <row r="411" ht="15.75" customHeight="1">
      <c r="B411" s="3"/>
      <c r="C411" s="3"/>
      <c r="H411" s="3"/>
      <c r="AG411" s="91"/>
    </row>
    <row r="412" ht="15.75" customHeight="1">
      <c r="B412" s="3"/>
      <c r="C412" s="3"/>
      <c r="H412" s="3"/>
      <c r="AG412" s="91"/>
    </row>
    <row r="413" ht="15.75" customHeight="1">
      <c r="B413" s="3"/>
      <c r="C413" s="3"/>
      <c r="H413" s="3"/>
      <c r="AG413" s="91"/>
    </row>
    <row r="414" ht="15.75" customHeight="1">
      <c r="B414" s="3"/>
      <c r="C414" s="3"/>
      <c r="H414" s="3"/>
      <c r="AG414" s="91"/>
    </row>
    <row r="415" ht="15.75" customHeight="1">
      <c r="B415" s="3"/>
      <c r="C415" s="3"/>
      <c r="H415" s="3"/>
      <c r="AG415" s="91"/>
    </row>
    <row r="416" ht="15.75" customHeight="1">
      <c r="B416" s="3"/>
      <c r="C416" s="3"/>
      <c r="H416" s="3"/>
      <c r="AG416" s="91"/>
    </row>
    <row r="417" ht="15.75" customHeight="1">
      <c r="B417" s="3"/>
      <c r="C417" s="3"/>
      <c r="H417" s="3"/>
      <c r="AG417" s="91"/>
    </row>
    <row r="418" ht="15.75" customHeight="1">
      <c r="B418" s="3"/>
      <c r="C418" s="3"/>
      <c r="H418" s="3"/>
      <c r="AG418" s="91"/>
    </row>
    <row r="419" ht="15.75" customHeight="1">
      <c r="B419" s="3"/>
      <c r="C419" s="3"/>
      <c r="H419" s="3"/>
      <c r="AG419" s="91"/>
    </row>
    <row r="420" ht="15.75" customHeight="1">
      <c r="B420" s="3"/>
      <c r="C420" s="3"/>
      <c r="H420" s="3"/>
      <c r="AG420" s="91"/>
    </row>
    <row r="421" ht="15.75" customHeight="1">
      <c r="B421" s="3"/>
      <c r="C421" s="3"/>
      <c r="H421" s="3"/>
      <c r="AG421" s="91"/>
    </row>
    <row r="422" ht="15.75" customHeight="1">
      <c r="B422" s="3"/>
      <c r="C422" s="3"/>
      <c r="H422" s="3"/>
      <c r="AG422" s="91"/>
    </row>
    <row r="423" ht="15.75" customHeight="1">
      <c r="B423" s="3"/>
      <c r="C423" s="3"/>
      <c r="H423" s="3"/>
      <c r="AG423" s="91"/>
    </row>
    <row r="424" ht="15.75" customHeight="1">
      <c r="B424" s="3"/>
      <c r="C424" s="3"/>
      <c r="H424" s="3"/>
      <c r="AG424" s="91"/>
    </row>
    <row r="425" ht="15.75" customHeight="1">
      <c r="B425" s="3"/>
      <c r="C425" s="3"/>
      <c r="H425" s="3"/>
      <c r="AG425" s="91"/>
    </row>
    <row r="426" ht="15.75" customHeight="1">
      <c r="B426" s="3"/>
      <c r="C426" s="3"/>
      <c r="H426" s="3"/>
      <c r="AG426" s="91"/>
    </row>
    <row r="427" ht="15.75" customHeight="1">
      <c r="B427" s="3"/>
      <c r="C427" s="3"/>
      <c r="H427" s="3"/>
      <c r="AG427" s="91"/>
    </row>
    <row r="428" ht="15.75" customHeight="1">
      <c r="B428" s="3"/>
      <c r="C428" s="3"/>
      <c r="H428" s="3"/>
      <c r="AG428" s="91"/>
    </row>
    <row r="429" ht="15.75" customHeight="1">
      <c r="B429" s="3"/>
      <c r="C429" s="3"/>
      <c r="H429" s="3"/>
      <c r="AG429" s="91"/>
    </row>
    <row r="430" ht="15.75" customHeight="1">
      <c r="B430" s="3"/>
      <c r="C430" s="3"/>
      <c r="H430" s="3"/>
      <c r="AG430" s="91"/>
    </row>
    <row r="431" ht="15.75" customHeight="1">
      <c r="B431" s="3"/>
      <c r="C431" s="3"/>
      <c r="H431" s="3"/>
      <c r="AG431" s="91"/>
    </row>
    <row r="432" ht="15.75" customHeight="1">
      <c r="B432" s="3"/>
      <c r="C432" s="3"/>
      <c r="H432" s="3"/>
      <c r="AG432" s="91"/>
    </row>
    <row r="433" ht="15.75" customHeight="1">
      <c r="B433" s="3"/>
      <c r="C433" s="3"/>
      <c r="H433" s="3"/>
      <c r="AG433" s="91"/>
    </row>
    <row r="434" ht="15.75" customHeight="1">
      <c r="B434" s="3"/>
      <c r="C434" s="3"/>
      <c r="H434" s="3"/>
      <c r="AG434" s="91"/>
    </row>
    <row r="435" ht="15.75" customHeight="1">
      <c r="B435" s="3"/>
      <c r="C435" s="3"/>
      <c r="H435" s="3"/>
      <c r="AG435" s="91"/>
    </row>
    <row r="436" ht="15.75" customHeight="1">
      <c r="B436" s="3"/>
      <c r="C436" s="3"/>
      <c r="H436" s="3"/>
      <c r="AG436" s="91"/>
    </row>
    <row r="437" ht="15.75" customHeight="1">
      <c r="B437" s="3"/>
      <c r="C437" s="3"/>
      <c r="H437" s="3"/>
      <c r="AG437" s="91"/>
    </row>
    <row r="438" ht="15.75" customHeight="1">
      <c r="B438" s="3"/>
      <c r="C438" s="3"/>
      <c r="H438" s="3"/>
      <c r="AG438" s="91"/>
    </row>
    <row r="439" ht="15.75" customHeight="1">
      <c r="B439" s="3"/>
      <c r="C439" s="3"/>
      <c r="H439" s="3"/>
      <c r="AG439" s="91"/>
    </row>
    <row r="440" ht="15.75" customHeight="1">
      <c r="B440" s="3"/>
      <c r="C440" s="3"/>
      <c r="H440" s="3"/>
      <c r="AG440" s="91"/>
    </row>
    <row r="441" ht="15.75" customHeight="1">
      <c r="B441" s="3"/>
      <c r="C441" s="3"/>
      <c r="H441" s="3"/>
      <c r="AG441" s="91"/>
    </row>
    <row r="442" ht="15.75" customHeight="1">
      <c r="B442" s="3"/>
      <c r="C442" s="3"/>
      <c r="H442" s="3"/>
      <c r="AG442" s="91"/>
    </row>
    <row r="443" ht="15.75" customHeight="1">
      <c r="B443" s="3"/>
      <c r="C443" s="3"/>
      <c r="H443" s="3"/>
      <c r="AG443" s="91"/>
    </row>
    <row r="444" ht="15.75" customHeight="1">
      <c r="B444" s="3"/>
      <c r="C444" s="3"/>
      <c r="H444" s="3"/>
      <c r="AG444" s="91"/>
    </row>
    <row r="445" ht="15.75" customHeight="1">
      <c r="B445" s="3"/>
      <c r="C445" s="3"/>
      <c r="H445" s="3"/>
      <c r="AG445" s="91"/>
    </row>
    <row r="446" ht="15.75" customHeight="1">
      <c r="B446" s="3"/>
      <c r="C446" s="3"/>
      <c r="H446" s="3"/>
      <c r="AG446" s="91"/>
    </row>
    <row r="447" ht="15.75" customHeight="1">
      <c r="B447" s="3"/>
      <c r="C447" s="3"/>
      <c r="H447" s="3"/>
      <c r="AG447" s="91"/>
    </row>
    <row r="448" ht="15.75" customHeight="1">
      <c r="B448" s="3"/>
      <c r="C448" s="3"/>
      <c r="H448" s="3"/>
      <c r="AG448" s="91"/>
    </row>
    <row r="449" ht="15.75" customHeight="1">
      <c r="B449" s="3"/>
      <c r="C449" s="3"/>
      <c r="H449" s="3"/>
      <c r="AG449" s="91"/>
    </row>
    <row r="450" ht="15.75" customHeight="1">
      <c r="B450" s="3"/>
      <c r="C450" s="3"/>
      <c r="H450" s="3"/>
      <c r="AG450" s="91"/>
    </row>
    <row r="451" ht="15.75" customHeight="1">
      <c r="B451" s="3"/>
      <c r="C451" s="3"/>
      <c r="H451" s="3"/>
      <c r="AG451" s="91"/>
    </row>
    <row r="452" ht="15.75" customHeight="1">
      <c r="B452" s="3"/>
      <c r="C452" s="3"/>
      <c r="H452" s="3"/>
      <c r="AG452" s="91"/>
    </row>
    <row r="453" ht="15.75" customHeight="1">
      <c r="B453" s="3"/>
      <c r="C453" s="3"/>
      <c r="H453" s="3"/>
      <c r="AG453" s="91"/>
    </row>
    <row r="454" ht="15.75" customHeight="1">
      <c r="B454" s="3"/>
      <c r="C454" s="3"/>
      <c r="H454" s="3"/>
      <c r="AG454" s="91"/>
    </row>
    <row r="455" ht="15.75" customHeight="1">
      <c r="B455" s="3"/>
      <c r="C455" s="3"/>
      <c r="H455" s="3"/>
      <c r="AG455" s="91"/>
    </row>
    <row r="456" ht="15.75" customHeight="1">
      <c r="B456" s="3"/>
      <c r="C456" s="3"/>
      <c r="H456" s="3"/>
      <c r="AG456" s="91"/>
    </row>
    <row r="457" ht="15.75" customHeight="1">
      <c r="B457" s="3"/>
      <c r="C457" s="3"/>
      <c r="H457" s="3"/>
      <c r="AG457" s="91"/>
    </row>
    <row r="458" ht="15.75" customHeight="1">
      <c r="B458" s="3"/>
      <c r="C458" s="3"/>
      <c r="H458" s="3"/>
      <c r="AG458" s="91"/>
    </row>
    <row r="459" ht="15.75" customHeight="1">
      <c r="B459" s="3"/>
      <c r="C459" s="3"/>
      <c r="H459" s="3"/>
      <c r="AG459" s="91"/>
    </row>
    <row r="460" ht="15.75" customHeight="1">
      <c r="B460" s="3"/>
      <c r="C460" s="3"/>
      <c r="H460" s="3"/>
      <c r="AG460" s="91"/>
    </row>
    <row r="461" ht="15.75" customHeight="1">
      <c r="B461" s="3"/>
      <c r="C461" s="3"/>
      <c r="H461" s="3"/>
      <c r="AG461" s="91"/>
    </row>
    <row r="462" ht="15.75" customHeight="1">
      <c r="B462" s="3"/>
      <c r="C462" s="3"/>
      <c r="H462" s="3"/>
      <c r="AG462" s="91"/>
    </row>
    <row r="463" ht="15.75" customHeight="1">
      <c r="B463" s="3"/>
      <c r="C463" s="3"/>
      <c r="H463" s="3"/>
      <c r="AG463" s="91"/>
    </row>
    <row r="464" ht="15.75" customHeight="1">
      <c r="B464" s="3"/>
      <c r="C464" s="3"/>
      <c r="H464" s="3"/>
      <c r="AG464" s="91"/>
    </row>
    <row r="465" ht="15.75" customHeight="1">
      <c r="B465" s="3"/>
      <c r="C465" s="3"/>
      <c r="H465" s="3"/>
      <c r="AG465" s="91"/>
    </row>
    <row r="466" ht="15.75" customHeight="1">
      <c r="B466" s="3"/>
      <c r="C466" s="3"/>
      <c r="H466" s="3"/>
      <c r="AG466" s="91"/>
    </row>
    <row r="467" ht="15.75" customHeight="1">
      <c r="B467" s="3"/>
      <c r="C467" s="3"/>
      <c r="H467" s="3"/>
      <c r="AG467" s="91"/>
    </row>
    <row r="468" ht="15.75" customHeight="1">
      <c r="B468" s="3"/>
      <c r="C468" s="3"/>
      <c r="H468" s="3"/>
      <c r="AG468" s="91"/>
    </row>
    <row r="469" ht="15.75" customHeight="1">
      <c r="B469" s="3"/>
      <c r="C469" s="3"/>
      <c r="H469" s="3"/>
      <c r="AG469" s="91"/>
    </row>
    <row r="470" ht="15.75" customHeight="1">
      <c r="B470" s="3"/>
      <c r="C470" s="3"/>
      <c r="H470" s="3"/>
      <c r="AG470" s="91"/>
    </row>
    <row r="471" ht="15.75" customHeight="1">
      <c r="B471" s="3"/>
      <c r="C471" s="3"/>
      <c r="H471" s="3"/>
      <c r="AG471" s="91"/>
    </row>
    <row r="472" ht="15.75" customHeight="1">
      <c r="B472" s="3"/>
      <c r="C472" s="3"/>
      <c r="H472" s="3"/>
      <c r="AG472" s="91"/>
    </row>
    <row r="473" ht="15.75" customHeight="1">
      <c r="B473" s="3"/>
      <c r="C473" s="3"/>
      <c r="H473" s="3"/>
      <c r="AG473" s="91"/>
    </row>
    <row r="474" ht="15.75" customHeight="1">
      <c r="B474" s="3"/>
      <c r="C474" s="3"/>
      <c r="H474" s="3"/>
      <c r="AG474" s="91"/>
    </row>
    <row r="475" ht="15.75" customHeight="1">
      <c r="B475" s="3"/>
      <c r="C475" s="3"/>
      <c r="H475" s="3"/>
      <c r="AG475" s="91"/>
    </row>
    <row r="476" ht="15.75" customHeight="1">
      <c r="B476" s="3"/>
      <c r="C476" s="3"/>
      <c r="H476" s="3"/>
      <c r="AG476" s="91"/>
    </row>
    <row r="477" ht="15.75" customHeight="1">
      <c r="B477" s="3"/>
      <c r="C477" s="3"/>
      <c r="H477" s="3"/>
      <c r="AG477" s="91"/>
    </row>
    <row r="478" ht="15.75" customHeight="1">
      <c r="B478" s="3"/>
      <c r="C478" s="3"/>
      <c r="H478" s="3"/>
      <c r="AG478" s="91"/>
    </row>
    <row r="479" ht="15.75" customHeight="1">
      <c r="B479" s="3"/>
      <c r="C479" s="3"/>
      <c r="H479" s="3"/>
      <c r="AG479" s="91"/>
    </row>
    <row r="480" ht="15.75" customHeight="1">
      <c r="B480" s="3"/>
      <c r="C480" s="3"/>
      <c r="H480" s="3"/>
      <c r="AG480" s="91"/>
    </row>
    <row r="481" ht="15.75" customHeight="1">
      <c r="B481" s="3"/>
      <c r="C481" s="3"/>
      <c r="H481" s="3"/>
      <c r="AG481" s="91"/>
    </row>
    <row r="482" ht="15.75" customHeight="1">
      <c r="B482" s="3"/>
      <c r="C482" s="3"/>
      <c r="H482" s="3"/>
      <c r="AG482" s="91"/>
    </row>
    <row r="483" ht="15.75" customHeight="1">
      <c r="B483" s="3"/>
      <c r="C483" s="3"/>
      <c r="H483" s="3"/>
      <c r="AG483" s="91"/>
    </row>
    <row r="484" ht="15.75" customHeight="1">
      <c r="B484" s="3"/>
      <c r="C484" s="3"/>
      <c r="H484" s="3"/>
      <c r="AG484" s="91"/>
    </row>
    <row r="485" ht="15.75" customHeight="1">
      <c r="B485" s="3"/>
      <c r="C485" s="3"/>
      <c r="H485" s="3"/>
      <c r="AG485" s="91"/>
    </row>
    <row r="486" ht="15.75" customHeight="1">
      <c r="B486" s="3"/>
      <c r="C486" s="3"/>
      <c r="H486" s="3"/>
      <c r="AG486" s="91"/>
    </row>
    <row r="487" ht="15.75" customHeight="1">
      <c r="B487" s="3"/>
      <c r="C487" s="3"/>
      <c r="H487" s="3"/>
      <c r="AG487" s="91"/>
    </row>
    <row r="488" ht="15.75" customHeight="1">
      <c r="B488" s="3"/>
      <c r="C488" s="3"/>
      <c r="H488" s="3"/>
      <c r="AG488" s="91"/>
    </row>
    <row r="489" ht="15.75" customHeight="1">
      <c r="B489" s="3"/>
      <c r="C489" s="3"/>
      <c r="H489" s="3"/>
      <c r="AG489" s="91"/>
    </row>
    <row r="490" ht="15.75" customHeight="1">
      <c r="B490" s="3"/>
      <c r="C490" s="3"/>
      <c r="H490" s="3"/>
      <c r="AG490" s="91"/>
    </row>
    <row r="491" ht="15.75" customHeight="1">
      <c r="B491" s="3"/>
      <c r="C491" s="3"/>
      <c r="H491" s="3"/>
      <c r="AG491" s="91"/>
    </row>
    <row r="492" ht="15.75" customHeight="1">
      <c r="B492" s="3"/>
      <c r="C492" s="3"/>
      <c r="H492" s="3"/>
      <c r="AG492" s="91"/>
    </row>
    <row r="493" ht="15.75" customHeight="1">
      <c r="B493" s="3"/>
      <c r="C493" s="3"/>
      <c r="H493" s="3"/>
      <c r="AG493" s="91"/>
    </row>
    <row r="494" ht="15.75" customHeight="1">
      <c r="B494" s="3"/>
      <c r="C494" s="3"/>
      <c r="H494" s="3"/>
      <c r="AG494" s="91"/>
    </row>
    <row r="495" ht="15.75" customHeight="1">
      <c r="B495" s="3"/>
      <c r="C495" s="3"/>
      <c r="H495" s="3"/>
      <c r="AG495" s="91"/>
    </row>
    <row r="496" ht="15.75" customHeight="1">
      <c r="B496" s="3"/>
      <c r="C496" s="3"/>
      <c r="H496" s="3"/>
      <c r="AG496" s="91"/>
    </row>
    <row r="497" ht="15.75" customHeight="1">
      <c r="B497" s="3"/>
      <c r="C497" s="3"/>
      <c r="H497" s="3"/>
      <c r="AG497" s="91"/>
    </row>
    <row r="498" ht="15.75" customHeight="1">
      <c r="B498" s="3"/>
      <c r="C498" s="3"/>
      <c r="H498" s="3"/>
      <c r="AG498" s="91"/>
    </row>
    <row r="499" ht="15.75" customHeight="1">
      <c r="B499" s="3"/>
      <c r="C499" s="3"/>
      <c r="H499" s="3"/>
      <c r="AG499" s="91"/>
    </row>
    <row r="500" ht="15.75" customHeight="1">
      <c r="B500" s="3"/>
      <c r="C500" s="3"/>
      <c r="H500" s="3"/>
      <c r="AG500" s="91"/>
    </row>
    <row r="501" ht="15.75" customHeight="1">
      <c r="B501" s="3"/>
      <c r="C501" s="3"/>
      <c r="H501" s="3"/>
      <c r="AG501" s="91"/>
    </row>
    <row r="502" ht="15.75" customHeight="1">
      <c r="B502" s="3"/>
      <c r="C502" s="3"/>
      <c r="H502" s="3"/>
      <c r="AG502" s="91"/>
    </row>
    <row r="503" ht="15.75" customHeight="1">
      <c r="B503" s="3"/>
      <c r="C503" s="3"/>
      <c r="H503" s="3"/>
      <c r="AG503" s="91"/>
    </row>
    <row r="504" ht="15.75" customHeight="1">
      <c r="B504" s="3"/>
      <c r="C504" s="3"/>
      <c r="H504" s="3"/>
      <c r="AG504" s="91"/>
    </row>
    <row r="505" ht="15.75" customHeight="1">
      <c r="B505" s="3"/>
      <c r="C505" s="3"/>
      <c r="H505" s="3"/>
      <c r="AG505" s="91"/>
    </row>
    <row r="506" ht="15.75" customHeight="1">
      <c r="B506" s="3"/>
      <c r="C506" s="3"/>
      <c r="H506" s="3"/>
      <c r="AG506" s="91"/>
    </row>
    <row r="507" ht="15.75" customHeight="1">
      <c r="B507" s="3"/>
      <c r="C507" s="3"/>
      <c r="H507" s="3"/>
      <c r="AG507" s="91"/>
    </row>
    <row r="508" ht="15.75" customHeight="1">
      <c r="B508" s="3"/>
      <c r="C508" s="3"/>
      <c r="H508" s="3"/>
      <c r="AG508" s="91"/>
    </row>
    <row r="509" ht="15.75" customHeight="1">
      <c r="B509" s="3"/>
      <c r="C509" s="3"/>
      <c r="H509" s="3"/>
      <c r="AG509" s="91"/>
    </row>
    <row r="510" ht="15.75" customHeight="1">
      <c r="B510" s="3"/>
      <c r="C510" s="3"/>
      <c r="H510" s="3"/>
      <c r="AG510" s="91"/>
    </row>
    <row r="511" ht="15.75" customHeight="1">
      <c r="B511" s="3"/>
      <c r="C511" s="3"/>
      <c r="H511" s="3"/>
      <c r="AG511" s="91"/>
    </row>
    <row r="512" ht="15.75" customHeight="1">
      <c r="B512" s="3"/>
      <c r="C512" s="3"/>
      <c r="H512" s="3"/>
      <c r="AG512" s="91"/>
    </row>
    <row r="513" ht="15.75" customHeight="1">
      <c r="B513" s="3"/>
      <c r="C513" s="3"/>
      <c r="H513" s="3"/>
      <c r="AG513" s="91"/>
    </row>
    <row r="514" ht="15.75" customHeight="1">
      <c r="B514" s="3"/>
      <c r="C514" s="3"/>
      <c r="H514" s="3"/>
      <c r="AG514" s="91"/>
    </row>
    <row r="515" ht="15.75" customHeight="1">
      <c r="B515" s="3"/>
      <c r="C515" s="3"/>
      <c r="H515" s="3"/>
      <c r="AG515" s="91"/>
    </row>
    <row r="516" ht="15.75" customHeight="1">
      <c r="B516" s="3"/>
      <c r="C516" s="3"/>
      <c r="H516" s="3"/>
      <c r="AG516" s="91"/>
    </row>
    <row r="517" ht="15.75" customHeight="1">
      <c r="B517" s="3"/>
      <c r="C517" s="3"/>
      <c r="H517" s="3"/>
      <c r="AG517" s="91"/>
    </row>
    <row r="518" ht="15.75" customHeight="1">
      <c r="B518" s="3"/>
      <c r="C518" s="3"/>
      <c r="H518" s="3"/>
      <c r="AG518" s="91"/>
    </row>
    <row r="519" ht="15.75" customHeight="1">
      <c r="B519" s="3"/>
      <c r="C519" s="3"/>
      <c r="H519" s="3"/>
      <c r="AG519" s="91"/>
    </row>
    <row r="520" ht="15.75" customHeight="1">
      <c r="B520" s="3"/>
      <c r="C520" s="3"/>
      <c r="H520" s="3"/>
      <c r="AG520" s="91"/>
    </row>
    <row r="521" ht="15.75" customHeight="1">
      <c r="B521" s="3"/>
      <c r="C521" s="3"/>
      <c r="H521" s="3"/>
      <c r="AG521" s="91"/>
    </row>
    <row r="522" ht="15.75" customHeight="1">
      <c r="B522" s="3"/>
      <c r="C522" s="3"/>
      <c r="H522" s="3"/>
      <c r="AG522" s="91"/>
    </row>
    <row r="523" ht="15.75" customHeight="1">
      <c r="B523" s="3"/>
      <c r="C523" s="3"/>
      <c r="H523" s="3"/>
      <c r="AG523" s="91"/>
    </row>
    <row r="524" ht="15.75" customHeight="1">
      <c r="B524" s="3"/>
      <c r="C524" s="3"/>
      <c r="H524" s="3"/>
      <c r="AG524" s="91"/>
    </row>
    <row r="525" ht="15.75" customHeight="1">
      <c r="B525" s="3"/>
      <c r="C525" s="3"/>
      <c r="H525" s="3"/>
      <c r="AG525" s="91"/>
    </row>
    <row r="526" ht="15.75" customHeight="1">
      <c r="B526" s="3"/>
      <c r="C526" s="3"/>
      <c r="H526" s="3"/>
      <c r="AG526" s="91"/>
    </row>
    <row r="527" ht="15.75" customHeight="1">
      <c r="B527" s="3"/>
      <c r="C527" s="3"/>
      <c r="H527" s="3"/>
      <c r="AG527" s="91"/>
    </row>
    <row r="528" ht="15.75" customHeight="1">
      <c r="B528" s="3"/>
      <c r="C528" s="3"/>
      <c r="H528" s="3"/>
      <c r="AG528" s="91"/>
    </row>
    <row r="529" ht="15.75" customHeight="1">
      <c r="B529" s="3"/>
      <c r="C529" s="3"/>
      <c r="H529" s="3"/>
      <c r="AG529" s="91"/>
    </row>
    <row r="530" ht="15.75" customHeight="1">
      <c r="B530" s="3"/>
      <c r="C530" s="3"/>
      <c r="H530" s="3"/>
      <c r="AG530" s="91"/>
    </row>
    <row r="531" ht="15.75" customHeight="1">
      <c r="B531" s="3"/>
      <c r="C531" s="3"/>
      <c r="H531" s="3"/>
      <c r="AG531" s="91"/>
    </row>
    <row r="532" ht="15.75" customHeight="1">
      <c r="B532" s="3"/>
      <c r="C532" s="3"/>
      <c r="H532" s="3"/>
      <c r="AG532" s="91"/>
    </row>
    <row r="533" ht="15.75" customHeight="1">
      <c r="B533" s="3"/>
      <c r="C533" s="3"/>
      <c r="H533" s="3"/>
      <c r="AG533" s="91"/>
    </row>
    <row r="534" ht="15.75" customHeight="1">
      <c r="B534" s="3"/>
      <c r="C534" s="3"/>
      <c r="H534" s="3"/>
      <c r="AG534" s="91"/>
    </row>
    <row r="535" ht="15.75" customHeight="1">
      <c r="B535" s="3"/>
      <c r="C535" s="3"/>
      <c r="H535" s="3"/>
      <c r="AG535" s="91"/>
    </row>
    <row r="536" ht="15.75" customHeight="1">
      <c r="B536" s="3"/>
      <c r="C536" s="3"/>
      <c r="H536" s="3"/>
      <c r="AG536" s="91"/>
    </row>
    <row r="537" ht="15.75" customHeight="1">
      <c r="B537" s="3"/>
      <c r="C537" s="3"/>
      <c r="H537" s="3"/>
      <c r="AG537" s="91"/>
    </row>
    <row r="538" ht="15.75" customHeight="1">
      <c r="B538" s="3"/>
      <c r="C538" s="3"/>
      <c r="H538" s="3"/>
      <c r="AG538" s="91"/>
    </row>
    <row r="539" ht="15.75" customHeight="1">
      <c r="B539" s="3"/>
      <c r="C539" s="3"/>
      <c r="H539" s="3"/>
      <c r="AG539" s="91"/>
    </row>
    <row r="540" ht="15.75" customHeight="1">
      <c r="B540" s="3"/>
      <c r="C540" s="3"/>
      <c r="H540" s="3"/>
      <c r="AG540" s="91"/>
    </row>
    <row r="541" ht="15.75" customHeight="1">
      <c r="B541" s="3"/>
      <c r="C541" s="3"/>
      <c r="H541" s="3"/>
      <c r="AG541" s="91"/>
    </row>
    <row r="542" ht="15.75" customHeight="1">
      <c r="B542" s="3"/>
      <c r="C542" s="3"/>
      <c r="H542" s="3"/>
      <c r="AG542" s="91"/>
    </row>
    <row r="543" ht="15.75" customHeight="1">
      <c r="B543" s="3"/>
      <c r="C543" s="3"/>
      <c r="H543" s="3"/>
      <c r="AG543" s="91"/>
    </row>
    <row r="544" ht="15.75" customHeight="1">
      <c r="B544" s="3"/>
      <c r="C544" s="3"/>
      <c r="H544" s="3"/>
      <c r="AG544" s="91"/>
    </row>
    <row r="545" ht="15.75" customHeight="1">
      <c r="B545" s="3"/>
      <c r="C545" s="3"/>
      <c r="H545" s="3"/>
      <c r="AG545" s="91"/>
    </row>
    <row r="546" ht="15.75" customHeight="1">
      <c r="B546" s="3"/>
      <c r="C546" s="3"/>
      <c r="H546" s="3"/>
      <c r="AG546" s="91"/>
    </row>
    <row r="547" ht="15.75" customHeight="1">
      <c r="B547" s="3"/>
      <c r="C547" s="3"/>
      <c r="H547" s="3"/>
      <c r="AG547" s="91"/>
    </row>
    <row r="548" ht="15.75" customHeight="1">
      <c r="B548" s="3"/>
      <c r="C548" s="3"/>
      <c r="H548" s="3"/>
      <c r="AG548" s="91"/>
    </row>
    <row r="549" ht="15.75" customHeight="1">
      <c r="B549" s="3"/>
      <c r="C549" s="3"/>
      <c r="H549" s="3"/>
      <c r="AG549" s="91"/>
    </row>
    <row r="550" ht="15.75" customHeight="1">
      <c r="B550" s="3"/>
      <c r="C550" s="3"/>
      <c r="H550" s="3"/>
      <c r="AG550" s="91"/>
    </row>
    <row r="551" ht="15.75" customHeight="1">
      <c r="B551" s="3"/>
      <c r="C551" s="3"/>
      <c r="H551" s="3"/>
      <c r="AG551" s="91"/>
    </row>
    <row r="552" ht="15.75" customHeight="1">
      <c r="B552" s="3"/>
      <c r="C552" s="3"/>
      <c r="H552" s="3"/>
      <c r="AG552" s="91"/>
    </row>
    <row r="553" ht="15.75" customHeight="1">
      <c r="B553" s="3"/>
      <c r="C553" s="3"/>
      <c r="H553" s="3"/>
      <c r="AG553" s="91"/>
    </row>
    <row r="554" ht="15.75" customHeight="1">
      <c r="B554" s="3"/>
      <c r="C554" s="3"/>
      <c r="H554" s="3"/>
      <c r="AG554" s="91"/>
    </row>
    <row r="555" ht="15.75" customHeight="1">
      <c r="B555" s="3"/>
      <c r="C555" s="3"/>
      <c r="H555" s="3"/>
      <c r="AG555" s="91"/>
    </row>
    <row r="556" ht="15.75" customHeight="1">
      <c r="B556" s="3"/>
      <c r="C556" s="3"/>
      <c r="H556" s="3"/>
      <c r="AG556" s="91"/>
    </row>
    <row r="557" ht="15.75" customHeight="1">
      <c r="B557" s="3"/>
      <c r="C557" s="3"/>
      <c r="H557" s="3"/>
      <c r="AG557" s="91"/>
    </row>
    <row r="558" ht="15.75" customHeight="1">
      <c r="B558" s="3"/>
      <c r="C558" s="3"/>
      <c r="H558" s="3"/>
      <c r="AG558" s="91"/>
    </row>
    <row r="559" ht="15.75" customHeight="1">
      <c r="B559" s="3"/>
      <c r="C559" s="3"/>
      <c r="H559" s="3"/>
      <c r="AG559" s="91"/>
    </row>
    <row r="560" ht="15.75" customHeight="1">
      <c r="B560" s="3"/>
      <c r="C560" s="3"/>
      <c r="H560" s="3"/>
      <c r="AG560" s="91"/>
    </row>
    <row r="561" ht="15.75" customHeight="1">
      <c r="B561" s="3"/>
      <c r="C561" s="3"/>
      <c r="H561" s="3"/>
      <c r="AG561" s="91"/>
    </row>
    <row r="562" ht="15.75" customHeight="1">
      <c r="B562" s="3"/>
      <c r="C562" s="3"/>
      <c r="H562" s="3"/>
      <c r="AG562" s="91"/>
    </row>
    <row r="563" ht="15.75" customHeight="1">
      <c r="B563" s="3"/>
      <c r="C563" s="3"/>
      <c r="H563" s="3"/>
      <c r="AG563" s="91"/>
    </row>
    <row r="564" ht="15.75" customHeight="1">
      <c r="B564" s="3"/>
      <c r="C564" s="3"/>
      <c r="H564" s="3"/>
      <c r="AG564" s="91"/>
    </row>
    <row r="565" ht="15.75" customHeight="1">
      <c r="B565" s="3"/>
      <c r="C565" s="3"/>
      <c r="H565" s="3"/>
      <c r="AG565" s="91"/>
    </row>
    <row r="566" ht="15.75" customHeight="1">
      <c r="B566" s="3"/>
      <c r="C566" s="3"/>
      <c r="H566" s="3"/>
      <c r="AG566" s="91"/>
    </row>
    <row r="567" ht="15.75" customHeight="1">
      <c r="B567" s="3"/>
      <c r="C567" s="3"/>
      <c r="H567" s="3"/>
      <c r="AG567" s="91"/>
    </row>
    <row r="568" ht="15.75" customHeight="1">
      <c r="B568" s="3"/>
      <c r="C568" s="3"/>
      <c r="H568" s="3"/>
      <c r="AG568" s="91"/>
    </row>
    <row r="569" ht="15.75" customHeight="1">
      <c r="B569" s="3"/>
      <c r="C569" s="3"/>
      <c r="H569" s="3"/>
      <c r="AG569" s="91"/>
    </row>
    <row r="570" ht="15.75" customHeight="1">
      <c r="B570" s="3"/>
      <c r="C570" s="3"/>
      <c r="H570" s="3"/>
      <c r="AG570" s="91"/>
    </row>
    <row r="571" ht="15.75" customHeight="1">
      <c r="B571" s="3"/>
      <c r="C571" s="3"/>
      <c r="H571" s="3"/>
      <c r="AG571" s="91"/>
    </row>
    <row r="572" ht="15.75" customHeight="1">
      <c r="B572" s="3"/>
      <c r="C572" s="3"/>
      <c r="H572" s="3"/>
      <c r="AG572" s="91"/>
    </row>
    <row r="573" ht="15.75" customHeight="1">
      <c r="B573" s="3"/>
      <c r="C573" s="3"/>
      <c r="H573" s="3"/>
      <c r="AG573" s="91"/>
    </row>
    <row r="574" ht="15.75" customHeight="1">
      <c r="B574" s="3"/>
      <c r="C574" s="3"/>
      <c r="H574" s="3"/>
      <c r="AG574" s="91"/>
    </row>
    <row r="575" ht="15.75" customHeight="1">
      <c r="B575" s="3"/>
      <c r="C575" s="3"/>
      <c r="H575" s="3"/>
      <c r="AG575" s="91"/>
    </row>
    <row r="576" ht="15.75" customHeight="1">
      <c r="B576" s="3"/>
      <c r="C576" s="3"/>
      <c r="H576" s="3"/>
      <c r="AG576" s="91"/>
    </row>
    <row r="577" ht="15.75" customHeight="1">
      <c r="B577" s="3"/>
      <c r="C577" s="3"/>
      <c r="H577" s="3"/>
      <c r="AG577" s="91"/>
    </row>
    <row r="578" ht="15.75" customHeight="1">
      <c r="B578" s="3"/>
      <c r="C578" s="3"/>
      <c r="H578" s="3"/>
      <c r="AG578" s="91"/>
    </row>
    <row r="579" ht="15.75" customHeight="1">
      <c r="B579" s="3"/>
      <c r="C579" s="3"/>
      <c r="H579" s="3"/>
      <c r="AG579" s="91"/>
    </row>
    <row r="580" ht="15.75" customHeight="1">
      <c r="B580" s="3"/>
      <c r="C580" s="3"/>
      <c r="H580" s="3"/>
      <c r="AG580" s="91"/>
    </row>
    <row r="581" ht="15.75" customHeight="1">
      <c r="B581" s="3"/>
      <c r="C581" s="3"/>
      <c r="H581" s="3"/>
      <c r="AG581" s="91"/>
    </row>
    <row r="582" ht="15.75" customHeight="1">
      <c r="B582" s="3"/>
      <c r="C582" s="3"/>
      <c r="H582" s="3"/>
      <c r="AG582" s="91"/>
    </row>
    <row r="583" ht="15.75" customHeight="1">
      <c r="B583" s="3"/>
      <c r="C583" s="3"/>
      <c r="H583" s="3"/>
      <c r="AG583" s="91"/>
    </row>
    <row r="584" ht="15.75" customHeight="1">
      <c r="B584" s="3"/>
      <c r="C584" s="3"/>
      <c r="H584" s="3"/>
      <c r="AG584" s="91"/>
    </row>
    <row r="585" ht="15.75" customHeight="1">
      <c r="B585" s="3"/>
      <c r="C585" s="3"/>
      <c r="H585" s="3"/>
      <c r="AG585" s="91"/>
    </row>
    <row r="586" ht="15.75" customHeight="1">
      <c r="B586" s="3"/>
      <c r="C586" s="3"/>
      <c r="H586" s="3"/>
      <c r="AG586" s="91"/>
    </row>
    <row r="587" ht="15.75" customHeight="1">
      <c r="B587" s="3"/>
      <c r="C587" s="3"/>
      <c r="H587" s="3"/>
      <c r="AG587" s="91"/>
    </row>
    <row r="588" ht="15.75" customHeight="1">
      <c r="B588" s="3"/>
      <c r="C588" s="3"/>
      <c r="H588" s="3"/>
      <c r="AG588" s="91"/>
    </row>
    <row r="589" ht="15.75" customHeight="1">
      <c r="B589" s="3"/>
      <c r="C589" s="3"/>
      <c r="H589" s="3"/>
      <c r="AG589" s="91"/>
    </row>
    <row r="590" ht="15.75" customHeight="1">
      <c r="B590" s="3"/>
      <c r="C590" s="3"/>
      <c r="H590" s="3"/>
      <c r="AG590" s="91"/>
    </row>
    <row r="591" ht="15.75" customHeight="1">
      <c r="B591" s="3"/>
      <c r="C591" s="3"/>
      <c r="H591" s="3"/>
      <c r="AG591" s="91"/>
    </row>
    <row r="592" ht="15.75" customHeight="1">
      <c r="B592" s="3"/>
      <c r="C592" s="3"/>
      <c r="H592" s="3"/>
      <c r="AG592" s="91"/>
    </row>
    <row r="593" ht="15.75" customHeight="1">
      <c r="B593" s="3"/>
      <c r="C593" s="3"/>
      <c r="H593" s="3"/>
      <c r="AG593" s="91"/>
    </row>
    <row r="594" ht="15.75" customHeight="1">
      <c r="B594" s="3"/>
      <c r="C594" s="3"/>
      <c r="H594" s="3"/>
      <c r="AG594" s="91"/>
    </row>
    <row r="595" ht="15.75" customHeight="1">
      <c r="B595" s="3"/>
      <c r="C595" s="3"/>
      <c r="H595" s="3"/>
      <c r="AG595" s="91"/>
    </row>
    <row r="596" ht="15.75" customHeight="1">
      <c r="B596" s="3"/>
      <c r="C596" s="3"/>
      <c r="H596" s="3"/>
      <c r="AG596" s="91"/>
    </row>
    <row r="597" ht="15.75" customHeight="1">
      <c r="B597" s="3"/>
      <c r="C597" s="3"/>
      <c r="H597" s="3"/>
      <c r="AG597" s="91"/>
    </row>
    <row r="598" ht="15.75" customHeight="1">
      <c r="B598" s="3"/>
      <c r="C598" s="3"/>
      <c r="H598" s="3"/>
      <c r="AG598" s="91"/>
    </row>
    <row r="599" ht="15.75" customHeight="1">
      <c r="B599" s="3"/>
      <c r="C599" s="3"/>
      <c r="H599" s="3"/>
      <c r="AG599" s="91"/>
    </row>
    <row r="600" ht="15.75" customHeight="1">
      <c r="B600" s="3"/>
      <c r="C600" s="3"/>
      <c r="H600" s="3"/>
      <c r="AG600" s="91"/>
    </row>
    <row r="601" ht="15.75" customHeight="1">
      <c r="B601" s="3"/>
      <c r="C601" s="3"/>
      <c r="H601" s="3"/>
      <c r="AG601" s="91"/>
    </row>
    <row r="602" ht="15.75" customHeight="1">
      <c r="B602" s="3"/>
      <c r="C602" s="3"/>
      <c r="H602" s="3"/>
      <c r="AG602" s="91"/>
    </row>
    <row r="603" ht="15.75" customHeight="1">
      <c r="B603" s="3"/>
      <c r="C603" s="3"/>
      <c r="H603" s="3"/>
      <c r="AG603" s="91"/>
    </row>
    <row r="604" ht="15.75" customHeight="1">
      <c r="B604" s="3"/>
      <c r="C604" s="3"/>
      <c r="H604" s="3"/>
      <c r="AG604" s="91"/>
    </row>
    <row r="605" ht="15.75" customHeight="1">
      <c r="B605" s="3"/>
      <c r="C605" s="3"/>
      <c r="H605" s="3"/>
      <c r="AG605" s="91"/>
    </row>
    <row r="606" ht="15.75" customHeight="1">
      <c r="B606" s="3"/>
      <c r="C606" s="3"/>
      <c r="H606" s="3"/>
      <c r="AG606" s="91"/>
    </row>
    <row r="607" ht="15.75" customHeight="1">
      <c r="B607" s="3"/>
      <c r="C607" s="3"/>
      <c r="H607" s="3"/>
      <c r="AG607" s="91"/>
    </row>
    <row r="608" ht="15.75" customHeight="1">
      <c r="B608" s="3"/>
      <c r="C608" s="3"/>
      <c r="H608" s="3"/>
      <c r="AG608" s="91"/>
    </row>
    <row r="609" ht="15.75" customHeight="1">
      <c r="B609" s="3"/>
      <c r="C609" s="3"/>
      <c r="H609" s="3"/>
      <c r="AG609" s="91"/>
    </row>
    <row r="610" ht="15.75" customHeight="1">
      <c r="B610" s="3"/>
      <c r="C610" s="3"/>
      <c r="H610" s="3"/>
      <c r="AG610" s="91"/>
    </row>
    <row r="611" ht="15.75" customHeight="1">
      <c r="B611" s="3"/>
      <c r="C611" s="3"/>
      <c r="H611" s="3"/>
      <c r="AG611" s="91"/>
    </row>
    <row r="612" ht="15.75" customHeight="1">
      <c r="B612" s="3"/>
      <c r="C612" s="3"/>
      <c r="H612" s="3"/>
      <c r="AG612" s="91"/>
    </row>
    <row r="613" ht="15.75" customHeight="1">
      <c r="B613" s="3"/>
      <c r="C613" s="3"/>
      <c r="H613" s="3"/>
      <c r="AG613" s="91"/>
    </row>
    <row r="614" ht="15.75" customHeight="1">
      <c r="B614" s="3"/>
      <c r="C614" s="3"/>
      <c r="H614" s="3"/>
      <c r="AG614" s="91"/>
    </row>
    <row r="615" ht="15.75" customHeight="1">
      <c r="B615" s="3"/>
      <c r="C615" s="3"/>
      <c r="H615" s="3"/>
      <c r="AG615" s="91"/>
    </row>
    <row r="616" ht="15.75" customHeight="1">
      <c r="B616" s="3"/>
      <c r="C616" s="3"/>
      <c r="H616" s="3"/>
      <c r="AG616" s="91"/>
    </row>
    <row r="617" ht="15.75" customHeight="1">
      <c r="B617" s="3"/>
      <c r="C617" s="3"/>
      <c r="H617" s="3"/>
      <c r="AG617" s="91"/>
    </row>
    <row r="618" ht="15.75" customHeight="1">
      <c r="B618" s="3"/>
      <c r="C618" s="3"/>
      <c r="H618" s="3"/>
      <c r="AG618" s="91"/>
    </row>
    <row r="619" ht="15.75" customHeight="1">
      <c r="B619" s="3"/>
      <c r="C619" s="3"/>
      <c r="H619" s="3"/>
      <c r="AG619" s="91"/>
    </row>
    <row r="620" ht="15.75" customHeight="1">
      <c r="B620" s="3"/>
      <c r="C620" s="3"/>
      <c r="H620" s="3"/>
      <c r="AG620" s="91"/>
    </row>
    <row r="621" ht="15.75" customHeight="1">
      <c r="B621" s="3"/>
      <c r="C621" s="3"/>
      <c r="H621" s="3"/>
      <c r="AG621" s="91"/>
    </row>
    <row r="622" ht="15.75" customHeight="1">
      <c r="B622" s="3"/>
      <c r="C622" s="3"/>
      <c r="H622" s="3"/>
      <c r="AG622" s="91"/>
    </row>
    <row r="623" ht="15.75" customHeight="1">
      <c r="B623" s="3"/>
      <c r="C623" s="3"/>
      <c r="H623" s="3"/>
      <c r="AG623" s="91"/>
    </row>
    <row r="624" ht="15.75" customHeight="1">
      <c r="B624" s="3"/>
      <c r="C624" s="3"/>
      <c r="H624" s="3"/>
      <c r="AG624" s="91"/>
    </row>
    <row r="625" ht="15.75" customHeight="1">
      <c r="B625" s="3"/>
      <c r="C625" s="3"/>
      <c r="H625" s="3"/>
      <c r="AG625" s="91"/>
    </row>
    <row r="626" ht="15.75" customHeight="1">
      <c r="B626" s="3"/>
      <c r="C626" s="3"/>
      <c r="H626" s="3"/>
      <c r="AG626" s="91"/>
    </row>
    <row r="627" ht="15.75" customHeight="1">
      <c r="B627" s="3"/>
      <c r="C627" s="3"/>
      <c r="H627" s="3"/>
      <c r="AG627" s="91"/>
    </row>
    <row r="628" ht="15.75" customHeight="1">
      <c r="B628" s="3"/>
      <c r="C628" s="3"/>
      <c r="H628" s="3"/>
      <c r="AG628" s="91"/>
    </row>
    <row r="629" ht="15.75" customHeight="1">
      <c r="B629" s="3"/>
      <c r="C629" s="3"/>
      <c r="H629" s="3"/>
      <c r="AG629" s="91"/>
    </row>
    <row r="630" ht="15.75" customHeight="1">
      <c r="B630" s="3"/>
      <c r="C630" s="3"/>
      <c r="H630" s="3"/>
      <c r="AG630" s="91"/>
    </row>
    <row r="631" ht="15.75" customHeight="1">
      <c r="B631" s="3"/>
      <c r="C631" s="3"/>
      <c r="H631" s="3"/>
      <c r="AG631" s="91"/>
    </row>
    <row r="632" ht="15.75" customHeight="1">
      <c r="B632" s="3"/>
      <c r="C632" s="3"/>
      <c r="H632" s="3"/>
      <c r="AG632" s="91"/>
    </row>
    <row r="633" ht="15.75" customHeight="1">
      <c r="B633" s="3"/>
      <c r="C633" s="3"/>
      <c r="H633" s="3"/>
      <c r="AG633" s="91"/>
    </row>
    <row r="634" ht="15.75" customHeight="1">
      <c r="B634" s="3"/>
      <c r="C634" s="3"/>
      <c r="H634" s="3"/>
      <c r="AG634" s="91"/>
    </row>
    <row r="635" ht="15.75" customHeight="1">
      <c r="B635" s="3"/>
      <c r="C635" s="3"/>
      <c r="H635" s="3"/>
      <c r="AG635" s="91"/>
    </row>
    <row r="636" ht="15.75" customHeight="1">
      <c r="B636" s="3"/>
      <c r="C636" s="3"/>
      <c r="H636" s="3"/>
      <c r="AG636" s="91"/>
    </row>
    <row r="637" ht="15.75" customHeight="1">
      <c r="B637" s="3"/>
      <c r="C637" s="3"/>
      <c r="H637" s="3"/>
      <c r="AG637" s="91"/>
    </row>
    <row r="638" ht="15.75" customHeight="1">
      <c r="B638" s="3"/>
      <c r="C638" s="3"/>
      <c r="H638" s="3"/>
      <c r="AG638" s="91"/>
    </row>
    <row r="639" ht="15.75" customHeight="1">
      <c r="B639" s="3"/>
      <c r="C639" s="3"/>
      <c r="H639" s="3"/>
      <c r="AG639" s="91"/>
    </row>
    <row r="640" ht="15.75" customHeight="1">
      <c r="B640" s="3"/>
      <c r="C640" s="3"/>
      <c r="H640" s="3"/>
      <c r="AG640" s="91"/>
    </row>
    <row r="641" ht="15.75" customHeight="1">
      <c r="B641" s="3"/>
      <c r="C641" s="3"/>
      <c r="H641" s="3"/>
      <c r="AG641" s="91"/>
    </row>
    <row r="642" ht="15.75" customHeight="1">
      <c r="B642" s="3"/>
      <c r="C642" s="3"/>
      <c r="H642" s="3"/>
      <c r="AG642" s="91"/>
    </row>
    <row r="643" ht="15.75" customHeight="1">
      <c r="B643" s="3"/>
      <c r="C643" s="3"/>
      <c r="H643" s="3"/>
      <c r="AG643" s="91"/>
    </row>
    <row r="644" ht="15.75" customHeight="1">
      <c r="B644" s="3"/>
      <c r="C644" s="3"/>
      <c r="H644" s="3"/>
      <c r="AG644" s="91"/>
    </row>
    <row r="645" ht="15.75" customHeight="1">
      <c r="B645" s="3"/>
      <c r="C645" s="3"/>
      <c r="H645" s="3"/>
      <c r="AG645" s="91"/>
    </row>
    <row r="646" ht="15.75" customHeight="1">
      <c r="B646" s="3"/>
      <c r="C646" s="3"/>
      <c r="H646" s="3"/>
      <c r="AG646" s="91"/>
    </row>
    <row r="647" ht="15.75" customHeight="1">
      <c r="B647" s="3"/>
      <c r="C647" s="3"/>
      <c r="H647" s="3"/>
      <c r="AG647" s="91"/>
    </row>
    <row r="648" ht="15.75" customHeight="1">
      <c r="B648" s="3"/>
      <c r="C648" s="3"/>
      <c r="H648" s="3"/>
      <c r="AG648" s="91"/>
    </row>
    <row r="649" ht="15.75" customHeight="1">
      <c r="B649" s="3"/>
      <c r="C649" s="3"/>
      <c r="H649" s="3"/>
      <c r="AG649" s="91"/>
    </row>
    <row r="650" ht="15.75" customHeight="1">
      <c r="B650" s="3"/>
      <c r="C650" s="3"/>
      <c r="H650" s="3"/>
      <c r="AG650" s="91"/>
    </row>
    <row r="651" ht="15.75" customHeight="1">
      <c r="B651" s="3"/>
      <c r="C651" s="3"/>
      <c r="H651" s="3"/>
      <c r="AG651" s="91"/>
    </row>
    <row r="652" ht="15.75" customHeight="1">
      <c r="B652" s="3"/>
      <c r="C652" s="3"/>
      <c r="H652" s="3"/>
      <c r="AG652" s="91"/>
    </row>
    <row r="653" ht="15.75" customHeight="1">
      <c r="B653" s="3"/>
      <c r="C653" s="3"/>
      <c r="H653" s="3"/>
      <c r="AG653" s="91"/>
    </row>
    <row r="654" ht="15.75" customHeight="1">
      <c r="B654" s="3"/>
      <c r="C654" s="3"/>
      <c r="H654" s="3"/>
      <c r="AG654" s="91"/>
    </row>
    <row r="655" ht="15.75" customHeight="1">
      <c r="B655" s="3"/>
      <c r="C655" s="3"/>
      <c r="H655" s="3"/>
      <c r="AG655" s="91"/>
    </row>
    <row r="656" ht="15.75" customHeight="1">
      <c r="B656" s="3"/>
      <c r="C656" s="3"/>
      <c r="H656" s="3"/>
      <c r="AG656" s="91"/>
    </row>
    <row r="657" ht="15.75" customHeight="1">
      <c r="B657" s="3"/>
      <c r="C657" s="3"/>
      <c r="H657" s="3"/>
      <c r="AG657" s="91"/>
    </row>
    <row r="658" ht="15.75" customHeight="1">
      <c r="B658" s="3"/>
      <c r="C658" s="3"/>
      <c r="H658" s="3"/>
      <c r="AG658" s="91"/>
    </row>
    <row r="659" ht="15.75" customHeight="1">
      <c r="B659" s="3"/>
      <c r="C659" s="3"/>
      <c r="H659" s="3"/>
      <c r="AG659" s="91"/>
    </row>
    <row r="660" ht="15.75" customHeight="1">
      <c r="B660" s="3"/>
      <c r="C660" s="3"/>
      <c r="H660" s="3"/>
      <c r="AG660" s="91"/>
    </row>
    <row r="661" ht="15.75" customHeight="1">
      <c r="B661" s="3"/>
      <c r="C661" s="3"/>
      <c r="H661" s="3"/>
      <c r="AG661" s="91"/>
    </row>
    <row r="662" ht="15.75" customHeight="1">
      <c r="B662" s="3"/>
      <c r="C662" s="3"/>
      <c r="H662" s="3"/>
      <c r="AG662" s="91"/>
    </row>
    <row r="663" ht="15.75" customHeight="1">
      <c r="B663" s="3"/>
      <c r="C663" s="3"/>
      <c r="H663" s="3"/>
      <c r="AG663" s="91"/>
    </row>
    <row r="664" ht="15.75" customHeight="1">
      <c r="B664" s="3"/>
      <c r="C664" s="3"/>
      <c r="H664" s="3"/>
      <c r="AG664" s="91"/>
    </row>
    <row r="665" ht="15.75" customHeight="1">
      <c r="B665" s="3"/>
      <c r="C665" s="3"/>
      <c r="H665" s="3"/>
      <c r="AG665" s="91"/>
    </row>
    <row r="666" ht="15.75" customHeight="1">
      <c r="B666" s="3"/>
      <c r="C666" s="3"/>
      <c r="H666" s="3"/>
      <c r="AG666" s="91"/>
    </row>
    <row r="667" ht="15.75" customHeight="1">
      <c r="B667" s="3"/>
      <c r="C667" s="3"/>
      <c r="H667" s="3"/>
      <c r="AG667" s="91"/>
    </row>
    <row r="668" ht="15.75" customHeight="1">
      <c r="B668" s="3"/>
      <c r="C668" s="3"/>
      <c r="H668" s="3"/>
      <c r="AG668" s="91"/>
    </row>
    <row r="669" ht="15.75" customHeight="1">
      <c r="B669" s="3"/>
      <c r="C669" s="3"/>
      <c r="H669" s="3"/>
      <c r="AG669" s="91"/>
    </row>
    <row r="670" ht="15.75" customHeight="1">
      <c r="B670" s="3"/>
      <c r="C670" s="3"/>
      <c r="H670" s="3"/>
      <c r="AG670" s="91"/>
    </row>
    <row r="671" ht="15.75" customHeight="1">
      <c r="B671" s="3"/>
      <c r="C671" s="3"/>
      <c r="H671" s="3"/>
      <c r="AG671" s="91"/>
    </row>
    <row r="672" ht="15.75" customHeight="1">
      <c r="B672" s="3"/>
      <c r="C672" s="3"/>
      <c r="H672" s="3"/>
      <c r="AG672" s="91"/>
    </row>
    <row r="673" ht="15.75" customHeight="1">
      <c r="B673" s="3"/>
      <c r="C673" s="3"/>
      <c r="H673" s="3"/>
      <c r="AG673" s="91"/>
    </row>
    <row r="674" ht="15.75" customHeight="1">
      <c r="B674" s="3"/>
      <c r="C674" s="3"/>
      <c r="H674" s="3"/>
      <c r="AG674" s="91"/>
    </row>
    <row r="675" ht="15.75" customHeight="1">
      <c r="B675" s="3"/>
      <c r="C675" s="3"/>
      <c r="H675" s="3"/>
      <c r="AG675" s="91"/>
    </row>
    <row r="676" ht="15.75" customHeight="1">
      <c r="B676" s="3"/>
      <c r="C676" s="3"/>
      <c r="H676" s="3"/>
      <c r="AG676" s="91"/>
    </row>
    <row r="677" ht="15.75" customHeight="1">
      <c r="B677" s="3"/>
      <c r="C677" s="3"/>
      <c r="H677" s="3"/>
      <c r="AG677" s="91"/>
    </row>
    <row r="678" ht="15.75" customHeight="1">
      <c r="B678" s="3"/>
      <c r="C678" s="3"/>
      <c r="H678" s="3"/>
      <c r="AG678" s="91"/>
    </row>
    <row r="679" ht="15.75" customHeight="1">
      <c r="B679" s="3"/>
      <c r="C679" s="3"/>
      <c r="H679" s="3"/>
      <c r="AG679" s="91"/>
    </row>
    <row r="680" ht="15.75" customHeight="1">
      <c r="B680" s="3"/>
      <c r="C680" s="3"/>
      <c r="H680" s="3"/>
      <c r="AG680" s="91"/>
    </row>
    <row r="681" ht="15.75" customHeight="1">
      <c r="B681" s="3"/>
      <c r="C681" s="3"/>
      <c r="H681" s="3"/>
      <c r="AG681" s="91"/>
    </row>
    <row r="682" ht="15.75" customHeight="1">
      <c r="B682" s="3"/>
      <c r="C682" s="3"/>
      <c r="H682" s="3"/>
      <c r="AG682" s="91"/>
    </row>
    <row r="683" ht="15.75" customHeight="1">
      <c r="B683" s="3"/>
      <c r="C683" s="3"/>
      <c r="H683" s="3"/>
      <c r="AG683" s="91"/>
    </row>
    <row r="684" ht="15.75" customHeight="1">
      <c r="B684" s="3"/>
      <c r="C684" s="3"/>
      <c r="H684" s="3"/>
      <c r="AG684" s="91"/>
    </row>
    <row r="685" ht="15.75" customHeight="1">
      <c r="B685" s="3"/>
      <c r="C685" s="3"/>
      <c r="H685" s="3"/>
      <c r="AG685" s="91"/>
    </row>
    <row r="686" ht="15.75" customHeight="1">
      <c r="B686" s="3"/>
      <c r="C686" s="3"/>
      <c r="H686" s="3"/>
      <c r="AG686" s="91"/>
    </row>
    <row r="687" ht="15.75" customHeight="1">
      <c r="B687" s="3"/>
      <c r="C687" s="3"/>
      <c r="H687" s="3"/>
      <c r="AG687" s="91"/>
    </row>
    <row r="688" ht="15.75" customHeight="1">
      <c r="B688" s="3"/>
      <c r="C688" s="3"/>
      <c r="H688" s="3"/>
      <c r="AG688" s="91"/>
    </row>
    <row r="689" ht="15.75" customHeight="1">
      <c r="B689" s="3"/>
      <c r="C689" s="3"/>
      <c r="H689" s="3"/>
      <c r="AG689" s="91"/>
    </row>
    <row r="690" ht="15.75" customHeight="1">
      <c r="B690" s="3"/>
      <c r="C690" s="3"/>
      <c r="H690" s="3"/>
      <c r="AG690" s="91"/>
    </row>
    <row r="691" ht="15.75" customHeight="1">
      <c r="B691" s="3"/>
      <c r="C691" s="3"/>
      <c r="H691" s="3"/>
      <c r="AG691" s="91"/>
    </row>
    <row r="692" ht="15.75" customHeight="1">
      <c r="B692" s="3"/>
      <c r="C692" s="3"/>
      <c r="H692" s="3"/>
      <c r="AG692" s="91"/>
    </row>
    <row r="693" ht="15.75" customHeight="1">
      <c r="B693" s="3"/>
      <c r="C693" s="3"/>
      <c r="H693" s="3"/>
      <c r="AG693" s="91"/>
    </row>
    <row r="694" ht="15.75" customHeight="1">
      <c r="B694" s="3"/>
      <c r="C694" s="3"/>
      <c r="H694" s="3"/>
      <c r="AG694" s="91"/>
    </row>
    <row r="695" ht="15.75" customHeight="1">
      <c r="B695" s="3"/>
      <c r="C695" s="3"/>
      <c r="H695" s="3"/>
      <c r="AG695" s="91"/>
    </row>
    <row r="696" ht="15.75" customHeight="1">
      <c r="B696" s="3"/>
      <c r="C696" s="3"/>
      <c r="H696" s="3"/>
      <c r="AG696" s="91"/>
    </row>
    <row r="697" ht="15.75" customHeight="1">
      <c r="B697" s="3"/>
      <c r="C697" s="3"/>
      <c r="H697" s="3"/>
      <c r="AG697" s="91"/>
    </row>
    <row r="698" ht="15.75" customHeight="1">
      <c r="B698" s="3"/>
      <c r="C698" s="3"/>
      <c r="H698" s="3"/>
      <c r="AG698" s="91"/>
    </row>
    <row r="699" ht="15.75" customHeight="1">
      <c r="B699" s="3"/>
      <c r="C699" s="3"/>
      <c r="H699" s="3"/>
      <c r="AG699" s="91"/>
    </row>
    <row r="700" ht="15.75" customHeight="1">
      <c r="B700" s="3"/>
      <c r="C700" s="3"/>
      <c r="H700" s="3"/>
      <c r="AG700" s="91"/>
    </row>
    <row r="701" ht="15.75" customHeight="1">
      <c r="B701" s="3"/>
      <c r="C701" s="3"/>
      <c r="H701" s="3"/>
      <c r="AG701" s="91"/>
    </row>
    <row r="702" ht="15.75" customHeight="1">
      <c r="B702" s="3"/>
      <c r="C702" s="3"/>
      <c r="H702" s="3"/>
      <c r="AG702" s="91"/>
    </row>
    <row r="703" ht="15.75" customHeight="1">
      <c r="B703" s="3"/>
      <c r="C703" s="3"/>
      <c r="H703" s="3"/>
      <c r="AG703" s="91"/>
    </row>
    <row r="704" ht="15.75" customHeight="1">
      <c r="B704" s="3"/>
      <c r="C704" s="3"/>
      <c r="H704" s="3"/>
      <c r="AG704" s="91"/>
    </row>
    <row r="705" ht="15.75" customHeight="1">
      <c r="B705" s="3"/>
      <c r="C705" s="3"/>
      <c r="H705" s="3"/>
      <c r="AG705" s="91"/>
    </row>
    <row r="706" ht="15.75" customHeight="1">
      <c r="B706" s="3"/>
      <c r="C706" s="3"/>
      <c r="H706" s="3"/>
      <c r="AG706" s="91"/>
    </row>
    <row r="707" ht="15.75" customHeight="1">
      <c r="B707" s="3"/>
      <c r="C707" s="3"/>
      <c r="H707" s="3"/>
      <c r="AG707" s="91"/>
    </row>
    <row r="708" ht="15.75" customHeight="1">
      <c r="B708" s="3"/>
      <c r="C708" s="3"/>
      <c r="H708" s="3"/>
      <c r="AG708" s="91"/>
    </row>
    <row r="709" ht="15.75" customHeight="1">
      <c r="B709" s="3"/>
      <c r="C709" s="3"/>
      <c r="H709" s="3"/>
      <c r="AG709" s="91"/>
    </row>
    <row r="710" ht="15.75" customHeight="1">
      <c r="B710" s="3"/>
      <c r="C710" s="3"/>
      <c r="H710" s="3"/>
      <c r="AG710" s="91"/>
    </row>
    <row r="711" ht="15.75" customHeight="1">
      <c r="B711" s="3"/>
      <c r="C711" s="3"/>
      <c r="H711" s="3"/>
      <c r="AG711" s="91"/>
    </row>
    <row r="712" ht="15.75" customHeight="1">
      <c r="B712" s="3"/>
      <c r="C712" s="3"/>
      <c r="H712" s="3"/>
      <c r="AG712" s="91"/>
    </row>
    <row r="713" ht="15.75" customHeight="1">
      <c r="B713" s="3"/>
      <c r="C713" s="3"/>
      <c r="H713" s="3"/>
      <c r="AG713" s="91"/>
    </row>
    <row r="714" ht="15.75" customHeight="1">
      <c r="B714" s="3"/>
      <c r="C714" s="3"/>
      <c r="H714" s="3"/>
      <c r="AG714" s="91"/>
    </row>
    <row r="715" ht="15.75" customHeight="1">
      <c r="B715" s="3"/>
      <c r="C715" s="3"/>
      <c r="H715" s="3"/>
      <c r="AG715" s="91"/>
    </row>
    <row r="716" ht="15.75" customHeight="1">
      <c r="B716" s="3"/>
      <c r="C716" s="3"/>
      <c r="H716" s="3"/>
      <c r="AG716" s="91"/>
    </row>
    <row r="717" ht="15.75" customHeight="1">
      <c r="B717" s="3"/>
      <c r="C717" s="3"/>
      <c r="H717" s="3"/>
      <c r="AG717" s="91"/>
    </row>
    <row r="718" ht="15.75" customHeight="1">
      <c r="B718" s="3"/>
      <c r="C718" s="3"/>
      <c r="H718" s="3"/>
      <c r="AG718" s="91"/>
    </row>
    <row r="719" ht="15.75" customHeight="1">
      <c r="B719" s="3"/>
      <c r="C719" s="3"/>
      <c r="H719" s="3"/>
      <c r="AG719" s="91"/>
    </row>
    <row r="720" ht="15.75" customHeight="1">
      <c r="B720" s="3"/>
      <c r="C720" s="3"/>
      <c r="H720" s="3"/>
      <c r="AG720" s="91"/>
    </row>
    <row r="721" ht="15.75" customHeight="1">
      <c r="B721" s="3"/>
      <c r="C721" s="3"/>
      <c r="H721" s="3"/>
      <c r="AG721" s="91"/>
    </row>
    <row r="722" ht="15.75" customHeight="1">
      <c r="B722" s="3"/>
      <c r="C722" s="3"/>
      <c r="H722" s="3"/>
      <c r="AG722" s="91"/>
    </row>
    <row r="723" ht="15.75" customHeight="1">
      <c r="B723" s="3"/>
      <c r="C723" s="3"/>
      <c r="H723" s="3"/>
      <c r="AG723" s="91"/>
    </row>
    <row r="724" ht="15.75" customHeight="1">
      <c r="B724" s="3"/>
      <c r="C724" s="3"/>
      <c r="H724" s="3"/>
      <c r="AG724" s="91"/>
    </row>
    <row r="725" ht="15.75" customHeight="1">
      <c r="B725" s="3"/>
      <c r="C725" s="3"/>
      <c r="H725" s="3"/>
      <c r="AG725" s="91"/>
    </row>
    <row r="726" ht="15.75" customHeight="1">
      <c r="B726" s="3"/>
      <c r="C726" s="3"/>
      <c r="H726" s="3"/>
      <c r="AG726" s="91"/>
    </row>
    <row r="727" ht="15.75" customHeight="1">
      <c r="B727" s="3"/>
      <c r="C727" s="3"/>
      <c r="H727" s="3"/>
      <c r="AG727" s="91"/>
    </row>
    <row r="728" ht="15.75" customHeight="1">
      <c r="B728" s="3"/>
      <c r="C728" s="3"/>
      <c r="H728" s="3"/>
      <c r="AG728" s="91"/>
    </row>
    <row r="729" ht="15.75" customHeight="1">
      <c r="B729" s="3"/>
      <c r="C729" s="3"/>
      <c r="H729" s="3"/>
      <c r="AG729" s="91"/>
    </row>
    <row r="730" ht="15.75" customHeight="1">
      <c r="B730" s="3"/>
      <c r="C730" s="3"/>
      <c r="H730" s="3"/>
      <c r="AG730" s="91"/>
    </row>
    <row r="731" ht="15.75" customHeight="1">
      <c r="B731" s="3"/>
      <c r="C731" s="3"/>
      <c r="H731" s="3"/>
      <c r="AG731" s="91"/>
    </row>
    <row r="732" ht="15.75" customHeight="1">
      <c r="B732" s="3"/>
      <c r="C732" s="3"/>
      <c r="H732" s="3"/>
      <c r="AG732" s="91"/>
    </row>
    <row r="733" ht="15.75" customHeight="1">
      <c r="B733" s="3"/>
      <c r="C733" s="3"/>
      <c r="H733" s="3"/>
      <c r="AG733" s="91"/>
    </row>
    <row r="734" ht="15.75" customHeight="1">
      <c r="B734" s="3"/>
      <c r="C734" s="3"/>
      <c r="H734" s="3"/>
      <c r="AG734" s="91"/>
    </row>
    <row r="735" ht="15.75" customHeight="1">
      <c r="B735" s="3"/>
      <c r="C735" s="3"/>
      <c r="H735" s="3"/>
      <c r="AG735" s="91"/>
    </row>
    <row r="736" ht="15.75" customHeight="1">
      <c r="B736" s="3"/>
      <c r="C736" s="3"/>
      <c r="H736" s="3"/>
      <c r="AG736" s="91"/>
    </row>
    <row r="737" ht="15.75" customHeight="1">
      <c r="B737" s="3"/>
      <c r="C737" s="3"/>
      <c r="H737" s="3"/>
      <c r="AG737" s="91"/>
    </row>
    <row r="738" ht="15.75" customHeight="1">
      <c r="B738" s="3"/>
      <c r="C738" s="3"/>
      <c r="H738" s="3"/>
      <c r="AG738" s="91"/>
    </row>
    <row r="739" ht="15.75" customHeight="1">
      <c r="B739" s="3"/>
      <c r="C739" s="3"/>
      <c r="H739" s="3"/>
      <c r="AG739" s="91"/>
    </row>
    <row r="740" ht="15.75" customHeight="1">
      <c r="B740" s="3"/>
      <c r="C740" s="3"/>
      <c r="H740" s="3"/>
      <c r="AG740" s="91"/>
    </row>
    <row r="741" ht="15.75" customHeight="1">
      <c r="B741" s="3"/>
      <c r="C741" s="3"/>
      <c r="H741" s="3"/>
      <c r="AG741" s="91"/>
    </row>
    <row r="742" ht="15.75" customHeight="1">
      <c r="B742" s="3"/>
      <c r="C742" s="3"/>
      <c r="H742" s="3"/>
      <c r="AG742" s="91"/>
    </row>
    <row r="743" ht="15.75" customHeight="1">
      <c r="B743" s="3"/>
      <c r="C743" s="3"/>
      <c r="H743" s="3"/>
      <c r="AG743" s="91"/>
    </row>
    <row r="744" ht="15.75" customHeight="1">
      <c r="B744" s="3"/>
      <c r="C744" s="3"/>
      <c r="H744" s="3"/>
      <c r="AG744" s="91"/>
    </row>
    <row r="745" ht="15.75" customHeight="1">
      <c r="B745" s="3"/>
      <c r="C745" s="3"/>
      <c r="H745" s="3"/>
      <c r="AG745" s="91"/>
    </row>
    <row r="746" ht="15.75" customHeight="1">
      <c r="B746" s="3"/>
      <c r="C746" s="3"/>
      <c r="H746" s="3"/>
      <c r="AG746" s="91"/>
    </row>
    <row r="747" ht="15.75" customHeight="1">
      <c r="B747" s="3"/>
      <c r="C747" s="3"/>
      <c r="H747" s="3"/>
      <c r="AG747" s="91"/>
    </row>
    <row r="748" ht="15.75" customHeight="1">
      <c r="B748" s="3"/>
      <c r="C748" s="3"/>
      <c r="H748" s="3"/>
      <c r="AG748" s="91"/>
    </row>
    <row r="749" ht="15.75" customHeight="1">
      <c r="B749" s="3"/>
      <c r="C749" s="3"/>
      <c r="H749" s="3"/>
      <c r="AG749" s="91"/>
    </row>
    <row r="750" ht="15.75" customHeight="1">
      <c r="B750" s="3"/>
      <c r="C750" s="3"/>
      <c r="H750" s="3"/>
      <c r="AG750" s="91"/>
    </row>
    <row r="751" ht="15.75" customHeight="1">
      <c r="B751" s="3"/>
      <c r="C751" s="3"/>
      <c r="H751" s="3"/>
      <c r="AG751" s="91"/>
    </row>
    <row r="752" ht="15.75" customHeight="1">
      <c r="B752" s="3"/>
      <c r="C752" s="3"/>
      <c r="H752" s="3"/>
      <c r="AG752" s="91"/>
    </row>
    <row r="753" ht="15.75" customHeight="1">
      <c r="B753" s="3"/>
      <c r="C753" s="3"/>
      <c r="H753" s="3"/>
      <c r="AG753" s="91"/>
    </row>
    <row r="754" ht="15.75" customHeight="1">
      <c r="B754" s="3"/>
      <c r="C754" s="3"/>
      <c r="H754" s="3"/>
      <c r="AG754" s="91"/>
    </row>
    <row r="755" ht="15.75" customHeight="1">
      <c r="B755" s="3"/>
      <c r="C755" s="3"/>
      <c r="H755" s="3"/>
      <c r="AG755" s="91"/>
    </row>
    <row r="756" ht="15.75" customHeight="1">
      <c r="B756" s="3"/>
      <c r="C756" s="3"/>
      <c r="H756" s="3"/>
      <c r="AG756" s="91"/>
    </row>
    <row r="757" ht="15.75" customHeight="1">
      <c r="B757" s="3"/>
      <c r="C757" s="3"/>
      <c r="H757" s="3"/>
      <c r="AG757" s="91"/>
    </row>
    <row r="758" ht="15.75" customHeight="1">
      <c r="B758" s="3"/>
      <c r="C758" s="3"/>
      <c r="H758" s="3"/>
      <c r="AG758" s="91"/>
    </row>
    <row r="759" ht="15.75" customHeight="1">
      <c r="B759" s="3"/>
      <c r="C759" s="3"/>
      <c r="H759" s="3"/>
      <c r="AG759" s="91"/>
    </row>
    <row r="760" ht="15.75" customHeight="1">
      <c r="B760" s="3"/>
      <c r="C760" s="3"/>
      <c r="H760" s="3"/>
      <c r="AG760" s="91"/>
    </row>
    <row r="761" ht="15.75" customHeight="1">
      <c r="B761" s="3"/>
      <c r="C761" s="3"/>
      <c r="H761" s="3"/>
      <c r="AG761" s="91"/>
    </row>
    <row r="762" ht="15.75" customHeight="1">
      <c r="B762" s="3"/>
      <c r="C762" s="3"/>
      <c r="H762" s="3"/>
      <c r="AG762" s="91"/>
    </row>
    <row r="763" ht="15.75" customHeight="1">
      <c r="B763" s="3"/>
      <c r="C763" s="3"/>
      <c r="H763" s="3"/>
      <c r="AG763" s="91"/>
    </row>
    <row r="764" ht="15.75" customHeight="1">
      <c r="B764" s="3"/>
      <c r="C764" s="3"/>
      <c r="H764" s="3"/>
      <c r="AG764" s="91"/>
    </row>
    <row r="765" ht="15.75" customHeight="1">
      <c r="B765" s="3"/>
      <c r="C765" s="3"/>
      <c r="H765" s="3"/>
      <c r="AG765" s="91"/>
    </row>
    <row r="766" ht="15.75" customHeight="1">
      <c r="B766" s="3"/>
      <c r="C766" s="3"/>
      <c r="H766" s="3"/>
      <c r="AG766" s="91"/>
    </row>
    <row r="767" ht="15.75" customHeight="1">
      <c r="B767" s="3"/>
      <c r="C767" s="3"/>
      <c r="H767" s="3"/>
      <c r="AG767" s="91"/>
    </row>
    <row r="768" ht="15.75" customHeight="1">
      <c r="B768" s="3"/>
      <c r="C768" s="3"/>
      <c r="H768" s="3"/>
      <c r="AG768" s="91"/>
    </row>
    <row r="769" ht="15.75" customHeight="1">
      <c r="B769" s="3"/>
      <c r="C769" s="3"/>
      <c r="H769" s="3"/>
      <c r="AG769" s="91"/>
    </row>
    <row r="770" ht="15.75" customHeight="1">
      <c r="B770" s="3"/>
      <c r="C770" s="3"/>
      <c r="H770" s="3"/>
      <c r="AG770" s="91"/>
    </row>
    <row r="771" ht="15.75" customHeight="1">
      <c r="B771" s="3"/>
      <c r="C771" s="3"/>
      <c r="H771" s="3"/>
      <c r="AG771" s="91"/>
    </row>
    <row r="772" ht="15.75" customHeight="1">
      <c r="B772" s="3"/>
      <c r="C772" s="3"/>
      <c r="H772" s="3"/>
      <c r="AG772" s="91"/>
    </row>
    <row r="773" ht="15.75" customHeight="1">
      <c r="B773" s="3"/>
      <c r="C773" s="3"/>
      <c r="H773" s="3"/>
      <c r="AG773" s="91"/>
    </row>
    <row r="774" ht="15.75" customHeight="1">
      <c r="B774" s="3"/>
      <c r="C774" s="3"/>
      <c r="H774" s="3"/>
      <c r="AG774" s="91"/>
    </row>
    <row r="775" ht="15.75" customHeight="1">
      <c r="B775" s="3"/>
      <c r="C775" s="3"/>
      <c r="H775" s="3"/>
      <c r="AG775" s="91"/>
    </row>
    <row r="776" ht="15.75" customHeight="1">
      <c r="B776" s="3"/>
      <c r="C776" s="3"/>
      <c r="H776" s="3"/>
      <c r="AG776" s="91"/>
    </row>
    <row r="777" ht="15.75" customHeight="1">
      <c r="B777" s="3"/>
      <c r="C777" s="3"/>
      <c r="H777" s="3"/>
      <c r="AG777" s="91"/>
    </row>
    <row r="778" ht="15.75" customHeight="1">
      <c r="B778" s="3"/>
      <c r="C778" s="3"/>
      <c r="H778" s="3"/>
      <c r="AG778" s="91"/>
    </row>
    <row r="779" ht="15.75" customHeight="1">
      <c r="B779" s="3"/>
      <c r="C779" s="3"/>
      <c r="H779" s="3"/>
      <c r="AG779" s="91"/>
    </row>
    <row r="780" ht="15.75" customHeight="1">
      <c r="B780" s="3"/>
      <c r="C780" s="3"/>
      <c r="H780" s="3"/>
      <c r="AG780" s="91"/>
    </row>
    <row r="781" ht="15.75" customHeight="1">
      <c r="B781" s="3"/>
      <c r="C781" s="3"/>
      <c r="H781" s="3"/>
      <c r="AG781" s="91"/>
    </row>
    <row r="782" ht="15.75" customHeight="1">
      <c r="B782" s="3"/>
      <c r="C782" s="3"/>
      <c r="H782" s="3"/>
      <c r="AG782" s="91"/>
    </row>
    <row r="783" ht="15.75" customHeight="1">
      <c r="B783" s="3"/>
      <c r="C783" s="3"/>
      <c r="H783" s="3"/>
      <c r="AG783" s="91"/>
    </row>
    <row r="784" ht="15.75" customHeight="1">
      <c r="B784" s="3"/>
      <c r="C784" s="3"/>
      <c r="H784" s="3"/>
      <c r="AG784" s="91"/>
    </row>
    <row r="785" ht="15.75" customHeight="1">
      <c r="B785" s="3"/>
      <c r="C785" s="3"/>
      <c r="H785" s="3"/>
      <c r="AG785" s="91"/>
    </row>
    <row r="786" ht="15.75" customHeight="1">
      <c r="B786" s="3"/>
      <c r="C786" s="3"/>
      <c r="H786" s="3"/>
      <c r="AG786" s="91"/>
    </row>
    <row r="787" ht="15.75" customHeight="1">
      <c r="B787" s="3"/>
      <c r="C787" s="3"/>
      <c r="H787" s="3"/>
      <c r="AG787" s="91"/>
    </row>
    <row r="788" ht="15.75" customHeight="1">
      <c r="B788" s="3"/>
      <c r="C788" s="3"/>
      <c r="H788" s="3"/>
      <c r="AG788" s="91"/>
    </row>
    <row r="789" ht="15.75" customHeight="1">
      <c r="B789" s="3"/>
      <c r="C789" s="3"/>
      <c r="H789" s="3"/>
      <c r="AG789" s="91"/>
    </row>
    <row r="790" ht="15.75" customHeight="1">
      <c r="B790" s="3"/>
      <c r="C790" s="3"/>
      <c r="H790" s="3"/>
      <c r="AG790" s="91"/>
    </row>
    <row r="791" ht="15.75" customHeight="1">
      <c r="B791" s="3"/>
      <c r="C791" s="3"/>
      <c r="H791" s="3"/>
      <c r="AG791" s="91"/>
    </row>
    <row r="792" ht="15.75" customHeight="1">
      <c r="B792" s="3"/>
      <c r="C792" s="3"/>
      <c r="H792" s="3"/>
      <c r="AG792" s="91"/>
    </row>
    <row r="793" ht="15.75" customHeight="1">
      <c r="B793" s="3"/>
      <c r="C793" s="3"/>
      <c r="H793" s="3"/>
      <c r="AG793" s="91"/>
    </row>
    <row r="794" ht="15.75" customHeight="1">
      <c r="B794" s="3"/>
      <c r="C794" s="3"/>
      <c r="H794" s="3"/>
      <c r="AG794" s="91"/>
    </row>
    <row r="795" ht="15.75" customHeight="1">
      <c r="B795" s="3"/>
      <c r="C795" s="3"/>
      <c r="H795" s="3"/>
      <c r="AG795" s="91"/>
    </row>
    <row r="796" ht="15.75" customHeight="1">
      <c r="B796" s="3"/>
      <c r="C796" s="3"/>
      <c r="H796" s="3"/>
      <c r="AG796" s="91"/>
    </row>
    <row r="797" ht="15.75" customHeight="1">
      <c r="B797" s="3"/>
      <c r="C797" s="3"/>
      <c r="H797" s="3"/>
      <c r="AG797" s="91"/>
    </row>
    <row r="798" ht="15.75" customHeight="1">
      <c r="B798" s="3"/>
      <c r="C798" s="3"/>
      <c r="H798" s="3"/>
      <c r="AG798" s="91"/>
    </row>
    <row r="799" ht="15.75" customHeight="1">
      <c r="B799" s="3"/>
      <c r="C799" s="3"/>
      <c r="H799" s="3"/>
      <c r="AG799" s="91"/>
    </row>
    <row r="800" ht="15.75" customHeight="1">
      <c r="B800" s="3"/>
      <c r="C800" s="3"/>
      <c r="H800" s="3"/>
      <c r="AG800" s="91"/>
    </row>
    <row r="801" ht="15.75" customHeight="1">
      <c r="B801" s="3"/>
      <c r="C801" s="3"/>
      <c r="H801" s="3"/>
      <c r="AG801" s="91"/>
    </row>
    <row r="802" ht="15.75" customHeight="1">
      <c r="B802" s="3"/>
      <c r="C802" s="3"/>
      <c r="H802" s="3"/>
      <c r="AG802" s="91"/>
    </row>
    <row r="803" ht="15.75" customHeight="1">
      <c r="B803" s="3"/>
      <c r="C803" s="3"/>
      <c r="H803" s="3"/>
      <c r="AG803" s="91"/>
    </row>
    <row r="804" ht="15.75" customHeight="1">
      <c r="B804" s="3"/>
      <c r="C804" s="3"/>
      <c r="H804" s="3"/>
      <c r="AG804" s="91"/>
    </row>
    <row r="805" ht="15.75" customHeight="1">
      <c r="B805" s="3"/>
      <c r="C805" s="3"/>
      <c r="H805" s="3"/>
      <c r="AG805" s="91"/>
    </row>
    <row r="806" ht="15.75" customHeight="1">
      <c r="B806" s="3"/>
      <c r="C806" s="3"/>
      <c r="H806" s="3"/>
      <c r="AG806" s="91"/>
    </row>
    <row r="807" ht="15.75" customHeight="1">
      <c r="B807" s="3"/>
      <c r="C807" s="3"/>
      <c r="H807" s="3"/>
      <c r="AG807" s="91"/>
    </row>
    <row r="808" ht="15.75" customHeight="1">
      <c r="B808" s="3"/>
      <c r="C808" s="3"/>
      <c r="H808" s="3"/>
      <c r="AG808" s="91"/>
    </row>
    <row r="809" ht="15.75" customHeight="1">
      <c r="B809" s="3"/>
      <c r="C809" s="3"/>
      <c r="H809" s="3"/>
      <c r="AG809" s="91"/>
    </row>
    <row r="810" ht="15.75" customHeight="1">
      <c r="B810" s="3"/>
      <c r="C810" s="3"/>
      <c r="H810" s="3"/>
      <c r="AG810" s="91"/>
    </row>
    <row r="811" ht="15.75" customHeight="1">
      <c r="B811" s="3"/>
      <c r="C811" s="3"/>
      <c r="H811" s="3"/>
      <c r="AG811" s="91"/>
    </row>
    <row r="812" ht="15.75" customHeight="1">
      <c r="B812" s="3"/>
      <c r="C812" s="3"/>
      <c r="H812" s="3"/>
      <c r="AG812" s="91"/>
    </row>
    <row r="813" ht="15.75" customHeight="1">
      <c r="B813" s="3"/>
      <c r="C813" s="3"/>
      <c r="H813" s="3"/>
      <c r="AG813" s="91"/>
    </row>
    <row r="814" ht="15.75" customHeight="1">
      <c r="B814" s="3"/>
      <c r="C814" s="3"/>
      <c r="H814" s="3"/>
      <c r="AG814" s="91"/>
    </row>
    <row r="815" ht="15.75" customHeight="1">
      <c r="B815" s="3"/>
      <c r="C815" s="3"/>
      <c r="H815" s="3"/>
      <c r="AG815" s="91"/>
    </row>
    <row r="816" ht="15.75" customHeight="1">
      <c r="B816" s="3"/>
      <c r="C816" s="3"/>
      <c r="H816" s="3"/>
      <c r="AG816" s="91"/>
    </row>
    <row r="817" ht="15.75" customHeight="1">
      <c r="B817" s="3"/>
      <c r="C817" s="3"/>
      <c r="H817" s="3"/>
      <c r="AG817" s="91"/>
    </row>
    <row r="818" ht="15.75" customHeight="1">
      <c r="B818" s="3"/>
      <c r="C818" s="3"/>
      <c r="H818" s="3"/>
      <c r="AG818" s="91"/>
    </row>
    <row r="819" ht="15.75" customHeight="1">
      <c r="B819" s="3"/>
      <c r="C819" s="3"/>
      <c r="H819" s="3"/>
      <c r="AG819" s="91"/>
    </row>
    <row r="820" ht="15.75" customHeight="1">
      <c r="B820" s="3"/>
      <c r="C820" s="3"/>
      <c r="H820" s="3"/>
      <c r="AG820" s="91"/>
    </row>
    <row r="821" ht="15.75" customHeight="1">
      <c r="B821" s="3"/>
      <c r="C821" s="3"/>
      <c r="H821" s="3"/>
      <c r="AG821" s="91"/>
    </row>
    <row r="822" ht="15.75" customHeight="1">
      <c r="B822" s="3"/>
      <c r="C822" s="3"/>
      <c r="H822" s="3"/>
      <c r="AG822" s="91"/>
    </row>
    <row r="823" ht="15.75" customHeight="1">
      <c r="B823" s="3"/>
      <c r="C823" s="3"/>
      <c r="H823" s="3"/>
      <c r="AG823" s="91"/>
    </row>
    <row r="824" ht="15.75" customHeight="1">
      <c r="B824" s="3"/>
      <c r="C824" s="3"/>
      <c r="H824" s="3"/>
      <c r="AG824" s="91"/>
    </row>
    <row r="825" ht="15.75" customHeight="1">
      <c r="B825" s="3"/>
      <c r="C825" s="3"/>
      <c r="H825" s="3"/>
      <c r="AG825" s="91"/>
    </row>
    <row r="826" ht="15.75" customHeight="1">
      <c r="B826" s="3"/>
      <c r="C826" s="3"/>
      <c r="H826" s="3"/>
      <c r="AG826" s="91"/>
    </row>
    <row r="827" ht="15.75" customHeight="1">
      <c r="B827" s="3"/>
      <c r="C827" s="3"/>
      <c r="H827" s="3"/>
      <c r="AG827" s="91"/>
    </row>
    <row r="828" ht="15.75" customHeight="1">
      <c r="B828" s="3"/>
      <c r="C828" s="3"/>
      <c r="H828" s="3"/>
      <c r="AG828" s="91"/>
    </row>
    <row r="829" ht="15.75" customHeight="1">
      <c r="B829" s="3"/>
      <c r="C829" s="3"/>
      <c r="H829" s="3"/>
      <c r="AG829" s="91"/>
    </row>
    <row r="830" ht="15.75" customHeight="1">
      <c r="B830" s="3"/>
      <c r="C830" s="3"/>
      <c r="H830" s="3"/>
      <c r="AG830" s="91"/>
    </row>
    <row r="831" ht="15.75" customHeight="1">
      <c r="B831" s="3"/>
      <c r="C831" s="3"/>
      <c r="H831" s="3"/>
      <c r="AG831" s="91"/>
    </row>
    <row r="832" ht="15.75" customHeight="1">
      <c r="B832" s="3"/>
      <c r="C832" s="3"/>
      <c r="H832" s="3"/>
      <c r="AG832" s="91"/>
    </row>
    <row r="833" ht="15.75" customHeight="1">
      <c r="B833" s="3"/>
      <c r="C833" s="3"/>
      <c r="H833" s="3"/>
      <c r="AG833" s="91"/>
    </row>
    <row r="834" ht="15.75" customHeight="1">
      <c r="B834" s="3"/>
      <c r="C834" s="3"/>
      <c r="H834" s="3"/>
      <c r="AG834" s="91"/>
    </row>
    <row r="835" ht="15.75" customHeight="1">
      <c r="B835" s="3"/>
      <c r="C835" s="3"/>
      <c r="H835" s="3"/>
      <c r="AG835" s="91"/>
    </row>
    <row r="836" ht="15.75" customHeight="1">
      <c r="B836" s="3"/>
      <c r="C836" s="3"/>
      <c r="H836" s="3"/>
      <c r="AG836" s="91"/>
    </row>
    <row r="837" ht="15.75" customHeight="1">
      <c r="B837" s="3"/>
      <c r="C837" s="3"/>
      <c r="H837" s="3"/>
      <c r="AG837" s="91"/>
    </row>
    <row r="838" ht="15.75" customHeight="1">
      <c r="B838" s="3"/>
      <c r="C838" s="3"/>
      <c r="H838" s="3"/>
      <c r="AG838" s="91"/>
    </row>
    <row r="839" ht="15.75" customHeight="1">
      <c r="B839" s="3"/>
      <c r="C839" s="3"/>
      <c r="H839" s="3"/>
      <c r="AG839" s="91"/>
    </row>
    <row r="840" ht="15.75" customHeight="1">
      <c r="B840" s="3"/>
      <c r="C840" s="3"/>
      <c r="H840" s="3"/>
      <c r="AG840" s="91"/>
    </row>
    <row r="841" ht="15.75" customHeight="1">
      <c r="B841" s="3"/>
      <c r="C841" s="3"/>
      <c r="H841" s="3"/>
      <c r="AG841" s="91"/>
    </row>
    <row r="842" ht="15.75" customHeight="1">
      <c r="B842" s="3"/>
      <c r="C842" s="3"/>
      <c r="H842" s="3"/>
      <c r="AG842" s="91"/>
    </row>
    <row r="843" ht="15.75" customHeight="1">
      <c r="B843" s="3"/>
      <c r="C843" s="3"/>
      <c r="H843" s="3"/>
      <c r="AG843" s="91"/>
    </row>
    <row r="844" ht="15.75" customHeight="1">
      <c r="B844" s="3"/>
      <c r="C844" s="3"/>
      <c r="H844" s="3"/>
      <c r="AG844" s="91"/>
    </row>
    <row r="845" ht="15.75" customHeight="1">
      <c r="B845" s="3"/>
      <c r="C845" s="3"/>
      <c r="H845" s="3"/>
      <c r="AG845" s="91"/>
    </row>
    <row r="846" ht="15.75" customHeight="1">
      <c r="B846" s="3"/>
      <c r="C846" s="3"/>
      <c r="H846" s="3"/>
      <c r="AG846" s="91"/>
    </row>
    <row r="847" ht="15.75" customHeight="1">
      <c r="B847" s="3"/>
      <c r="C847" s="3"/>
      <c r="H847" s="3"/>
      <c r="AG847" s="91"/>
    </row>
    <row r="848" ht="15.75" customHeight="1">
      <c r="B848" s="3"/>
      <c r="C848" s="3"/>
      <c r="H848" s="3"/>
      <c r="AG848" s="91"/>
    </row>
    <row r="849" ht="15.75" customHeight="1">
      <c r="B849" s="3"/>
      <c r="C849" s="3"/>
      <c r="H849" s="3"/>
      <c r="AG849" s="91"/>
    </row>
    <row r="850" ht="15.75" customHeight="1">
      <c r="B850" s="3"/>
      <c r="C850" s="3"/>
      <c r="H850" s="3"/>
      <c r="AG850" s="91"/>
    </row>
    <row r="851" ht="15.75" customHeight="1">
      <c r="B851" s="3"/>
      <c r="C851" s="3"/>
      <c r="H851" s="3"/>
      <c r="AG851" s="91"/>
    </row>
    <row r="852" ht="15.75" customHeight="1">
      <c r="B852" s="3"/>
      <c r="C852" s="3"/>
      <c r="H852" s="3"/>
      <c r="AG852" s="91"/>
    </row>
    <row r="853" ht="15.75" customHeight="1">
      <c r="B853" s="3"/>
      <c r="C853" s="3"/>
      <c r="H853" s="3"/>
      <c r="AG853" s="91"/>
    </row>
    <row r="854" ht="15.75" customHeight="1">
      <c r="B854" s="3"/>
      <c r="C854" s="3"/>
      <c r="H854" s="3"/>
      <c r="AG854" s="91"/>
    </row>
    <row r="855" ht="15.75" customHeight="1">
      <c r="B855" s="3"/>
      <c r="C855" s="3"/>
      <c r="H855" s="3"/>
      <c r="AG855" s="91"/>
    </row>
    <row r="856" ht="15.75" customHeight="1">
      <c r="B856" s="3"/>
      <c r="C856" s="3"/>
      <c r="H856" s="3"/>
      <c r="AG856" s="91"/>
    </row>
    <row r="857" ht="15.75" customHeight="1">
      <c r="B857" s="3"/>
      <c r="C857" s="3"/>
      <c r="H857" s="3"/>
      <c r="AG857" s="91"/>
    </row>
    <row r="858" ht="15.75" customHeight="1">
      <c r="B858" s="3"/>
      <c r="C858" s="3"/>
      <c r="H858" s="3"/>
      <c r="AG858" s="91"/>
    </row>
    <row r="859" ht="15.75" customHeight="1">
      <c r="B859" s="3"/>
      <c r="C859" s="3"/>
      <c r="H859" s="3"/>
      <c r="AG859" s="91"/>
    </row>
    <row r="860" ht="15.75" customHeight="1">
      <c r="B860" s="3"/>
      <c r="C860" s="3"/>
      <c r="H860" s="3"/>
      <c r="AG860" s="91"/>
    </row>
    <row r="861" ht="15.75" customHeight="1">
      <c r="B861" s="3"/>
      <c r="C861" s="3"/>
      <c r="H861" s="3"/>
      <c r="AG861" s="91"/>
    </row>
    <row r="862" ht="15.75" customHeight="1">
      <c r="B862" s="3"/>
      <c r="C862" s="3"/>
      <c r="H862" s="3"/>
      <c r="AG862" s="91"/>
    </row>
    <row r="863" ht="15.75" customHeight="1">
      <c r="B863" s="3"/>
      <c r="C863" s="3"/>
      <c r="H863" s="3"/>
      <c r="AG863" s="91"/>
    </row>
    <row r="864" ht="15.75" customHeight="1">
      <c r="B864" s="3"/>
      <c r="C864" s="3"/>
      <c r="H864" s="3"/>
      <c r="AG864" s="91"/>
    </row>
    <row r="865" ht="15.75" customHeight="1">
      <c r="B865" s="3"/>
      <c r="C865" s="3"/>
      <c r="H865" s="3"/>
      <c r="AG865" s="91"/>
    </row>
    <row r="866" ht="15.75" customHeight="1">
      <c r="B866" s="3"/>
      <c r="C866" s="3"/>
      <c r="H866" s="3"/>
      <c r="AG866" s="91"/>
    </row>
    <row r="867" ht="15.75" customHeight="1">
      <c r="B867" s="3"/>
      <c r="C867" s="3"/>
      <c r="H867" s="3"/>
      <c r="AG867" s="91"/>
    </row>
    <row r="868" ht="15.75" customHeight="1">
      <c r="B868" s="3"/>
      <c r="C868" s="3"/>
      <c r="H868" s="3"/>
      <c r="AG868" s="91"/>
    </row>
    <row r="869" ht="15.75" customHeight="1">
      <c r="B869" s="3"/>
      <c r="C869" s="3"/>
      <c r="H869" s="3"/>
      <c r="AG869" s="91"/>
    </row>
    <row r="870" ht="15.75" customHeight="1">
      <c r="B870" s="3"/>
      <c r="C870" s="3"/>
      <c r="H870" s="3"/>
      <c r="AG870" s="91"/>
    </row>
    <row r="871" ht="15.75" customHeight="1">
      <c r="B871" s="3"/>
      <c r="C871" s="3"/>
      <c r="H871" s="3"/>
      <c r="AG871" s="91"/>
    </row>
    <row r="872" ht="15.75" customHeight="1">
      <c r="B872" s="3"/>
      <c r="C872" s="3"/>
      <c r="H872" s="3"/>
      <c r="AG872" s="91"/>
    </row>
    <row r="873" ht="15.75" customHeight="1">
      <c r="B873" s="3"/>
      <c r="C873" s="3"/>
      <c r="H873" s="3"/>
      <c r="AG873" s="91"/>
    </row>
    <row r="874" ht="15.75" customHeight="1">
      <c r="B874" s="3"/>
      <c r="C874" s="3"/>
      <c r="H874" s="3"/>
      <c r="AG874" s="91"/>
    </row>
    <row r="875" ht="15.75" customHeight="1">
      <c r="B875" s="3"/>
      <c r="C875" s="3"/>
      <c r="H875" s="3"/>
      <c r="AG875" s="91"/>
    </row>
    <row r="876" ht="15.75" customHeight="1">
      <c r="B876" s="3"/>
      <c r="C876" s="3"/>
      <c r="H876" s="3"/>
      <c r="AG876" s="91"/>
    </row>
    <row r="877" ht="15.75" customHeight="1">
      <c r="B877" s="3"/>
      <c r="C877" s="3"/>
      <c r="H877" s="3"/>
      <c r="AG877" s="91"/>
    </row>
    <row r="878" ht="15.75" customHeight="1">
      <c r="B878" s="3"/>
      <c r="C878" s="3"/>
      <c r="H878" s="3"/>
      <c r="AG878" s="91"/>
    </row>
    <row r="879" ht="15.75" customHeight="1">
      <c r="B879" s="3"/>
      <c r="C879" s="3"/>
      <c r="H879" s="3"/>
      <c r="AG879" s="91"/>
    </row>
    <row r="880" ht="15.75" customHeight="1">
      <c r="B880" s="3"/>
      <c r="C880" s="3"/>
      <c r="H880" s="3"/>
      <c r="AG880" s="91"/>
    </row>
    <row r="881" ht="15.75" customHeight="1">
      <c r="B881" s="3"/>
      <c r="C881" s="3"/>
      <c r="H881" s="3"/>
      <c r="AG881" s="91"/>
    </row>
    <row r="882" ht="15.75" customHeight="1">
      <c r="B882" s="3"/>
      <c r="C882" s="3"/>
      <c r="H882" s="3"/>
      <c r="AG882" s="91"/>
    </row>
    <row r="883" ht="15.75" customHeight="1">
      <c r="B883" s="3"/>
      <c r="C883" s="3"/>
      <c r="H883" s="3"/>
      <c r="AG883" s="91"/>
    </row>
    <row r="884" ht="15.75" customHeight="1">
      <c r="B884" s="3"/>
      <c r="C884" s="3"/>
      <c r="H884" s="3"/>
      <c r="AG884" s="91"/>
    </row>
    <row r="885" ht="15.75" customHeight="1">
      <c r="B885" s="3"/>
      <c r="C885" s="3"/>
      <c r="H885" s="3"/>
      <c r="AG885" s="91"/>
    </row>
    <row r="886" ht="15.75" customHeight="1">
      <c r="B886" s="3"/>
      <c r="C886" s="3"/>
      <c r="H886" s="3"/>
      <c r="AG886" s="91"/>
    </row>
    <row r="887" ht="15.75" customHeight="1">
      <c r="B887" s="3"/>
      <c r="C887" s="3"/>
      <c r="H887" s="3"/>
      <c r="AG887" s="91"/>
    </row>
    <row r="888" ht="15.75" customHeight="1">
      <c r="B888" s="3"/>
      <c r="C888" s="3"/>
      <c r="H888" s="3"/>
      <c r="AG888" s="91"/>
    </row>
    <row r="889" ht="15.75" customHeight="1">
      <c r="B889" s="3"/>
      <c r="C889" s="3"/>
      <c r="H889" s="3"/>
      <c r="AG889" s="91"/>
    </row>
    <row r="890" ht="15.75" customHeight="1">
      <c r="B890" s="3"/>
      <c r="C890" s="3"/>
      <c r="H890" s="3"/>
      <c r="AG890" s="91"/>
    </row>
    <row r="891" ht="15.75" customHeight="1">
      <c r="B891" s="3"/>
      <c r="C891" s="3"/>
      <c r="H891" s="3"/>
      <c r="AG891" s="91"/>
    </row>
    <row r="892" ht="15.75" customHeight="1">
      <c r="B892" s="3"/>
      <c r="C892" s="3"/>
      <c r="H892" s="3"/>
      <c r="AG892" s="91"/>
    </row>
    <row r="893" ht="15.75" customHeight="1">
      <c r="B893" s="3"/>
      <c r="C893" s="3"/>
      <c r="H893" s="3"/>
      <c r="AG893" s="91"/>
    </row>
    <row r="894" ht="15.75" customHeight="1">
      <c r="B894" s="3"/>
      <c r="C894" s="3"/>
      <c r="H894" s="3"/>
      <c r="AG894" s="91"/>
    </row>
    <row r="895" ht="15.75" customHeight="1">
      <c r="B895" s="3"/>
      <c r="C895" s="3"/>
      <c r="H895" s="3"/>
      <c r="AG895" s="91"/>
    </row>
    <row r="896" ht="15.75" customHeight="1">
      <c r="B896" s="3"/>
      <c r="C896" s="3"/>
      <c r="H896" s="3"/>
      <c r="AG896" s="91"/>
    </row>
    <row r="897" ht="15.75" customHeight="1">
      <c r="B897" s="3"/>
      <c r="C897" s="3"/>
      <c r="H897" s="3"/>
      <c r="AG897" s="91"/>
    </row>
    <row r="898" ht="15.75" customHeight="1">
      <c r="B898" s="3"/>
      <c r="C898" s="3"/>
      <c r="H898" s="3"/>
      <c r="AG898" s="91"/>
    </row>
    <row r="899" ht="15.75" customHeight="1">
      <c r="B899" s="3"/>
      <c r="C899" s="3"/>
      <c r="H899" s="3"/>
      <c r="AG899" s="91"/>
    </row>
    <row r="900" ht="15.75" customHeight="1">
      <c r="B900" s="3"/>
      <c r="C900" s="3"/>
      <c r="H900" s="3"/>
      <c r="AG900" s="91"/>
    </row>
    <row r="901" ht="15.75" customHeight="1">
      <c r="B901" s="3"/>
      <c r="C901" s="3"/>
      <c r="H901" s="3"/>
      <c r="AG901" s="91"/>
    </row>
    <row r="902" ht="15.75" customHeight="1">
      <c r="B902" s="3"/>
      <c r="C902" s="3"/>
      <c r="H902" s="3"/>
      <c r="AG902" s="91"/>
    </row>
    <row r="903" ht="15.75" customHeight="1">
      <c r="B903" s="3"/>
      <c r="C903" s="3"/>
      <c r="H903" s="3"/>
      <c r="AG903" s="91"/>
    </row>
    <row r="904" ht="15.75" customHeight="1">
      <c r="B904" s="3"/>
      <c r="C904" s="3"/>
      <c r="H904" s="3"/>
      <c r="AG904" s="91"/>
    </row>
    <row r="905" ht="15.75" customHeight="1">
      <c r="B905" s="3"/>
      <c r="C905" s="3"/>
      <c r="H905" s="3"/>
      <c r="AG905" s="91"/>
    </row>
    <row r="906" ht="15.75" customHeight="1">
      <c r="B906" s="3"/>
      <c r="C906" s="3"/>
      <c r="H906" s="3"/>
      <c r="AG906" s="91"/>
    </row>
    <row r="907" ht="15.75" customHeight="1">
      <c r="B907" s="3"/>
      <c r="C907" s="3"/>
      <c r="H907" s="3"/>
      <c r="AG907" s="91"/>
    </row>
    <row r="908" ht="15.75" customHeight="1">
      <c r="B908" s="3"/>
      <c r="C908" s="3"/>
      <c r="H908" s="3"/>
      <c r="AG908" s="91"/>
    </row>
    <row r="909" ht="15.75" customHeight="1">
      <c r="B909" s="3"/>
      <c r="C909" s="3"/>
      <c r="H909" s="3"/>
      <c r="AG909" s="91"/>
    </row>
    <row r="910" ht="15.75" customHeight="1">
      <c r="B910" s="3"/>
      <c r="C910" s="3"/>
      <c r="H910" s="3"/>
      <c r="AG910" s="91"/>
    </row>
    <row r="911" ht="15.75" customHeight="1">
      <c r="B911" s="3"/>
      <c r="C911" s="3"/>
      <c r="H911" s="3"/>
      <c r="AG911" s="91"/>
    </row>
    <row r="912" ht="15.75" customHeight="1">
      <c r="B912" s="3"/>
      <c r="C912" s="3"/>
      <c r="H912" s="3"/>
      <c r="AG912" s="91"/>
    </row>
    <row r="913" ht="15.75" customHeight="1">
      <c r="B913" s="3"/>
      <c r="C913" s="3"/>
      <c r="H913" s="3"/>
      <c r="AG913" s="91"/>
    </row>
    <row r="914" ht="15.75" customHeight="1">
      <c r="B914" s="3"/>
      <c r="C914" s="3"/>
      <c r="H914" s="3"/>
      <c r="AG914" s="91"/>
    </row>
    <row r="915" ht="15.75" customHeight="1">
      <c r="B915" s="3"/>
      <c r="C915" s="3"/>
      <c r="H915" s="3"/>
      <c r="AG915" s="91"/>
    </row>
    <row r="916" ht="15.75" customHeight="1">
      <c r="B916" s="3"/>
      <c r="C916" s="3"/>
      <c r="H916" s="3"/>
      <c r="AG916" s="91"/>
    </row>
    <row r="917" ht="15.75" customHeight="1">
      <c r="B917" s="3"/>
      <c r="C917" s="3"/>
      <c r="H917" s="3"/>
      <c r="AG917" s="91"/>
    </row>
    <row r="918" ht="15.75" customHeight="1">
      <c r="B918" s="3"/>
      <c r="C918" s="3"/>
      <c r="H918" s="3"/>
      <c r="AG918" s="91"/>
    </row>
    <row r="919" ht="15.75" customHeight="1">
      <c r="B919" s="3"/>
      <c r="C919" s="3"/>
      <c r="H919" s="3"/>
      <c r="AG919" s="91"/>
    </row>
    <row r="920" ht="15.75" customHeight="1">
      <c r="B920" s="3"/>
      <c r="C920" s="3"/>
      <c r="H920" s="3"/>
      <c r="AG920" s="91"/>
    </row>
    <row r="921" ht="15.75" customHeight="1">
      <c r="B921" s="3"/>
      <c r="C921" s="3"/>
      <c r="H921" s="3"/>
      <c r="AG921" s="91"/>
    </row>
    <row r="922" ht="15.75" customHeight="1">
      <c r="B922" s="3"/>
      <c r="C922" s="3"/>
      <c r="H922" s="3"/>
      <c r="AG922" s="91"/>
    </row>
    <row r="923" ht="15.75" customHeight="1">
      <c r="B923" s="3"/>
      <c r="C923" s="3"/>
      <c r="H923" s="3"/>
      <c r="AG923" s="91"/>
    </row>
    <row r="924" ht="15.75" customHeight="1">
      <c r="B924" s="3"/>
      <c r="C924" s="3"/>
      <c r="H924" s="3"/>
      <c r="AG924" s="91"/>
    </row>
    <row r="925" ht="15.75" customHeight="1">
      <c r="B925" s="3"/>
      <c r="C925" s="3"/>
      <c r="H925" s="3"/>
      <c r="AG925" s="91"/>
    </row>
    <row r="926" ht="15.75" customHeight="1">
      <c r="B926" s="3"/>
      <c r="C926" s="3"/>
      <c r="H926" s="3"/>
      <c r="AG926" s="91"/>
    </row>
    <row r="927" ht="15.75" customHeight="1">
      <c r="B927" s="3"/>
      <c r="C927" s="3"/>
      <c r="H927" s="3"/>
      <c r="AG927" s="91"/>
    </row>
    <row r="928" ht="15.75" customHeight="1">
      <c r="B928" s="3"/>
      <c r="C928" s="3"/>
      <c r="H928" s="3"/>
      <c r="AG928" s="91"/>
    </row>
    <row r="929" ht="15.75" customHeight="1">
      <c r="B929" s="3"/>
      <c r="C929" s="3"/>
      <c r="H929" s="3"/>
      <c r="AG929" s="91"/>
    </row>
    <row r="930" ht="15.75" customHeight="1">
      <c r="B930" s="3"/>
      <c r="C930" s="3"/>
      <c r="H930" s="3"/>
      <c r="AG930" s="91"/>
    </row>
    <row r="931" ht="15.75" customHeight="1">
      <c r="B931" s="3"/>
      <c r="C931" s="3"/>
      <c r="H931" s="3"/>
      <c r="AG931" s="91"/>
    </row>
    <row r="932" ht="15.75" customHeight="1">
      <c r="B932" s="3"/>
      <c r="C932" s="3"/>
      <c r="H932" s="3"/>
      <c r="AG932" s="91"/>
    </row>
    <row r="933" ht="15.75" customHeight="1">
      <c r="B933" s="3"/>
      <c r="C933" s="3"/>
      <c r="H933" s="3"/>
      <c r="AG933" s="91"/>
    </row>
    <row r="934" ht="15.75" customHeight="1">
      <c r="B934" s="3"/>
      <c r="C934" s="3"/>
      <c r="H934" s="3"/>
      <c r="AG934" s="91"/>
    </row>
    <row r="935" ht="15.75" customHeight="1">
      <c r="B935" s="3"/>
      <c r="C935" s="3"/>
      <c r="H935" s="3"/>
      <c r="AG935" s="91"/>
    </row>
    <row r="936" ht="15.75" customHeight="1">
      <c r="B936" s="3"/>
      <c r="C936" s="3"/>
      <c r="H936" s="3"/>
      <c r="AG936" s="91"/>
    </row>
    <row r="937" ht="15.75" customHeight="1">
      <c r="B937" s="3"/>
      <c r="C937" s="3"/>
      <c r="H937" s="3"/>
      <c r="AG937" s="91"/>
    </row>
    <row r="938" ht="15.75" customHeight="1">
      <c r="B938" s="3"/>
      <c r="C938" s="3"/>
      <c r="H938" s="3"/>
      <c r="AG938" s="91"/>
    </row>
    <row r="939" ht="15.75" customHeight="1">
      <c r="B939" s="3"/>
      <c r="C939" s="3"/>
      <c r="H939" s="3"/>
      <c r="AG939" s="91"/>
    </row>
    <row r="940" ht="15.75" customHeight="1">
      <c r="B940" s="3"/>
      <c r="C940" s="3"/>
      <c r="H940" s="3"/>
      <c r="AG940" s="91"/>
    </row>
    <row r="941" ht="15.75" customHeight="1">
      <c r="B941" s="3"/>
      <c r="C941" s="3"/>
      <c r="H941" s="3"/>
      <c r="AG941" s="91"/>
    </row>
    <row r="942" ht="15.75" customHeight="1">
      <c r="B942" s="3"/>
      <c r="C942" s="3"/>
      <c r="H942" s="3"/>
      <c r="AG942" s="91"/>
    </row>
    <row r="943" ht="15.75" customHeight="1">
      <c r="B943" s="3"/>
      <c r="C943" s="3"/>
      <c r="H943" s="3"/>
      <c r="AG943" s="91"/>
    </row>
    <row r="944" ht="15.75" customHeight="1">
      <c r="B944" s="3"/>
      <c r="C944" s="3"/>
      <c r="H944" s="3"/>
      <c r="AG944" s="91"/>
    </row>
    <row r="945" ht="15.75" customHeight="1">
      <c r="B945" s="3"/>
      <c r="C945" s="3"/>
      <c r="H945" s="3"/>
      <c r="AG945" s="91"/>
    </row>
    <row r="946" ht="15.75" customHeight="1">
      <c r="B946" s="3"/>
      <c r="C946" s="3"/>
      <c r="H946" s="3"/>
      <c r="AG946" s="91"/>
    </row>
    <row r="947" ht="15.75" customHeight="1">
      <c r="B947" s="3"/>
      <c r="C947" s="3"/>
      <c r="H947" s="3"/>
      <c r="AG947" s="91"/>
    </row>
    <row r="948" ht="15.75" customHeight="1">
      <c r="B948" s="3"/>
      <c r="C948" s="3"/>
      <c r="H948" s="3"/>
      <c r="AG948" s="91"/>
    </row>
    <row r="949" ht="15.75" customHeight="1">
      <c r="B949" s="3"/>
      <c r="C949" s="3"/>
      <c r="H949" s="3"/>
      <c r="AG949" s="91"/>
    </row>
    <row r="950" ht="15.75" customHeight="1">
      <c r="B950" s="3"/>
      <c r="C950" s="3"/>
      <c r="H950" s="3"/>
      <c r="AG950" s="91"/>
    </row>
    <row r="951" ht="15.75" customHeight="1">
      <c r="B951" s="3"/>
      <c r="C951" s="3"/>
      <c r="H951" s="3"/>
      <c r="AG951" s="91"/>
    </row>
    <row r="952" ht="15.75" customHeight="1">
      <c r="B952" s="3"/>
      <c r="C952" s="3"/>
      <c r="H952" s="3"/>
      <c r="AG952" s="91"/>
    </row>
    <row r="953" ht="15.75" customHeight="1">
      <c r="B953" s="3"/>
      <c r="C953" s="3"/>
      <c r="H953" s="3"/>
      <c r="AG953" s="91"/>
    </row>
    <row r="954" ht="15.75" customHeight="1">
      <c r="B954" s="3"/>
      <c r="C954" s="3"/>
      <c r="H954" s="3"/>
      <c r="AG954" s="91"/>
    </row>
    <row r="955" ht="15.75" customHeight="1">
      <c r="B955" s="3"/>
      <c r="C955" s="3"/>
      <c r="H955" s="3"/>
      <c r="AG955" s="91"/>
    </row>
    <row r="956" ht="15.75" customHeight="1">
      <c r="B956" s="3"/>
      <c r="C956" s="3"/>
      <c r="H956" s="3"/>
      <c r="AG956" s="91"/>
    </row>
    <row r="957" ht="15.75" customHeight="1">
      <c r="B957" s="3"/>
      <c r="C957" s="3"/>
      <c r="H957" s="3"/>
      <c r="AG957" s="91"/>
    </row>
    <row r="958" ht="15.75" customHeight="1">
      <c r="B958" s="3"/>
      <c r="C958" s="3"/>
      <c r="H958" s="3"/>
      <c r="AG958" s="91"/>
    </row>
    <row r="959" ht="15.75" customHeight="1">
      <c r="B959" s="3"/>
      <c r="C959" s="3"/>
      <c r="H959" s="3"/>
      <c r="AG959" s="91"/>
    </row>
    <row r="960" ht="15.75" customHeight="1">
      <c r="B960" s="3"/>
      <c r="C960" s="3"/>
      <c r="H960" s="3"/>
      <c r="AG960" s="91"/>
    </row>
    <row r="961" ht="15.75" customHeight="1">
      <c r="B961" s="3"/>
      <c r="C961" s="3"/>
      <c r="H961" s="3"/>
      <c r="AG961" s="91"/>
    </row>
    <row r="962" ht="15.75" customHeight="1">
      <c r="B962" s="3"/>
      <c r="C962" s="3"/>
      <c r="H962" s="3"/>
      <c r="AG962" s="91"/>
    </row>
    <row r="963" ht="15.75" customHeight="1">
      <c r="B963" s="3"/>
      <c r="C963" s="3"/>
      <c r="H963" s="3"/>
      <c r="AG963" s="91"/>
    </row>
    <row r="964" ht="15.75" customHeight="1">
      <c r="B964" s="3"/>
      <c r="C964" s="3"/>
      <c r="H964" s="3"/>
      <c r="AG964" s="91"/>
    </row>
    <row r="965" ht="15.75" customHeight="1">
      <c r="B965" s="3"/>
      <c r="C965" s="3"/>
      <c r="H965" s="3"/>
      <c r="AG965" s="91"/>
    </row>
    <row r="966" ht="15.75" customHeight="1">
      <c r="B966" s="3"/>
      <c r="C966" s="3"/>
      <c r="H966" s="3"/>
      <c r="AG966" s="91"/>
    </row>
    <row r="967" ht="15.75" customHeight="1">
      <c r="B967" s="3"/>
      <c r="C967" s="3"/>
      <c r="H967" s="3"/>
      <c r="AG967" s="91"/>
    </row>
    <row r="968" ht="15.75" customHeight="1">
      <c r="B968" s="3"/>
      <c r="C968" s="3"/>
      <c r="H968" s="3"/>
      <c r="AG968" s="91"/>
    </row>
    <row r="969" ht="15.75" customHeight="1">
      <c r="B969" s="3"/>
      <c r="C969" s="3"/>
      <c r="H969" s="3"/>
      <c r="AG969" s="91"/>
    </row>
    <row r="970" ht="15.75" customHeight="1">
      <c r="B970" s="3"/>
      <c r="C970" s="3"/>
      <c r="H970" s="3"/>
      <c r="AG970" s="91"/>
    </row>
    <row r="971" ht="15.75" customHeight="1">
      <c r="B971" s="3"/>
      <c r="C971" s="3"/>
      <c r="H971" s="3"/>
      <c r="AG971" s="91"/>
    </row>
    <row r="972" ht="15.75" customHeight="1">
      <c r="B972" s="3"/>
      <c r="C972" s="3"/>
      <c r="H972" s="3"/>
      <c r="AG972" s="91"/>
    </row>
    <row r="973" ht="15.75" customHeight="1">
      <c r="B973" s="3"/>
      <c r="C973" s="3"/>
      <c r="H973" s="3"/>
      <c r="AG973" s="91"/>
    </row>
    <row r="974" ht="15.75" customHeight="1">
      <c r="B974" s="3"/>
      <c r="C974" s="3"/>
      <c r="H974" s="3"/>
      <c r="AG974" s="91"/>
    </row>
    <row r="975" ht="15.75" customHeight="1">
      <c r="B975" s="3"/>
      <c r="C975" s="3"/>
      <c r="H975" s="3"/>
      <c r="AG975" s="91"/>
    </row>
    <row r="976" ht="15.75" customHeight="1">
      <c r="B976" s="3"/>
      <c r="C976" s="3"/>
      <c r="H976" s="3"/>
      <c r="AG976" s="91"/>
    </row>
    <row r="977" ht="15.75" customHeight="1">
      <c r="B977" s="3"/>
      <c r="C977" s="3"/>
      <c r="H977" s="3"/>
      <c r="AG977" s="91"/>
    </row>
    <row r="978" ht="15.75" customHeight="1">
      <c r="B978" s="3"/>
      <c r="C978" s="3"/>
      <c r="H978" s="3"/>
      <c r="AG978" s="91"/>
    </row>
    <row r="979" ht="15.75" customHeight="1">
      <c r="B979" s="3"/>
      <c r="C979" s="3"/>
      <c r="H979" s="3"/>
      <c r="AG979" s="91"/>
    </row>
    <row r="980" ht="15.75" customHeight="1">
      <c r="B980" s="3"/>
      <c r="C980" s="3"/>
      <c r="H980" s="3"/>
      <c r="AG980" s="91"/>
    </row>
    <row r="981" ht="15.75" customHeight="1">
      <c r="B981" s="3"/>
      <c r="C981" s="3"/>
      <c r="H981" s="3"/>
      <c r="AG981" s="91"/>
    </row>
    <row r="982" ht="15.75" customHeight="1">
      <c r="B982" s="3"/>
      <c r="C982" s="3"/>
      <c r="H982" s="3"/>
      <c r="AG982" s="91"/>
    </row>
    <row r="983" ht="15.75" customHeight="1">
      <c r="B983" s="3"/>
      <c r="C983" s="3"/>
      <c r="H983" s="3"/>
      <c r="AG983" s="91"/>
    </row>
    <row r="984" ht="15.75" customHeight="1">
      <c r="B984" s="3"/>
      <c r="C984" s="3"/>
      <c r="H984" s="3"/>
      <c r="AG984" s="91"/>
    </row>
    <row r="985" ht="15.75" customHeight="1">
      <c r="B985" s="3"/>
      <c r="C985" s="3"/>
      <c r="H985" s="3"/>
      <c r="AG985" s="91"/>
    </row>
    <row r="986" ht="15.75" customHeight="1">
      <c r="B986" s="3"/>
      <c r="C986" s="3"/>
      <c r="H986" s="3"/>
      <c r="AG986" s="91"/>
    </row>
    <row r="987" ht="15.75" customHeight="1">
      <c r="B987" s="3"/>
      <c r="C987" s="3"/>
      <c r="H987" s="3"/>
      <c r="AG987" s="91"/>
    </row>
    <row r="988" ht="15.75" customHeight="1">
      <c r="B988" s="3"/>
      <c r="C988" s="3"/>
      <c r="H988" s="3"/>
      <c r="AG988" s="91"/>
    </row>
    <row r="989" ht="15.75" customHeight="1">
      <c r="B989" s="3"/>
      <c r="C989" s="3"/>
      <c r="H989" s="3"/>
      <c r="AG989" s="91"/>
    </row>
    <row r="990" ht="15.75" customHeight="1">
      <c r="B990" s="3"/>
      <c r="C990" s="3"/>
      <c r="H990" s="3"/>
      <c r="AG990" s="91"/>
    </row>
    <row r="991" ht="15.75" customHeight="1">
      <c r="B991" s="3"/>
      <c r="C991" s="3"/>
      <c r="H991" s="3"/>
      <c r="AG991" s="91"/>
    </row>
    <row r="992" ht="15.75" customHeight="1">
      <c r="B992" s="3"/>
      <c r="C992" s="3"/>
      <c r="H992" s="3"/>
      <c r="AG992" s="91"/>
    </row>
    <row r="993" ht="15.75" customHeight="1">
      <c r="B993" s="3"/>
      <c r="C993" s="3"/>
      <c r="H993" s="3"/>
      <c r="AG993" s="91"/>
    </row>
    <row r="994" ht="15.75" customHeight="1">
      <c r="B994" s="3"/>
      <c r="C994" s="3"/>
      <c r="H994" s="3"/>
      <c r="AG994" s="91"/>
    </row>
    <row r="995" ht="15.75" customHeight="1">
      <c r="B995" s="3"/>
      <c r="C995" s="3"/>
      <c r="H995" s="3"/>
      <c r="AG995" s="91"/>
    </row>
    <row r="996" ht="15.75" customHeight="1">
      <c r="B996" s="3"/>
      <c r="C996" s="3"/>
      <c r="H996" s="3"/>
      <c r="AG996" s="91"/>
    </row>
    <row r="997" ht="15.75" customHeight="1">
      <c r="B997" s="3"/>
      <c r="C997" s="3"/>
      <c r="H997" s="3"/>
      <c r="AG997" s="91"/>
    </row>
    <row r="998" ht="15.75" customHeight="1">
      <c r="B998" s="3"/>
      <c r="C998" s="3"/>
      <c r="H998" s="3"/>
      <c r="AG998" s="91"/>
    </row>
    <row r="999" ht="15.75" customHeight="1">
      <c r="B999" s="3"/>
      <c r="C999" s="3"/>
      <c r="H999" s="3"/>
      <c r="AG999" s="91"/>
    </row>
    <row r="1000" ht="15.75" customHeight="1">
      <c r="B1000" s="3"/>
      <c r="C1000" s="3"/>
      <c r="H1000" s="3"/>
      <c r="AG1000" s="91"/>
    </row>
  </sheetData>
  <autoFilter ref="$A$3:$AO$128"/>
  <mergeCells count="2">
    <mergeCell ref="AV5:BD5"/>
    <mergeCell ref="AV26:BA26"/>
  </mergeCells>
  <printOptions/>
  <pageMargins bottom="0.75" footer="0.0" header="0.0" left="0.7" right="0.7" top="0.75"/>
  <pageSetup fitToHeight="0"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29"/>
    <col customWidth="1" min="3" max="3" width="11.71"/>
    <col customWidth="1" min="4" max="4" width="42.57"/>
    <col customWidth="1" min="5" max="5" width="15.86"/>
    <col customWidth="1" min="6" max="6" width="15.29"/>
    <col customWidth="1" min="7" max="7" width="12.14"/>
    <col customWidth="1" min="8" max="8" width="11.43"/>
    <col customWidth="1" min="9" max="10" width="10.29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7.71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3"/>
      <c r="C1" s="3"/>
      <c r="D1" s="97" t="s">
        <v>540</v>
      </c>
      <c r="E1" s="98">
        <f>+AI3</f>
        <v>5184.105</v>
      </c>
      <c r="F1" s="97" t="s">
        <v>241</v>
      </c>
      <c r="G1" s="98">
        <f>+$AM3</f>
        <v>576087.1184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2888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22"/>
      <c r="C2" s="3"/>
      <c r="D2" s="97" t="s">
        <v>242</v>
      </c>
      <c r="E2" s="98">
        <f>+AH3</f>
        <v>4740.673</v>
      </c>
      <c r="F2" s="99" t="s">
        <v>243</v>
      </c>
      <c r="G2" s="100">
        <f>+Q2</f>
        <v>91.75691535</v>
      </c>
      <c r="H2" s="13"/>
      <c r="I2" s="184">
        <f>SUBTOTAL(9,I4:I639)</f>
        <v>541.25</v>
      </c>
      <c r="J2" s="4"/>
      <c r="K2" s="14">
        <f>SUBTOTAL(9,K4:K639)</f>
        <v>493.094</v>
      </c>
      <c r="L2" s="126">
        <f>+SUMPRODUCT(L5:L639,K5:K639)/K2</f>
        <v>0.3066443315</v>
      </c>
      <c r="M2" s="2"/>
      <c r="O2" s="6"/>
      <c r="P2" s="16">
        <f>+SUMPRODUCT(P4:P639,AH4:AH639)/SUM(AH4:AH639)</f>
        <v>88.13246896</v>
      </c>
      <c r="Q2" s="16">
        <f>+SUMPRODUCT(Q4:Q639,AH4:AH639)/SUM(AH4:AH639)</f>
        <v>91.75691535</v>
      </c>
      <c r="R2" s="12">
        <f>+SUMPRODUCT(R4:R639,AH4:AH639)/SUM(AH4:AH639)</f>
        <v>4925.838934</v>
      </c>
      <c r="S2" s="2"/>
      <c r="AB2" s="7"/>
      <c r="AC2" s="7"/>
      <c r="AD2" s="7"/>
      <c r="AE2" s="7"/>
      <c r="AF2" s="7"/>
      <c r="AG2" s="17">
        <f>SUMPRODUCT($AG4:$AG639,$K4:$K639)/SUM($K4:$K639)</f>
        <v>208.7013496</v>
      </c>
      <c r="AH2" s="18"/>
      <c r="AI2" s="2"/>
      <c r="AJ2" s="19">
        <v>4900.0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23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SUBTOTAL(9,AH4:AH639)</f>
        <v>4740.673</v>
      </c>
      <c r="AI3" s="186">
        <f t="shared" si="1"/>
        <v>5184.105</v>
      </c>
      <c r="AJ3" s="187">
        <f>SUMPRODUCT(K4:K639,AJ4:AJ639)/K2</f>
        <v>27.32168995</v>
      </c>
      <c r="AK3" s="39">
        <f>SUBTOTAL(9,AK4:AK639)</f>
        <v>4300.077251</v>
      </c>
      <c r="AL3" s="11"/>
      <c r="AM3" s="39">
        <f>SUBTOTAL(9,AM4:AM639)</f>
        <v>576087.1184</v>
      </c>
      <c r="AN3" s="127" t="s">
        <v>542</v>
      </c>
      <c r="AO3" s="128" t="s">
        <v>543</v>
      </c>
      <c r="AP3" s="131" t="s">
        <v>544</v>
      </c>
      <c r="AQ3" s="131" t="s">
        <v>545</v>
      </c>
      <c r="AS3" s="129"/>
    </row>
    <row r="4" ht="15.75" customHeight="1">
      <c r="A4" s="41"/>
      <c r="B4" s="43"/>
      <c r="C4" s="43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92" t="s">
        <v>3073</v>
      </c>
      <c r="B5" s="3"/>
      <c r="C5" s="182">
        <v>46032.0</v>
      </c>
      <c r="D5" s="57" t="s">
        <v>705</v>
      </c>
      <c r="E5" s="3">
        <f t="array" ref="E5">XLOOKUP(D5,RUC!$B$3:$B$110,RUC!$D$3:$D$110)</f>
        <v>20614031698</v>
      </c>
      <c r="G5" s="141">
        <v>11.0</v>
      </c>
      <c r="H5" s="3" t="s">
        <v>47</v>
      </c>
      <c r="I5" s="6">
        <v>1.07</v>
      </c>
      <c r="J5" s="58">
        <v>2.5</v>
      </c>
      <c r="K5" s="6">
        <f t="shared" ref="K5:K138" si="2">ROUND(+I5-(I5*(J5/100)),3)</f>
        <v>1.043</v>
      </c>
      <c r="L5" s="139">
        <v>0.109</v>
      </c>
      <c r="M5" s="60">
        <f t="shared" ref="M5:M94" si="3">ROUND(+IF(AN5="Melchor Vera",IF(L5&gt;0.467,L5*0.985,(L5-0.007)),IF(L5&gt;0.3,L5*0.94,(L5-0.019))),3)</f>
        <v>0.09</v>
      </c>
      <c r="N5" s="62">
        <f t="shared" ref="N5:N9" si="4">+M5</f>
        <v>0.09</v>
      </c>
      <c r="O5" s="60">
        <f t="shared" ref="O5:O138" si="5">+ROUND((M5+N5)/2,3)</f>
        <v>0.09</v>
      </c>
      <c r="P5" s="63">
        <v>90.0</v>
      </c>
      <c r="Q5" s="58">
        <v>96.33</v>
      </c>
      <c r="R5" s="65">
        <v>4493.85</v>
      </c>
      <c r="S5" s="66">
        <f t="array" ref="S5">IF((XLOOKUP(D5,RUC!$B$3:$B$106,RUC!$E$3:$E$106)+ROUNDDOWN(O5,1)*100)&lt;95,95,((XLOOKUP(D5,RUC!$B$3:$B$106,RUC!$E$3:$E$106)+ROUNDDOWN(O5,1)*100)))</f>
        <v>95</v>
      </c>
      <c r="U5" s="67">
        <f t="array" ref="U5">XLOOKUP(D5,RUC!$B$3:$B$110,RUC!$F$3:$F$110)</f>
        <v>110</v>
      </c>
      <c r="V5" s="67">
        <v>1.1023</v>
      </c>
      <c r="Y5" s="57">
        <f t="array" ref="Y5">XLOOKUP(D5,RUC!$B$3:$B$110,RUC!$G$3:$G$110)</f>
        <v>0</v>
      </c>
      <c r="Z5" s="69">
        <f t="array" ref="Z5">XLOOKUP(D5,RUC!$B$3:$B$110,RUC!$H$3:$H$110)</f>
        <v>35</v>
      </c>
      <c r="AA5" s="70">
        <f t="shared" ref="AA5:AA138" si="6">+Y5+Z5</f>
        <v>35</v>
      </c>
      <c r="AB5" s="71">
        <v>0.001</v>
      </c>
      <c r="AC5" s="71">
        <f>+(S5-T5)*V5-'data 1'!$F$4</f>
        <v>24.7185</v>
      </c>
      <c r="AD5" s="71">
        <f t="shared" ref="AD5:AD138" si="7">+(Q5-P5)*(R5-U5)*L5*V5/100</f>
        <v>33.3415435</v>
      </c>
      <c r="AE5" s="71">
        <f t="shared" ref="AE5:AE138" si="8">+(Y5*V5-70)+V5*(Z5-IF(D5="UNTUCA",IF(+((W5-3)*2.5+(X5-3)*3.1)&gt;0,+((W5-3)*1.5+(X5-3)*3.1),0),IF(+((W5-3)*1.5+(X5-3)*3.1)&gt;0,+((W5-3)*1.5+(X5-3)*3.1),0)))</f>
        <v>-31.4195</v>
      </c>
      <c r="AF5" s="71">
        <f t="shared" ref="AF5:AF138" si="9">(L5-O5)*(R5-U5)*Q5*V5/100</f>
        <v>88.444464</v>
      </c>
      <c r="AG5" s="72">
        <f t="shared" ref="AG5:AG6" si="10">AC5+AD5+AE5+AF5+70+248.12</f>
        <v>433.2050075</v>
      </c>
      <c r="AH5" s="193">
        <f t="shared" ref="AH5:AH138" si="11">ROUND((31.1035*L5*Q5*1.1023*K5/100),3)</f>
        <v>3.755</v>
      </c>
      <c r="AI5" s="193">
        <f t="shared" ref="AI5:AI138" si="12">ROUND((31.1035*L5*1.1023*K5),3)</f>
        <v>3.898</v>
      </c>
      <c r="AJ5" s="73">
        <f t="shared" ref="AJ5:AJ138" si="13">+((+$AJ$2-R5+U5)*L5*Q5*V5)/100</f>
        <v>59.73980454</v>
      </c>
      <c r="AK5" s="73">
        <f t="shared" ref="AK5:AK138" si="14">31.1035*1.1023*K5*P5*O5/100</f>
        <v>2.896532439</v>
      </c>
      <c r="AM5" s="51">
        <f t="shared" ref="AM5:AM138" si="15">+IF(AB5*K5&gt;0,AB5*K5,0)</f>
        <v>0.001043</v>
      </c>
      <c r="AN5" s="51" t="str">
        <f t="array" ref="AN5">XLOOKUP(D5,RUC!$B$3:$B$565,RUC!$M$3:$M$565)</f>
        <v>Robinson Tuya</v>
      </c>
      <c r="AO5" s="131" t="s">
        <v>549</v>
      </c>
      <c r="AP5" s="57" t="s">
        <v>706</v>
      </c>
      <c r="AQ5" s="57" t="s">
        <v>707</v>
      </c>
      <c r="AV5" s="149" t="s">
        <v>3074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92" t="s">
        <v>3075</v>
      </c>
      <c r="B6" s="3"/>
      <c r="C6" s="182">
        <v>46032.0</v>
      </c>
      <c r="D6" s="57" t="s">
        <v>705</v>
      </c>
      <c r="E6" s="3">
        <f t="array" ref="E6">XLOOKUP(D6,RUC!$B$3:$B$110,RUC!$D$3:$D$110)</f>
        <v>20614031698</v>
      </c>
      <c r="G6" s="141">
        <v>22.0</v>
      </c>
      <c r="H6" s="3" t="s">
        <v>47</v>
      </c>
      <c r="I6" s="6">
        <v>2.36</v>
      </c>
      <c r="J6" s="58">
        <v>2.5</v>
      </c>
      <c r="K6" s="6">
        <f t="shared" si="2"/>
        <v>2.301</v>
      </c>
      <c r="L6" s="139">
        <v>0.109</v>
      </c>
      <c r="M6" s="60">
        <f t="shared" si="3"/>
        <v>0.09</v>
      </c>
      <c r="N6" s="62">
        <f t="shared" si="4"/>
        <v>0.09</v>
      </c>
      <c r="O6" s="60">
        <f t="shared" si="5"/>
        <v>0.09</v>
      </c>
      <c r="P6" s="63">
        <v>90.0</v>
      </c>
      <c r="Q6" s="58">
        <v>93.58</v>
      </c>
      <c r="R6" s="65">
        <v>4493.85</v>
      </c>
      <c r="S6" s="66">
        <f t="array" ref="S6">IF((XLOOKUP(D6,RUC!$B$3:$B$106,RUC!$E$3:$E$106)+ROUNDDOWN(O6,1)*100)&lt;95,95,((XLOOKUP(D6,RUC!$B$3:$B$106,RUC!$E$3:$E$106)+ROUNDDOWN(O6,1)*100)))</f>
        <v>95</v>
      </c>
      <c r="U6" s="67">
        <f t="array" ref="U6">XLOOKUP(D6,RUC!$B$3:$B$110,RUC!$F$3:$F$110)</f>
        <v>110</v>
      </c>
      <c r="V6" s="67">
        <v>1.1023</v>
      </c>
      <c r="Y6" s="57">
        <f t="array" ref="Y6">XLOOKUP(D6,RUC!$B$3:$B$110,RUC!$G$3:$G$110)</f>
        <v>0</v>
      </c>
      <c r="Z6" s="69">
        <f t="array" ref="Z6">XLOOKUP(D6,RUC!$B$3:$B$110,RUC!$H$3:$H$110)</f>
        <v>35</v>
      </c>
      <c r="AA6" s="70">
        <f t="shared" si="6"/>
        <v>35</v>
      </c>
      <c r="AB6" s="71">
        <v>0.001</v>
      </c>
      <c r="AC6" s="71">
        <f>+(S6-T6)*V6-'data 1'!$F$4</f>
        <v>24.7185</v>
      </c>
      <c r="AD6" s="71">
        <f t="shared" si="7"/>
        <v>18.85667073</v>
      </c>
      <c r="AE6" s="71">
        <f t="shared" si="8"/>
        <v>-31.4195</v>
      </c>
      <c r="AF6" s="71">
        <f t="shared" si="9"/>
        <v>85.91957793</v>
      </c>
      <c r="AG6" s="72">
        <f t="shared" si="10"/>
        <v>416.1952487</v>
      </c>
      <c r="AH6" s="193">
        <f t="shared" si="11"/>
        <v>8.047</v>
      </c>
      <c r="AI6" s="193">
        <f t="shared" si="12"/>
        <v>8.599</v>
      </c>
      <c r="AJ6" s="73">
        <f t="shared" si="13"/>
        <v>58.03437048</v>
      </c>
      <c r="AK6" s="73">
        <f t="shared" si="14"/>
        <v>6.39014491</v>
      </c>
      <c r="AM6" s="51">
        <f t="shared" si="15"/>
        <v>0.002301</v>
      </c>
      <c r="AN6" s="51" t="str">
        <f t="array" ref="AN6">XLOOKUP(D6,RUC!$B$3:$B$565,RUC!$M$3:$M$565)</f>
        <v>Robinson Tuya</v>
      </c>
      <c r="AO6" s="131" t="s">
        <v>549</v>
      </c>
      <c r="AP6" s="57" t="s">
        <v>706</v>
      </c>
      <c r="AQ6" s="57" t="s">
        <v>707</v>
      </c>
      <c r="AV6" s="131"/>
      <c r="AW6" s="131"/>
      <c r="AX6" s="131"/>
      <c r="AY6" s="131"/>
      <c r="AZ6" s="131"/>
      <c r="BA6" s="131"/>
      <c r="BB6" s="131"/>
      <c r="BC6" s="131"/>
      <c r="BD6" s="131"/>
    </row>
    <row r="7" ht="15.0" customHeight="1">
      <c r="A7" s="116" t="s">
        <v>3076</v>
      </c>
      <c r="B7" s="182">
        <v>46049.0</v>
      </c>
      <c r="C7" s="182">
        <v>46043.0</v>
      </c>
      <c r="D7" s="57" t="s">
        <v>806</v>
      </c>
      <c r="E7" s="3">
        <f t="array" ref="E7">XLOOKUP(D7,RUC!$B$3:$B$110,RUC!$D$3:$D$110)</f>
        <v>20614284740</v>
      </c>
      <c r="G7" s="3">
        <v>22.0</v>
      </c>
      <c r="H7" s="3" t="s">
        <v>47</v>
      </c>
      <c r="I7" s="6">
        <v>1.84</v>
      </c>
      <c r="J7" s="58">
        <v>3.45</v>
      </c>
      <c r="K7" s="6">
        <f t="shared" si="2"/>
        <v>1.777</v>
      </c>
      <c r="L7" s="139">
        <v>0.224</v>
      </c>
      <c r="M7" s="60">
        <f t="shared" si="3"/>
        <v>0.205</v>
      </c>
      <c r="N7" s="62">
        <f t="shared" si="4"/>
        <v>0.205</v>
      </c>
      <c r="O7" s="60">
        <f t="shared" si="5"/>
        <v>0.205</v>
      </c>
      <c r="P7" s="63">
        <v>90.0</v>
      </c>
      <c r="Q7" s="58">
        <v>95.98</v>
      </c>
      <c r="R7" s="65">
        <v>4866.5</v>
      </c>
      <c r="S7" s="66">
        <f t="array" ref="S7">IF((XLOOKUP(D7,RUC!$B$3:$B$106,RUC!$E$3:$E$106)+ROUNDDOWN(O7,1)*100)&lt;95,95,((XLOOKUP(D7,RUC!$B$3:$B$106,RUC!$E$3:$E$106)+ROUNDDOWN(O7,1)*100)))</f>
        <v>110</v>
      </c>
      <c r="U7" s="67">
        <f t="array" ref="U7">XLOOKUP(D7,RUC!$B$3:$B$110,RUC!$F$3:$F$110)</f>
        <v>120</v>
      </c>
      <c r="V7" s="67">
        <v>1.1023</v>
      </c>
      <c r="Y7" s="57">
        <f t="array" ref="Y7">XLOOKUP(D7,RUC!$B$3:$B$110,RUC!$G$3:$G$110)</f>
        <v>20</v>
      </c>
      <c r="Z7" s="69">
        <f t="array" ref="Z7">XLOOKUP(D7,RUC!$B$3:$B$110,RUC!$H$3:$H$110)</f>
        <v>30</v>
      </c>
      <c r="AA7" s="70">
        <f t="shared" si="6"/>
        <v>50</v>
      </c>
      <c r="AB7" s="71">
        <f t="shared" ref="AB7:AB8" si="17">+((O7*P7*(R7-U7)/100)-S7-AA7+T7)*V7</f>
        <v>788.9483523</v>
      </c>
      <c r="AC7" s="71">
        <f>+(S7-T7)*V7-'data 1'!$F$4</f>
        <v>41.253</v>
      </c>
      <c r="AD7" s="71">
        <f t="shared" si="7"/>
        <v>70.08458321</v>
      </c>
      <c r="AE7" s="71">
        <f t="shared" si="8"/>
        <v>-14.885</v>
      </c>
      <c r="AF7" s="71">
        <f t="shared" si="9"/>
        <v>95.41301931</v>
      </c>
      <c r="AG7" s="72">
        <f t="shared" ref="AG7:AG8" si="18">AC7+AD7+AE7+AF7+70-53</f>
        <v>208.8656025</v>
      </c>
      <c r="AH7" s="193">
        <f t="shared" si="11"/>
        <v>13.099</v>
      </c>
      <c r="AI7" s="193">
        <f t="shared" si="12"/>
        <v>13.647</v>
      </c>
      <c r="AJ7" s="73">
        <f t="shared" si="13"/>
        <v>36.37784358</v>
      </c>
      <c r="AK7" s="73">
        <f t="shared" si="14"/>
        <v>11.24068733</v>
      </c>
      <c r="AM7" s="51">
        <f t="shared" si="15"/>
        <v>1401.961222</v>
      </c>
      <c r="AN7" s="51" t="str">
        <f t="array" ref="AN7">XLOOKUP(D7,RUC!$B$3:$B$565,RUC!$M$3:$M$565)</f>
        <v>Dante </v>
      </c>
      <c r="AO7" s="131" t="s">
        <v>558</v>
      </c>
      <c r="AP7" s="57" t="s">
        <v>3077</v>
      </c>
      <c r="AQ7" s="57" t="s">
        <v>3078</v>
      </c>
      <c r="AW7" s="195">
        <f>SUM(AW9:AW18)</f>
        <v>493.094</v>
      </c>
      <c r="AX7" s="196">
        <f>SUMPRODUCT(AW9:AW18,AX9:AX18)/SUM(AW9:AW18)</f>
        <v>0.3066443315</v>
      </c>
      <c r="AY7" s="197"/>
      <c r="AZ7" s="198">
        <f>SUMPRODUCT(AZ9:AZ18,$BB9:$BB18)/SUM($BB9:$BB18)/100</f>
        <v>0.9175691535</v>
      </c>
      <c r="BA7" s="82">
        <f t="shared" ref="BA7:BB7" si="16">SUM(BA9:BA18)</f>
        <v>5184.104272</v>
      </c>
      <c r="BB7" s="82">
        <f t="shared" si="16"/>
        <v>4740.673</v>
      </c>
    </row>
    <row r="8" ht="15.0" customHeight="1">
      <c r="A8" s="116" t="s">
        <v>3079</v>
      </c>
      <c r="B8" s="182">
        <v>46049.0</v>
      </c>
      <c r="C8" s="182">
        <v>46043.0</v>
      </c>
      <c r="D8" s="57" t="s">
        <v>806</v>
      </c>
      <c r="E8" s="3">
        <f t="array" ref="E8">XLOOKUP(D8,RUC!$B$3:$B$110,RUC!$D$3:$D$110)</f>
        <v>20614284740</v>
      </c>
      <c r="G8" s="3">
        <v>32.0</v>
      </c>
      <c r="H8" s="3" t="s">
        <v>47</v>
      </c>
      <c r="I8" s="6">
        <v>2.94</v>
      </c>
      <c r="J8" s="58">
        <v>3.35</v>
      </c>
      <c r="K8" s="6">
        <f t="shared" si="2"/>
        <v>2.842</v>
      </c>
      <c r="L8" s="139">
        <v>0.5</v>
      </c>
      <c r="M8" s="60">
        <f t="shared" si="3"/>
        <v>0.47</v>
      </c>
      <c r="N8" s="62">
        <f t="shared" si="4"/>
        <v>0.47</v>
      </c>
      <c r="O8" s="60">
        <f t="shared" si="5"/>
        <v>0.47</v>
      </c>
      <c r="P8" s="63">
        <v>90.0</v>
      </c>
      <c r="Q8" s="58">
        <v>96.4</v>
      </c>
      <c r="R8" s="65">
        <v>4866.5</v>
      </c>
      <c r="S8" s="66">
        <f t="array" ref="S8">IF((XLOOKUP(D8,RUC!$B$3:$B$106,RUC!$E$3:$E$106)+ROUNDDOWN(O8,1)*100)&lt;95,95,((XLOOKUP(D8,RUC!$B$3:$B$106,RUC!$E$3:$E$106)+ROUNDDOWN(O8,1)*100)))</f>
        <v>130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69">
        <f t="array" ref="Z8">XLOOKUP(D8,RUC!$B$3:$B$110,RUC!$H$3:$H$110)</f>
        <v>30</v>
      </c>
      <c r="AA8" s="70">
        <f t="shared" si="6"/>
        <v>50</v>
      </c>
      <c r="AB8" s="71">
        <f t="shared" si="17"/>
        <v>2014.75032</v>
      </c>
      <c r="AC8" s="71">
        <f>+(S8-T8)*V8-'data 1'!$F$4</f>
        <v>63.299</v>
      </c>
      <c r="AD8" s="71">
        <f t="shared" si="7"/>
        <v>167.4261424</v>
      </c>
      <c r="AE8" s="71">
        <f t="shared" si="8"/>
        <v>-14.885</v>
      </c>
      <c r="AF8" s="71">
        <f t="shared" si="9"/>
        <v>151.3113762</v>
      </c>
      <c r="AG8" s="72">
        <f t="shared" si="18"/>
        <v>384.1515186</v>
      </c>
      <c r="AH8" s="193">
        <f t="shared" si="11"/>
        <v>46.966</v>
      </c>
      <c r="AI8" s="193">
        <f t="shared" si="12"/>
        <v>48.72</v>
      </c>
      <c r="AJ8" s="73">
        <f t="shared" si="13"/>
        <v>81.5558701</v>
      </c>
      <c r="AK8" s="73">
        <f t="shared" si="14"/>
        <v>41.21672781</v>
      </c>
      <c r="AM8" s="51">
        <f t="shared" si="15"/>
        <v>5725.920409</v>
      </c>
      <c r="AN8" s="51" t="str">
        <f t="array" ref="AN8">XLOOKUP(D8,RUC!$B$3:$B$565,RUC!$M$3:$M$565)</f>
        <v>Dante </v>
      </c>
      <c r="AO8" s="131" t="s">
        <v>558</v>
      </c>
      <c r="AP8" s="57" t="s">
        <v>3077</v>
      </c>
      <c r="AQ8" s="57" t="s">
        <v>3078</v>
      </c>
      <c r="AV8" s="3"/>
      <c r="AW8" s="3" t="s">
        <v>14</v>
      </c>
      <c r="AX8" s="3" t="s">
        <v>683</v>
      </c>
      <c r="AY8" s="143" t="s">
        <v>683</v>
      </c>
      <c r="AZ8" s="3" t="s">
        <v>685</v>
      </c>
      <c r="BA8" s="3" t="s">
        <v>686</v>
      </c>
      <c r="BB8" s="3" t="s">
        <v>687</v>
      </c>
      <c r="BC8" s="3" t="s">
        <v>698</v>
      </c>
      <c r="BD8" s="65" t="s">
        <v>699</v>
      </c>
    </row>
    <row r="9" ht="15.0" customHeight="1">
      <c r="A9" s="192" t="s">
        <v>3080</v>
      </c>
      <c r="B9" s="194">
        <v>46050.0</v>
      </c>
      <c r="C9" s="182">
        <v>46043.0</v>
      </c>
      <c r="D9" s="57" t="s">
        <v>2222</v>
      </c>
      <c r="E9" s="3" t="str">
        <f t="array" ref="E9">XLOOKUP(D9,RUC!$B$3:$B$110,RUC!$D$3:$D$110)</f>
        <v>20601769396*</v>
      </c>
      <c r="G9" s="3">
        <v>189.0</v>
      </c>
      <c r="H9" s="3" t="s">
        <v>40</v>
      </c>
      <c r="I9" s="6">
        <v>5.99</v>
      </c>
      <c r="J9" s="58">
        <v>16.95</v>
      </c>
      <c r="K9" s="6">
        <f t="shared" si="2"/>
        <v>4.975</v>
      </c>
      <c r="L9" s="139">
        <v>0.109</v>
      </c>
      <c r="M9" s="60">
        <f t="shared" si="3"/>
        <v>0.09</v>
      </c>
      <c r="N9" s="62">
        <f t="shared" si="4"/>
        <v>0.09</v>
      </c>
      <c r="O9" s="60">
        <f t="shared" si="5"/>
        <v>0.09</v>
      </c>
      <c r="P9" s="63">
        <v>80.0</v>
      </c>
      <c r="Q9" s="58">
        <v>93.58</v>
      </c>
      <c r="R9" s="65">
        <v>4866.5</v>
      </c>
      <c r="S9" s="66">
        <f t="array" ref="S9">IF((XLOOKUP(D9,RUC!$B$3:$B$106,RUC!$E$3:$E$106)+ROUNDDOWN(O9,1)*100)&lt;95,95,((XLOOKUP(D9,RUC!$B$3:$B$106,RUC!$E$3:$E$106)+ROUNDDOWN(O9,1)*100)))</f>
        <v>95</v>
      </c>
      <c r="U9" s="67">
        <f t="array" ref="U9">XLOOKUP(D9,RUC!$B$3:$B$110,RUC!$F$3:$F$110)</f>
        <v>120</v>
      </c>
      <c r="V9" s="67">
        <v>1.1023</v>
      </c>
      <c r="Y9" s="199">
        <v>30.0</v>
      </c>
      <c r="Z9" s="140">
        <v>40.0</v>
      </c>
      <c r="AA9" s="70">
        <f t="shared" si="6"/>
        <v>70</v>
      </c>
      <c r="AB9" s="71">
        <v>0.001</v>
      </c>
      <c r="AC9" s="71">
        <f>+(S9-T9)*V9-'data 1'!$F$4</f>
        <v>24.7185</v>
      </c>
      <c r="AD9" s="71">
        <f t="shared" si="7"/>
        <v>77.44610141</v>
      </c>
      <c r="AE9" s="71">
        <f t="shared" si="8"/>
        <v>7.161</v>
      </c>
      <c r="AF9" s="71">
        <f t="shared" si="9"/>
        <v>93.02719678</v>
      </c>
      <c r="AG9" s="72">
        <f>AC9+AD9+AE9+AF9+70-53+194.83</f>
        <v>414.1827982</v>
      </c>
      <c r="AH9" s="193">
        <f t="shared" si="11"/>
        <v>17.398</v>
      </c>
      <c r="AI9" s="193">
        <f t="shared" si="12"/>
        <v>18.592</v>
      </c>
      <c r="AJ9" s="73">
        <f t="shared" si="13"/>
        <v>17.25908335</v>
      </c>
      <c r="AK9" s="73">
        <f t="shared" si="14"/>
        <v>12.281026</v>
      </c>
      <c r="AM9" s="51">
        <f t="shared" si="15"/>
        <v>0.004975</v>
      </c>
      <c r="AN9" s="51" t="str">
        <f t="array" ref="AN9">XLOOKUP(D9,RUC!$B$3:$B$565,RUC!$M$3:$M$565)</f>
        <v>Zudaire</v>
      </c>
      <c r="AO9" s="131" t="s">
        <v>549</v>
      </c>
      <c r="AP9" s="57" t="s">
        <v>2298</v>
      </c>
      <c r="AQ9" s="57" t="s">
        <v>733</v>
      </c>
      <c r="AV9" s="152" t="s">
        <v>558</v>
      </c>
      <c r="AW9" s="154">
        <f t="shared" ref="AW9:AW18" si="19">SUMIF($AO$4:$AO$747,AV9,$K$4:$K$747)</f>
        <v>105.837</v>
      </c>
      <c r="AX9" s="154">
        <f t="array" ref="AX9">+SUMPRODUCT(IF($AO$4:$AO$747=AV9,$L$4:$L$747*$K$4:$K$747/AW9))</f>
        <v>0.3234470176</v>
      </c>
      <c r="AY9" s="155">
        <f t="shared" ref="AY9:AY18" si="20">31.1035*1.1023*AX9*(100-AZ9)/100</f>
        <v>0.7318452488</v>
      </c>
      <c r="AZ9" s="157">
        <f t="array" ref="AZ9">+SUMPRODUCT(IF($AO$4:$AO$747=AV9,($Q$4:$Q$747*$AH$4:$AH$747)/SUMIF($AO$4:$AO$747,$AV9,$AH$4:$AH$747)))</f>
        <v>93.40056072</v>
      </c>
      <c r="BA9" s="200">
        <f t="shared" ref="BA9:BA18" si="21">+AX9*31.1035*1.1023*AW9</f>
        <v>1173.680101</v>
      </c>
      <c r="BB9" s="156">
        <f t="shared" ref="BB9:BB17" si="22">SUMIF($AO$4:$AO$737,$AV9,$AH$4:$AH$6)</f>
        <v>1095.202</v>
      </c>
      <c r="BC9" s="157">
        <f>+BA9-BB9</f>
        <v>78.47810065</v>
      </c>
      <c r="BD9" s="158">
        <f>+AW9</f>
        <v>105.837</v>
      </c>
    </row>
    <row r="10" ht="15.0" customHeight="1">
      <c r="A10" s="116" t="s">
        <v>3081</v>
      </c>
      <c r="B10" s="182">
        <v>46050.0</v>
      </c>
      <c r="C10" s="182">
        <v>46044.0</v>
      </c>
      <c r="D10" s="57" t="s">
        <v>225</v>
      </c>
      <c r="E10" s="3">
        <f t="array" ref="E10">XLOOKUP(D10,RUC!$B$3:$B$110,RUC!$D$3:$D$110)</f>
        <v>10761932735</v>
      </c>
      <c r="G10" s="3">
        <v>46.0</v>
      </c>
      <c r="H10" s="3" t="s">
        <v>47</v>
      </c>
      <c r="I10" s="6">
        <v>4.0</v>
      </c>
      <c r="J10" s="58">
        <v>7.4</v>
      </c>
      <c r="K10" s="6">
        <f t="shared" si="2"/>
        <v>3.704</v>
      </c>
      <c r="L10" s="139">
        <v>0.255</v>
      </c>
      <c r="M10" s="60">
        <f t="shared" si="3"/>
        <v>0.236</v>
      </c>
      <c r="N10" s="75">
        <v>0.284</v>
      </c>
      <c r="O10" s="60">
        <f t="shared" si="5"/>
        <v>0.26</v>
      </c>
      <c r="P10" s="63">
        <v>90.0</v>
      </c>
      <c r="Q10" s="58">
        <v>98.43</v>
      </c>
      <c r="R10" s="65">
        <v>4832.05</v>
      </c>
      <c r="S10" s="66">
        <f t="array" ref="S10">IF((XLOOKUP(D10,RUC!$B$3:$B$106,RUC!$E$3:$E$106)+ROUNDDOWN(O10,1)*100)&lt;95,95,((XLOOKUP(D10,RUC!$B$3:$B$106,RUC!$E$3:$E$106)+ROUNDDOWN(O10,1)*100)))</f>
        <v>110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69">
        <f t="array" ref="Z10">XLOOKUP(D10,RUC!$B$3:$B$110,RUC!$H$3:$H$110)</f>
        <v>30</v>
      </c>
      <c r="AA10" s="70">
        <f t="shared" si="6"/>
        <v>50</v>
      </c>
      <c r="AB10" s="71">
        <f t="shared" ref="AB10:AB138" si="23">+((O10*P10*(R10-U10)/100)-S10-AA10+T10)*V10</f>
        <v>1039.049695</v>
      </c>
      <c r="AC10" s="71">
        <f>+(S10-T10)*V10-'data 1'!$F$4</f>
        <v>41.253</v>
      </c>
      <c r="AD10" s="71">
        <f t="shared" si="7"/>
        <v>111.654814</v>
      </c>
      <c r="AE10" s="71">
        <f t="shared" si="8"/>
        <v>-14.885</v>
      </c>
      <c r="AF10" s="71">
        <f t="shared" si="9"/>
        <v>-25.5627273</v>
      </c>
      <c r="AG10" s="72">
        <f t="shared" ref="AG10:AG12" si="24">AC10+AD10+AE10+AF10+70-53</f>
        <v>129.4600868</v>
      </c>
      <c r="AH10" s="193">
        <f t="shared" si="11"/>
        <v>31.875</v>
      </c>
      <c r="AI10" s="193">
        <f t="shared" si="12"/>
        <v>32.383</v>
      </c>
      <c r="AJ10" s="73">
        <f t="shared" si="13"/>
        <v>52.00077341</v>
      </c>
      <c r="AK10" s="73">
        <f t="shared" si="14"/>
        <v>29.7163801</v>
      </c>
      <c r="AM10" s="51">
        <f t="shared" si="15"/>
        <v>3848.640071</v>
      </c>
      <c r="AN10" s="51" t="str">
        <f t="array" ref="AN10">XLOOKUP(D10,RUC!$B$3:$B$565,RUC!$M$3:$M$565)</f>
        <v>Richard Sapacayo</v>
      </c>
      <c r="AO10" s="131" t="s">
        <v>558</v>
      </c>
      <c r="AP10" s="57" t="s">
        <v>3082</v>
      </c>
      <c r="AQ10" s="57" t="s">
        <v>654</v>
      </c>
      <c r="AV10" s="160" t="s">
        <v>551</v>
      </c>
      <c r="AW10" s="6">
        <f t="shared" si="19"/>
        <v>142.245</v>
      </c>
      <c r="AX10" s="6">
        <f t="array" ref="AX10">+SUMPRODUCT(IF($AO$4:$AO$747=AV10,$L$4:$L$747*$K$4:$K$747/AW10))</f>
        <v>0.301706176</v>
      </c>
      <c r="AY10" s="145">
        <f t="shared" si="20"/>
        <v>0.8891234857</v>
      </c>
      <c r="AZ10" s="58">
        <f t="array" ref="AZ10">+SUMPRODUCT(IF($AO$4:$AO$747=AV10,($Q$4:$Q$747*$AH$4:$AH$747)/SUMIF($AO$4:$AO$747,$AV10,$AH$4:$AH$747)))</f>
        <v>91.40454616</v>
      </c>
      <c r="BA10" s="5">
        <f t="shared" si="21"/>
        <v>1471.398399</v>
      </c>
      <c r="BB10" s="65">
        <f t="shared" si="22"/>
        <v>1343.112</v>
      </c>
      <c r="BC10" s="58">
        <f t="shared" ref="BC10:BC18" si="25">+BC9+BA10-BB10</f>
        <v>206.7644999</v>
      </c>
      <c r="BD10" s="161">
        <f t="shared" ref="BD10:BD18" si="26">+BD9+AW10</f>
        <v>248.082</v>
      </c>
    </row>
    <row r="11" ht="15.0" customHeight="1">
      <c r="A11" s="116" t="s">
        <v>3083</v>
      </c>
      <c r="B11" s="182">
        <v>46050.0</v>
      </c>
      <c r="C11" s="182">
        <v>46044.0</v>
      </c>
      <c r="D11" s="57" t="s">
        <v>225</v>
      </c>
      <c r="E11" s="3">
        <f t="array" ref="E11">XLOOKUP(D11,RUC!$B$3:$B$110,RUC!$D$3:$D$110)</f>
        <v>10761932735</v>
      </c>
      <c r="G11" s="3">
        <v>106.0</v>
      </c>
      <c r="H11" s="3" t="s">
        <v>47</v>
      </c>
      <c r="I11" s="6">
        <v>8.59</v>
      </c>
      <c r="J11" s="58">
        <v>14.83</v>
      </c>
      <c r="K11" s="6">
        <f t="shared" si="2"/>
        <v>7.316</v>
      </c>
      <c r="L11" s="139">
        <v>0.181</v>
      </c>
      <c r="M11" s="60">
        <f t="shared" si="3"/>
        <v>0.162</v>
      </c>
      <c r="N11" s="62">
        <f t="shared" ref="N11:N26" si="27">+M11</f>
        <v>0.162</v>
      </c>
      <c r="O11" s="60">
        <f t="shared" si="5"/>
        <v>0.162</v>
      </c>
      <c r="P11" s="63">
        <v>90.0</v>
      </c>
      <c r="Q11" s="58">
        <v>96.69</v>
      </c>
      <c r="R11" s="65">
        <v>4832.05</v>
      </c>
      <c r="S11" s="66">
        <f t="array" ref="S11">IF((XLOOKUP(D11,RUC!$B$3:$B$106,RUC!$E$3:$E$106)+ROUNDDOWN(O11,1)*100)&lt;95,95,((XLOOKUP(D11,RUC!$B$3:$B$106,RUC!$E$3:$E$106)+ROUNDDOWN(O11,1)*100)))</f>
        <v>100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6"/>
        <v>50</v>
      </c>
      <c r="AB11" s="71">
        <f t="shared" si="23"/>
        <v>591.9537178</v>
      </c>
      <c r="AC11" s="71">
        <f>+(S11-T11)*V11-'data 1'!$F$4</f>
        <v>30.23</v>
      </c>
      <c r="AD11" s="71">
        <f t="shared" si="7"/>
        <v>62.89474928</v>
      </c>
      <c r="AE11" s="71">
        <f t="shared" si="8"/>
        <v>-14.885</v>
      </c>
      <c r="AF11" s="71">
        <f t="shared" si="9"/>
        <v>95.42119668</v>
      </c>
      <c r="AG11" s="72">
        <f t="shared" si="24"/>
        <v>190.660946</v>
      </c>
      <c r="AH11" s="193">
        <f t="shared" si="11"/>
        <v>43.898</v>
      </c>
      <c r="AI11" s="193">
        <f t="shared" si="12"/>
        <v>45.401</v>
      </c>
      <c r="AJ11" s="73">
        <f t="shared" si="13"/>
        <v>36.25786875</v>
      </c>
      <c r="AK11" s="73">
        <f t="shared" si="14"/>
        <v>36.57129087</v>
      </c>
      <c r="AM11" s="51">
        <f t="shared" si="15"/>
        <v>4330.7334</v>
      </c>
      <c r="AN11" s="51" t="str">
        <f t="array" ref="AN11">XLOOKUP(D11,RUC!$B$3:$B$565,RUC!$M$3:$M$565)</f>
        <v>Richard Sapacayo</v>
      </c>
      <c r="AO11" s="131" t="s">
        <v>558</v>
      </c>
      <c r="AP11" s="57" t="s">
        <v>3082</v>
      </c>
      <c r="AQ11" s="57" t="s">
        <v>654</v>
      </c>
      <c r="AV11" s="160" t="s">
        <v>547</v>
      </c>
      <c r="AW11" s="6">
        <f t="shared" si="19"/>
        <v>143.897</v>
      </c>
      <c r="AX11" s="6">
        <f t="array" ref="AX11">+SUMPRODUCT(IF($AO$4:$AO$747=AV11,$L$4:$L$747*$K$4:$K$747/AW11))</f>
        <v>0.3013897649</v>
      </c>
      <c r="AY11" s="145">
        <f t="shared" si="20"/>
        <v>1.064271207</v>
      </c>
      <c r="AZ11" s="58">
        <f t="array" ref="AZ11">+SUMPRODUCT(IF($AO$4:$AO$747=AV11,($Q$4:$Q$747*$AH$4:$AH$747)/SUMIF($AO$4:$AO$747,$AV11,$AH$4:$AH$747)))</f>
        <v>89.70053316</v>
      </c>
      <c r="BA11" s="65">
        <f t="shared" si="21"/>
        <v>1486.92584</v>
      </c>
      <c r="BB11" s="65">
        <f t="shared" si="22"/>
        <v>1324.206</v>
      </c>
      <c r="BC11" s="58">
        <f t="shared" si="25"/>
        <v>369.4843399</v>
      </c>
      <c r="BD11" s="161">
        <f t="shared" si="26"/>
        <v>391.979</v>
      </c>
    </row>
    <row r="12" ht="15.0" customHeight="1">
      <c r="A12" s="116" t="s">
        <v>3084</v>
      </c>
      <c r="B12" s="182">
        <v>46050.0</v>
      </c>
      <c r="C12" s="182">
        <v>46044.0</v>
      </c>
      <c r="D12" s="57" t="s">
        <v>225</v>
      </c>
      <c r="E12" s="3">
        <f t="array" ref="E12">XLOOKUP(D12,RUC!$B$3:$B$110,RUC!$D$3:$D$110)</f>
        <v>10761932735</v>
      </c>
      <c r="G12" s="3">
        <v>24.0</v>
      </c>
      <c r="H12" s="3" t="s">
        <v>47</v>
      </c>
      <c r="I12" s="6">
        <v>1.96</v>
      </c>
      <c r="J12" s="58">
        <v>12.2</v>
      </c>
      <c r="K12" s="6">
        <f t="shared" si="2"/>
        <v>1.721</v>
      </c>
      <c r="L12" s="139">
        <v>0.41</v>
      </c>
      <c r="M12" s="60">
        <f t="shared" si="3"/>
        <v>0.385</v>
      </c>
      <c r="N12" s="62">
        <f t="shared" si="27"/>
        <v>0.385</v>
      </c>
      <c r="O12" s="60">
        <f t="shared" si="5"/>
        <v>0.385</v>
      </c>
      <c r="P12" s="63">
        <v>90.0</v>
      </c>
      <c r="Q12" s="58">
        <v>97.56</v>
      </c>
      <c r="R12" s="65">
        <v>4832.05</v>
      </c>
      <c r="S12" s="66">
        <f t="array" ref="S12">IF((XLOOKUP(D12,RUC!$B$3:$B$106,RUC!$E$3:$E$106)+ROUNDDOWN(O12,1)*100)&lt;95,95,((XLOOKUP(D12,RUC!$B$3:$B$106,RUC!$E$3:$E$106)+ROUNDDOWN(O12,1)*100)))</f>
        <v>120</v>
      </c>
      <c r="U12" s="67">
        <f t="array" ref="U12">XLOOKUP(D12,RUC!$B$3:$B$110,RUC!$F$3:$F$110)</f>
        <v>120</v>
      </c>
      <c r="V12" s="67">
        <v>1.1023</v>
      </c>
      <c r="Y12" s="57">
        <f t="array" ref="Y12">XLOOKUP(D12,RUC!$B$3:$B$110,RUC!$G$3:$G$110)</f>
        <v>20</v>
      </c>
      <c r="Z12" s="69">
        <f t="array" ref="Z12">XLOOKUP(D12,RUC!$B$3:$B$110,RUC!$H$3:$H$110)</f>
        <v>30</v>
      </c>
      <c r="AA12" s="70">
        <f t="shared" si="6"/>
        <v>50</v>
      </c>
      <c r="AB12" s="71">
        <f t="shared" si="23"/>
        <v>1612.362126</v>
      </c>
      <c r="AC12" s="71">
        <f>+(S12-T12)*V12-'data 1'!$F$4</f>
        <v>52.276</v>
      </c>
      <c r="AD12" s="71">
        <f t="shared" si="7"/>
        <v>160.9960978</v>
      </c>
      <c r="AE12" s="71">
        <f t="shared" si="8"/>
        <v>-14.885</v>
      </c>
      <c r="AF12" s="71">
        <f t="shared" si="9"/>
        <v>126.6839213</v>
      </c>
      <c r="AG12" s="72">
        <f t="shared" si="24"/>
        <v>342.0710191</v>
      </c>
      <c r="AH12" s="193">
        <f t="shared" si="11"/>
        <v>23.602</v>
      </c>
      <c r="AI12" s="193">
        <f t="shared" si="12"/>
        <v>24.192</v>
      </c>
      <c r="AJ12" s="73">
        <f t="shared" si="13"/>
        <v>82.87008529</v>
      </c>
      <c r="AK12" s="73">
        <f t="shared" si="14"/>
        <v>20.44528546</v>
      </c>
      <c r="AM12" s="51">
        <f t="shared" si="15"/>
        <v>2774.875218</v>
      </c>
      <c r="AN12" s="51" t="str">
        <f t="array" ref="AN12">XLOOKUP(D12,RUC!$B$3:$B$565,RUC!$M$3:$M$565)</f>
        <v>Richard Sapacayo</v>
      </c>
      <c r="AO12" s="131" t="s">
        <v>558</v>
      </c>
      <c r="AP12" s="57" t="s">
        <v>3082</v>
      </c>
      <c r="AQ12" s="57" t="s">
        <v>654</v>
      </c>
      <c r="AV12" s="160" t="s">
        <v>549</v>
      </c>
      <c r="AW12" s="6">
        <f t="shared" si="19"/>
        <v>101.115</v>
      </c>
      <c r="AX12" s="6">
        <f t="array" ref="AX12">+SUMPRODUCT(IF($AO$4:$AO$747=AV12,$L$4:$L$747*$K$4:$K$747/AW12))</f>
        <v>0.3034815804</v>
      </c>
      <c r="AY12" s="145">
        <f t="shared" si="20"/>
        <v>0.7091702811</v>
      </c>
      <c r="AZ12" s="58">
        <f t="array" ref="AZ12">+SUMPRODUCT(IF($AO$4:$AO$747=AV12,($Q$4:$Q$747*$AH$4:$AH$747)/SUMIF($AO$4:$AO$747,$AV12,$AH$4:$AH$747)))</f>
        <v>93.18432111</v>
      </c>
      <c r="BA12" s="65">
        <f t="shared" si="21"/>
        <v>1052.099932</v>
      </c>
      <c r="BB12" s="65">
        <f t="shared" si="22"/>
        <v>978.153</v>
      </c>
      <c r="BC12" s="58">
        <f t="shared" si="25"/>
        <v>443.4312717</v>
      </c>
      <c r="BD12" s="161">
        <f t="shared" si="26"/>
        <v>493.094</v>
      </c>
    </row>
    <row r="13" ht="15.0" customHeight="1">
      <c r="A13" s="116" t="s">
        <v>3085</v>
      </c>
      <c r="B13" s="182">
        <v>46049.0</v>
      </c>
      <c r="C13" s="182">
        <v>46044.0</v>
      </c>
      <c r="D13" s="57" t="s">
        <v>306</v>
      </c>
      <c r="E13" s="3">
        <f t="array" ref="E13">XLOOKUP(D13,RUC!$B$3:$B$110,RUC!$D$3:$D$110)</f>
        <v>20612921866</v>
      </c>
      <c r="G13" s="3" t="s">
        <v>735</v>
      </c>
      <c r="H13" s="3" t="s">
        <v>47</v>
      </c>
      <c r="I13" s="6">
        <v>23.48</v>
      </c>
      <c r="J13" s="58">
        <v>3.5</v>
      </c>
      <c r="K13" s="6">
        <f t="shared" si="2"/>
        <v>22.658</v>
      </c>
      <c r="L13" s="139">
        <v>0.217</v>
      </c>
      <c r="M13" s="60">
        <f t="shared" si="3"/>
        <v>0.198</v>
      </c>
      <c r="N13" s="62">
        <f t="shared" si="27"/>
        <v>0.198</v>
      </c>
      <c r="O13" s="60">
        <f t="shared" si="5"/>
        <v>0.198</v>
      </c>
      <c r="P13" s="63">
        <v>90.0</v>
      </c>
      <c r="Q13" s="58">
        <v>91.71</v>
      </c>
      <c r="R13" s="65">
        <v>4832.05</v>
      </c>
      <c r="S13" s="66">
        <f t="array" ref="S13">IF((XLOOKUP(D13,RUC!$B$3:$B$106,RUC!$E$3:$E$106)+ROUNDDOWN(O13,1)*100)&lt;95,95,((XLOOKUP(D13,RUC!$B$3:$B$106,RUC!$E$3:$E$106)+ROUNDDOWN(O13,1)*100)))</f>
        <v>95</v>
      </c>
      <c r="U13" s="67">
        <f t="array" ref="U13">XLOOKUP(D13,RUC!$B$3:$B$110,RUC!$F$3:$F$110)</f>
        <v>100</v>
      </c>
      <c r="V13" s="67">
        <v>1.1023</v>
      </c>
      <c r="Y13" s="57" t="str">
        <f t="array" ref="Y13">XLOOKUP(D13,RUC!$B$3:$B$110,RUC!$G$3:$G$110)</f>
        <v/>
      </c>
      <c r="Z13" s="69">
        <f t="array" ref="Z13">XLOOKUP(D13,RUC!$B$3:$B$110,RUC!$H$3:$H$110)</f>
        <v>30</v>
      </c>
      <c r="AA13" s="70">
        <f t="shared" si="6"/>
        <v>30</v>
      </c>
      <c r="AB13" s="71">
        <f t="shared" si="23"/>
        <v>791.728419</v>
      </c>
      <c r="AC13" s="71">
        <f>+(S13-T13)*V13-'data 1'!$F$4</f>
        <v>24.7185</v>
      </c>
      <c r="AD13" s="71">
        <f t="shared" si="7"/>
        <v>19.35552593</v>
      </c>
      <c r="AE13" s="71">
        <f t="shared" si="8"/>
        <v>-36.931</v>
      </c>
      <c r="AF13" s="71">
        <f t="shared" si="9"/>
        <v>90.8906955</v>
      </c>
      <c r="AG13" s="72">
        <f>AC13+AD13+AE13+AF13+70-10</f>
        <v>158.0337214</v>
      </c>
      <c r="AH13" s="193">
        <f t="shared" si="11"/>
        <v>154.599</v>
      </c>
      <c r="AI13" s="193">
        <f t="shared" si="12"/>
        <v>168.574</v>
      </c>
      <c r="AJ13" s="73">
        <f t="shared" si="13"/>
        <v>36.84310662</v>
      </c>
      <c r="AK13" s="73">
        <f t="shared" si="14"/>
        <v>138.4325891</v>
      </c>
      <c r="AM13" s="51">
        <f t="shared" si="15"/>
        <v>17938.98252</v>
      </c>
      <c r="AN13" s="51" t="str">
        <f t="array" ref="AN13">XLOOKUP(D13,RUC!$B$3:$B$565,RUC!$M$3:$M$565)</f>
        <v>Ronald Garibay</v>
      </c>
      <c r="AO13" s="131" t="s">
        <v>558</v>
      </c>
      <c r="AP13" s="57" t="s">
        <v>3086</v>
      </c>
      <c r="AQ13" s="57" t="s">
        <v>3087</v>
      </c>
      <c r="AV13" s="160" t="s">
        <v>561</v>
      </c>
      <c r="AW13" s="6">
        <f t="shared" si="19"/>
        <v>0</v>
      </c>
      <c r="AX13" s="6">
        <f t="array" ref="AX13">+SUMPRODUCT(IF($AO$4:$AO$747=AV13,$L$4:$L$747*$K$4:$K$747/AW13))</f>
        <v>0</v>
      </c>
      <c r="AY13" s="145">
        <f t="shared" si="20"/>
        <v>0</v>
      </c>
      <c r="AZ13" s="58">
        <f t="array" ref="AZ13">+SUMPRODUCT(IF($AO$4:$AO$747=AV13,($Q$4:$Q$747*$AH$4:$AH$747)/SUMIF($AO$4:$AO$747,$AV13,$AH$4:$AH$747)))</f>
        <v>0</v>
      </c>
      <c r="BA13" s="65">
        <f t="shared" si="21"/>
        <v>0</v>
      </c>
      <c r="BB13" s="65">
        <f t="shared" si="22"/>
        <v>0</v>
      </c>
      <c r="BC13" s="58">
        <f t="shared" si="25"/>
        <v>443.4312717</v>
      </c>
      <c r="BD13" s="161">
        <f t="shared" si="26"/>
        <v>493.094</v>
      </c>
    </row>
    <row r="14" ht="15.0" customHeight="1">
      <c r="A14" s="116" t="s">
        <v>3088</v>
      </c>
      <c r="B14" s="182">
        <v>46052.0</v>
      </c>
      <c r="C14" s="182">
        <v>46044.0</v>
      </c>
      <c r="D14" s="57" t="s">
        <v>705</v>
      </c>
      <c r="E14" s="3">
        <f t="array" ref="E14">XLOOKUP(D14,RUC!$B$3:$B$110,RUC!$D$3:$D$110)</f>
        <v>20614031698</v>
      </c>
      <c r="G14" s="3">
        <v>73.0</v>
      </c>
      <c r="H14" s="3" t="s">
        <v>40</v>
      </c>
      <c r="I14" s="6">
        <v>6.38</v>
      </c>
      <c r="J14" s="58">
        <v>12.6</v>
      </c>
      <c r="K14" s="6">
        <f t="shared" si="2"/>
        <v>5.576</v>
      </c>
      <c r="L14" s="139">
        <v>0.18</v>
      </c>
      <c r="M14" s="60">
        <f t="shared" si="3"/>
        <v>0.161</v>
      </c>
      <c r="N14" s="62">
        <f t="shared" si="27"/>
        <v>0.161</v>
      </c>
      <c r="O14" s="60">
        <f t="shared" si="5"/>
        <v>0.161</v>
      </c>
      <c r="P14" s="63">
        <v>85.0</v>
      </c>
      <c r="Q14" s="58">
        <v>98.33</v>
      </c>
      <c r="R14" s="65">
        <v>4832.05</v>
      </c>
      <c r="S14" s="66">
        <f t="array" ref="S14">IF((XLOOKUP(D14,RUC!$B$3:$B$106,RUC!$E$3:$E$106)+ROUNDDOWN(O14,1)*100)&lt;95,95,((XLOOKUP(D14,RUC!$B$3:$B$106,RUC!$E$3:$E$106)+ROUNDDOWN(O14,1)*100)))</f>
        <v>95</v>
      </c>
      <c r="U14" s="67">
        <f t="array" ref="U14">XLOOKUP(D14,RUC!$B$3:$B$110,RUC!$F$3:$F$110)</f>
        <v>110</v>
      </c>
      <c r="V14" s="67">
        <v>1.1023</v>
      </c>
      <c r="Y14" s="199">
        <v>10.0</v>
      </c>
      <c r="Z14" s="69">
        <f t="array" ref="Z14">XLOOKUP(D14,RUC!$B$3:$B$110,RUC!$H$3:$H$110)</f>
        <v>35</v>
      </c>
      <c r="AA14" s="70">
        <f t="shared" si="6"/>
        <v>45</v>
      </c>
      <c r="AB14" s="71">
        <f t="shared" si="23"/>
        <v>557.9980856</v>
      </c>
      <c r="AC14" s="71">
        <f>+(S14-T14)*V14-'data 1'!$F$4</f>
        <v>24.7185</v>
      </c>
      <c r="AD14" s="71">
        <f t="shared" si="7"/>
        <v>124.8915465</v>
      </c>
      <c r="AE14" s="71">
        <f t="shared" si="8"/>
        <v>-20.3965</v>
      </c>
      <c r="AF14" s="71">
        <f t="shared" si="9"/>
        <v>97.24561537</v>
      </c>
      <c r="AG14" s="72">
        <f t="shared" ref="AG14:AG15" si="28">AC14+AD14+AE14+AF14+70-53</f>
        <v>243.4591618</v>
      </c>
      <c r="AH14" s="193">
        <f t="shared" si="11"/>
        <v>33.837</v>
      </c>
      <c r="AI14" s="193">
        <f t="shared" si="12"/>
        <v>34.412</v>
      </c>
      <c r="AJ14" s="73">
        <f t="shared" si="13"/>
        <v>34.71813152</v>
      </c>
      <c r="AK14" s="73">
        <f t="shared" si="14"/>
        <v>26.16234306</v>
      </c>
      <c r="AM14" s="51">
        <f t="shared" si="15"/>
        <v>3111.397325</v>
      </c>
      <c r="AN14" s="51" t="str">
        <f t="array" ref="AN14">XLOOKUP(D14,RUC!$B$3:$B$565,RUC!$M$3:$M$565)</f>
        <v>Robinson Tuya</v>
      </c>
      <c r="AO14" s="131" t="s">
        <v>547</v>
      </c>
      <c r="AP14" s="57" t="s">
        <v>2736</v>
      </c>
      <c r="AQ14" s="57" t="s">
        <v>707</v>
      </c>
      <c r="AV14" s="160" t="s">
        <v>689</v>
      </c>
      <c r="AW14" s="6">
        <f t="shared" si="19"/>
        <v>0</v>
      </c>
      <c r="AX14" s="6">
        <f t="array" ref="AX14">+SUMPRODUCT(IF($AO$4:$AO$747=AV14,$L$4:$L$747*$K$4:$K$747/AW14))</f>
        <v>0</v>
      </c>
      <c r="AY14" s="145">
        <f t="shared" si="20"/>
        <v>0</v>
      </c>
      <c r="AZ14" s="58">
        <f t="array" ref="AZ14">+SUMPRODUCT(IF('39'!$AO$4:$AO$639=AV14,('39'!$Q$4:$Q$639*'39'!$AH$4:$AH$639)/SUMIF('39'!$AO$4:$AO$639,#REF!,'39'!$AH$4:$AH$639)))</f>
        <v>0</v>
      </c>
      <c r="BA14" s="65">
        <f t="shared" si="21"/>
        <v>0</v>
      </c>
      <c r="BB14" s="65">
        <f t="shared" si="22"/>
        <v>0</v>
      </c>
      <c r="BC14" s="58">
        <f t="shared" si="25"/>
        <v>443.4312717</v>
      </c>
      <c r="BD14" s="161">
        <f t="shared" si="26"/>
        <v>493.094</v>
      </c>
    </row>
    <row r="15" ht="15.0" customHeight="1">
      <c r="A15" s="116" t="s">
        <v>3089</v>
      </c>
      <c r="B15" s="182">
        <v>46051.0</v>
      </c>
      <c r="C15" s="182">
        <v>46045.0</v>
      </c>
      <c r="D15" s="57" t="s">
        <v>723</v>
      </c>
      <c r="E15" s="3">
        <f t="array" ref="E15">XLOOKUP(D15,RUC!$B$3:$B$110,RUC!$D$3:$D$110)</f>
        <v>20606480840</v>
      </c>
      <c r="G15" s="3">
        <v>28.0</v>
      </c>
      <c r="H15" s="3" t="s">
        <v>40</v>
      </c>
      <c r="I15" s="6">
        <v>2.31</v>
      </c>
      <c r="J15" s="58">
        <v>17.1</v>
      </c>
      <c r="K15" s="6">
        <f t="shared" si="2"/>
        <v>1.915</v>
      </c>
      <c r="L15" s="139">
        <v>0.447</v>
      </c>
      <c r="M15" s="60">
        <f t="shared" si="3"/>
        <v>0.42</v>
      </c>
      <c r="N15" s="62">
        <f t="shared" si="27"/>
        <v>0.42</v>
      </c>
      <c r="O15" s="60">
        <f t="shared" si="5"/>
        <v>0.42</v>
      </c>
      <c r="P15" s="63">
        <v>90.0</v>
      </c>
      <c r="Q15" s="58">
        <v>96.42</v>
      </c>
      <c r="R15" s="65">
        <v>4946.25</v>
      </c>
      <c r="S15" s="66">
        <f t="array" ref="S15">IF((XLOOKUP(D15,RUC!$B$3:$B$106,RUC!$E$3:$E$106)+ROUNDDOWN(O15,1)*100)&lt;95,95,((XLOOKUP(D15,RUC!$B$3:$B$106,RUC!$E$3:$E$106)+ROUNDDOWN(O15,1)*100)))</f>
        <v>120</v>
      </c>
      <c r="U15" s="67">
        <f t="array" ref="U15">XLOOKUP(D15,RUC!$B$3:$B$110,RUC!$F$3:$F$110)</f>
        <v>110</v>
      </c>
      <c r="V15" s="67">
        <v>1.1023</v>
      </c>
      <c r="Y15" s="57">
        <f t="array" ref="Y15">XLOOKUP(D15,RUC!$B$3:$B$110,RUC!$G$3:$G$110)</f>
        <v>0</v>
      </c>
      <c r="Z15" s="69">
        <f t="array" ref="Z15">XLOOKUP(D15,RUC!$B$3:$B$110,RUC!$H$3:$H$110)</f>
        <v>35</v>
      </c>
      <c r="AA15" s="70">
        <f t="shared" si="6"/>
        <v>35</v>
      </c>
      <c r="AB15" s="71">
        <f t="shared" si="23"/>
        <v>1844.260886</v>
      </c>
      <c r="AC15" s="71">
        <f>+(S15-T15)*V15-'data 1'!$F$4</f>
        <v>52.276</v>
      </c>
      <c r="AD15" s="71">
        <f t="shared" si="7"/>
        <v>152.9857928</v>
      </c>
      <c r="AE15" s="71">
        <f t="shared" si="8"/>
        <v>-31.4195</v>
      </c>
      <c r="AF15" s="71">
        <f t="shared" si="9"/>
        <v>138.7840131</v>
      </c>
      <c r="AG15" s="72">
        <f t="shared" si="28"/>
        <v>329.6263059</v>
      </c>
      <c r="AH15" s="193">
        <f t="shared" si="11"/>
        <v>28.298</v>
      </c>
      <c r="AI15" s="193">
        <f t="shared" si="12"/>
        <v>29.348</v>
      </c>
      <c r="AJ15" s="73">
        <f t="shared" si="13"/>
        <v>30.28688767</v>
      </c>
      <c r="AK15" s="73">
        <f t="shared" si="14"/>
        <v>24.81816385</v>
      </c>
      <c r="AM15" s="51">
        <f t="shared" si="15"/>
        <v>3531.759596</v>
      </c>
      <c r="AN15" s="51" t="str">
        <f t="array" ref="AN15">XLOOKUP(D15,RUC!$B$3:$B$565,RUC!$M$3:$M$565)</f>
        <v>Robinson Tuya</v>
      </c>
      <c r="AO15" s="131" t="s">
        <v>558</v>
      </c>
      <c r="AP15" s="57" t="s">
        <v>3060</v>
      </c>
      <c r="AQ15" s="57" t="s">
        <v>3061</v>
      </c>
      <c r="AV15" s="160" t="s">
        <v>690</v>
      </c>
      <c r="AW15" s="6">
        <f t="shared" si="19"/>
        <v>0</v>
      </c>
      <c r="AX15" s="6">
        <f t="array" ref="AX15">+SUMPRODUCT(IF($AO$4:$AO$747=AV15,$L$4:$L$747*$K$4:$K$747/AW15))</f>
        <v>0</v>
      </c>
      <c r="AY15" s="145">
        <f t="shared" si="20"/>
        <v>0</v>
      </c>
      <c r="AZ15" s="58">
        <f t="array" ref="AZ15">+SUMPRODUCT(IF('39'!$AO$4:$AO$639=AV15,('39'!$Q$4:$Q$639*'39'!$AH$4:$AH$639)/SUMIF('39'!$AO$4:$AO$639,#REF!,'39'!$AH$4:$AH$639)))</f>
        <v>0</v>
      </c>
      <c r="BA15" s="65">
        <f t="shared" si="21"/>
        <v>0</v>
      </c>
      <c r="BB15" s="65">
        <f t="shared" si="22"/>
        <v>0</v>
      </c>
      <c r="BC15" s="58">
        <f t="shared" si="25"/>
        <v>443.4312717</v>
      </c>
      <c r="BD15" s="161">
        <f t="shared" si="26"/>
        <v>493.094</v>
      </c>
    </row>
    <row r="16" ht="15.0" customHeight="1">
      <c r="A16" s="116" t="s">
        <v>3090</v>
      </c>
      <c r="B16" s="182">
        <v>46052.0</v>
      </c>
      <c r="C16" s="182">
        <v>46045.0</v>
      </c>
      <c r="D16" s="2" t="s">
        <v>806</v>
      </c>
      <c r="E16" s="3">
        <f t="array" ref="E16">XLOOKUP(D16,RUC!$B$3:$B$110,RUC!$D$3:$D$110)</f>
        <v>20614284740</v>
      </c>
      <c r="G16" s="3">
        <v>48.0</v>
      </c>
      <c r="H16" s="3" t="s">
        <v>40</v>
      </c>
      <c r="I16" s="6">
        <v>3.62</v>
      </c>
      <c r="J16" s="58">
        <v>20.65</v>
      </c>
      <c r="K16" s="6">
        <f t="shared" si="2"/>
        <v>2.872</v>
      </c>
      <c r="L16" s="139">
        <v>0.348</v>
      </c>
      <c r="M16" s="60">
        <f t="shared" si="3"/>
        <v>0.327</v>
      </c>
      <c r="N16" s="62">
        <f t="shared" si="27"/>
        <v>0.327</v>
      </c>
      <c r="O16" s="60">
        <f t="shared" si="5"/>
        <v>0.327</v>
      </c>
      <c r="P16" s="63">
        <v>90.0</v>
      </c>
      <c r="Q16" s="58">
        <v>92.82</v>
      </c>
      <c r="R16" s="65">
        <v>4946.25</v>
      </c>
      <c r="S16" s="66">
        <f t="array" ref="S16">IF((XLOOKUP(D16,RUC!$B$3:$B$106,RUC!$E$3:$E$106)+ROUNDDOWN(O16,1)*100)&lt;95,95,((XLOOKUP(D16,RUC!$B$3:$B$106,RUC!$E$3:$E$106)+ROUNDDOWN(O16,1)*100)))</f>
        <v>120</v>
      </c>
      <c r="U16" s="67">
        <f t="array" ref="U16">XLOOKUP(D16,RUC!$B$3:$B$110,RUC!$F$3:$F$110)</f>
        <v>120</v>
      </c>
      <c r="V16" s="67">
        <v>1.1023</v>
      </c>
      <c r="Y16" s="199">
        <v>30.0</v>
      </c>
      <c r="Z16" s="140">
        <v>40.0</v>
      </c>
      <c r="AA16" s="70">
        <f t="shared" si="6"/>
        <v>70</v>
      </c>
      <c r="AB16" s="71">
        <f t="shared" si="23"/>
        <v>1356.231753</v>
      </c>
      <c r="AC16" s="71">
        <f>+(S16-T16)*V16-'data 1'!$F$4</f>
        <v>52.276</v>
      </c>
      <c r="AD16" s="71">
        <f t="shared" si="7"/>
        <v>52.20811034</v>
      </c>
      <c r="AE16" s="71">
        <f t="shared" si="8"/>
        <v>7.161</v>
      </c>
      <c r="AF16" s="71">
        <f t="shared" si="9"/>
        <v>103.698024</v>
      </c>
      <c r="AG16" s="72">
        <f>AC16+AD16+AE16+AF16+70</f>
        <v>285.3431343</v>
      </c>
      <c r="AH16" s="193">
        <f t="shared" si="11"/>
        <v>31.806</v>
      </c>
      <c r="AI16" s="193">
        <f t="shared" si="12"/>
        <v>34.267</v>
      </c>
      <c r="AJ16" s="73">
        <f t="shared" si="13"/>
        <v>26.25926948</v>
      </c>
      <c r="AK16" s="73">
        <f t="shared" si="14"/>
        <v>28.97902483</v>
      </c>
      <c r="AM16" s="51">
        <f t="shared" si="15"/>
        <v>3895.097594</v>
      </c>
      <c r="AN16" s="51" t="str">
        <f t="array" ref="AN16">XLOOKUP(D16,RUC!$B$3:$B$565,RUC!$M$3:$M$565)</f>
        <v>Dante </v>
      </c>
      <c r="AO16" s="131" t="s">
        <v>558</v>
      </c>
      <c r="AP16" s="57" t="s">
        <v>2522</v>
      </c>
      <c r="AQ16" s="57" t="s">
        <v>3067</v>
      </c>
      <c r="AV16" s="160" t="s">
        <v>691</v>
      </c>
      <c r="AW16" s="6">
        <f t="shared" si="19"/>
        <v>0</v>
      </c>
      <c r="AX16" s="6">
        <f t="array" ref="AX16">+SUMPRODUCT(IF($AO$4:$AO$747=AV16,$L$4:$L$747*$K$4:$K$747/AW16))</f>
        <v>0</v>
      </c>
      <c r="AY16" s="145">
        <f t="shared" si="20"/>
        <v>0</v>
      </c>
      <c r="AZ16" s="58">
        <f t="array" ref="AZ16">+SUMPRODUCT(IF('39'!$AO$4:$AO$639=AV16,('39'!$Q$4:$Q$639*'39'!$AH$4:$AH$639)/SUMIF('39'!$AO$4:$AO$639,#REF!,'39'!$AH$4:$AH$639)))</f>
        <v>0</v>
      </c>
      <c r="BA16" s="65">
        <f t="shared" si="21"/>
        <v>0</v>
      </c>
      <c r="BB16" s="65">
        <f t="shared" si="22"/>
        <v>0</v>
      </c>
      <c r="BC16" s="58">
        <f t="shared" si="25"/>
        <v>443.4312717</v>
      </c>
      <c r="BD16" s="161">
        <f t="shared" si="26"/>
        <v>493.094</v>
      </c>
    </row>
    <row r="17" ht="15.0" customHeight="1">
      <c r="A17" s="116" t="s">
        <v>3091</v>
      </c>
      <c r="B17" s="182">
        <v>46050.0</v>
      </c>
      <c r="C17" s="182">
        <v>46045.0</v>
      </c>
      <c r="D17" s="57" t="s">
        <v>306</v>
      </c>
      <c r="E17" s="3">
        <f t="array" ref="E17">XLOOKUP(D17,RUC!$B$3:$B$110,RUC!$D$3:$D$110)</f>
        <v>20612921866</v>
      </c>
      <c r="G17" s="3" t="s">
        <v>735</v>
      </c>
      <c r="H17" s="3" t="s">
        <v>47</v>
      </c>
      <c r="I17" s="6">
        <v>17.1</v>
      </c>
      <c r="J17" s="58">
        <v>3.2</v>
      </c>
      <c r="K17" s="6">
        <f t="shared" si="2"/>
        <v>16.553</v>
      </c>
      <c r="L17" s="139">
        <v>0.212</v>
      </c>
      <c r="M17" s="60">
        <f t="shared" si="3"/>
        <v>0.193</v>
      </c>
      <c r="N17" s="62">
        <f t="shared" si="27"/>
        <v>0.193</v>
      </c>
      <c r="O17" s="60">
        <f t="shared" si="5"/>
        <v>0.193</v>
      </c>
      <c r="P17" s="63">
        <v>90.0</v>
      </c>
      <c r="Q17" s="58">
        <v>95.28</v>
      </c>
      <c r="R17" s="65">
        <v>4946.25</v>
      </c>
      <c r="S17" s="66">
        <f t="array" ref="S17">IF((XLOOKUP(D17,RUC!$B$3:$B$106,RUC!$E$3:$E$106)+ROUNDDOWN(O17,1)*100)&lt;95,95,((XLOOKUP(D17,RUC!$B$3:$B$106,RUC!$E$3:$E$106)+ROUNDDOWN(O17,1)*100)))</f>
        <v>95</v>
      </c>
      <c r="U17" s="67">
        <f t="array" ref="U17">XLOOKUP(D17,RUC!$B$3:$B$110,RUC!$F$3:$F$110)</f>
        <v>100</v>
      </c>
      <c r="V17" s="67">
        <v>1.1023</v>
      </c>
      <c r="Y17" s="57" t="str">
        <f t="array" ref="Y17">XLOOKUP(D17,RUC!$B$3:$B$110,RUC!$G$3:$G$110)</f>
        <v/>
      </c>
      <c r="Z17" s="69">
        <f t="array" ref="Z17">XLOOKUP(D17,RUC!$B$3:$B$110,RUC!$H$3:$H$110)</f>
        <v>30</v>
      </c>
      <c r="AA17" s="70">
        <f t="shared" si="6"/>
        <v>30</v>
      </c>
      <c r="AB17" s="71">
        <f t="shared" si="23"/>
        <v>790.1216128</v>
      </c>
      <c r="AC17" s="71">
        <f>+(S17-T17)*V17-'data 1'!$F$4</f>
        <v>24.7185</v>
      </c>
      <c r="AD17" s="71">
        <f t="shared" si="7"/>
        <v>59.79645046</v>
      </c>
      <c r="AE17" s="71">
        <f t="shared" si="8"/>
        <v>-36.931</v>
      </c>
      <c r="AF17" s="71">
        <f t="shared" si="9"/>
        <v>96.70768136</v>
      </c>
      <c r="AG17" s="72">
        <f>AC17+AD17+AE17+AF17+70-10</f>
        <v>204.2916318</v>
      </c>
      <c r="AH17" s="193">
        <f t="shared" si="11"/>
        <v>114.637</v>
      </c>
      <c r="AI17" s="193">
        <f t="shared" si="12"/>
        <v>120.316</v>
      </c>
      <c r="AJ17" s="73">
        <f t="shared" si="13"/>
        <v>11.96784306</v>
      </c>
      <c r="AK17" s="73">
        <f t="shared" si="14"/>
        <v>98.57927113</v>
      </c>
      <c r="AM17" s="51">
        <f t="shared" si="15"/>
        <v>13078.88306</v>
      </c>
      <c r="AN17" s="51" t="str">
        <f t="array" ref="AN17">XLOOKUP(D17,RUC!$B$3:$B$565,RUC!$M$3:$M$565)</f>
        <v>Ronald Garibay</v>
      </c>
      <c r="AO17" s="131" t="s">
        <v>547</v>
      </c>
      <c r="AP17" s="57" t="s">
        <v>3092</v>
      </c>
      <c r="AQ17" s="57" t="s">
        <v>3093</v>
      </c>
      <c r="AV17" s="160" t="s">
        <v>692</v>
      </c>
      <c r="AW17" s="6">
        <f t="shared" si="19"/>
        <v>0</v>
      </c>
      <c r="AX17" s="6">
        <f t="array" ref="AX17">+SUMPRODUCT(IF($AO$4:$AO$747=AV17,$L$4:$L$747*$K$4:$K$747/AW17))</f>
        <v>0</v>
      </c>
      <c r="AY17" s="145">
        <f t="shared" si="20"/>
        <v>0</v>
      </c>
      <c r="AZ17" s="58">
        <f t="array" ref="AZ17">+SUMPRODUCT(IF('39'!$AO$4:$AO$639=AV17,('39'!$Q$4:$Q$639*'39'!$AH$4:$AH$639)/SUMIF('39'!$AO$4:$AO$639,#REF!,'39'!$AH$4:$AH$639)))</f>
        <v>0</v>
      </c>
      <c r="BA17" s="65">
        <f t="shared" si="21"/>
        <v>0</v>
      </c>
      <c r="BB17" s="65">
        <f t="shared" si="22"/>
        <v>0</v>
      </c>
      <c r="BC17" s="58">
        <f t="shared" si="25"/>
        <v>443.4312717</v>
      </c>
      <c r="BD17" s="161">
        <f t="shared" si="26"/>
        <v>493.094</v>
      </c>
    </row>
    <row r="18" ht="15.0" customHeight="1">
      <c r="A18" s="116" t="s">
        <v>3094</v>
      </c>
      <c r="B18" s="182">
        <v>46057.0</v>
      </c>
      <c r="C18" s="182">
        <v>46046.0</v>
      </c>
      <c r="D18" s="2" t="s">
        <v>806</v>
      </c>
      <c r="E18" s="3">
        <f t="array" ref="E18">XLOOKUP(D18,RUC!$B$3:$B$110,RUC!$D$3:$D$110)</f>
        <v>20614284740</v>
      </c>
      <c r="G18" s="3">
        <v>58.0</v>
      </c>
      <c r="H18" s="3" t="s">
        <v>47</v>
      </c>
      <c r="I18" s="6">
        <v>4.75</v>
      </c>
      <c r="J18" s="58">
        <v>3.15</v>
      </c>
      <c r="K18" s="6">
        <f t="shared" si="2"/>
        <v>4.6</v>
      </c>
      <c r="L18" s="139">
        <v>0.323</v>
      </c>
      <c r="M18" s="60">
        <f t="shared" si="3"/>
        <v>0.304</v>
      </c>
      <c r="N18" s="62">
        <f t="shared" si="27"/>
        <v>0.304</v>
      </c>
      <c r="O18" s="60">
        <f t="shared" si="5"/>
        <v>0.304</v>
      </c>
      <c r="P18" s="63">
        <v>90.0</v>
      </c>
      <c r="Q18" s="58">
        <v>93.81</v>
      </c>
      <c r="R18" s="65">
        <v>4946.25</v>
      </c>
      <c r="S18" s="66">
        <f t="array" ref="S18">IF((XLOOKUP(D18,RUC!$B$3:$B$106,RUC!$E$3:$E$106)+ROUNDDOWN(O18,1)*100)&lt;95,95,((XLOOKUP(D18,RUC!$B$3:$B$106,RUC!$E$3:$E$106)+ROUNDDOWN(O18,1)*100)))</f>
        <v>120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69">
        <f t="array" ref="Z18">XLOOKUP(D18,RUC!$B$3:$B$110,RUC!$H$3:$H$110)</f>
        <v>30</v>
      </c>
      <c r="AA18" s="70">
        <f t="shared" si="6"/>
        <v>50</v>
      </c>
      <c r="AB18" s="71">
        <f t="shared" si="23"/>
        <v>1268.154263</v>
      </c>
      <c r="AC18" s="71">
        <f>+(S18-T18)*V18-'data 1'!$F$4</f>
        <v>52.276</v>
      </c>
      <c r="AD18" s="71">
        <f t="shared" si="7"/>
        <v>65.46921296</v>
      </c>
      <c r="AE18" s="71">
        <f t="shared" si="8"/>
        <v>-14.885</v>
      </c>
      <c r="AF18" s="71">
        <f t="shared" si="9"/>
        <v>94.82270909</v>
      </c>
      <c r="AG18" s="72">
        <f t="shared" ref="AG18:AG19" si="29">AC18+AD18+AE18+AF18+70</f>
        <v>267.682922</v>
      </c>
      <c r="AH18" s="193">
        <f t="shared" si="11"/>
        <v>47.788</v>
      </c>
      <c r="AI18" s="193">
        <f t="shared" si="12"/>
        <v>50.941</v>
      </c>
      <c r="AJ18" s="73">
        <f t="shared" si="13"/>
        <v>24.63278353</v>
      </c>
      <c r="AK18" s="73">
        <f t="shared" si="14"/>
        <v>43.15021798</v>
      </c>
      <c r="AM18" s="51">
        <f t="shared" si="15"/>
        <v>5833.509608</v>
      </c>
      <c r="AN18" s="51" t="str">
        <f t="array" ref="AN18">XLOOKUP(D18,RUC!$B$3:$B$565,RUC!$M$3:$M$565)</f>
        <v>Dante </v>
      </c>
      <c r="AO18" s="131" t="s">
        <v>558</v>
      </c>
      <c r="AP18" s="57" t="s">
        <v>1824</v>
      </c>
      <c r="AQ18" s="57" t="s">
        <v>3095</v>
      </c>
      <c r="AV18" s="163" t="s">
        <v>693</v>
      </c>
      <c r="AW18" s="165">
        <f t="shared" si="19"/>
        <v>0</v>
      </c>
      <c r="AX18" s="165">
        <f t="array" ref="AX18">+SUMPRODUCT(IF('39'!$AO$4:$AO$639=AV18,'39'!$L$4:$L$639*'39'!$K$4:$K$639/AW18))</f>
        <v>0</v>
      </c>
      <c r="AY18" s="166">
        <f t="shared" si="20"/>
        <v>0</v>
      </c>
      <c r="AZ18" s="168">
        <f t="array" ref="AZ18">+SUMPRODUCT(IF('39'!$AO$4:$AO$639=AV18,('39'!$Q$4:$Q$639*'39'!$AH$4:$AH$639)/SUMIF('39'!$AO$4:$AO$639,#REF!,'39'!$AH$4:$AH$639)))</f>
        <v>0</v>
      </c>
      <c r="BA18" s="167">
        <f t="shared" si="21"/>
        <v>0</v>
      </c>
      <c r="BB18" s="167">
        <f>SUMIF($AO$4:$AO$6,$AV18,$AH$4:$AH$6)</f>
        <v>0</v>
      </c>
      <c r="BC18" s="168">
        <f t="shared" si="25"/>
        <v>443.4312717</v>
      </c>
      <c r="BD18" s="169">
        <f t="shared" si="26"/>
        <v>493.094</v>
      </c>
    </row>
    <row r="19" ht="15.0" customHeight="1">
      <c r="A19" s="116" t="s">
        <v>3096</v>
      </c>
      <c r="B19" s="182">
        <v>46053.0</v>
      </c>
      <c r="C19" s="182">
        <v>46046.0</v>
      </c>
      <c r="D19" s="2" t="s">
        <v>806</v>
      </c>
      <c r="E19" s="3">
        <f t="array" ref="E19">XLOOKUP(D19,RUC!$B$3:$B$110,RUC!$D$3:$D$110)</f>
        <v>20614284740</v>
      </c>
      <c r="G19" s="3">
        <v>14.0</v>
      </c>
      <c r="H19" s="3" t="s">
        <v>339</v>
      </c>
      <c r="I19" s="6">
        <v>1.03</v>
      </c>
      <c r="J19" s="58">
        <v>4.8</v>
      </c>
      <c r="K19" s="6">
        <f t="shared" si="2"/>
        <v>0.981</v>
      </c>
      <c r="L19" s="139">
        <v>0.264</v>
      </c>
      <c r="M19" s="60">
        <f t="shared" si="3"/>
        <v>0.245</v>
      </c>
      <c r="N19" s="62">
        <f t="shared" si="27"/>
        <v>0.245</v>
      </c>
      <c r="O19" s="60">
        <f t="shared" si="5"/>
        <v>0.245</v>
      </c>
      <c r="P19" s="63">
        <v>86.0</v>
      </c>
      <c r="Q19" s="58">
        <v>86.74</v>
      </c>
      <c r="R19" s="65">
        <v>4946.25</v>
      </c>
      <c r="S19" s="66">
        <f t="array" ref="S19">IF((XLOOKUP(D19,RUC!$B$3:$B$106,RUC!$E$3:$E$106)+ROUNDDOWN(O19,1)*100)&lt;95,95,((XLOOKUP(D19,RUC!$B$3:$B$106,RUC!$E$3:$E$106)+ROUNDDOWN(O19,1)*100)))</f>
        <v>110</v>
      </c>
      <c r="U19" s="67">
        <f t="array" ref="U19">XLOOKUP(D19,RUC!$B$3:$B$110,RUC!$F$3:$F$110)</f>
        <v>120</v>
      </c>
      <c r="V19" s="67">
        <v>1.1023</v>
      </c>
      <c r="Y19" s="57">
        <f t="array" ref="Y19">XLOOKUP(D19,RUC!$B$3:$B$110,RUC!$G$3:$G$110)</f>
        <v>20</v>
      </c>
      <c r="Z19" s="69">
        <f t="array" ref="Z19">XLOOKUP(D19,RUC!$B$3:$B$110,RUC!$H$3:$H$110)</f>
        <v>30</v>
      </c>
      <c r="AA19" s="70">
        <f t="shared" si="6"/>
        <v>50</v>
      </c>
      <c r="AB19" s="71">
        <f t="shared" si="23"/>
        <v>944.5508115</v>
      </c>
      <c r="AC19" s="71">
        <f>+(S19-T19)*V19-'data 1'!$F$4</f>
        <v>41.253</v>
      </c>
      <c r="AD19" s="71">
        <f t="shared" si="7"/>
        <v>10.39310389</v>
      </c>
      <c r="AE19" s="71">
        <f t="shared" si="8"/>
        <v>-14.885</v>
      </c>
      <c r="AF19" s="71">
        <f t="shared" si="9"/>
        <v>87.67638617</v>
      </c>
      <c r="AG19" s="72">
        <f t="shared" si="29"/>
        <v>194.4374901</v>
      </c>
      <c r="AH19" s="193">
        <f t="shared" si="11"/>
        <v>7.702</v>
      </c>
      <c r="AI19" s="193">
        <f t="shared" si="12"/>
        <v>8.879</v>
      </c>
      <c r="AJ19" s="73">
        <f t="shared" si="13"/>
        <v>18.61594884</v>
      </c>
      <c r="AK19" s="73">
        <f t="shared" si="14"/>
        <v>7.086676568</v>
      </c>
      <c r="AM19" s="51">
        <f t="shared" si="15"/>
        <v>926.6043461</v>
      </c>
      <c r="AN19" s="51" t="str">
        <f t="array" ref="AN19">XLOOKUP(D19,RUC!$B$3:$B$565,RUC!$M$3:$M$565)</f>
        <v>Dante </v>
      </c>
      <c r="AO19" s="131" t="s">
        <v>558</v>
      </c>
      <c r="AP19" s="57" t="s">
        <v>1824</v>
      </c>
      <c r="AQ19" s="57" t="s">
        <v>3095</v>
      </c>
      <c r="AV19" s="2"/>
      <c r="AW19" s="6"/>
      <c r="AX19" s="6"/>
      <c r="AY19" s="145"/>
      <c r="AZ19" s="58"/>
      <c r="BA19" s="65"/>
      <c r="BB19" s="65"/>
      <c r="BC19" s="58"/>
      <c r="BD19" s="65"/>
    </row>
    <row r="20" ht="15.0" customHeight="1">
      <c r="A20" s="116" t="s">
        <v>3097</v>
      </c>
      <c r="B20" s="182">
        <v>46052.0</v>
      </c>
      <c r="C20" s="182">
        <v>46048.0</v>
      </c>
      <c r="D20" s="57" t="s">
        <v>306</v>
      </c>
      <c r="E20" s="3">
        <f t="array" ref="E20">XLOOKUP(D20,RUC!$B$3:$B$110,RUC!$D$3:$D$110)</f>
        <v>20612921866</v>
      </c>
      <c r="G20" s="3">
        <v>23.0</v>
      </c>
      <c r="H20" s="3" t="s">
        <v>47</v>
      </c>
      <c r="I20" s="6">
        <v>2.59</v>
      </c>
      <c r="J20" s="58">
        <v>1.35</v>
      </c>
      <c r="K20" s="6">
        <f t="shared" si="2"/>
        <v>2.555</v>
      </c>
      <c r="L20" s="139">
        <v>0.189</v>
      </c>
      <c r="M20" s="60">
        <f t="shared" si="3"/>
        <v>0.17</v>
      </c>
      <c r="N20" s="62">
        <f t="shared" si="27"/>
        <v>0.17</v>
      </c>
      <c r="O20" s="60">
        <f t="shared" si="5"/>
        <v>0.17</v>
      </c>
      <c r="P20" s="63">
        <v>90.0</v>
      </c>
      <c r="Q20" s="58">
        <v>92.06</v>
      </c>
      <c r="R20" s="65">
        <v>5090.8</v>
      </c>
      <c r="S20" s="66">
        <f t="array" ref="S20">IF((XLOOKUP(D20,RUC!$B$3:$B$106,RUC!$E$3:$E$106)+ROUNDDOWN(O20,1)*100)&lt;95,95,((XLOOKUP(D20,RUC!$B$3:$B$106,RUC!$E$3:$E$106)+ROUNDDOWN(O20,1)*100)))</f>
        <v>95</v>
      </c>
      <c r="U20" s="67">
        <f t="array" ref="U20">XLOOKUP(D20,RUC!$B$3:$B$110,RUC!$F$3:$F$110)</f>
        <v>100</v>
      </c>
      <c r="V20" s="67">
        <v>1.1023</v>
      </c>
      <c r="Y20" s="57" t="str">
        <f t="array" ref="Y20">XLOOKUP(D20,RUC!$B$3:$B$110,RUC!$G$3:$G$110)</f>
        <v/>
      </c>
      <c r="Z20" s="69">
        <f t="array" ref="Z20">XLOOKUP(D20,RUC!$B$3:$B$110,RUC!$H$3:$H$110)</f>
        <v>30</v>
      </c>
      <c r="AA20" s="70">
        <f t="shared" si="6"/>
        <v>30</v>
      </c>
      <c r="AB20" s="71">
        <f t="shared" si="23"/>
        <v>703.9204025</v>
      </c>
      <c r="AC20" s="71">
        <f>+(S20-T20)*V20-'data 1'!$F$4</f>
        <v>24.7185</v>
      </c>
      <c r="AD20" s="71">
        <f t="shared" si="7"/>
        <v>21.41899051</v>
      </c>
      <c r="AE20" s="71">
        <f t="shared" si="8"/>
        <v>-36.931</v>
      </c>
      <c r="AF20" s="71">
        <f t="shared" si="9"/>
        <v>96.22646801</v>
      </c>
      <c r="AG20" s="72">
        <f t="shared" ref="AG20:AG23" si="30">AC20+AD20+AE20+AF20+70-10</f>
        <v>165.4329585</v>
      </c>
      <c r="AH20" s="193">
        <f t="shared" si="11"/>
        <v>15.242</v>
      </c>
      <c r="AI20" s="193">
        <f t="shared" si="12"/>
        <v>16.556</v>
      </c>
      <c r="AJ20" s="73">
        <f t="shared" si="13"/>
        <v>-17.41479757</v>
      </c>
      <c r="AK20" s="73">
        <f t="shared" si="14"/>
        <v>13.40267247</v>
      </c>
      <c r="AM20" s="51">
        <f t="shared" si="15"/>
        <v>1798.516628</v>
      </c>
      <c r="AN20" s="51" t="str">
        <f t="array" ref="AN20">XLOOKUP(D20,RUC!$B$3:$B$565,RUC!$M$3:$M$565)</f>
        <v>Ronald Garibay</v>
      </c>
      <c r="AO20" s="131" t="s">
        <v>558</v>
      </c>
      <c r="AP20" s="57" t="s">
        <v>713</v>
      </c>
      <c r="AQ20" s="57" t="s">
        <v>714</v>
      </c>
    </row>
    <row r="21" ht="15.0" customHeight="1">
      <c r="A21" s="116" t="s">
        <v>3098</v>
      </c>
      <c r="B21" s="182">
        <v>46052.0</v>
      </c>
      <c r="C21" s="182">
        <v>46048.0</v>
      </c>
      <c r="D21" s="57" t="s">
        <v>306</v>
      </c>
      <c r="E21" s="3">
        <f t="array" ref="E21">XLOOKUP(D21,RUC!$B$3:$B$110,RUC!$D$3:$D$110)</f>
        <v>20612921866</v>
      </c>
      <c r="G21" s="3">
        <v>32.0</v>
      </c>
      <c r="H21" s="3" t="s">
        <v>47</v>
      </c>
      <c r="I21" s="6">
        <v>3.7</v>
      </c>
      <c r="J21" s="58">
        <v>1.95</v>
      </c>
      <c r="K21" s="6">
        <f t="shared" si="2"/>
        <v>3.628</v>
      </c>
      <c r="L21" s="139">
        <v>0.155</v>
      </c>
      <c r="M21" s="60">
        <f t="shared" si="3"/>
        <v>0.136</v>
      </c>
      <c r="N21" s="62">
        <f t="shared" si="27"/>
        <v>0.136</v>
      </c>
      <c r="O21" s="60">
        <f t="shared" si="5"/>
        <v>0.136</v>
      </c>
      <c r="P21" s="63">
        <v>90.0</v>
      </c>
      <c r="Q21" s="58">
        <v>93.55</v>
      </c>
      <c r="R21" s="65">
        <v>5090.8</v>
      </c>
      <c r="S21" s="66">
        <f t="array" ref="S21">IF((XLOOKUP(D21,RUC!$B$3:$B$106,RUC!$E$3:$E$106)+ROUNDDOWN(O21,1)*100)&lt;95,95,((XLOOKUP(D21,RUC!$B$3:$B$106,RUC!$E$3:$E$106)+ROUNDDOWN(O21,1)*100)))</f>
        <v>95</v>
      </c>
      <c r="U21" s="67">
        <f t="array" ref="U21">XLOOKUP(D21,RUC!$B$3:$B$110,RUC!$F$3:$F$110)</f>
        <v>100</v>
      </c>
      <c r="V21" s="67">
        <v>1.1023</v>
      </c>
      <c r="Y21" s="57" t="str">
        <f t="array" ref="Y21">XLOOKUP(D21,RUC!$B$3:$B$110,RUC!$G$3:$G$110)</f>
        <v/>
      </c>
      <c r="Z21" s="69">
        <f t="array" ref="Z21">XLOOKUP(D21,RUC!$B$3:$B$110,RUC!$H$3:$H$110)</f>
        <v>30</v>
      </c>
      <c r="AA21" s="70">
        <f t="shared" si="6"/>
        <v>30</v>
      </c>
      <c r="AB21" s="71">
        <f t="shared" si="23"/>
        <v>535.578822</v>
      </c>
      <c r="AC21" s="71">
        <f>+(S21-T21)*V21-'data 1'!$F$4</f>
        <v>24.7185</v>
      </c>
      <c r="AD21" s="71">
        <f t="shared" si="7"/>
        <v>30.27122702</v>
      </c>
      <c r="AE21" s="71">
        <f t="shared" si="8"/>
        <v>-36.931</v>
      </c>
      <c r="AF21" s="71">
        <f t="shared" si="9"/>
        <v>97.7839027</v>
      </c>
      <c r="AG21" s="72">
        <f t="shared" si="30"/>
        <v>175.8426297</v>
      </c>
      <c r="AH21" s="193">
        <f t="shared" si="11"/>
        <v>18.036</v>
      </c>
      <c r="AI21" s="193">
        <f t="shared" si="12"/>
        <v>19.28</v>
      </c>
      <c r="AJ21" s="73">
        <f t="shared" si="13"/>
        <v>-14.51313202</v>
      </c>
      <c r="AK21" s="73">
        <f t="shared" si="14"/>
        <v>15.22501627</v>
      </c>
      <c r="AM21" s="51">
        <f t="shared" si="15"/>
        <v>1943.079966</v>
      </c>
      <c r="AN21" s="51" t="str">
        <f t="array" ref="AN21">XLOOKUP(D21,RUC!$B$3:$B$565,RUC!$M$3:$M$565)</f>
        <v>Ronald Garibay</v>
      </c>
      <c r="AO21" s="131" t="s">
        <v>547</v>
      </c>
      <c r="AP21" s="57" t="s">
        <v>713</v>
      </c>
      <c r="AQ21" s="57" t="s">
        <v>714</v>
      </c>
    </row>
    <row r="22" ht="15.0" customHeight="1">
      <c r="A22" s="116" t="s">
        <v>3099</v>
      </c>
      <c r="B22" s="182">
        <v>46057.0</v>
      </c>
      <c r="C22" s="182">
        <v>46048.0</v>
      </c>
      <c r="D22" s="57" t="s">
        <v>306</v>
      </c>
      <c r="E22" s="3">
        <f t="array" ref="E22">XLOOKUP(D22,RUC!$B$3:$B$110,RUC!$D$3:$D$110)</f>
        <v>20612921866</v>
      </c>
      <c r="G22" s="3">
        <v>50.0</v>
      </c>
      <c r="H22" s="3" t="s">
        <v>47</v>
      </c>
      <c r="I22" s="6">
        <v>5.28</v>
      </c>
      <c r="J22" s="58">
        <v>1.4</v>
      </c>
      <c r="K22" s="6">
        <f t="shared" si="2"/>
        <v>5.206</v>
      </c>
      <c r="L22" s="139">
        <v>0.156</v>
      </c>
      <c r="M22" s="60">
        <f t="shared" si="3"/>
        <v>0.137</v>
      </c>
      <c r="N22" s="62">
        <f t="shared" si="27"/>
        <v>0.137</v>
      </c>
      <c r="O22" s="60">
        <f t="shared" si="5"/>
        <v>0.137</v>
      </c>
      <c r="P22" s="63">
        <v>90.0</v>
      </c>
      <c r="Q22" s="58">
        <v>96.13</v>
      </c>
      <c r="R22" s="65">
        <v>5090.8</v>
      </c>
      <c r="S22" s="66">
        <f t="array" ref="S22">IF((XLOOKUP(D22,RUC!$B$3:$B$106,RUC!$E$3:$E$106)+ROUNDDOWN(O22,1)*100)&lt;95,95,((XLOOKUP(D22,RUC!$B$3:$B$106,RUC!$E$3:$E$106)+ROUNDDOWN(O22,1)*100)))</f>
        <v>95</v>
      </c>
      <c r="U22" s="67">
        <f t="array" ref="U22">XLOOKUP(D22,RUC!$B$3:$B$110,RUC!$F$3:$F$110)</f>
        <v>100</v>
      </c>
      <c r="V22" s="67">
        <v>1.1023</v>
      </c>
      <c r="Y22" s="57" t="str">
        <f t="array" ref="Y22">XLOOKUP(D22,RUC!$B$3:$B$110,RUC!$G$3:$G$110)</f>
        <v/>
      </c>
      <c r="Z22" s="69">
        <f t="array" ref="Z22">XLOOKUP(D22,RUC!$B$3:$B$110,RUC!$H$3:$H$110)</f>
        <v>30</v>
      </c>
      <c r="AA22" s="70">
        <f t="shared" si="6"/>
        <v>30</v>
      </c>
      <c r="AB22" s="71">
        <f t="shared" si="23"/>
        <v>540.530045</v>
      </c>
      <c r="AC22" s="71">
        <f>+(S22-T22)*V22-'data 1'!$F$4</f>
        <v>24.7185</v>
      </c>
      <c r="AD22" s="71">
        <f t="shared" si="7"/>
        <v>52.60839432</v>
      </c>
      <c r="AE22" s="71">
        <f t="shared" si="8"/>
        <v>-36.931</v>
      </c>
      <c r="AF22" s="71">
        <f t="shared" si="9"/>
        <v>100.4806688</v>
      </c>
      <c r="AG22" s="72">
        <f t="shared" si="30"/>
        <v>200.8765631</v>
      </c>
      <c r="AH22" s="193">
        <f t="shared" si="11"/>
        <v>26.767</v>
      </c>
      <c r="AI22" s="193">
        <f t="shared" si="12"/>
        <v>27.844</v>
      </c>
      <c r="AJ22" s="73">
        <f t="shared" si="13"/>
        <v>-15.0096027</v>
      </c>
      <c r="AK22" s="73">
        <f t="shared" si="14"/>
        <v>22.00778373</v>
      </c>
      <c r="AM22" s="51">
        <f t="shared" si="15"/>
        <v>2813.999414</v>
      </c>
      <c r="AN22" s="51" t="str">
        <f t="array" ref="AN22">XLOOKUP(D22,RUC!$B$3:$B$565,RUC!$M$3:$M$565)</f>
        <v>Ronald Garibay</v>
      </c>
      <c r="AO22" s="131" t="s">
        <v>549</v>
      </c>
      <c r="AP22" s="57" t="s">
        <v>3100</v>
      </c>
      <c r="AQ22" s="57" t="s">
        <v>3101</v>
      </c>
    </row>
    <row r="23" ht="15.0" customHeight="1">
      <c r="A23" s="116" t="s">
        <v>3102</v>
      </c>
      <c r="B23" s="182">
        <v>46057.0</v>
      </c>
      <c r="C23" s="182">
        <v>46048.0</v>
      </c>
      <c r="D23" s="57" t="s">
        <v>306</v>
      </c>
      <c r="E23" s="3">
        <f t="array" ref="E23">XLOOKUP(D23,RUC!$B$3:$B$110,RUC!$D$3:$D$110)</f>
        <v>20612921866</v>
      </c>
      <c r="G23" s="3">
        <v>50.0</v>
      </c>
      <c r="H23" s="3" t="s">
        <v>47</v>
      </c>
      <c r="I23" s="6">
        <v>5.4</v>
      </c>
      <c r="J23" s="58">
        <v>1.25</v>
      </c>
      <c r="K23" s="6">
        <f t="shared" si="2"/>
        <v>5.333</v>
      </c>
      <c r="L23" s="139">
        <v>0.162</v>
      </c>
      <c r="M23" s="60">
        <f t="shared" si="3"/>
        <v>0.143</v>
      </c>
      <c r="N23" s="62">
        <f t="shared" si="27"/>
        <v>0.143</v>
      </c>
      <c r="O23" s="60">
        <f t="shared" si="5"/>
        <v>0.143</v>
      </c>
      <c r="P23" s="63">
        <v>90.0</v>
      </c>
      <c r="Q23" s="58">
        <v>98.13</v>
      </c>
      <c r="R23" s="65">
        <v>5090.8</v>
      </c>
      <c r="S23" s="66">
        <f t="array" ref="S23">IF((XLOOKUP(D23,RUC!$B$3:$B$106,RUC!$E$3:$E$106)+ROUNDDOWN(O23,1)*100)&lt;95,95,((XLOOKUP(D23,RUC!$B$3:$B$106,RUC!$E$3:$E$106)+ROUNDDOWN(O23,1)*100)))</f>
        <v>95</v>
      </c>
      <c r="U23" s="67">
        <f t="array" ref="U23">XLOOKUP(D23,RUC!$B$3:$B$110,RUC!$F$3:$F$110)</f>
        <v>100</v>
      </c>
      <c r="V23" s="67">
        <v>1.1023</v>
      </c>
      <c r="Y23" s="57" t="str">
        <f t="array" ref="Y23">XLOOKUP(D23,RUC!$B$3:$B$110,RUC!$G$3:$G$110)</f>
        <v/>
      </c>
      <c r="Z23" s="69">
        <f t="array" ref="Z23">XLOOKUP(D23,RUC!$B$3:$B$110,RUC!$H$3:$H$110)</f>
        <v>30</v>
      </c>
      <c r="AA23" s="70">
        <f t="shared" si="6"/>
        <v>30</v>
      </c>
      <c r="AB23" s="71">
        <f t="shared" si="23"/>
        <v>570.2373827</v>
      </c>
      <c r="AC23" s="71">
        <f>+(S23-T23)*V23-'data 1'!$F$4</f>
        <v>24.7185</v>
      </c>
      <c r="AD23" s="71">
        <f t="shared" si="7"/>
        <v>72.45619674</v>
      </c>
      <c r="AE23" s="71">
        <f t="shared" si="8"/>
        <v>-36.931</v>
      </c>
      <c r="AF23" s="71">
        <f t="shared" si="9"/>
        <v>102.5711852</v>
      </c>
      <c r="AG23" s="72">
        <f t="shared" si="30"/>
        <v>222.8148819</v>
      </c>
      <c r="AH23" s="193">
        <f t="shared" si="11"/>
        <v>29.067</v>
      </c>
      <c r="AI23" s="193">
        <f t="shared" si="12"/>
        <v>29.621</v>
      </c>
      <c r="AJ23" s="73">
        <f t="shared" si="13"/>
        <v>-15.91118295</v>
      </c>
      <c r="AK23" s="73">
        <f t="shared" si="14"/>
        <v>23.53201951</v>
      </c>
      <c r="AM23" s="51">
        <f t="shared" si="15"/>
        <v>3041.075962</v>
      </c>
      <c r="AN23" s="51" t="str">
        <f t="array" ref="AN23">XLOOKUP(D23,RUC!$B$3:$B$565,RUC!$M$3:$M$565)</f>
        <v>Ronald Garibay</v>
      </c>
      <c r="AO23" s="131" t="s">
        <v>547</v>
      </c>
      <c r="AP23" s="57" t="s">
        <v>3100</v>
      </c>
      <c r="AQ23" s="57" t="s">
        <v>3101</v>
      </c>
    </row>
    <row r="24" ht="15.0" customHeight="1">
      <c r="A24" s="116" t="s">
        <v>3103</v>
      </c>
      <c r="B24" s="182">
        <v>46057.0</v>
      </c>
      <c r="C24" s="182">
        <v>46048.0</v>
      </c>
      <c r="D24" s="57" t="s">
        <v>622</v>
      </c>
      <c r="E24" s="3">
        <f t="array" ref="E24">XLOOKUP(D24,RUC!$B$3:$B$110,RUC!$D$3:$D$110)</f>
        <v>20612719757</v>
      </c>
      <c r="G24" s="3">
        <v>40.0</v>
      </c>
      <c r="H24" s="3" t="s">
        <v>339</v>
      </c>
      <c r="I24" s="6">
        <v>3.6</v>
      </c>
      <c r="J24" s="58">
        <v>14.53</v>
      </c>
      <c r="K24" s="6">
        <f t="shared" si="2"/>
        <v>3.077</v>
      </c>
      <c r="L24" s="139">
        <v>0.371</v>
      </c>
      <c r="M24" s="60">
        <f t="shared" si="3"/>
        <v>0.349</v>
      </c>
      <c r="N24" s="62">
        <f t="shared" si="27"/>
        <v>0.349</v>
      </c>
      <c r="O24" s="60">
        <f t="shared" si="5"/>
        <v>0.349</v>
      </c>
      <c r="P24" s="63">
        <v>90.0</v>
      </c>
      <c r="Q24" s="58">
        <v>95.96</v>
      </c>
      <c r="R24" s="65">
        <v>5090.8</v>
      </c>
      <c r="S24" s="66">
        <f t="array" ref="S24">IF((XLOOKUP(D24,RUC!$B$3:$B$106,RUC!$E$3:$E$106)+ROUNDDOWN(O24,1)*100)&lt;95,95,((XLOOKUP(D24,RUC!$B$3:$B$106,RUC!$E$3:$E$106)+ROUNDDOWN(O24,1)*100)))</f>
        <v>120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69">
        <f t="array" ref="Z24">XLOOKUP(D24,RUC!$B$3:$B$110,RUC!$H$3:$H$110)</f>
        <v>30</v>
      </c>
      <c r="AA24" s="70">
        <f t="shared" si="6"/>
        <v>50</v>
      </c>
      <c r="AB24" s="71">
        <f t="shared" si="23"/>
        <v>1533.661163</v>
      </c>
      <c r="AC24" s="71">
        <f>+(S24-T24)*V24-'data 1'!$F$4</f>
        <v>52.276</v>
      </c>
      <c r="AD24" s="71">
        <f t="shared" si="7"/>
        <v>121.1563738</v>
      </c>
      <c r="AE24" s="71">
        <f t="shared" si="8"/>
        <v>-14.885</v>
      </c>
      <c r="AF24" s="71">
        <f t="shared" si="9"/>
        <v>115.6748692</v>
      </c>
      <c r="AG24" s="72">
        <f t="shared" ref="AG24:AG33" si="31">AC24+AD24+AE24+AF24+70-53</f>
        <v>291.222243</v>
      </c>
      <c r="AH24" s="193">
        <f t="shared" si="11"/>
        <v>37.558</v>
      </c>
      <c r="AI24" s="193">
        <f t="shared" si="12"/>
        <v>39.139</v>
      </c>
      <c r="AJ24" s="73">
        <f t="shared" si="13"/>
        <v>-27.78415634</v>
      </c>
      <c r="AK24" s="73">
        <f t="shared" si="14"/>
        <v>33.13633727</v>
      </c>
      <c r="AM24" s="51">
        <f t="shared" si="15"/>
        <v>4719.075399</v>
      </c>
      <c r="AN24" s="51" t="str">
        <f t="array" ref="AN24">XLOOKUP(D24,RUC!$B$3:$B$565,RUC!$M$3:$M$565)</f>
        <v>Walter Achulla </v>
      </c>
      <c r="AO24" s="131" t="s">
        <v>551</v>
      </c>
      <c r="AP24" s="57" t="s">
        <v>3104</v>
      </c>
      <c r="AQ24" s="57" t="s">
        <v>3105</v>
      </c>
      <c r="BA24" s="203"/>
    </row>
    <row r="25" ht="15.0" customHeight="1">
      <c r="A25" s="116" t="s">
        <v>3106</v>
      </c>
      <c r="B25" s="182">
        <v>46057.0</v>
      </c>
      <c r="C25" s="182">
        <v>46048.0</v>
      </c>
      <c r="D25" s="57" t="s">
        <v>622</v>
      </c>
      <c r="E25" s="3">
        <f t="array" ref="E25">XLOOKUP(D25,RUC!$B$3:$B$110,RUC!$D$3:$D$110)</f>
        <v>20612719757</v>
      </c>
      <c r="G25" s="3">
        <v>40.0</v>
      </c>
      <c r="H25" s="3" t="s">
        <v>339</v>
      </c>
      <c r="I25" s="6">
        <v>3.75</v>
      </c>
      <c r="J25" s="58">
        <v>12.48</v>
      </c>
      <c r="K25" s="6">
        <f t="shared" si="2"/>
        <v>3.282</v>
      </c>
      <c r="L25" s="139">
        <v>0.419</v>
      </c>
      <c r="M25" s="60">
        <f t="shared" si="3"/>
        <v>0.394</v>
      </c>
      <c r="N25" s="62">
        <f t="shared" si="27"/>
        <v>0.394</v>
      </c>
      <c r="O25" s="60">
        <f t="shared" si="5"/>
        <v>0.394</v>
      </c>
      <c r="P25" s="63">
        <v>90.0</v>
      </c>
      <c r="Q25" s="58">
        <v>94.51</v>
      </c>
      <c r="R25" s="65">
        <v>5090.8</v>
      </c>
      <c r="S25" s="66">
        <f t="array" ref="S25">IF((XLOOKUP(D25,RUC!$B$3:$B$106,RUC!$E$3:$E$106)+ROUNDDOWN(O25,1)*100)&lt;95,95,((XLOOKUP(D25,RUC!$B$3:$B$106,RUC!$E$3:$E$106)+ROUNDDOWN(O25,1)*100)))</f>
        <v>120</v>
      </c>
      <c r="U25" s="67">
        <f t="array" ref="U25">XLOOKUP(D25,RUC!$B$3:$B$110,RUC!$F$3:$F$110)</f>
        <v>120</v>
      </c>
      <c r="V25" s="67">
        <v>1.1023</v>
      </c>
      <c r="Y25" s="57">
        <f t="array" ref="Y25">XLOOKUP(D25,RUC!$B$3:$B$110,RUC!$G$3:$G$110)</f>
        <v>20</v>
      </c>
      <c r="Z25" s="69">
        <f t="array" ref="Z25">XLOOKUP(D25,RUC!$B$3:$B$110,RUC!$H$3:$H$110)</f>
        <v>30</v>
      </c>
      <c r="AA25" s="70">
        <f t="shared" si="6"/>
        <v>50</v>
      </c>
      <c r="AB25" s="71">
        <f t="shared" si="23"/>
        <v>1755.573333</v>
      </c>
      <c r="AC25" s="71">
        <f>+(S25-T25)*V25-'data 1'!$F$4</f>
        <v>52.276</v>
      </c>
      <c r="AD25" s="71">
        <f t="shared" si="7"/>
        <v>103.5420268</v>
      </c>
      <c r="AE25" s="71">
        <f t="shared" si="8"/>
        <v>-14.885</v>
      </c>
      <c r="AF25" s="71">
        <f t="shared" si="9"/>
        <v>129.4624641</v>
      </c>
      <c r="AG25" s="72">
        <f t="shared" si="31"/>
        <v>287.3954909</v>
      </c>
      <c r="AH25" s="193">
        <f t="shared" si="11"/>
        <v>44.559</v>
      </c>
      <c r="AI25" s="193">
        <f t="shared" si="12"/>
        <v>47.148</v>
      </c>
      <c r="AJ25" s="73">
        <f t="shared" si="13"/>
        <v>-30.90472271</v>
      </c>
      <c r="AK25" s="73">
        <f t="shared" si="14"/>
        <v>39.90123861</v>
      </c>
      <c r="AM25" s="51">
        <f t="shared" si="15"/>
        <v>5761.791679</v>
      </c>
      <c r="AN25" s="51" t="str">
        <f t="array" ref="AN25">XLOOKUP(D25,RUC!$B$3:$B$565,RUC!$M$3:$M$565)</f>
        <v>Walter Achulla </v>
      </c>
      <c r="AO25" s="131" t="s">
        <v>551</v>
      </c>
      <c r="AP25" s="57" t="s">
        <v>3104</v>
      </c>
      <c r="AQ25" s="57" t="s">
        <v>3105</v>
      </c>
      <c r="BA25" s="203"/>
    </row>
    <row r="26" ht="15.0" customHeight="1">
      <c r="A26" s="116" t="s">
        <v>3107</v>
      </c>
      <c r="B26" s="182">
        <v>46057.0</v>
      </c>
      <c r="C26" s="182">
        <v>46048.0</v>
      </c>
      <c r="D26" s="57" t="s">
        <v>622</v>
      </c>
      <c r="E26" s="3">
        <f t="array" ref="E26">XLOOKUP(D26,RUC!$B$3:$B$110,RUC!$D$3:$D$110)</f>
        <v>20612719757</v>
      </c>
      <c r="G26" s="3">
        <v>30.0</v>
      </c>
      <c r="H26" s="3" t="s">
        <v>339</v>
      </c>
      <c r="I26" s="6">
        <v>2.67</v>
      </c>
      <c r="J26" s="58">
        <v>12.68</v>
      </c>
      <c r="K26" s="6">
        <f t="shared" si="2"/>
        <v>2.331</v>
      </c>
      <c r="L26" s="139">
        <v>0.269</v>
      </c>
      <c r="M26" s="60">
        <f t="shared" si="3"/>
        <v>0.25</v>
      </c>
      <c r="N26" s="62">
        <f t="shared" si="27"/>
        <v>0.25</v>
      </c>
      <c r="O26" s="60">
        <f t="shared" si="5"/>
        <v>0.25</v>
      </c>
      <c r="P26" s="63">
        <v>90.0</v>
      </c>
      <c r="Q26" s="58">
        <v>94.42</v>
      </c>
      <c r="R26" s="65">
        <v>5090.8</v>
      </c>
      <c r="S26" s="66">
        <f t="array" ref="S26">IF((XLOOKUP(D26,RUC!$B$3:$B$106,RUC!$E$3:$E$106)+ROUNDDOWN(O26,1)*100)&lt;95,95,((XLOOKUP(D26,RUC!$B$3:$B$106,RUC!$E$3:$E$106)+ROUNDDOWN(O26,1)*100)))</f>
        <v>110</v>
      </c>
      <c r="U26" s="67">
        <f t="array" ref="U26">XLOOKUP(D26,RUC!$B$3:$B$110,RUC!$F$3:$F$110)</f>
        <v>120</v>
      </c>
      <c r="V26" s="67">
        <v>1.1023</v>
      </c>
      <c r="Y26" s="57">
        <f t="array" ref="Y26">XLOOKUP(D26,RUC!$B$3:$B$110,RUC!$G$3:$G$110)</f>
        <v>20</v>
      </c>
      <c r="Z26" s="69">
        <f t="array" ref="Z26">XLOOKUP(D26,RUC!$B$3:$B$110,RUC!$H$3:$H$110)</f>
        <v>30</v>
      </c>
      <c r="AA26" s="70">
        <f t="shared" si="6"/>
        <v>50</v>
      </c>
      <c r="AB26" s="71">
        <f t="shared" si="23"/>
        <v>1056.477389</v>
      </c>
      <c r="AC26" s="71">
        <f>+(S26-T26)*V26-'data 1'!$F$4</f>
        <v>41.253</v>
      </c>
      <c r="AD26" s="71">
        <f t="shared" si="7"/>
        <v>65.14793381</v>
      </c>
      <c r="AE26" s="71">
        <f t="shared" si="8"/>
        <v>-14.885</v>
      </c>
      <c r="AF26" s="71">
        <f t="shared" si="9"/>
        <v>98.29777649</v>
      </c>
      <c r="AG26" s="72">
        <f t="shared" si="31"/>
        <v>206.8137103</v>
      </c>
      <c r="AH26" s="193">
        <f t="shared" si="11"/>
        <v>20.299</v>
      </c>
      <c r="AI26" s="193">
        <f t="shared" si="12"/>
        <v>21.498</v>
      </c>
      <c r="AJ26" s="73">
        <f t="shared" si="13"/>
        <v>-19.82208532</v>
      </c>
      <c r="AK26" s="73">
        <f t="shared" si="14"/>
        <v>17.9818289</v>
      </c>
      <c r="AM26" s="51">
        <f t="shared" si="15"/>
        <v>2462.648794</v>
      </c>
      <c r="AN26" s="51" t="str">
        <f t="array" ref="AN26">XLOOKUP(D26,RUC!$B$3:$B$565,RUC!$M$3:$M$565)</f>
        <v>Walter Achulla </v>
      </c>
      <c r="AO26" s="131" t="s">
        <v>551</v>
      </c>
      <c r="AP26" s="57" t="s">
        <v>3104</v>
      </c>
      <c r="AQ26" s="57" t="s">
        <v>3105</v>
      </c>
      <c r="AV26" s="149" t="s">
        <v>3108</v>
      </c>
      <c r="AW26" s="150"/>
      <c r="AX26" s="150"/>
      <c r="AY26" s="150"/>
      <c r="AZ26" s="150"/>
      <c r="BA26" s="151"/>
    </row>
    <row r="27" ht="15.0" customHeight="1">
      <c r="A27" s="116" t="s">
        <v>3109</v>
      </c>
      <c r="B27" s="182">
        <v>46057.0</v>
      </c>
      <c r="C27" s="182">
        <v>46049.0</v>
      </c>
      <c r="D27" s="57" t="s">
        <v>295</v>
      </c>
      <c r="E27" s="3">
        <f t="array" ref="E27">XLOOKUP(D27,RUC!$B$3:$B$110,RUC!$D$3:$D$110)</f>
        <v>20601769396</v>
      </c>
      <c r="G27" s="3">
        <v>25.0</v>
      </c>
      <c r="H27" s="3" t="s">
        <v>40</v>
      </c>
      <c r="I27" s="6">
        <v>2.19</v>
      </c>
      <c r="J27" s="58">
        <v>12.4</v>
      </c>
      <c r="K27" s="6">
        <f t="shared" si="2"/>
        <v>1.918</v>
      </c>
      <c r="L27" s="139">
        <v>0.507</v>
      </c>
      <c r="M27" s="60">
        <f t="shared" si="3"/>
        <v>0.477</v>
      </c>
      <c r="N27" s="75">
        <v>0.563</v>
      </c>
      <c r="O27" s="60">
        <f t="shared" si="5"/>
        <v>0.52</v>
      </c>
      <c r="P27" s="63">
        <v>90.0</v>
      </c>
      <c r="Q27" s="58">
        <v>95.07</v>
      </c>
      <c r="R27" s="65">
        <v>5064.25</v>
      </c>
      <c r="S27" s="66">
        <f t="array" ref="S27">IF((XLOOKUP(D27,RUC!$B$3:$B$106,RUC!$E$3:$E$106)+ROUNDDOWN(O27,1)*100)&lt;95,95,((XLOOKUP(D27,RUC!$B$3:$B$106,RUC!$E$3:$E$106)+ROUNDDOWN(O27,1)*100)))</f>
        <v>140</v>
      </c>
      <c r="U27" s="67">
        <f t="array" ref="U27">XLOOKUP(D27,RUC!$B$3:$B$110,RUC!$F$3:$F$110)</f>
        <v>120</v>
      </c>
      <c r="V27" s="67">
        <v>1.1023</v>
      </c>
      <c r="Y27" s="199">
        <v>30.0</v>
      </c>
      <c r="Z27" s="140">
        <v>40.0</v>
      </c>
      <c r="AA27" s="70">
        <f t="shared" si="6"/>
        <v>70</v>
      </c>
      <c r="AB27" s="71">
        <f t="shared" si="23"/>
        <v>2319.138891</v>
      </c>
      <c r="AC27" s="71">
        <f>+(S27-T27)*V27-'data 1'!$F$4</f>
        <v>74.322</v>
      </c>
      <c r="AD27" s="71">
        <f t="shared" si="7"/>
        <v>140.0929073</v>
      </c>
      <c r="AE27" s="71">
        <f t="shared" si="8"/>
        <v>7.161</v>
      </c>
      <c r="AF27" s="71">
        <f t="shared" si="9"/>
        <v>-67.3576731</v>
      </c>
      <c r="AG27" s="72">
        <f t="shared" si="31"/>
        <v>171.2182342</v>
      </c>
      <c r="AH27" s="193">
        <f t="shared" si="11"/>
        <v>31.696</v>
      </c>
      <c r="AI27" s="193">
        <f t="shared" si="12"/>
        <v>33.34</v>
      </c>
      <c r="AJ27" s="73">
        <f t="shared" si="13"/>
        <v>-23.51064456</v>
      </c>
      <c r="AK27" s="73">
        <f t="shared" si="14"/>
        <v>30.77538716</v>
      </c>
      <c r="AM27" s="51">
        <f t="shared" si="15"/>
        <v>4448.108392</v>
      </c>
      <c r="AN27" s="51" t="str">
        <f t="array" ref="AN27">XLOOKUP(D27,RUC!$B$3:$B$565,RUC!$M$3:$M$565)</f>
        <v>Evelyn</v>
      </c>
      <c r="AO27" s="131" t="s">
        <v>558</v>
      </c>
      <c r="AP27" s="57" t="s">
        <v>716</v>
      </c>
      <c r="AQ27" s="57" t="s">
        <v>717</v>
      </c>
      <c r="BA27" s="203">
        <f>SUM(BA29:BA38)</f>
        <v>0</v>
      </c>
    </row>
    <row r="28" ht="15.0" customHeight="1">
      <c r="A28" s="116" t="s">
        <v>3110</v>
      </c>
      <c r="B28" s="182">
        <v>46057.0</v>
      </c>
      <c r="C28" s="182">
        <v>46049.0</v>
      </c>
      <c r="D28" s="57" t="s">
        <v>295</v>
      </c>
      <c r="E28" s="3">
        <f t="array" ref="E28">XLOOKUP(D28,RUC!$B$3:$B$110,RUC!$D$3:$D$110)</f>
        <v>20601769396</v>
      </c>
      <c r="G28" s="3">
        <v>20.0</v>
      </c>
      <c r="H28" s="3" t="s">
        <v>40</v>
      </c>
      <c r="I28" s="6">
        <v>1.74</v>
      </c>
      <c r="J28" s="58">
        <v>12.55</v>
      </c>
      <c r="K28" s="6">
        <f t="shared" si="2"/>
        <v>1.522</v>
      </c>
      <c r="L28" s="139">
        <v>0.209</v>
      </c>
      <c r="M28" s="60">
        <f t="shared" si="3"/>
        <v>0.19</v>
      </c>
      <c r="N28" s="75">
        <v>0.233</v>
      </c>
      <c r="O28" s="60">
        <f t="shared" si="5"/>
        <v>0.212</v>
      </c>
      <c r="P28" s="63">
        <v>90.0</v>
      </c>
      <c r="Q28" s="58">
        <v>95.69</v>
      </c>
      <c r="R28" s="65">
        <v>5064.25</v>
      </c>
      <c r="S28" s="66">
        <f t="array" ref="S28">IF((XLOOKUP(D28,RUC!$B$3:$B$106,RUC!$E$3:$E$106)+ROUNDDOWN(O28,1)*100)&lt;95,95,((XLOOKUP(D28,RUC!$B$3:$B$106,RUC!$E$3:$E$106)+ROUNDDOWN(O28,1)*100)))</f>
        <v>110</v>
      </c>
      <c r="U28" s="67">
        <f t="array" ref="U28">XLOOKUP(D28,RUC!$B$3:$B$110,RUC!$F$3:$F$110)</f>
        <v>120</v>
      </c>
      <c r="V28" s="67">
        <v>1.1023</v>
      </c>
      <c r="Y28" s="199">
        <v>30.0</v>
      </c>
      <c r="Z28" s="140">
        <v>40.0</v>
      </c>
      <c r="AA28" s="70">
        <f t="shared" si="6"/>
        <v>70</v>
      </c>
      <c r="AB28" s="71">
        <f t="shared" si="23"/>
        <v>841.4549247</v>
      </c>
      <c r="AC28" s="71">
        <f>+(S28-T28)*V28-'data 1'!$F$4</f>
        <v>41.253</v>
      </c>
      <c r="AD28" s="71">
        <f t="shared" si="7"/>
        <v>64.81250125</v>
      </c>
      <c r="AE28" s="71">
        <f t="shared" si="8"/>
        <v>7.161</v>
      </c>
      <c r="AF28" s="71">
        <f t="shared" si="9"/>
        <v>-15.64544928</v>
      </c>
      <c r="AG28" s="72">
        <f t="shared" si="31"/>
        <v>114.581052</v>
      </c>
      <c r="AH28" s="193">
        <f t="shared" si="11"/>
        <v>10.436</v>
      </c>
      <c r="AI28" s="193">
        <f t="shared" si="12"/>
        <v>10.906</v>
      </c>
      <c r="AJ28" s="73">
        <f t="shared" si="13"/>
        <v>-9.754969663</v>
      </c>
      <c r="AK28" s="73">
        <f t="shared" si="14"/>
        <v>9.956394405</v>
      </c>
      <c r="AM28" s="51">
        <f t="shared" si="15"/>
        <v>1280.694395</v>
      </c>
      <c r="AN28" s="51" t="str">
        <f t="array" ref="AN28">XLOOKUP(D28,RUC!$B$3:$B$565,RUC!$M$3:$M$565)</f>
        <v>Evelyn</v>
      </c>
      <c r="AO28" s="131" t="s">
        <v>558</v>
      </c>
      <c r="AP28" s="57" t="s">
        <v>716</v>
      </c>
      <c r="AQ28" s="57" t="s">
        <v>717</v>
      </c>
      <c r="AV28" s="3"/>
      <c r="AW28" s="3" t="s">
        <v>14</v>
      </c>
      <c r="AX28" s="3" t="s">
        <v>683</v>
      </c>
      <c r="AY28" s="3" t="s">
        <v>686</v>
      </c>
      <c r="AZ28" s="204" t="s">
        <v>700</v>
      </c>
      <c r="BA28" s="3" t="s">
        <v>687</v>
      </c>
    </row>
    <row r="29" ht="15.0" customHeight="1">
      <c r="A29" s="116" t="s">
        <v>3111</v>
      </c>
      <c r="B29" s="182">
        <v>46062.0</v>
      </c>
      <c r="C29" s="182">
        <v>46049.0</v>
      </c>
      <c r="D29" s="57" t="s">
        <v>295</v>
      </c>
      <c r="E29" s="3">
        <f t="array" ref="E29">XLOOKUP(D29,RUC!$B$3:$B$110,RUC!$D$3:$D$110)</f>
        <v>20601769396</v>
      </c>
      <c r="G29" s="3">
        <v>13.0</v>
      </c>
      <c r="H29" s="3" t="s">
        <v>47</v>
      </c>
      <c r="I29" s="6">
        <v>0.91</v>
      </c>
      <c r="J29" s="58">
        <v>1.1</v>
      </c>
      <c r="K29" s="6">
        <f t="shared" si="2"/>
        <v>0.9</v>
      </c>
      <c r="L29" s="139">
        <v>0.241</v>
      </c>
      <c r="M29" s="60">
        <f t="shared" si="3"/>
        <v>0.222</v>
      </c>
      <c r="N29" s="62">
        <f t="shared" ref="N29:N65" si="32">+M29</f>
        <v>0.222</v>
      </c>
      <c r="O29" s="60">
        <f t="shared" si="5"/>
        <v>0.222</v>
      </c>
      <c r="P29" s="63">
        <v>90.0</v>
      </c>
      <c r="Q29" s="58">
        <v>91.29</v>
      </c>
      <c r="R29" s="65">
        <v>5064.25</v>
      </c>
      <c r="S29" s="66">
        <f t="array" ref="S29">IF((XLOOKUP(D29,RUC!$B$3:$B$106,RUC!$E$3:$E$106)+ROUNDDOWN(O29,1)*100)&lt;95,95,((XLOOKUP(D29,RUC!$B$3:$B$106,RUC!$E$3:$E$106)+ROUNDDOWN(O29,1)*100)))</f>
        <v>110</v>
      </c>
      <c r="U29" s="67">
        <f t="array" ref="U29">XLOOKUP(D29,RUC!$B$3:$B$110,RUC!$F$3:$F$110)</f>
        <v>120</v>
      </c>
      <c r="V29" s="67">
        <v>1.1023</v>
      </c>
      <c r="Y29" s="57">
        <f t="array" ref="Y29">XLOOKUP(D29,RUC!$B$3:$B$110,RUC!$G$3:$G$110)</f>
        <v>20</v>
      </c>
      <c r="Z29" s="69">
        <f t="array" ref="Z29">XLOOKUP(D29,RUC!$B$3:$B$110,RUC!$H$3:$H$110)</f>
        <v>30</v>
      </c>
      <c r="AA29" s="70">
        <f t="shared" si="6"/>
        <v>50</v>
      </c>
      <c r="AB29" s="71">
        <f t="shared" si="23"/>
        <v>912.5513456</v>
      </c>
      <c r="AC29" s="71">
        <f>+(S29-T29)*V29-'data 1'!$F$4</f>
        <v>41.253</v>
      </c>
      <c r="AD29" s="71">
        <f t="shared" si="7"/>
        <v>16.94365042</v>
      </c>
      <c r="AE29" s="71">
        <f t="shared" si="8"/>
        <v>-14.885</v>
      </c>
      <c r="AF29" s="71">
        <f t="shared" si="9"/>
        <v>94.53160632</v>
      </c>
      <c r="AG29" s="72">
        <f t="shared" si="31"/>
        <v>154.8432567</v>
      </c>
      <c r="AH29" s="193">
        <f t="shared" si="11"/>
        <v>6.789</v>
      </c>
      <c r="AI29" s="193">
        <f t="shared" si="12"/>
        <v>7.437</v>
      </c>
      <c r="AJ29" s="73">
        <f t="shared" si="13"/>
        <v>-10.73132461</v>
      </c>
      <c r="AK29" s="73">
        <f t="shared" si="14"/>
        <v>6.165198479</v>
      </c>
      <c r="AM29" s="51">
        <f t="shared" si="15"/>
        <v>821.2962111</v>
      </c>
      <c r="AN29" s="51" t="str">
        <f t="array" ref="AN29">XLOOKUP(D29,RUC!$B$3:$B$565,RUC!$M$3:$M$565)</f>
        <v>Evelyn</v>
      </c>
      <c r="AO29" s="131" t="s">
        <v>549</v>
      </c>
      <c r="AP29" s="57" t="s">
        <v>716</v>
      </c>
      <c r="AQ29" s="57" t="s">
        <v>717</v>
      </c>
      <c r="AV29" s="152" t="s">
        <v>558</v>
      </c>
      <c r="AW29" s="154">
        <f t="shared" ref="AW29:AW38" si="33">SUMIF($AO$4:$AO$747,AV29,$K$4:$K$747)</f>
        <v>105.837</v>
      </c>
      <c r="AX29" s="154"/>
      <c r="AY29" s="157">
        <f t="shared" ref="AY29:AY38" si="34">AW29*AX29*31.1035*1.1023</f>
        <v>0</v>
      </c>
      <c r="AZ29" s="58"/>
      <c r="BA29" s="159">
        <f t="shared" ref="BA29:BA38" si="35">AY29*AZ29/100</f>
        <v>0</v>
      </c>
      <c r="BB29" s="449" t="s">
        <v>3112</v>
      </c>
      <c r="BC29" s="450">
        <f>+BB7</f>
        <v>4740.673</v>
      </c>
    </row>
    <row r="30" ht="15.0" customHeight="1">
      <c r="A30" s="116" t="s">
        <v>3113</v>
      </c>
      <c r="B30" s="182">
        <v>46057.0</v>
      </c>
      <c r="C30" s="182">
        <v>46049.0</v>
      </c>
      <c r="D30" s="57" t="s">
        <v>295</v>
      </c>
      <c r="E30" s="3">
        <f t="array" ref="E30">XLOOKUP(D30,RUC!$B$3:$B$110,RUC!$D$3:$D$110)</f>
        <v>20601769396</v>
      </c>
      <c r="G30" s="3">
        <v>34.0</v>
      </c>
      <c r="H30" s="3" t="s">
        <v>40</v>
      </c>
      <c r="I30" s="6">
        <v>3.34</v>
      </c>
      <c r="J30" s="58">
        <v>9.5</v>
      </c>
      <c r="K30" s="6">
        <f t="shared" si="2"/>
        <v>3.023</v>
      </c>
      <c r="L30" s="139">
        <v>0.296</v>
      </c>
      <c r="M30" s="60">
        <f t="shared" si="3"/>
        <v>0.277</v>
      </c>
      <c r="N30" s="62">
        <f t="shared" si="32"/>
        <v>0.277</v>
      </c>
      <c r="O30" s="60">
        <f t="shared" si="5"/>
        <v>0.277</v>
      </c>
      <c r="P30" s="63">
        <v>89.0</v>
      </c>
      <c r="Q30" s="58">
        <v>89.53</v>
      </c>
      <c r="R30" s="65">
        <v>5064.25</v>
      </c>
      <c r="S30" s="66">
        <f t="array" ref="S30">IF((XLOOKUP(D30,RUC!$B$3:$B$106,RUC!$E$3:$E$106)+ROUNDDOWN(O30,1)*100)&lt;95,95,((XLOOKUP(D30,RUC!$B$3:$B$106,RUC!$E$3:$E$106)+ROUNDDOWN(O30,1)*100)))</f>
        <v>110</v>
      </c>
      <c r="U30" s="67">
        <f t="array" ref="U30">XLOOKUP(D30,RUC!$B$3:$B$110,RUC!$F$3:$F$110)</f>
        <v>120</v>
      </c>
      <c r="V30" s="67">
        <v>1.1023</v>
      </c>
      <c r="Y30" s="199">
        <v>30.0</v>
      </c>
      <c r="Z30" s="140">
        <v>40.0</v>
      </c>
      <c r="AA30" s="70">
        <f t="shared" si="6"/>
        <v>70</v>
      </c>
      <c r="AB30" s="71">
        <f t="shared" si="23"/>
        <v>1145.186031</v>
      </c>
      <c r="AC30" s="71">
        <f>+(S30-T30)*V30-'data 1'!$F$4</f>
        <v>41.253</v>
      </c>
      <c r="AD30" s="71">
        <f t="shared" si="7"/>
        <v>8.550033381</v>
      </c>
      <c r="AE30" s="71">
        <f t="shared" si="8"/>
        <v>7.161</v>
      </c>
      <c r="AF30" s="71">
        <f t="shared" si="9"/>
        <v>92.70911068</v>
      </c>
      <c r="AG30" s="72">
        <f t="shared" si="31"/>
        <v>166.6731441</v>
      </c>
      <c r="AH30" s="193">
        <f t="shared" si="11"/>
        <v>27.467</v>
      </c>
      <c r="AI30" s="193">
        <f t="shared" si="12"/>
        <v>30.679</v>
      </c>
      <c r="AJ30" s="73">
        <f t="shared" si="13"/>
        <v>-12.92627461</v>
      </c>
      <c r="AK30" s="73">
        <f t="shared" si="14"/>
        <v>25.55153481</v>
      </c>
      <c r="AM30" s="51">
        <f t="shared" si="15"/>
        <v>3461.897373</v>
      </c>
      <c r="AN30" s="51" t="str">
        <f t="array" ref="AN30">XLOOKUP(D30,RUC!$B$3:$B$565,RUC!$M$3:$M$565)</f>
        <v>Evelyn</v>
      </c>
      <c r="AO30" s="131" t="s">
        <v>558</v>
      </c>
      <c r="AP30" s="57" t="s">
        <v>716</v>
      </c>
      <c r="AQ30" s="57" t="s">
        <v>717</v>
      </c>
      <c r="AV30" s="160" t="s">
        <v>551</v>
      </c>
      <c r="AW30" s="6">
        <f t="shared" si="33"/>
        <v>142.245</v>
      </c>
      <c r="AX30" s="6"/>
      <c r="AY30" s="58">
        <f t="shared" si="34"/>
        <v>0</v>
      </c>
      <c r="AZ30" s="58"/>
      <c r="BA30" s="162">
        <f t="shared" si="35"/>
        <v>0</v>
      </c>
      <c r="BB30" s="451" t="s">
        <v>3114</v>
      </c>
      <c r="BC30" s="452">
        <f>+'38'!BC32+'38'!BC33</f>
        <v>1562.5</v>
      </c>
    </row>
    <row r="31" ht="15.0" customHeight="1">
      <c r="A31" s="116" t="s">
        <v>3115</v>
      </c>
      <c r="B31" s="182">
        <v>46057.0</v>
      </c>
      <c r="C31" s="182">
        <v>46049.0</v>
      </c>
      <c r="D31" s="57" t="s">
        <v>295</v>
      </c>
      <c r="E31" s="3">
        <f t="array" ref="E31">XLOOKUP(D31,RUC!$B$3:$B$110,RUC!$D$3:$D$110)</f>
        <v>20601769396</v>
      </c>
      <c r="G31" s="3">
        <v>34.0</v>
      </c>
      <c r="H31" s="3" t="s">
        <v>40</v>
      </c>
      <c r="I31" s="6">
        <v>3.08</v>
      </c>
      <c r="J31" s="58">
        <v>10.4</v>
      </c>
      <c r="K31" s="6">
        <f t="shared" si="2"/>
        <v>2.76</v>
      </c>
      <c r="L31" s="139">
        <v>0.384</v>
      </c>
      <c r="M31" s="60">
        <f t="shared" si="3"/>
        <v>0.361</v>
      </c>
      <c r="N31" s="62">
        <f t="shared" si="32"/>
        <v>0.361</v>
      </c>
      <c r="O31" s="60">
        <f t="shared" si="5"/>
        <v>0.361</v>
      </c>
      <c r="P31" s="63">
        <v>90.0</v>
      </c>
      <c r="Q31" s="58">
        <v>93.49</v>
      </c>
      <c r="R31" s="65">
        <v>5064.25</v>
      </c>
      <c r="S31" s="66">
        <f t="array" ref="S31">IF((XLOOKUP(D31,RUC!$B$3:$B$106,RUC!$E$3:$E$106)+ROUNDDOWN(O31,1)*100)&lt;95,95,((XLOOKUP(D31,RUC!$B$3:$B$106,RUC!$E$3:$E$106)+ROUNDDOWN(O31,1)*100)))</f>
        <v>120</v>
      </c>
      <c r="U31" s="67">
        <f t="array" ref="U31">XLOOKUP(D31,RUC!$B$3:$B$110,RUC!$F$3:$F$110)</f>
        <v>120</v>
      </c>
      <c r="V31" s="67">
        <v>1.1023</v>
      </c>
      <c r="Y31" s="199">
        <v>30.0</v>
      </c>
      <c r="Z31" s="140">
        <v>40.0</v>
      </c>
      <c r="AA31" s="70">
        <f t="shared" si="6"/>
        <v>70</v>
      </c>
      <c r="AB31" s="71">
        <f t="shared" si="23"/>
        <v>1561.283197</v>
      </c>
      <c r="AC31" s="71">
        <f>+(S31-T31)*V31-'data 1'!$F$4</f>
        <v>52.276</v>
      </c>
      <c r="AD31" s="71">
        <f t="shared" si="7"/>
        <v>73.03934686</v>
      </c>
      <c r="AE31" s="71">
        <f t="shared" si="8"/>
        <v>7.161</v>
      </c>
      <c r="AF31" s="71">
        <f t="shared" si="9"/>
        <v>117.1907208</v>
      </c>
      <c r="AG31" s="72">
        <f t="shared" si="31"/>
        <v>266.6670676</v>
      </c>
      <c r="AH31" s="193">
        <f t="shared" si="11"/>
        <v>33.971</v>
      </c>
      <c r="AI31" s="193">
        <f t="shared" si="12"/>
        <v>36.337</v>
      </c>
      <c r="AJ31" s="73">
        <f t="shared" si="13"/>
        <v>-17.51094027</v>
      </c>
      <c r="AK31" s="73">
        <f t="shared" si="14"/>
        <v>30.74453031</v>
      </c>
      <c r="AM31" s="51">
        <f t="shared" si="15"/>
        <v>4309.141624</v>
      </c>
      <c r="AN31" s="51" t="str">
        <f t="array" ref="AN31">XLOOKUP(D31,RUC!$B$3:$B$565,RUC!$M$3:$M$565)</f>
        <v>Evelyn</v>
      </c>
      <c r="AO31" s="131" t="s">
        <v>558</v>
      </c>
      <c r="AP31" s="57" t="s">
        <v>716</v>
      </c>
      <c r="AQ31" s="57" t="s">
        <v>717</v>
      </c>
      <c r="AV31" s="160" t="s">
        <v>547</v>
      </c>
      <c r="AW31" s="6">
        <f t="shared" si="33"/>
        <v>143.897</v>
      </c>
      <c r="AX31" s="6"/>
      <c r="AY31" s="58">
        <f t="shared" si="34"/>
        <v>0</v>
      </c>
      <c r="AZ31" s="58"/>
      <c r="BA31" s="162">
        <f t="shared" si="35"/>
        <v>0</v>
      </c>
      <c r="BB31" s="454" t="s">
        <v>3116</v>
      </c>
      <c r="BC31" s="470">
        <f>4860.96</f>
        <v>4860.96</v>
      </c>
    </row>
    <row r="32" ht="15.0" customHeight="1">
      <c r="A32" s="116" t="s">
        <v>3117</v>
      </c>
      <c r="B32" s="182">
        <v>46057.0</v>
      </c>
      <c r="C32" s="182">
        <v>46049.0</v>
      </c>
      <c r="D32" s="57" t="s">
        <v>295</v>
      </c>
      <c r="E32" s="3">
        <f t="array" ref="E32">XLOOKUP(D32,RUC!$B$3:$B$110,RUC!$D$3:$D$110)</f>
        <v>20601769396</v>
      </c>
      <c r="G32" s="3">
        <v>34.0</v>
      </c>
      <c r="H32" s="3" t="s">
        <v>40</v>
      </c>
      <c r="I32" s="6">
        <v>3.19</v>
      </c>
      <c r="J32" s="58">
        <v>8.9</v>
      </c>
      <c r="K32" s="6">
        <f t="shared" si="2"/>
        <v>2.906</v>
      </c>
      <c r="L32" s="139">
        <v>0.28</v>
      </c>
      <c r="M32" s="60">
        <f t="shared" si="3"/>
        <v>0.261</v>
      </c>
      <c r="N32" s="62">
        <f t="shared" si="32"/>
        <v>0.261</v>
      </c>
      <c r="O32" s="60">
        <f t="shared" si="5"/>
        <v>0.261</v>
      </c>
      <c r="P32" s="63">
        <v>90.0</v>
      </c>
      <c r="Q32" s="58">
        <v>93.21</v>
      </c>
      <c r="R32" s="65">
        <v>5064.25</v>
      </c>
      <c r="S32" s="66">
        <f t="array" ref="S32">IF((XLOOKUP(D32,RUC!$B$3:$B$106,RUC!$E$3:$E$106)+ROUNDDOWN(O32,1)*100)&lt;95,95,((XLOOKUP(D32,RUC!$B$3:$B$106,RUC!$E$3:$E$106)+ROUNDDOWN(O32,1)*100)))</f>
        <v>110</v>
      </c>
      <c r="U32" s="67">
        <f t="array" ref="U32">XLOOKUP(D32,RUC!$B$3:$B$110,RUC!$F$3:$F$110)</f>
        <v>120</v>
      </c>
      <c r="V32" s="67">
        <v>1.1023</v>
      </c>
      <c r="Y32" s="199">
        <v>30.0</v>
      </c>
      <c r="Z32" s="140">
        <v>40.0</v>
      </c>
      <c r="AA32" s="70">
        <f t="shared" si="6"/>
        <v>70</v>
      </c>
      <c r="AB32" s="71">
        <f t="shared" si="23"/>
        <v>1081.801987</v>
      </c>
      <c r="AC32" s="71">
        <f>+(S32-T32)*V32-'data 1'!$F$4</f>
        <v>41.253</v>
      </c>
      <c r="AD32" s="71">
        <f t="shared" si="7"/>
        <v>48.98502041</v>
      </c>
      <c r="AE32" s="71">
        <f t="shared" si="8"/>
        <v>7.161</v>
      </c>
      <c r="AF32" s="71">
        <f t="shared" si="9"/>
        <v>96.51978338</v>
      </c>
      <c r="AG32" s="72">
        <f t="shared" si="31"/>
        <v>210.9188038</v>
      </c>
      <c r="AH32" s="193">
        <f t="shared" si="11"/>
        <v>26.003</v>
      </c>
      <c r="AI32" s="193">
        <f t="shared" si="12"/>
        <v>27.897</v>
      </c>
      <c r="AJ32" s="73">
        <f t="shared" si="13"/>
        <v>-12.73015295</v>
      </c>
      <c r="AK32" s="73">
        <f t="shared" si="14"/>
        <v>23.40387102</v>
      </c>
      <c r="AM32" s="51">
        <f t="shared" si="15"/>
        <v>3143.716576</v>
      </c>
      <c r="AN32" s="51" t="str">
        <f t="array" ref="AN32">XLOOKUP(D32,RUC!$B$3:$B$565,RUC!$M$3:$M$565)</f>
        <v>Evelyn</v>
      </c>
      <c r="AO32" s="131" t="s">
        <v>558</v>
      </c>
      <c r="AP32" s="57" t="s">
        <v>716</v>
      </c>
      <c r="AQ32" s="57" t="s">
        <v>717</v>
      </c>
      <c r="AV32" s="160" t="s">
        <v>549</v>
      </c>
      <c r="AW32" s="6">
        <f t="shared" si="33"/>
        <v>101.115</v>
      </c>
      <c r="AX32" s="6"/>
      <c r="AY32" s="58">
        <f t="shared" si="34"/>
        <v>0</v>
      </c>
      <c r="AZ32" s="58"/>
      <c r="BA32" s="162">
        <f t="shared" si="35"/>
        <v>0</v>
      </c>
      <c r="BB32" s="454" t="s">
        <v>3118</v>
      </c>
      <c r="BC32" s="470"/>
    </row>
    <row r="33" ht="15.0" customHeight="1">
      <c r="A33" s="116" t="s">
        <v>3119</v>
      </c>
      <c r="B33" s="182">
        <v>46058.0</v>
      </c>
      <c r="C33" s="182">
        <v>46049.0</v>
      </c>
      <c r="D33" s="57" t="s">
        <v>295</v>
      </c>
      <c r="E33" s="3">
        <f t="array" ref="E33">XLOOKUP(D33,RUC!$B$3:$B$110,RUC!$D$3:$D$110)</f>
        <v>20601769396</v>
      </c>
      <c r="G33" s="3">
        <v>30.0</v>
      </c>
      <c r="H33" s="3" t="s">
        <v>40</v>
      </c>
      <c r="I33" s="6">
        <v>2.48</v>
      </c>
      <c r="J33" s="58">
        <v>7.15</v>
      </c>
      <c r="K33" s="6">
        <f t="shared" si="2"/>
        <v>2.303</v>
      </c>
      <c r="L33" s="139">
        <v>0.264</v>
      </c>
      <c r="M33" s="60">
        <f t="shared" si="3"/>
        <v>0.245</v>
      </c>
      <c r="N33" s="62">
        <f t="shared" si="32"/>
        <v>0.245</v>
      </c>
      <c r="O33" s="60">
        <f t="shared" si="5"/>
        <v>0.245</v>
      </c>
      <c r="P33" s="63">
        <v>90.0</v>
      </c>
      <c r="Q33" s="58">
        <v>95.45</v>
      </c>
      <c r="R33" s="65">
        <v>5064.25</v>
      </c>
      <c r="S33" s="66">
        <f t="array" ref="S33">IF((XLOOKUP(D33,RUC!$B$3:$B$106,RUC!$E$3:$E$106)+ROUNDDOWN(O33,1)*100)&lt;95,95,((XLOOKUP(D33,RUC!$B$3:$B$106,RUC!$E$3:$E$106)+ROUNDDOWN(O33,1)*100)))</f>
        <v>110</v>
      </c>
      <c r="U33" s="67">
        <f t="array" ref="U33">XLOOKUP(D33,RUC!$B$3:$B$110,RUC!$F$3:$F$110)</f>
        <v>120</v>
      </c>
      <c r="V33" s="67">
        <v>1.1023</v>
      </c>
      <c r="Y33" s="199">
        <v>30.0</v>
      </c>
      <c r="Z33" s="140">
        <v>40.0</v>
      </c>
      <c r="AA33" s="70">
        <f t="shared" si="6"/>
        <v>70</v>
      </c>
      <c r="AB33" s="71">
        <f t="shared" si="23"/>
        <v>1003.321314</v>
      </c>
      <c r="AC33" s="71">
        <f>+(S33-T33)*V33-'data 1'!$F$4</f>
        <v>41.253</v>
      </c>
      <c r="AD33" s="71">
        <f t="shared" si="7"/>
        <v>78.415273</v>
      </c>
      <c r="AE33" s="71">
        <f t="shared" si="8"/>
        <v>7.161</v>
      </c>
      <c r="AF33" s="71">
        <f t="shared" si="9"/>
        <v>98.83932329</v>
      </c>
      <c r="AG33" s="72">
        <f t="shared" si="31"/>
        <v>242.6685963</v>
      </c>
      <c r="AH33" s="193">
        <f t="shared" si="11"/>
        <v>19.897</v>
      </c>
      <c r="AI33" s="193">
        <f t="shared" si="12"/>
        <v>20.845</v>
      </c>
      <c r="AJ33" s="73">
        <f t="shared" si="13"/>
        <v>-12.29116198</v>
      </c>
      <c r="AK33" s="73">
        <f t="shared" si="14"/>
        <v>17.41051433</v>
      </c>
      <c r="AM33" s="51">
        <f t="shared" si="15"/>
        <v>2310.648986</v>
      </c>
      <c r="AN33" s="51" t="str">
        <f t="array" ref="AN33">XLOOKUP(D33,RUC!$B$3:$B$565,RUC!$M$3:$M$565)</f>
        <v>Evelyn</v>
      </c>
      <c r="AO33" s="131" t="s">
        <v>549</v>
      </c>
      <c r="AP33" s="57" t="s">
        <v>716</v>
      </c>
      <c r="AQ33" s="57" t="s">
        <v>717</v>
      </c>
      <c r="AV33" s="160" t="s">
        <v>561</v>
      </c>
      <c r="AW33" s="6">
        <f t="shared" si="33"/>
        <v>0</v>
      </c>
      <c r="AX33" s="6"/>
      <c r="AY33" s="58">
        <f t="shared" si="34"/>
        <v>0</v>
      </c>
      <c r="AZ33" s="58"/>
      <c r="BA33" s="162">
        <f t="shared" si="35"/>
        <v>0</v>
      </c>
      <c r="BB33" s="454" t="s">
        <v>3120</v>
      </c>
      <c r="BC33" s="459">
        <v>267.0</v>
      </c>
    </row>
    <row r="34" ht="15.0" customHeight="1">
      <c r="A34" s="116" t="s">
        <v>3121</v>
      </c>
      <c r="B34" s="182">
        <v>45691.0</v>
      </c>
      <c r="C34" s="182">
        <v>46050.0</v>
      </c>
      <c r="D34" s="57" t="s">
        <v>3122</v>
      </c>
      <c r="E34" s="3">
        <f t="array" ref="E34">XLOOKUP(D34,RUC!$B$3:$B$110,RUC!$D$3:$D$110)</f>
        <v>20614635101</v>
      </c>
      <c r="G34" s="3">
        <v>50.0</v>
      </c>
      <c r="H34" s="3" t="s">
        <v>47</v>
      </c>
      <c r="I34" s="6">
        <v>5.63</v>
      </c>
      <c r="J34" s="58">
        <v>1.4</v>
      </c>
      <c r="K34" s="6">
        <f t="shared" si="2"/>
        <v>5.551</v>
      </c>
      <c r="L34" s="139">
        <v>0.432</v>
      </c>
      <c r="M34" s="60">
        <f t="shared" si="3"/>
        <v>0.406</v>
      </c>
      <c r="N34" s="62">
        <f t="shared" si="32"/>
        <v>0.406</v>
      </c>
      <c r="O34" s="60">
        <f t="shared" si="5"/>
        <v>0.406</v>
      </c>
      <c r="P34" s="63">
        <v>90.0</v>
      </c>
      <c r="Q34" s="58">
        <v>95.37</v>
      </c>
      <c r="R34" s="65">
        <v>5306.95</v>
      </c>
      <c r="S34" s="66">
        <f t="array" ref="S34">IF((XLOOKUP(D34,RUC!$B$3:$B$106,RUC!$E$3:$E$106)+ROUNDDOWN(O34,1)*100)&lt;95,95,((XLOOKUP(D34,RUC!$B$3:$B$106,RUC!$E$3:$E$106)+ROUNDDOWN(O34,1)*100)))</f>
        <v>120</v>
      </c>
      <c r="U34" s="67">
        <f t="array" ref="U34">XLOOKUP(D34,RUC!$B$3:$B$110,RUC!$F$3:$F$110)</f>
        <v>100</v>
      </c>
      <c r="V34" s="67">
        <v>1.1023</v>
      </c>
      <c r="Y34" s="57" t="str">
        <f t="array" ref="Y34">XLOOKUP(D34,RUC!$B$3:$B$110,RUC!$G$3:$G$110)</f>
        <v/>
      </c>
      <c r="Z34" s="69">
        <f t="array" ref="Z34">XLOOKUP(D34,RUC!$B$3:$B$110,RUC!$H$3:$H$110)</f>
        <v>30</v>
      </c>
      <c r="AA34" s="70">
        <f t="shared" si="6"/>
        <v>30</v>
      </c>
      <c r="AB34" s="71">
        <f t="shared" si="23"/>
        <v>1931.912508</v>
      </c>
      <c r="AC34" s="71">
        <f>+(S34-T34)*V34-'data 1'!$F$4</f>
        <v>52.276</v>
      </c>
      <c r="AD34" s="71">
        <f t="shared" si="7"/>
        <v>133.1500235</v>
      </c>
      <c r="AE34" s="71">
        <f t="shared" si="8"/>
        <v>-36.931</v>
      </c>
      <c r="AF34" s="71">
        <f t="shared" si="9"/>
        <v>142.3207899</v>
      </c>
      <c r="AG34" s="72">
        <f>AC34+AD34+AE34+AF34+70-10</f>
        <v>350.8158133</v>
      </c>
      <c r="AH34" s="193">
        <f t="shared" si="11"/>
        <v>78.411</v>
      </c>
      <c r="AI34" s="193">
        <f t="shared" si="12"/>
        <v>82.217</v>
      </c>
      <c r="AJ34" s="73">
        <f t="shared" si="13"/>
        <v>-139.4000645</v>
      </c>
      <c r="AK34" s="73">
        <f t="shared" si="14"/>
        <v>69.54226628</v>
      </c>
      <c r="AM34" s="51">
        <f t="shared" si="15"/>
        <v>10724.04633</v>
      </c>
      <c r="AN34" s="51" t="str">
        <f t="array" ref="AN34">XLOOKUP(D34,RUC!$B$3:$B$565,RUC!$M$3:$M$565)</f>
        <v>Ronald Garibay</v>
      </c>
      <c r="AO34" s="131" t="s">
        <v>558</v>
      </c>
      <c r="AP34" s="57" t="s">
        <v>3123</v>
      </c>
      <c r="AQ34" s="57" t="s">
        <v>3124</v>
      </c>
      <c r="AV34" s="160" t="s">
        <v>689</v>
      </c>
      <c r="AW34" s="6">
        <f t="shared" si="33"/>
        <v>0</v>
      </c>
      <c r="AY34" s="58">
        <f t="shared" si="34"/>
        <v>0</v>
      </c>
      <c r="BA34" s="162">
        <f t="shared" si="35"/>
        <v>0</v>
      </c>
      <c r="BB34" s="456" t="s">
        <v>1206</v>
      </c>
      <c r="BC34" s="473">
        <f>-BC29-BC30+BC31+BC32+BC33</f>
        <v>-1175.213</v>
      </c>
      <c r="BD34" s="442"/>
    </row>
    <row r="35" ht="15.0" customHeight="1">
      <c r="A35" s="116" t="s">
        <v>3125</v>
      </c>
      <c r="B35" s="182">
        <v>46058.0</v>
      </c>
      <c r="C35" s="182">
        <v>46052.0</v>
      </c>
      <c r="D35" s="57" t="s">
        <v>295</v>
      </c>
      <c r="E35" s="3">
        <f t="array" ref="E35">XLOOKUP(D35,RUC!$B$3:$B$110,RUC!$D$3:$D$110)</f>
        <v>20601769396</v>
      </c>
      <c r="G35" s="3">
        <v>16.0</v>
      </c>
      <c r="H35" s="3" t="s">
        <v>339</v>
      </c>
      <c r="I35" s="6">
        <v>1.3</v>
      </c>
      <c r="J35" s="58">
        <v>7.08</v>
      </c>
      <c r="K35" s="6">
        <f t="shared" si="2"/>
        <v>1.208</v>
      </c>
      <c r="L35" s="139">
        <v>0.22</v>
      </c>
      <c r="M35" s="60">
        <f t="shared" si="3"/>
        <v>0.201</v>
      </c>
      <c r="N35" s="62">
        <f t="shared" si="32"/>
        <v>0.201</v>
      </c>
      <c r="O35" s="60">
        <f t="shared" si="5"/>
        <v>0.201</v>
      </c>
      <c r="P35" s="63">
        <v>88.0</v>
      </c>
      <c r="Q35" s="58">
        <v>88.64</v>
      </c>
      <c r="R35" s="65">
        <v>4981.85</v>
      </c>
      <c r="S35" s="66">
        <f t="array" ref="S35">IF((XLOOKUP(D35,RUC!$B$3:$B$106,RUC!$E$3:$E$106)+ROUNDDOWN(O35,1)*100)&lt;95,95,((XLOOKUP(D35,RUC!$B$3:$B$106,RUC!$E$3:$E$106)+ROUNDDOWN(O35,1)*100)))</f>
        <v>110</v>
      </c>
      <c r="U35" s="67">
        <f t="array" ref="U35">XLOOKUP(D35,RUC!$B$3:$B$110,RUC!$F$3:$F$110)</f>
        <v>120</v>
      </c>
      <c r="V35" s="67">
        <v>1.1023</v>
      </c>
      <c r="Y35" s="199"/>
      <c r="Z35" s="69">
        <f t="array" ref="Z35">XLOOKUP(D35,RUC!$B$3:$B$110,RUC!$H$3:$H$110)</f>
        <v>30</v>
      </c>
      <c r="AA35" s="70">
        <f t="shared" si="6"/>
        <v>30</v>
      </c>
      <c r="AB35" s="7">
        <f t="shared" si="23"/>
        <v>793.6163481</v>
      </c>
      <c r="AC35" s="71">
        <f>+(S35-T35)*V35-'data 1'!$F$4</f>
        <v>41.253</v>
      </c>
      <c r="AD35" s="71">
        <f t="shared" si="7"/>
        <v>7.545777895</v>
      </c>
      <c r="AE35" s="71">
        <f t="shared" si="8"/>
        <v>-36.931</v>
      </c>
      <c r="AF35" s="71">
        <f t="shared" si="9"/>
        <v>90.25779332</v>
      </c>
      <c r="AG35" s="72">
        <f t="shared" ref="AG35:AG57" si="36">AC35+AD35+AE35+AF35+70-53</f>
        <v>119.1255712</v>
      </c>
      <c r="AH35" s="193">
        <f t="shared" si="11"/>
        <v>8.077</v>
      </c>
      <c r="AI35" s="193">
        <f t="shared" si="12"/>
        <v>9.112</v>
      </c>
      <c r="AJ35" s="73">
        <f t="shared" si="13"/>
        <v>8.200621697</v>
      </c>
      <c r="AK35" s="73">
        <f t="shared" si="14"/>
        <v>7.325794521</v>
      </c>
      <c r="AM35" s="51">
        <f t="shared" si="15"/>
        <v>958.6885485</v>
      </c>
      <c r="AN35" s="51" t="str">
        <f t="array" ref="AN35">XLOOKUP(D35,RUC!$B$3:$B$565,RUC!$M$3:$M$565)</f>
        <v>Evelyn</v>
      </c>
      <c r="AO35" s="131" t="s">
        <v>558</v>
      </c>
      <c r="AP35" s="57" t="s">
        <v>3126</v>
      </c>
      <c r="AQ35" s="57" t="s">
        <v>3127</v>
      </c>
      <c r="AV35" s="160" t="s">
        <v>690</v>
      </c>
      <c r="AW35" s="6">
        <f t="shared" si="33"/>
        <v>0</v>
      </c>
      <c r="AY35" s="58">
        <f t="shared" si="34"/>
        <v>0</v>
      </c>
      <c r="BA35" s="162">
        <f t="shared" si="35"/>
        <v>0</v>
      </c>
    </row>
    <row r="36" ht="15.0" customHeight="1">
      <c r="A36" s="116" t="s">
        <v>3128</v>
      </c>
      <c r="B36" s="182">
        <v>46058.0</v>
      </c>
      <c r="C36" s="182">
        <v>46052.0</v>
      </c>
      <c r="D36" s="57" t="s">
        <v>295</v>
      </c>
      <c r="E36" s="3">
        <f t="array" ref="E36">XLOOKUP(D36,RUC!$B$3:$B$110,RUC!$D$3:$D$110)</f>
        <v>20601769396</v>
      </c>
      <c r="G36" s="3">
        <v>78.0</v>
      </c>
      <c r="H36" s="3" t="s">
        <v>339</v>
      </c>
      <c r="I36" s="6">
        <v>6.64</v>
      </c>
      <c r="J36" s="58">
        <v>12.08</v>
      </c>
      <c r="K36" s="6">
        <f t="shared" si="2"/>
        <v>5.838</v>
      </c>
      <c r="L36" s="139">
        <v>0.304</v>
      </c>
      <c r="M36" s="60">
        <f t="shared" si="3"/>
        <v>0.286</v>
      </c>
      <c r="N36" s="62">
        <f t="shared" si="32"/>
        <v>0.286</v>
      </c>
      <c r="O36" s="60">
        <f t="shared" si="5"/>
        <v>0.286</v>
      </c>
      <c r="P36" s="63">
        <v>90.0</v>
      </c>
      <c r="Q36" s="58">
        <v>90.79</v>
      </c>
      <c r="R36" s="65">
        <v>4981.85</v>
      </c>
      <c r="S36" s="66">
        <f t="array" ref="S36">IF((XLOOKUP(D36,RUC!$B$3:$B$106,RUC!$E$3:$E$106)+ROUNDDOWN(O36,1)*100)&lt;95,95,((XLOOKUP(D36,RUC!$B$3:$B$106,RUC!$E$3:$E$106)+ROUNDDOWN(O36,1)*100)))</f>
        <v>110</v>
      </c>
      <c r="U36" s="67">
        <f t="array" ref="U36">XLOOKUP(D36,RUC!$B$3:$B$110,RUC!$F$3:$F$110)</f>
        <v>120</v>
      </c>
      <c r="V36" s="67">
        <v>1.1023</v>
      </c>
      <c r="Y36" s="199"/>
      <c r="Z36" s="69">
        <f t="array" ref="Z36">XLOOKUP(D36,RUC!$B$3:$B$110,RUC!$H$3:$H$110)</f>
        <v>30</v>
      </c>
      <c r="AA36" s="70">
        <f t="shared" si="6"/>
        <v>30</v>
      </c>
      <c r="AB36" s="7">
        <f t="shared" si="23"/>
        <v>1225.140521</v>
      </c>
      <c r="AC36" s="71">
        <f>+(S36-T36)*V36-'data 1'!$F$4</f>
        <v>41.253</v>
      </c>
      <c r="AD36" s="71">
        <f t="shared" si="7"/>
        <v>12.87069616</v>
      </c>
      <c r="AE36" s="71">
        <f t="shared" si="8"/>
        <v>-36.931</v>
      </c>
      <c r="AF36" s="71">
        <f t="shared" si="9"/>
        <v>87.58140022</v>
      </c>
      <c r="AG36" s="72">
        <f t="shared" si="36"/>
        <v>121.7740964</v>
      </c>
      <c r="AH36" s="193">
        <f t="shared" si="11"/>
        <v>55.244</v>
      </c>
      <c r="AI36" s="193">
        <f t="shared" si="12"/>
        <v>60.848</v>
      </c>
      <c r="AJ36" s="73">
        <f t="shared" si="13"/>
        <v>11.6066249</v>
      </c>
      <c r="AK36" s="73">
        <f t="shared" si="14"/>
        <v>51.52069377</v>
      </c>
      <c r="AM36" s="51">
        <f t="shared" si="15"/>
        <v>7152.370364</v>
      </c>
      <c r="AN36" s="51" t="str">
        <f t="array" ref="AN36">XLOOKUP(D36,RUC!$B$3:$B$565,RUC!$M$3:$M$565)</f>
        <v>Evelyn</v>
      </c>
      <c r="AO36" s="131" t="s">
        <v>558</v>
      </c>
      <c r="AP36" s="57" t="s">
        <v>3126</v>
      </c>
      <c r="AQ36" s="57" t="s">
        <v>3127</v>
      </c>
      <c r="AV36" s="160" t="s">
        <v>691</v>
      </c>
      <c r="AW36" s="6">
        <f t="shared" si="33"/>
        <v>0</v>
      </c>
      <c r="AY36" s="58">
        <f t="shared" si="34"/>
        <v>0</v>
      </c>
      <c r="BA36" s="162">
        <f t="shared" si="35"/>
        <v>0</v>
      </c>
    </row>
    <row r="37" ht="15.0" customHeight="1">
      <c r="A37" s="116" t="s">
        <v>3129</v>
      </c>
      <c r="B37" s="182">
        <v>46058.0</v>
      </c>
      <c r="C37" s="182">
        <v>46052.0</v>
      </c>
      <c r="D37" s="57" t="s">
        <v>295</v>
      </c>
      <c r="E37" s="3">
        <f t="array" ref="E37">XLOOKUP(D37,RUC!$B$3:$B$110,RUC!$D$3:$D$110)</f>
        <v>20601769396</v>
      </c>
      <c r="G37" s="3">
        <v>52.0</v>
      </c>
      <c r="H37" s="3" t="s">
        <v>40</v>
      </c>
      <c r="I37" s="6">
        <v>4.48</v>
      </c>
      <c r="J37" s="58">
        <v>13.25</v>
      </c>
      <c r="K37" s="6">
        <f t="shared" si="2"/>
        <v>3.886</v>
      </c>
      <c r="L37" s="139">
        <v>0.218</v>
      </c>
      <c r="M37" s="60">
        <f t="shared" si="3"/>
        <v>0.199</v>
      </c>
      <c r="N37" s="62">
        <f t="shared" si="32"/>
        <v>0.199</v>
      </c>
      <c r="O37" s="60">
        <f t="shared" si="5"/>
        <v>0.199</v>
      </c>
      <c r="P37" s="63">
        <v>88.0</v>
      </c>
      <c r="Q37" s="58">
        <v>88.53</v>
      </c>
      <c r="R37" s="65">
        <v>4981.85</v>
      </c>
      <c r="S37" s="66">
        <f t="array" ref="S37">IF((XLOOKUP(D37,RUC!$B$3:$B$106,RUC!$E$3:$E$106)+ROUNDDOWN(O37,1)*100)&lt;95,95,((XLOOKUP(D37,RUC!$B$3:$B$106,RUC!$E$3:$E$106)+ROUNDDOWN(O37,1)*100)))</f>
        <v>100</v>
      </c>
      <c r="U37" s="67">
        <f t="array" ref="U37">XLOOKUP(D37,RUC!$B$3:$B$110,RUC!$F$3:$F$110)</f>
        <v>120</v>
      </c>
      <c r="V37" s="67">
        <v>1.1023</v>
      </c>
      <c r="Y37" s="199"/>
      <c r="Z37" s="140">
        <v>40.0</v>
      </c>
      <c r="AA37" s="70">
        <f t="shared" si="6"/>
        <v>40</v>
      </c>
      <c r="AB37" s="7">
        <f t="shared" si="23"/>
        <v>784.1841257</v>
      </c>
      <c r="AC37" s="71">
        <f>+(S37-T37)*V37-'data 1'!$F$4</f>
        <v>30.23</v>
      </c>
      <c r="AD37" s="71">
        <f t="shared" si="7"/>
        <v>6.192039616</v>
      </c>
      <c r="AE37" s="71">
        <f t="shared" si="8"/>
        <v>-25.908</v>
      </c>
      <c r="AF37" s="71">
        <f t="shared" si="9"/>
        <v>90.14578568</v>
      </c>
      <c r="AG37" s="72">
        <f t="shared" si="36"/>
        <v>117.6598253</v>
      </c>
      <c r="AH37" s="193">
        <f t="shared" si="11"/>
        <v>25.713</v>
      </c>
      <c r="AI37" s="193">
        <f t="shared" si="12"/>
        <v>29.045</v>
      </c>
      <c r="AJ37" s="73">
        <f t="shared" si="13"/>
        <v>8.115986342</v>
      </c>
      <c r="AK37" s="73">
        <f t="shared" si="14"/>
        <v>23.33176611</v>
      </c>
      <c r="AM37" s="51">
        <f t="shared" si="15"/>
        <v>3047.339512</v>
      </c>
      <c r="AN37" s="51" t="str">
        <f t="array" ref="AN37">XLOOKUP(D37,RUC!$B$3:$B$565,RUC!$M$3:$M$565)</f>
        <v>Evelyn</v>
      </c>
      <c r="AO37" s="131" t="s">
        <v>558</v>
      </c>
      <c r="AP37" s="57" t="s">
        <v>3126</v>
      </c>
      <c r="AQ37" s="57" t="s">
        <v>3127</v>
      </c>
      <c r="AV37" s="160" t="s">
        <v>692</v>
      </c>
      <c r="AW37" s="6">
        <f t="shared" si="33"/>
        <v>0</v>
      </c>
      <c r="AY37" s="58">
        <f t="shared" si="34"/>
        <v>0</v>
      </c>
      <c r="BA37" s="162">
        <f t="shared" si="35"/>
        <v>0</v>
      </c>
      <c r="BB37" s="57" t="s">
        <v>3130</v>
      </c>
      <c r="BC37" s="474">
        <f>+BC34+'40'!BC34</f>
        <v>-1284.023</v>
      </c>
    </row>
    <row r="38" ht="15.0" customHeight="1">
      <c r="A38" s="116" t="s">
        <v>3131</v>
      </c>
      <c r="B38" s="182">
        <v>46058.0</v>
      </c>
      <c r="C38" s="182">
        <v>46052.0</v>
      </c>
      <c r="D38" s="57" t="s">
        <v>295</v>
      </c>
      <c r="E38" s="3">
        <f t="array" ref="E38">XLOOKUP(D38,RUC!$B$3:$B$110,RUC!$D$3:$D$110)</f>
        <v>20601769396</v>
      </c>
      <c r="G38" s="3">
        <v>4.0</v>
      </c>
      <c r="H38" s="3" t="s">
        <v>40</v>
      </c>
      <c r="I38" s="6">
        <v>0.36</v>
      </c>
      <c r="J38" s="58">
        <v>15.75</v>
      </c>
      <c r="K38" s="6">
        <f t="shared" si="2"/>
        <v>0.303</v>
      </c>
      <c r="L38" s="139">
        <v>0.434</v>
      </c>
      <c r="M38" s="60">
        <f t="shared" si="3"/>
        <v>0.408</v>
      </c>
      <c r="N38" s="62">
        <f t="shared" si="32"/>
        <v>0.408</v>
      </c>
      <c r="O38" s="60">
        <f t="shared" si="5"/>
        <v>0.408</v>
      </c>
      <c r="P38" s="63">
        <v>85.0</v>
      </c>
      <c r="Q38" s="58">
        <v>86.18</v>
      </c>
      <c r="R38" s="65">
        <v>4981.85</v>
      </c>
      <c r="S38" s="66">
        <f t="array" ref="S38">IF((XLOOKUP(D38,RUC!$B$3:$B$106,RUC!$E$3:$E$106)+ROUNDDOWN(O38,1)*100)&lt;95,95,((XLOOKUP(D38,RUC!$B$3:$B$106,RUC!$E$3:$E$106)+ROUNDDOWN(O38,1)*100)))</f>
        <v>130</v>
      </c>
      <c r="U38" s="67">
        <f t="array" ref="U38">XLOOKUP(D38,RUC!$B$3:$B$110,RUC!$F$3:$F$110)</f>
        <v>120</v>
      </c>
      <c r="V38" s="67">
        <v>1.1023</v>
      </c>
      <c r="Y38" s="199"/>
      <c r="Z38" s="140">
        <v>40.0</v>
      </c>
      <c r="AA38" s="70">
        <f t="shared" si="6"/>
        <v>40</v>
      </c>
      <c r="AB38" s="7">
        <f t="shared" si="23"/>
        <v>1671.185544</v>
      </c>
      <c r="AC38" s="71">
        <f>+(S38-T38)*V38-'data 1'!$F$4</f>
        <v>63.299</v>
      </c>
      <c r="AD38" s="71">
        <f t="shared" si="7"/>
        <v>27.44562341</v>
      </c>
      <c r="AE38" s="71">
        <f t="shared" si="8"/>
        <v>-25.908</v>
      </c>
      <c r="AF38" s="71">
        <f t="shared" si="9"/>
        <v>120.0829092</v>
      </c>
      <c r="AG38" s="72">
        <f t="shared" si="36"/>
        <v>201.9195326</v>
      </c>
      <c r="AH38" s="193">
        <f t="shared" si="11"/>
        <v>3.886</v>
      </c>
      <c r="AI38" s="193">
        <f t="shared" si="12"/>
        <v>4.509</v>
      </c>
      <c r="AJ38" s="73">
        <f t="shared" si="13"/>
        <v>15.72861815</v>
      </c>
      <c r="AK38" s="73">
        <f t="shared" si="14"/>
        <v>3.60272229</v>
      </c>
      <c r="AM38" s="51">
        <f t="shared" si="15"/>
        <v>506.3692198</v>
      </c>
      <c r="AN38" s="51" t="str">
        <f t="array" ref="AN38">XLOOKUP(D38,RUC!$B$3:$B$565,RUC!$M$3:$M$565)</f>
        <v>Evelyn</v>
      </c>
      <c r="AO38" s="131" t="s">
        <v>558</v>
      </c>
      <c r="AP38" s="57" t="s">
        <v>3126</v>
      </c>
      <c r="AQ38" s="57" t="s">
        <v>3127</v>
      </c>
      <c r="AV38" s="163" t="s">
        <v>693</v>
      </c>
      <c r="AW38" s="165">
        <f t="shared" si="33"/>
        <v>0</v>
      </c>
      <c r="AX38" s="170"/>
      <c r="AY38" s="168">
        <f t="shared" si="34"/>
        <v>0</v>
      </c>
      <c r="AZ38" s="170"/>
      <c r="BA38" s="171">
        <f t="shared" si="35"/>
        <v>0</v>
      </c>
      <c r="BB38" s="57" t="s">
        <v>3132</v>
      </c>
      <c r="BC38" s="474">
        <f>+'40'!BC34</f>
        <v>-108.81</v>
      </c>
    </row>
    <row r="39" ht="15.0" customHeight="1">
      <c r="A39" s="116" t="s">
        <v>3133</v>
      </c>
      <c r="B39" s="182">
        <v>46059.0</v>
      </c>
      <c r="C39" s="182">
        <v>46052.0</v>
      </c>
      <c r="D39" s="57" t="s">
        <v>295</v>
      </c>
      <c r="E39" s="3">
        <f t="array" ref="E39">XLOOKUP(D39,RUC!$B$3:$B$110,RUC!$D$3:$D$110)</f>
        <v>20601769396</v>
      </c>
      <c r="G39" s="3">
        <v>35.0</v>
      </c>
      <c r="H39" s="3" t="s">
        <v>339</v>
      </c>
      <c r="I39" s="6">
        <v>2.6</v>
      </c>
      <c r="J39" s="58">
        <v>12.6</v>
      </c>
      <c r="K39" s="6">
        <f t="shared" si="2"/>
        <v>2.272</v>
      </c>
      <c r="L39" s="139">
        <v>0.165</v>
      </c>
      <c r="M39" s="60">
        <f t="shared" si="3"/>
        <v>0.146</v>
      </c>
      <c r="N39" s="62">
        <f t="shared" si="32"/>
        <v>0.146</v>
      </c>
      <c r="O39" s="60">
        <f t="shared" si="5"/>
        <v>0.146</v>
      </c>
      <c r="P39" s="63">
        <v>85.0</v>
      </c>
      <c r="Q39" s="58">
        <v>86.06</v>
      </c>
      <c r="R39" s="65">
        <v>4981.85</v>
      </c>
      <c r="S39" s="66">
        <f t="array" ref="S39">IF((XLOOKUP(D39,RUC!$B$3:$B$106,RUC!$E$3:$E$106)+ROUNDDOWN(O39,1)*100)&lt;95,95,((XLOOKUP(D39,RUC!$B$3:$B$106,RUC!$E$3:$E$106)+ROUNDDOWN(O39,1)*100)))</f>
        <v>100</v>
      </c>
      <c r="U39" s="67">
        <f t="array" ref="U39">XLOOKUP(D39,RUC!$B$3:$B$110,RUC!$F$3:$F$110)</f>
        <v>120</v>
      </c>
      <c r="V39" s="67">
        <v>1.1023</v>
      </c>
      <c r="Y39" s="57">
        <f t="array" ref="Y39">XLOOKUP(D39,RUC!$B$3:$B$110,RUC!$G$3:$G$110)</f>
        <v>20</v>
      </c>
      <c r="Z39" s="69">
        <f t="array" ref="Z39">XLOOKUP(D39,RUC!$B$3:$B$110,RUC!$H$3:$H$110)</f>
        <v>30</v>
      </c>
      <c r="AA39" s="70">
        <f t="shared" si="6"/>
        <v>50</v>
      </c>
      <c r="AB39" s="71">
        <f t="shared" si="23"/>
        <v>499.7338613</v>
      </c>
      <c r="AC39" s="71">
        <f>+(S39-T39)*V39-'data 1'!$F$4</f>
        <v>30.23</v>
      </c>
      <c r="AD39" s="71">
        <f t="shared" si="7"/>
        <v>9.373270979</v>
      </c>
      <c r="AE39" s="71">
        <f t="shared" si="8"/>
        <v>-14.885</v>
      </c>
      <c r="AF39" s="71">
        <f t="shared" si="9"/>
        <v>87.63070502</v>
      </c>
      <c r="AG39" s="72">
        <f t="shared" si="36"/>
        <v>129.348976</v>
      </c>
      <c r="AH39" s="193">
        <f t="shared" si="11"/>
        <v>11.061</v>
      </c>
      <c r="AI39" s="193">
        <f t="shared" si="12"/>
        <v>12.853</v>
      </c>
      <c r="AJ39" s="73">
        <f t="shared" si="13"/>
        <v>5.971447737</v>
      </c>
      <c r="AK39" s="73">
        <f t="shared" si="14"/>
        <v>9.666943445</v>
      </c>
      <c r="AM39" s="51">
        <f t="shared" si="15"/>
        <v>1135.395333</v>
      </c>
      <c r="AN39" s="51" t="str">
        <f t="array" ref="AN39">XLOOKUP(D39,RUC!$B$3:$B$565,RUC!$M$3:$M$565)</f>
        <v>Evelyn</v>
      </c>
      <c r="AO39" s="131" t="s">
        <v>547</v>
      </c>
      <c r="AP39" s="57" t="s">
        <v>3126</v>
      </c>
      <c r="AQ39" s="57" t="s">
        <v>3127</v>
      </c>
    </row>
    <row r="40" ht="15.0" customHeight="1">
      <c r="A40" s="116" t="s">
        <v>3134</v>
      </c>
      <c r="B40" s="182">
        <v>46059.0</v>
      </c>
      <c r="C40" s="182">
        <v>46052.0</v>
      </c>
      <c r="D40" s="57" t="s">
        <v>295</v>
      </c>
      <c r="E40" s="3">
        <f t="array" ref="E40">XLOOKUP(D40,RUC!$B$3:$B$110,RUC!$D$3:$D$110)</f>
        <v>20601769396</v>
      </c>
      <c r="G40" s="3">
        <v>35.0</v>
      </c>
      <c r="H40" s="3" t="s">
        <v>339</v>
      </c>
      <c r="I40" s="6">
        <v>2.59</v>
      </c>
      <c r="J40" s="58">
        <v>12.0</v>
      </c>
      <c r="K40" s="6">
        <f t="shared" si="2"/>
        <v>2.279</v>
      </c>
      <c r="L40" s="139">
        <v>0.188</v>
      </c>
      <c r="M40" s="60">
        <f t="shared" si="3"/>
        <v>0.169</v>
      </c>
      <c r="N40" s="62">
        <f t="shared" si="32"/>
        <v>0.169</v>
      </c>
      <c r="O40" s="60">
        <f t="shared" si="5"/>
        <v>0.169</v>
      </c>
      <c r="P40" s="63">
        <v>85.0</v>
      </c>
      <c r="Q40" s="58">
        <v>91.49</v>
      </c>
      <c r="R40" s="65">
        <v>4981.85</v>
      </c>
      <c r="S40" s="66">
        <f t="array" ref="S40">IF((XLOOKUP(D40,RUC!$B$3:$B$106,RUC!$E$3:$E$106)+ROUNDDOWN(O40,1)*100)&lt;95,95,((XLOOKUP(D40,RUC!$B$3:$B$106,RUC!$E$3:$E$106)+ROUNDDOWN(O40,1)*100)))</f>
        <v>100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69">
        <f t="array" ref="Z40">XLOOKUP(D40,RUC!$B$3:$B$110,RUC!$H$3:$H$110)</f>
        <v>30</v>
      </c>
      <c r="AA40" s="70">
        <f t="shared" si="6"/>
        <v>50</v>
      </c>
      <c r="AB40" s="71">
        <f t="shared" si="23"/>
        <v>604.5065587</v>
      </c>
      <c r="AC40" s="71">
        <f>+(S40-T40)*V40-'data 1'!$F$4</f>
        <v>30.23</v>
      </c>
      <c r="AD40" s="71">
        <f t="shared" si="7"/>
        <v>65.38888157</v>
      </c>
      <c r="AE40" s="71">
        <f t="shared" si="8"/>
        <v>-14.885</v>
      </c>
      <c r="AF40" s="71">
        <f t="shared" si="9"/>
        <v>93.15980947</v>
      </c>
      <c r="AG40" s="72">
        <f t="shared" si="36"/>
        <v>190.893691</v>
      </c>
      <c r="AH40" s="193">
        <f t="shared" si="11"/>
        <v>13.44</v>
      </c>
      <c r="AI40" s="193">
        <f t="shared" si="12"/>
        <v>14.69</v>
      </c>
      <c r="AJ40" s="73">
        <f t="shared" si="13"/>
        <v>7.233122603</v>
      </c>
      <c r="AK40" s="73">
        <f t="shared" si="14"/>
        <v>11.22429377</v>
      </c>
      <c r="AM40" s="51">
        <f t="shared" si="15"/>
        <v>1377.670447</v>
      </c>
      <c r="AN40" s="51" t="str">
        <f t="array" ref="AN40">XLOOKUP(D40,RUC!$B$3:$B$565,RUC!$M$3:$M$565)</f>
        <v>Evelyn</v>
      </c>
      <c r="AO40" s="131" t="s">
        <v>558</v>
      </c>
      <c r="AP40" s="57" t="s">
        <v>3126</v>
      </c>
      <c r="AQ40" s="57" t="s">
        <v>3127</v>
      </c>
      <c r="BB40" s="2" t="s">
        <v>3135</v>
      </c>
      <c r="BC40" s="57">
        <f>856.58+46.41</f>
        <v>902.99</v>
      </c>
    </row>
    <row r="41" ht="15.0" customHeight="1">
      <c r="A41" s="116" t="s">
        <v>3136</v>
      </c>
      <c r="B41" s="182">
        <v>46059.0</v>
      </c>
      <c r="C41" s="182">
        <v>46052.0</v>
      </c>
      <c r="D41" s="57" t="s">
        <v>295</v>
      </c>
      <c r="E41" s="3">
        <f t="array" ref="E41">XLOOKUP(D41,RUC!$B$3:$B$110,RUC!$D$3:$D$110)</f>
        <v>20601769396</v>
      </c>
      <c r="G41" s="3">
        <v>50.0</v>
      </c>
      <c r="H41" s="3" t="s">
        <v>339</v>
      </c>
      <c r="I41" s="6">
        <v>3.93</v>
      </c>
      <c r="J41" s="58">
        <v>10.05</v>
      </c>
      <c r="K41" s="6">
        <f t="shared" si="2"/>
        <v>3.535</v>
      </c>
      <c r="L41" s="139">
        <v>0.191</v>
      </c>
      <c r="M41" s="60">
        <f t="shared" si="3"/>
        <v>0.172</v>
      </c>
      <c r="N41" s="62">
        <f t="shared" si="32"/>
        <v>0.172</v>
      </c>
      <c r="O41" s="60">
        <f t="shared" si="5"/>
        <v>0.172</v>
      </c>
      <c r="P41" s="63">
        <v>90.0</v>
      </c>
      <c r="Q41" s="58">
        <v>92.15</v>
      </c>
      <c r="R41" s="65">
        <v>4981.85</v>
      </c>
      <c r="S41" s="66">
        <f t="array" ref="S41">IF((XLOOKUP(D41,RUC!$B$3:$B$106,RUC!$E$3:$E$106)+ROUNDDOWN(O41,1)*100)&lt;95,95,((XLOOKUP(D41,RUC!$B$3:$B$106,RUC!$E$3:$E$106)+ROUNDDOWN(O41,1)*100)))</f>
        <v>100</v>
      </c>
      <c r="U41" s="67">
        <f t="array" ref="U41">XLOOKUP(D41,RUC!$B$3:$B$110,RUC!$F$3:$F$110)</f>
        <v>120</v>
      </c>
      <c r="V41" s="67">
        <v>1.1023</v>
      </c>
      <c r="Y41" s="57">
        <f t="array" ref="Y41">XLOOKUP(D41,RUC!$B$3:$B$110,RUC!$G$3:$G$110)</f>
        <v>20</v>
      </c>
      <c r="Z41" s="69">
        <f t="array" ref="Z41">XLOOKUP(D41,RUC!$B$3:$B$110,RUC!$H$3:$H$110)</f>
        <v>30</v>
      </c>
      <c r="AA41" s="70">
        <f t="shared" si="6"/>
        <v>50</v>
      </c>
      <c r="AB41" s="71">
        <f t="shared" si="23"/>
        <v>664.2618311</v>
      </c>
      <c r="AC41" s="71">
        <f>+(S41-T41)*V41-'data 1'!$F$4</f>
        <v>30.23</v>
      </c>
      <c r="AD41" s="71">
        <f t="shared" si="7"/>
        <v>22.00762566</v>
      </c>
      <c r="AE41" s="71">
        <f t="shared" si="8"/>
        <v>-14.885</v>
      </c>
      <c r="AF41" s="71">
        <f t="shared" si="9"/>
        <v>93.83185531</v>
      </c>
      <c r="AG41" s="72">
        <f t="shared" si="36"/>
        <v>148.184481</v>
      </c>
      <c r="AH41" s="193">
        <f t="shared" si="11"/>
        <v>21.332</v>
      </c>
      <c r="AI41" s="193">
        <f t="shared" si="12"/>
        <v>23.149</v>
      </c>
      <c r="AJ41" s="73">
        <f t="shared" si="13"/>
        <v>7.401556463</v>
      </c>
      <c r="AK41" s="73">
        <f t="shared" si="14"/>
        <v>18.76158148</v>
      </c>
      <c r="AM41" s="51">
        <f t="shared" si="15"/>
        <v>2348.165573</v>
      </c>
      <c r="AN41" s="51" t="str">
        <f t="array" ref="AN41">XLOOKUP(D41,RUC!$B$3:$B$565,RUC!$M$3:$M$565)</f>
        <v>Evelyn</v>
      </c>
      <c r="AO41" s="131" t="s">
        <v>558</v>
      </c>
      <c r="AP41" s="57" t="s">
        <v>3126</v>
      </c>
      <c r="AQ41" s="57" t="s">
        <v>3127</v>
      </c>
    </row>
    <row r="42" ht="15.0" customHeight="1">
      <c r="A42" s="116" t="s">
        <v>3137</v>
      </c>
      <c r="B42" s="182">
        <v>46059.0</v>
      </c>
      <c r="C42" s="182">
        <v>46052.0</v>
      </c>
      <c r="D42" s="57" t="s">
        <v>295</v>
      </c>
      <c r="E42" s="3">
        <f t="array" ref="E42">XLOOKUP(D42,RUC!$B$3:$B$110,RUC!$D$3:$D$110)</f>
        <v>20601769396</v>
      </c>
      <c r="G42" s="3">
        <v>50.0</v>
      </c>
      <c r="H42" s="3" t="s">
        <v>339</v>
      </c>
      <c r="I42" s="6">
        <v>3.96</v>
      </c>
      <c r="J42" s="58">
        <v>9.58</v>
      </c>
      <c r="K42" s="6">
        <f t="shared" si="2"/>
        <v>3.581</v>
      </c>
      <c r="L42" s="139">
        <v>0.265</v>
      </c>
      <c r="M42" s="60">
        <f t="shared" si="3"/>
        <v>0.246</v>
      </c>
      <c r="N42" s="62">
        <f t="shared" si="32"/>
        <v>0.246</v>
      </c>
      <c r="O42" s="60">
        <f t="shared" si="5"/>
        <v>0.246</v>
      </c>
      <c r="P42" s="63">
        <v>89.0</v>
      </c>
      <c r="Q42" s="58">
        <v>89.06</v>
      </c>
      <c r="R42" s="65">
        <v>4981.85</v>
      </c>
      <c r="S42" s="66">
        <f t="array" ref="S42">IF((XLOOKUP(D42,RUC!$B$3:$B$106,RUC!$E$3:$E$106)+ROUNDDOWN(O42,1)*100)&lt;95,95,((XLOOKUP(D42,RUC!$B$3:$B$106,RUC!$E$3:$E$106)+ROUNDDOWN(O42,1)*100)))</f>
        <v>110</v>
      </c>
      <c r="U42" s="67">
        <f t="array" ref="U42">XLOOKUP(D42,RUC!$B$3:$B$110,RUC!$F$3:$F$110)</f>
        <v>120</v>
      </c>
      <c r="V42" s="67">
        <v>1.1023</v>
      </c>
      <c r="Y42" s="57">
        <f t="array" ref="Y42">XLOOKUP(D42,RUC!$B$3:$B$110,RUC!$G$3:$G$110)</f>
        <v>20</v>
      </c>
      <c r="Z42" s="69">
        <f t="array" ref="Z42">XLOOKUP(D42,RUC!$B$3:$B$110,RUC!$H$3:$H$110)</f>
        <v>30</v>
      </c>
      <c r="AA42" s="70">
        <f t="shared" si="6"/>
        <v>50</v>
      </c>
      <c r="AB42" s="71">
        <f t="shared" si="23"/>
        <v>996.9790258</v>
      </c>
      <c r="AC42" s="71">
        <f>+(S42-T42)*V42-'data 1'!$F$4</f>
        <v>41.253</v>
      </c>
      <c r="AD42" s="71">
        <f t="shared" si="7"/>
        <v>0.8521155435</v>
      </c>
      <c r="AE42" s="71">
        <f t="shared" si="8"/>
        <v>-14.885</v>
      </c>
      <c r="AF42" s="71">
        <f t="shared" si="9"/>
        <v>90.68545886</v>
      </c>
      <c r="AG42" s="72">
        <f t="shared" si="36"/>
        <v>134.9055744</v>
      </c>
      <c r="AH42" s="193">
        <f t="shared" si="11"/>
        <v>28.976</v>
      </c>
      <c r="AI42" s="193">
        <f t="shared" si="12"/>
        <v>32.536</v>
      </c>
      <c r="AJ42" s="73">
        <f t="shared" si="13"/>
        <v>9.924826295</v>
      </c>
      <c r="AK42" s="73">
        <f t="shared" si="14"/>
        <v>26.88057188</v>
      </c>
      <c r="AM42" s="51">
        <f t="shared" si="15"/>
        <v>3570.181891</v>
      </c>
      <c r="AN42" s="51" t="str">
        <f t="array" ref="AN42">XLOOKUP(D42,RUC!$B$3:$B$565,RUC!$M$3:$M$565)</f>
        <v>Evelyn</v>
      </c>
      <c r="AO42" s="131" t="s">
        <v>558</v>
      </c>
      <c r="AP42" s="57" t="s">
        <v>3126</v>
      </c>
      <c r="AQ42" s="57" t="s">
        <v>3127</v>
      </c>
      <c r="BB42" s="2" t="s">
        <v>3138</v>
      </c>
      <c r="BC42" s="474">
        <f>SUM(BC37:BC40)</f>
        <v>-489.843</v>
      </c>
    </row>
    <row r="43" ht="15.0" customHeight="1">
      <c r="A43" s="116" t="s">
        <v>3139</v>
      </c>
      <c r="B43" s="182">
        <v>46059.0</v>
      </c>
      <c r="C43" s="182">
        <v>46052.0</v>
      </c>
      <c r="D43" s="57" t="s">
        <v>295</v>
      </c>
      <c r="E43" s="3">
        <f t="array" ref="E43">XLOOKUP(D43,RUC!$B$3:$B$110,RUC!$D$3:$D$110)</f>
        <v>20601769396</v>
      </c>
      <c r="G43" s="3">
        <v>50.0</v>
      </c>
      <c r="H43" s="3" t="s">
        <v>339</v>
      </c>
      <c r="I43" s="6">
        <v>3.97</v>
      </c>
      <c r="J43" s="58">
        <v>8.55</v>
      </c>
      <c r="K43" s="6">
        <f t="shared" si="2"/>
        <v>3.631</v>
      </c>
      <c r="L43" s="139">
        <v>0.221</v>
      </c>
      <c r="M43" s="60">
        <f t="shared" si="3"/>
        <v>0.202</v>
      </c>
      <c r="N43" s="62">
        <f t="shared" si="32"/>
        <v>0.202</v>
      </c>
      <c r="O43" s="60">
        <f t="shared" si="5"/>
        <v>0.202</v>
      </c>
      <c r="P43" s="63">
        <v>89.0</v>
      </c>
      <c r="Q43" s="58">
        <v>89.59</v>
      </c>
      <c r="R43" s="65">
        <v>4981.85</v>
      </c>
      <c r="S43" s="66">
        <f t="array" ref="S43">IF((XLOOKUP(D43,RUC!$B$3:$B$106,RUC!$E$3:$E$106)+ROUNDDOWN(O43,1)*100)&lt;95,95,((XLOOKUP(D43,RUC!$B$3:$B$106,RUC!$E$3:$E$106)+ROUNDDOWN(O43,1)*100)))</f>
        <v>110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6"/>
        <v>50</v>
      </c>
      <c r="AB43" s="71">
        <f t="shared" si="23"/>
        <v>787.1120781</v>
      </c>
      <c r="AC43" s="71">
        <f>+(S43-T43)*V43-'data 1'!$F$4</f>
        <v>41.253</v>
      </c>
      <c r="AD43" s="71">
        <f t="shared" si="7"/>
        <v>6.987883379</v>
      </c>
      <c r="AE43" s="71">
        <f t="shared" si="8"/>
        <v>-14.885</v>
      </c>
      <c r="AF43" s="71">
        <f t="shared" si="9"/>
        <v>91.22513204</v>
      </c>
      <c r="AG43" s="72">
        <f t="shared" si="36"/>
        <v>141.5810154</v>
      </c>
      <c r="AH43" s="193">
        <f t="shared" si="11"/>
        <v>24.648</v>
      </c>
      <c r="AI43" s="193">
        <f t="shared" si="12"/>
        <v>27.512</v>
      </c>
      <c r="AJ43" s="73">
        <f t="shared" si="13"/>
        <v>8.326186988</v>
      </c>
      <c r="AK43" s="73">
        <f t="shared" si="14"/>
        <v>22.38085607</v>
      </c>
      <c r="AM43" s="51">
        <f t="shared" si="15"/>
        <v>2858.003956</v>
      </c>
      <c r="AN43" s="51" t="str">
        <f t="array" ref="AN43">XLOOKUP(D43,RUC!$B$3:$B$565,RUC!$M$3:$M$565)</f>
        <v>Evelyn</v>
      </c>
      <c r="AO43" s="131" t="s">
        <v>558</v>
      </c>
      <c r="AP43" s="57" t="s">
        <v>3126</v>
      </c>
      <c r="AQ43" s="57" t="s">
        <v>3127</v>
      </c>
    </row>
    <row r="44" ht="15.0" customHeight="1">
      <c r="A44" s="116" t="s">
        <v>3140</v>
      </c>
      <c r="B44" s="182">
        <v>46057.0</v>
      </c>
      <c r="C44" s="182">
        <v>46052.0</v>
      </c>
      <c r="D44" s="57" t="s">
        <v>723</v>
      </c>
      <c r="E44" s="3">
        <f t="array" ref="E44">XLOOKUP(D44,RUC!$B$3:$B$110,RUC!$D$3:$D$110)</f>
        <v>20606480840</v>
      </c>
      <c r="G44" s="3">
        <v>12.0</v>
      </c>
      <c r="H44" s="3" t="s">
        <v>40</v>
      </c>
      <c r="I44" s="6">
        <v>0.93</v>
      </c>
      <c r="J44" s="58">
        <v>1.15</v>
      </c>
      <c r="K44" s="6">
        <f t="shared" si="2"/>
        <v>0.919</v>
      </c>
      <c r="L44" s="139">
        <v>0.157</v>
      </c>
      <c r="M44" s="60">
        <f t="shared" si="3"/>
        <v>0.138</v>
      </c>
      <c r="N44" s="62">
        <f t="shared" si="32"/>
        <v>0.138</v>
      </c>
      <c r="O44" s="60">
        <f t="shared" si="5"/>
        <v>0.138</v>
      </c>
      <c r="P44" s="63">
        <v>80.0</v>
      </c>
      <c r="Q44" s="58">
        <v>97.45</v>
      </c>
      <c r="R44" s="65">
        <v>4981.85</v>
      </c>
      <c r="S44" s="66">
        <f t="array" ref="S44">IF((XLOOKUP(D44,RUC!$B$3:$B$106,RUC!$E$3:$E$106)+ROUNDDOWN(O44,1)*100)&lt;95,95,((XLOOKUP(D44,RUC!$B$3:$B$106,RUC!$E$3:$E$106)+ROUNDDOWN(O44,1)*100)))</f>
        <v>95</v>
      </c>
      <c r="U44" s="67">
        <f t="array" ref="U44">XLOOKUP(D44,RUC!$B$3:$B$110,RUC!$F$3:$F$110)</f>
        <v>110</v>
      </c>
      <c r="V44" s="67">
        <v>1.1023</v>
      </c>
      <c r="Y44" s="199">
        <v>10.0</v>
      </c>
      <c r="Z44" s="69">
        <f t="array" ref="Z44">XLOOKUP(D44,RUC!$B$3:$B$110,RUC!$H$3:$H$110)</f>
        <v>35</v>
      </c>
      <c r="AA44" s="70">
        <f t="shared" si="6"/>
        <v>45</v>
      </c>
      <c r="AB44" s="71">
        <f t="shared" si="23"/>
        <v>438.5525242</v>
      </c>
      <c r="AC44" s="71">
        <f>+(S44-T44)*V44-'data 1'!$F$4</f>
        <v>24.7185</v>
      </c>
      <c r="AD44" s="71">
        <f t="shared" si="7"/>
        <v>147.1257871</v>
      </c>
      <c r="AE44" s="71">
        <f t="shared" si="8"/>
        <v>-20.3965</v>
      </c>
      <c r="AF44" s="71">
        <f t="shared" si="9"/>
        <v>99.43268344</v>
      </c>
      <c r="AG44" s="72">
        <f t="shared" si="36"/>
        <v>267.8804706</v>
      </c>
      <c r="AH44" s="193">
        <f t="shared" si="11"/>
        <v>4.821</v>
      </c>
      <c r="AI44" s="193">
        <f t="shared" si="12"/>
        <v>4.947</v>
      </c>
      <c r="AJ44" s="73">
        <f t="shared" si="13"/>
        <v>4.747442381</v>
      </c>
      <c r="AK44" s="73">
        <f t="shared" si="14"/>
        <v>3.478513187</v>
      </c>
      <c r="AM44" s="51">
        <f t="shared" si="15"/>
        <v>403.0297697</v>
      </c>
      <c r="AN44" s="51" t="str">
        <f t="array" ref="AN44">XLOOKUP(D44,RUC!$B$3:$B$565,RUC!$M$3:$M$565)</f>
        <v>Robinson Tuya</v>
      </c>
      <c r="AO44" s="131" t="s">
        <v>547</v>
      </c>
      <c r="AP44" s="57" t="s">
        <v>1237</v>
      </c>
      <c r="AQ44" s="57" t="s">
        <v>2026</v>
      </c>
    </row>
    <row r="45" ht="15.0" customHeight="1">
      <c r="A45" s="116" t="s">
        <v>3141</v>
      </c>
      <c r="B45" s="182">
        <v>46057.0</v>
      </c>
      <c r="C45" s="182">
        <v>46052.0</v>
      </c>
      <c r="D45" s="57" t="s">
        <v>723</v>
      </c>
      <c r="E45" s="3">
        <f t="array" ref="E45">XLOOKUP(D45,RUC!$B$3:$B$110,RUC!$D$3:$D$110)</f>
        <v>20606480840</v>
      </c>
      <c r="G45" s="3">
        <v>50.0</v>
      </c>
      <c r="H45" s="3" t="s">
        <v>40</v>
      </c>
      <c r="I45" s="6">
        <v>2.83</v>
      </c>
      <c r="J45" s="58">
        <v>14.65</v>
      </c>
      <c r="K45" s="6">
        <f t="shared" si="2"/>
        <v>2.415</v>
      </c>
      <c r="L45" s="139">
        <v>0.329</v>
      </c>
      <c r="M45" s="60">
        <f t="shared" si="3"/>
        <v>0.309</v>
      </c>
      <c r="N45" s="62">
        <f t="shared" si="32"/>
        <v>0.309</v>
      </c>
      <c r="O45" s="60">
        <f t="shared" si="5"/>
        <v>0.309</v>
      </c>
      <c r="P45" s="63">
        <v>90.0</v>
      </c>
      <c r="Q45" s="58">
        <v>93.31</v>
      </c>
      <c r="R45" s="65">
        <v>4981.85</v>
      </c>
      <c r="S45" s="66">
        <f t="array" ref="S45">IF((XLOOKUP(D45,RUC!$B$3:$B$106,RUC!$E$3:$E$106)+ROUNDDOWN(O45,1)*100)&lt;95,95,((XLOOKUP(D45,RUC!$B$3:$B$106,RUC!$E$3:$E$106)+ROUNDDOWN(O45,1)*100)))</f>
        <v>110</v>
      </c>
      <c r="U45" s="67">
        <f t="array" ref="U45">XLOOKUP(D45,RUC!$B$3:$B$110,RUC!$F$3:$F$110)</f>
        <v>110</v>
      </c>
      <c r="V45" s="67">
        <v>1.1023</v>
      </c>
      <c r="Y45" s="199">
        <v>10.0</v>
      </c>
      <c r="Z45" s="69">
        <f t="array" ref="Z45">XLOOKUP(D45,RUC!$B$3:$B$110,RUC!$H$3:$H$110)</f>
        <v>35</v>
      </c>
      <c r="AA45" s="70">
        <f t="shared" si="6"/>
        <v>45</v>
      </c>
      <c r="AB45" s="71">
        <f t="shared" si="23"/>
        <v>1322.607315</v>
      </c>
      <c r="AC45" s="71">
        <f>+(S45-T45)*V45-'data 1'!$F$4</f>
        <v>41.253</v>
      </c>
      <c r="AD45" s="71">
        <f t="shared" si="7"/>
        <v>58.48137935</v>
      </c>
      <c r="AE45" s="71">
        <f t="shared" si="8"/>
        <v>-20.3965</v>
      </c>
      <c r="AF45" s="71">
        <f t="shared" si="9"/>
        <v>100.2194236</v>
      </c>
      <c r="AG45" s="72">
        <f t="shared" si="36"/>
        <v>196.557303</v>
      </c>
      <c r="AH45" s="193">
        <f t="shared" si="11"/>
        <v>25.419</v>
      </c>
      <c r="AI45" s="193">
        <f t="shared" si="12"/>
        <v>27.241</v>
      </c>
      <c r="AJ45" s="73">
        <f t="shared" si="13"/>
        <v>9.525818315</v>
      </c>
      <c r="AK45" s="73">
        <f t="shared" si="14"/>
        <v>23.0264609</v>
      </c>
      <c r="AM45" s="51">
        <f t="shared" si="15"/>
        <v>3194.096666</v>
      </c>
      <c r="AN45" s="51" t="str">
        <f t="array" ref="AN45">XLOOKUP(D45,RUC!$B$3:$B$565,RUC!$M$3:$M$565)</f>
        <v>Robinson Tuya</v>
      </c>
      <c r="AO45" s="131" t="s">
        <v>551</v>
      </c>
      <c r="AP45" s="57" t="s">
        <v>1237</v>
      </c>
      <c r="AQ45" s="57" t="s">
        <v>2026</v>
      </c>
    </row>
    <row r="46" ht="15.0" customHeight="1">
      <c r="A46" s="116" t="s">
        <v>3142</v>
      </c>
      <c r="B46" s="182">
        <v>46057.0</v>
      </c>
      <c r="C46" s="182">
        <v>46052.0</v>
      </c>
      <c r="D46" s="57" t="s">
        <v>723</v>
      </c>
      <c r="E46" s="3">
        <f t="array" ref="E46">XLOOKUP(D46,RUC!$B$3:$B$110,RUC!$D$3:$D$110)</f>
        <v>20606480840</v>
      </c>
      <c r="G46" s="3">
        <v>7.0</v>
      </c>
      <c r="H46" s="3" t="s">
        <v>47</v>
      </c>
      <c r="I46" s="6">
        <v>0.58</v>
      </c>
      <c r="J46" s="58">
        <v>1.25</v>
      </c>
      <c r="K46" s="6">
        <f t="shared" si="2"/>
        <v>0.573</v>
      </c>
      <c r="L46" s="139">
        <v>0.247</v>
      </c>
      <c r="M46" s="60">
        <f t="shared" si="3"/>
        <v>0.228</v>
      </c>
      <c r="N46" s="62">
        <f t="shared" si="32"/>
        <v>0.228</v>
      </c>
      <c r="O46" s="60">
        <f t="shared" si="5"/>
        <v>0.228</v>
      </c>
      <c r="P46" s="63">
        <v>90.0</v>
      </c>
      <c r="Q46" s="58">
        <v>98.38</v>
      </c>
      <c r="R46" s="65">
        <v>4981.85</v>
      </c>
      <c r="S46" s="66">
        <f t="array" ref="S46">IF((XLOOKUP(D46,RUC!$B$3:$B$106,RUC!$E$3:$E$106)+ROUNDDOWN(O46,1)*100)&lt;95,95,((XLOOKUP(D46,RUC!$B$3:$B$106,RUC!$E$3:$E$106)+ROUNDDOWN(O46,1)*100)))</f>
        <v>100</v>
      </c>
      <c r="U46" s="67">
        <f t="array" ref="U46">XLOOKUP(D46,RUC!$B$3:$B$110,RUC!$F$3:$F$110)</f>
        <v>110</v>
      </c>
      <c r="V46" s="67">
        <v>1.1023</v>
      </c>
      <c r="Y46" s="57">
        <f t="array" ref="Y46">XLOOKUP(D46,RUC!$B$3:$B$110,RUC!$G$3:$G$110)</f>
        <v>0</v>
      </c>
      <c r="Z46" s="69">
        <f t="array" ref="Z46">XLOOKUP(D46,RUC!$B$3:$B$110,RUC!$H$3:$H$110)</f>
        <v>35</v>
      </c>
      <c r="AA46" s="70">
        <f t="shared" si="6"/>
        <v>35</v>
      </c>
      <c r="AB46" s="71">
        <f t="shared" si="23"/>
        <v>953.1628003</v>
      </c>
      <c r="AC46" s="71">
        <f>+(S46-T46)*V46-'data 1'!$F$4</f>
        <v>30.23</v>
      </c>
      <c r="AD46" s="71">
        <f t="shared" si="7"/>
        <v>111.1564549</v>
      </c>
      <c r="AE46" s="71">
        <f t="shared" si="8"/>
        <v>-31.4195</v>
      </c>
      <c r="AF46" s="71">
        <f t="shared" si="9"/>
        <v>100.3816049</v>
      </c>
      <c r="AG46" s="72">
        <f t="shared" si="36"/>
        <v>227.3485598</v>
      </c>
      <c r="AH46" s="193">
        <f t="shared" si="11"/>
        <v>4.774</v>
      </c>
      <c r="AI46" s="193">
        <f t="shared" si="12"/>
        <v>4.852</v>
      </c>
      <c r="AJ46" s="73">
        <f t="shared" si="13"/>
        <v>7.540184593</v>
      </c>
      <c r="AK46" s="73">
        <f t="shared" si="14"/>
        <v>4.031262213</v>
      </c>
      <c r="AM46" s="51">
        <f t="shared" si="15"/>
        <v>546.1622846</v>
      </c>
      <c r="AN46" s="51" t="str">
        <f t="array" ref="AN46">XLOOKUP(D46,RUC!$B$3:$B$565,RUC!$M$3:$M$565)</f>
        <v>Robinson Tuya</v>
      </c>
      <c r="AO46" s="131" t="s">
        <v>551</v>
      </c>
      <c r="AP46" s="57" t="s">
        <v>1237</v>
      </c>
      <c r="AQ46" s="57" t="s">
        <v>2026</v>
      </c>
    </row>
    <row r="47" ht="15.0" customHeight="1">
      <c r="A47" s="116" t="s">
        <v>3143</v>
      </c>
      <c r="B47" s="182">
        <v>46057.0</v>
      </c>
      <c r="C47" s="182">
        <v>46052.0</v>
      </c>
      <c r="D47" s="57" t="s">
        <v>723</v>
      </c>
      <c r="E47" s="3">
        <f t="array" ref="E47">XLOOKUP(D47,RUC!$B$3:$B$110,RUC!$D$3:$D$110)</f>
        <v>20606480840</v>
      </c>
      <c r="G47" s="3">
        <v>19.0</v>
      </c>
      <c r="H47" s="3" t="s">
        <v>47</v>
      </c>
      <c r="I47" s="6">
        <v>1.53</v>
      </c>
      <c r="J47" s="58">
        <v>1.2</v>
      </c>
      <c r="K47" s="6">
        <f t="shared" si="2"/>
        <v>1.512</v>
      </c>
      <c r="L47" s="139">
        <v>0.547</v>
      </c>
      <c r="M47" s="60">
        <f t="shared" si="3"/>
        <v>0.514</v>
      </c>
      <c r="N47" s="62">
        <f t="shared" si="32"/>
        <v>0.514</v>
      </c>
      <c r="O47" s="60">
        <f t="shared" si="5"/>
        <v>0.514</v>
      </c>
      <c r="P47" s="63">
        <v>90.0</v>
      </c>
      <c r="Q47" s="58">
        <v>95.98</v>
      </c>
      <c r="R47" s="65">
        <v>4981.85</v>
      </c>
      <c r="S47" s="66">
        <f t="array" ref="S47">IF((XLOOKUP(D47,RUC!$B$3:$B$106,RUC!$E$3:$E$106)+ROUNDDOWN(O47,1)*100)&lt;95,95,((XLOOKUP(D47,RUC!$B$3:$B$106,RUC!$E$3:$E$106)+ROUNDDOWN(O47,1)*100)))</f>
        <v>130</v>
      </c>
      <c r="U47" s="67">
        <f t="array" ref="U47">XLOOKUP(D47,RUC!$B$3:$B$110,RUC!$F$3:$F$110)</f>
        <v>110</v>
      </c>
      <c r="V47" s="67">
        <v>1.1023</v>
      </c>
      <c r="Y47" s="57">
        <f t="array" ref="Y47">XLOOKUP(D47,RUC!$B$3:$B$110,RUC!$G$3:$G$110)</f>
        <v>0</v>
      </c>
      <c r="Z47" s="69">
        <f t="array" ref="Z47">XLOOKUP(D47,RUC!$B$3:$B$110,RUC!$H$3:$H$110)</f>
        <v>35</v>
      </c>
      <c r="AA47" s="70">
        <f t="shared" si="6"/>
        <v>35</v>
      </c>
      <c r="AB47" s="71">
        <f t="shared" si="23"/>
        <v>2302.393642</v>
      </c>
      <c r="AC47" s="71">
        <f>+(S47-T47)*V47-'data 1'!$F$4</f>
        <v>63.299</v>
      </c>
      <c r="AD47" s="71">
        <f t="shared" si="7"/>
        <v>175.6637809</v>
      </c>
      <c r="AE47" s="71">
        <f t="shared" si="8"/>
        <v>-31.4195</v>
      </c>
      <c r="AF47" s="71">
        <f t="shared" si="9"/>
        <v>170.0937677</v>
      </c>
      <c r="AG47" s="72">
        <f t="shared" si="36"/>
        <v>394.6370486</v>
      </c>
      <c r="AH47" s="193">
        <f t="shared" si="11"/>
        <v>27.216</v>
      </c>
      <c r="AI47" s="193">
        <f t="shared" si="12"/>
        <v>28.356</v>
      </c>
      <c r="AJ47" s="73">
        <f t="shared" si="13"/>
        <v>16.29094504</v>
      </c>
      <c r="AK47" s="73">
        <f t="shared" si="14"/>
        <v>23.98095581</v>
      </c>
      <c r="AM47" s="51">
        <f t="shared" si="15"/>
        <v>3481.219187</v>
      </c>
      <c r="AN47" s="51" t="str">
        <f t="array" ref="AN47">XLOOKUP(D47,RUC!$B$3:$B$565,RUC!$M$3:$M$565)</f>
        <v>Robinson Tuya</v>
      </c>
      <c r="AO47" s="131" t="s">
        <v>558</v>
      </c>
      <c r="AP47" s="57" t="s">
        <v>1237</v>
      </c>
      <c r="AQ47" s="57" t="s">
        <v>2026</v>
      </c>
    </row>
    <row r="48" ht="15.0" customHeight="1">
      <c r="A48" s="116" t="s">
        <v>3144</v>
      </c>
      <c r="B48" s="182">
        <v>46057.0</v>
      </c>
      <c r="C48" s="182">
        <v>46052.0</v>
      </c>
      <c r="D48" s="57" t="s">
        <v>723</v>
      </c>
      <c r="E48" s="3">
        <f t="array" ref="E48">XLOOKUP(D48,RUC!$B$3:$B$110,RUC!$D$3:$D$110)</f>
        <v>20606480840</v>
      </c>
      <c r="G48" s="3">
        <v>8.0</v>
      </c>
      <c r="H48" s="3" t="s">
        <v>47</v>
      </c>
      <c r="I48" s="6">
        <v>0.62</v>
      </c>
      <c r="J48" s="58">
        <v>2.05</v>
      </c>
      <c r="K48" s="6">
        <f t="shared" si="2"/>
        <v>0.607</v>
      </c>
      <c r="L48" s="139">
        <v>0.21</v>
      </c>
      <c r="M48" s="60">
        <f t="shared" si="3"/>
        <v>0.191</v>
      </c>
      <c r="N48" s="62">
        <f t="shared" si="32"/>
        <v>0.191</v>
      </c>
      <c r="O48" s="60">
        <f t="shared" si="5"/>
        <v>0.191</v>
      </c>
      <c r="P48" s="63">
        <v>85.0</v>
      </c>
      <c r="Q48" s="58">
        <v>98.57</v>
      </c>
      <c r="R48" s="65">
        <v>4981.85</v>
      </c>
      <c r="S48" s="66">
        <f t="array" ref="S48">IF((XLOOKUP(D48,RUC!$B$3:$B$106,RUC!$E$3:$E$106)+ROUNDDOWN(O48,1)*100)&lt;95,95,((XLOOKUP(D48,RUC!$B$3:$B$106,RUC!$E$3:$E$106)+ROUNDDOWN(O48,1)*100)))</f>
        <v>95</v>
      </c>
      <c r="U48" s="67">
        <f t="array" ref="U48">XLOOKUP(D48,RUC!$B$3:$B$110,RUC!$F$3:$F$110)</f>
        <v>110</v>
      </c>
      <c r="V48" s="67">
        <v>1.1023</v>
      </c>
      <c r="Y48" s="57">
        <f t="array" ref="Y48">XLOOKUP(D48,RUC!$B$3:$B$110,RUC!$G$3:$G$110)</f>
        <v>0</v>
      </c>
      <c r="Z48" s="69">
        <f t="array" ref="Z48">XLOOKUP(D48,RUC!$B$3:$B$110,RUC!$H$3:$H$110)</f>
        <v>35</v>
      </c>
      <c r="AA48" s="70">
        <f t="shared" si="6"/>
        <v>35</v>
      </c>
      <c r="AB48" s="71">
        <f t="shared" si="23"/>
        <v>728.5595054</v>
      </c>
      <c r="AC48" s="71">
        <f>+(S48-T48)*V48-'data 1'!$F$4</f>
        <v>24.7185</v>
      </c>
      <c r="AD48" s="71">
        <f t="shared" si="7"/>
        <v>153.0357365</v>
      </c>
      <c r="AE48" s="71">
        <f t="shared" si="8"/>
        <v>-31.4195</v>
      </c>
      <c r="AF48" s="71">
        <f t="shared" si="9"/>
        <v>100.5754706</v>
      </c>
      <c r="AG48" s="72">
        <f t="shared" si="36"/>
        <v>263.9102071</v>
      </c>
      <c r="AH48" s="193">
        <f t="shared" si="11"/>
        <v>4.308</v>
      </c>
      <c r="AI48" s="193">
        <f t="shared" si="12"/>
        <v>4.37</v>
      </c>
      <c r="AJ48" s="73">
        <f t="shared" si="13"/>
        <v>6.423064126</v>
      </c>
      <c r="AK48" s="73">
        <f t="shared" si="14"/>
        <v>3.378703279</v>
      </c>
      <c r="AM48" s="51">
        <f t="shared" si="15"/>
        <v>442.2356198</v>
      </c>
      <c r="AN48" s="51" t="str">
        <f t="array" ref="AN48">XLOOKUP(D48,RUC!$B$3:$B$565,RUC!$M$3:$M$565)</f>
        <v>Robinson Tuya</v>
      </c>
      <c r="AO48" s="131" t="s">
        <v>551</v>
      </c>
      <c r="AP48" s="57" t="s">
        <v>1237</v>
      </c>
      <c r="AQ48" s="57" t="s">
        <v>2026</v>
      </c>
    </row>
    <row r="49" ht="15.0" customHeight="1">
      <c r="A49" s="116" t="s">
        <v>3145</v>
      </c>
      <c r="B49" s="182">
        <v>46057.0</v>
      </c>
      <c r="C49" s="182">
        <v>46052.0</v>
      </c>
      <c r="D49" s="57" t="s">
        <v>723</v>
      </c>
      <c r="E49" s="3">
        <f t="array" ref="E49">XLOOKUP(D49,RUC!$B$3:$B$110,RUC!$D$3:$D$110)</f>
        <v>20606480840</v>
      </c>
      <c r="G49" s="3">
        <v>45.0</v>
      </c>
      <c r="H49" s="3" t="s">
        <v>47</v>
      </c>
      <c r="I49" s="6">
        <v>4.3</v>
      </c>
      <c r="J49" s="58">
        <v>1.3</v>
      </c>
      <c r="K49" s="6">
        <f t="shared" si="2"/>
        <v>4.244</v>
      </c>
      <c r="L49" s="139">
        <v>0.197</v>
      </c>
      <c r="M49" s="60">
        <f t="shared" si="3"/>
        <v>0.178</v>
      </c>
      <c r="N49" s="62">
        <f t="shared" si="32"/>
        <v>0.178</v>
      </c>
      <c r="O49" s="60">
        <f t="shared" si="5"/>
        <v>0.178</v>
      </c>
      <c r="P49" s="63">
        <v>85.0</v>
      </c>
      <c r="Q49" s="58">
        <v>92.39</v>
      </c>
      <c r="R49" s="65">
        <v>4981.85</v>
      </c>
      <c r="S49" s="66">
        <f t="array" ref="S49">IF((XLOOKUP(D49,RUC!$B$3:$B$106,RUC!$E$3:$E$106)+ROUNDDOWN(O49,1)*100)&lt;95,95,((XLOOKUP(D49,RUC!$B$3:$B$106,RUC!$E$3:$E$106)+ROUNDDOWN(O49,1)*100)))</f>
        <v>95</v>
      </c>
      <c r="U49" s="67">
        <f t="array" ref="U49">XLOOKUP(D49,RUC!$B$3:$B$110,RUC!$F$3:$F$110)</f>
        <v>110</v>
      </c>
      <c r="V49" s="67">
        <v>1.1023</v>
      </c>
      <c r="Y49" s="57">
        <f t="array" ref="Y49">XLOOKUP(D49,RUC!$B$3:$B$110,RUC!$G$3:$G$110)</f>
        <v>0</v>
      </c>
      <c r="Z49" s="69">
        <f t="array" ref="Z49">XLOOKUP(D49,RUC!$B$3:$B$110,RUC!$H$3:$H$110)</f>
        <v>35</v>
      </c>
      <c r="AA49" s="70">
        <f t="shared" si="6"/>
        <v>35</v>
      </c>
      <c r="AB49" s="71">
        <f t="shared" si="23"/>
        <v>669.2183506</v>
      </c>
      <c r="AC49" s="71">
        <f>+(S49-T49)*V49-'data 1'!$F$4</f>
        <v>24.7185</v>
      </c>
      <c r="AD49" s="71">
        <f t="shared" si="7"/>
        <v>78.1815687</v>
      </c>
      <c r="AE49" s="71">
        <f t="shared" si="8"/>
        <v>-31.4195</v>
      </c>
      <c r="AF49" s="71">
        <f t="shared" si="9"/>
        <v>94.26973446</v>
      </c>
      <c r="AG49" s="72">
        <f t="shared" si="36"/>
        <v>182.7503032</v>
      </c>
      <c r="AH49" s="193">
        <f t="shared" si="11"/>
        <v>26.484</v>
      </c>
      <c r="AI49" s="193">
        <f t="shared" si="12"/>
        <v>28.665</v>
      </c>
      <c r="AJ49" s="73">
        <f t="shared" si="13"/>
        <v>5.647671137</v>
      </c>
      <c r="AK49" s="73">
        <f t="shared" si="14"/>
        <v>22.01523738</v>
      </c>
      <c r="AM49" s="51">
        <f t="shared" si="15"/>
        <v>2840.16268</v>
      </c>
      <c r="AN49" s="51" t="str">
        <f t="array" ref="AN49">XLOOKUP(D49,RUC!$B$3:$B$565,RUC!$M$3:$M$565)</f>
        <v>Robinson Tuya</v>
      </c>
      <c r="AO49" s="131" t="s">
        <v>547</v>
      </c>
      <c r="AP49" s="57" t="s">
        <v>1237</v>
      </c>
      <c r="AQ49" s="57" t="s">
        <v>2026</v>
      </c>
    </row>
    <row r="50" ht="15.0" customHeight="1">
      <c r="A50" s="116" t="s">
        <v>3146</v>
      </c>
      <c r="B50" s="182">
        <v>46057.0</v>
      </c>
      <c r="C50" s="182">
        <v>46052.0</v>
      </c>
      <c r="D50" s="57" t="s">
        <v>295</v>
      </c>
      <c r="E50" s="3">
        <f t="array" ref="E50">XLOOKUP(D50,RUC!$B$3:$B$110,RUC!$D$3:$D$110)</f>
        <v>20601769396</v>
      </c>
      <c r="G50" s="3">
        <v>54.0</v>
      </c>
      <c r="H50" s="3" t="s">
        <v>40</v>
      </c>
      <c r="I50" s="6">
        <v>3.85</v>
      </c>
      <c r="J50" s="58">
        <v>11.48</v>
      </c>
      <c r="K50" s="6">
        <f t="shared" si="2"/>
        <v>3.408</v>
      </c>
      <c r="L50" s="139">
        <v>0.245</v>
      </c>
      <c r="M50" s="60">
        <f t="shared" si="3"/>
        <v>0.226</v>
      </c>
      <c r="N50" s="62">
        <f t="shared" si="32"/>
        <v>0.226</v>
      </c>
      <c r="O50" s="60">
        <f t="shared" si="5"/>
        <v>0.226</v>
      </c>
      <c r="P50" s="63">
        <v>90.0</v>
      </c>
      <c r="Q50" s="58">
        <v>94.69</v>
      </c>
      <c r="R50" s="65">
        <v>4981.85</v>
      </c>
      <c r="S50" s="66">
        <f t="array" ref="S50">IF((XLOOKUP(D50,RUC!$B$3:$B$106,RUC!$E$3:$E$106)+ROUNDDOWN(O50,1)*100)&lt;95,95,((XLOOKUP(D50,RUC!$B$3:$B$106,RUC!$E$3:$E$106)+ROUNDDOWN(O50,1)*100)))</f>
        <v>110</v>
      </c>
      <c r="U50" s="67">
        <f t="array" ref="U50">XLOOKUP(D50,RUC!$B$3:$B$110,RUC!$F$3:$F$110)</f>
        <v>120</v>
      </c>
      <c r="V50" s="67">
        <v>1.1023</v>
      </c>
      <c r="Y50" s="199">
        <v>30.0</v>
      </c>
      <c r="Z50" s="140">
        <v>40.0</v>
      </c>
      <c r="AA50" s="70">
        <f t="shared" si="6"/>
        <v>70</v>
      </c>
      <c r="AB50" s="71">
        <f t="shared" si="23"/>
        <v>891.6507897</v>
      </c>
      <c r="AC50" s="71">
        <f>+(S50-T50)*V50-'data 1'!$F$4</f>
        <v>41.253</v>
      </c>
      <c r="AD50" s="71">
        <f t="shared" si="7"/>
        <v>61.58008587</v>
      </c>
      <c r="AE50" s="71">
        <f t="shared" si="8"/>
        <v>7.161</v>
      </c>
      <c r="AF50" s="71">
        <f t="shared" si="9"/>
        <v>96.41821356</v>
      </c>
      <c r="AG50" s="72">
        <f t="shared" si="36"/>
        <v>223.4122994</v>
      </c>
      <c r="AH50" s="193">
        <f t="shared" si="11"/>
        <v>27.107</v>
      </c>
      <c r="AI50" s="193">
        <f t="shared" si="12"/>
        <v>28.627</v>
      </c>
      <c r="AJ50" s="73">
        <f t="shared" si="13"/>
        <v>9.755837339</v>
      </c>
      <c r="AK50" s="73">
        <f t="shared" si="14"/>
        <v>23.76619214</v>
      </c>
      <c r="AM50" s="51">
        <f t="shared" si="15"/>
        <v>3038.745891</v>
      </c>
      <c r="AN50" s="51" t="str">
        <f t="array" ref="AN50">XLOOKUP(D50,RUC!$B$3:$B$565,RUC!$M$3:$M$565)</f>
        <v>Evelyn</v>
      </c>
      <c r="AO50" s="131" t="s">
        <v>551</v>
      </c>
      <c r="AP50" s="57" t="s">
        <v>3147</v>
      </c>
      <c r="AQ50" s="57" t="s">
        <v>3148</v>
      </c>
    </row>
    <row r="51" ht="15.0" customHeight="1">
      <c r="A51" s="116" t="s">
        <v>3149</v>
      </c>
      <c r="B51" s="182">
        <v>46057.0</v>
      </c>
      <c r="C51" s="182">
        <v>46052.0</v>
      </c>
      <c r="D51" s="57" t="s">
        <v>295</v>
      </c>
      <c r="E51" s="3">
        <f t="array" ref="E51">XLOOKUP(D51,RUC!$B$3:$B$110,RUC!$D$3:$D$110)</f>
        <v>20601769396</v>
      </c>
      <c r="G51" s="3">
        <v>54.0</v>
      </c>
      <c r="H51" s="3" t="s">
        <v>40</v>
      </c>
      <c r="I51" s="6">
        <v>4.14</v>
      </c>
      <c r="J51" s="58">
        <v>11.43</v>
      </c>
      <c r="K51" s="6">
        <f t="shared" si="2"/>
        <v>3.667</v>
      </c>
      <c r="L51" s="139">
        <v>0.265</v>
      </c>
      <c r="M51" s="60">
        <f t="shared" si="3"/>
        <v>0.246</v>
      </c>
      <c r="N51" s="62">
        <f t="shared" si="32"/>
        <v>0.246</v>
      </c>
      <c r="O51" s="60">
        <f t="shared" si="5"/>
        <v>0.246</v>
      </c>
      <c r="P51" s="63">
        <v>90.0</v>
      </c>
      <c r="Q51" s="58">
        <v>93.21</v>
      </c>
      <c r="R51" s="65">
        <v>4981.85</v>
      </c>
      <c r="S51" s="66">
        <f t="array" ref="S51">IF((XLOOKUP(D51,RUC!$B$3:$B$106,RUC!$E$3:$E$106)+ROUNDDOWN(O51,1)*100)&lt;95,95,((XLOOKUP(D51,RUC!$B$3:$B$106,RUC!$E$3:$E$106)+ROUNDDOWN(O51,1)*100)))</f>
        <v>110</v>
      </c>
      <c r="U51" s="67">
        <f t="array" ref="U51">XLOOKUP(D51,RUC!$B$3:$B$110,RUC!$F$3:$F$110)</f>
        <v>120</v>
      </c>
      <c r="V51" s="67">
        <v>1.1023</v>
      </c>
      <c r="Y51" s="199">
        <v>30.0</v>
      </c>
      <c r="Z51" s="140">
        <v>40.0</v>
      </c>
      <c r="AA51" s="70">
        <f t="shared" si="6"/>
        <v>70</v>
      </c>
      <c r="AB51" s="71">
        <f t="shared" si="23"/>
        <v>988.1167003</v>
      </c>
      <c r="AC51" s="71">
        <f>+(S51-T51)*V51-'data 1'!$F$4</f>
        <v>41.253</v>
      </c>
      <c r="AD51" s="71">
        <f t="shared" si="7"/>
        <v>45.58818158</v>
      </c>
      <c r="AE51" s="71">
        <f t="shared" si="8"/>
        <v>7.161</v>
      </c>
      <c r="AF51" s="71">
        <f t="shared" si="9"/>
        <v>94.91120166</v>
      </c>
      <c r="AG51" s="72">
        <f t="shared" si="36"/>
        <v>205.9133832</v>
      </c>
      <c r="AH51" s="193">
        <f t="shared" si="11"/>
        <v>31.055</v>
      </c>
      <c r="AI51" s="193">
        <f t="shared" si="12"/>
        <v>33.317</v>
      </c>
      <c r="AJ51" s="73">
        <f t="shared" si="13"/>
        <v>10.38730136</v>
      </c>
      <c r="AK51" s="73">
        <f t="shared" si="14"/>
        <v>27.83540828</v>
      </c>
      <c r="AM51" s="51">
        <f t="shared" si="15"/>
        <v>3623.42394</v>
      </c>
      <c r="AN51" s="51" t="str">
        <f t="array" ref="AN51">XLOOKUP(D51,RUC!$B$3:$B$565,RUC!$M$3:$M$565)</f>
        <v>Evelyn</v>
      </c>
      <c r="AO51" s="131" t="s">
        <v>551</v>
      </c>
      <c r="AP51" s="57" t="s">
        <v>3147</v>
      </c>
      <c r="AQ51" s="57" t="s">
        <v>3148</v>
      </c>
    </row>
    <row r="52" ht="15.0" customHeight="1">
      <c r="A52" s="116" t="s">
        <v>3150</v>
      </c>
      <c r="B52" s="182">
        <v>46058.0</v>
      </c>
      <c r="C52" s="182">
        <v>46052.0</v>
      </c>
      <c r="D52" s="57" t="s">
        <v>295</v>
      </c>
      <c r="E52" s="3">
        <f t="array" ref="E52">XLOOKUP(D52,RUC!$B$3:$B$110,RUC!$D$3:$D$110)</f>
        <v>20601769396</v>
      </c>
      <c r="G52" s="3">
        <v>32.0</v>
      </c>
      <c r="H52" s="3" t="s">
        <v>40</v>
      </c>
      <c r="I52" s="6">
        <v>2.54</v>
      </c>
      <c r="J52" s="58">
        <v>15.18</v>
      </c>
      <c r="K52" s="6">
        <f t="shared" si="2"/>
        <v>2.154</v>
      </c>
      <c r="L52" s="139">
        <v>0.487</v>
      </c>
      <c r="M52" s="60">
        <f t="shared" si="3"/>
        <v>0.458</v>
      </c>
      <c r="N52" s="62">
        <f t="shared" si="32"/>
        <v>0.458</v>
      </c>
      <c r="O52" s="60">
        <f t="shared" si="5"/>
        <v>0.458</v>
      </c>
      <c r="P52" s="63">
        <v>90.0</v>
      </c>
      <c r="Q52" s="58">
        <v>89.53</v>
      </c>
      <c r="R52" s="65">
        <v>4981.85</v>
      </c>
      <c r="S52" s="66">
        <f t="array" ref="S52">IF((XLOOKUP(D52,RUC!$B$3:$B$106,RUC!$E$3:$E$106)+ROUNDDOWN(O52,1)*100)&lt;95,95,((XLOOKUP(D52,RUC!$B$3:$B$106,RUC!$E$3:$E$106)+ROUNDDOWN(O52,1)*100)))</f>
        <v>130</v>
      </c>
      <c r="U52" s="67">
        <f t="array" ref="U52">XLOOKUP(D52,RUC!$B$3:$B$110,RUC!$F$3:$F$110)</f>
        <v>120</v>
      </c>
      <c r="V52" s="67">
        <v>1.1023</v>
      </c>
      <c r="Y52" s="199">
        <v>30.0</v>
      </c>
      <c r="Z52" s="140">
        <v>40.0</v>
      </c>
      <c r="AA52" s="70">
        <f t="shared" si="6"/>
        <v>70</v>
      </c>
      <c r="AB52" s="71">
        <f t="shared" si="23"/>
        <v>1988.609353</v>
      </c>
      <c r="AC52" s="71">
        <f>+(S52-T52)*V52-'data 1'!$F$4</f>
        <v>63.299</v>
      </c>
      <c r="AD52" s="71">
        <f t="shared" si="7"/>
        <v>-12.26671237</v>
      </c>
      <c r="AE52" s="71">
        <f t="shared" si="8"/>
        <v>7.161</v>
      </c>
      <c r="AF52" s="71">
        <f t="shared" si="9"/>
        <v>139.145109</v>
      </c>
      <c r="AG52" s="72">
        <f t="shared" si="36"/>
        <v>214.3383967</v>
      </c>
      <c r="AH52" s="193">
        <f t="shared" si="11"/>
        <v>32.2</v>
      </c>
      <c r="AI52" s="193">
        <f t="shared" si="12"/>
        <v>35.965</v>
      </c>
      <c r="AJ52" s="73">
        <f t="shared" si="13"/>
        <v>18.33546361</v>
      </c>
      <c r="AK52" s="73">
        <f t="shared" si="14"/>
        <v>30.4412692</v>
      </c>
      <c r="AM52" s="51">
        <f t="shared" si="15"/>
        <v>4283.464545</v>
      </c>
      <c r="AN52" s="51" t="str">
        <f t="array" ref="AN52">XLOOKUP(D52,RUC!$B$3:$B$565,RUC!$M$3:$M$565)</f>
        <v>Evelyn</v>
      </c>
      <c r="AO52" s="131" t="s">
        <v>558</v>
      </c>
      <c r="AP52" s="57" t="s">
        <v>3147</v>
      </c>
      <c r="AQ52" s="57" t="s">
        <v>3148</v>
      </c>
    </row>
    <row r="53" ht="15.0" customHeight="1">
      <c r="A53" s="116" t="s">
        <v>3151</v>
      </c>
      <c r="B53" s="182">
        <v>46058.0</v>
      </c>
      <c r="C53" s="182">
        <v>46052.0</v>
      </c>
      <c r="D53" s="57" t="s">
        <v>295</v>
      </c>
      <c r="E53" s="3">
        <f t="array" ref="E53">XLOOKUP(D53,RUC!$B$3:$B$110,RUC!$D$3:$D$110)</f>
        <v>20601769396</v>
      </c>
      <c r="G53" s="3">
        <v>32.0</v>
      </c>
      <c r="H53" s="3" t="s">
        <v>40</v>
      </c>
      <c r="I53" s="6">
        <v>2.53</v>
      </c>
      <c r="J53" s="58">
        <v>14.58</v>
      </c>
      <c r="K53" s="6">
        <f t="shared" si="2"/>
        <v>2.161</v>
      </c>
      <c r="L53" s="139">
        <v>0.473</v>
      </c>
      <c r="M53" s="60">
        <f t="shared" si="3"/>
        <v>0.445</v>
      </c>
      <c r="N53" s="62">
        <f t="shared" si="32"/>
        <v>0.445</v>
      </c>
      <c r="O53" s="60">
        <f t="shared" si="5"/>
        <v>0.445</v>
      </c>
      <c r="P53" s="63">
        <v>87.0</v>
      </c>
      <c r="Q53" s="58">
        <v>88.16</v>
      </c>
      <c r="R53" s="65">
        <v>4981.85</v>
      </c>
      <c r="S53" s="66">
        <f t="array" ref="S53">IF((XLOOKUP(D53,RUC!$B$3:$B$106,RUC!$E$3:$E$106)+ROUNDDOWN(O53,1)*100)&lt;95,95,((XLOOKUP(D53,RUC!$B$3:$B$106,RUC!$E$3:$E$106)+ROUNDDOWN(O53,1)*100)))</f>
        <v>130</v>
      </c>
      <c r="U53" s="67">
        <f t="array" ref="U53">XLOOKUP(D53,RUC!$B$3:$B$110,RUC!$F$3:$F$110)</f>
        <v>120</v>
      </c>
      <c r="V53" s="67">
        <v>1.1023</v>
      </c>
      <c r="Y53" s="199">
        <v>30.0</v>
      </c>
      <c r="Z53" s="140">
        <v>40.0</v>
      </c>
      <c r="AA53" s="70">
        <f t="shared" si="6"/>
        <v>70</v>
      </c>
      <c r="AB53" s="71">
        <f t="shared" si="23"/>
        <v>1854.36096</v>
      </c>
      <c r="AC53" s="71">
        <f>+(S53-T53)*V53-'data 1'!$F$4</f>
        <v>63.299</v>
      </c>
      <c r="AD53" s="71">
        <f t="shared" si="7"/>
        <v>29.40495323</v>
      </c>
      <c r="AE53" s="71">
        <f t="shared" si="8"/>
        <v>7.161</v>
      </c>
      <c r="AF53" s="71">
        <f t="shared" si="9"/>
        <v>132.2912061</v>
      </c>
      <c r="AG53" s="72">
        <f t="shared" si="36"/>
        <v>249.1561593</v>
      </c>
      <c r="AH53" s="193">
        <f t="shared" si="11"/>
        <v>30.896</v>
      </c>
      <c r="AI53" s="193">
        <f t="shared" si="12"/>
        <v>35.045</v>
      </c>
      <c r="AJ53" s="73">
        <f t="shared" si="13"/>
        <v>17.5358601</v>
      </c>
      <c r="AK53" s="73">
        <f t="shared" si="14"/>
        <v>28.68422363</v>
      </c>
      <c r="AM53" s="51">
        <f t="shared" si="15"/>
        <v>4007.274035</v>
      </c>
      <c r="AN53" s="51" t="str">
        <f t="array" ref="AN53">XLOOKUP(D53,RUC!$B$3:$B$565,RUC!$M$3:$M$565)</f>
        <v>Evelyn</v>
      </c>
      <c r="AO53" s="131" t="s">
        <v>558</v>
      </c>
      <c r="AP53" s="57" t="s">
        <v>3147</v>
      </c>
      <c r="AQ53" s="57" t="s">
        <v>3148</v>
      </c>
    </row>
    <row r="54" ht="15.0" customHeight="1">
      <c r="A54" s="116" t="s">
        <v>3152</v>
      </c>
      <c r="B54" s="182">
        <v>46057.0</v>
      </c>
      <c r="C54" s="182">
        <v>46052.0</v>
      </c>
      <c r="D54" s="57" t="s">
        <v>295</v>
      </c>
      <c r="E54" s="3">
        <f t="array" ref="E54">XLOOKUP(D54,RUC!$B$3:$B$110,RUC!$D$3:$D$110)</f>
        <v>20601769396</v>
      </c>
      <c r="G54" s="3">
        <v>12.0</v>
      </c>
      <c r="H54" s="3" t="s">
        <v>40</v>
      </c>
      <c r="I54" s="6">
        <v>0.83</v>
      </c>
      <c r="J54" s="58">
        <v>8.8</v>
      </c>
      <c r="K54" s="6">
        <f t="shared" si="2"/>
        <v>0.757</v>
      </c>
      <c r="L54" s="139">
        <v>0.189</v>
      </c>
      <c r="M54" s="60">
        <f t="shared" si="3"/>
        <v>0.17</v>
      </c>
      <c r="N54" s="62">
        <f t="shared" si="32"/>
        <v>0.17</v>
      </c>
      <c r="O54" s="60">
        <f t="shared" si="5"/>
        <v>0.17</v>
      </c>
      <c r="P54" s="63">
        <v>85.0</v>
      </c>
      <c r="Q54" s="58">
        <v>96.3</v>
      </c>
      <c r="R54" s="65">
        <v>4981.85</v>
      </c>
      <c r="S54" s="66">
        <f t="array" ref="S54">IF((XLOOKUP(D54,RUC!$B$3:$B$106,RUC!$E$3:$E$106)+ROUNDDOWN(O54,1)*100)&lt;95,95,((XLOOKUP(D54,RUC!$B$3:$B$106,RUC!$E$3:$E$106)+ROUNDDOWN(O54,1)*100)))</f>
        <v>100</v>
      </c>
      <c r="U54" s="67">
        <f t="array" ref="U54">XLOOKUP(D54,RUC!$B$3:$B$110,RUC!$F$3:$F$110)</f>
        <v>120</v>
      </c>
      <c r="V54" s="67">
        <v>1.1023</v>
      </c>
      <c r="Y54" s="199">
        <v>30.0</v>
      </c>
      <c r="Z54" s="140">
        <v>40.0</v>
      </c>
      <c r="AA54" s="70">
        <f t="shared" si="6"/>
        <v>70</v>
      </c>
      <c r="AB54" s="71">
        <f t="shared" si="23"/>
        <v>587.0158933</v>
      </c>
      <c r="AC54" s="71">
        <f>+(S54-T54)*V54-'data 1'!$F$4</f>
        <v>30.23</v>
      </c>
      <c r="AD54" s="71">
        <f t="shared" si="7"/>
        <v>114.4568029</v>
      </c>
      <c r="AE54" s="71">
        <f t="shared" si="8"/>
        <v>7.161</v>
      </c>
      <c r="AF54" s="71">
        <f t="shared" si="9"/>
        <v>98.05759811</v>
      </c>
      <c r="AG54" s="72">
        <f t="shared" si="36"/>
        <v>266.905401</v>
      </c>
      <c r="AH54" s="193">
        <f t="shared" si="11"/>
        <v>4.724</v>
      </c>
      <c r="AI54" s="193">
        <f t="shared" si="12"/>
        <v>4.905</v>
      </c>
      <c r="AJ54" s="73">
        <f t="shared" si="13"/>
        <v>7.653893959</v>
      </c>
      <c r="AK54" s="73">
        <f t="shared" si="14"/>
        <v>3.7503586</v>
      </c>
      <c r="AM54" s="51">
        <f t="shared" si="15"/>
        <v>444.3710313</v>
      </c>
      <c r="AN54" s="51" t="str">
        <f t="array" ref="AN54">XLOOKUP(D54,RUC!$B$3:$B$565,RUC!$M$3:$M$565)</f>
        <v>Evelyn</v>
      </c>
      <c r="AO54" s="131" t="s">
        <v>551</v>
      </c>
      <c r="AP54" s="57" t="s">
        <v>3147</v>
      </c>
      <c r="AQ54" s="57" t="s">
        <v>3148</v>
      </c>
    </row>
    <row r="55" ht="15.0" customHeight="1">
      <c r="A55" s="116" t="s">
        <v>3153</v>
      </c>
      <c r="B55" s="182">
        <v>46059.0</v>
      </c>
      <c r="C55" s="182">
        <v>46052.0</v>
      </c>
      <c r="D55" s="57" t="s">
        <v>295</v>
      </c>
      <c r="E55" s="3">
        <f t="array" ref="E55">XLOOKUP(D55,RUC!$B$3:$B$110,RUC!$D$3:$D$110)</f>
        <v>20601769396</v>
      </c>
      <c r="G55" s="3">
        <v>25.0</v>
      </c>
      <c r="H55" s="3" t="s">
        <v>40</v>
      </c>
      <c r="I55" s="6">
        <v>2.27</v>
      </c>
      <c r="J55" s="58">
        <v>12.03</v>
      </c>
      <c r="K55" s="6">
        <f t="shared" si="2"/>
        <v>1.997</v>
      </c>
      <c r="L55" s="139">
        <v>0.178</v>
      </c>
      <c r="M55" s="60">
        <f t="shared" si="3"/>
        <v>0.159</v>
      </c>
      <c r="N55" s="62">
        <f t="shared" si="32"/>
        <v>0.159</v>
      </c>
      <c r="O55" s="60">
        <f t="shared" si="5"/>
        <v>0.159</v>
      </c>
      <c r="P55" s="63">
        <v>85.0</v>
      </c>
      <c r="Q55" s="58">
        <v>94.94</v>
      </c>
      <c r="R55" s="65">
        <v>4981.85</v>
      </c>
      <c r="S55" s="66">
        <f t="array" ref="S55">IF((XLOOKUP(D55,RUC!$B$3:$B$106,RUC!$E$3:$E$106)+ROUNDDOWN(O55,1)*100)&lt;95,95,((XLOOKUP(D55,RUC!$B$3:$B$106,RUC!$E$3:$E$106)+ROUNDDOWN(O55,1)*100)))</f>
        <v>100</v>
      </c>
      <c r="U55" s="67">
        <f t="array" ref="U55">XLOOKUP(D55,RUC!$B$3:$B$110,RUC!$F$3:$F$110)</f>
        <v>120</v>
      </c>
      <c r="V55" s="67">
        <v>1.1023</v>
      </c>
      <c r="Y55" s="199">
        <v>30.0</v>
      </c>
      <c r="Z55" s="140">
        <v>40.0</v>
      </c>
      <c r="AA55" s="70">
        <f t="shared" si="6"/>
        <v>70</v>
      </c>
      <c r="AB55" s="71">
        <f t="shared" si="23"/>
        <v>536.907212</v>
      </c>
      <c r="AC55" s="71">
        <f>+(S55-T55)*V55-'data 1'!$F$4</f>
        <v>30.23</v>
      </c>
      <c r="AD55" s="71">
        <f t="shared" si="7"/>
        <v>94.82170274</v>
      </c>
      <c r="AE55" s="71">
        <f t="shared" si="8"/>
        <v>7.161</v>
      </c>
      <c r="AF55" s="71">
        <f t="shared" si="9"/>
        <v>96.67277638</v>
      </c>
      <c r="AG55" s="72">
        <f t="shared" si="36"/>
        <v>245.8854791</v>
      </c>
      <c r="AH55" s="193">
        <f t="shared" si="11"/>
        <v>11.571</v>
      </c>
      <c r="AI55" s="193">
        <f t="shared" si="12"/>
        <v>12.187</v>
      </c>
      <c r="AJ55" s="73">
        <f t="shared" si="13"/>
        <v>7.106627946</v>
      </c>
      <c r="AK55" s="73">
        <f t="shared" si="14"/>
        <v>9.253439379</v>
      </c>
      <c r="AM55" s="51">
        <f t="shared" si="15"/>
        <v>1072.203702</v>
      </c>
      <c r="AN55" s="51" t="str">
        <f t="array" ref="AN55">XLOOKUP(D55,RUC!$B$3:$B$565,RUC!$M$3:$M$565)</f>
        <v>Evelyn</v>
      </c>
      <c r="AO55" s="131" t="s">
        <v>547</v>
      </c>
      <c r="AP55" s="57" t="s">
        <v>3147</v>
      </c>
      <c r="AQ55" s="57" t="s">
        <v>3148</v>
      </c>
    </row>
    <row r="56" ht="15.0" customHeight="1">
      <c r="A56" s="116" t="s">
        <v>3154</v>
      </c>
      <c r="B56" s="182">
        <v>46059.0</v>
      </c>
      <c r="C56" s="182">
        <v>46052.0</v>
      </c>
      <c r="D56" s="57" t="s">
        <v>295</v>
      </c>
      <c r="E56" s="3">
        <f t="array" ref="E56">XLOOKUP(D56,RUC!$B$3:$B$110,RUC!$D$3:$D$110)</f>
        <v>20601769396</v>
      </c>
      <c r="G56" s="3">
        <v>26.0</v>
      </c>
      <c r="H56" s="3" t="s">
        <v>40</v>
      </c>
      <c r="I56" s="6">
        <v>2.19</v>
      </c>
      <c r="J56" s="58">
        <v>13.15</v>
      </c>
      <c r="K56" s="6">
        <f t="shared" si="2"/>
        <v>1.902</v>
      </c>
      <c r="L56" s="139">
        <v>0.203</v>
      </c>
      <c r="M56" s="60">
        <f t="shared" si="3"/>
        <v>0.184</v>
      </c>
      <c r="N56" s="62">
        <f t="shared" si="32"/>
        <v>0.184</v>
      </c>
      <c r="O56" s="60">
        <f t="shared" si="5"/>
        <v>0.184</v>
      </c>
      <c r="P56" s="63">
        <v>90.0</v>
      </c>
      <c r="Q56" s="58">
        <v>92.61</v>
      </c>
      <c r="R56" s="65">
        <v>4981.85</v>
      </c>
      <c r="S56" s="66">
        <f t="array" ref="S56">IF((XLOOKUP(D56,RUC!$B$3:$B$106,RUC!$E$3:$E$106)+ROUNDDOWN(O56,1)*100)&lt;95,95,((XLOOKUP(D56,RUC!$B$3:$B$106,RUC!$E$3:$E$106)+ROUNDDOWN(O56,1)*100)))</f>
        <v>100</v>
      </c>
      <c r="U56" s="67">
        <f t="array" ref="U56">XLOOKUP(D56,RUC!$B$3:$B$110,RUC!$F$3:$F$110)</f>
        <v>120</v>
      </c>
      <c r="V56" s="67">
        <v>1.1023</v>
      </c>
      <c r="Y56" s="199">
        <v>30.0</v>
      </c>
      <c r="Z56" s="140">
        <v>40.0</v>
      </c>
      <c r="AA56" s="70">
        <f t="shared" si="6"/>
        <v>70</v>
      </c>
      <c r="AB56" s="71">
        <f t="shared" si="23"/>
        <v>700.0953774</v>
      </c>
      <c r="AC56" s="71">
        <f>+(S56-T56)*V56-'data 1'!$F$4</f>
        <v>30.23</v>
      </c>
      <c r="AD56" s="71">
        <f t="shared" si="7"/>
        <v>28.39474078</v>
      </c>
      <c r="AE56" s="71">
        <f t="shared" si="8"/>
        <v>7.161</v>
      </c>
      <c r="AF56" s="71">
        <f t="shared" si="9"/>
        <v>94.3002509</v>
      </c>
      <c r="AG56" s="72">
        <f t="shared" si="36"/>
        <v>177.0859917</v>
      </c>
      <c r="AH56" s="193">
        <f t="shared" si="11"/>
        <v>12.26</v>
      </c>
      <c r="AI56" s="193">
        <f t="shared" si="12"/>
        <v>13.238</v>
      </c>
      <c r="AJ56" s="73">
        <f t="shared" si="13"/>
        <v>7.90584457</v>
      </c>
      <c r="AK56" s="73">
        <f t="shared" si="14"/>
        <v>10.79890982</v>
      </c>
      <c r="AM56" s="51">
        <f t="shared" si="15"/>
        <v>1331.581408</v>
      </c>
      <c r="AN56" s="51" t="str">
        <f t="array" ref="AN56">XLOOKUP(D56,RUC!$B$3:$B$565,RUC!$M$3:$M$565)</f>
        <v>Evelyn</v>
      </c>
      <c r="AO56" s="131" t="s">
        <v>551</v>
      </c>
      <c r="AP56" s="57" t="s">
        <v>3147</v>
      </c>
      <c r="AQ56" s="57" t="s">
        <v>3148</v>
      </c>
    </row>
    <row r="57" ht="15.0" customHeight="1">
      <c r="A57" s="116" t="s">
        <v>3155</v>
      </c>
      <c r="B57" s="182">
        <v>46059.0</v>
      </c>
      <c r="C57" s="182">
        <v>46052.0</v>
      </c>
      <c r="D57" s="57" t="s">
        <v>295</v>
      </c>
      <c r="E57" s="3">
        <f t="array" ref="E57">XLOOKUP(D57,RUC!$B$3:$B$110,RUC!$D$3:$D$110)</f>
        <v>20601769396</v>
      </c>
      <c r="G57" s="3">
        <v>26.0</v>
      </c>
      <c r="H57" s="3" t="s">
        <v>40</v>
      </c>
      <c r="I57" s="6">
        <v>2.22</v>
      </c>
      <c r="J57" s="58">
        <v>13.85</v>
      </c>
      <c r="K57" s="6">
        <f t="shared" si="2"/>
        <v>1.913</v>
      </c>
      <c r="L57" s="139">
        <v>0.198</v>
      </c>
      <c r="M57" s="60">
        <f t="shared" si="3"/>
        <v>0.179</v>
      </c>
      <c r="N57" s="62">
        <f t="shared" si="32"/>
        <v>0.179</v>
      </c>
      <c r="O57" s="60">
        <f t="shared" si="5"/>
        <v>0.179</v>
      </c>
      <c r="P57" s="63">
        <v>85.0</v>
      </c>
      <c r="Q57" s="58">
        <v>94.95</v>
      </c>
      <c r="R57" s="65">
        <v>4981.85</v>
      </c>
      <c r="S57" s="66">
        <f t="array" ref="S57">IF((XLOOKUP(D57,RUC!$B$3:$B$106,RUC!$E$3:$E$106)+ROUNDDOWN(O57,1)*100)&lt;95,95,((XLOOKUP(D57,RUC!$B$3:$B$106,RUC!$E$3:$E$106)+ROUNDDOWN(O57,1)*100)))</f>
        <v>100</v>
      </c>
      <c r="U57" s="67">
        <f t="array" ref="U57">XLOOKUP(D57,RUC!$B$3:$B$110,RUC!$F$3:$F$110)</f>
        <v>120</v>
      </c>
      <c r="V57" s="67">
        <v>1.1023</v>
      </c>
      <c r="Y57" s="199">
        <v>30.0</v>
      </c>
      <c r="Z57" s="140">
        <v>40.0</v>
      </c>
      <c r="AA57" s="70">
        <f t="shared" si="6"/>
        <v>70</v>
      </c>
      <c r="AB57" s="71">
        <f t="shared" si="23"/>
        <v>628.0139053</v>
      </c>
      <c r="AC57" s="71">
        <f>+(S57-T57)*V57-'data 1'!$F$4</f>
        <v>30.23</v>
      </c>
      <c r="AD57" s="71">
        <f t="shared" si="7"/>
        <v>105.5819391</v>
      </c>
      <c r="AE57" s="71">
        <f t="shared" si="8"/>
        <v>7.161</v>
      </c>
      <c r="AF57" s="71">
        <f t="shared" si="9"/>
        <v>96.68295889</v>
      </c>
      <c r="AG57" s="72">
        <f t="shared" si="36"/>
        <v>256.655898</v>
      </c>
      <c r="AH57" s="193">
        <f t="shared" si="11"/>
        <v>12.331</v>
      </c>
      <c r="AI57" s="193">
        <f t="shared" si="12"/>
        <v>12.986</v>
      </c>
      <c r="AJ57" s="73">
        <f t="shared" si="13"/>
        <v>7.905958113</v>
      </c>
      <c r="AK57" s="73">
        <f t="shared" si="14"/>
        <v>9.979206188</v>
      </c>
      <c r="AM57" s="51">
        <f t="shared" si="15"/>
        <v>1201.390601</v>
      </c>
      <c r="AN57" s="51" t="str">
        <f t="array" ref="AN57">XLOOKUP(D57,RUC!$B$3:$B$565,RUC!$M$3:$M$565)</f>
        <v>Evelyn</v>
      </c>
      <c r="AO57" s="131" t="s">
        <v>551</v>
      </c>
      <c r="AP57" s="57" t="s">
        <v>3147</v>
      </c>
      <c r="AQ57" s="57" t="s">
        <v>3148</v>
      </c>
    </row>
    <row r="58" ht="15.0" customHeight="1">
      <c r="A58" s="116" t="s">
        <v>3156</v>
      </c>
      <c r="B58" s="182">
        <v>46066.0</v>
      </c>
      <c r="C58" s="182">
        <v>46052.0</v>
      </c>
      <c r="D58" s="57" t="s">
        <v>852</v>
      </c>
      <c r="E58" s="3">
        <f t="array" ref="E58">XLOOKUP(D58,RUC!$B$3:$B$110,RUC!$D$3:$D$110)</f>
        <v>20610807004</v>
      </c>
      <c r="G58" s="3">
        <v>53.0</v>
      </c>
      <c r="H58" s="3" t="s">
        <v>40</v>
      </c>
      <c r="I58" s="6">
        <v>4.62</v>
      </c>
      <c r="J58" s="58">
        <v>14.5</v>
      </c>
      <c r="K58" s="6">
        <f t="shared" si="2"/>
        <v>3.95</v>
      </c>
      <c r="L58" s="139">
        <v>0.298</v>
      </c>
      <c r="M58" s="60">
        <f t="shared" si="3"/>
        <v>0.279</v>
      </c>
      <c r="N58" s="62">
        <f t="shared" si="32"/>
        <v>0.279</v>
      </c>
      <c r="O58" s="60">
        <f t="shared" si="5"/>
        <v>0.279</v>
      </c>
      <c r="P58" s="63">
        <v>88.0</v>
      </c>
      <c r="Q58" s="58">
        <v>88.26</v>
      </c>
      <c r="R58" s="65">
        <v>4981.85</v>
      </c>
      <c r="S58" s="66">
        <f t="array" ref="S58">IF((XLOOKUP(D58,RUC!$B$3:$B$106,RUC!$E$3:$E$106)+ROUNDDOWN(O58,1)*100)&lt;95,95,((XLOOKUP(D58,RUC!$B$3:$B$106,RUC!$E$3:$E$106)+ROUNDDOWN(O58,1)*100)))</f>
        <v>105</v>
      </c>
      <c r="U58" s="67">
        <f t="array" ref="U58">XLOOKUP(D58,RUC!$B$3:$B$110,RUC!$F$3:$F$110)</f>
        <v>120</v>
      </c>
      <c r="V58" s="67">
        <v>1.1023</v>
      </c>
      <c r="Y58" s="199">
        <v>30.0</v>
      </c>
      <c r="Z58" s="140">
        <v>40.0</v>
      </c>
      <c r="AA58" s="70">
        <f t="shared" si="6"/>
        <v>70</v>
      </c>
      <c r="AB58" s="71">
        <f t="shared" si="23"/>
        <v>1122.89252</v>
      </c>
      <c r="AC58" s="71">
        <f>+(S58-T58)*V58-'data 1'!$F$4</f>
        <v>35.7415</v>
      </c>
      <c r="AD58" s="71">
        <f t="shared" si="7"/>
        <v>4.152321529</v>
      </c>
      <c r="AE58" s="71">
        <f t="shared" si="8"/>
        <v>7.161</v>
      </c>
      <c r="AF58" s="71">
        <f t="shared" si="9"/>
        <v>89.87085784</v>
      </c>
      <c r="AG58" s="72">
        <f>AC58+AD58+AE58+AF58+70-10</f>
        <v>196.9256794</v>
      </c>
      <c r="AH58" s="193">
        <f t="shared" si="11"/>
        <v>35.619</v>
      </c>
      <c r="AI58" s="193">
        <f t="shared" si="12"/>
        <v>40.357</v>
      </c>
      <c r="AJ58" s="73">
        <f t="shared" si="13"/>
        <v>11.06049432</v>
      </c>
      <c r="AK58" s="73">
        <f t="shared" si="14"/>
        <v>33.25010647</v>
      </c>
      <c r="AM58" s="51">
        <f t="shared" si="15"/>
        <v>4435.425456</v>
      </c>
      <c r="AN58" s="51" t="str">
        <f t="array" ref="AN58">XLOOKUP(D58,RUC!$B$3:$B$565,RUC!$M$3:$M$565)</f>
        <v>Renzo</v>
      </c>
      <c r="AO58" s="131" t="s">
        <v>549</v>
      </c>
      <c r="AP58" s="57" t="s">
        <v>1964</v>
      </c>
      <c r="AQ58" s="57" t="s">
        <v>3157</v>
      </c>
    </row>
    <row r="59" ht="15.0" customHeight="1">
      <c r="A59" s="116" t="s">
        <v>3158</v>
      </c>
      <c r="B59" s="182">
        <v>46059.0</v>
      </c>
      <c r="C59" s="182">
        <v>46053.0</v>
      </c>
      <c r="D59" s="57" t="s">
        <v>2222</v>
      </c>
      <c r="E59" s="3" t="str">
        <f t="array" ref="E59">XLOOKUP(D59,RUC!$B$3:$B$110,RUC!$D$3:$D$110)</f>
        <v>20601769396*</v>
      </c>
      <c r="G59" s="3">
        <v>35.0</v>
      </c>
      <c r="H59" s="3" t="s">
        <v>40</v>
      </c>
      <c r="I59" s="6">
        <v>3.17</v>
      </c>
      <c r="J59" s="58">
        <v>7.0</v>
      </c>
      <c r="K59" s="6">
        <f t="shared" si="2"/>
        <v>2.948</v>
      </c>
      <c r="L59" s="139">
        <v>0.133</v>
      </c>
      <c r="M59" s="60">
        <f t="shared" si="3"/>
        <v>0.114</v>
      </c>
      <c r="N59" s="62">
        <f t="shared" si="32"/>
        <v>0.114</v>
      </c>
      <c r="O59" s="60">
        <f t="shared" si="5"/>
        <v>0.114</v>
      </c>
      <c r="P59" s="63">
        <v>80.0</v>
      </c>
      <c r="Q59" s="58">
        <v>81.2</v>
      </c>
      <c r="R59" s="65">
        <v>4981.85</v>
      </c>
      <c r="S59" s="66">
        <f t="array" ref="S59">IF((XLOOKUP(D59,RUC!$B$3:$B$106,RUC!$E$3:$E$106)+ROUNDDOWN(O59,1)*100)&lt;95,95,((XLOOKUP(D59,RUC!$B$3:$B$106,RUC!$E$3:$E$106)+ROUNDDOWN(O59,1)*100)))</f>
        <v>100</v>
      </c>
      <c r="U59" s="67">
        <f t="array" ref="U59">XLOOKUP(D59,RUC!$B$3:$B$110,RUC!$F$3:$F$110)</f>
        <v>120</v>
      </c>
      <c r="V59" s="67">
        <v>1.1023</v>
      </c>
      <c r="Y59" s="199">
        <v>30.0</v>
      </c>
      <c r="Z59" s="140">
        <v>40.0</v>
      </c>
      <c r="AA59" s="70">
        <f t="shared" si="6"/>
        <v>70</v>
      </c>
      <c r="AB59" s="71">
        <f t="shared" si="23"/>
        <v>301.3696137</v>
      </c>
      <c r="AC59" s="71">
        <f>+(S59-T59)*V59-'data 1'!$F$4</f>
        <v>30.23</v>
      </c>
      <c r="AD59" s="71">
        <f t="shared" si="7"/>
        <v>8.553310739</v>
      </c>
      <c r="AE59" s="71">
        <f t="shared" si="8"/>
        <v>7.161</v>
      </c>
      <c r="AF59" s="71">
        <f t="shared" si="9"/>
        <v>82.68200381</v>
      </c>
      <c r="AG59" s="72">
        <f t="shared" ref="AG59:AG65" si="37">AC59+AD59+AE59+AF59+70-53</f>
        <v>145.6263145</v>
      </c>
      <c r="AH59" s="193">
        <f t="shared" si="11"/>
        <v>10.916</v>
      </c>
      <c r="AI59" s="193">
        <f t="shared" si="12"/>
        <v>13.443</v>
      </c>
      <c r="AJ59" s="73">
        <f t="shared" si="13"/>
        <v>4.541528249</v>
      </c>
      <c r="AK59" s="73">
        <f t="shared" si="14"/>
        <v>9.217887146</v>
      </c>
      <c r="AM59" s="51">
        <f t="shared" si="15"/>
        <v>888.4376211</v>
      </c>
      <c r="AN59" s="51" t="str">
        <f t="array" ref="AN59">XLOOKUP(D59,RUC!$B$3:$B$565,RUC!$M$3:$M$565)</f>
        <v>Zudaire</v>
      </c>
      <c r="AO59" s="131" t="s">
        <v>549</v>
      </c>
      <c r="AP59" s="57" t="s">
        <v>2066</v>
      </c>
      <c r="AQ59" s="57" t="s">
        <v>707</v>
      </c>
    </row>
    <row r="60" ht="15.0" customHeight="1">
      <c r="A60" s="116" t="s">
        <v>3159</v>
      </c>
      <c r="B60" s="182">
        <v>46059.0</v>
      </c>
      <c r="C60" s="182">
        <v>46053.0</v>
      </c>
      <c r="D60" s="57" t="s">
        <v>2222</v>
      </c>
      <c r="E60" s="3" t="str">
        <f t="array" ref="E60">XLOOKUP(D60,RUC!$B$3:$B$110,RUC!$D$3:$D$110)</f>
        <v>20601769396*</v>
      </c>
      <c r="G60" s="3">
        <v>50.0</v>
      </c>
      <c r="H60" s="3" t="s">
        <v>40</v>
      </c>
      <c r="I60" s="6">
        <v>4.25</v>
      </c>
      <c r="J60" s="58">
        <v>16.53</v>
      </c>
      <c r="K60" s="6">
        <f t="shared" si="2"/>
        <v>3.547</v>
      </c>
      <c r="L60" s="139">
        <v>0.181</v>
      </c>
      <c r="M60" s="60">
        <f t="shared" si="3"/>
        <v>0.162</v>
      </c>
      <c r="N60" s="62">
        <f t="shared" si="32"/>
        <v>0.162</v>
      </c>
      <c r="O60" s="60">
        <f t="shared" si="5"/>
        <v>0.162</v>
      </c>
      <c r="P60" s="63">
        <v>85.0</v>
      </c>
      <c r="Q60" s="58">
        <v>93.92</v>
      </c>
      <c r="R60" s="65">
        <v>4981.85</v>
      </c>
      <c r="S60" s="66">
        <f t="array" ref="S60">IF((XLOOKUP(D60,RUC!$B$3:$B$106,RUC!$E$3:$E$106)+ROUNDDOWN(O60,1)*100)&lt;95,95,((XLOOKUP(D60,RUC!$B$3:$B$106,RUC!$E$3:$E$106)+ROUNDDOWN(O60,1)*100)))</f>
        <v>100</v>
      </c>
      <c r="U60" s="67">
        <f t="array" ref="U60">XLOOKUP(D60,RUC!$B$3:$B$110,RUC!$F$3:$F$110)</f>
        <v>120</v>
      </c>
      <c r="V60" s="67">
        <v>1.1023</v>
      </c>
      <c r="Y60" s="199">
        <v>30.0</v>
      </c>
      <c r="Z60" s="140">
        <v>40.0</v>
      </c>
      <c r="AA60" s="70">
        <f t="shared" si="6"/>
        <v>70</v>
      </c>
      <c r="AB60" s="71">
        <f t="shared" si="23"/>
        <v>550.573216</v>
      </c>
      <c r="AC60" s="71">
        <f>+(S60-T60)*V60-'data 1'!$F$4</f>
        <v>30.23</v>
      </c>
      <c r="AD60" s="71">
        <f t="shared" si="7"/>
        <v>86.52563443</v>
      </c>
      <c r="AE60" s="71">
        <f t="shared" si="8"/>
        <v>7.161</v>
      </c>
      <c r="AF60" s="71">
        <f t="shared" si="9"/>
        <v>95.63416007</v>
      </c>
      <c r="AG60" s="72">
        <f t="shared" si="37"/>
        <v>236.5507945</v>
      </c>
      <c r="AH60" s="193">
        <f t="shared" si="11"/>
        <v>20.673</v>
      </c>
      <c r="AI60" s="193">
        <f t="shared" si="12"/>
        <v>22.011</v>
      </c>
      <c r="AJ60" s="73">
        <f t="shared" si="13"/>
        <v>7.148764797</v>
      </c>
      <c r="AK60" s="73">
        <f t="shared" si="14"/>
        <v>16.74573437</v>
      </c>
      <c r="AM60" s="51">
        <f t="shared" si="15"/>
        <v>1952.883197</v>
      </c>
      <c r="AN60" s="51" t="str">
        <f t="array" ref="AN60">XLOOKUP(D60,RUC!$B$3:$B$565,RUC!$M$3:$M$565)</f>
        <v>Zudaire</v>
      </c>
      <c r="AO60" s="131" t="s">
        <v>547</v>
      </c>
      <c r="AP60" s="57" t="s">
        <v>2066</v>
      </c>
      <c r="AQ60" s="57" t="s">
        <v>707</v>
      </c>
    </row>
    <row r="61" ht="15.0" customHeight="1">
      <c r="A61" s="116" t="s">
        <v>3160</v>
      </c>
      <c r="B61" s="182">
        <v>46059.0</v>
      </c>
      <c r="C61" s="182">
        <v>46053.0</v>
      </c>
      <c r="D61" s="57" t="s">
        <v>2222</v>
      </c>
      <c r="E61" s="3" t="str">
        <f t="array" ref="E61">XLOOKUP(D61,RUC!$B$3:$B$110,RUC!$D$3:$D$110)</f>
        <v>20601769396*</v>
      </c>
      <c r="G61" s="3">
        <v>50.0</v>
      </c>
      <c r="H61" s="3" t="s">
        <v>40</v>
      </c>
      <c r="I61" s="6">
        <v>4.18</v>
      </c>
      <c r="J61" s="58">
        <v>17.7</v>
      </c>
      <c r="K61" s="6">
        <f t="shared" si="2"/>
        <v>3.44</v>
      </c>
      <c r="L61" s="139">
        <v>0.195</v>
      </c>
      <c r="M61" s="60">
        <f t="shared" si="3"/>
        <v>0.176</v>
      </c>
      <c r="N61" s="62">
        <f t="shared" si="32"/>
        <v>0.176</v>
      </c>
      <c r="O61" s="60">
        <f t="shared" si="5"/>
        <v>0.176</v>
      </c>
      <c r="P61" s="63">
        <v>90.0</v>
      </c>
      <c r="Q61" s="58">
        <v>94.87</v>
      </c>
      <c r="R61" s="65">
        <v>4981.85</v>
      </c>
      <c r="S61" s="66">
        <f t="array" ref="S61">IF((XLOOKUP(D61,RUC!$B$3:$B$106,RUC!$E$3:$E$106)+ROUNDDOWN(O61,1)*100)&lt;95,95,((XLOOKUP(D61,RUC!$B$3:$B$106,RUC!$E$3:$E$106)+ROUNDDOWN(O61,1)*100)))</f>
        <v>100</v>
      </c>
      <c r="U61" s="67">
        <f t="array" ref="U61">XLOOKUP(D61,RUC!$B$3:$B$110,RUC!$F$3:$F$110)</f>
        <v>120</v>
      </c>
      <c r="V61" s="67">
        <v>1.1023</v>
      </c>
      <c r="Y61" s="199">
        <v>30.0</v>
      </c>
      <c r="Z61" s="140">
        <v>40.0</v>
      </c>
      <c r="AA61" s="70">
        <f t="shared" si="6"/>
        <v>70</v>
      </c>
      <c r="AB61" s="71">
        <f t="shared" si="23"/>
        <v>661.5090132</v>
      </c>
      <c r="AC61" s="71">
        <f>+(S61-T61)*V61-'data 1'!$F$4</f>
        <v>30.23</v>
      </c>
      <c r="AD61" s="71">
        <f t="shared" si="7"/>
        <v>50.89380666</v>
      </c>
      <c r="AE61" s="71">
        <f t="shared" si="8"/>
        <v>7.161</v>
      </c>
      <c r="AF61" s="71">
        <f t="shared" si="9"/>
        <v>96.60149879</v>
      </c>
      <c r="AG61" s="72">
        <f t="shared" si="37"/>
        <v>201.8863054</v>
      </c>
      <c r="AH61" s="193">
        <f t="shared" si="11"/>
        <v>21.819</v>
      </c>
      <c r="AI61" s="193">
        <f t="shared" si="12"/>
        <v>22.999</v>
      </c>
      <c r="AJ61" s="73">
        <f t="shared" si="13"/>
        <v>7.77961064</v>
      </c>
      <c r="AK61" s="73">
        <f t="shared" si="14"/>
        <v>18.68197081</v>
      </c>
      <c r="AM61" s="51">
        <f t="shared" si="15"/>
        <v>2275.591005</v>
      </c>
      <c r="AN61" s="51" t="str">
        <f t="array" ref="AN61">XLOOKUP(D61,RUC!$B$3:$B$565,RUC!$M$3:$M$565)</f>
        <v>Zudaire</v>
      </c>
      <c r="AO61" s="131" t="s">
        <v>551</v>
      </c>
      <c r="AP61" s="57" t="s">
        <v>2066</v>
      </c>
      <c r="AQ61" s="57" t="s">
        <v>707</v>
      </c>
    </row>
    <row r="62" ht="15.0" customHeight="1">
      <c r="A62" s="116" t="s">
        <v>3161</v>
      </c>
      <c r="B62" s="182">
        <v>46059.0</v>
      </c>
      <c r="C62" s="182">
        <v>46053.0</v>
      </c>
      <c r="D62" s="57" t="s">
        <v>2222</v>
      </c>
      <c r="E62" s="3" t="str">
        <f t="array" ref="E62">XLOOKUP(D62,RUC!$B$3:$B$110,RUC!$D$3:$D$110)</f>
        <v>20601769396*</v>
      </c>
      <c r="G62" s="3">
        <v>50.0</v>
      </c>
      <c r="H62" s="3" t="s">
        <v>40</v>
      </c>
      <c r="I62" s="6">
        <v>4.21</v>
      </c>
      <c r="J62" s="58">
        <v>18.1</v>
      </c>
      <c r="K62" s="6">
        <f t="shared" si="2"/>
        <v>3.448</v>
      </c>
      <c r="L62" s="139">
        <v>0.193</v>
      </c>
      <c r="M62" s="60">
        <f t="shared" si="3"/>
        <v>0.174</v>
      </c>
      <c r="N62" s="62">
        <f t="shared" si="32"/>
        <v>0.174</v>
      </c>
      <c r="O62" s="60">
        <f t="shared" si="5"/>
        <v>0.174</v>
      </c>
      <c r="P62" s="63">
        <v>90.0</v>
      </c>
      <c r="Q62" s="58">
        <v>92.23</v>
      </c>
      <c r="R62" s="65">
        <v>4981.85</v>
      </c>
      <c r="S62" s="66">
        <f t="array" ref="S62">IF((XLOOKUP(D62,RUC!$B$3:$B$106,RUC!$E$3:$E$106)+ROUNDDOWN(O62,1)*100)&lt;95,95,((XLOOKUP(D62,RUC!$B$3:$B$106,RUC!$E$3:$E$106)+ROUNDDOWN(O62,1)*100)))</f>
        <v>100</v>
      </c>
      <c r="U62" s="67">
        <f t="array" ref="U62">XLOOKUP(D62,RUC!$B$3:$B$110,RUC!$F$3:$F$110)</f>
        <v>120</v>
      </c>
      <c r="V62" s="67">
        <v>1.1023</v>
      </c>
      <c r="Y62" s="199">
        <v>30.0</v>
      </c>
      <c r="Z62" s="140">
        <v>40.0</v>
      </c>
      <c r="AA62" s="70">
        <f t="shared" si="6"/>
        <v>70</v>
      </c>
      <c r="AB62" s="71">
        <f t="shared" si="23"/>
        <v>651.8624221</v>
      </c>
      <c r="AC62" s="71">
        <f>+(S62-T62)*V62-'data 1'!$F$4</f>
        <v>30.23</v>
      </c>
      <c r="AD62" s="71">
        <f t="shared" si="7"/>
        <v>23.06553514</v>
      </c>
      <c r="AE62" s="71">
        <f t="shared" si="8"/>
        <v>7.161</v>
      </c>
      <c r="AF62" s="71">
        <f t="shared" si="9"/>
        <v>93.91331541</v>
      </c>
      <c r="AG62" s="72">
        <f t="shared" si="37"/>
        <v>171.3698506</v>
      </c>
      <c r="AH62" s="193">
        <f t="shared" si="11"/>
        <v>21.043</v>
      </c>
      <c r="AI62" s="193">
        <f t="shared" si="12"/>
        <v>22.816</v>
      </c>
      <c r="AJ62" s="73">
        <f t="shared" si="13"/>
        <v>7.485552616</v>
      </c>
      <c r="AK62" s="73">
        <f t="shared" si="14"/>
        <v>18.51262842</v>
      </c>
      <c r="AM62" s="51">
        <f t="shared" si="15"/>
        <v>2247.621632</v>
      </c>
      <c r="AN62" s="51" t="str">
        <f t="array" ref="AN62">XLOOKUP(D62,RUC!$B$3:$B$565,RUC!$M$3:$M$565)</f>
        <v>Zudaire</v>
      </c>
      <c r="AO62" s="131" t="s">
        <v>551</v>
      </c>
      <c r="AP62" s="57" t="s">
        <v>2066</v>
      </c>
      <c r="AQ62" s="57" t="s">
        <v>707</v>
      </c>
    </row>
    <row r="63" ht="15.0" customHeight="1">
      <c r="A63" s="116" t="s">
        <v>3162</v>
      </c>
      <c r="B63" s="182">
        <v>45694.0</v>
      </c>
      <c r="C63" s="182">
        <v>46053.0</v>
      </c>
      <c r="D63" s="57" t="s">
        <v>2222</v>
      </c>
      <c r="E63" s="3" t="str">
        <f t="array" ref="E63">XLOOKUP(D63,RUC!$B$3:$B$110,RUC!$D$3:$D$110)</f>
        <v>20601769396*</v>
      </c>
      <c r="G63" s="3">
        <v>10.0</v>
      </c>
      <c r="H63" s="3" t="s">
        <v>40</v>
      </c>
      <c r="I63" s="6">
        <v>0.75</v>
      </c>
      <c r="J63" s="58">
        <v>14.93</v>
      </c>
      <c r="K63" s="6">
        <f t="shared" si="2"/>
        <v>0.638</v>
      </c>
      <c r="L63" s="139">
        <v>0.157</v>
      </c>
      <c r="M63" s="60">
        <f t="shared" si="3"/>
        <v>0.138</v>
      </c>
      <c r="N63" s="62">
        <f t="shared" si="32"/>
        <v>0.138</v>
      </c>
      <c r="O63" s="60">
        <f t="shared" si="5"/>
        <v>0.138</v>
      </c>
      <c r="P63" s="63">
        <v>85.0</v>
      </c>
      <c r="Q63" s="58">
        <v>85.99</v>
      </c>
      <c r="R63" s="65">
        <v>4981.85</v>
      </c>
      <c r="S63" s="66">
        <f t="array" ref="S63">IF((XLOOKUP(D63,RUC!$B$3:$B$106,RUC!$E$3:$E$106)+ROUNDDOWN(O63,1)*100)&lt;95,95,((XLOOKUP(D63,RUC!$B$3:$B$106,RUC!$E$3:$E$106)+ROUNDDOWN(O63,1)*100)))</f>
        <v>100</v>
      </c>
      <c r="U63" s="67">
        <f t="array" ref="U63">XLOOKUP(D63,RUC!$B$3:$B$110,RUC!$F$3:$F$110)</f>
        <v>120</v>
      </c>
      <c r="V63" s="67">
        <v>1.1023</v>
      </c>
      <c r="Y63" s="199">
        <v>30.0</v>
      </c>
      <c r="Z63" s="140">
        <v>40.0</v>
      </c>
      <c r="AA63" s="70">
        <f t="shared" si="6"/>
        <v>70</v>
      </c>
      <c r="AB63" s="71">
        <f t="shared" si="23"/>
        <v>441.245184</v>
      </c>
      <c r="AC63" s="71">
        <f>+(S63-T63)*V63-'data 1'!$F$4</f>
        <v>30.23</v>
      </c>
      <c r="AD63" s="71">
        <f t="shared" si="7"/>
        <v>8.329831379</v>
      </c>
      <c r="AE63" s="71">
        <f t="shared" si="8"/>
        <v>7.161</v>
      </c>
      <c r="AF63" s="71">
        <f t="shared" si="9"/>
        <v>87.55942743</v>
      </c>
      <c r="AG63" s="72">
        <f t="shared" si="37"/>
        <v>150.2802588</v>
      </c>
      <c r="AH63" s="193">
        <f t="shared" si="11"/>
        <v>2.953</v>
      </c>
      <c r="AI63" s="193">
        <f t="shared" si="12"/>
        <v>3.434</v>
      </c>
      <c r="AJ63" s="73">
        <f t="shared" si="13"/>
        <v>5.677301402</v>
      </c>
      <c r="AK63" s="73">
        <f t="shared" si="14"/>
        <v>2.5658293</v>
      </c>
      <c r="AM63" s="51">
        <f t="shared" si="15"/>
        <v>281.5144274</v>
      </c>
      <c r="AN63" s="51" t="str">
        <f t="array" ref="AN63">XLOOKUP(D63,RUC!$B$3:$B$565,RUC!$M$3:$M$565)</f>
        <v>Zudaire</v>
      </c>
      <c r="AO63" s="131" t="s">
        <v>547</v>
      </c>
      <c r="AP63" s="57" t="s">
        <v>2066</v>
      </c>
      <c r="AQ63" s="57" t="s">
        <v>707</v>
      </c>
    </row>
    <row r="64" ht="15.0" customHeight="1">
      <c r="A64" s="116" t="s">
        <v>3163</v>
      </c>
      <c r="B64" s="182">
        <v>45694.0</v>
      </c>
      <c r="C64" s="182">
        <v>46053.0</v>
      </c>
      <c r="D64" s="57" t="s">
        <v>2222</v>
      </c>
      <c r="E64" s="3" t="str">
        <f t="array" ref="E64">XLOOKUP(D64,RUC!$B$3:$B$110,RUC!$D$3:$D$110)</f>
        <v>20601769396*</v>
      </c>
      <c r="G64" s="3">
        <v>44.0</v>
      </c>
      <c r="H64" s="3" t="s">
        <v>40</v>
      </c>
      <c r="I64" s="6">
        <v>3.55</v>
      </c>
      <c r="J64" s="58">
        <v>11.1</v>
      </c>
      <c r="K64" s="6">
        <f t="shared" si="2"/>
        <v>3.156</v>
      </c>
      <c r="L64" s="139">
        <v>0.204</v>
      </c>
      <c r="M64" s="60">
        <f t="shared" si="3"/>
        <v>0.185</v>
      </c>
      <c r="N64" s="62">
        <f t="shared" si="32"/>
        <v>0.185</v>
      </c>
      <c r="O64" s="60">
        <f t="shared" si="5"/>
        <v>0.185</v>
      </c>
      <c r="P64" s="63">
        <v>89.0</v>
      </c>
      <c r="Q64" s="58">
        <v>89.22</v>
      </c>
      <c r="R64" s="65">
        <v>4981.85</v>
      </c>
      <c r="S64" s="66">
        <f t="array" ref="S64">IF((XLOOKUP(D64,RUC!$B$3:$B$106,RUC!$E$3:$E$106)+ROUNDDOWN(O64,1)*100)&lt;95,95,((XLOOKUP(D64,RUC!$B$3:$B$106,RUC!$E$3:$E$106)+ROUNDDOWN(O64,1)*100)))</f>
        <v>100</v>
      </c>
      <c r="U64" s="67">
        <f t="array" ref="U64">XLOOKUP(D64,RUC!$B$3:$B$110,RUC!$F$3:$F$110)</f>
        <v>120</v>
      </c>
      <c r="V64" s="67">
        <v>1.1023</v>
      </c>
      <c r="Y64" s="199">
        <v>30.0</v>
      </c>
      <c r="Z64" s="140">
        <v>40.0</v>
      </c>
      <c r="AA64" s="70">
        <f t="shared" si="6"/>
        <v>70</v>
      </c>
      <c r="AB64" s="71">
        <f t="shared" si="23"/>
        <v>695.004121</v>
      </c>
      <c r="AC64" s="71">
        <f>+(S64-T64)*V64-'data 1'!$F$4</f>
        <v>30.23</v>
      </c>
      <c r="AD64" s="71">
        <f t="shared" si="7"/>
        <v>2.405216704</v>
      </c>
      <c r="AE64" s="71">
        <f t="shared" si="8"/>
        <v>7.161</v>
      </c>
      <c r="AF64" s="71">
        <f t="shared" si="9"/>
        <v>90.84837906</v>
      </c>
      <c r="AG64" s="72">
        <f t="shared" si="37"/>
        <v>147.6445958</v>
      </c>
      <c r="AH64" s="193">
        <f t="shared" si="11"/>
        <v>19.694</v>
      </c>
      <c r="AI64" s="193">
        <f t="shared" si="12"/>
        <v>22.074</v>
      </c>
      <c r="AJ64" s="73">
        <f t="shared" si="13"/>
        <v>7.653969654</v>
      </c>
      <c r="AK64" s="73">
        <f t="shared" si="14"/>
        <v>17.81590133</v>
      </c>
      <c r="AM64" s="51">
        <f t="shared" si="15"/>
        <v>2193.433006</v>
      </c>
      <c r="AN64" s="51" t="str">
        <f t="array" ref="AN64">XLOOKUP(D64,RUC!$B$3:$B$565,RUC!$M$3:$M$565)</f>
        <v>Zudaire</v>
      </c>
      <c r="AO64" s="131" t="s">
        <v>551</v>
      </c>
      <c r="AP64" s="57" t="s">
        <v>2066</v>
      </c>
      <c r="AQ64" s="57" t="s">
        <v>707</v>
      </c>
    </row>
    <row r="65" ht="15.0" customHeight="1">
      <c r="A65" s="116" t="s">
        <v>3164</v>
      </c>
      <c r="B65" s="182">
        <v>45694.0</v>
      </c>
      <c r="C65" s="182">
        <v>46053.0</v>
      </c>
      <c r="D65" s="57" t="s">
        <v>2222</v>
      </c>
      <c r="E65" s="3" t="str">
        <f t="array" ref="E65">XLOOKUP(D65,RUC!$B$3:$B$110,RUC!$D$3:$D$110)</f>
        <v>20601769396*</v>
      </c>
      <c r="G65" s="3">
        <v>44.0</v>
      </c>
      <c r="H65" s="3" t="s">
        <v>40</v>
      </c>
      <c r="I65" s="6">
        <v>3.5</v>
      </c>
      <c r="J65" s="58">
        <v>12.08</v>
      </c>
      <c r="K65" s="6">
        <f t="shared" si="2"/>
        <v>3.077</v>
      </c>
      <c r="L65" s="139">
        <v>0.218</v>
      </c>
      <c r="M65" s="60">
        <f t="shared" si="3"/>
        <v>0.199</v>
      </c>
      <c r="N65" s="62">
        <f t="shared" si="32"/>
        <v>0.199</v>
      </c>
      <c r="O65" s="60">
        <f t="shared" si="5"/>
        <v>0.199</v>
      </c>
      <c r="P65" s="63">
        <v>89.0</v>
      </c>
      <c r="Q65" s="58">
        <v>89.91</v>
      </c>
      <c r="R65" s="65">
        <v>4981.85</v>
      </c>
      <c r="S65" s="66">
        <f t="array" ref="S65">IF((XLOOKUP(D65,RUC!$B$3:$B$106,RUC!$E$3:$E$106)+ROUNDDOWN(O65,1)*100)&lt;95,95,((XLOOKUP(D65,RUC!$B$3:$B$106,RUC!$E$3:$E$106)+ROUNDDOWN(O65,1)*100)))</f>
        <v>100</v>
      </c>
      <c r="U65" s="67">
        <f t="array" ref="U65">XLOOKUP(D65,RUC!$B$3:$B$110,RUC!$F$3:$F$110)</f>
        <v>120</v>
      </c>
      <c r="V65" s="67">
        <v>1.1023</v>
      </c>
      <c r="Y65" s="199">
        <v>30.0</v>
      </c>
      <c r="Z65" s="140">
        <v>40.0</v>
      </c>
      <c r="AA65" s="70">
        <f t="shared" si="6"/>
        <v>70</v>
      </c>
      <c r="AB65" s="71">
        <f t="shared" si="23"/>
        <v>761.779968</v>
      </c>
      <c r="AC65" s="71">
        <f>+(S65-T65)*V65-'data 1'!$F$4</f>
        <v>30.23</v>
      </c>
      <c r="AD65" s="71">
        <f t="shared" si="7"/>
        <v>10.63161519</v>
      </c>
      <c r="AE65" s="71">
        <f t="shared" si="8"/>
        <v>7.161</v>
      </c>
      <c r="AF65" s="71">
        <f t="shared" si="9"/>
        <v>91.55097245</v>
      </c>
      <c r="AG65" s="72">
        <f t="shared" si="37"/>
        <v>156.5735876</v>
      </c>
      <c r="AH65" s="193">
        <f t="shared" si="11"/>
        <v>20.678</v>
      </c>
      <c r="AI65" s="193">
        <f t="shared" si="12"/>
        <v>22.998</v>
      </c>
      <c r="AJ65" s="73">
        <f t="shared" si="13"/>
        <v>8.24249782</v>
      </c>
      <c r="AK65" s="73">
        <f t="shared" si="14"/>
        <v>18.68442118</v>
      </c>
      <c r="AM65" s="51">
        <f t="shared" si="15"/>
        <v>2343.996962</v>
      </c>
      <c r="AN65" s="51" t="str">
        <f t="array" ref="AN65">XLOOKUP(D65,RUC!$B$3:$B$565,RUC!$M$3:$M$565)</f>
        <v>Zudaire</v>
      </c>
      <c r="AO65" s="131" t="s">
        <v>551</v>
      </c>
      <c r="AP65" s="57" t="s">
        <v>2066</v>
      </c>
      <c r="AQ65" s="57" t="s">
        <v>707</v>
      </c>
    </row>
    <row r="66" ht="15.0" customHeight="1">
      <c r="A66" s="116" t="s">
        <v>3165</v>
      </c>
      <c r="B66" s="182">
        <v>46062.0</v>
      </c>
      <c r="C66" s="182">
        <v>46054.0</v>
      </c>
      <c r="D66" s="57" t="s">
        <v>295</v>
      </c>
      <c r="E66" s="3">
        <f t="array" ref="E66">XLOOKUP(D66,RUC!$B$3:$B$110,RUC!$D$3:$D$110)</f>
        <v>20601769396</v>
      </c>
      <c r="G66" s="3">
        <v>25.0</v>
      </c>
      <c r="H66" s="3" t="s">
        <v>339</v>
      </c>
      <c r="I66" s="6">
        <v>1.94</v>
      </c>
      <c r="J66" s="58">
        <v>9.7</v>
      </c>
      <c r="K66" s="6">
        <f t="shared" si="2"/>
        <v>1.752</v>
      </c>
      <c r="L66" s="139">
        <v>0.327</v>
      </c>
      <c r="M66" s="60">
        <f t="shared" si="3"/>
        <v>0.307</v>
      </c>
      <c r="N66" s="75">
        <v>0.361</v>
      </c>
      <c r="O66" s="60">
        <f t="shared" si="5"/>
        <v>0.334</v>
      </c>
      <c r="P66" s="63">
        <v>90.0</v>
      </c>
      <c r="Q66" s="58">
        <v>94.19</v>
      </c>
      <c r="R66" s="65">
        <v>4714.75</v>
      </c>
      <c r="S66" s="66">
        <f t="array" ref="S66">IF((XLOOKUP(D66,RUC!$B$3:$B$106,RUC!$E$3:$E$106)+ROUNDDOWN(O66,1)*100)&lt;95,95,((XLOOKUP(D66,RUC!$B$3:$B$106,RUC!$E$3:$E$106)+ROUNDDOWN(O66,1)*100)))</f>
        <v>120</v>
      </c>
      <c r="U66" s="67">
        <f t="array" ref="U66">XLOOKUP(D66,RUC!$B$3:$B$110,RUC!$F$3:$F$110)</f>
        <v>120</v>
      </c>
      <c r="V66" s="67">
        <v>1.1023</v>
      </c>
      <c r="Y66" s="57">
        <f t="array" ref="Y66">XLOOKUP(D66,RUC!$B$3:$B$110,RUC!$G$3:$G$110)</f>
        <v>20</v>
      </c>
      <c r="Z66" s="69">
        <f t="array" ref="Z66">XLOOKUP(D66,RUC!$B$3:$B$110,RUC!$H$3:$H$110)</f>
        <v>30</v>
      </c>
      <c r="AA66" s="70">
        <f t="shared" si="6"/>
        <v>50</v>
      </c>
      <c r="AB66" s="71">
        <f t="shared" si="23"/>
        <v>1335.085753</v>
      </c>
      <c r="AC66" s="71">
        <f>+(S66-T66)*V66-'data 1'!$F$4</f>
        <v>52.276</v>
      </c>
      <c r="AD66" s="71">
        <f t="shared" si="7"/>
        <v>69.3942473</v>
      </c>
      <c r="AE66" s="71">
        <f t="shared" si="8"/>
        <v>-14.885</v>
      </c>
      <c r="AF66" s="71">
        <f t="shared" si="9"/>
        <v>-33.39369919</v>
      </c>
      <c r="AG66" s="72">
        <f t="shared" ref="AG66:AG81" si="38">AC66+AD66+AE66+AF66+70-10</f>
        <v>133.3915481</v>
      </c>
      <c r="AH66" s="193">
        <f t="shared" si="11"/>
        <v>18.501</v>
      </c>
      <c r="AI66" s="193">
        <f t="shared" si="12"/>
        <v>19.642</v>
      </c>
      <c r="AJ66" s="73">
        <f t="shared" si="13"/>
        <v>103.6353765</v>
      </c>
      <c r="AK66" s="73">
        <f t="shared" si="14"/>
        <v>18.05644076</v>
      </c>
      <c r="AM66" s="51">
        <f t="shared" si="15"/>
        <v>2339.07024</v>
      </c>
      <c r="AN66" s="51" t="str">
        <f t="array" ref="AN66">XLOOKUP(D66,RUC!$B$3:$B$565,RUC!$M$3:$M$565)</f>
        <v>Evelyn</v>
      </c>
      <c r="AO66" s="131" t="s">
        <v>551</v>
      </c>
      <c r="AP66" s="57" t="s">
        <v>3166</v>
      </c>
      <c r="AQ66" s="57" t="s">
        <v>3167</v>
      </c>
    </row>
    <row r="67" ht="15.0" customHeight="1">
      <c r="A67" s="116" t="s">
        <v>3168</v>
      </c>
      <c r="B67" s="182">
        <v>46062.0</v>
      </c>
      <c r="C67" s="182">
        <v>46054.0</v>
      </c>
      <c r="D67" s="57" t="s">
        <v>295</v>
      </c>
      <c r="E67" s="3">
        <f t="array" ref="E67">XLOOKUP(D67,RUC!$B$3:$B$110,RUC!$D$3:$D$110)</f>
        <v>20601769396</v>
      </c>
      <c r="G67" s="3">
        <v>25.0</v>
      </c>
      <c r="H67" s="3" t="s">
        <v>339</v>
      </c>
      <c r="I67" s="6">
        <v>1.88</v>
      </c>
      <c r="J67" s="58">
        <v>12.68</v>
      </c>
      <c r="K67" s="6">
        <f t="shared" si="2"/>
        <v>1.642</v>
      </c>
      <c r="L67" s="139">
        <v>0.443</v>
      </c>
      <c r="M67" s="60">
        <f t="shared" si="3"/>
        <v>0.416</v>
      </c>
      <c r="N67" s="62">
        <f t="shared" ref="N67:N68" si="39">+M67</f>
        <v>0.416</v>
      </c>
      <c r="O67" s="60">
        <f t="shared" si="5"/>
        <v>0.416</v>
      </c>
      <c r="P67" s="63">
        <v>90.0</v>
      </c>
      <c r="Q67" s="58">
        <v>94.13</v>
      </c>
      <c r="R67" s="65">
        <v>4714.75</v>
      </c>
      <c r="S67" s="66">
        <f t="array" ref="S67">IF((XLOOKUP(D67,RUC!$B$3:$B$106,RUC!$E$3:$E$106)+ROUNDDOWN(O67,1)*100)&lt;95,95,((XLOOKUP(D67,RUC!$B$3:$B$106,RUC!$E$3:$E$106)+ROUNDDOWN(O67,1)*100)))</f>
        <v>130</v>
      </c>
      <c r="U67" s="67">
        <f t="array" ref="U67">XLOOKUP(D67,RUC!$B$3:$B$110,RUC!$F$3:$F$110)</f>
        <v>120</v>
      </c>
      <c r="V67" s="67">
        <v>1.1023</v>
      </c>
      <c r="Y67" s="57">
        <f t="array" ref="Y67">XLOOKUP(D67,RUC!$B$3:$B$110,RUC!$G$3:$G$110)</f>
        <v>20</v>
      </c>
      <c r="Z67" s="69">
        <f t="array" ref="Z67">XLOOKUP(D67,RUC!$B$3:$B$110,RUC!$H$3:$H$110)</f>
        <v>30</v>
      </c>
      <c r="AA67" s="70">
        <f t="shared" si="6"/>
        <v>50</v>
      </c>
      <c r="AB67" s="71">
        <f t="shared" si="23"/>
        <v>1697.844471</v>
      </c>
      <c r="AC67" s="71">
        <f>+(S67-T67)*V67-'data 1'!$F$4</f>
        <v>63.299</v>
      </c>
      <c r="AD67" s="71">
        <f t="shared" si="7"/>
        <v>92.66494488</v>
      </c>
      <c r="AE67" s="71">
        <f t="shared" si="8"/>
        <v>-14.885</v>
      </c>
      <c r="AF67" s="71">
        <f t="shared" si="9"/>
        <v>128.7222187</v>
      </c>
      <c r="AG67" s="72">
        <f t="shared" si="38"/>
        <v>329.8011635</v>
      </c>
      <c r="AH67" s="193">
        <f t="shared" si="11"/>
        <v>23.475</v>
      </c>
      <c r="AI67" s="193">
        <f t="shared" si="12"/>
        <v>24.939</v>
      </c>
      <c r="AJ67" s="73">
        <f t="shared" si="13"/>
        <v>140.3095607</v>
      </c>
      <c r="AK67" s="73">
        <f t="shared" si="14"/>
        <v>21.07744973</v>
      </c>
      <c r="AM67" s="51">
        <f t="shared" si="15"/>
        <v>2787.860622</v>
      </c>
      <c r="AN67" s="51" t="str">
        <f t="array" ref="AN67">XLOOKUP(D67,RUC!$B$3:$B$565,RUC!$M$3:$M$565)</f>
        <v>Evelyn</v>
      </c>
      <c r="AO67" s="131" t="s">
        <v>551</v>
      </c>
      <c r="AP67" s="57" t="s">
        <v>3166</v>
      </c>
      <c r="AQ67" s="57" t="s">
        <v>3167</v>
      </c>
    </row>
    <row r="68" ht="15.0" customHeight="1">
      <c r="A68" s="116" t="s">
        <v>3169</v>
      </c>
      <c r="B68" s="182">
        <v>46062.0</v>
      </c>
      <c r="C68" s="182">
        <v>46054.0</v>
      </c>
      <c r="D68" s="57" t="s">
        <v>295</v>
      </c>
      <c r="E68" s="3">
        <f t="array" ref="E68">XLOOKUP(D68,RUC!$B$3:$B$110,RUC!$D$3:$D$110)</f>
        <v>20601769396</v>
      </c>
      <c r="G68" s="3">
        <v>30.0</v>
      </c>
      <c r="H68" s="3" t="s">
        <v>339</v>
      </c>
      <c r="I68" s="6">
        <v>2.27</v>
      </c>
      <c r="J68" s="58">
        <v>12.2</v>
      </c>
      <c r="K68" s="6">
        <f t="shared" si="2"/>
        <v>1.993</v>
      </c>
      <c r="L68" s="139">
        <v>0.538</v>
      </c>
      <c r="M68" s="60">
        <f t="shared" si="3"/>
        <v>0.506</v>
      </c>
      <c r="N68" s="62">
        <f t="shared" si="39"/>
        <v>0.506</v>
      </c>
      <c r="O68" s="60">
        <f t="shared" si="5"/>
        <v>0.506</v>
      </c>
      <c r="P68" s="63">
        <v>90.0</v>
      </c>
      <c r="Q68" s="58">
        <v>94.24</v>
      </c>
      <c r="R68" s="65">
        <v>4714.75</v>
      </c>
      <c r="S68" s="66">
        <f t="array" ref="S68">IF((XLOOKUP(D68,RUC!$B$3:$B$106,RUC!$E$3:$E$106)+ROUNDDOWN(O68,1)*100)&lt;95,95,((XLOOKUP(D68,RUC!$B$3:$B$106,RUC!$E$3:$E$106)+ROUNDDOWN(O68,1)*100)))</f>
        <v>140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6"/>
        <v>50</v>
      </c>
      <c r="AB68" s="71">
        <f t="shared" si="23"/>
        <v>2097.069698</v>
      </c>
      <c r="AC68" s="71">
        <f>+(S68-T68)*V68-'data 1'!$F$4</f>
        <v>74.322</v>
      </c>
      <c r="AD68" s="71">
        <f t="shared" si="7"/>
        <v>115.5340044</v>
      </c>
      <c r="AE68" s="71">
        <f t="shared" si="8"/>
        <v>-14.885</v>
      </c>
      <c r="AF68" s="71">
        <f t="shared" si="9"/>
        <v>152.7379473</v>
      </c>
      <c r="AG68" s="72">
        <f t="shared" si="38"/>
        <v>387.7089517</v>
      </c>
      <c r="AH68" s="193">
        <f t="shared" si="11"/>
        <v>34.644</v>
      </c>
      <c r="AI68" s="193">
        <f t="shared" si="12"/>
        <v>36.762</v>
      </c>
      <c r="AJ68" s="73">
        <f t="shared" si="13"/>
        <v>170.5976456</v>
      </c>
      <c r="AK68" s="73">
        <f t="shared" si="14"/>
        <v>31.11783648</v>
      </c>
      <c r="AM68" s="51">
        <f t="shared" si="15"/>
        <v>4179.459908</v>
      </c>
      <c r="AN68" s="51" t="str">
        <f t="array" ref="AN68">XLOOKUP(D68,RUC!$B$3:$B$565,RUC!$M$3:$M$565)</f>
        <v>Evelyn</v>
      </c>
      <c r="AO68" s="131" t="s">
        <v>551</v>
      </c>
      <c r="AP68" s="57" t="s">
        <v>3166</v>
      </c>
      <c r="AQ68" s="57" t="s">
        <v>3167</v>
      </c>
    </row>
    <row r="69" ht="15.0" customHeight="1">
      <c r="A69" s="116" t="s">
        <v>3170</v>
      </c>
      <c r="B69" s="182">
        <v>46062.0</v>
      </c>
      <c r="C69" s="182">
        <v>46054.0</v>
      </c>
      <c r="D69" s="57" t="s">
        <v>295</v>
      </c>
      <c r="E69" s="3">
        <f t="array" ref="E69">XLOOKUP(D69,RUC!$B$3:$B$110,RUC!$D$3:$D$110)</f>
        <v>20601769396</v>
      </c>
      <c r="G69" s="3">
        <v>20.0</v>
      </c>
      <c r="H69" s="3" t="s">
        <v>339</v>
      </c>
      <c r="I69" s="6">
        <v>1.42</v>
      </c>
      <c r="J69" s="58">
        <v>10.93</v>
      </c>
      <c r="K69" s="6">
        <f t="shared" si="2"/>
        <v>1.265</v>
      </c>
      <c r="L69" s="139">
        <v>0.244</v>
      </c>
      <c r="M69" s="60">
        <f t="shared" si="3"/>
        <v>0.225</v>
      </c>
      <c r="N69" s="75">
        <v>0.271</v>
      </c>
      <c r="O69" s="60">
        <f t="shared" si="5"/>
        <v>0.248</v>
      </c>
      <c r="P69" s="63">
        <v>90.0</v>
      </c>
      <c r="Q69" s="58">
        <v>95.16</v>
      </c>
      <c r="R69" s="65">
        <v>4714.75</v>
      </c>
      <c r="S69" s="66">
        <f t="array" ref="S69">IF((XLOOKUP(D69,RUC!$B$3:$B$106,RUC!$E$3:$E$106)+ROUNDDOWN(O69,1)*100)&lt;95,95,((XLOOKUP(D69,RUC!$B$3:$B$106,RUC!$E$3:$E$106)+ROUNDDOWN(O69,1)*100)))</f>
        <v>110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6"/>
        <v>50</v>
      </c>
      <c r="AB69" s="71">
        <f t="shared" si="23"/>
        <v>954.0937809</v>
      </c>
      <c r="AC69" s="71">
        <f>+(S69-T69)*V69-'data 1'!$F$4</f>
        <v>41.253</v>
      </c>
      <c r="AD69" s="71">
        <f t="shared" si="7"/>
        <v>63.76776884</v>
      </c>
      <c r="AE69" s="71">
        <f t="shared" si="8"/>
        <v>-14.885</v>
      </c>
      <c r="AF69" s="71">
        <f t="shared" si="9"/>
        <v>-19.27862779</v>
      </c>
      <c r="AG69" s="72">
        <f t="shared" si="38"/>
        <v>130.8571411</v>
      </c>
      <c r="AH69" s="193">
        <f t="shared" si="11"/>
        <v>10.07</v>
      </c>
      <c r="AI69" s="193">
        <f t="shared" si="12"/>
        <v>10.583</v>
      </c>
      <c r="AJ69" s="73">
        <f t="shared" si="13"/>
        <v>78.12674664</v>
      </c>
      <c r="AK69" s="73">
        <f t="shared" si="14"/>
        <v>9.680410745</v>
      </c>
      <c r="AM69" s="51">
        <f t="shared" si="15"/>
        <v>1206.928633</v>
      </c>
      <c r="AN69" s="51" t="str">
        <f t="array" ref="AN69">XLOOKUP(D69,RUC!$B$3:$B$565,RUC!$M$3:$M$565)</f>
        <v>Evelyn</v>
      </c>
      <c r="AO69" s="131" t="s">
        <v>551</v>
      </c>
      <c r="AP69" s="57" t="s">
        <v>3166</v>
      </c>
      <c r="AQ69" s="57" t="s">
        <v>3167</v>
      </c>
    </row>
    <row r="70" ht="15.0" customHeight="1">
      <c r="A70" s="116" t="s">
        <v>3171</v>
      </c>
      <c r="B70" s="182">
        <v>46059.0</v>
      </c>
      <c r="C70" s="182">
        <v>46054.0</v>
      </c>
      <c r="D70" s="57" t="s">
        <v>295</v>
      </c>
      <c r="E70" s="3">
        <f t="array" ref="E70">XLOOKUP(D70,RUC!$B$3:$B$110,RUC!$D$3:$D$110)</f>
        <v>20601769396</v>
      </c>
      <c r="G70" s="3">
        <v>15.0</v>
      </c>
      <c r="H70" s="3" t="s">
        <v>339</v>
      </c>
      <c r="I70" s="6">
        <v>1.26</v>
      </c>
      <c r="J70" s="58">
        <v>11.03</v>
      </c>
      <c r="K70" s="6">
        <f t="shared" si="2"/>
        <v>1.121</v>
      </c>
      <c r="L70" s="139">
        <v>0.44</v>
      </c>
      <c r="M70" s="60">
        <f t="shared" si="3"/>
        <v>0.414</v>
      </c>
      <c r="N70" s="62">
        <f t="shared" ref="N70:N84" si="40">+M70</f>
        <v>0.414</v>
      </c>
      <c r="O70" s="60">
        <f t="shared" si="5"/>
        <v>0.414</v>
      </c>
      <c r="P70" s="63">
        <v>90.0</v>
      </c>
      <c r="Q70" s="58">
        <v>94.32</v>
      </c>
      <c r="R70" s="65">
        <v>4714.75</v>
      </c>
      <c r="S70" s="66">
        <f t="array" ref="S70">IF((XLOOKUP(D70,RUC!$B$3:$B$106,RUC!$E$3:$E$106)+ROUNDDOWN(O70,1)*100)&lt;95,95,((XLOOKUP(D70,RUC!$B$3:$B$106,RUC!$E$3:$E$106)+ROUNDDOWN(O70,1)*100)))</f>
        <v>130</v>
      </c>
      <c r="U70" s="67">
        <f t="array" ref="U70">XLOOKUP(D70,RUC!$B$3:$B$110,RUC!$F$3:$F$110)</f>
        <v>120</v>
      </c>
      <c r="V70" s="67">
        <v>1.1023</v>
      </c>
      <c r="Y70" s="199">
        <v>30.0</v>
      </c>
      <c r="Z70" s="140">
        <v>40.0</v>
      </c>
      <c r="AA70" s="70">
        <f t="shared" si="6"/>
        <v>70</v>
      </c>
      <c r="AB70" s="71">
        <f t="shared" si="23"/>
        <v>1666.681844</v>
      </c>
      <c r="AC70" s="71">
        <f>+(S70-T70)*V70-'data 1'!$F$4</f>
        <v>63.299</v>
      </c>
      <c r="AD70" s="71">
        <f t="shared" si="7"/>
        <v>96.27158392</v>
      </c>
      <c r="AE70" s="71">
        <f t="shared" si="8"/>
        <v>7.161</v>
      </c>
      <c r="AF70" s="71">
        <f t="shared" si="9"/>
        <v>124.2049299</v>
      </c>
      <c r="AG70" s="72">
        <f t="shared" si="38"/>
        <v>350.9365138</v>
      </c>
      <c r="AH70" s="193">
        <f t="shared" si="11"/>
        <v>15.95</v>
      </c>
      <c r="AI70" s="193">
        <f t="shared" si="12"/>
        <v>16.911</v>
      </c>
      <c r="AJ70" s="73">
        <f t="shared" si="13"/>
        <v>139.6406779</v>
      </c>
      <c r="AK70" s="73">
        <f t="shared" si="14"/>
        <v>14.32047859</v>
      </c>
      <c r="AM70" s="51">
        <f t="shared" si="15"/>
        <v>1868.350347</v>
      </c>
      <c r="AN70" s="51" t="str">
        <f t="array" ref="AN70">XLOOKUP(D70,RUC!$B$3:$B$565,RUC!$M$3:$M$565)</f>
        <v>Evelyn</v>
      </c>
      <c r="AO70" s="131" t="s">
        <v>551</v>
      </c>
      <c r="AP70" s="57" t="s">
        <v>3166</v>
      </c>
      <c r="AQ70" s="57" t="s">
        <v>3167</v>
      </c>
    </row>
    <row r="71" ht="15.0" customHeight="1">
      <c r="A71" s="116" t="s">
        <v>3172</v>
      </c>
      <c r="B71" s="182">
        <v>46059.0</v>
      </c>
      <c r="C71" s="182">
        <v>46054.0</v>
      </c>
      <c r="D71" s="57" t="s">
        <v>295</v>
      </c>
      <c r="E71" s="3">
        <f t="array" ref="E71">XLOOKUP(D71,RUC!$B$3:$B$110,RUC!$D$3:$D$110)</f>
        <v>20601769396</v>
      </c>
      <c r="G71" s="3">
        <v>15.0</v>
      </c>
      <c r="H71" s="3" t="s">
        <v>339</v>
      </c>
      <c r="I71" s="6">
        <v>1.29</v>
      </c>
      <c r="J71" s="58">
        <v>8.6</v>
      </c>
      <c r="K71" s="6">
        <f t="shared" si="2"/>
        <v>1.179</v>
      </c>
      <c r="L71" s="139">
        <v>0.439</v>
      </c>
      <c r="M71" s="60">
        <f t="shared" si="3"/>
        <v>0.413</v>
      </c>
      <c r="N71" s="62">
        <f t="shared" si="40"/>
        <v>0.413</v>
      </c>
      <c r="O71" s="60">
        <f t="shared" si="5"/>
        <v>0.413</v>
      </c>
      <c r="P71" s="63">
        <v>90.0</v>
      </c>
      <c r="Q71" s="58">
        <v>91.34</v>
      </c>
      <c r="R71" s="65">
        <v>4714.75</v>
      </c>
      <c r="S71" s="66">
        <f t="array" ref="S71">IF((XLOOKUP(D71,RUC!$B$3:$B$106,RUC!$E$3:$E$106)+ROUNDDOWN(O71,1)*100)&lt;95,95,((XLOOKUP(D71,RUC!$B$3:$B$106,RUC!$E$3:$E$106)+ROUNDDOWN(O71,1)*100)))</f>
        <v>130</v>
      </c>
      <c r="U71" s="67">
        <f t="array" ref="U71">XLOOKUP(D71,RUC!$B$3:$B$110,RUC!$F$3:$F$110)</f>
        <v>120</v>
      </c>
      <c r="V71" s="67">
        <v>1.1023</v>
      </c>
      <c r="Y71" s="199">
        <v>30.0</v>
      </c>
      <c r="Z71" s="140">
        <v>40.0</v>
      </c>
      <c r="AA71" s="70">
        <f t="shared" si="6"/>
        <v>70</v>
      </c>
      <c r="AB71" s="71">
        <f t="shared" si="23"/>
        <v>1662.12353</v>
      </c>
      <c r="AC71" s="71">
        <f>+(S71-T71)*V71-'data 1'!$F$4</f>
        <v>63.299</v>
      </c>
      <c r="AD71" s="71">
        <f t="shared" si="7"/>
        <v>29.79415086</v>
      </c>
      <c r="AE71" s="71">
        <f t="shared" si="8"/>
        <v>7.161</v>
      </c>
      <c r="AF71" s="71">
        <f t="shared" si="9"/>
        <v>120.2807283</v>
      </c>
      <c r="AG71" s="72">
        <f t="shared" si="38"/>
        <v>280.5348792</v>
      </c>
      <c r="AH71" s="193">
        <f t="shared" si="11"/>
        <v>16.209</v>
      </c>
      <c r="AI71" s="193">
        <f t="shared" si="12"/>
        <v>17.745</v>
      </c>
      <c r="AJ71" s="73">
        <f t="shared" si="13"/>
        <v>134.9214524</v>
      </c>
      <c r="AK71" s="73">
        <f t="shared" si="14"/>
        <v>15.02503303</v>
      </c>
      <c r="AM71" s="51">
        <f t="shared" si="15"/>
        <v>1959.643642</v>
      </c>
      <c r="AN71" s="51" t="str">
        <f t="array" ref="AN71">XLOOKUP(D71,RUC!$B$3:$B$565,RUC!$M$3:$M$565)</f>
        <v>Evelyn</v>
      </c>
      <c r="AO71" s="131" t="s">
        <v>551</v>
      </c>
      <c r="AP71" s="57" t="s">
        <v>3166</v>
      </c>
      <c r="AQ71" s="57" t="s">
        <v>3167</v>
      </c>
    </row>
    <row r="72" ht="15.0" customHeight="1">
      <c r="A72" s="116" t="s">
        <v>3173</v>
      </c>
      <c r="B72" s="182">
        <v>46059.0</v>
      </c>
      <c r="C72" s="182">
        <v>46054.0</v>
      </c>
      <c r="D72" s="57" t="s">
        <v>295</v>
      </c>
      <c r="E72" s="3">
        <f t="array" ref="E72">XLOOKUP(D72,RUC!$B$3:$B$110,RUC!$D$3:$D$110)</f>
        <v>20601769396</v>
      </c>
      <c r="G72" s="3">
        <v>15.0</v>
      </c>
      <c r="H72" s="3" t="s">
        <v>339</v>
      </c>
      <c r="I72" s="6">
        <v>1.23</v>
      </c>
      <c r="J72" s="58">
        <v>10.8</v>
      </c>
      <c r="K72" s="6">
        <f t="shared" si="2"/>
        <v>1.097</v>
      </c>
      <c r="L72" s="139">
        <v>0.418</v>
      </c>
      <c r="M72" s="60">
        <f t="shared" si="3"/>
        <v>0.393</v>
      </c>
      <c r="N72" s="62">
        <f t="shared" si="40"/>
        <v>0.393</v>
      </c>
      <c r="O72" s="60">
        <f t="shared" si="5"/>
        <v>0.393</v>
      </c>
      <c r="P72" s="63">
        <v>90.0</v>
      </c>
      <c r="Q72" s="58">
        <v>90.91</v>
      </c>
      <c r="R72" s="65">
        <v>4714.75</v>
      </c>
      <c r="S72" s="66">
        <f t="array" ref="S72">IF((XLOOKUP(D72,RUC!$B$3:$B$106,RUC!$E$3:$E$106)+ROUNDDOWN(O72,1)*100)&lt;95,95,((XLOOKUP(D72,RUC!$B$3:$B$106,RUC!$E$3:$E$106)+ROUNDDOWN(O72,1)*100)))</f>
        <v>120</v>
      </c>
      <c r="U72" s="67">
        <f t="array" ref="U72">XLOOKUP(D72,RUC!$B$3:$B$110,RUC!$F$3:$F$110)</f>
        <v>120</v>
      </c>
      <c r="V72" s="67">
        <v>1.1023</v>
      </c>
      <c r="Y72" s="199">
        <v>30.0</v>
      </c>
      <c r="Z72" s="140">
        <v>40.0</v>
      </c>
      <c r="AA72" s="70">
        <f t="shared" si="6"/>
        <v>70</v>
      </c>
      <c r="AB72" s="71">
        <f t="shared" si="23"/>
        <v>1581.980258</v>
      </c>
      <c r="AC72" s="71">
        <f>+(S72-T72)*V72-'data 1'!$F$4</f>
        <v>52.276</v>
      </c>
      <c r="AD72" s="71">
        <f t="shared" si="7"/>
        <v>19.26545933</v>
      </c>
      <c r="AE72" s="71">
        <f t="shared" si="8"/>
        <v>7.161</v>
      </c>
      <c r="AF72" s="71">
        <f t="shared" si="9"/>
        <v>115.1100812</v>
      </c>
      <c r="AG72" s="72">
        <f t="shared" si="38"/>
        <v>253.8125405</v>
      </c>
      <c r="AH72" s="193">
        <f t="shared" si="11"/>
        <v>14.292</v>
      </c>
      <c r="AI72" s="193">
        <f t="shared" si="12"/>
        <v>15.721</v>
      </c>
      <c r="AJ72" s="73">
        <f t="shared" si="13"/>
        <v>127.8625671</v>
      </c>
      <c r="AK72" s="73">
        <f t="shared" si="14"/>
        <v>13.3030357</v>
      </c>
      <c r="AM72" s="51">
        <f t="shared" si="15"/>
        <v>1735.432343</v>
      </c>
      <c r="AN72" s="51" t="str">
        <f t="array" ref="AN72">XLOOKUP(D72,RUC!$B$3:$B$565,RUC!$M$3:$M$565)</f>
        <v>Evelyn</v>
      </c>
      <c r="AO72" s="131" t="s">
        <v>551</v>
      </c>
      <c r="AP72" s="57" t="s">
        <v>3166</v>
      </c>
      <c r="AQ72" s="57" t="s">
        <v>3167</v>
      </c>
    </row>
    <row r="73" ht="15.0" customHeight="1">
      <c r="A73" s="116" t="s">
        <v>3174</v>
      </c>
      <c r="B73" s="182">
        <v>46059.0</v>
      </c>
      <c r="C73" s="182">
        <v>46054.0</v>
      </c>
      <c r="D73" s="57" t="s">
        <v>295</v>
      </c>
      <c r="E73" s="3">
        <f t="array" ref="E73">XLOOKUP(D73,RUC!$B$3:$B$110,RUC!$D$3:$D$110)</f>
        <v>20601769396</v>
      </c>
      <c r="G73" s="3">
        <v>23.0</v>
      </c>
      <c r="H73" s="3" t="s">
        <v>339</v>
      </c>
      <c r="I73" s="6">
        <v>1.99</v>
      </c>
      <c r="J73" s="58">
        <v>13.73</v>
      </c>
      <c r="K73" s="6">
        <f t="shared" si="2"/>
        <v>1.717</v>
      </c>
      <c r="L73" s="139">
        <v>0.294</v>
      </c>
      <c r="M73" s="60">
        <f t="shared" si="3"/>
        <v>0.275</v>
      </c>
      <c r="N73" s="62">
        <f t="shared" si="40"/>
        <v>0.275</v>
      </c>
      <c r="O73" s="60">
        <f t="shared" si="5"/>
        <v>0.275</v>
      </c>
      <c r="P73" s="63">
        <v>90.0</v>
      </c>
      <c r="Q73" s="58">
        <v>93.2</v>
      </c>
      <c r="R73" s="65">
        <v>4714.75</v>
      </c>
      <c r="S73" s="66">
        <f t="array" ref="S73">IF((XLOOKUP(D73,RUC!$B$3:$B$106,RUC!$E$3:$E$106)+ROUNDDOWN(O73,1)*100)&lt;95,95,((XLOOKUP(D73,RUC!$B$3:$B$106,RUC!$E$3:$E$106)+ROUNDDOWN(O73,1)*100)))</f>
        <v>110</v>
      </c>
      <c r="U73" s="67">
        <f t="array" ref="U73">XLOOKUP(D73,RUC!$B$3:$B$110,RUC!$F$3:$F$110)</f>
        <v>120</v>
      </c>
      <c r="V73" s="67">
        <v>1.1023</v>
      </c>
      <c r="Y73" s="199">
        <v>30.0</v>
      </c>
      <c r="Z73" s="140">
        <v>40.0</v>
      </c>
      <c r="AA73" s="70">
        <f t="shared" si="6"/>
        <v>70</v>
      </c>
      <c r="AB73" s="71">
        <f t="shared" si="23"/>
        <v>1055.122249</v>
      </c>
      <c r="AC73" s="71">
        <f>+(S73-T73)*V73-'data 1'!$F$4</f>
        <v>41.253</v>
      </c>
      <c r="AD73" s="71">
        <f t="shared" si="7"/>
        <v>47.64957184</v>
      </c>
      <c r="AE73" s="71">
        <f t="shared" si="8"/>
        <v>7.161</v>
      </c>
      <c r="AF73" s="71">
        <f t="shared" si="9"/>
        <v>89.68735312</v>
      </c>
      <c r="AG73" s="72">
        <f t="shared" si="38"/>
        <v>245.750925</v>
      </c>
      <c r="AH73" s="193">
        <f t="shared" si="11"/>
        <v>16.13</v>
      </c>
      <c r="AI73" s="193">
        <f t="shared" si="12"/>
        <v>17.307</v>
      </c>
      <c r="AJ73" s="73">
        <f t="shared" si="13"/>
        <v>92.19741037</v>
      </c>
      <c r="AK73" s="73">
        <f t="shared" si="14"/>
        <v>14.56983279</v>
      </c>
      <c r="AM73" s="51">
        <f t="shared" si="15"/>
        <v>1811.644901</v>
      </c>
      <c r="AN73" s="51" t="str">
        <f t="array" ref="AN73">XLOOKUP(D73,RUC!$B$3:$B$565,RUC!$M$3:$M$565)</f>
        <v>Evelyn</v>
      </c>
      <c r="AO73" s="131" t="s">
        <v>551</v>
      </c>
      <c r="AP73" s="57" t="s">
        <v>3166</v>
      </c>
      <c r="AQ73" s="57" t="s">
        <v>3167</v>
      </c>
    </row>
    <row r="74" ht="15.0" customHeight="1">
      <c r="A74" s="116" t="s">
        <v>3175</v>
      </c>
      <c r="B74" s="182">
        <v>46059.0</v>
      </c>
      <c r="C74" s="182">
        <v>46054.0</v>
      </c>
      <c r="D74" s="57" t="s">
        <v>295</v>
      </c>
      <c r="E74" s="3">
        <f t="array" ref="E74">XLOOKUP(D74,RUC!$B$3:$B$110,RUC!$D$3:$D$110)</f>
        <v>20601769396</v>
      </c>
      <c r="G74" s="3">
        <v>24.0</v>
      </c>
      <c r="H74" s="3" t="s">
        <v>339</v>
      </c>
      <c r="I74" s="6">
        <v>1.89</v>
      </c>
      <c r="J74" s="58">
        <v>13.68</v>
      </c>
      <c r="K74" s="6">
        <f t="shared" si="2"/>
        <v>1.631</v>
      </c>
      <c r="L74" s="139">
        <v>0.535</v>
      </c>
      <c r="M74" s="60">
        <f t="shared" si="3"/>
        <v>0.503</v>
      </c>
      <c r="N74" s="62">
        <f t="shared" si="40"/>
        <v>0.503</v>
      </c>
      <c r="O74" s="60">
        <f t="shared" si="5"/>
        <v>0.503</v>
      </c>
      <c r="P74" s="63">
        <v>90.0</v>
      </c>
      <c r="Q74" s="58">
        <v>90.47</v>
      </c>
      <c r="R74" s="65">
        <v>4714.75</v>
      </c>
      <c r="S74" s="66">
        <f t="array" ref="S74">IF((XLOOKUP(D74,RUC!$B$3:$B$106,RUC!$E$3:$E$106)+ROUNDDOWN(O74,1)*100)&lt;95,95,((XLOOKUP(D74,RUC!$B$3:$B$106,RUC!$E$3:$E$106)+ROUNDDOWN(O74,1)*100)))</f>
        <v>140</v>
      </c>
      <c r="U74" s="67">
        <f t="array" ref="U74">XLOOKUP(D74,RUC!$B$3:$B$110,RUC!$F$3:$F$110)</f>
        <v>120</v>
      </c>
      <c r="V74" s="67">
        <v>1.1023</v>
      </c>
      <c r="Y74" s="199">
        <v>30.0</v>
      </c>
      <c r="Z74" s="140">
        <v>40.0</v>
      </c>
      <c r="AA74" s="70">
        <f t="shared" si="6"/>
        <v>70</v>
      </c>
      <c r="AB74" s="71">
        <f t="shared" si="23"/>
        <v>2061.348757</v>
      </c>
      <c r="AC74" s="71">
        <f>+(S74-T74)*V74-'data 1'!$F$4</f>
        <v>74.322</v>
      </c>
      <c r="AD74" s="71">
        <f t="shared" si="7"/>
        <v>12.73542181</v>
      </c>
      <c r="AE74" s="71">
        <f t="shared" si="8"/>
        <v>7.161</v>
      </c>
      <c r="AF74" s="71">
        <f t="shared" si="9"/>
        <v>146.6277811</v>
      </c>
      <c r="AG74" s="72">
        <f t="shared" si="38"/>
        <v>300.8462029</v>
      </c>
      <c r="AH74" s="193">
        <f t="shared" si="11"/>
        <v>27.066</v>
      </c>
      <c r="AI74" s="193">
        <f t="shared" si="12"/>
        <v>29.917</v>
      </c>
      <c r="AJ74" s="73">
        <f t="shared" si="13"/>
        <v>162.8597832</v>
      </c>
      <c r="AK74" s="73">
        <f t="shared" si="14"/>
        <v>25.31474312</v>
      </c>
      <c r="AM74" s="51">
        <f t="shared" si="15"/>
        <v>3362.059823</v>
      </c>
      <c r="AN74" s="51" t="str">
        <f t="array" ref="AN74">XLOOKUP(D74,RUC!$B$3:$B$565,RUC!$M$3:$M$565)</f>
        <v>Evelyn</v>
      </c>
      <c r="AO74" s="131" t="s">
        <v>547</v>
      </c>
      <c r="AP74" s="57" t="s">
        <v>3166</v>
      </c>
      <c r="AQ74" s="57" t="s">
        <v>3167</v>
      </c>
    </row>
    <row r="75" ht="15.0" customHeight="1">
      <c r="A75" s="116" t="s">
        <v>3176</v>
      </c>
      <c r="B75" s="182">
        <v>46059.0</v>
      </c>
      <c r="C75" s="182">
        <v>46054.0</v>
      </c>
      <c r="D75" s="57" t="s">
        <v>295</v>
      </c>
      <c r="E75" s="3">
        <f t="array" ref="E75">XLOOKUP(D75,RUC!$B$3:$B$110,RUC!$D$3:$D$110)</f>
        <v>20601769396</v>
      </c>
      <c r="G75" s="3">
        <v>24.0</v>
      </c>
      <c r="H75" s="3" t="s">
        <v>339</v>
      </c>
      <c r="I75" s="6">
        <v>1.88</v>
      </c>
      <c r="J75" s="58">
        <v>11.73</v>
      </c>
      <c r="K75" s="6">
        <f t="shared" si="2"/>
        <v>1.659</v>
      </c>
      <c r="L75" s="139">
        <v>0.531</v>
      </c>
      <c r="M75" s="60">
        <f t="shared" si="3"/>
        <v>0.499</v>
      </c>
      <c r="N75" s="62">
        <f t="shared" si="40"/>
        <v>0.499</v>
      </c>
      <c r="O75" s="60">
        <f t="shared" si="5"/>
        <v>0.499</v>
      </c>
      <c r="P75" s="63">
        <v>86.0</v>
      </c>
      <c r="Q75" s="58">
        <v>87.76</v>
      </c>
      <c r="R75" s="65">
        <v>4714.75</v>
      </c>
      <c r="S75" s="66">
        <f t="array" ref="S75">IF((XLOOKUP(D75,RUC!$B$3:$B$106,RUC!$E$3:$E$106)+ROUNDDOWN(O75,1)*100)&lt;95,95,((XLOOKUP(D75,RUC!$B$3:$B$106,RUC!$E$3:$E$106)+ROUNDDOWN(O75,1)*100)))</f>
        <v>130</v>
      </c>
      <c r="U75" s="67">
        <f t="array" ref="U75">XLOOKUP(D75,RUC!$B$3:$B$110,RUC!$F$3:$F$110)</f>
        <v>120</v>
      </c>
      <c r="V75" s="67">
        <v>1.1023</v>
      </c>
      <c r="Y75" s="199">
        <v>30.0</v>
      </c>
      <c r="Z75" s="140">
        <v>40.0</v>
      </c>
      <c r="AA75" s="70">
        <f t="shared" si="6"/>
        <v>70</v>
      </c>
      <c r="AB75" s="71">
        <f t="shared" si="23"/>
        <v>1953.045236</v>
      </c>
      <c r="AC75" s="71">
        <f>+(S75-T75)*V75-'data 1'!$F$4</f>
        <v>63.299</v>
      </c>
      <c r="AD75" s="71">
        <f t="shared" si="7"/>
        <v>47.33352876</v>
      </c>
      <c r="AE75" s="71">
        <f t="shared" si="8"/>
        <v>7.161</v>
      </c>
      <c r="AF75" s="71">
        <f t="shared" si="9"/>
        <v>142.2355927</v>
      </c>
      <c r="AG75" s="72">
        <f t="shared" si="38"/>
        <v>320.0291214</v>
      </c>
      <c r="AH75" s="193">
        <f t="shared" si="11"/>
        <v>26.506</v>
      </c>
      <c r="AI75" s="193">
        <f t="shared" si="12"/>
        <v>30.203</v>
      </c>
      <c r="AJ75" s="73">
        <f t="shared" si="13"/>
        <v>156.8002012</v>
      </c>
      <c r="AK75" s="73">
        <f t="shared" si="14"/>
        <v>24.40925094</v>
      </c>
      <c r="AM75" s="51">
        <f t="shared" si="15"/>
        <v>3240.102046</v>
      </c>
      <c r="AN75" s="51" t="str">
        <f t="array" ref="AN75">XLOOKUP(D75,RUC!$B$3:$B$565,RUC!$M$3:$M$565)</f>
        <v>Evelyn</v>
      </c>
      <c r="AO75" s="131" t="s">
        <v>547</v>
      </c>
      <c r="AP75" s="57" t="s">
        <v>3166</v>
      </c>
      <c r="AQ75" s="57" t="s">
        <v>3167</v>
      </c>
    </row>
    <row r="76" ht="15.0" customHeight="1">
      <c r="A76" s="116" t="s">
        <v>3177</v>
      </c>
      <c r="B76" s="182">
        <v>46065.0</v>
      </c>
      <c r="C76" s="182">
        <v>46054.0</v>
      </c>
      <c r="D76" s="57" t="s">
        <v>295</v>
      </c>
      <c r="E76" s="3">
        <f t="array" ref="E76">XLOOKUP(D76,RUC!$B$3:$B$110,RUC!$D$3:$D$110)</f>
        <v>20601769396</v>
      </c>
      <c r="G76" s="3">
        <v>15.0</v>
      </c>
      <c r="H76" s="3" t="s">
        <v>339</v>
      </c>
      <c r="I76" s="6">
        <v>1.18</v>
      </c>
      <c r="J76" s="58">
        <v>19.3</v>
      </c>
      <c r="K76" s="6">
        <f t="shared" si="2"/>
        <v>0.952</v>
      </c>
      <c r="L76" s="139">
        <v>0.483</v>
      </c>
      <c r="M76" s="60">
        <f t="shared" si="3"/>
        <v>0.454</v>
      </c>
      <c r="N76" s="62">
        <f t="shared" si="40"/>
        <v>0.454</v>
      </c>
      <c r="O76" s="60">
        <f t="shared" si="5"/>
        <v>0.454</v>
      </c>
      <c r="P76" s="63">
        <v>90.0</v>
      </c>
      <c r="Q76" s="58">
        <v>95.86</v>
      </c>
      <c r="R76" s="65">
        <v>4714.75</v>
      </c>
      <c r="S76" s="66">
        <f t="array" ref="S76">IF((XLOOKUP(D76,RUC!$B$3:$B$106,RUC!$E$3:$E$106)+ROUNDDOWN(O76,1)*100)&lt;95,95,((XLOOKUP(D76,RUC!$B$3:$B$106,RUC!$E$3:$E$106)+ROUNDDOWN(O76,1)*100)))</f>
        <v>130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69">
        <f t="array" ref="Z76">XLOOKUP(D76,RUC!$B$3:$B$110,RUC!$H$3:$H$110)</f>
        <v>30</v>
      </c>
      <c r="AA76" s="70">
        <f t="shared" si="6"/>
        <v>50</v>
      </c>
      <c r="AB76" s="71">
        <f t="shared" si="23"/>
        <v>1871.060389</v>
      </c>
      <c r="AC76" s="71">
        <f>+(S76-T76)*V76-'data 1'!$F$4</f>
        <v>63.299</v>
      </c>
      <c r="AD76" s="71">
        <f t="shared" si="7"/>
        <v>143.352886</v>
      </c>
      <c r="AE76" s="71">
        <f t="shared" si="8"/>
        <v>-14.885</v>
      </c>
      <c r="AF76" s="71">
        <f t="shared" si="9"/>
        <v>140.7982044</v>
      </c>
      <c r="AG76" s="72">
        <f t="shared" si="38"/>
        <v>392.5650904</v>
      </c>
      <c r="AH76" s="193">
        <f t="shared" si="11"/>
        <v>15.112</v>
      </c>
      <c r="AI76" s="193">
        <f t="shared" si="12"/>
        <v>15.765</v>
      </c>
      <c r="AJ76" s="73">
        <f t="shared" si="13"/>
        <v>155.7901643</v>
      </c>
      <c r="AK76" s="73">
        <f t="shared" si="14"/>
        <v>13.3365771</v>
      </c>
      <c r="AM76" s="51">
        <f t="shared" si="15"/>
        <v>1781.24949</v>
      </c>
      <c r="AN76" s="51" t="str">
        <f t="array" ref="AN76">XLOOKUP(D76,RUC!$B$3:$B$565,RUC!$M$3:$M$565)</f>
        <v>Evelyn</v>
      </c>
      <c r="AO76" s="131" t="s">
        <v>547</v>
      </c>
      <c r="AP76" s="57" t="s">
        <v>3166</v>
      </c>
      <c r="AQ76" s="57" t="s">
        <v>3167</v>
      </c>
    </row>
    <row r="77" ht="15.0" customHeight="1">
      <c r="A77" s="116" t="s">
        <v>3178</v>
      </c>
      <c r="B77" s="182">
        <v>46065.0</v>
      </c>
      <c r="C77" s="182">
        <v>46054.0</v>
      </c>
      <c r="D77" s="57" t="s">
        <v>295</v>
      </c>
      <c r="E77" s="3">
        <f t="array" ref="E77">XLOOKUP(D77,RUC!$B$3:$B$110,RUC!$D$3:$D$110)</f>
        <v>20601769396</v>
      </c>
      <c r="G77" s="3">
        <v>15.0</v>
      </c>
      <c r="H77" s="3" t="s">
        <v>339</v>
      </c>
      <c r="I77" s="6">
        <v>1.16</v>
      </c>
      <c r="J77" s="58">
        <v>13.8</v>
      </c>
      <c r="K77" s="6">
        <f t="shared" si="2"/>
        <v>1</v>
      </c>
      <c r="L77" s="139">
        <v>0.425</v>
      </c>
      <c r="M77" s="60">
        <f t="shared" si="3"/>
        <v>0.4</v>
      </c>
      <c r="N77" s="62">
        <f t="shared" si="40"/>
        <v>0.4</v>
      </c>
      <c r="O77" s="60">
        <f t="shared" si="5"/>
        <v>0.4</v>
      </c>
      <c r="P77" s="63">
        <v>90.0</v>
      </c>
      <c r="Q77" s="58">
        <v>95.29</v>
      </c>
      <c r="R77" s="65">
        <v>4714.75</v>
      </c>
      <c r="S77" s="66">
        <f t="array" ref="S77">IF((XLOOKUP(D77,RUC!$B$3:$B$106,RUC!$E$3:$E$106)+ROUNDDOWN(O77,1)*100)&lt;95,95,((XLOOKUP(D77,RUC!$B$3:$B$106,RUC!$E$3:$E$106)+ROUNDDOWN(O77,1)*100)))</f>
        <v>130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69">
        <f t="array" ref="Z77">XLOOKUP(D77,RUC!$B$3:$B$110,RUC!$H$3:$H$110)</f>
        <v>30</v>
      </c>
      <c r="AA77" s="70">
        <f t="shared" si="6"/>
        <v>50</v>
      </c>
      <c r="AB77" s="71">
        <f t="shared" si="23"/>
        <v>1624.911453</v>
      </c>
      <c r="AC77" s="71">
        <f>+(S77-T77)*V77-'data 1'!$F$4</f>
        <v>63.299</v>
      </c>
      <c r="AD77" s="71">
        <f t="shared" si="7"/>
        <v>113.8692069</v>
      </c>
      <c r="AE77" s="71">
        <f t="shared" si="8"/>
        <v>-14.885</v>
      </c>
      <c r="AF77" s="71">
        <f t="shared" si="9"/>
        <v>120.6560295</v>
      </c>
      <c r="AG77" s="72">
        <f t="shared" si="38"/>
        <v>342.9392364</v>
      </c>
      <c r="AH77" s="193">
        <f t="shared" si="11"/>
        <v>13.885</v>
      </c>
      <c r="AI77" s="193">
        <f t="shared" si="12"/>
        <v>14.571</v>
      </c>
      <c r="AJ77" s="73">
        <f t="shared" si="13"/>
        <v>136.267327</v>
      </c>
      <c r="AK77" s="73">
        <f t="shared" si="14"/>
        <v>12.3427397</v>
      </c>
      <c r="AM77" s="51">
        <f t="shared" si="15"/>
        <v>1624.911453</v>
      </c>
      <c r="AN77" s="51" t="str">
        <f t="array" ref="AN77">XLOOKUP(D77,RUC!$B$3:$B$565,RUC!$M$3:$M$565)</f>
        <v>Evelyn</v>
      </c>
      <c r="AO77" s="131" t="s">
        <v>547</v>
      </c>
      <c r="AP77" s="57" t="s">
        <v>3166</v>
      </c>
      <c r="AQ77" s="57" t="s">
        <v>3167</v>
      </c>
    </row>
    <row r="78" ht="15.0" customHeight="1">
      <c r="A78" s="116" t="s">
        <v>3179</v>
      </c>
      <c r="B78" s="182">
        <v>46062.0</v>
      </c>
      <c r="C78" s="182">
        <v>46054.0</v>
      </c>
      <c r="D78" s="57" t="s">
        <v>295</v>
      </c>
      <c r="E78" s="3">
        <f t="array" ref="E78">XLOOKUP(D78,RUC!$B$3:$B$110,RUC!$D$3:$D$110)</f>
        <v>20601769396</v>
      </c>
      <c r="G78" s="3">
        <v>22.0</v>
      </c>
      <c r="H78" s="3" t="s">
        <v>339</v>
      </c>
      <c r="I78" s="6">
        <v>1.74</v>
      </c>
      <c r="J78" s="58">
        <v>15.13</v>
      </c>
      <c r="K78" s="6">
        <f t="shared" si="2"/>
        <v>1.477</v>
      </c>
      <c r="L78" s="139">
        <v>0.486</v>
      </c>
      <c r="M78" s="60">
        <f t="shared" si="3"/>
        <v>0.457</v>
      </c>
      <c r="N78" s="62">
        <f t="shared" si="40"/>
        <v>0.457</v>
      </c>
      <c r="O78" s="60">
        <f t="shared" si="5"/>
        <v>0.457</v>
      </c>
      <c r="P78" s="63">
        <v>90.0</v>
      </c>
      <c r="Q78" s="58">
        <v>93.42</v>
      </c>
      <c r="R78" s="65">
        <v>4714.75</v>
      </c>
      <c r="S78" s="66">
        <f t="array" ref="S78">IF((XLOOKUP(D78,RUC!$B$3:$B$106,RUC!$E$3:$E$106)+ROUNDDOWN(O78,1)*100)&lt;95,95,((XLOOKUP(D78,RUC!$B$3:$B$106,RUC!$E$3:$E$106)+ROUNDDOWN(O78,1)*100)))</f>
        <v>130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69">
        <f t="array" ref="Z78">XLOOKUP(D78,RUC!$B$3:$B$110,RUC!$H$3:$H$110)</f>
        <v>30</v>
      </c>
      <c r="AA78" s="70">
        <f t="shared" si="6"/>
        <v>50</v>
      </c>
      <c r="AB78" s="71">
        <f t="shared" si="23"/>
        <v>1884.73533</v>
      </c>
      <c r="AC78" s="71">
        <f>+(S78-T78)*V78-'data 1'!$F$4</f>
        <v>63.299</v>
      </c>
      <c r="AD78" s="71">
        <f t="shared" si="7"/>
        <v>84.18293617</v>
      </c>
      <c r="AE78" s="71">
        <f t="shared" si="8"/>
        <v>-14.885</v>
      </c>
      <c r="AF78" s="71">
        <f t="shared" si="9"/>
        <v>137.214357</v>
      </c>
      <c r="AG78" s="72">
        <f t="shared" si="38"/>
        <v>329.8112931</v>
      </c>
      <c r="AH78" s="193">
        <f t="shared" si="11"/>
        <v>22.991</v>
      </c>
      <c r="AI78" s="193">
        <f t="shared" si="12"/>
        <v>24.611</v>
      </c>
      <c r="AJ78" s="73">
        <f t="shared" si="13"/>
        <v>152.7677254</v>
      </c>
      <c r="AK78" s="73">
        <f t="shared" si="14"/>
        <v>20.82803382</v>
      </c>
      <c r="AM78" s="51">
        <f t="shared" si="15"/>
        <v>2783.754082</v>
      </c>
      <c r="AN78" s="51" t="str">
        <f t="array" ref="AN78">XLOOKUP(D78,RUC!$B$3:$B$565,RUC!$M$3:$M$565)</f>
        <v>Evelyn</v>
      </c>
      <c r="AO78" s="131" t="s">
        <v>547</v>
      </c>
      <c r="AP78" s="57" t="s">
        <v>3166</v>
      </c>
      <c r="AQ78" s="57" t="s">
        <v>3167</v>
      </c>
    </row>
    <row r="79" ht="15.0" customHeight="1">
      <c r="A79" s="116" t="s">
        <v>3180</v>
      </c>
      <c r="B79" s="182">
        <v>46062.0</v>
      </c>
      <c r="C79" s="182">
        <v>46054.0</v>
      </c>
      <c r="D79" s="57" t="s">
        <v>295</v>
      </c>
      <c r="E79" s="3">
        <f t="array" ref="E79">XLOOKUP(D79,RUC!$B$3:$B$110,RUC!$D$3:$D$110)</f>
        <v>20601769396</v>
      </c>
      <c r="G79" s="3">
        <v>22.0</v>
      </c>
      <c r="H79" s="3" t="s">
        <v>339</v>
      </c>
      <c r="I79" s="6">
        <v>1.75</v>
      </c>
      <c r="J79" s="58">
        <v>15.75</v>
      </c>
      <c r="K79" s="6">
        <f t="shared" si="2"/>
        <v>1.474</v>
      </c>
      <c r="L79" s="139">
        <v>0.609</v>
      </c>
      <c r="M79" s="60">
        <f t="shared" si="3"/>
        <v>0.572</v>
      </c>
      <c r="N79" s="62">
        <f t="shared" si="40"/>
        <v>0.572</v>
      </c>
      <c r="O79" s="60">
        <f t="shared" si="5"/>
        <v>0.572</v>
      </c>
      <c r="P79" s="63">
        <v>90.0</v>
      </c>
      <c r="Q79" s="58">
        <v>97.7</v>
      </c>
      <c r="R79" s="65">
        <v>4714.75</v>
      </c>
      <c r="S79" s="66">
        <f t="array" ref="S79">IF((XLOOKUP(D79,RUC!$B$3:$B$106,RUC!$E$3:$E$106)+ROUNDDOWN(O79,1)*100)&lt;95,95,((XLOOKUP(D79,RUC!$B$3:$B$106,RUC!$E$3:$E$106)+ROUNDDOWN(O79,1)*100)))</f>
        <v>140</v>
      </c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69">
        <f t="array" ref="Z79">XLOOKUP(D79,RUC!$B$3:$B$110,RUC!$H$3:$H$110)</f>
        <v>30</v>
      </c>
      <c r="AA79" s="70">
        <f t="shared" si="6"/>
        <v>50</v>
      </c>
      <c r="AB79" s="71">
        <f t="shared" si="23"/>
        <v>2397.918398</v>
      </c>
      <c r="AC79" s="71">
        <f>+(S79-T79)*V79-'data 1'!$F$4</f>
        <v>74.322</v>
      </c>
      <c r="AD79" s="71">
        <f t="shared" si="7"/>
        <v>237.5033346</v>
      </c>
      <c r="AE79" s="71">
        <f t="shared" si="8"/>
        <v>-14.885</v>
      </c>
      <c r="AF79" s="71">
        <f t="shared" si="9"/>
        <v>183.0871994</v>
      </c>
      <c r="AG79" s="72">
        <f t="shared" si="38"/>
        <v>540.0275341</v>
      </c>
      <c r="AH79" s="193">
        <f t="shared" si="11"/>
        <v>30.069</v>
      </c>
      <c r="AI79" s="193">
        <f t="shared" si="12"/>
        <v>30.777</v>
      </c>
      <c r="AJ79" s="73">
        <f t="shared" si="13"/>
        <v>200.2015043</v>
      </c>
      <c r="AK79" s="73">
        <f t="shared" si="14"/>
        <v>26.01627359</v>
      </c>
      <c r="AM79" s="51">
        <f t="shared" si="15"/>
        <v>3534.531718</v>
      </c>
      <c r="AN79" s="51" t="str">
        <f t="array" ref="AN79">XLOOKUP(D79,RUC!$B$3:$B$565,RUC!$M$3:$M$565)</f>
        <v>Evelyn</v>
      </c>
      <c r="AO79" s="131" t="s">
        <v>547</v>
      </c>
      <c r="AP79" s="57" t="s">
        <v>3166</v>
      </c>
      <c r="AQ79" s="57" t="s">
        <v>3167</v>
      </c>
    </row>
    <row r="80" ht="15.0" customHeight="1">
      <c r="A80" s="116" t="s">
        <v>3181</v>
      </c>
      <c r="B80" s="182">
        <v>46063.0</v>
      </c>
      <c r="C80" s="182">
        <v>46054.0</v>
      </c>
      <c r="D80" s="57" t="s">
        <v>295</v>
      </c>
      <c r="E80" s="3">
        <f t="array" ref="E80">XLOOKUP(D80,RUC!$B$3:$B$110,RUC!$D$3:$D$110)</f>
        <v>20601769396</v>
      </c>
      <c r="G80" s="3">
        <v>14.0</v>
      </c>
      <c r="H80" s="3" t="s">
        <v>339</v>
      </c>
      <c r="I80" s="6">
        <v>1.54</v>
      </c>
      <c r="J80" s="58">
        <v>14.35</v>
      </c>
      <c r="K80" s="6">
        <f t="shared" si="2"/>
        <v>1.319</v>
      </c>
      <c r="L80" s="139">
        <v>0.529</v>
      </c>
      <c r="M80" s="60">
        <f t="shared" si="3"/>
        <v>0.497</v>
      </c>
      <c r="N80" s="62">
        <f t="shared" si="40"/>
        <v>0.497</v>
      </c>
      <c r="O80" s="60">
        <f t="shared" si="5"/>
        <v>0.497</v>
      </c>
      <c r="P80" s="63">
        <v>90.0</v>
      </c>
      <c r="Q80" s="58">
        <v>96.41</v>
      </c>
      <c r="R80" s="65">
        <v>4714.75</v>
      </c>
      <c r="S80" s="66">
        <f t="array" ref="S80">IF((XLOOKUP(D80,RUC!$B$3:$B$106,RUC!$E$3:$E$106)+ROUNDDOWN(O80,1)*100)&lt;95,95,((XLOOKUP(D80,RUC!$B$3:$B$106,RUC!$E$3:$E$106)+ROUNDDOWN(O80,1)*100)))</f>
        <v>130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69">
        <f t="array" ref="Z80">XLOOKUP(D80,RUC!$B$3:$B$110,RUC!$H$3:$H$110)</f>
        <v>30</v>
      </c>
      <c r="AA80" s="70">
        <f t="shared" si="6"/>
        <v>50</v>
      </c>
      <c r="AB80" s="71">
        <f t="shared" si="23"/>
        <v>2067.067875</v>
      </c>
      <c r="AC80" s="71">
        <f>+(S80-T80)*V80-'data 1'!$F$4</f>
        <v>63.299</v>
      </c>
      <c r="AD80" s="71">
        <f t="shared" si="7"/>
        <v>171.7415568</v>
      </c>
      <c r="AE80" s="71">
        <f t="shared" si="8"/>
        <v>-14.885</v>
      </c>
      <c r="AF80" s="71">
        <f t="shared" si="9"/>
        <v>156.2549395</v>
      </c>
      <c r="AG80" s="72">
        <f t="shared" si="38"/>
        <v>436.4104963</v>
      </c>
      <c r="AH80" s="193">
        <f t="shared" si="11"/>
        <v>23.064</v>
      </c>
      <c r="AI80" s="193">
        <f t="shared" si="12"/>
        <v>23.923</v>
      </c>
      <c r="AJ80" s="73">
        <f t="shared" si="13"/>
        <v>171.6063029</v>
      </c>
      <c r="AK80" s="73">
        <f t="shared" si="14"/>
        <v>20.22799152</v>
      </c>
      <c r="AM80" s="51">
        <f t="shared" si="15"/>
        <v>2726.462528</v>
      </c>
      <c r="AN80" s="51" t="str">
        <f t="array" ref="AN80">XLOOKUP(D80,RUC!$B$3:$B$565,RUC!$M$3:$M$565)</f>
        <v>Evelyn</v>
      </c>
      <c r="AO80" s="131" t="s">
        <v>547</v>
      </c>
      <c r="AP80" s="57" t="s">
        <v>3166</v>
      </c>
      <c r="AQ80" s="57" t="s">
        <v>3167</v>
      </c>
    </row>
    <row r="81" ht="15.0" customHeight="1">
      <c r="A81" s="116" t="s">
        <v>3182</v>
      </c>
      <c r="B81" s="182">
        <v>46063.0</v>
      </c>
      <c r="C81" s="182">
        <v>46054.0</v>
      </c>
      <c r="D81" s="57" t="s">
        <v>295</v>
      </c>
      <c r="E81" s="3">
        <f t="array" ref="E81">XLOOKUP(D81,RUC!$B$3:$B$110,RUC!$D$3:$D$110)</f>
        <v>20601769396</v>
      </c>
      <c r="G81" s="3">
        <v>20.0</v>
      </c>
      <c r="H81" s="3" t="s">
        <v>339</v>
      </c>
      <c r="I81" s="6">
        <v>1.14</v>
      </c>
      <c r="J81" s="58">
        <v>8.95</v>
      </c>
      <c r="K81" s="6">
        <f t="shared" si="2"/>
        <v>1.038</v>
      </c>
      <c r="L81" s="139">
        <v>0.435</v>
      </c>
      <c r="M81" s="60">
        <f t="shared" si="3"/>
        <v>0.409</v>
      </c>
      <c r="N81" s="62">
        <f t="shared" si="40"/>
        <v>0.409</v>
      </c>
      <c r="O81" s="60">
        <f t="shared" si="5"/>
        <v>0.409</v>
      </c>
      <c r="P81" s="63">
        <v>90.0</v>
      </c>
      <c r="Q81" s="58">
        <v>94.94</v>
      </c>
      <c r="R81" s="65">
        <v>4714.75</v>
      </c>
      <c r="S81" s="66">
        <f t="array" ref="S81">IF((XLOOKUP(D81,RUC!$B$3:$B$106,RUC!$E$3:$E$106)+ROUNDDOWN(O81,1)*100)&lt;95,95,((XLOOKUP(D81,RUC!$B$3:$B$106,RUC!$E$3:$E$106)+ROUNDDOWN(O81,1)*100)))</f>
        <v>130</v>
      </c>
      <c r="U81" s="67">
        <f t="array" ref="U81">XLOOKUP(D81,RUC!$B$3:$B$110,RUC!$F$3:$F$110)</f>
        <v>120</v>
      </c>
      <c r="V81" s="67">
        <v>1.1023</v>
      </c>
      <c r="Y81" s="57">
        <f t="array" ref="Y81">XLOOKUP(D81,RUC!$B$3:$B$110,RUC!$G$3:$G$110)</f>
        <v>20</v>
      </c>
      <c r="Z81" s="69">
        <f t="array" ref="Z81">XLOOKUP(D81,RUC!$B$3:$B$110,RUC!$H$3:$H$110)</f>
        <v>30</v>
      </c>
      <c r="AA81" s="70">
        <f t="shared" si="6"/>
        <v>50</v>
      </c>
      <c r="AB81" s="71">
        <f t="shared" si="23"/>
        <v>1665.936276</v>
      </c>
      <c r="AC81" s="71">
        <f>+(S81-T81)*V81-'data 1'!$F$4</f>
        <v>63.299</v>
      </c>
      <c r="AD81" s="71">
        <f t="shared" si="7"/>
        <v>108.8373352</v>
      </c>
      <c r="AE81" s="71">
        <f t="shared" si="8"/>
        <v>-14.885</v>
      </c>
      <c r="AF81" s="71">
        <f t="shared" si="9"/>
        <v>125.0213745</v>
      </c>
      <c r="AG81" s="72">
        <f t="shared" si="38"/>
        <v>342.2727096</v>
      </c>
      <c r="AH81" s="193">
        <f t="shared" si="11"/>
        <v>14.698</v>
      </c>
      <c r="AI81" s="193">
        <f t="shared" si="12"/>
        <v>15.481</v>
      </c>
      <c r="AJ81" s="73">
        <f t="shared" si="13"/>
        <v>138.9613307</v>
      </c>
      <c r="AK81" s="73">
        <f t="shared" si="14"/>
        <v>13.10002849</v>
      </c>
      <c r="AM81" s="51">
        <f t="shared" si="15"/>
        <v>1729.241854</v>
      </c>
      <c r="AN81" s="51" t="str">
        <f t="array" ref="AN81">XLOOKUP(D81,RUC!$B$3:$B$565,RUC!$M$3:$M$565)</f>
        <v>Evelyn</v>
      </c>
      <c r="AO81" s="131" t="s">
        <v>547</v>
      </c>
      <c r="AP81" s="57" t="s">
        <v>3166</v>
      </c>
      <c r="AQ81" s="57" t="s">
        <v>3167</v>
      </c>
    </row>
    <row r="82" ht="15.0" customHeight="1">
      <c r="A82" s="116" t="s">
        <v>3183</v>
      </c>
      <c r="B82" s="182">
        <v>46063.0</v>
      </c>
      <c r="C82" s="182">
        <v>46055.0</v>
      </c>
      <c r="D82" s="57" t="s">
        <v>74</v>
      </c>
      <c r="E82" s="3">
        <f t="array" ref="E82">XLOOKUP(D82,RUC!$B$3:$B$110,RUC!$D$3:$D$110)</f>
        <v>10082235774</v>
      </c>
      <c r="G82" s="3">
        <v>61.0</v>
      </c>
      <c r="H82" s="3" t="s">
        <v>47</v>
      </c>
      <c r="I82" s="6">
        <v>5.85</v>
      </c>
      <c r="J82" s="58">
        <v>2.75</v>
      </c>
      <c r="K82" s="6">
        <f t="shared" si="2"/>
        <v>5.689</v>
      </c>
      <c r="L82" s="139">
        <v>0.374</v>
      </c>
      <c r="M82" s="60">
        <f t="shared" si="3"/>
        <v>0.367</v>
      </c>
      <c r="N82" s="62">
        <f t="shared" si="40"/>
        <v>0.367</v>
      </c>
      <c r="O82" s="60">
        <f t="shared" si="5"/>
        <v>0.367</v>
      </c>
      <c r="P82" s="201">
        <v>87.0</v>
      </c>
      <c r="Q82" s="130">
        <v>87.17</v>
      </c>
      <c r="R82" s="65">
        <v>4714.75</v>
      </c>
      <c r="S82" s="133">
        <v>110.0</v>
      </c>
      <c r="U82" s="67">
        <f t="array" ref="U82">XLOOKUP(D82,RUC!$B$3:$B$110,RUC!$F$3:$F$110)</f>
        <v>80</v>
      </c>
      <c r="V82" s="67">
        <v>1.1023</v>
      </c>
      <c r="Y82" s="57" t="str">
        <f t="array" ref="Y82">XLOOKUP(D82,RUC!$B$3:$B$110,RUC!$G$3:$G$110)</f>
        <v/>
      </c>
      <c r="Z82" s="69">
        <f t="array" ref="Z82">XLOOKUP(D82,RUC!$B$3:$B$110,RUC!$H$3:$H$110)</f>
        <v>10</v>
      </c>
      <c r="AA82" s="70">
        <f t="shared" si="6"/>
        <v>10</v>
      </c>
      <c r="AB82" s="71">
        <f t="shared" si="23"/>
        <v>1498.939868</v>
      </c>
      <c r="AC82" s="71">
        <f>+(S82-T82)*V82-'data 1'!$F$4</f>
        <v>41.253</v>
      </c>
      <c r="AD82" s="71">
        <f t="shared" si="7"/>
        <v>3.248229035</v>
      </c>
      <c r="AE82" s="71">
        <f t="shared" si="8"/>
        <v>-58.977</v>
      </c>
      <c r="AF82" s="71">
        <f t="shared" si="9"/>
        <v>31.17390492</v>
      </c>
      <c r="AG82" s="72">
        <f t="shared" ref="AG82:AG89" si="41">AC82+AD82+AE82+AF82+70</f>
        <v>86.69813396</v>
      </c>
      <c r="AH82" s="193">
        <f t="shared" si="11"/>
        <v>63.589</v>
      </c>
      <c r="AI82" s="193">
        <f t="shared" si="12"/>
        <v>72.949</v>
      </c>
      <c r="AJ82" s="73">
        <f t="shared" si="13"/>
        <v>95.32215413</v>
      </c>
      <c r="AK82" s="73">
        <f t="shared" si="14"/>
        <v>62.27737804</v>
      </c>
      <c r="AM82" s="51">
        <f t="shared" si="15"/>
        <v>8527.468907</v>
      </c>
      <c r="AN82" s="51" t="str">
        <f t="array" ref="AN82">XLOOKUP(D82,RUC!$B$3:$B$565,RUC!$M$3:$M$565)</f>
        <v>Melchor Vera</v>
      </c>
      <c r="AO82" s="131" t="s">
        <v>551</v>
      </c>
      <c r="AP82" s="57" t="s">
        <v>3184</v>
      </c>
      <c r="AQ82" s="57" t="s">
        <v>1978</v>
      </c>
    </row>
    <row r="83" ht="15.0" customHeight="1">
      <c r="A83" s="116" t="s">
        <v>3185</v>
      </c>
      <c r="B83" s="182">
        <v>46063.0</v>
      </c>
      <c r="C83" s="182">
        <v>46055.0</v>
      </c>
      <c r="D83" s="57" t="s">
        <v>74</v>
      </c>
      <c r="E83" s="3">
        <f t="array" ref="E83">XLOOKUP(D83,RUC!$B$3:$B$110,RUC!$D$3:$D$110)</f>
        <v>10082235774</v>
      </c>
      <c r="G83" s="3">
        <v>62.0</v>
      </c>
      <c r="H83" s="3" t="s">
        <v>47</v>
      </c>
      <c r="I83" s="6">
        <v>5.55</v>
      </c>
      <c r="J83" s="58">
        <v>3.1</v>
      </c>
      <c r="K83" s="6">
        <f t="shared" si="2"/>
        <v>5.378</v>
      </c>
      <c r="L83" s="139">
        <v>0.156</v>
      </c>
      <c r="M83" s="60">
        <f t="shared" si="3"/>
        <v>0.149</v>
      </c>
      <c r="N83" s="62">
        <f t="shared" si="40"/>
        <v>0.149</v>
      </c>
      <c r="O83" s="60">
        <f t="shared" si="5"/>
        <v>0.149</v>
      </c>
      <c r="P83" s="63">
        <v>85.0</v>
      </c>
      <c r="Q83" s="58">
        <v>98.08</v>
      </c>
      <c r="R83" s="65">
        <v>4714.75</v>
      </c>
      <c r="S83" s="133">
        <f t="array" ref="S83">IF((XLOOKUP(D83,RUC!$B$3:$B$106,RUC!$E$3:$E$106)+ROUNDDOWN(O83,1)*100)&lt;95,95,((XLOOKUP(D83,RUC!$B$3:$B$106,RUC!$E$3:$E$106)+ROUNDDOWN(O83,1)*100)))</f>
        <v>95</v>
      </c>
      <c r="U83" s="67">
        <f t="array" ref="U83">XLOOKUP(D83,RUC!$B$3:$B$110,RUC!$F$3:$F$110)</f>
        <v>80</v>
      </c>
      <c r="V83" s="67">
        <v>1.1023</v>
      </c>
      <c r="Y83" s="57" t="str">
        <f t="array" ref="Y83">XLOOKUP(D83,RUC!$B$3:$B$110,RUC!$G$3:$G$110)</f>
        <v/>
      </c>
      <c r="Z83" s="69">
        <f t="array" ref="Z83">XLOOKUP(D83,RUC!$B$3:$B$110,RUC!$H$3:$H$110)</f>
        <v>10</v>
      </c>
      <c r="AA83" s="70">
        <f t="shared" si="6"/>
        <v>10</v>
      </c>
      <c r="AB83" s="71">
        <f t="shared" si="23"/>
        <v>531.2987758</v>
      </c>
      <c r="AC83" s="71">
        <f>+(S83-T83)*V83-'data 1'!$F$4</f>
        <v>24.7185</v>
      </c>
      <c r="AD83" s="71">
        <f t="shared" si="7"/>
        <v>104.2457751</v>
      </c>
      <c r="AE83" s="71">
        <f t="shared" si="8"/>
        <v>-58.977</v>
      </c>
      <c r="AF83" s="71">
        <f t="shared" si="9"/>
        <v>35.07556034</v>
      </c>
      <c r="AG83" s="72">
        <f t="shared" si="41"/>
        <v>175.0628355</v>
      </c>
      <c r="AH83" s="193">
        <f t="shared" si="11"/>
        <v>28.212</v>
      </c>
      <c r="AI83" s="193">
        <f t="shared" si="12"/>
        <v>28.764</v>
      </c>
      <c r="AJ83" s="73">
        <f t="shared" si="13"/>
        <v>44.73631992</v>
      </c>
      <c r="AK83" s="73">
        <f t="shared" si="14"/>
        <v>23.35259036</v>
      </c>
      <c r="AM83" s="51">
        <f t="shared" si="15"/>
        <v>2857.324816</v>
      </c>
      <c r="AN83" s="51" t="str">
        <f t="array" ref="AN83">XLOOKUP(D83,RUC!$B$3:$B$565,RUC!$M$3:$M$565)</f>
        <v>Melchor Vera</v>
      </c>
      <c r="AO83" s="131" t="s">
        <v>549</v>
      </c>
      <c r="AP83" s="57" t="s">
        <v>3184</v>
      </c>
      <c r="AQ83" s="57" t="s">
        <v>1978</v>
      </c>
    </row>
    <row r="84" ht="15.0" customHeight="1">
      <c r="A84" s="116" t="s">
        <v>3186</v>
      </c>
      <c r="B84" s="182">
        <v>46063.0</v>
      </c>
      <c r="C84" s="182">
        <v>46055.0</v>
      </c>
      <c r="D84" s="57" t="s">
        <v>74</v>
      </c>
      <c r="E84" s="3">
        <f t="array" ref="E84">XLOOKUP(D84,RUC!$B$3:$B$110,RUC!$D$3:$D$110)</f>
        <v>10082235774</v>
      </c>
      <c r="G84" s="3">
        <v>60.0</v>
      </c>
      <c r="H84" s="3" t="s">
        <v>47</v>
      </c>
      <c r="I84" s="6">
        <v>5.74</v>
      </c>
      <c r="J84" s="58">
        <v>2.55</v>
      </c>
      <c r="K84" s="6">
        <f t="shared" si="2"/>
        <v>5.594</v>
      </c>
      <c r="L84" s="139">
        <v>0.577</v>
      </c>
      <c r="M84" s="60">
        <f t="shared" si="3"/>
        <v>0.568</v>
      </c>
      <c r="N84" s="62">
        <f t="shared" si="40"/>
        <v>0.568</v>
      </c>
      <c r="O84" s="60">
        <f t="shared" si="5"/>
        <v>0.568</v>
      </c>
      <c r="P84" s="201">
        <v>87.0</v>
      </c>
      <c r="Q84" s="130">
        <v>87.87</v>
      </c>
      <c r="R84" s="65">
        <v>4714.75</v>
      </c>
      <c r="S84" s="133">
        <v>120.0</v>
      </c>
      <c r="U84" s="67">
        <f t="array" ref="U84">XLOOKUP(D84,RUC!$B$3:$B$110,RUC!$F$3:$F$110)</f>
        <v>80</v>
      </c>
      <c r="V84" s="67">
        <v>1.1023</v>
      </c>
      <c r="Y84" s="57" t="str">
        <f t="array" ref="Y84">XLOOKUP(D84,RUC!$B$3:$B$110,RUC!$G$3:$G$110)</f>
        <v/>
      </c>
      <c r="Z84" s="69">
        <f t="array" ref="Z84">XLOOKUP(D84,RUC!$B$3:$B$110,RUC!$H$3:$H$110)</f>
        <v>10</v>
      </c>
      <c r="AA84" s="70">
        <f t="shared" si="6"/>
        <v>10</v>
      </c>
      <c r="AB84" s="71">
        <f t="shared" si="23"/>
        <v>2381.307575</v>
      </c>
      <c r="AC84" s="71">
        <f>+(S84-T84)*V84-'data 1'!$F$4</f>
        <v>52.276</v>
      </c>
      <c r="AD84" s="71">
        <f t="shared" si="7"/>
        <v>25.64609144</v>
      </c>
      <c r="AE84" s="71">
        <f t="shared" si="8"/>
        <v>-58.977</v>
      </c>
      <c r="AF84" s="71">
        <f t="shared" si="9"/>
        <v>40.40259465</v>
      </c>
      <c r="AG84" s="72">
        <f t="shared" si="41"/>
        <v>129.3476861</v>
      </c>
      <c r="AH84" s="193">
        <f t="shared" si="11"/>
        <v>97.241</v>
      </c>
      <c r="AI84" s="193">
        <f t="shared" si="12"/>
        <v>110.664</v>
      </c>
      <c r="AJ84" s="73">
        <f t="shared" si="13"/>
        <v>148.2421276</v>
      </c>
      <c r="AK84" s="73">
        <f t="shared" si="14"/>
        <v>94.77616241</v>
      </c>
      <c r="AM84" s="51">
        <f t="shared" si="15"/>
        <v>13321.03457</v>
      </c>
      <c r="AN84" s="51" t="str">
        <f t="array" ref="AN84">XLOOKUP(D84,RUC!$B$3:$B$565,RUC!$M$3:$M$565)</f>
        <v>Melchor Vera</v>
      </c>
      <c r="AO84" s="131" t="s">
        <v>551</v>
      </c>
      <c r="AP84" s="57" t="s">
        <v>3184</v>
      </c>
      <c r="AQ84" s="57" t="s">
        <v>1978</v>
      </c>
    </row>
    <row r="85" ht="15.0" customHeight="1">
      <c r="A85" s="116" t="s">
        <v>3187</v>
      </c>
      <c r="B85" s="182">
        <v>46063.0</v>
      </c>
      <c r="C85" s="182">
        <v>46055.0</v>
      </c>
      <c r="D85" s="57" t="s">
        <v>74</v>
      </c>
      <c r="E85" s="3">
        <f t="array" ref="E85">XLOOKUP(D85,RUC!$B$3:$B$110,RUC!$D$3:$D$110)</f>
        <v>10082235774</v>
      </c>
      <c r="G85" s="3">
        <v>37.0</v>
      </c>
      <c r="H85" s="3" t="s">
        <v>47</v>
      </c>
      <c r="I85" s="6">
        <v>3.4</v>
      </c>
      <c r="J85" s="58">
        <v>3.3</v>
      </c>
      <c r="K85" s="6">
        <f t="shared" si="2"/>
        <v>3.288</v>
      </c>
      <c r="L85" s="139">
        <v>0.301</v>
      </c>
      <c r="M85" s="60">
        <f t="shared" si="3"/>
        <v>0.294</v>
      </c>
      <c r="N85" s="75">
        <v>0.33</v>
      </c>
      <c r="O85" s="60">
        <f t="shared" si="5"/>
        <v>0.312</v>
      </c>
      <c r="P85" s="63">
        <v>90.0</v>
      </c>
      <c r="Q85" s="58">
        <v>91.36</v>
      </c>
      <c r="R85" s="65">
        <v>4714.75</v>
      </c>
      <c r="S85" s="133">
        <v>110.0</v>
      </c>
      <c r="U85" s="67">
        <f t="array" ref="U85">XLOOKUP(D85,RUC!$B$3:$B$110,RUC!$F$3:$F$110)</f>
        <v>80</v>
      </c>
      <c r="V85" s="67">
        <v>1.1023</v>
      </c>
      <c r="Y85" s="57" t="str">
        <f t="array" ref="Y85">XLOOKUP(D85,RUC!$B$3:$B$110,RUC!$G$3:$G$110)</f>
        <v/>
      </c>
      <c r="Z85" s="69">
        <f t="array" ref="Z85">XLOOKUP(D85,RUC!$B$3:$B$110,RUC!$H$3:$H$110)</f>
        <v>10</v>
      </c>
      <c r="AA85" s="70">
        <f t="shared" si="6"/>
        <v>10</v>
      </c>
      <c r="AB85" s="71">
        <f t="shared" si="23"/>
        <v>1302.298887</v>
      </c>
      <c r="AC85" s="71">
        <f>+(S85-T85)*V85-'data 1'!$F$4</f>
        <v>41.253</v>
      </c>
      <c r="AD85" s="71">
        <f t="shared" si="7"/>
        <v>20.91373133</v>
      </c>
      <c r="AE85" s="71">
        <f t="shared" si="8"/>
        <v>-58.977</v>
      </c>
      <c r="AF85" s="71">
        <f t="shared" si="9"/>
        <v>-51.34224994</v>
      </c>
      <c r="AG85" s="72">
        <f t="shared" si="41"/>
        <v>21.84748139</v>
      </c>
      <c r="AH85" s="193">
        <f t="shared" si="11"/>
        <v>31</v>
      </c>
      <c r="AI85" s="193">
        <f t="shared" si="12"/>
        <v>33.932</v>
      </c>
      <c r="AJ85" s="73">
        <f t="shared" si="13"/>
        <v>80.40402436</v>
      </c>
      <c r="AK85" s="73">
        <f t="shared" si="14"/>
        <v>31.65468394</v>
      </c>
      <c r="AM85" s="51">
        <f t="shared" si="15"/>
        <v>4281.95874</v>
      </c>
      <c r="AN85" s="51" t="str">
        <f t="array" ref="AN85">XLOOKUP(D85,RUC!$B$3:$B$565,RUC!$M$3:$M$565)</f>
        <v>Melchor Vera</v>
      </c>
      <c r="AO85" s="131" t="s">
        <v>551</v>
      </c>
      <c r="AP85" s="57" t="s">
        <v>3184</v>
      </c>
      <c r="AQ85" s="57" t="s">
        <v>1978</v>
      </c>
    </row>
    <row r="86" ht="15.0" customHeight="1">
      <c r="A86" s="116" t="s">
        <v>3188</v>
      </c>
      <c r="B86" s="182">
        <v>46063.0</v>
      </c>
      <c r="C86" s="182">
        <v>46055.0</v>
      </c>
      <c r="D86" s="57" t="s">
        <v>74</v>
      </c>
      <c r="E86" s="3">
        <f t="array" ref="E86">XLOOKUP(D86,RUC!$B$3:$B$110,RUC!$D$3:$D$110)</f>
        <v>10082235774</v>
      </c>
      <c r="G86" s="3">
        <v>58.0</v>
      </c>
      <c r="H86" s="3" t="s">
        <v>47</v>
      </c>
      <c r="I86" s="6">
        <v>5.28</v>
      </c>
      <c r="J86" s="58">
        <v>3.35</v>
      </c>
      <c r="K86" s="6">
        <f t="shared" si="2"/>
        <v>5.103</v>
      </c>
      <c r="L86" s="139">
        <v>0.291</v>
      </c>
      <c r="M86" s="60">
        <f t="shared" si="3"/>
        <v>0.284</v>
      </c>
      <c r="N86" s="75">
        <v>0.314</v>
      </c>
      <c r="O86" s="60">
        <f t="shared" si="5"/>
        <v>0.299</v>
      </c>
      <c r="P86" s="63">
        <v>90.0</v>
      </c>
      <c r="Q86" s="58">
        <v>91.07</v>
      </c>
      <c r="R86" s="65">
        <v>4714.75</v>
      </c>
      <c r="S86" s="133">
        <v>105.0</v>
      </c>
      <c r="U86" s="67">
        <f t="array" ref="U86">XLOOKUP(D86,RUC!$B$3:$B$110,RUC!$F$3:$F$110)</f>
        <v>80</v>
      </c>
      <c r="V86" s="67">
        <v>1.1023</v>
      </c>
      <c r="Y86" s="57" t="str">
        <f t="array" ref="Y86">XLOOKUP(D86,RUC!$B$3:$B$110,RUC!$G$3:$G$110)</f>
        <v/>
      </c>
      <c r="Z86" s="69">
        <f t="array" ref="Z86">XLOOKUP(D86,RUC!$B$3:$B$110,RUC!$H$3:$H$110)</f>
        <v>10</v>
      </c>
      <c r="AA86" s="70">
        <f t="shared" si="6"/>
        <v>10</v>
      </c>
      <c r="AB86" s="71">
        <f t="shared" si="23"/>
        <v>1248.036433</v>
      </c>
      <c r="AC86" s="71">
        <f>+(S86-T86)*V86-'data 1'!$F$4</f>
        <v>35.7415</v>
      </c>
      <c r="AD86" s="71">
        <f t="shared" si="7"/>
        <v>15.90753499</v>
      </c>
      <c r="AE86" s="71">
        <f t="shared" si="8"/>
        <v>-58.977</v>
      </c>
      <c r="AF86" s="71">
        <f t="shared" si="9"/>
        <v>-37.22129201</v>
      </c>
      <c r="AG86" s="72">
        <f t="shared" si="41"/>
        <v>25.45074298</v>
      </c>
      <c r="AH86" s="193">
        <f t="shared" si="11"/>
        <v>46.366</v>
      </c>
      <c r="AI86" s="193">
        <f t="shared" si="12"/>
        <v>50.913</v>
      </c>
      <c r="AJ86" s="73">
        <f t="shared" si="13"/>
        <v>77.48605055</v>
      </c>
      <c r="AK86" s="73">
        <f t="shared" si="14"/>
        <v>47.08128801</v>
      </c>
      <c r="AM86" s="51">
        <f t="shared" si="15"/>
        <v>6368.729919</v>
      </c>
      <c r="AN86" s="51" t="str">
        <f t="array" ref="AN86">XLOOKUP(D86,RUC!$B$3:$B$565,RUC!$M$3:$M$565)</f>
        <v>Melchor Vera</v>
      </c>
      <c r="AO86" s="131" t="s">
        <v>551</v>
      </c>
      <c r="AP86" s="57" t="s">
        <v>3184</v>
      </c>
      <c r="AQ86" s="57" t="s">
        <v>1978</v>
      </c>
    </row>
    <row r="87" ht="15.0" customHeight="1">
      <c r="A87" s="116" t="s">
        <v>3189</v>
      </c>
      <c r="B87" s="182">
        <v>46063.0</v>
      </c>
      <c r="C87" s="182">
        <v>46055.0</v>
      </c>
      <c r="D87" s="57" t="s">
        <v>74</v>
      </c>
      <c r="E87" s="3">
        <f t="array" ref="E87">XLOOKUP(D87,RUC!$B$3:$B$110,RUC!$D$3:$D$110)</f>
        <v>10082235774</v>
      </c>
      <c r="G87" s="3">
        <v>53.0</v>
      </c>
      <c r="H87" s="3" t="s">
        <v>47</v>
      </c>
      <c r="I87" s="6">
        <v>4.75</v>
      </c>
      <c r="J87" s="58">
        <v>2.7</v>
      </c>
      <c r="K87" s="6">
        <f t="shared" si="2"/>
        <v>4.622</v>
      </c>
      <c r="L87" s="139">
        <v>0.306</v>
      </c>
      <c r="M87" s="60">
        <f t="shared" si="3"/>
        <v>0.299</v>
      </c>
      <c r="N87" s="75">
        <v>0.32</v>
      </c>
      <c r="O87" s="60">
        <f t="shared" si="5"/>
        <v>0.31</v>
      </c>
      <c r="P87" s="63">
        <v>90.0</v>
      </c>
      <c r="Q87" s="58">
        <v>90.85</v>
      </c>
      <c r="R87" s="65">
        <v>4714.75</v>
      </c>
      <c r="S87" s="133">
        <v>110.0</v>
      </c>
      <c r="U87" s="67">
        <f t="array" ref="U87">XLOOKUP(D87,RUC!$B$3:$B$110,RUC!$F$3:$F$110)</f>
        <v>80</v>
      </c>
      <c r="V87" s="67">
        <v>1.1023</v>
      </c>
      <c r="Y87" s="57" t="str">
        <f t="array" ref="Y87">XLOOKUP(D87,RUC!$B$3:$B$110,RUC!$G$3:$G$110)</f>
        <v/>
      </c>
      <c r="Z87" s="69">
        <f t="array" ref="Z87">XLOOKUP(D87,RUC!$B$3:$B$110,RUC!$H$3:$H$110)</f>
        <v>10</v>
      </c>
      <c r="AA87" s="70">
        <f t="shared" si="6"/>
        <v>10</v>
      </c>
      <c r="AB87" s="71">
        <f t="shared" si="23"/>
        <v>1293.102894</v>
      </c>
      <c r="AC87" s="71">
        <f>+(S87-T87)*V87-'data 1'!$F$4</f>
        <v>41.253</v>
      </c>
      <c r="AD87" s="71">
        <f t="shared" si="7"/>
        <v>13.28820969</v>
      </c>
      <c r="AE87" s="71">
        <f t="shared" si="8"/>
        <v>-58.977</v>
      </c>
      <c r="AF87" s="71">
        <f t="shared" si="9"/>
        <v>-18.56568782</v>
      </c>
      <c r="AG87" s="72">
        <f t="shared" si="41"/>
        <v>46.99852187</v>
      </c>
      <c r="AH87" s="193">
        <f t="shared" si="11"/>
        <v>44.054</v>
      </c>
      <c r="AI87" s="193">
        <f t="shared" si="12"/>
        <v>48.491</v>
      </c>
      <c r="AJ87" s="73">
        <f t="shared" si="13"/>
        <v>81.28334324</v>
      </c>
      <c r="AK87" s="73">
        <f t="shared" si="14"/>
        <v>44.21231074</v>
      </c>
      <c r="AM87" s="51">
        <f t="shared" si="15"/>
        <v>5976.721576</v>
      </c>
      <c r="AN87" s="51" t="str">
        <f t="array" ref="AN87">XLOOKUP(D87,RUC!$B$3:$B$565,RUC!$M$3:$M$565)</f>
        <v>Melchor Vera</v>
      </c>
      <c r="AO87" s="131" t="s">
        <v>551</v>
      </c>
      <c r="AP87" s="57" t="s">
        <v>3184</v>
      </c>
      <c r="AQ87" s="57" t="s">
        <v>1978</v>
      </c>
    </row>
    <row r="88" ht="15.0" customHeight="1">
      <c r="A88" s="116" t="s">
        <v>3190</v>
      </c>
      <c r="B88" s="182">
        <v>46063.0</v>
      </c>
      <c r="C88" s="182">
        <v>46055.0</v>
      </c>
      <c r="D88" s="57" t="s">
        <v>74</v>
      </c>
      <c r="E88" s="3">
        <f t="array" ref="E88">XLOOKUP(D88,RUC!$B$3:$B$110,RUC!$D$3:$D$110)</f>
        <v>10082235774</v>
      </c>
      <c r="G88" s="3">
        <v>28.0</v>
      </c>
      <c r="H88" s="3" t="s">
        <v>47</v>
      </c>
      <c r="I88" s="6">
        <v>2.38</v>
      </c>
      <c r="J88" s="58">
        <v>2.0</v>
      </c>
      <c r="K88" s="6">
        <f t="shared" si="2"/>
        <v>2.332</v>
      </c>
      <c r="L88" s="139">
        <v>0.229</v>
      </c>
      <c r="M88" s="60">
        <f t="shared" si="3"/>
        <v>0.222</v>
      </c>
      <c r="N88" s="62">
        <f t="shared" ref="N88:N89" si="42">+M88</f>
        <v>0.222</v>
      </c>
      <c r="O88" s="60">
        <f t="shared" si="5"/>
        <v>0.222</v>
      </c>
      <c r="P88" s="63">
        <v>85.0</v>
      </c>
      <c r="Q88" s="58">
        <v>90.83</v>
      </c>
      <c r="R88" s="65">
        <v>4714.75</v>
      </c>
      <c r="S88" s="133">
        <v>105.0</v>
      </c>
      <c r="U88" s="67">
        <f t="array" ref="U88">XLOOKUP(D88,RUC!$B$3:$B$110,RUC!$F$3:$F$110)</f>
        <v>80</v>
      </c>
      <c r="V88" s="67">
        <v>1.1023</v>
      </c>
      <c r="Y88" s="57" t="str">
        <f t="array" ref="Y88">XLOOKUP(D88,RUC!$B$3:$B$110,RUC!$G$3:$G$110)</f>
        <v/>
      </c>
      <c r="Z88" s="69">
        <f t="array" ref="Z88">XLOOKUP(D88,RUC!$B$3:$B$110,RUC!$H$3:$H$110)</f>
        <v>10</v>
      </c>
      <c r="AA88" s="70">
        <f t="shared" si="6"/>
        <v>10</v>
      </c>
      <c r="AB88" s="71">
        <f t="shared" si="23"/>
        <v>837.2820853</v>
      </c>
      <c r="AC88" s="71">
        <f>+(S88-T88)*V88-'data 1'!$F$4</f>
        <v>35.7415</v>
      </c>
      <c r="AD88" s="71">
        <f t="shared" si="7"/>
        <v>68.20718997</v>
      </c>
      <c r="AE88" s="71">
        <f t="shared" si="8"/>
        <v>-58.977</v>
      </c>
      <c r="AF88" s="71">
        <f t="shared" si="9"/>
        <v>32.48280124</v>
      </c>
      <c r="AG88" s="72">
        <f t="shared" si="41"/>
        <v>147.4544912</v>
      </c>
      <c r="AH88" s="193">
        <f t="shared" si="11"/>
        <v>16.63</v>
      </c>
      <c r="AI88" s="193">
        <f t="shared" si="12"/>
        <v>18.309</v>
      </c>
      <c r="AJ88" s="73">
        <f t="shared" si="13"/>
        <v>60.81630027</v>
      </c>
      <c r="AK88" s="73">
        <f t="shared" si="14"/>
        <v>15.08723015</v>
      </c>
      <c r="AM88" s="51">
        <f t="shared" si="15"/>
        <v>1952.541823</v>
      </c>
      <c r="AN88" s="51" t="str">
        <f t="array" ref="AN88">XLOOKUP(D88,RUC!$B$3:$B$565,RUC!$M$3:$M$565)</f>
        <v>Melchor Vera</v>
      </c>
      <c r="AO88" s="131" t="s">
        <v>551</v>
      </c>
      <c r="AP88" s="57" t="s">
        <v>3184</v>
      </c>
      <c r="AQ88" s="57" t="s">
        <v>1978</v>
      </c>
    </row>
    <row r="89" ht="15.0" customHeight="1">
      <c r="A89" s="116" t="s">
        <v>3191</v>
      </c>
      <c r="B89" s="182">
        <v>46063.0</v>
      </c>
      <c r="C89" s="182">
        <v>46055.0</v>
      </c>
      <c r="D89" s="57" t="s">
        <v>74</v>
      </c>
      <c r="E89" s="3">
        <f t="array" ref="E89">XLOOKUP(D89,RUC!$B$3:$B$110,RUC!$D$3:$D$110)</f>
        <v>10082235774</v>
      </c>
      <c r="G89" s="3">
        <v>55.0</v>
      </c>
      <c r="H89" s="3" t="s">
        <v>47</v>
      </c>
      <c r="I89" s="6">
        <v>4.62</v>
      </c>
      <c r="J89" s="58">
        <v>3.2</v>
      </c>
      <c r="K89" s="6">
        <f t="shared" si="2"/>
        <v>4.472</v>
      </c>
      <c r="L89" s="139">
        <v>0.23</v>
      </c>
      <c r="M89" s="60">
        <f t="shared" si="3"/>
        <v>0.223</v>
      </c>
      <c r="N89" s="62">
        <f t="shared" si="42"/>
        <v>0.223</v>
      </c>
      <c r="O89" s="60">
        <f t="shared" si="5"/>
        <v>0.223</v>
      </c>
      <c r="P89" s="63">
        <v>85.0</v>
      </c>
      <c r="Q89" s="58">
        <v>85.22</v>
      </c>
      <c r="R89" s="65">
        <v>4714.75</v>
      </c>
      <c r="S89" s="133">
        <v>105.0</v>
      </c>
      <c r="U89" s="67">
        <f t="array" ref="U89">XLOOKUP(D89,RUC!$B$3:$B$110,RUC!$F$3:$F$110)</f>
        <v>80</v>
      </c>
      <c r="V89" s="67">
        <v>1.1023</v>
      </c>
      <c r="Y89" s="57" t="str">
        <f t="array" ref="Y89">XLOOKUP(D89,RUC!$B$3:$B$110,RUC!$G$3:$G$110)</f>
        <v/>
      </c>
      <c r="Z89" s="69">
        <f t="array" ref="Z89">XLOOKUP(D89,RUC!$B$3:$B$110,RUC!$H$3:$H$110)</f>
        <v>10</v>
      </c>
      <c r="AA89" s="70">
        <f t="shared" si="6"/>
        <v>10</v>
      </c>
      <c r="AB89" s="71">
        <f t="shared" si="23"/>
        <v>841.6246375</v>
      </c>
      <c r="AC89" s="71">
        <f>+(S89-T89)*V89-'data 1'!$F$4</f>
        <v>35.7415</v>
      </c>
      <c r="AD89" s="71">
        <f t="shared" si="7"/>
        <v>2.585095772</v>
      </c>
      <c r="AE89" s="71">
        <f t="shared" si="8"/>
        <v>-58.977</v>
      </c>
      <c r="AF89" s="71">
        <f t="shared" si="9"/>
        <v>30.47654213</v>
      </c>
      <c r="AG89" s="72">
        <f t="shared" si="41"/>
        <v>79.8261379</v>
      </c>
      <c r="AH89" s="193">
        <f t="shared" si="11"/>
        <v>30.052</v>
      </c>
      <c r="AI89" s="193">
        <f t="shared" si="12"/>
        <v>35.265</v>
      </c>
      <c r="AJ89" s="73">
        <f t="shared" si="13"/>
        <v>57.30922901</v>
      </c>
      <c r="AK89" s="73">
        <f t="shared" si="14"/>
        <v>29.0626126</v>
      </c>
      <c r="AM89" s="51">
        <f t="shared" si="15"/>
        <v>3763.745379</v>
      </c>
      <c r="AN89" s="51" t="str">
        <f t="array" ref="AN89">XLOOKUP(D89,RUC!$B$3:$B$565,RUC!$M$3:$M$565)</f>
        <v>Melchor Vera</v>
      </c>
      <c r="AO89" s="131" t="s">
        <v>551</v>
      </c>
      <c r="AP89" s="57" t="s">
        <v>3184</v>
      </c>
      <c r="AQ89" s="57" t="s">
        <v>1978</v>
      </c>
    </row>
    <row r="90" ht="15.0" customHeight="1">
      <c r="A90" s="116" t="s">
        <v>3192</v>
      </c>
      <c r="B90" s="182">
        <v>46063.0</v>
      </c>
      <c r="C90" s="182">
        <v>46055.0</v>
      </c>
      <c r="D90" s="57" t="s">
        <v>225</v>
      </c>
      <c r="E90" s="3">
        <f t="array" ref="E90">XLOOKUP(D90,RUC!$B$3:$B$110,RUC!$D$3:$D$110)</f>
        <v>10761932735</v>
      </c>
      <c r="G90" s="3">
        <v>18.0</v>
      </c>
      <c r="H90" s="3" t="s">
        <v>47</v>
      </c>
      <c r="I90" s="6">
        <v>1.38</v>
      </c>
      <c r="J90" s="58">
        <v>12.2</v>
      </c>
      <c r="K90" s="6">
        <f t="shared" si="2"/>
        <v>1.212</v>
      </c>
      <c r="L90" s="139">
        <v>0.316</v>
      </c>
      <c r="M90" s="60">
        <f t="shared" si="3"/>
        <v>0.297</v>
      </c>
      <c r="N90" s="75">
        <v>0.351</v>
      </c>
      <c r="O90" s="60">
        <f t="shared" si="5"/>
        <v>0.324</v>
      </c>
      <c r="P90" s="63">
        <v>90.0</v>
      </c>
      <c r="Q90" s="58">
        <v>97.15</v>
      </c>
      <c r="R90" s="65">
        <v>4714.75</v>
      </c>
      <c r="S90" s="66">
        <f t="array" ref="S90">IF((XLOOKUP(D90,RUC!$B$3:$B$106,RUC!$E$3:$E$106)+ROUNDDOWN(O90,1)*100)&lt;95,95,((XLOOKUP(D90,RUC!$B$3:$B$106,RUC!$E$3:$E$106)+ROUNDDOWN(O90,1)*100)))</f>
        <v>120</v>
      </c>
      <c r="U90" s="67">
        <f t="array" ref="U90">XLOOKUP(D90,RUC!$B$3:$B$110,RUC!$F$3:$F$110)</f>
        <v>120</v>
      </c>
      <c r="V90" s="67">
        <v>1.1023</v>
      </c>
      <c r="Y90" s="199">
        <v>30.0</v>
      </c>
      <c r="Z90" s="69">
        <f t="array" ref="Z90">XLOOKUP(D90,RUC!$B$3:$B$110,RUC!$H$3:$H$110)</f>
        <v>30</v>
      </c>
      <c r="AA90" s="70">
        <f t="shared" si="6"/>
        <v>60</v>
      </c>
      <c r="AB90" s="71">
        <f t="shared" si="23"/>
        <v>1278.479617</v>
      </c>
      <c r="AC90" s="71">
        <f>+(S90-T90)*V90-'data 1'!$F$4</f>
        <v>52.276</v>
      </c>
      <c r="AD90" s="71">
        <f t="shared" si="7"/>
        <v>114.4339313</v>
      </c>
      <c r="AE90" s="71">
        <f t="shared" si="8"/>
        <v>-3.862</v>
      </c>
      <c r="AF90" s="71">
        <f t="shared" si="9"/>
        <v>-39.36357061</v>
      </c>
      <c r="AG90" s="72">
        <f t="shared" ref="AG90:AG99" si="43">AC90+AD90+AE90+AF90+70-53</f>
        <v>140.4843607</v>
      </c>
      <c r="AH90" s="193">
        <f t="shared" si="11"/>
        <v>12.757</v>
      </c>
      <c r="AI90" s="193">
        <f t="shared" si="12"/>
        <v>13.131</v>
      </c>
      <c r="AJ90" s="73">
        <f t="shared" si="13"/>
        <v>103.2964432</v>
      </c>
      <c r="AK90" s="73">
        <f t="shared" si="14"/>
        <v>12.11711442</v>
      </c>
      <c r="AM90" s="51">
        <f t="shared" si="15"/>
        <v>1549.517296</v>
      </c>
      <c r="AN90" s="51" t="str">
        <f t="array" ref="AN90">XLOOKUP(D90,RUC!$B$3:$B$565,RUC!$M$3:$M$565)</f>
        <v>Richard Sapacayo</v>
      </c>
      <c r="AO90" s="131" t="s">
        <v>551</v>
      </c>
      <c r="AP90" s="57" t="s">
        <v>2712</v>
      </c>
      <c r="AQ90" s="57" t="s">
        <v>3193</v>
      </c>
    </row>
    <row r="91" ht="15.0" customHeight="1">
      <c r="A91" s="116" t="s">
        <v>3194</v>
      </c>
      <c r="B91" s="182">
        <v>46063.0</v>
      </c>
      <c r="C91" s="182">
        <v>46055.0</v>
      </c>
      <c r="D91" s="57" t="s">
        <v>225</v>
      </c>
      <c r="E91" s="3">
        <f t="array" ref="E91">XLOOKUP(D91,RUC!$B$3:$B$110,RUC!$D$3:$D$110)</f>
        <v>10761932735</v>
      </c>
      <c r="G91" s="3">
        <v>75.0</v>
      </c>
      <c r="H91" s="3" t="s">
        <v>47</v>
      </c>
      <c r="I91" s="6">
        <v>6.39</v>
      </c>
      <c r="J91" s="58">
        <v>19.75</v>
      </c>
      <c r="K91" s="6">
        <f t="shared" si="2"/>
        <v>5.128</v>
      </c>
      <c r="L91" s="139">
        <v>1.016</v>
      </c>
      <c r="M91" s="60">
        <f t="shared" si="3"/>
        <v>0.955</v>
      </c>
      <c r="N91" s="75">
        <v>1.079</v>
      </c>
      <c r="O91" s="60">
        <f t="shared" si="5"/>
        <v>1.017</v>
      </c>
      <c r="P91" s="63">
        <v>90.0</v>
      </c>
      <c r="Q91" s="58">
        <v>95.57</v>
      </c>
      <c r="R91" s="65">
        <v>4714.75</v>
      </c>
      <c r="S91" s="66">
        <f t="array" ref="S91">IF((XLOOKUP(D91,RUC!$B$3:$B$106,RUC!$E$3:$E$106)+ROUNDDOWN(O91,1)*100)&lt;95,95,((XLOOKUP(D91,RUC!$B$3:$B$106,RUC!$E$3:$E$106)+ROUNDDOWN(O91,1)*100)))</f>
        <v>190</v>
      </c>
      <c r="U91" s="67">
        <f t="array" ref="U91">XLOOKUP(D91,RUC!$B$3:$B$110,RUC!$F$3:$F$110)</f>
        <v>120</v>
      </c>
      <c r="V91" s="67">
        <v>1.1023</v>
      </c>
      <c r="Y91" s="57">
        <f t="array" ref="Y91">XLOOKUP(D91,RUC!$B$3:$B$110,RUC!$G$3:$G$110)</f>
        <v>20</v>
      </c>
      <c r="Z91" s="69">
        <f t="array" ref="Z91">XLOOKUP(D91,RUC!$B$3:$B$110,RUC!$H$3:$H$110)</f>
        <v>30</v>
      </c>
      <c r="AA91" s="70">
        <f t="shared" si="6"/>
        <v>50</v>
      </c>
      <c r="AB91" s="71">
        <f t="shared" si="23"/>
        <v>4371.252964</v>
      </c>
      <c r="AC91" s="71">
        <f>+(S91-T91)*V91-'data 1'!$F$4</f>
        <v>129.437</v>
      </c>
      <c r="AD91" s="71">
        <f t="shared" si="7"/>
        <v>286.6227094</v>
      </c>
      <c r="AE91" s="71">
        <f t="shared" si="8"/>
        <v>-14.885</v>
      </c>
      <c r="AF91" s="71">
        <f t="shared" si="9"/>
        <v>-4.840422598</v>
      </c>
      <c r="AG91" s="72">
        <f t="shared" si="43"/>
        <v>413.3342868</v>
      </c>
      <c r="AH91" s="193">
        <f t="shared" si="11"/>
        <v>170.715</v>
      </c>
      <c r="AI91" s="193">
        <f t="shared" si="12"/>
        <v>178.629</v>
      </c>
      <c r="AJ91" s="73">
        <f t="shared" si="13"/>
        <v>326.7162788</v>
      </c>
      <c r="AK91" s="73">
        <f t="shared" si="14"/>
        <v>160.9238996</v>
      </c>
      <c r="AM91" s="51">
        <f t="shared" si="15"/>
        <v>22415.7852</v>
      </c>
      <c r="AN91" s="51" t="str">
        <f t="array" ref="AN91">XLOOKUP(D91,RUC!$B$3:$B$565,RUC!$M$3:$M$565)</f>
        <v>Richard Sapacayo</v>
      </c>
      <c r="AO91" s="131" t="s">
        <v>558</v>
      </c>
      <c r="AP91" s="57" t="s">
        <v>2712</v>
      </c>
      <c r="AQ91" s="57" t="s">
        <v>3193</v>
      </c>
    </row>
    <row r="92" ht="15.0" customHeight="1">
      <c r="A92" s="116" t="s">
        <v>3195</v>
      </c>
      <c r="B92" s="182">
        <v>46063.0</v>
      </c>
      <c r="C92" s="182">
        <v>46055.0</v>
      </c>
      <c r="D92" s="57" t="s">
        <v>225</v>
      </c>
      <c r="E92" s="3">
        <f t="array" ref="E92">XLOOKUP(D92,RUC!$B$3:$B$110,RUC!$D$3:$D$110)</f>
        <v>10761932735</v>
      </c>
      <c r="G92" s="3">
        <v>28.0</v>
      </c>
      <c r="H92" s="3" t="s">
        <v>47</v>
      </c>
      <c r="I92" s="6">
        <v>2.21</v>
      </c>
      <c r="J92" s="58">
        <v>20.1</v>
      </c>
      <c r="K92" s="6">
        <f t="shared" si="2"/>
        <v>1.766</v>
      </c>
      <c r="L92" s="139">
        <v>0.422</v>
      </c>
      <c r="M92" s="60">
        <f t="shared" si="3"/>
        <v>0.397</v>
      </c>
      <c r="N92" s="62">
        <f t="shared" ref="N92:N106" si="44">+M92</f>
        <v>0.397</v>
      </c>
      <c r="O92" s="60">
        <f t="shared" si="5"/>
        <v>0.397</v>
      </c>
      <c r="P92" s="63">
        <v>90.0</v>
      </c>
      <c r="Q92" s="58">
        <v>96.45</v>
      </c>
      <c r="R92" s="65">
        <v>4714.75</v>
      </c>
      <c r="S92" s="66">
        <f t="array" ref="S92">IF((XLOOKUP(D92,RUC!$B$3:$B$106,RUC!$E$3:$E$106)+ROUNDDOWN(O92,1)*100)&lt;95,95,((XLOOKUP(D92,RUC!$B$3:$B$106,RUC!$E$3:$E$106)+ROUNDDOWN(O92,1)*100)))</f>
        <v>120</v>
      </c>
      <c r="U92" s="67">
        <f t="array" ref="U92">XLOOKUP(D92,RUC!$B$3:$B$110,RUC!$F$3:$F$110)</f>
        <v>120</v>
      </c>
      <c r="V92" s="67">
        <v>1.1023</v>
      </c>
      <c r="Y92" s="57">
        <f t="array" ref="Y92">XLOOKUP(D92,RUC!$B$3:$B$110,RUC!$G$3:$G$110)</f>
        <v>20</v>
      </c>
      <c r="Z92" s="69">
        <f t="array" ref="Z92">XLOOKUP(D92,RUC!$B$3:$B$110,RUC!$H$3:$H$110)</f>
        <v>30</v>
      </c>
      <c r="AA92" s="70">
        <f t="shared" si="6"/>
        <v>50</v>
      </c>
      <c r="AB92" s="71">
        <f t="shared" si="23"/>
        <v>1622.259512</v>
      </c>
      <c r="AC92" s="71">
        <f>+(S92-T92)*V92-'data 1'!$F$4</f>
        <v>52.276</v>
      </c>
      <c r="AD92" s="71">
        <f t="shared" si="7"/>
        <v>137.8585986</v>
      </c>
      <c r="AE92" s="71">
        <f t="shared" si="8"/>
        <v>-14.885</v>
      </c>
      <c r="AF92" s="71">
        <f t="shared" si="9"/>
        <v>122.1248194</v>
      </c>
      <c r="AG92" s="72">
        <f t="shared" si="43"/>
        <v>314.374418</v>
      </c>
      <c r="AH92" s="193">
        <f t="shared" si="11"/>
        <v>24.644</v>
      </c>
      <c r="AI92" s="193">
        <f t="shared" si="12"/>
        <v>25.551</v>
      </c>
      <c r="AJ92" s="73">
        <f t="shared" si="13"/>
        <v>136.9525626</v>
      </c>
      <c r="AK92" s="73">
        <f t="shared" si="14"/>
        <v>21.63379872</v>
      </c>
      <c r="AM92" s="51">
        <f t="shared" si="15"/>
        <v>2864.910298</v>
      </c>
      <c r="AN92" s="51" t="str">
        <f t="array" ref="AN92">XLOOKUP(D92,RUC!$B$3:$B$565,RUC!$M$3:$M$565)</f>
        <v>Richard Sapacayo</v>
      </c>
      <c r="AO92" s="131" t="s">
        <v>551</v>
      </c>
      <c r="AP92" s="57" t="s">
        <v>2712</v>
      </c>
      <c r="AQ92" s="57" t="s">
        <v>3193</v>
      </c>
    </row>
    <row r="93" ht="15.0" customHeight="1">
      <c r="A93" s="116" t="s">
        <v>3196</v>
      </c>
      <c r="B93" s="182">
        <v>46063.0</v>
      </c>
      <c r="C93" s="182">
        <v>46055.0</v>
      </c>
      <c r="D93" s="57" t="s">
        <v>225</v>
      </c>
      <c r="E93" s="3">
        <f t="array" ref="E93">XLOOKUP(D93,RUC!$B$3:$B$110,RUC!$D$3:$D$110)</f>
        <v>10761932735</v>
      </c>
      <c r="G93" s="3">
        <v>102.0</v>
      </c>
      <c r="H93" s="3" t="s">
        <v>47</v>
      </c>
      <c r="I93" s="6">
        <v>7.99</v>
      </c>
      <c r="J93" s="58">
        <v>18.78</v>
      </c>
      <c r="K93" s="6">
        <f t="shared" si="2"/>
        <v>6.489</v>
      </c>
      <c r="L93" s="139">
        <v>0.18</v>
      </c>
      <c r="M93" s="60">
        <f t="shared" si="3"/>
        <v>0.161</v>
      </c>
      <c r="N93" s="62">
        <f t="shared" si="44"/>
        <v>0.161</v>
      </c>
      <c r="O93" s="60">
        <f t="shared" si="5"/>
        <v>0.161</v>
      </c>
      <c r="P93" s="63">
        <v>90.0</v>
      </c>
      <c r="Q93" s="58">
        <v>91.67</v>
      </c>
      <c r="R93" s="65">
        <v>4714.75</v>
      </c>
      <c r="S93" s="66">
        <f t="array" ref="S93">IF((XLOOKUP(D93,RUC!$B$3:$B$106,RUC!$E$3:$E$106)+ROUNDDOWN(O93,1)*100)&lt;95,95,((XLOOKUP(D93,RUC!$B$3:$B$106,RUC!$E$3:$E$106)+ROUNDDOWN(O93,1)*100)))</f>
        <v>100</v>
      </c>
      <c r="U93" s="67">
        <f t="array" ref="U93">XLOOKUP(D93,RUC!$B$3:$B$110,RUC!$F$3:$F$110)</f>
        <v>120</v>
      </c>
      <c r="V93" s="67">
        <v>1.1023</v>
      </c>
      <c r="Y93" s="57">
        <f t="array" ref="Y93">XLOOKUP(D93,RUC!$B$3:$B$110,RUC!$G$3:$G$110)</f>
        <v>20</v>
      </c>
      <c r="Z93" s="69">
        <f t="array" ref="Z93">XLOOKUP(D93,RUC!$B$3:$B$110,RUC!$H$3:$H$110)</f>
        <v>30</v>
      </c>
      <c r="AA93" s="70">
        <f t="shared" si="6"/>
        <v>50</v>
      </c>
      <c r="AB93" s="71">
        <f t="shared" si="23"/>
        <v>568.5434948</v>
      </c>
      <c r="AC93" s="71">
        <f>+(S93-T93)*V93-'data 1'!$F$4</f>
        <v>30.23</v>
      </c>
      <c r="AD93" s="71">
        <f t="shared" si="7"/>
        <v>15.22476753</v>
      </c>
      <c r="AE93" s="71">
        <f t="shared" si="8"/>
        <v>-14.885</v>
      </c>
      <c r="AF93" s="71">
        <f t="shared" si="9"/>
        <v>88.21501781</v>
      </c>
      <c r="AG93" s="72">
        <f t="shared" si="43"/>
        <v>135.7847853</v>
      </c>
      <c r="AH93" s="193">
        <f t="shared" si="11"/>
        <v>36.71</v>
      </c>
      <c r="AI93" s="193">
        <f t="shared" si="12"/>
        <v>40.046</v>
      </c>
      <c r="AJ93" s="73">
        <f t="shared" si="13"/>
        <v>55.52073624</v>
      </c>
      <c r="AK93" s="73">
        <f t="shared" si="14"/>
        <v>32.23704525</v>
      </c>
      <c r="AM93" s="51">
        <f t="shared" si="15"/>
        <v>3689.278738</v>
      </c>
      <c r="AN93" s="51" t="str">
        <f t="array" ref="AN93">XLOOKUP(D93,RUC!$B$3:$B$565,RUC!$M$3:$M$565)</f>
        <v>Richard Sapacayo</v>
      </c>
      <c r="AO93" s="131" t="s">
        <v>547</v>
      </c>
      <c r="AP93" s="57" t="s">
        <v>2712</v>
      </c>
      <c r="AQ93" s="57" t="s">
        <v>3193</v>
      </c>
    </row>
    <row r="94" ht="15.0" customHeight="1">
      <c r="A94" s="116" t="s">
        <v>3197</v>
      </c>
      <c r="B94" s="182">
        <v>46070.0</v>
      </c>
      <c r="C94" s="182">
        <v>46056.0</v>
      </c>
      <c r="D94" s="57" t="s">
        <v>665</v>
      </c>
      <c r="E94" s="3">
        <f t="array" ref="E94">XLOOKUP(D94,RUC!$B$3:$B$110,RUC!$D$3:$D$110)</f>
        <v>20608774000</v>
      </c>
      <c r="G94" s="3">
        <v>60.0</v>
      </c>
      <c r="H94" s="3" t="s">
        <v>47</v>
      </c>
      <c r="I94" s="6">
        <v>4.92</v>
      </c>
      <c r="J94" s="58">
        <v>1.3</v>
      </c>
      <c r="K94" s="6">
        <f t="shared" si="2"/>
        <v>4.856</v>
      </c>
      <c r="L94" s="139">
        <v>0.162</v>
      </c>
      <c r="M94" s="60">
        <f t="shared" si="3"/>
        <v>0.143</v>
      </c>
      <c r="N94" s="62">
        <f t="shared" si="44"/>
        <v>0.143</v>
      </c>
      <c r="O94" s="60">
        <f t="shared" si="5"/>
        <v>0.143</v>
      </c>
      <c r="P94" s="63">
        <v>80.0</v>
      </c>
      <c r="Q94" s="58">
        <v>89.94</v>
      </c>
      <c r="R94" s="65">
        <v>4920.95</v>
      </c>
      <c r="S94" s="66">
        <f t="array" ref="S94">IF((XLOOKUP(D94,RUC!$B$3:$B$106,RUC!$E$3:$E$106)+ROUNDDOWN(O94,1)*100)&lt;95,95,((XLOOKUP(D94,RUC!$B$3:$B$106,RUC!$E$3:$E$106)+ROUNDDOWN(O94,1)*100)))</f>
        <v>95</v>
      </c>
      <c r="U94" s="67">
        <f t="array" ref="U94">XLOOKUP(D94,RUC!$B$3:$B$110,RUC!$F$3:$F$110)</f>
        <v>120</v>
      </c>
      <c r="V94" s="67">
        <v>1.1023</v>
      </c>
      <c r="Y94" s="199">
        <v>25.0</v>
      </c>
      <c r="Z94" s="140">
        <v>35.0</v>
      </c>
      <c r="AA94" s="70">
        <f t="shared" si="6"/>
        <v>60</v>
      </c>
      <c r="AB94" s="71">
        <f t="shared" si="23"/>
        <v>434.558274</v>
      </c>
      <c r="AC94" s="71">
        <f>+(S94-T94)*V94-'data 1'!$F$4</f>
        <v>24.7185</v>
      </c>
      <c r="AD94" s="71">
        <f t="shared" si="7"/>
        <v>85.21742152</v>
      </c>
      <c r="AE94" s="71">
        <f t="shared" si="8"/>
        <v>-3.862</v>
      </c>
      <c r="AF94" s="71">
        <f t="shared" si="9"/>
        <v>90.43436107</v>
      </c>
      <c r="AG94" s="72">
        <f t="shared" si="43"/>
        <v>213.5082826</v>
      </c>
      <c r="AH94" s="193">
        <f t="shared" si="11"/>
        <v>24.258</v>
      </c>
      <c r="AI94" s="193">
        <f t="shared" si="12"/>
        <v>26.971</v>
      </c>
      <c r="AJ94" s="73">
        <f t="shared" si="13"/>
        <v>15.90824186</v>
      </c>
      <c r="AK94" s="73">
        <f t="shared" si="14"/>
        <v>19.0464382</v>
      </c>
      <c r="AM94" s="51">
        <f t="shared" si="15"/>
        <v>2110.214978</v>
      </c>
      <c r="AN94" s="51" t="str">
        <f t="array" ref="AN94">XLOOKUP(D94,RUC!$B$3:$B$565,RUC!$M$3:$M$565)</f>
        <v>Ronald Miranda</v>
      </c>
      <c r="AO94" s="131" t="s">
        <v>547</v>
      </c>
      <c r="AP94" s="57" t="s">
        <v>3198</v>
      </c>
      <c r="AQ94" s="57" t="s">
        <v>3199</v>
      </c>
    </row>
    <row r="95" ht="15.0" customHeight="1">
      <c r="A95" s="116" t="s">
        <v>3200</v>
      </c>
      <c r="B95" s="182">
        <v>46070.0</v>
      </c>
      <c r="C95" s="182">
        <v>46056.0</v>
      </c>
      <c r="D95" s="57" t="s">
        <v>665</v>
      </c>
      <c r="E95" s="3">
        <f t="array" ref="E95">XLOOKUP(D95,RUC!$B$3:$B$110,RUC!$D$3:$D$110)</f>
        <v>20608774000</v>
      </c>
      <c r="G95" s="3">
        <v>60.0</v>
      </c>
      <c r="H95" s="3" t="s">
        <v>47</v>
      </c>
      <c r="I95" s="6">
        <v>4.85</v>
      </c>
      <c r="J95" s="58">
        <v>1.2</v>
      </c>
      <c r="K95" s="6">
        <f t="shared" si="2"/>
        <v>4.792</v>
      </c>
      <c r="L95" s="139">
        <v>0.202</v>
      </c>
      <c r="M95" s="60">
        <v>0.185</v>
      </c>
      <c r="N95" s="62">
        <f t="shared" si="44"/>
        <v>0.185</v>
      </c>
      <c r="O95" s="60">
        <f t="shared" si="5"/>
        <v>0.185</v>
      </c>
      <c r="P95" s="63">
        <v>85.0</v>
      </c>
      <c r="Q95" s="58">
        <v>87.25</v>
      </c>
      <c r="R95" s="65">
        <v>4920.95</v>
      </c>
      <c r="S95" s="66">
        <f t="array" ref="S95">IF((XLOOKUP(D95,RUC!$B$3:$B$106,RUC!$E$3:$E$106)+ROUNDDOWN(O95,1)*100)&lt;95,95,((XLOOKUP(D95,RUC!$B$3:$B$106,RUC!$E$3:$E$106)+ROUNDDOWN(O95,1)*100)))</f>
        <v>95</v>
      </c>
      <c r="U95" s="67">
        <f t="array" ref="U95">XLOOKUP(D95,RUC!$B$3:$B$110,RUC!$F$3:$F$110)</f>
        <v>120</v>
      </c>
      <c r="V95" s="67">
        <v>1.1023</v>
      </c>
      <c r="Y95" s="199">
        <v>25.0</v>
      </c>
      <c r="Z95" s="140">
        <v>35.0</v>
      </c>
      <c r="AA95" s="70">
        <f t="shared" si="6"/>
        <v>60</v>
      </c>
      <c r="AB95" s="71">
        <f t="shared" si="23"/>
        <v>661.3242098</v>
      </c>
      <c r="AC95" s="71">
        <f>+(S95-T95)*V95-'data 1'!$F$4</f>
        <v>24.7185</v>
      </c>
      <c r="AD95" s="71">
        <f t="shared" si="7"/>
        <v>24.05253626</v>
      </c>
      <c r="AE95" s="71">
        <f t="shared" si="8"/>
        <v>-3.862</v>
      </c>
      <c r="AF95" s="71">
        <f t="shared" si="9"/>
        <v>78.49488317</v>
      </c>
      <c r="AG95" s="72">
        <f t="shared" si="43"/>
        <v>140.4039194</v>
      </c>
      <c r="AH95" s="193">
        <f t="shared" si="11"/>
        <v>28.956</v>
      </c>
      <c r="AI95" s="193">
        <f t="shared" si="12"/>
        <v>33.188</v>
      </c>
      <c r="AJ95" s="73">
        <f t="shared" si="13"/>
        <v>19.24292523</v>
      </c>
      <c r="AK95" s="73">
        <f t="shared" si="14"/>
        <v>25.83547988</v>
      </c>
      <c r="AM95" s="51">
        <f t="shared" si="15"/>
        <v>3169.065614</v>
      </c>
      <c r="AN95" s="51" t="str">
        <f t="array" ref="AN95">XLOOKUP(D95,RUC!$B$3:$B$565,RUC!$M$3:$M$565)</f>
        <v>Ronald Miranda</v>
      </c>
      <c r="AO95" s="131" t="s">
        <v>547</v>
      </c>
      <c r="AP95" s="57" t="s">
        <v>3198</v>
      </c>
      <c r="AQ95" s="57" t="s">
        <v>3199</v>
      </c>
    </row>
    <row r="96" ht="15.0" customHeight="1">
      <c r="A96" s="116" t="s">
        <v>3201</v>
      </c>
      <c r="B96" s="182">
        <v>46070.0</v>
      </c>
      <c r="C96" s="182">
        <v>46056.0</v>
      </c>
      <c r="D96" s="57" t="s">
        <v>665</v>
      </c>
      <c r="E96" s="3">
        <f t="array" ref="E96">XLOOKUP(D96,RUC!$B$3:$B$110,RUC!$D$3:$D$110)</f>
        <v>20608774000</v>
      </c>
      <c r="G96" s="3">
        <v>60.0</v>
      </c>
      <c r="H96" s="3" t="s">
        <v>47</v>
      </c>
      <c r="I96" s="6">
        <v>4.69</v>
      </c>
      <c r="J96" s="58">
        <v>1.2</v>
      </c>
      <c r="K96" s="6">
        <f t="shared" si="2"/>
        <v>4.634</v>
      </c>
      <c r="L96" s="139">
        <v>0.185</v>
      </c>
      <c r="M96" s="60">
        <f t="shared" ref="M96:M128" si="45">ROUND(+IF(AN96="Melchor Vera",IF(L96&gt;0.467,L96*0.985,(L96-0.007)),IF(L96&gt;0.3,L96*0.94,(L96-0.019))),3)</f>
        <v>0.166</v>
      </c>
      <c r="N96" s="62">
        <f t="shared" si="44"/>
        <v>0.166</v>
      </c>
      <c r="O96" s="60">
        <f t="shared" si="5"/>
        <v>0.166</v>
      </c>
      <c r="P96" s="63">
        <v>85.0</v>
      </c>
      <c r="Q96" s="58">
        <v>89.44</v>
      </c>
      <c r="R96" s="65">
        <v>4920.95</v>
      </c>
      <c r="S96" s="66">
        <f t="array" ref="S96">IF((XLOOKUP(D96,RUC!$B$3:$B$106,RUC!$E$3:$E$106)+ROUNDDOWN(O96,1)*100)&lt;95,95,((XLOOKUP(D96,RUC!$B$3:$B$106,RUC!$E$3:$E$106)+ROUNDDOWN(O96,1)*100)))</f>
        <v>95</v>
      </c>
      <c r="U96" s="67">
        <f t="array" ref="U96">XLOOKUP(D96,RUC!$B$3:$B$110,RUC!$F$3:$F$110)</f>
        <v>120</v>
      </c>
      <c r="V96" s="67">
        <v>1.1023</v>
      </c>
      <c r="Y96" s="199">
        <v>25.0</v>
      </c>
      <c r="Z96" s="140">
        <v>35.0</v>
      </c>
      <c r="AA96" s="70">
        <f t="shared" si="6"/>
        <v>60</v>
      </c>
      <c r="AB96" s="71">
        <f t="shared" si="23"/>
        <v>575.8570018</v>
      </c>
      <c r="AC96" s="71">
        <f>+(S96-T96)*V96-'data 1'!$F$4</f>
        <v>24.7185</v>
      </c>
      <c r="AD96" s="71">
        <f t="shared" si="7"/>
        <v>43.46920414</v>
      </c>
      <c r="AE96" s="71">
        <f t="shared" si="8"/>
        <v>-3.862</v>
      </c>
      <c r="AF96" s="71">
        <f t="shared" si="9"/>
        <v>89.93161279</v>
      </c>
      <c r="AG96" s="72">
        <f t="shared" si="43"/>
        <v>171.2573169</v>
      </c>
      <c r="AH96" s="193">
        <f t="shared" si="11"/>
        <v>26.289</v>
      </c>
      <c r="AI96" s="193">
        <f t="shared" si="12"/>
        <v>29.393</v>
      </c>
      <c r="AJ96" s="73">
        <f t="shared" si="13"/>
        <v>18.0658253</v>
      </c>
      <c r="AK96" s="73">
        <f t="shared" si="14"/>
        <v>22.41775469</v>
      </c>
      <c r="AM96" s="51">
        <f t="shared" si="15"/>
        <v>2668.521346</v>
      </c>
      <c r="AN96" s="51" t="str">
        <f t="array" ref="AN96">XLOOKUP(D96,RUC!$B$3:$B$565,RUC!$M$3:$M$565)</f>
        <v>Ronald Miranda</v>
      </c>
      <c r="AO96" s="131" t="s">
        <v>547</v>
      </c>
      <c r="AP96" s="57" t="s">
        <v>3198</v>
      </c>
      <c r="AQ96" s="57" t="s">
        <v>3199</v>
      </c>
    </row>
    <row r="97" ht="15.0" customHeight="1">
      <c r="A97" s="116" t="s">
        <v>3202</v>
      </c>
      <c r="B97" s="182">
        <v>46070.0</v>
      </c>
      <c r="C97" s="182">
        <v>46056.0</v>
      </c>
      <c r="D97" s="57" t="s">
        <v>665</v>
      </c>
      <c r="E97" s="3">
        <f t="array" ref="E97">XLOOKUP(D97,RUC!$B$3:$B$110,RUC!$D$3:$D$110)</f>
        <v>20608774000</v>
      </c>
      <c r="G97" s="3">
        <v>60.0</v>
      </c>
      <c r="H97" s="3" t="s">
        <v>47</v>
      </c>
      <c r="I97" s="6">
        <v>4.93</v>
      </c>
      <c r="J97" s="58">
        <v>1.2</v>
      </c>
      <c r="K97" s="6">
        <f t="shared" si="2"/>
        <v>4.871</v>
      </c>
      <c r="L97" s="139">
        <v>0.301</v>
      </c>
      <c r="M97" s="60">
        <f t="shared" si="45"/>
        <v>0.283</v>
      </c>
      <c r="N97" s="62">
        <f t="shared" si="44"/>
        <v>0.283</v>
      </c>
      <c r="O97" s="60">
        <f t="shared" si="5"/>
        <v>0.283</v>
      </c>
      <c r="P97" s="63">
        <v>87.0</v>
      </c>
      <c r="Q97" s="58">
        <v>87.38</v>
      </c>
      <c r="R97" s="65">
        <v>4920.95</v>
      </c>
      <c r="S97" s="66">
        <f t="array" ref="S97">IF((XLOOKUP(D97,RUC!$B$3:$B$106,RUC!$E$3:$E$106)+ROUNDDOWN(O97,1)*100)&lt;95,95,((XLOOKUP(D97,RUC!$B$3:$B$106,RUC!$E$3:$E$106)+ROUNDDOWN(O97,1)*100)))</f>
        <v>105</v>
      </c>
      <c r="U97" s="67">
        <f t="array" ref="U97">XLOOKUP(D97,RUC!$B$3:$B$110,RUC!$F$3:$F$110)</f>
        <v>120</v>
      </c>
      <c r="V97" s="67">
        <v>1.1023</v>
      </c>
      <c r="Y97" s="199">
        <v>25.0</v>
      </c>
      <c r="Z97" s="140">
        <v>35.0</v>
      </c>
      <c r="AA97" s="70">
        <f t="shared" si="6"/>
        <v>60</v>
      </c>
      <c r="AB97" s="71">
        <f t="shared" si="23"/>
        <v>1121.085286</v>
      </c>
      <c r="AC97" s="71">
        <f>+(S97-T97)*V97-'data 1'!$F$4</f>
        <v>35.7415</v>
      </c>
      <c r="AD97" s="71">
        <f t="shared" si="7"/>
        <v>6.053089322</v>
      </c>
      <c r="AE97" s="71">
        <f t="shared" si="8"/>
        <v>-3.862</v>
      </c>
      <c r="AF97" s="71">
        <f t="shared" si="9"/>
        <v>83.23606408</v>
      </c>
      <c r="AG97" s="72">
        <f t="shared" si="43"/>
        <v>138.1686534</v>
      </c>
      <c r="AH97" s="193">
        <f t="shared" si="11"/>
        <v>43.924</v>
      </c>
      <c r="AI97" s="193">
        <f t="shared" si="12"/>
        <v>50.268</v>
      </c>
      <c r="AJ97" s="73">
        <f t="shared" si="13"/>
        <v>28.71658707</v>
      </c>
      <c r="AK97" s="73">
        <f t="shared" si="14"/>
        <v>41.11808566</v>
      </c>
      <c r="AM97" s="51">
        <f t="shared" si="15"/>
        <v>5460.806427</v>
      </c>
      <c r="AN97" s="51" t="str">
        <f t="array" ref="AN97">XLOOKUP(D97,RUC!$B$3:$B$565,RUC!$M$3:$M$565)</f>
        <v>Ronald Miranda</v>
      </c>
      <c r="AO97" s="131" t="s">
        <v>547</v>
      </c>
      <c r="AP97" s="57" t="s">
        <v>3198</v>
      </c>
      <c r="AQ97" s="57" t="s">
        <v>3199</v>
      </c>
    </row>
    <row r="98" ht="15.0" customHeight="1">
      <c r="A98" s="116" t="s">
        <v>3203</v>
      </c>
      <c r="B98" s="182">
        <v>46070.0</v>
      </c>
      <c r="C98" s="182">
        <v>46056.0</v>
      </c>
      <c r="D98" s="57" t="s">
        <v>665</v>
      </c>
      <c r="E98" s="3">
        <f t="array" ref="E98">XLOOKUP(D98,RUC!$B$3:$B$110,RUC!$D$3:$D$110)</f>
        <v>20608774000</v>
      </c>
      <c r="G98" s="3">
        <v>60.0</v>
      </c>
      <c r="H98" s="3" t="s">
        <v>47</v>
      </c>
      <c r="I98" s="6">
        <v>4.66</v>
      </c>
      <c r="J98" s="58">
        <v>1.3</v>
      </c>
      <c r="K98" s="6">
        <f t="shared" si="2"/>
        <v>4.599</v>
      </c>
      <c r="L98" s="139">
        <v>0.579</v>
      </c>
      <c r="M98" s="60">
        <f t="shared" si="45"/>
        <v>0.544</v>
      </c>
      <c r="N98" s="62">
        <f t="shared" si="44"/>
        <v>0.544</v>
      </c>
      <c r="O98" s="60">
        <f t="shared" si="5"/>
        <v>0.544</v>
      </c>
      <c r="P98" s="63">
        <v>90.0</v>
      </c>
      <c r="Q98" s="58">
        <v>92.92</v>
      </c>
      <c r="R98" s="65">
        <v>4920.95</v>
      </c>
      <c r="S98" s="66">
        <f t="array" ref="S98">IF((XLOOKUP(D98,RUC!$B$3:$B$106,RUC!$E$3:$E$106)+ROUNDDOWN(O98,1)*100)&lt;95,95,((XLOOKUP(D98,RUC!$B$3:$B$106,RUC!$E$3:$E$106)+ROUNDDOWN(O98,1)*100)))</f>
        <v>135</v>
      </c>
      <c r="U98" s="67">
        <f t="array" ref="U98">XLOOKUP(D98,RUC!$B$3:$B$110,RUC!$F$3:$F$110)</f>
        <v>120</v>
      </c>
      <c r="V98" s="67">
        <v>1.1023</v>
      </c>
      <c r="Y98" s="199">
        <v>25.0</v>
      </c>
      <c r="Z98" s="140">
        <v>35.0</v>
      </c>
      <c r="AA98" s="70">
        <f t="shared" si="6"/>
        <v>60</v>
      </c>
      <c r="AB98" s="71">
        <f t="shared" si="23"/>
        <v>2376.057386</v>
      </c>
      <c r="AC98" s="71">
        <f>+(S98-T98)*V98-'data 1'!$F$4</f>
        <v>68.8105</v>
      </c>
      <c r="AD98" s="71">
        <f t="shared" si="7"/>
        <v>89.47225962</v>
      </c>
      <c r="AE98" s="71">
        <f t="shared" si="8"/>
        <v>-3.862</v>
      </c>
      <c r="AF98" s="71">
        <f t="shared" si="9"/>
        <v>172.1092594</v>
      </c>
      <c r="AG98" s="72">
        <f t="shared" si="43"/>
        <v>343.530019</v>
      </c>
      <c r="AH98" s="193">
        <f t="shared" si="11"/>
        <v>84.832</v>
      </c>
      <c r="AI98" s="193">
        <f t="shared" si="12"/>
        <v>91.296</v>
      </c>
      <c r="AJ98" s="73">
        <f t="shared" si="13"/>
        <v>58.74109691</v>
      </c>
      <c r="AK98" s="73">
        <f t="shared" si="14"/>
        <v>77.19939342</v>
      </c>
      <c r="AM98" s="51">
        <f t="shared" si="15"/>
        <v>10927.48792</v>
      </c>
      <c r="AN98" s="51" t="str">
        <f t="array" ref="AN98">XLOOKUP(D98,RUC!$B$3:$B$565,RUC!$M$3:$M$565)</f>
        <v>Ronald Miranda</v>
      </c>
      <c r="AO98" s="131" t="s">
        <v>547</v>
      </c>
      <c r="AP98" s="57" t="s">
        <v>3198</v>
      </c>
      <c r="AQ98" s="57" t="s">
        <v>3199</v>
      </c>
    </row>
    <row r="99" ht="15.0" customHeight="1">
      <c r="A99" s="116" t="s">
        <v>3204</v>
      </c>
      <c r="B99" s="182">
        <v>46070.0</v>
      </c>
      <c r="C99" s="182">
        <v>46056.0</v>
      </c>
      <c r="D99" s="57" t="s">
        <v>665</v>
      </c>
      <c r="E99" s="3">
        <f t="array" ref="E99">XLOOKUP(D99,RUC!$B$3:$B$110,RUC!$D$3:$D$110)</f>
        <v>20608774000</v>
      </c>
      <c r="G99" s="3">
        <v>60.0</v>
      </c>
      <c r="H99" s="3" t="s">
        <v>47</v>
      </c>
      <c r="I99" s="6">
        <v>4.76</v>
      </c>
      <c r="J99" s="58">
        <v>1.25</v>
      </c>
      <c r="K99" s="6">
        <f t="shared" si="2"/>
        <v>4.701</v>
      </c>
      <c r="L99" s="139">
        <v>0.214</v>
      </c>
      <c r="M99" s="60">
        <f t="shared" si="45"/>
        <v>0.195</v>
      </c>
      <c r="N99" s="62">
        <f t="shared" si="44"/>
        <v>0.195</v>
      </c>
      <c r="O99" s="60">
        <f t="shared" si="5"/>
        <v>0.195</v>
      </c>
      <c r="P99" s="63">
        <v>85.0</v>
      </c>
      <c r="Q99" s="58">
        <v>88.67</v>
      </c>
      <c r="R99" s="65">
        <v>4920.95</v>
      </c>
      <c r="S99" s="66">
        <f t="array" ref="S99">IF((XLOOKUP(D99,RUC!$B$3:$B$106,RUC!$E$3:$E$106)+ROUNDDOWN(O99,1)*100)&lt;95,95,((XLOOKUP(D99,RUC!$B$3:$B$106,RUC!$E$3:$E$106)+ROUNDDOWN(O99,1)*100)))</f>
        <v>95</v>
      </c>
      <c r="U99" s="67">
        <f t="array" ref="U99">XLOOKUP(D99,RUC!$B$3:$B$110,RUC!$F$3:$F$110)</f>
        <v>120</v>
      </c>
      <c r="V99" s="67">
        <v>1.1023</v>
      </c>
      <c r="Y99" s="199">
        <v>25.0</v>
      </c>
      <c r="Z99" s="140">
        <v>35.0</v>
      </c>
      <c r="AA99" s="70">
        <f t="shared" si="6"/>
        <v>60</v>
      </c>
      <c r="AB99" s="71">
        <f t="shared" si="23"/>
        <v>706.3069509</v>
      </c>
      <c r="AC99" s="71">
        <f>+(S99-T99)*V99-'data 1'!$F$4</f>
        <v>24.7185</v>
      </c>
      <c r="AD99" s="71">
        <f t="shared" si="7"/>
        <v>41.56299433</v>
      </c>
      <c r="AE99" s="71">
        <f t="shared" si="8"/>
        <v>-3.862</v>
      </c>
      <c r="AF99" s="71">
        <f t="shared" si="9"/>
        <v>89.15738043</v>
      </c>
      <c r="AG99" s="72">
        <f t="shared" si="43"/>
        <v>168.5768748</v>
      </c>
      <c r="AH99" s="193">
        <f t="shared" si="11"/>
        <v>30.584</v>
      </c>
      <c r="AI99" s="193">
        <f t="shared" si="12"/>
        <v>34.492</v>
      </c>
      <c r="AJ99" s="73">
        <f t="shared" si="13"/>
        <v>20.71785404</v>
      </c>
      <c r="AK99" s="73">
        <f t="shared" si="14"/>
        <v>26.71485723</v>
      </c>
      <c r="AM99" s="51">
        <f t="shared" si="15"/>
        <v>3320.348976</v>
      </c>
      <c r="AN99" s="51" t="str">
        <f t="array" ref="AN99">XLOOKUP(D99,RUC!$B$3:$B$565,RUC!$M$3:$M$565)</f>
        <v>Ronald Miranda</v>
      </c>
      <c r="AO99" s="131" t="s">
        <v>547</v>
      </c>
      <c r="AP99" s="57" t="s">
        <v>3198</v>
      </c>
      <c r="AQ99" s="57" t="s">
        <v>3199</v>
      </c>
    </row>
    <row r="100" ht="15.0" customHeight="1">
      <c r="A100" s="116" t="s">
        <v>3205</v>
      </c>
      <c r="B100" s="182">
        <v>46063.0</v>
      </c>
      <c r="C100" s="182">
        <v>46057.0</v>
      </c>
      <c r="D100" s="57" t="s">
        <v>306</v>
      </c>
      <c r="E100" s="3">
        <f t="array" ref="E100">XLOOKUP(D100,RUC!$B$3:$B$110,RUC!$D$3:$D$110)</f>
        <v>20612921866</v>
      </c>
      <c r="G100" s="3">
        <v>50.0</v>
      </c>
      <c r="H100" s="3" t="s">
        <v>47</v>
      </c>
      <c r="I100" s="6">
        <v>5.38</v>
      </c>
      <c r="J100" s="58">
        <v>1.4</v>
      </c>
      <c r="K100" s="6">
        <f t="shared" si="2"/>
        <v>5.305</v>
      </c>
      <c r="L100" s="139">
        <v>0.191</v>
      </c>
      <c r="M100" s="60">
        <f t="shared" si="45"/>
        <v>0.172</v>
      </c>
      <c r="N100" s="62">
        <f t="shared" si="44"/>
        <v>0.172</v>
      </c>
      <c r="O100" s="60">
        <f t="shared" si="5"/>
        <v>0.172</v>
      </c>
      <c r="P100" s="63">
        <v>90.0</v>
      </c>
      <c r="Q100" s="58">
        <v>94.76</v>
      </c>
      <c r="R100" s="65">
        <v>4985.1</v>
      </c>
      <c r="S100" s="66">
        <f t="array" ref="S100">IF((XLOOKUP(D100,RUC!$B$3:$B$106,RUC!$E$3:$E$106)+ROUNDDOWN(O100,1)*100)&lt;95,95,((XLOOKUP(D100,RUC!$B$3:$B$106,RUC!$E$3:$E$106)+ROUNDDOWN(O100,1)*100)))</f>
        <v>95</v>
      </c>
      <c r="U100" s="67">
        <f t="array" ref="U100">XLOOKUP(D100,RUC!$B$3:$B$110,RUC!$F$3:$F$110)</f>
        <v>100</v>
      </c>
      <c r="V100" s="67">
        <v>1.1023</v>
      </c>
      <c r="Y100" s="57" t="str">
        <f t="array" ref="Y100">XLOOKUP(D100,RUC!$B$3:$B$110,RUC!$G$3:$G$110)</f>
        <v/>
      </c>
      <c r="Z100" s="69">
        <f t="array" ref="Z100">XLOOKUP(D100,RUC!$B$3:$B$110,RUC!$H$3:$H$110)</f>
        <v>30</v>
      </c>
      <c r="AA100" s="70">
        <f t="shared" si="6"/>
        <v>30</v>
      </c>
      <c r="AB100" s="71">
        <f t="shared" si="23"/>
        <v>695.786619</v>
      </c>
      <c r="AC100" s="71">
        <f>+(S100-T100)*V100-'data 1'!$F$4</f>
        <v>24.7185</v>
      </c>
      <c r="AD100" s="71">
        <f t="shared" si="7"/>
        <v>48.95686344</v>
      </c>
      <c r="AE100" s="71">
        <f t="shared" si="8"/>
        <v>-36.931</v>
      </c>
      <c r="AF100" s="71">
        <f t="shared" si="9"/>
        <v>96.95091646</v>
      </c>
      <c r="AG100" s="72">
        <f t="shared" ref="AG100:AG101" si="46">AC100+AD100+AE100+AF100+70-10</f>
        <v>193.6952799</v>
      </c>
      <c r="AH100" s="193">
        <f t="shared" si="11"/>
        <v>32.919</v>
      </c>
      <c r="AI100" s="193">
        <f t="shared" si="12"/>
        <v>34.74</v>
      </c>
      <c r="AJ100" s="73">
        <f t="shared" si="13"/>
        <v>2.972654906</v>
      </c>
      <c r="AK100" s="73">
        <f t="shared" si="14"/>
        <v>28.15564066</v>
      </c>
      <c r="AM100" s="51">
        <f t="shared" si="15"/>
        <v>3691.148014</v>
      </c>
      <c r="AN100" s="51" t="str">
        <f t="array" ref="AN100">XLOOKUP(D100,RUC!$B$3:$B$565,RUC!$M$3:$M$565)</f>
        <v>Ronald Garibay</v>
      </c>
      <c r="AO100" s="131" t="s">
        <v>551</v>
      </c>
      <c r="AP100" s="57" t="s">
        <v>3206</v>
      </c>
      <c r="AQ100" s="57" t="s">
        <v>3207</v>
      </c>
    </row>
    <row r="101" ht="15.0" customHeight="1">
      <c r="A101" s="116" t="s">
        <v>3208</v>
      </c>
      <c r="B101" s="182">
        <v>46063.0</v>
      </c>
      <c r="C101" s="182">
        <v>46057.0</v>
      </c>
      <c r="D101" s="57" t="s">
        <v>306</v>
      </c>
      <c r="E101" s="3">
        <f t="array" ref="E101">XLOOKUP(D101,RUC!$B$3:$B$110,RUC!$D$3:$D$110)</f>
        <v>20612921866</v>
      </c>
      <c r="G101" s="3">
        <v>50.0</v>
      </c>
      <c r="H101" s="3" t="s">
        <v>47</v>
      </c>
      <c r="I101" s="6">
        <v>5.02</v>
      </c>
      <c r="J101" s="58">
        <v>1.65</v>
      </c>
      <c r="K101" s="6">
        <f t="shared" si="2"/>
        <v>4.937</v>
      </c>
      <c r="L101" s="139">
        <v>0.153</v>
      </c>
      <c r="M101" s="60">
        <f t="shared" si="45"/>
        <v>0.134</v>
      </c>
      <c r="N101" s="62">
        <f t="shared" si="44"/>
        <v>0.134</v>
      </c>
      <c r="O101" s="60">
        <f t="shared" si="5"/>
        <v>0.134</v>
      </c>
      <c r="P101" s="63">
        <v>90.0</v>
      </c>
      <c r="Q101" s="58">
        <v>98.04</v>
      </c>
      <c r="R101" s="65">
        <v>4985.1</v>
      </c>
      <c r="S101" s="66">
        <f t="array" ref="S101">IF((XLOOKUP(D101,RUC!$B$3:$B$106,RUC!$E$3:$E$106)+ROUNDDOWN(O101,1)*100)&lt;95,95,((XLOOKUP(D101,RUC!$B$3:$B$106,RUC!$E$3:$E$106)+ROUNDDOWN(O101,1)*100)))</f>
        <v>95</v>
      </c>
      <c r="U101" s="67">
        <f t="array" ref="U101">XLOOKUP(D101,RUC!$B$3:$B$110,RUC!$F$3:$F$110)</f>
        <v>100</v>
      </c>
      <c r="V101" s="67">
        <v>1.1023</v>
      </c>
      <c r="Y101" s="57" t="str">
        <f t="array" ref="Y101">XLOOKUP(D101,RUC!$B$3:$B$110,RUC!$G$3:$G$110)</f>
        <v/>
      </c>
      <c r="Z101" s="69">
        <f t="array" ref="Z101">XLOOKUP(D101,RUC!$B$3:$B$110,RUC!$H$3:$H$110)</f>
        <v>30</v>
      </c>
      <c r="AA101" s="70">
        <f t="shared" si="6"/>
        <v>30</v>
      </c>
      <c r="AB101" s="71">
        <f t="shared" si="23"/>
        <v>511.624895</v>
      </c>
      <c r="AC101" s="71">
        <f>+(S101-T101)*V101-'data 1'!$F$4</f>
        <v>24.7185</v>
      </c>
      <c r="AD101" s="71">
        <f t="shared" si="7"/>
        <v>66.24006429</v>
      </c>
      <c r="AE101" s="71">
        <f t="shared" si="8"/>
        <v>-36.931</v>
      </c>
      <c r="AF101" s="71">
        <f t="shared" si="9"/>
        <v>100.3067523</v>
      </c>
      <c r="AG101" s="72">
        <f t="shared" si="46"/>
        <v>214.3343166</v>
      </c>
      <c r="AH101" s="193">
        <f t="shared" si="11"/>
        <v>25.39</v>
      </c>
      <c r="AI101" s="193">
        <f t="shared" si="12"/>
        <v>25.898</v>
      </c>
      <c r="AJ101" s="73">
        <f t="shared" si="13"/>
        <v>2.463660209</v>
      </c>
      <c r="AK101" s="73">
        <f t="shared" si="14"/>
        <v>20.41359547</v>
      </c>
      <c r="AM101" s="51">
        <f t="shared" si="15"/>
        <v>2525.892107</v>
      </c>
      <c r="AN101" s="51" t="str">
        <f t="array" ref="AN101">XLOOKUP(D101,RUC!$B$3:$B$565,RUC!$M$3:$M$565)</f>
        <v>Ronald Garibay</v>
      </c>
      <c r="AO101" s="131" t="s">
        <v>549</v>
      </c>
      <c r="AP101" s="57" t="s">
        <v>3206</v>
      </c>
      <c r="AQ101" s="57" t="s">
        <v>3207</v>
      </c>
    </row>
    <row r="102" ht="15.0" customHeight="1">
      <c r="A102" s="116" t="s">
        <v>3209</v>
      </c>
      <c r="B102" s="182">
        <v>46066.0</v>
      </c>
      <c r="C102" s="182">
        <v>46058.0</v>
      </c>
      <c r="D102" s="57" t="s">
        <v>602</v>
      </c>
      <c r="E102" s="3">
        <f t="array" ref="E102">XLOOKUP(D102,RUC!$B$3:$B$110,RUC!$D$3:$D$110)</f>
        <v>20169040231</v>
      </c>
      <c r="G102" s="3">
        <v>54.0</v>
      </c>
      <c r="H102" s="3" t="s">
        <v>47</v>
      </c>
      <c r="I102" s="6">
        <v>4.66</v>
      </c>
      <c r="J102" s="58">
        <v>2.05</v>
      </c>
      <c r="K102" s="6">
        <f t="shared" si="2"/>
        <v>4.564</v>
      </c>
      <c r="L102" s="139">
        <v>0.27</v>
      </c>
      <c r="M102" s="60">
        <f t="shared" si="45"/>
        <v>0.251</v>
      </c>
      <c r="N102" s="62">
        <f t="shared" si="44"/>
        <v>0.251</v>
      </c>
      <c r="O102" s="60">
        <f t="shared" si="5"/>
        <v>0.251</v>
      </c>
      <c r="P102" s="63">
        <v>85.0</v>
      </c>
      <c r="Q102" s="58">
        <v>85.56</v>
      </c>
      <c r="R102" s="65">
        <v>4847.25</v>
      </c>
      <c r="S102" s="66">
        <f t="array" ref="S102">IF((XLOOKUP(D102,RUC!$B$3:$B$106,RUC!$E$3:$E$106)+ROUNDDOWN(O102,1)*100)&lt;95,95,((XLOOKUP(D102,RUC!$B$3:$B$106,RUC!$E$3:$E$106)+ROUNDDOWN(O102,1)*100)))</f>
        <v>105</v>
      </c>
      <c r="U102" s="67">
        <f t="array" ref="U102">XLOOKUP(D102,RUC!$B$3:$B$110,RUC!$F$3:$F$110)</f>
        <v>120</v>
      </c>
      <c r="V102" s="67">
        <v>1.1023</v>
      </c>
      <c r="Y102" s="199">
        <v>25.0</v>
      </c>
      <c r="Z102" s="140">
        <v>35.0</v>
      </c>
      <c r="AA102" s="70">
        <f t="shared" si="6"/>
        <v>60</v>
      </c>
      <c r="AB102" s="71">
        <f t="shared" si="23"/>
        <v>929.8548515</v>
      </c>
      <c r="AC102" s="71">
        <f>+(S102-T102)*V102-'data 1'!$F$4</f>
        <v>35.7415</v>
      </c>
      <c r="AD102" s="71">
        <f t="shared" si="7"/>
        <v>7.878801685</v>
      </c>
      <c r="AE102" s="71">
        <f t="shared" si="8"/>
        <v>-3.862</v>
      </c>
      <c r="AF102" s="71">
        <f t="shared" si="9"/>
        <v>84.70962414</v>
      </c>
      <c r="AG102" s="72">
        <f t="shared" ref="AG102:AG112" si="47">AC102+AD102+AE102+AF102+70-53</f>
        <v>141.4679258</v>
      </c>
      <c r="AH102" s="193">
        <f t="shared" si="11"/>
        <v>36.148</v>
      </c>
      <c r="AI102" s="193">
        <f t="shared" si="12"/>
        <v>42.249</v>
      </c>
      <c r="AJ102" s="73">
        <f t="shared" si="13"/>
        <v>43.98984214</v>
      </c>
      <c r="AK102" s="73">
        <f t="shared" si="14"/>
        <v>33.38469033</v>
      </c>
      <c r="AM102" s="51">
        <f t="shared" si="15"/>
        <v>4243.857542</v>
      </c>
      <c r="AN102" s="51" t="str">
        <f t="array" ref="AN102">XLOOKUP(D102,RUC!$B$3:$B$565,RUC!$M$3:$M$565)</f>
        <v>Ronald Miranda</v>
      </c>
      <c r="AO102" s="131" t="s">
        <v>549</v>
      </c>
      <c r="AP102" s="57" t="s">
        <v>3210</v>
      </c>
      <c r="AQ102" s="57" t="s">
        <v>3211</v>
      </c>
    </row>
    <row r="103" ht="15.0" customHeight="1">
      <c r="A103" s="116" t="s">
        <v>3212</v>
      </c>
      <c r="B103" s="182">
        <v>46066.0</v>
      </c>
      <c r="C103" s="182">
        <v>46058.0</v>
      </c>
      <c r="D103" s="57" t="s">
        <v>602</v>
      </c>
      <c r="E103" s="3">
        <f t="array" ref="E103">XLOOKUP(D103,RUC!$B$3:$B$110,RUC!$D$3:$D$110)</f>
        <v>20169040231</v>
      </c>
      <c r="G103" s="3">
        <v>62.0</v>
      </c>
      <c r="H103" s="3" t="s">
        <v>47</v>
      </c>
      <c r="I103" s="6">
        <v>5.34</v>
      </c>
      <c r="J103" s="58">
        <v>2.0</v>
      </c>
      <c r="K103" s="6">
        <f t="shared" si="2"/>
        <v>5.233</v>
      </c>
      <c r="L103" s="139">
        <v>0.175</v>
      </c>
      <c r="M103" s="60">
        <f t="shared" si="45"/>
        <v>0.156</v>
      </c>
      <c r="N103" s="62">
        <f t="shared" si="44"/>
        <v>0.156</v>
      </c>
      <c r="O103" s="60">
        <f t="shared" si="5"/>
        <v>0.156</v>
      </c>
      <c r="P103" s="63">
        <v>85.0</v>
      </c>
      <c r="Q103" s="58">
        <v>93.14</v>
      </c>
      <c r="R103" s="65">
        <v>4847.25</v>
      </c>
      <c r="S103" s="66">
        <f t="array" ref="S103">IF((XLOOKUP(D103,RUC!$B$3:$B$106,RUC!$E$3:$E$106)+ROUNDDOWN(O103,1)*100)&lt;95,95,((XLOOKUP(D103,RUC!$B$3:$B$106,RUC!$E$3:$E$106)+ROUNDDOWN(O103,1)*100)))</f>
        <v>95</v>
      </c>
      <c r="U103" s="67">
        <f t="array" ref="U103">XLOOKUP(D103,RUC!$B$3:$B$110,RUC!$F$3:$F$110)</f>
        <v>120</v>
      </c>
      <c r="V103" s="67">
        <v>1.1023</v>
      </c>
      <c r="Y103" s="199">
        <v>25.0</v>
      </c>
      <c r="Z103" s="140">
        <v>35.0</v>
      </c>
      <c r="AA103" s="70">
        <f t="shared" si="6"/>
        <v>60</v>
      </c>
      <c r="AB103" s="71">
        <f t="shared" si="23"/>
        <v>520.1019017</v>
      </c>
      <c r="AC103" s="71">
        <f>+(S103-T103)*V103-'data 1'!$F$4</f>
        <v>24.7185</v>
      </c>
      <c r="AD103" s="71">
        <f t="shared" si="7"/>
        <v>74.22852513</v>
      </c>
      <c r="AE103" s="71">
        <f t="shared" si="8"/>
        <v>-3.862</v>
      </c>
      <c r="AF103" s="71">
        <f t="shared" si="9"/>
        <v>92.21428697</v>
      </c>
      <c r="AG103" s="72">
        <f t="shared" si="47"/>
        <v>204.2993121</v>
      </c>
      <c r="AH103" s="193">
        <f t="shared" si="11"/>
        <v>29.244</v>
      </c>
      <c r="AI103" s="193">
        <f t="shared" si="12"/>
        <v>31.398</v>
      </c>
      <c r="AJ103" s="73">
        <f t="shared" si="13"/>
        <v>31.03788686</v>
      </c>
      <c r="AK103" s="73">
        <f t="shared" si="14"/>
        <v>23.79048677</v>
      </c>
      <c r="AM103" s="51">
        <f t="shared" si="15"/>
        <v>2721.693252</v>
      </c>
      <c r="AN103" s="51" t="str">
        <f t="array" ref="AN103">XLOOKUP(D103,RUC!$B$3:$B$565,RUC!$M$3:$M$565)</f>
        <v>Ronald Miranda</v>
      </c>
      <c r="AO103" s="131" t="s">
        <v>549</v>
      </c>
      <c r="AP103" s="57" t="s">
        <v>3210</v>
      </c>
      <c r="AQ103" s="57" t="s">
        <v>3211</v>
      </c>
    </row>
    <row r="104" ht="15.0" customHeight="1">
      <c r="A104" s="116" t="s">
        <v>3213</v>
      </c>
      <c r="B104" s="182">
        <v>46066.0</v>
      </c>
      <c r="C104" s="182">
        <v>46058.0</v>
      </c>
      <c r="D104" s="57" t="s">
        <v>602</v>
      </c>
      <c r="E104" s="3">
        <f t="array" ref="E104">XLOOKUP(D104,RUC!$B$3:$B$110,RUC!$D$3:$D$110)</f>
        <v>20169040231</v>
      </c>
      <c r="G104" s="3">
        <v>62.0</v>
      </c>
      <c r="H104" s="3" t="s">
        <v>47</v>
      </c>
      <c r="I104" s="6">
        <v>5.48</v>
      </c>
      <c r="J104" s="58">
        <v>2.04</v>
      </c>
      <c r="K104" s="6">
        <f t="shared" si="2"/>
        <v>5.368</v>
      </c>
      <c r="L104" s="139">
        <v>0.161</v>
      </c>
      <c r="M104" s="60">
        <f t="shared" si="45"/>
        <v>0.142</v>
      </c>
      <c r="N104" s="62">
        <f t="shared" si="44"/>
        <v>0.142</v>
      </c>
      <c r="O104" s="60">
        <f t="shared" si="5"/>
        <v>0.142</v>
      </c>
      <c r="P104" s="63">
        <v>80.0</v>
      </c>
      <c r="Q104" s="58">
        <v>97.52</v>
      </c>
      <c r="R104" s="65">
        <v>4847.25</v>
      </c>
      <c r="S104" s="66">
        <f t="array" ref="S104">IF((XLOOKUP(D104,RUC!$B$3:$B$106,RUC!$E$3:$E$106)+ROUNDDOWN(O104,1)*100)&lt;95,95,((XLOOKUP(D104,RUC!$B$3:$B$106,RUC!$E$3:$E$106)+ROUNDDOWN(O104,1)*100)))</f>
        <v>95</v>
      </c>
      <c r="U104" s="67">
        <f t="array" ref="U104">XLOOKUP(D104,RUC!$B$3:$B$110,RUC!$F$3:$F$110)</f>
        <v>120</v>
      </c>
      <c r="V104" s="67">
        <v>1.1023</v>
      </c>
      <c r="Y104" s="199">
        <v>25.0</v>
      </c>
      <c r="Z104" s="140">
        <v>35.0</v>
      </c>
      <c r="AA104" s="70">
        <f t="shared" si="6"/>
        <v>60</v>
      </c>
      <c r="AB104" s="71">
        <f t="shared" si="23"/>
        <v>421.0957959</v>
      </c>
      <c r="AC104" s="71">
        <f>+(S104-T104)*V104-'data 1'!$F$4</f>
        <v>24.7185</v>
      </c>
      <c r="AD104" s="71">
        <f t="shared" si="7"/>
        <v>146.9834225</v>
      </c>
      <c r="AE104" s="71">
        <f t="shared" si="8"/>
        <v>-3.862</v>
      </c>
      <c r="AF104" s="71">
        <f t="shared" si="9"/>
        <v>96.5507544</v>
      </c>
      <c r="AG104" s="72">
        <f t="shared" si="47"/>
        <v>281.3906769</v>
      </c>
      <c r="AH104" s="193">
        <f t="shared" si="11"/>
        <v>28.896</v>
      </c>
      <c r="AI104" s="193">
        <f t="shared" si="12"/>
        <v>29.631</v>
      </c>
      <c r="AJ104" s="73">
        <f t="shared" si="13"/>
        <v>29.89767607</v>
      </c>
      <c r="AK104" s="73">
        <f t="shared" si="14"/>
        <v>20.9073942</v>
      </c>
      <c r="AM104" s="51">
        <f t="shared" si="15"/>
        <v>2260.442232</v>
      </c>
      <c r="AN104" s="51" t="str">
        <f t="array" ref="AN104">XLOOKUP(D104,RUC!$B$3:$B$565,RUC!$M$3:$M$565)</f>
        <v>Ronald Miranda</v>
      </c>
      <c r="AO104" s="131" t="s">
        <v>549</v>
      </c>
      <c r="AP104" s="57" t="s">
        <v>3210</v>
      </c>
      <c r="AQ104" s="57" t="s">
        <v>3211</v>
      </c>
    </row>
    <row r="105" ht="15.0" customHeight="1">
      <c r="A105" s="116" t="s">
        <v>3214</v>
      </c>
      <c r="B105" s="182">
        <v>46066.0</v>
      </c>
      <c r="C105" s="182">
        <v>46058.0</v>
      </c>
      <c r="D105" s="57" t="s">
        <v>602</v>
      </c>
      <c r="E105" s="3">
        <f t="array" ref="E105">XLOOKUP(D105,RUC!$B$3:$B$110,RUC!$D$3:$D$110)</f>
        <v>20169040231</v>
      </c>
      <c r="G105" s="3">
        <v>20.0</v>
      </c>
      <c r="H105" s="3" t="s">
        <v>47</v>
      </c>
      <c r="I105" s="6">
        <v>1.76</v>
      </c>
      <c r="J105" s="58">
        <v>2.0</v>
      </c>
      <c r="K105" s="6">
        <f t="shared" si="2"/>
        <v>1.725</v>
      </c>
      <c r="L105" s="139">
        <v>0.198</v>
      </c>
      <c r="M105" s="60">
        <f t="shared" si="45"/>
        <v>0.179</v>
      </c>
      <c r="N105" s="62">
        <f t="shared" si="44"/>
        <v>0.179</v>
      </c>
      <c r="O105" s="60">
        <f t="shared" si="5"/>
        <v>0.179</v>
      </c>
      <c r="P105" s="63">
        <v>82.0</v>
      </c>
      <c r="Q105" s="58">
        <v>82.83</v>
      </c>
      <c r="R105" s="65">
        <v>4847.25</v>
      </c>
      <c r="S105" s="66">
        <f t="array" ref="S105">IF((XLOOKUP(D105,RUC!$B$3:$B$106,RUC!$E$3:$E$106)+ROUNDDOWN(O105,1)*100)&lt;95,95,((XLOOKUP(D105,RUC!$B$3:$B$106,RUC!$E$3:$E$106)+ROUNDDOWN(O105,1)*100)))</f>
        <v>95</v>
      </c>
      <c r="U105" s="67">
        <f t="array" ref="U105">XLOOKUP(D105,RUC!$B$3:$B$110,RUC!$F$3:$F$110)</f>
        <v>120</v>
      </c>
      <c r="V105" s="67">
        <v>1.1023</v>
      </c>
      <c r="Y105" s="199">
        <v>25.0</v>
      </c>
      <c r="Z105" s="140">
        <v>35.0</v>
      </c>
      <c r="AA105" s="70">
        <f t="shared" si="6"/>
        <v>60</v>
      </c>
      <c r="AB105" s="71">
        <f t="shared" si="23"/>
        <v>593.9917217</v>
      </c>
      <c r="AC105" s="71">
        <f>+(S105-T105)*V105-'data 1'!$F$4</f>
        <v>24.7185</v>
      </c>
      <c r="AD105" s="71">
        <f t="shared" si="7"/>
        <v>8.563507069</v>
      </c>
      <c r="AE105" s="71">
        <f t="shared" si="8"/>
        <v>-3.862</v>
      </c>
      <c r="AF105" s="71">
        <f t="shared" si="9"/>
        <v>82.00675745</v>
      </c>
      <c r="AG105" s="72">
        <f t="shared" si="47"/>
        <v>128.4267645</v>
      </c>
      <c r="AH105" s="193">
        <f t="shared" si="11"/>
        <v>9.7</v>
      </c>
      <c r="AI105" s="193">
        <f t="shared" si="12"/>
        <v>11.71</v>
      </c>
      <c r="AJ105" s="73">
        <f t="shared" si="13"/>
        <v>31.22990874</v>
      </c>
      <c r="AK105" s="73">
        <f t="shared" si="14"/>
        <v>8.68090597</v>
      </c>
      <c r="AM105" s="51">
        <f t="shared" si="15"/>
        <v>1024.63572</v>
      </c>
      <c r="AN105" s="51" t="str">
        <f t="array" ref="AN105">XLOOKUP(D105,RUC!$B$3:$B$565,RUC!$M$3:$M$565)</f>
        <v>Ronald Miranda</v>
      </c>
      <c r="AO105" s="131" t="s">
        <v>549</v>
      </c>
      <c r="AP105" s="57" t="s">
        <v>3210</v>
      </c>
      <c r="AQ105" s="57" t="s">
        <v>3211</v>
      </c>
    </row>
    <row r="106" ht="15.0" customHeight="1">
      <c r="A106" s="116" t="s">
        <v>3215</v>
      </c>
      <c r="B106" s="182">
        <v>46066.0</v>
      </c>
      <c r="C106" s="182">
        <v>46058.0</v>
      </c>
      <c r="D106" s="57" t="s">
        <v>602</v>
      </c>
      <c r="E106" s="3">
        <f t="array" ref="E106">XLOOKUP(D106,RUC!$B$3:$B$110,RUC!$D$3:$D$110)</f>
        <v>20169040231</v>
      </c>
      <c r="G106" s="3">
        <v>27.0</v>
      </c>
      <c r="H106" s="3" t="s">
        <v>47</v>
      </c>
      <c r="I106" s="6">
        <v>2.42</v>
      </c>
      <c r="J106" s="58">
        <v>2.0</v>
      </c>
      <c r="K106" s="6">
        <f t="shared" si="2"/>
        <v>2.372</v>
      </c>
      <c r="L106" s="139">
        <v>0.228</v>
      </c>
      <c r="M106" s="60">
        <f t="shared" si="45"/>
        <v>0.209</v>
      </c>
      <c r="N106" s="62">
        <f t="shared" si="44"/>
        <v>0.209</v>
      </c>
      <c r="O106" s="60">
        <f t="shared" si="5"/>
        <v>0.209</v>
      </c>
      <c r="P106" s="63">
        <v>90.0</v>
      </c>
      <c r="Q106" s="58">
        <v>99.56</v>
      </c>
      <c r="R106" s="65">
        <v>4847.25</v>
      </c>
      <c r="S106" s="66">
        <f t="array" ref="S106">IF((XLOOKUP(D106,RUC!$B$3:$B$106,RUC!$E$3:$E$106)+ROUNDDOWN(O106,1)*100)&lt;95,95,((XLOOKUP(D106,RUC!$B$3:$B$106,RUC!$E$3:$E$106)+ROUNDDOWN(O106,1)*100)))</f>
        <v>105</v>
      </c>
      <c r="U106" s="67">
        <f t="array" ref="U106">XLOOKUP(D106,RUC!$B$3:$B$110,RUC!$F$3:$F$110)</f>
        <v>120</v>
      </c>
      <c r="V106" s="67">
        <v>1.1023</v>
      </c>
      <c r="Y106" s="199">
        <v>25.0</v>
      </c>
      <c r="Z106" s="140">
        <v>35.0</v>
      </c>
      <c r="AA106" s="70">
        <f t="shared" si="6"/>
        <v>60</v>
      </c>
      <c r="AB106" s="71">
        <f t="shared" si="23"/>
        <v>798.2809477</v>
      </c>
      <c r="AC106" s="71">
        <f>+(S106-T106)*V106-'data 1'!$F$4</f>
        <v>35.7415</v>
      </c>
      <c r="AD106" s="71">
        <f t="shared" si="7"/>
        <v>113.5798046</v>
      </c>
      <c r="AE106" s="71">
        <f t="shared" si="8"/>
        <v>-3.862</v>
      </c>
      <c r="AF106" s="71">
        <f t="shared" si="9"/>
        <v>98.57047896</v>
      </c>
      <c r="AG106" s="72">
        <f t="shared" si="47"/>
        <v>261.0297836</v>
      </c>
      <c r="AH106" s="193">
        <f t="shared" si="11"/>
        <v>18.461</v>
      </c>
      <c r="AI106" s="193">
        <f t="shared" si="12"/>
        <v>18.542</v>
      </c>
      <c r="AJ106" s="73">
        <f t="shared" si="13"/>
        <v>43.22525842</v>
      </c>
      <c r="AK106" s="73">
        <f t="shared" si="14"/>
        <v>15.2972213</v>
      </c>
      <c r="AM106" s="51">
        <f t="shared" si="15"/>
        <v>1893.522408</v>
      </c>
      <c r="AN106" s="51" t="str">
        <f t="array" ref="AN106">XLOOKUP(D106,RUC!$B$3:$B$565,RUC!$M$3:$M$565)</f>
        <v>Ronald Miranda</v>
      </c>
      <c r="AO106" s="131" t="s">
        <v>549</v>
      </c>
      <c r="AP106" s="57" t="s">
        <v>3210</v>
      </c>
      <c r="AQ106" s="57" t="s">
        <v>3211</v>
      </c>
    </row>
    <row r="107" ht="15.0" customHeight="1">
      <c r="A107" s="116" t="s">
        <v>3216</v>
      </c>
      <c r="B107" s="182">
        <v>46063.0</v>
      </c>
      <c r="C107" s="182">
        <v>46059.0</v>
      </c>
      <c r="D107" s="57" t="s">
        <v>756</v>
      </c>
      <c r="E107" s="3" t="str">
        <f t="array" ref="E107">XLOOKUP(D107,RUC!$B$3:$B$110,RUC!$D$3:$D$110)</f>
        <v>20610807004*</v>
      </c>
      <c r="G107" s="3">
        <v>298.0</v>
      </c>
      <c r="H107" s="3" t="s">
        <v>40</v>
      </c>
      <c r="I107" s="6">
        <v>9.4</v>
      </c>
      <c r="J107" s="58">
        <v>16.75</v>
      </c>
      <c r="K107" s="6">
        <f t="shared" si="2"/>
        <v>7.826</v>
      </c>
      <c r="L107" s="139">
        <v>0.39</v>
      </c>
      <c r="M107" s="60">
        <f t="shared" si="45"/>
        <v>0.367</v>
      </c>
      <c r="N107" s="75">
        <v>0.41</v>
      </c>
      <c r="O107" s="60">
        <f t="shared" si="5"/>
        <v>0.389</v>
      </c>
      <c r="P107" s="63">
        <v>86.0</v>
      </c>
      <c r="Q107" s="58">
        <v>86.41</v>
      </c>
      <c r="R107" s="65">
        <v>4948.0</v>
      </c>
      <c r="S107" s="66">
        <f t="array" ref="S107">IF((XLOOKUP(D107,RUC!$B$3:$B$106,RUC!$E$3:$E$106)+ROUNDDOWN(O107,1)*100)&lt;95,95,((XLOOKUP(D107,RUC!$B$3:$B$106,RUC!$E$3:$E$106)+ROUNDDOWN(O107,1)*100)))</f>
        <v>115</v>
      </c>
      <c r="U107" s="67">
        <f t="array" ref="U107">XLOOKUP(D107,RUC!$B$3:$B$110,RUC!$F$3:$F$110)</f>
        <v>120</v>
      </c>
      <c r="V107" s="67">
        <v>1.1023</v>
      </c>
      <c r="Y107" s="199">
        <v>30.0</v>
      </c>
      <c r="Z107" s="140">
        <v>40.0</v>
      </c>
      <c r="AA107" s="70">
        <f t="shared" si="6"/>
        <v>70</v>
      </c>
      <c r="AB107" s="71">
        <f t="shared" si="23"/>
        <v>1576.464398</v>
      </c>
      <c r="AC107" s="71">
        <f>+(S107-T107)*V107-'data 1'!$F$4</f>
        <v>46.7645</v>
      </c>
      <c r="AD107" s="71">
        <f t="shared" si="7"/>
        <v>8.509725136</v>
      </c>
      <c r="AE107" s="71">
        <f t="shared" si="8"/>
        <v>7.161</v>
      </c>
      <c r="AF107" s="71">
        <f t="shared" si="9"/>
        <v>4.598657592</v>
      </c>
      <c r="AG107" s="72">
        <f t="shared" si="47"/>
        <v>84.03388273</v>
      </c>
      <c r="AH107" s="193">
        <f t="shared" si="11"/>
        <v>90.423</v>
      </c>
      <c r="AI107" s="193">
        <f t="shared" si="12"/>
        <v>104.644</v>
      </c>
      <c r="AJ107" s="73">
        <f t="shared" si="13"/>
        <v>26.74612783</v>
      </c>
      <c r="AK107" s="73">
        <f t="shared" si="14"/>
        <v>89.76291868</v>
      </c>
      <c r="AM107" s="51">
        <f t="shared" si="15"/>
        <v>12337.41038</v>
      </c>
      <c r="AN107" s="122" t="str">
        <f t="array" ref="AN107">XLOOKUP(D107,RUC!$B$3:$B$565,RUC!$M$3:$M$565)</f>
        <v>Ronald Miranda</v>
      </c>
      <c r="AO107" s="131" t="s">
        <v>551</v>
      </c>
      <c r="AP107" s="57" t="s">
        <v>1980</v>
      </c>
      <c r="AQ107" s="57" t="s">
        <v>3217</v>
      </c>
    </row>
    <row r="108" ht="15.0" customHeight="1">
      <c r="A108" s="116" t="s">
        <v>3218</v>
      </c>
      <c r="B108" s="182">
        <v>46063.0</v>
      </c>
      <c r="C108" s="182">
        <v>46059.0</v>
      </c>
      <c r="D108" s="57" t="s">
        <v>756</v>
      </c>
      <c r="E108" s="3" t="str">
        <f t="array" ref="E108">XLOOKUP(D108,RUC!$B$3:$B$110,RUC!$D$3:$D$110)</f>
        <v>20610807004*</v>
      </c>
      <c r="G108" s="3">
        <v>418.0</v>
      </c>
      <c r="H108" s="3" t="s">
        <v>40</v>
      </c>
      <c r="I108" s="6">
        <v>12.03</v>
      </c>
      <c r="J108" s="58">
        <v>17.87</v>
      </c>
      <c r="K108" s="6">
        <f t="shared" si="2"/>
        <v>9.88</v>
      </c>
      <c r="L108" s="139">
        <v>0.329</v>
      </c>
      <c r="M108" s="60">
        <f t="shared" si="45"/>
        <v>0.309</v>
      </c>
      <c r="N108" s="62">
        <f t="shared" ref="N108:N109" si="48">+M108</f>
        <v>0.309</v>
      </c>
      <c r="O108" s="60">
        <f t="shared" si="5"/>
        <v>0.309</v>
      </c>
      <c r="P108" s="63">
        <v>89.0</v>
      </c>
      <c r="Q108" s="58">
        <v>89.06</v>
      </c>
      <c r="R108" s="65">
        <v>4948.0</v>
      </c>
      <c r="S108" s="66">
        <f t="array" ref="S108">IF((XLOOKUP(D108,RUC!$B$3:$B$106,RUC!$E$3:$E$106)+ROUNDDOWN(O108,1)*100)&lt;95,95,((XLOOKUP(D108,RUC!$B$3:$B$106,RUC!$E$3:$E$106)+ROUNDDOWN(O108,1)*100)))</f>
        <v>115</v>
      </c>
      <c r="U108" s="67">
        <f t="array" ref="U108">XLOOKUP(D108,RUC!$B$3:$B$110,RUC!$F$3:$F$110)</f>
        <v>120</v>
      </c>
      <c r="V108" s="67">
        <v>1.1023</v>
      </c>
      <c r="Y108" s="199">
        <v>30.0</v>
      </c>
      <c r="Z108" s="140">
        <v>40.0</v>
      </c>
      <c r="AA108" s="70">
        <f t="shared" si="6"/>
        <v>70</v>
      </c>
      <c r="AB108" s="71">
        <f t="shared" si="23"/>
        <v>1259.651429</v>
      </c>
      <c r="AC108" s="71">
        <f>+(S108-T108)*V108-'data 1'!$F$4</f>
        <v>46.7645</v>
      </c>
      <c r="AD108" s="71">
        <f t="shared" si="7"/>
        <v>1.050543929</v>
      </c>
      <c r="AE108" s="71">
        <f t="shared" si="8"/>
        <v>7.161</v>
      </c>
      <c r="AF108" s="71">
        <f t="shared" si="9"/>
        <v>94.79376117</v>
      </c>
      <c r="AG108" s="72">
        <f t="shared" si="47"/>
        <v>166.7698051</v>
      </c>
      <c r="AH108" s="193">
        <f t="shared" si="11"/>
        <v>99.253</v>
      </c>
      <c r="AI108" s="193">
        <f t="shared" si="12"/>
        <v>111.445</v>
      </c>
      <c r="AJ108" s="73">
        <f t="shared" si="13"/>
        <v>23.25470811</v>
      </c>
      <c r="AK108" s="73">
        <f t="shared" si="14"/>
        <v>93.15678673</v>
      </c>
      <c r="AM108" s="51">
        <f t="shared" si="15"/>
        <v>12445.35612</v>
      </c>
      <c r="AN108" s="122" t="str">
        <f t="array" ref="AN108">XLOOKUP(D108,RUC!$B$3:$B$565,RUC!$M$3:$M$565)</f>
        <v>Ronald Miranda</v>
      </c>
      <c r="AO108" s="131" t="s">
        <v>551</v>
      </c>
      <c r="AP108" s="57" t="s">
        <v>1980</v>
      </c>
      <c r="AQ108" s="57" t="s">
        <v>3217</v>
      </c>
    </row>
    <row r="109" ht="15.0" customHeight="1">
      <c r="A109" s="116" t="s">
        <v>3219</v>
      </c>
      <c r="B109" s="182">
        <v>46063.0</v>
      </c>
      <c r="C109" s="182">
        <v>46059.0</v>
      </c>
      <c r="D109" s="57" t="s">
        <v>756</v>
      </c>
      <c r="E109" s="3" t="str">
        <f t="array" ref="E109">XLOOKUP(D109,RUC!$B$3:$B$110,RUC!$D$3:$D$110)</f>
        <v>20610807004*</v>
      </c>
      <c r="G109" s="3">
        <v>523.0</v>
      </c>
      <c r="H109" s="3" t="s">
        <v>40</v>
      </c>
      <c r="I109" s="6">
        <v>14.42</v>
      </c>
      <c r="J109" s="58">
        <v>18.27</v>
      </c>
      <c r="K109" s="6">
        <f t="shared" si="2"/>
        <v>11.785</v>
      </c>
      <c r="L109" s="139">
        <v>0.332</v>
      </c>
      <c r="M109" s="60">
        <f t="shared" si="45"/>
        <v>0.312</v>
      </c>
      <c r="N109" s="62">
        <f t="shared" si="48"/>
        <v>0.312</v>
      </c>
      <c r="O109" s="60">
        <f t="shared" si="5"/>
        <v>0.312</v>
      </c>
      <c r="P109" s="63">
        <v>87.0</v>
      </c>
      <c r="Q109" s="58">
        <v>87.95</v>
      </c>
      <c r="R109" s="65">
        <v>4948.0</v>
      </c>
      <c r="S109" s="66">
        <f t="array" ref="S109">IF((XLOOKUP(D109,RUC!$B$3:$B$106,RUC!$E$3:$E$106)+ROUNDDOWN(O109,1)*100)&lt;95,95,((XLOOKUP(D109,RUC!$B$3:$B$106,RUC!$E$3:$E$106)+ROUNDDOWN(O109,1)*100)))</f>
        <v>115</v>
      </c>
      <c r="U109" s="67">
        <f t="array" ref="U109">XLOOKUP(D109,RUC!$B$3:$B$110,RUC!$F$3:$F$110)</f>
        <v>120</v>
      </c>
      <c r="V109" s="67">
        <v>1.1023</v>
      </c>
      <c r="Y109" s="199">
        <v>30.0</v>
      </c>
      <c r="Z109" s="140">
        <v>40.0</v>
      </c>
      <c r="AA109" s="70">
        <f t="shared" si="6"/>
        <v>70</v>
      </c>
      <c r="AB109" s="71">
        <f t="shared" si="23"/>
        <v>1240.65223</v>
      </c>
      <c r="AC109" s="71">
        <f>+(S109-T109)*V109-'data 1'!$F$4</f>
        <v>46.7645</v>
      </c>
      <c r="AD109" s="71">
        <f t="shared" si="7"/>
        <v>16.78528648</v>
      </c>
      <c r="AE109" s="71">
        <f t="shared" si="8"/>
        <v>7.161</v>
      </c>
      <c r="AF109" s="71">
        <f t="shared" si="9"/>
        <v>93.6122984</v>
      </c>
      <c r="AG109" s="72">
        <f t="shared" si="47"/>
        <v>181.3230849</v>
      </c>
      <c r="AH109" s="193">
        <f t="shared" si="11"/>
        <v>117.981</v>
      </c>
      <c r="AI109" s="193">
        <f t="shared" si="12"/>
        <v>134.146</v>
      </c>
      <c r="AJ109" s="73">
        <f t="shared" si="13"/>
        <v>23.17427901</v>
      </c>
      <c r="AK109" s="73">
        <f t="shared" si="14"/>
        <v>109.6762273</v>
      </c>
      <c r="AM109" s="51">
        <f t="shared" si="15"/>
        <v>14621.08653</v>
      </c>
      <c r="AN109" s="122" t="str">
        <f t="array" ref="AN109">XLOOKUP(D109,RUC!$B$3:$B$565,RUC!$M$3:$M$565)</f>
        <v>Ronald Miranda</v>
      </c>
      <c r="AO109" s="131" t="s">
        <v>551</v>
      </c>
      <c r="AP109" s="57" t="s">
        <v>1980</v>
      </c>
      <c r="AQ109" s="57" t="s">
        <v>3217</v>
      </c>
    </row>
    <row r="110" ht="15.0" customHeight="1">
      <c r="A110" s="116" t="s">
        <v>3220</v>
      </c>
      <c r="B110" s="182">
        <v>46064.0</v>
      </c>
      <c r="C110" s="182">
        <v>46059.0</v>
      </c>
      <c r="D110" s="57" t="s">
        <v>225</v>
      </c>
      <c r="E110" s="3">
        <f t="array" ref="E110">XLOOKUP(D110,RUC!$B$3:$B$110,RUC!$D$3:$D$110)</f>
        <v>10761932735</v>
      </c>
      <c r="G110" s="3">
        <v>82.0</v>
      </c>
      <c r="H110" s="3" t="s">
        <v>47</v>
      </c>
      <c r="I110" s="6">
        <v>5.17</v>
      </c>
      <c r="J110" s="58">
        <v>8.3</v>
      </c>
      <c r="K110" s="6">
        <f t="shared" si="2"/>
        <v>4.741</v>
      </c>
      <c r="L110" s="139">
        <v>0.415</v>
      </c>
      <c r="M110" s="60">
        <f t="shared" si="45"/>
        <v>0.39</v>
      </c>
      <c r="N110" s="60">
        <v>0.449</v>
      </c>
      <c r="O110" s="60">
        <f t="shared" si="5"/>
        <v>0.42</v>
      </c>
      <c r="P110" s="63">
        <v>90.0</v>
      </c>
      <c r="Q110" s="58">
        <v>93.98</v>
      </c>
      <c r="R110" s="65">
        <v>4948.0</v>
      </c>
      <c r="S110" s="66">
        <f t="array" ref="S110">IF((XLOOKUP(D110,RUC!$B$3:$B$106,RUC!$E$3:$E$106)+ROUNDDOWN(O110,1)*100)&lt;95,95,((XLOOKUP(D110,RUC!$B$3:$B$106,RUC!$E$3:$E$106)+ROUNDDOWN(O110,1)*100)))</f>
        <v>130</v>
      </c>
      <c r="U110" s="67">
        <f t="array" ref="U110">XLOOKUP(D110,RUC!$B$3:$B$110,RUC!$F$3:$F$110)</f>
        <v>120</v>
      </c>
      <c r="V110" s="67">
        <v>1.1023</v>
      </c>
      <c r="Y110" s="57">
        <f t="array" ref="Y110">XLOOKUP(D110,RUC!$B$3:$B$110,RUC!$G$3:$G$110)</f>
        <v>20</v>
      </c>
      <c r="Z110" s="69">
        <f t="array" ref="Z110">XLOOKUP(D110,RUC!$B$3:$B$110,RUC!$H$3:$H$110)</f>
        <v>30</v>
      </c>
      <c r="AA110" s="70">
        <f t="shared" si="6"/>
        <v>50</v>
      </c>
      <c r="AB110" s="71">
        <f t="shared" si="23"/>
        <v>1813.265863</v>
      </c>
      <c r="AC110" s="71">
        <f>+(S110-T110)*V110-'data 1'!$F$4</f>
        <v>63.299</v>
      </c>
      <c r="AD110" s="71">
        <f t="shared" si="7"/>
        <v>87.90189497</v>
      </c>
      <c r="AE110" s="71">
        <f t="shared" si="8"/>
        <v>-14.885</v>
      </c>
      <c r="AF110" s="71">
        <f t="shared" si="9"/>
        <v>-25.00762878</v>
      </c>
      <c r="AG110" s="72">
        <f t="shared" si="47"/>
        <v>128.3082662</v>
      </c>
      <c r="AH110" s="193">
        <f t="shared" si="11"/>
        <v>63.396</v>
      </c>
      <c r="AI110" s="193">
        <f t="shared" si="12"/>
        <v>67.457</v>
      </c>
      <c r="AJ110" s="73">
        <f t="shared" si="13"/>
        <v>30.95393322</v>
      </c>
      <c r="AK110" s="73">
        <f t="shared" si="14"/>
        <v>61.44277535</v>
      </c>
      <c r="AM110" s="51">
        <f t="shared" si="15"/>
        <v>8596.693457</v>
      </c>
      <c r="AN110" s="122" t="str">
        <f t="array" ref="AN110">XLOOKUP(D110,RUC!$B$3:$B$565,RUC!$M$3:$M$565)</f>
        <v>Richard Sapacayo</v>
      </c>
      <c r="AO110" s="131" t="s">
        <v>547</v>
      </c>
      <c r="AP110" s="57" t="s">
        <v>3221</v>
      </c>
      <c r="AQ110" s="57" t="s">
        <v>3222</v>
      </c>
    </row>
    <row r="111" ht="15.0" customHeight="1">
      <c r="A111" s="116" t="s">
        <v>3223</v>
      </c>
      <c r="B111" s="182">
        <v>46066.0</v>
      </c>
      <c r="C111" s="182">
        <v>46059.0</v>
      </c>
      <c r="D111" s="57" t="s">
        <v>225</v>
      </c>
      <c r="E111" s="3">
        <f t="array" ref="E111">XLOOKUP(D111,RUC!$B$3:$B$110,RUC!$D$3:$D$110)</f>
        <v>10761932735</v>
      </c>
      <c r="G111" s="3" t="s">
        <v>735</v>
      </c>
      <c r="H111" s="3" t="s">
        <v>47</v>
      </c>
      <c r="I111" s="6">
        <v>26.76</v>
      </c>
      <c r="J111" s="58">
        <v>8.25</v>
      </c>
      <c r="K111" s="6">
        <f t="shared" si="2"/>
        <v>24.552</v>
      </c>
      <c r="L111" s="139">
        <v>0.225</v>
      </c>
      <c r="M111" s="60">
        <f t="shared" si="45"/>
        <v>0.206</v>
      </c>
      <c r="N111" s="62">
        <f t="shared" ref="N111:N123" si="49">+M111</f>
        <v>0.206</v>
      </c>
      <c r="O111" s="60">
        <f t="shared" si="5"/>
        <v>0.206</v>
      </c>
      <c r="P111" s="63">
        <v>90.0</v>
      </c>
      <c r="Q111" s="58">
        <v>94.67</v>
      </c>
      <c r="R111" s="65">
        <v>4948.0</v>
      </c>
      <c r="S111" s="66">
        <f t="array" ref="S111">IF((XLOOKUP(D111,RUC!$B$3:$B$106,RUC!$E$3:$E$106)+ROUNDDOWN(O111,1)*100)&lt;95,95,((XLOOKUP(D111,RUC!$B$3:$B$106,RUC!$E$3:$E$106)+ROUNDDOWN(O111,1)*100)))</f>
        <v>110</v>
      </c>
      <c r="U111" s="67">
        <f t="array" ref="U111">XLOOKUP(D111,RUC!$B$3:$B$110,RUC!$F$3:$F$110)</f>
        <v>120</v>
      </c>
      <c r="V111" s="67">
        <v>1.1023</v>
      </c>
      <c r="Y111" s="57">
        <f t="array" ref="Y111">XLOOKUP(D111,RUC!$B$3:$B$110,RUC!$G$3:$G$110)</f>
        <v>20</v>
      </c>
      <c r="Z111" s="69">
        <f t="array" ref="Z111">XLOOKUP(D111,RUC!$B$3:$B$110,RUC!$H$3:$H$110)</f>
        <v>30</v>
      </c>
      <c r="AA111" s="70">
        <f t="shared" si="6"/>
        <v>50</v>
      </c>
      <c r="AB111" s="71">
        <f t="shared" si="23"/>
        <v>810.3130758</v>
      </c>
      <c r="AC111" s="71">
        <f>+(S111-T111)*V111-'data 1'!$F$4</f>
        <v>41.253</v>
      </c>
      <c r="AD111" s="71">
        <f t="shared" si="7"/>
        <v>55.91991048</v>
      </c>
      <c r="AE111" s="71">
        <f t="shared" si="8"/>
        <v>-14.885</v>
      </c>
      <c r="AF111" s="71">
        <f t="shared" si="9"/>
        <v>95.72669101</v>
      </c>
      <c r="AG111" s="72">
        <f t="shared" si="47"/>
        <v>195.0146015</v>
      </c>
      <c r="AH111" s="193">
        <f t="shared" si="11"/>
        <v>179.304</v>
      </c>
      <c r="AI111" s="193">
        <f t="shared" si="12"/>
        <v>189.399</v>
      </c>
      <c r="AJ111" s="73">
        <f t="shared" si="13"/>
        <v>16.90546804</v>
      </c>
      <c r="AK111" s="73">
        <f t="shared" si="14"/>
        <v>156.0650567</v>
      </c>
      <c r="AM111" s="51">
        <f t="shared" si="15"/>
        <v>19894.80664</v>
      </c>
      <c r="AN111" s="122" t="str">
        <f t="array" ref="AN111">XLOOKUP(D111,RUC!$B$3:$B$565,RUC!$M$3:$M$565)</f>
        <v>Richard Sapacayo</v>
      </c>
      <c r="AO111" s="131" t="s">
        <v>551</v>
      </c>
      <c r="AP111" s="57" t="s">
        <v>1895</v>
      </c>
      <c r="AQ111" s="57" t="s">
        <v>2523</v>
      </c>
    </row>
    <row r="112" ht="15.0" customHeight="1">
      <c r="A112" s="116" t="s">
        <v>3224</v>
      </c>
      <c r="B112" s="182">
        <v>46068.0</v>
      </c>
      <c r="C112" s="182">
        <v>46059.0</v>
      </c>
      <c r="D112" s="57" t="s">
        <v>756</v>
      </c>
      <c r="E112" s="3" t="str">
        <f t="array" ref="E112">XLOOKUP(D112,RUC!$B$3:$B$110,RUC!$D$3:$D$110)</f>
        <v>20610807004*</v>
      </c>
      <c r="G112" s="3">
        <v>589.0</v>
      </c>
      <c r="H112" s="3" t="s">
        <v>40</v>
      </c>
      <c r="I112" s="6">
        <v>28.44</v>
      </c>
      <c r="J112" s="58">
        <v>2.6</v>
      </c>
      <c r="K112" s="6">
        <f t="shared" si="2"/>
        <v>27.701</v>
      </c>
      <c r="L112" s="139">
        <v>0.362</v>
      </c>
      <c r="M112" s="60">
        <f t="shared" si="45"/>
        <v>0.34</v>
      </c>
      <c r="N112" s="62">
        <f t="shared" si="49"/>
        <v>0.34</v>
      </c>
      <c r="O112" s="60">
        <f t="shared" si="5"/>
        <v>0.34</v>
      </c>
      <c r="P112" s="63">
        <v>76.0</v>
      </c>
      <c r="Q112" s="58">
        <v>76.24</v>
      </c>
      <c r="R112" s="65">
        <v>4948.0</v>
      </c>
      <c r="S112" s="66">
        <f t="array" ref="S112">IF((XLOOKUP(D112,RUC!$B$3:$B$106,RUC!$E$3:$E$106)+ROUNDDOWN(O112,1)*100)&lt;95,95,((XLOOKUP(D112,RUC!$B$3:$B$106,RUC!$E$3:$E$106)+ROUNDDOWN(O112,1)*100)))</f>
        <v>115</v>
      </c>
      <c r="U112" s="67">
        <f t="array" ref="U112">XLOOKUP(D112,RUC!$B$3:$B$110,RUC!$F$3:$F$110)</f>
        <v>120</v>
      </c>
      <c r="V112" s="67">
        <v>1.1023</v>
      </c>
      <c r="Y112" s="199">
        <v>0.0</v>
      </c>
      <c r="Z112" s="140">
        <v>40.0</v>
      </c>
      <c r="AA112" s="70">
        <f t="shared" si="6"/>
        <v>40</v>
      </c>
      <c r="AB112" s="71">
        <f t="shared" si="23"/>
        <v>1204.323597</v>
      </c>
      <c r="AC112" s="71">
        <f>+(S112-T112)*V112-'data 1'!$F$4</f>
        <v>46.7645</v>
      </c>
      <c r="AD112" s="71">
        <f t="shared" si="7"/>
        <v>4.623670543</v>
      </c>
      <c r="AE112" s="71">
        <f t="shared" si="8"/>
        <v>-25.908</v>
      </c>
      <c r="AF112" s="71">
        <f t="shared" si="9"/>
        <v>89.26323812</v>
      </c>
      <c r="AG112" s="72">
        <f t="shared" si="47"/>
        <v>131.7434087</v>
      </c>
      <c r="AH112" s="193">
        <f t="shared" si="11"/>
        <v>262.117</v>
      </c>
      <c r="AI112" s="193">
        <f t="shared" si="12"/>
        <v>343.806</v>
      </c>
      <c r="AJ112" s="73">
        <f t="shared" si="13"/>
        <v>21.90401671</v>
      </c>
      <c r="AK112" s="73">
        <f t="shared" si="14"/>
        <v>245.4126957</v>
      </c>
      <c r="AM112" s="51">
        <f t="shared" si="15"/>
        <v>33360.96796</v>
      </c>
      <c r="AN112" s="122" t="str">
        <f t="array" ref="AN112">XLOOKUP(D112,RUC!$B$3:$B$565,RUC!$M$3:$M$565)</f>
        <v>Ronald Miranda</v>
      </c>
      <c r="AO112" s="131" t="s">
        <v>547</v>
      </c>
      <c r="AP112" s="57" t="s">
        <v>1423</v>
      </c>
      <c r="AQ112" s="57" t="s">
        <v>3225</v>
      </c>
    </row>
    <row r="113" ht="15.0" customHeight="1">
      <c r="A113" s="116" t="s">
        <v>3226</v>
      </c>
      <c r="B113" s="182">
        <v>46065.0</v>
      </c>
      <c r="C113" s="182">
        <v>45695.0</v>
      </c>
      <c r="D113" s="57" t="s">
        <v>306</v>
      </c>
      <c r="E113" s="3">
        <f t="array" ref="E113">XLOOKUP(D113,RUC!$B$3:$B$110,RUC!$D$3:$D$110)</f>
        <v>20612921866</v>
      </c>
      <c r="G113" s="3" t="s">
        <v>735</v>
      </c>
      <c r="H113" s="3" t="s">
        <v>47</v>
      </c>
      <c r="I113" s="6">
        <v>10.78</v>
      </c>
      <c r="J113" s="58">
        <v>2.0</v>
      </c>
      <c r="K113" s="6">
        <f t="shared" si="2"/>
        <v>10.564</v>
      </c>
      <c r="L113" s="139">
        <v>0.226</v>
      </c>
      <c r="M113" s="60">
        <f t="shared" si="45"/>
        <v>0.207</v>
      </c>
      <c r="N113" s="62">
        <f t="shared" si="49"/>
        <v>0.207</v>
      </c>
      <c r="O113" s="60">
        <f t="shared" si="5"/>
        <v>0.207</v>
      </c>
      <c r="P113" s="63">
        <v>90.0</v>
      </c>
      <c r="Q113" s="58">
        <v>91.59</v>
      </c>
      <c r="R113" s="65">
        <v>4948.0</v>
      </c>
      <c r="S113" s="66">
        <f t="array" ref="S113">IF((XLOOKUP(D113,RUC!$B$3:$B$106,RUC!$E$3:$E$106)+ROUNDDOWN(O113,1)*100)&lt;95,95,((XLOOKUP(D113,RUC!$B$3:$B$106,RUC!$E$3:$E$106)+ROUNDDOWN(O113,1)*100)))</f>
        <v>100</v>
      </c>
      <c r="U113" s="67">
        <f t="array" ref="U113">XLOOKUP(D113,RUC!$B$3:$B$110,RUC!$F$3:$F$110)</f>
        <v>100</v>
      </c>
      <c r="V113" s="67">
        <v>1.1023</v>
      </c>
      <c r="Y113" s="57" t="str">
        <f t="array" ref="Y113">XLOOKUP(D113,RUC!$B$3:$B$110,RUC!$G$3:$G$110)</f>
        <v/>
      </c>
      <c r="Z113" s="69">
        <f t="array" ref="Z113">XLOOKUP(D113,RUC!$B$3:$B$110,RUC!$H$3:$H$110)</f>
        <v>30</v>
      </c>
      <c r="AA113" s="70">
        <f t="shared" si="6"/>
        <v>30</v>
      </c>
      <c r="AB113" s="71">
        <f t="shared" si="23"/>
        <v>852.2789595</v>
      </c>
      <c r="AC113" s="71">
        <f>+(S113-T113)*V113-'data 1'!$F$4</f>
        <v>30.23</v>
      </c>
      <c r="AD113" s="71">
        <f t="shared" si="7"/>
        <v>19.20295137</v>
      </c>
      <c r="AE113" s="71">
        <f t="shared" si="8"/>
        <v>-36.931</v>
      </c>
      <c r="AF113" s="71">
        <f t="shared" si="9"/>
        <v>92.99595926</v>
      </c>
      <c r="AG113" s="72">
        <f>AC113+AD113+AE113+AF113+70-10</f>
        <v>165.4979106</v>
      </c>
      <c r="AH113" s="193">
        <f t="shared" si="11"/>
        <v>74.971</v>
      </c>
      <c r="AI113" s="193">
        <f t="shared" si="12"/>
        <v>81.855</v>
      </c>
      <c r="AJ113" s="73">
        <f t="shared" si="13"/>
        <v>11.86477889</v>
      </c>
      <c r="AK113" s="73">
        <f t="shared" si="14"/>
        <v>67.47615337</v>
      </c>
      <c r="AM113" s="51">
        <f t="shared" si="15"/>
        <v>9003.474928</v>
      </c>
      <c r="AN113" s="122" t="str">
        <f t="array" ref="AN113">XLOOKUP(D113,RUC!$B$3:$B$565,RUC!$M$3:$M$565)</f>
        <v>Ronald Garibay</v>
      </c>
      <c r="AO113" s="131" t="s">
        <v>549</v>
      </c>
      <c r="AP113" s="57" t="s">
        <v>810</v>
      </c>
      <c r="AQ113" s="57" t="s">
        <v>3227</v>
      </c>
    </row>
    <row r="114" ht="15.0" customHeight="1">
      <c r="A114" s="116" t="s">
        <v>3228</v>
      </c>
      <c r="B114" s="182">
        <v>46065.0</v>
      </c>
      <c r="C114" s="182">
        <v>46060.0</v>
      </c>
      <c r="D114" s="57" t="s">
        <v>756</v>
      </c>
      <c r="E114" s="3" t="str">
        <f t="array" ref="E114">XLOOKUP(D114,RUC!$B$3:$B$110,RUC!$D$3:$D$110)</f>
        <v>20610807004*</v>
      </c>
      <c r="G114" s="3">
        <v>20.0</v>
      </c>
      <c r="H114" s="3" t="s">
        <v>47</v>
      </c>
      <c r="I114" s="6">
        <v>1.86</v>
      </c>
      <c r="J114" s="58">
        <v>2.5</v>
      </c>
      <c r="K114" s="6">
        <f t="shared" si="2"/>
        <v>1.814</v>
      </c>
      <c r="L114" s="139">
        <v>0.365</v>
      </c>
      <c r="M114" s="60">
        <f t="shared" si="45"/>
        <v>0.343</v>
      </c>
      <c r="N114" s="62">
        <f t="shared" si="49"/>
        <v>0.343</v>
      </c>
      <c r="O114" s="60">
        <f t="shared" si="5"/>
        <v>0.343</v>
      </c>
      <c r="P114" s="63">
        <v>86.0</v>
      </c>
      <c r="Q114" s="58">
        <v>86.3</v>
      </c>
      <c r="R114" s="65">
        <v>4948.0</v>
      </c>
      <c r="S114" s="66">
        <f t="array" ref="S114">IF((XLOOKUP(D114,RUC!$B$3:$B$106,RUC!$E$3:$E$106)+ROUNDDOWN(O114,1)*100)&lt;95,95,((XLOOKUP(D114,RUC!$B$3:$B$106,RUC!$E$3:$E$106)+ROUNDDOWN(O114,1)*100)))</f>
        <v>115</v>
      </c>
      <c r="U114" s="67">
        <f t="array" ref="U114">XLOOKUP(D114,RUC!$B$3:$B$110,RUC!$F$3:$F$110)</f>
        <v>120</v>
      </c>
      <c r="V114" s="67">
        <v>1.1023</v>
      </c>
      <c r="Y114" s="199">
        <v>25.0</v>
      </c>
      <c r="Z114" s="140">
        <v>35.0</v>
      </c>
      <c r="AA114" s="70">
        <f t="shared" si="6"/>
        <v>60</v>
      </c>
      <c r="AB114" s="71">
        <f t="shared" si="23"/>
        <v>1376.95286</v>
      </c>
      <c r="AC114" s="71">
        <f>+(S114-T114)*V114-'data 1'!$F$4</f>
        <v>46.7645</v>
      </c>
      <c r="AD114" s="71">
        <f t="shared" si="7"/>
        <v>5.827485318</v>
      </c>
      <c r="AE114" s="71">
        <f t="shared" si="8"/>
        <v>-3.862</v>
      </c>
      <c r="AF114" s="71">
        <f t="shared" si="9"/>
        <v>101.0416769</v>
      </c>
      <c r="AG114" s="72">
        <f>AC114+AD114+AE114+AF114+70-53</f>
        <v>166.7716623</v>
      </c>
      <c r="AH114" s="193">
        <f t="shared" si="11"/>
        <v>19.591</v>
      </c>
      <c r="AI114" s="193">
        <f t="shared" si="12"/>
        <v>22.701</v>
      </c>
      <c r="AJ114" s="73">
        <f t="shared" si="13"/>
        <v>24.99976717</v>
      </c>
      <c r="AK114" s="73">
        <f t="shared" si="14"/>
        <v>18.34589583</v>
      </c>
      <c r="AM114" s="51">
        <f t="shared" si="15"/>
        <v>2497.792488</v>
      </c>
      <c r="AN114" s="51" t="str">
        <f t="array" ref="AN114">XLOOKUP(D114,RUC!$B$3:$B$565,RUC!$M$3:$M$565)</f>
        <v>Ronald Miranda</v>
      </c>
      <c r="AO114" s="131" t="s">
        <v>549</v>
      </c>
      <c r="AP114" s="57" t="s">
        <v>3229</v>
      </c>
      <c r="AQ114" s="57" t="s">
        <v>3230</v>
      </c>
    </row>
    <row r="115" ht="15.0" customHeight="1">
      <c r="A115" s="116" t="s">
        <v>3231</v>
      </c>
      <c r="B115" s="182">
        <v>46066.0</v>
      </c>
      <c r="C115" s="182">
        <v>46061.0</v>
      </c>
      <c r="D115" s="57" t="s">
        <v>295</v>
      </c>
      <c r="E115" s="3">
        <f t="array" ref="E115">XLOOKUP(D115,RUC!$B$3:$B$110,RUC!$D$3:$D$110)</f>
        <v>20601769396</v>
      </c>
      <c r="G115" s="3">
        <v>25.0</v>
      </c>
      <c r="H115" s="3" t="s">
        <v>339</v>
      </c>
      <c r="I115" s="6">
        <v>2.22</v>
      </c>
      <c r="J115" s="58">
        <v>16.55</v>
      </c>
      <c r="K115" s="6">
        <f t="shared" si="2"/>
        <v>1.853</v>
      </c>
      <c r="L115" s="139">
        <v>0.426</v>
      </c>
      <c r="M115" s="60">
        <f t="shared" si="45"/>
        <v>0.4</v>
      </c>
      <c r="N115" s="62">
        <f t="shared" si="49"/>
        <v>0.4</v>
      </c>
      <c r="O115" s="60">
        <f t="shared" si="5"/>
        <v>0.4</v>
      </c>
      <c r="P115" s="63">
        <v>86.0</v>
      </c>
      <c r="Q115" s="58">
        <v>86.38</v>
      </c>
      <c r="R115" s="65">
        <v>5039.55</v>
      </c>
      <c r="S115" s="66">
        <f t="array" ref="S115">IF((XLOOKUP(D115,RUC!$B$3:$B$106,RUC!$E$3:$E$106)+ROUNDDOWN(O115,1)*100)&lt;95,95,((XLOOKUP(D115,RUC!$B$3:$B$106,RUC!$E$3:$E$106)+ROUNDDOWN(O115,1)*100)))</f>
        <v>130</v>
      </c>
      <c r="U115" s="67">
        <f t="array" ref="U115">XLOOKUP(D115,RUC!$B$3:$B$110,RUC!$F$3:$F$110)</f>
        <v>120</v>
      </c>
      <c r="V115" s="67">
        <v>1.1023</v>
      </c>
      <c r="Y115" s="57">
        <f t="array" ref="Y115">XLOOKUP(D115,RUC!$B$3:$B$110,RUC!$G$3:$G$110)</f>
        <v>20</v>
      </c>
      <c r="Z115" s="69">
        <f t="array" ref="Z115">XLOOKUP(D115,RUC!$B$3:$B$110,RUC!$H$3:$H$110)</f>
        <v>30</v>
      </c>
      <c r="AA115" s="70">
        <f t="shared" si="6"/>
        <v>50</v>
      </c>
      <c r="AB115" s="71">
        <f t="shared" si="23"/>
        <v>1667.036068</v>
      </c>
      <c r="AC115" s="71">
        <f>+(S115-T115)*V115-'data 1'!$F$4</f>
        <v>63.299</v>
      </c>
      <c r="AD115" s="71">
        <f t="shared" si="7"/>
        <v>8.778460959</v>
      </c>
      <c r="AE115" s="71">
        <f t="shared" si="8"/>
        <v>-14.885</v>
      </c>
      <c r="AF115" s="71">
        <f t="shared" si="9"/>
        <v>121.790029</v>
      </c>
      <c r="AG115" s="72">
        <f t="shared" ref="AG115:AG137" si="50">AC115+AD115+AE115+AF115+70-10</f>
        <v>238.98249</v>
      </c>
      <c r="AH115" s="193">
        <f t="shared" si="11"/>
        <v>23.378</v>
      </c>
      <c r="AI115" s="193">
        <f t="shared" si="12"/>
        <v>27.064</v>
      </c>
      <c r="AJ115" s="73">
        <f t="shared" si="13"/>
        <v>-7.929930261</v>
      </c>
      <c r="AK115" s="73">
        <f t="shared" si="14"/>
        <v>21.85460348</v>
      </c>
      <c r="AM115" s="51">
        <f t="shared" si="15"/>
        <v>3089.017834</v>
      </c>
      <c r="AN115" s="51" t="str">
        <f t="array" ref="AN115">XLOOKUP(D115,RUC!$B$3:$B$565,RUC!$M$3:$M$565)</f>
        <v>Evelyn</v>
      </c>
      <c r="AO115" s="131" t="s">
        <v>547</v>
      </c>
      <c r="AP115" s="57" t="s">
        <v>2448</v>
      </c>
      <c r="AQ115" s="57" t="s">
        <v>1292</v>
      </c>
    </row>
    <row r="116" ht="15.0" customHeight="1">
      <c r="A116" s="116" t="s">
        <v>3232</v>
      </c>
      <c r="B116" s="182">
        <v>46066.0</v>
      </c>
      <c r="C116" s="182">
        <v>46061.0</v>
      </c>
      <c r="D116" s="57" t="s">
        <v>295</v>
      </c>
      <c r="E116" s="3">
        <f t="array" ref="E116">XLOOKUP(D116,RUC!$B$3:$B$110,RUC!$D$3:$D$110)</f>
        <v>20601769396</v>
      </c>
      <c r="G116" s="3">
        <v>25.0</v>
      </c>
      <c r="H116" s="3" t="s">
        <v>339</v>
      </c>
      <c r="I116" s="6">
        <v>2.32</v>
      </c>
      <c r="J116" s="58">
        <v>15.2</v>
      </c>
      <c r="K116" s="6">
        <f t="shared" si="2"/>
        <v>1.967</v>
      </c>
      <c r="L116" s="139">
        <v>0.544</v>
      </c>
      <c r="M116" s="60">
        <f t="shared" si="45"/>
        <v>0.511</v>
      </c>
      <c r="N116" s="62">
        <f t="shared" si="49"/>
        <v>0.511</v>
      </c>
      <c r="O116" s="60">
        <f t="shared" si="5"/>
        <v>0.511</v>
      </c>
      <c r="P116" s="63">
        <v>90.0</v>
      </c>
      <c r="Q116" s="58">
        <v>91.91</v>
      </c>
      <c r="R116" s="65">
        <v>5039.55</v>
      </c>
      <c r="S116" s="66">
        <f t="array" ref="S116">IF((XLOOKUP(D116,RUC!$B$3:$B$106,RUC!$E$3:$E$106)+ROUNDDOWN(O116,1)*100)&lt;95,95,((XLOOKUP(D116,RUC!$B$3:$B$106,RUC!$E$3:$E$106)+ROUNDDOWN(O116,1)*100)))</f>
        <v>140</v>
      </c>
      <c r="U116" s="67">
        <f t="array" ref="U116">XLOOKUP(D116,RUC!$B$3:$B$110,RUC!$F$3:$F$110)</f>
        <v>120</v>
      </c>
      <c r="V116" s="67">
        <v>1.1023</v>
      </c>
      <c r="Y116" s="57">
        <f t="array" ref="Y116">XLOOKUP(D116,RUC!$B$3:$B$110,RUC!$G$3:$G$110)</f>
        <v>20</v>
      </c>
      <c r="Z116" s="69">
        <f t="array" ref="Z116">XLOOKUP(D116,RUC!$B$3:$B$110,RUC!$H$3:$H$110)</f>
        <v>30</v>
      </c>
      <c r="AA116" s="70">
        <f t="shared" si="6"/>
        <v>50</v>
      </c>
      <c r="AB116" s="71">
        <f t="shared" si="23"/>
        <v>2284.517902</v>
      </c>
      <c r="AC116" s="71">
        <f>+(S116-T116)*V116-'data 1'!$F$4</f>
        <v>74.322</v>
      </c>
      <c r="AD116" s="71">
        <f t="shared" si="7"/>
        <v>56.34526856</v>
      </c>
      <c r="AE116" s="71">
        <f t="shared" si="8"/>
        <v>-14.885</v>
      </c>
      <c r="AF116" s="71">
        <f t="shared" si="9"/>
        <v>164.4757564</v>
      </c>
      <c r="AG116" s="72">
        <f t="shared" si="50"/>
        <v>340.2580249</v>
      </c>
      <c r="AH116" s="193">
        <f t="shared" si="11"/>
        <v>33.719</v>
      </c>
      <c r="AI116" s="193">
        <f t="shared" si="12"/>
        <v>36.687</v>
      </c>
      <c r="AJ116" s="73">
        <f t="shared" si="13"/>
        <v>-10.77477562</v>
      </c>
      <c r="AK116" s="73">
        <f t="shared" si="14"/>
        <v>31.01536088</v>
      </c>
      <c r="AM116" s="51">
        <f t="shared" si="15"/>
        <v>4493.646713</v>
      </c>
      <c r="AN116" s="51" t="str">
        <f t="array" ref="AN116">XLOOKUP(D116,RUC!$B$3:$B$565,RUC!$M$3:$M$565)</f>
        <v>Evelyn</v>
      </c>
      <c r="AO116" s="131" t="s">
        <v>547</v>
      </c>
      <c r="AP116" s="57" t="s">
        <v>2448</v>
      </c>
      <c r="AQ116" s="57" t="s">
        <v>1292</v>
      </c>
    </row>
    <row r="117" ht="15.0" customHeight="1">
      <c r="A117" s="116" t="s">
        <v>3233</v>
      </c>
      <c r="B117" s="182">
        <v>46066.0</v>
      </c>
      <c r="C117" s="182">
        <v>46061.0</v>
      </c>
      <c r="D117" s="57" t="s">
        <v>295</v>
      </c>
      <c r="E117" s="3">
        <f t="array" ref="E117">XLOOKUP(D117,RUC!$B$3:$B$110,RUC!$D$3:$D$110)</f>
        <v>20601769396</v>
      </c>
      <c r="G117" s="3">
        <v>25.0</v>
      </c>
      <c r="H117" s="3" t="s">
        <v>339</v>
      </c>
      <c r="I117" s="6">
        <v>2.26</v>
      </c>
      <c r="J117" s="58">
        <v>14.8</v>
      </c>
      <c r="K117" s="6">
        <f t="shared" si="2"/>
        <v>1.926</v>
      </c>
      <c r="L117" s="139">
        <v>0.551</v>
      </c>
      <c r="M117" s="60">
        <f t="shared" si="45"/>
        <v>0.518</v>
      </c>
      <c r="N117" s="62">
        <f t="shared" si="49"/>
        <v>0.518</v>
      </c>
      <c r="O117" s="60">
        <f t="shared" si="5"/>
        <v>0.518</v>
      </c>
      <c r="P117" s="63">
        <v>90.0</v>
      </c>
      <c r="Q117" s="58">
        <v>94.19</v>
      </c>
      <c r="R117" s="65">
        <v>5039.55</v>
      </c>
      <c r="S117" s="66">
        <f t="array" ref="S117">IF((XLOOKUP(D117,RUC!$B$3:$B$106,RUC!$E$3:$E$106)+ROUNDDOWN(O117,1)*100)&lt;95,95,((XLOOKUP(D117,RUC!$B$3:$B$106,RUC!$E$3:$E$106)+ROUNDDOWN(O117,1)*100)))</f>
        <v>140</v>
      </c>
      <c r="U117" s="67">
        <f t="array" ref="U117">XLOOKUP(D117,RUC!$B$3:$B$110,RUC!$F$3:$F$110)</f>
        <v>120</v>
      </c>
      <c r="V117" s="67">
        <v>1.1023</v>
      </c>
      <c r="Y117" s="57">
        <f t="array" ref="Y117">XLOOKUP(D117,RUC!$B$3:$B$110,RUC!$G$3:$G$110)</f>
        <v>20</v>
      </c>
      <c r="Z117" s="69">
        <f t="array" ref="Z117">XLOOKUP(D117,RUC!$B$3:$B$110,RUC!$H$3:$H$110)</f>
        <v>30</v>
      </c>
      <c r="AA117" s="70">
        <f t="shared" si="6"/>
        <v>50</v>
      </c>
      <c r="AB117" s="71">
        <f t="shared" si="23"/>
        <v>2318.681668</v>
      </c>
      <c r="AC117" s="71">
        <f>+(S117-T117)*V117-'data 1'!$F$4</f>
        <v>74.322</v>
      </c>
      <c r="AD117" s="71">
        <f t="shared" si="7"/>
        <v>125.1961022</v>
      </c>
      <c r="AE117" s="71">
        <f t="shared" si="8"/>
        <v>-14.885</v>
      </c>
      <c r="AF117" s="71">
        <f t="shared" si="9"/>
        <v>168.5558861</v>
      </c>
      <c r="AG117" s="72">
        <f t="shared" si="50"/>
        <v>413.1889884</v>
      </c>
      <c r="AH117" s="193">
        <f t="shared" si="11"/>
        <v>34.271</v>
      </c>
      <c r="AI117" s="193">
        <f t="shared" si="12"/>
        <v>36.385</v>
      </c>
      <c r="AJ117" s="73">
        <f t="shared" si="13"/>
        <v>-11.18414953</v>
      </c>
      <c r="AK117" s="73">
        <f t="shared" si="14"/>
        <v>30.78489107</v>
      </c>
      <c r="AM117" s="51">
        <f t="shared" si="15"/>
        <v>4465.780892</v>
      </c>
      <c r="AN117" s="51" t="str">
        <f t="array" ref="AN117">XLOOKUP(D117,RUC!$B$3:$B$565,RUC!$M$3:$M$565)</f>
        <v>Evelyn</v>
      </c>
      <c r="AO117" s="131" t="s">
        <v>547</v>
      </c>
      <c r="AP117" s="57" t="s">
        <v>2448</v>
      </c>
      <c r="AQ117" s="57" t="s">
        <v>1292</v>
      </c>
    </row>
    <row r="118" ht="15.0" customHeight="1">
      <c r="A118" s="116" t="s">
        <v>3234</v>
      </c>
      <c r="B118" s="182">
        <v>46066.0</v>
      </c>
      <c r="C118" s="182">
        <v>46061.0</v>
      </c>
      <c r="D118" s="57" t="s">
        <v>295</v>
      </c>
      <c r="E118" s="3">
        <f t="array" ref="E118">XLOOKUP(D118,RUC!$B$3:$B$110,RUC!$D$3:$D$110)</f>
        <v>20601769396</v>
      </c>
      <c r="G118" s="3">
        <v>25.0</v>
      </c>
      <c r="H118" s="3" t="s">
        <v>339</v>
      </c>
      <c r="I118" s="6">
        <v>2.27</v>
      </c>
      <c r="J118" s="58">
        <v>15.8</v>
      </c>
      <c r="K118" s="6">
        <f t="shared" si="2"/>
        <v>1.911</v>
      </c>
      <c r="L118" s="139">
        <v>0.567</v>
      </c>
      <c r="M118" s="60">
        <f t="shared" si="45"/>
        <v>0.533</v>
      </c>
      <c r="N118" s="62">
        <f t="shared" si="49"/>
        <v>0.533</v>
      </c>
      <c r="O118" s="60">
        <f t="shared" si="5"/>
        <v>0.533</v>
      </c>
      <c r="P118" s="63">
        <v>90.0</v>
      </c>
      <c r="Q118" s="58">
        <v>92.42</v>
      </c>
      <c r="R118" s="65">
        <v>5039.55</v>
      </c>
      <c r="S118" s="66">
        <f t="array" ref="S118">IF((XLOOKUP(D118,RUC!$B$3:$B$106,RUC!$E$3:$E$106)+ROUNDDOWN(O118,1)*100)&lt;95,95,((XLOOKUP(D118,RUC!$B$3:$B$106,RUC!$E$3:$E$106)+ROUNDDOWN(O118,1)*100)))</f>
        <v>140</v>
      </c>
      <c r="U118" s="67">
        <f t="array" ref="U118">XLOOKUP(D118,RUC!$B$3:$B$110,RUC!$F$3:$F$110)</f>
        <v>120</v>
      </c>
      <c r="V118" s="67">
        <v>1.1023</v>
      </c>
      <c r="Y118" s="57">
        <f t="array" ref="Y118">XLOOKUP(D118,RUC!$B$3:$B$110,RUC!$G$3:$G$110)</f>
        <v>20</v>
      </c>
      <c r="Z118" s="69">
        <f t="array" ref="Z118">XLOOKUP(D118,RUC!$B$3:$B$110,RUC!$H$3:$H$110)</f>
        <v>30</v>
      </c>
      <c r="AA118" s="70">
        <f t="shared" si="6"/>
        <v>50</v>
      </c>
      <c r="AB118" s="71">
        <f t="shared" si="23"/>
        <v>2391.889737</v>
      </c>
      <c r="AC118" s="71">
        <f>+(S118-T118)*V118-'data 1'!$F$4</f>
        <v>74.322</v>
      </c>
      <c r="AD118" s="71">
        <f t="shared" si="7"/>
        <v>74.40868187</v>
      </c>
      <c r="AE118" s="71">
        <f t="shared" si="8"/>
        <v>-14.885</v>
      </c>
      <c r="AF118" s="71">
        <f t="shared" si="9"/>
        <v>170.4001872</v>
      </c>
      <c r="AG118" s="72">
        <f t="shared" si="50"/>
        <v>364.2458691</v>
      </c>
      <c r="AH118" s="193">
        <f t="shared" si="11"/>
        <v>34.334</v>
      </c>
      <c r="AI118" s="193">
        <f t="shared" si="12"/>
        <v>37.149</v>
      </c>
      <c r="AJ118" s="73">
        <f t="shared" si="13"/>
        <v>-11.29264283</v>
      </c>
      <c r="AK118" s="73">
        <f t="shared" si="14"/>
        <v>31.42964494</v>
      </c>
      <c r="AM118" s="51">
        <f t="shared" si="15"/>
        <v>4570.901288</v>
      </c>
      <c r="AN118" s="51" t="str">
        <f t="array" ref="AN118">XLOOKUP(D118,RUC!$B$3:$B$565,RUC!$M$3:$M$565)</f>
        <v>Evelyn</v>
      </c>
      <c r="AO118" s="131" t="s">
        <v>547</v>
      </c>
      <c r="AP118" s="57" t="s">
        <v>2448</v>
      </c>
      <c r="AQ118" s="57" t="s">
        <v>1292</v>
      </c>
    </row>
    <row r="119" ht="15.0" customHeight="1">
      <c r="A119" s="116" t="s">
        <v>3235</v>
      </c>
      <c r="B119" s="182">
        <v>46071.0</v>
      </c>
      <c r="C119" s="182">
        <v>46061.0</v>
      </c>
      <c r="D119" s="57" t="s">
        <v>295</v>
      </c>
      <c r="E119" s="3">
        <f t="array" ref="E119">XLOOKUP(D119,RUC!$B$3:$B$110,RUC!$D$3:$D$110)</f>
        <v>20601769396</v>
      </c>
      <c r="G119" s="3">
        <v>41.0</v>
      </c>
      <c r="H119" s="3" t="s">
        <v>47</v>
      </c>
      <c r="I119" s="6">
        <v>2.92</v>
      </c>
      <c r="J119" s="58">
        <v>16.2</v>
      </c>
      <c r="K119" s="6">
        <f t="shared" si="2"/>
        <v>2.447</v>
      </c>
      <c r="L119" s="139">
        <v>0.351</v>
      </c>
      <c r="M119" s="60">
        <f t="shared" si="45"/>
        <v>0.33</v>
      </c>
      <c r="N119" s="62">
        <f t="shared" si="49"/>
        <v>0.33</v>
      </c>
      <c r="O119" s="60">
        <f t="shared" si="5"/>
        <v>0.33</v>
      </c>
      <c r="P119" s="63">
        <v>90.0</v>
      </c>
      <c r="Q119" s="58">
        <v>95.015</v>
      </c>
      <c r="R119" s="65">
        <v>5039.55</v>
      </c>
      <c r="S119" s="66">
        <f t="array" ref="S119">IF((XLOOKUP(D119,RUC!$B$3:$B$106,RUC!$E$3:$E$106)+ROUNDDOWN(O119,1)*100)&lt;95,95,((XLOOKUP(D119,RUC!$B$3:$B$106,RUC!$E$3:$E$106)+ROUNDDOWN(O119,1)*100)))</f>
        <v>120</v>
      </c>
      <c r="U119" s="67">
        <f t="array" ref="U119">XLOOKUP(D119,RUC!$B$3:$B$110,RUC!$F$3:$F$110)</f>
        <v>120</v>
      </c>
      <c r="V119" s="67">
        <v>1.1023</v>
      </c>
      <c r="Y119" s="57">
        <f t="array" ref="Y119">XLOOKUP(D119,RUC!$B$3:$B$110,RUC!$G$3:$G$110)</f>
        <v>20</v>
      </c>
      <c r="Z119" s="140">
        <v>80.0</v>
      </c>
      <c r="AA119" s="70">
        <f t="shared" si="6"/>
        <v>100</v>
      </c>
      <c r="AB119" s="71">
        <f t="shared" si="23"/>
        <v>1368.07153</v>
      </c>
      <c r="AC119" s="71">
        <f>+(S119-T119)*V119-'data 1'!$F$4</f>
        <v>52.276</v>
      </c>
      <c r="AD119" s="71">
        <f t="shared" si="7"/>
        <v>95.45600186</v>
      </c>
      <c r="AE119" s="71">
        <f t="shared" si="8"/>
        <v>40.23</v>
      </c>
      <c r="AF119" s="71">
        <f t="shared" si="9"/>
        <v>108.2023402</v>
      </c>
      <c r="AG119" s="72">
        <f t="shared" si="50"/>
        <v>356.164342</v>
      </c>
      <c r="AH119" s="193">
        <f t="shared" si="11"/>
        <v>27.98</v>
      </c>
      <c r="AI119" s="193">
        <f t="shared" si="12"/>
        <v>29.448</v>
      </c>
      <c r="AJ119" s="73">
        <f t="shared" si="13"/>
        <v>-7.186970435</v>
      </c>
      <c r="AK119" s="73">
        <f t="shared" si="14"/>
        <v>24.91721433</v>
      </c>
      <c r="AM119" s="51">
        <f t="shared" si="15"/>
        <v>3347.671033</v>
      </c>
      <c r="AN119" s="51" t="str">
        <f t="array" ref="AN119">XLOOKUP(D119,RUC!$B$3:$B$565,RUC!$M$3:$M$565)</f>
        <v>Evelyn</v>
      </c>
      <c r="AO119" s="131" t="s">
        <v>547</v>
      </c>
      <c r="AP119" s="57" t="s">
        <v>2978</v>
      </c>
      <c r="AQ119" s="57" t="s">
        <v>3236</v>
      </c>
      <c r="AR119" s="2" t="s">
        <v>3237</v>
      </c>
    </row>
    <row r="120" ht="15.0" customHeight="1">
      <c r="A120" s="116" t="s">
        <v>3238</v>
      </c>
      <c r="B120" s="182">
        <v>46071.0</v>
      </c>
      <c r="C120" s="182">
        <v>46061.0</v>
      </c>
      <c r="D120" s="57" t="s">
        <v>295</v>
      </c>
      <c r="E120" s="3">
        <f t="array" ref="E120">XLOOKUP(D120,RUC!$B$3:$B$110,RUC!$D$3:$D$110)</f>
        <v>20601769396</v>
      </c>
      <c r="G120" s="3">
        <v>40.0</v>
      </c>
      <c r="H120" s="3" t="s">
        <v>47</v>
      </c>
      <c r="I120" s="6">
        <v>2.86</v>
      </c>
      <c r="J120" s="58">
        <v>15.1</v>
      </c>
      <c r="K120" s="6">
        <f t="shared" si="2"/>
        <v>2.428</v>
      </c>
      <c r="L120" s="139">
        <v>0.335</v>
      </c>
      <c r="M120" s="60">
        <f t="shared" si="45"/>
        <v>0.315</v>
      </c>
      <c r="N120" s="62">
        <f t="shared" si="49"/>
        <v>0.315</v>
      </c>
      <c r="O120" s="60">
        <f t="shared" si="5"/>
        <v>0.315</v>
      </c>
      <c r="P120" s="63">
        <v>90.0</v>
      </c>
      <c r="Q120" s="58">
        <v>92.24000000000001</v>
      </c>
      <c r="R120" s="65">
        <v>5039.55</v>
      </c>
      <c r="S120" s="66">
        <f t="array" ref="S120">IF((XLOOKUP(D120,RUC!$B$3:$B$106,RUC!$E$3:$E$106)+ROUNDDOWN(O120,1)*100)&lt;95,95,((XLOOKUP(D120,RUC!$B$3:$B$106,RUC!$E$3:$E$106)+ROUNDDOWN(O120,1)*100)))</f>
        <v>120</v>
      </c>
      <c r="U120" s="67">
        <f t="array" ref="U120">XLOOKUP(D120,RUC!$B$3:$B$110,RUC!$F$3:$F$110)</f>
        <v>120</v>
      </c>
      <c r="V120" s="67">
        <v>1.1023</v>
      </c>
      <c r="Y120" s="57">
        <f t="array" ref="Y120">XLOOKUP(D120,RUC!$B$3:$B$110,RUC!$G$3:$G$110)</f>
        <v>20</v>
      </c>
      <c r="Z120" s="140">
        <v>80.0</v>
      </c>
      <c r="AA120" s="70">
        <f t="shared" si="6"/>
        <v>100</v>
      </c>
      <c r="AB120" s="71">
        <f t="shared" si="23"/>
        <v>1294.86346</v>
      </c>
      <c r="AC120" s="71">
        <f>+(S120-T120)*V120-'data 1'!$F$4</f>
        <v>52.276</v>
      </c>
      <c r="AD120" s="71">
        <f t="shared" si="7"/>
        <v>40.69284102</v>
      </c>
      <c r="AE120" s="71">
        <f t="shared" si="8"/>
        <v>40.23</v>
      </c>
      <c r="AF120" s="71">
        <f t="shared" si="9"/>
        <v>100.0401827</v>
      </c>
      <c r="AG120" s="72">
        <f t="shared" si="50"/>
        <v>293.2390237</v>
      </c>
      <c r="AH120" s="193">
        <f t="shared" si="11"/>
        <v>25.723</v>
      </c>
      <c r="AI120" s="193">
        <f t="shared" si="12"/>
        <v>27.887</v>
      </c>
      <c r="AJ120" s="73">
        <f t="shared" si="13"/>
        <v>-6.659025385</v>
      </c>
      <c r="AK120" s="73">
        <f t="shared" si="14"/>
        <v>23.59993544</v>
      </c>
      <c r="AM120" s="51">
        <f t="shared" si="15"/>
        <v>3143.928481</v>
      </c>
      <c r="AN120" s="51" t="str">
        <f t="array" ref="AN120">XLOOKUP(D120,RUC!$B$3:$B$565,RUC!$M$3:$M$565)</f>
        <v>Evelyn</v>
      </c>
      <c r="AO120" s="131" t="s">
        <v>547</v>
      </c>
      <c r="AP120" s="57" t="s">
        <v>2978</v>
      </c>
      <c r="AQ120" s="57" t="s">
        <v>3236</v>
      </c>
      <c r="AR120" s="2" t="s">
        <v>3237</v>
      </c>
    </row>
    <row r="121" ht="15.0" customHeight="1">
      <c r="A121" s="116" t="s">
        <v>3239</v>
      </c>
      <c r="B121" s="182">
        <v>46071.0</v>
      </c>
      <c r="C121" s="182">
        <v>46061.0</v>
      </c>
      <c r="D121" s="57" t="s">
        <v>295</v>
      </c>
      <c r="E121" s="3">
        <f t="array" ref="E121">XLOOKUP(D121,RUC!$B$3:$B$110,RUC!$D$3:$D$110)</f>
        <v>20601769396</v>
      </c>
      <c r="G121" s="3">
        <v>40.0</v>
      </c>
      <c r="H121" s="3" t="s">
        <v>47</v>
      </c>
      <c r="I121" s="6">
        <v>2.84</v>
      </c>
      <c r="J121" s="58">
        <v>15.3</v>
      </c>
      <c r="K121" s="6">
        <f t="shared" si="2"/>
        <v>2.405</v>
      </c>
      <c r="L121" s="139">
        <v>0.308</v>
      </c>
      <c r="M121" s="60">
        <f t="shared" si="45"/>
        <v>0.29</v>
      </c>
      <c r="N121" s="62">
        <f t="shared" si="49"/>
        <v>0.29</v>
      </c>
      <c r="O121" s="60">
        <f t="shared" si="5"/>
        <v>0.29</v>
      </c>
      <c r="P121" s="63">
        <v>90.0</v>
      </c>
      <c r="Q121" s="58">
        <v>96.10499999999999</v>
      </c>
      <c r="R121" s="65">
        <v>5039.55</v>
      </c>
      <c r="S121" s="66">
        <f t="array" ref="S121">IF((XLOOKUP(D121,RUC!$B$3:$B$106,RUC!$E$3:$E$106)+ROUNDDOWN(O121,1)*100)&lt;95,95,((XLOOKUP(D121,RUC!$B$3:$B$106,RUC!$E$3:$E$106)+ROUNDDOWN(O121,1)*100)))</f>
        <v>110</v>
      </c>
      <c r="U121" s="67">
        <f t="array" ref="U121">XLOOKUP(D121,RUC!$B$3:$B$110,RUC!$F$3:$F$110)</f>
        <v>120</v>
      </c>
      <c r="V121" s="67">
        <v>1.1023</v>
      </c>
      <c r="Y121" s="57">
        <f t="array" ref="Y121">XLOOKUP(D121,RUC!$B$3:$B$110,RUC!$G$3:$G$110)</f>
        <v>20</v>
      </c>
      <c r="Z121" s="140">
        <v>80.0</v>
      </c>
      <c r="AA121" s="70">
        <f t="shared" si="6"/>
        <v>100</v>
      </c>
      <c r="AB121" s="71">
        <f t="shared" si="23"/>
        <v>1183.873011</v>
      </c>
      <c r="AC121" s="71">
        <f>+(S121-T121)*V121-'data 1'!$F$4</f>
        <v>41.253</v>
      </c>
      <c r="AD121" s="71">
        <f t="shared" si="7"/>
        <v>101.9674529</v>
      </c>
      <c r="AE121" s="71">
        <f t="shared" si="8"/>
        <v>40.23</v>
      </c>
      <c r="AF121" s="71">
        <f t="shared" si="9"/>
        <v>93.80882029</v>
      </c>
      <c r="AG121" s="72">
        <f t="shared" si="50"/>
        <v>337.2592732</v>
      </c>
      <c r="AH121" s="193">
        <f t="shared" si="11"/>
        <v>24.407</v>
      </c>
      <c r="AI121" s="193">
        <f t="shared" si="12"/>
        <v>25.397</v>
      </c>
      <c r="AJ121" s="73">
        <f t="shared" si="13"/>
        <v>-6.37886291</v>
      </c>
      <c r="AK121" s="73">
        <f t="shared" si="14"/>
        <v>21.52110951</v>
      </c>
      <c r="AM121" s="51">
        <f t="shared" si="15"/>
        <v>2847.214591</v>
      </c>
      <c r="AN121" s="51" t="str">
        <f t="array" ref="AN121">XLOOKUP(D121,RUC!$B$3:$B$565,RUC!$M$3:$M$565)</f>
        <v>Evelyn</v>
      </c>
      <c r="AO121" s="131" t="s">
        <v>547</v>
      </c>
      <c r="AP121" s="57" t="s">
        <v>2978</v>
      </c>
      <c r="AQ121" s="57" t="s">
        <v>3236</v>
      </c>
      <c r="AR121" s="2" t="s">
        <v>3237</v>
      </c>
    </row>
    <row r="122" ht="15.0" customHeight="1">
      <c r="A122" s="116" t="s">
        <v>3240</v>
      </c>
      <c r="B122" s="182">
        <v>46071.0</v>
      </c>
      <c r="C122" s="182">
        <v>46061.0</v>
      </c>
      <c r="D122" s="57" t="s">
        <v>295</v>
      </c>
      <c r="E122" s="3">
        <f t="array" ref="E122">XLOOKUP(D122,RUC!$B$3:$B$110,RUC!$D$3:$D$110)</f>
        <v>20601769396</v>
      </c>
      <c r="G122" s="3">
        <v>40.0</v>
      </c>
      <c r="H122" s="3" t="s">
        <v>47</v>
      </c>
      <c r="I122" s="6">
        <v>2.85</v>
      </c>
      <c r="J122" s="58">
        <v>13.55</v>
      </c>
      <c r="K122" s="6">
        <f t="shared" si="2"/>
        <v>2.464</v>
      </c>
      <c r="L122" s="139">
        <v>0.273</v>
      </c>
      <c r="M122" s="60">
        <f t="shared" si="45"/>
        <v>0.254</v>
      </c>
      <c r="N122" s="62">
        <f t="shared" si="49"/>
        <v>0.254</v>
      </c>
      <c r="O122" s="60">
        <f t="shared" si="5"/>
        <v>0.254</v>
      </c>
      <c r="P122" s="63">
        <v>90.0</v>
      </c>
      <c r="Q122" s="58">
        <v>91.75999999999999</v>
      </c>
      <c r="R122" s="65">
        <v>5039.55</v>
      </c>
      <c r="S122" s="66">
        <f t="array" ref="S122">IF((XLOOKUP(D122,RUC!$B$3:$B$106,RUC!$E$3:$E$106)+ROUNDDOWN(O122,1)*100)&lt;95,95,((XLOOKUP(D122,RUC!$B$3:$B$106,RUC!$E$3:$E$106)+ROUNDDOWN(O122,1)*100)))</f>
        <v>110</v>
      </c>
      <c r="U122" s="67">
        <f t="array" ref="U122">XLOOKUP(D122,RUC!$B$3:$B$110,RUC!$F$3:$F$110)</f>
        <v>120</v>
      </c>
      <c r="V122" s="67">
        <v>1.1023</v>
      </c>
      <c r="Y122" s="57">
        <f t="array" ref="Y122">XLOOKUP(D122,RUC!$B$3:$B$110,RUC!$G$3:$G$110)</f>
        <v>20</v>
      </c>
      <c r="Z122" s="140">
        <v>80.0</v>
      </c>
      <c r="AA122" s="70">
        <f t="shared" si="6"/>
        <v>100</v>
      </c>
      <c r="AB122" s="71">
        <f t="shared" si="23"/>
        <v>1008.173644</v>
      </c>
      <c r="AC122" s="71">
        <f>+(S122-T122)*V122-'data 1'!$F$4</f>
        <v>41.253</v>
      </c>
      <c r="AD122" s="71">
        <f t="shared" si="7"/>
        <v>26.05556537</v>
      </c>
      <c r="AE122" s="71">
        <f t="shared" si="8"/>
        <v>40.23</v>
      </c>
      <c r="AF122" s="71">
        <f t="shared" si="9"/>
        <v>94.5436124</v>
      </c>
      <c r="AG122" s="72">
        <f t="shared" si="50"/>
        <v>262.0821778</v>
      </c>
      <c r="AH122" s="193">
        <f t="shared" si="11"/>
        <v>21.162</v>
      </c>
      <c r="AI122" s="193">
        <f t="shared" si="12"/>
        <v>23.063</v>
      </c>
      <c r="AJ122" s="73">
        <f t="shared" si="13"/>
        <v>-5.398369672</v>
      </c>
      <c r="AK122" s="73">
        <f t="shared" si="14"/>
        <v>19.31194424</v>
      </c>
      <c r="AM122" s="51">
        <f t="shared" si="15"/>
        <v>2484.139859</v>
      </c>
      <c r="AN122" s="51" t="str">
        <f t="array" ref="AN122">XLOOKUP(D122,RUC!$B$3:$B$565,RUC!$M$3:$M$565)</f>
        <v>Evelyn</v>
      </c>
      <c r="AO122" s="131" t="s">
        <v>547</v>
      </c>
      <c r="AP122" s="57" t="s">
        <v>2978</v>
      </c>
      <c r="AQ122" s="57" t="s">
        <v>3236</v>
      </c>
      <c r="AR122" s="2" t="s">
        <v>3237</v>
      </c>
    </row>
    <row r="123" ht="15.0" customHeight="1">
      <c r="A123" s="116" t="s">
        <v>3241</v>
      </c>
      <c r="B123" s="182">
        <v>46071.0</v>
      </c>
      <c r="C123" s="182">
        <v>46061.0</v>
      </c>
      <c r="D123" s="57" t="s">
        <v>295</v>
      </c>
      <c r="E123" s="3">
        <f t="array" ref="E123">XLOOKUP(D123,RUC!$B$3:$B$110,RUC!$D$3:$D$110)</f>
        <v>20601769396</v>
      </c>
      <c r="G123" s="3">
        <v>40.0</v>
      </c>
      <c r="H123" s="3" t="s">
        <v>47</v>
      </c>
      <c r="I123" s="6">
        <v>2.84</v>
      </c>
      <c r="J123" s="58">
        <v>15.5</v>
      </c>
      <c r="K123" s="6">
        <f t="shared" si="2"/>
        <v>2.4</v>
      </c>
      <c r="L123" s="139">
        <v>0.312</v>
      </c>
      <c r="M123" s="60">
        <f t="shared" si="45"/>
        <v>0.293</v>
      </c>
      <c r="N123" s="62">
        <f t="shared" si="49"/>
        <v>0.293</v>
      </c>
      <c r="O123" s="60">
        <f t="shared" si="5"/>
        <v>0.293</v>
      </c>
      <c r="P123" s="63">
        <v>90.0</v>
      </c>
      <c r="Q123" s="58">
        <v>95.03</v>
      </c>
      <c r="R123" s="65">
        <v>5039.55</v>
      </c>
      <c r="S123" s="66">
        <f t="array" ref="S123">IF((XLOOKUP(D123,RUC!$B$3:$B$106,RUC!$E$3:$E$106)+ROUNDDOWN(O123,1)*100)&lt;95,95,((XLOOKUP(D123,RUC!$B$3:$B$106,RUC!$E$3:$E$106)+ROUNDDOWN(O123,1)*100)))</f>
        <v>110</v>
      </c>
      <c r="U123" s="67">
        <f t="array" ref="U123">XLOOKUP(D123,RUC!$B$3:$B$110,RUC!$F$3:$F$110)</f>
        <v>120</v>
      </c>
      <c r="V123" s="67">
        <v>1.1023</v>
      </c>
      <c r="Y123" s="57">
        <f t="array" ref="Y123">XLOOKUP(D123,RUC!$B$3:$B$110,RUC!$G$3:$G$110)</f>
        <v>20</v>
      </c>
      <c r="Z123" s="140">
        <v>80.0</v>
      </c>
      <c r="AA123" s="70">
        <f t="shared" si="6"/>
        <v>100</v>
      </c>
      <c r="AB123" s="71">
        <f t="shared" si="23"/>
        <v>1198.514625</v>
      </c>
      <c r="AC123" s="71">
        <f>+(S123-T123)*V123-'data 1'!$F$4</f>
        <v>41.253</v>
      </c>
      <c r="AD123" s="71">
        <f t="shared" si="7"/>
        <v>85.1035674</v>
      </c>
      <c r="AE123" s="71">
        <f t="shared" si="8"/>
        <v>40.23</v>
      </c>
      <c r="AF123" s="71">
        <f t="shared" si="9"/>
        <v>97.91281044</v>
      </c>
      <c r="AG123" s="72">
        <f t="shared" si="50"/>
        <v>324.4993778</v>
      </c>
      <c r="AH123" s="193">
        <f t="shared" si="11"/>
        <v>24.397</v>
      </c>
      <c r="AI123" s="193">
        <f t="shared" si="12"/>
        <v>25.673</v>
      </c>
      <c r="AJ123" s="73">
        <f t="shared" si="13"/>
        <v>-6.389426703</v>
      </c>
      <c r="AK123" s="73">
        <f t="shared" si="14"/>
        <v>21.69853639</v>
      </c>
      <c r="AM123" s="51">
        <f t="shared" si="15"/>
        <v>2876.435099</v>
      </c>
      <c r="AN123" s="51" t="str">
        <f t="array" ref="AN123">XLOOKUP(D123,RUC!$B$3:$B$565,RUC!$M$3:$M$565)</f>
        <v>Evelyn</v>
      </c>
      <c r="AO123" s="131" t="s">
        <v>547</v>
      </c>
      <c r="AP123" s="57" t="s">
        <v>2978</v>
      </c>
      <c r="AQ123" s="57" t="s">
        <v>3236</v>
      </c>
      <c r="AR123" s="2" t="s">
        <v>3237</v>
      </c>
    </row>
    <row r="124" ht="15.0" customHeight="1">
      <c r="A124" s="116" t="s">
        <v>3242</v>
      </c>
      <c r="B124" s="182">
        <v>46072.0</v>
      </c>
      <c r="C124" s="182">
        <v>46064.0</v>
      </c>
      <c r="D124" s="57" t="s">
        <v>295</v>
      </c>
      <c r="E124" s="3">
        <f t="array" ref="E124">XLOOKUP(D124,RUC!$B$3:$B$110,RUC!$D$3:$D$110)</f>
        <v>20601769396</v>
      </c>
      <c r="G124" s="3">
        <v>51.0</v>
      </c>
      <c r="H124" s="3" t="s">
        <v>339</v>
      </c>
      <c r="I124" s="6">
        <v>4.09</v>
      </c>
      <c r="J124" s="58">
        <v>10.0</v>
      </c>
      <c r="K124" s="6">
        <f t="shared" si="2"/>
        <v>3.681</v>
      </c>
      <c r="L124" s="139">
        <v>0.241</v>
      </c>
      <c r="M124" s="60">
        <f t="shared" si="45"/>
        <v>0.222</v>
      </c>
      <c r="N124" s="75">
        <v>0.28</v>
      </c>
      <c r="O124" s="60">
        <f t="shared" si="5"/>
        <v>0.251</v>
      </c>
      <c r="P124" s="63">
        <v>90.0</v>
      </c>
      <c r="Q124" s="58">
        <v>91.495</v>
      </c>
      <c r="R124" s="65">
        <v>5077.85</v>
      </c>
      <c r="S124" s="66">
        <f t="array" ref="S124">IF((XLOOKUP(D124,RUC!$B$3:$B$106,RUC!$E$3:$E$106)+ROUNDDOWN(O124,1)*100)&lt;95,95,((XLOOKUP(D124,RUC!$B$3:$B$106,RUC!$E$3:$E$106)+ROUNDDOWN(O124,1)*100)))</f>
        <v>110</v>
      </c>
      <c r="U124" s="67">
        <f t="array" ref="U124">XLOOKUP(D124,RUC!$B$3:$B$110,RUC!$F$3:$F$110)</f>
        <v>120</v>
      </c>
      <c r="V124" s="67">
        <v>1.1023</v>
      </c>
      <c r="Y124" s="199">
        <v>50.0</v>
      </c>
      <c r="Z124" s="69">
        <f t="array" ref="Z124">XLOOKUP(D124,RUC!$B$3:$B$110,RUC!$H$3:$H$110)</f>
        <v>30</v>
      </c>
      <c r="AA124" s="70">
        <f t="shared" si="6"/>
        <v>80</v>
      </c>
      <c r="AB124" s="71">
        <f t="shared" si="23"/>
        <v>1025.115097</v>
      </c>
      <c r="AC124" s="71">
        <f>+(S124-T124)*V124-'data 1'!$F$4</f>
        <v>41.253</v>
      </c>
      <c r="AD124" s="71">
        <f t="shared" si="7"/>
        <v>19.69025886</v>
      </c>
      <c r="AE124" s="71">
        <f t="shared" si="8"/>
        <v>18.184</v>
      </c>
      <c r="AF124" s="71">
        <f t="shared" si="9"/>
        <v>-50.00236568</v>
      </c>
      <c r="AG124" s="72">
        <f t="shared" si="50"/>
        <v>89.12489318</v>
      </c>
      <c r="AH124" s="193">
        <f t="shared" si="11"/>
        <v>27.828</v>
      </c>
      <c r="AI124" s="193">
        <f t="shared" si="12"/>
        <v>30.415</v>
      </c>
      <c r="AJ124" s="73">
        <f t="shared" si="13"/>
        <v>-14.06104424</v>
      </c>
      <c r="AK124" s="73">
        <f t="shared" si="14"/>
        <v>28.50959958</v>
      </c>
      <c r="AM124" s="51">
        <f t="shared" si="15"/>
        <v>3773.448671</v>
      </c>
      <c r="AN124" s="51" t="str">
        <f t="array" ref="AN124">XLOOKUP(D124,RUC!$B$3:$B$565,RUC!$M$3:$M$565)</f>
        <v>Evelyn</v>
      </c>
      <c r="AO124" s="131" t="s">
        <v>549</v>
      </c>
      <c r="AP124" s="57" t="s">
        <v>3243</v>
      </c>
      <c r="AQ124" s="57" t="s">
        <v>3244</v>
      </c>
    </row>
    <row r="125" ht="15.0" customHeight="1">
      <c r="A125" s="116" t="s">
        <v>3245</v>
      </c>
      <c r="B125" s="182">
        <v>46072.0</v>
      </c>
      <c r="C125" s="182">
        <v>46064.0</v>
      </c>
      <c r="D125" s="57" t="s">
        <v>295</v>
      </c>
      <c r="E125" s="3">
        <f t="array" ref="E125">XLOOKUP(D125,RUC!$B$3:$B$110,RUC!$D$3:$D$110)</f>
        <v>20601769396</v>
      </c>
      <c r="G125" s="3">
        <v>50.0</v>
      </c>
      <c r="H125" s="3" t="s">
        <v>339</v>
      </c>
      <c r="I125" s="6">
        <v>4.01</v>
      </c>
      <c r="J125" s="58">
        <v>13.3</v>
      </c>
      <c r="K125" s="6">
        <f t="shared" si="2"/>
        <v>3.477</v>
      </c>
      <c r="L125" s="139">
        <v>0.207</v>
      </c>
      <c r="M125" s="60">
        <f t="shared" si="45"/>
        <v>0.188</v>
      </c>
      <c r="N125" s="75">
        <v>0.254</v>
      </c>
      <c r="O125" s="60">
        <f t="shared" si="5"/>
        <v>0.221</v>
      </c>
      <c r="P125" s="63">
        <v>89.0</v>
      </c>
      <c r="Q125" s="58">
        <v>89.13</v>
      </c>
      <c r="R125" s="65">
        <v>5077.85</v>
      </c>
      <c r="S125" s="66">
        <f t="array" ref="S125">IF((XLOOKUP(D125,RUC!$B$3:$B$106,RUC!$E$3:$E$106)+ROUNDDOWN(O125,1)*100)&lt;95,95,((XLOOKUP(D125,RUC!$B$3:$B$106,RUC!$E$3:$E$106)+ROUNDDOWN(O125,1)*100)))</f>
        <v>110</v>
      </c>
      <c r="U125" s="67">
        <f t="array" ref="U125">XLOOKUP(D125,RUC!$B$3:$B$110,RUC!$F$3:$F$110)</f>
        <v>120</v>
      </c>
      <c r="V125" s="67">
        <v>1.1023</v>
      </c>
      <c r="Y125" s="199">
        <v>50.0</v>
      </c>
      <c r="Z125" s="69">
        <f t="array" ref="Z125">XLOOKUP(D125,RUC!$B$3:$B$110,RUC!$H$3:$H$110)</f>
        <v>30</v>
      </c>
      <c r="AA125" s="70">
        <f t="shared" si="6"/>
        <v>80</v>
      </c>
      <c r="AB125" s="71">
        <f t="shared" si="23"/>
        <v>865.481335</v>
      </c>
      <c r="AC125" s="71">
        <f>+(S125-T125)*V125-'data 1'!$F$4</f>
        <v>41.253</v>
      </c>
      <c r="AD125" s="71">
        <f t="shared" si="7"/>
        <v>1.470641741</v>
      </c>
      <c r="AE125" s="71">
        <f t="shared" si="8"/>
        <v>18.184</v>
      </c>
      <c r="AF125" s="71">
        <f t="shared" si="9"/>
        <v>-68.19383786</v>
      </c>
      <c r="AG125" s="72">
        <f t="shared" si="50"/>
        <v>52.71380388</v>
      </c>
      <c r="AH125" s="193">
        <f t="shared" si="11"/>
        <v>21.994</v>
      </c>
      <c r="AI125" s="193">
        <f t="shared" si="12"/>
        <v>24.677</v>
      </c>
      <c r="AJ125" s="73">
        <f t="shared" si="13"/>
        <v>-11.76514876</v>
      </c>
      <c r="AK125" s="73">
        <f t="shared" si="14"/>
        <v>23.44747278</v>
      </c>
      <c r="AM125" s="51">
        <f t="shared" si="15"/>
        <v>3009.278602</v>
      </c>
      <c r="AN125" s="51" t="str">
        <f t="array" ref="AN125">XLOOKUP(D125,RUC!$B$3:$B$565,RUC!$M$3:$M$565)</f>
        <v>Evelyn</v>
      </c>
      <c r="AO125" s="131" t="s">
        <v>549</v>
      </c>
      <c r="AP125" s="57" t="s">
        <v>3243</v>
      </c>
      <c r="AQ125" s="57" t="s">
        <v>3244</v>
      </c>
    </row>
    <row r="126" ht="15.0" customHeight="1">
      <c r="A126" s="116" t="s">
        <v>3246</v>
      </c>
      <c r="B126" s="182">
        <v>46072.0</v>
      </c>
      <c r="C126" s="182">
        <v>46064.0</v>
      </c>
      <c r="D126" s="57" t="s">
        <v>295</v>
      </c>
      <c r="E126" s="3">
        <f t="array" ref="E126">XLOOKUP(D126,RUC!$B$3:$B$110,RUC!$D$3:$D$110)</f>
        <v>20601769396</v>
      </c>
      <c r="G126" s="3">
        <v>50.0</v>
      </c>
      <c r="H126" s="3" t="s">
        <v>339</v>
      </c>
      <c r="I126" s="6">
        <v>3.87</v>
      </c>
      <c r="J126" s="58">
        <v>14.16</v>
      </c>
      <c r="K126" s="6">
        <f t="shared" si="2"/>
        <v>3.322</v>
      </c>
      <c r="L126" s="139">
        <v>0.228</v>
      </c>
      <c r="M126" s="60">
        <f t="shared" si="45"/>
        <v>0.209</v>
      </c>
      <c r="N126" s="75">
        <v>0.277</v>
      </c>
      <c r="O126" s="60">
        <f t="shared" si="5"/>
        <v>0.243</v>
      </c>
      <c r="P126" s="63">
        <v>87.0</v>
      </c>
      <c r="Q126" s="58">
        <v>87.28</v>
      </c>
      <c r="R126" s="65">
        <v>5077.85</v>
      </c>
      <c r="S126" s="66">
        <f t="array" ref="S126">IF((XLOOKUP(D126,RUC!$B$3:$B$106,RUC!$E$3:$E$106)+ROUNDDOWN(O126,1)*100)&lt;95,95,((XLOOKUP(D126,RUC!$B$3:$B$106,RUC!$E$3:$E$106)+ROUNDDOWN(O126,1)*100)))</f>
        <v>110</v>
      </c>
      <c r="U126" s="67">
        <f t="array" ref="U126">XLOOKUP(D126,RUC!$B$3:$B$110,RUC!$F$3:$F$110)</f>
        <v>120</v>
      </c>
      <c r="V126" s="67">
        <v>1.1023</v>
      </c>
      <c r="Y126" s="199">
        <v>50.0</v>
      </c>
      <c r="Z126" s="69">
        <f t="array" ref="Z126">XLOOKUP(D126,RUC!$B$3:$B$110,RUC!$H$3:$H$110)</f>
        <v>30</v>
      </c>
      <c r="AA126" s="70">
        <f t="shared" si="6"/>
        <v>80</v>
      </c>
      <c r="AB126" s="71">
        <f t="shared" si="23"/>
        <v>945.9266952</v>
      </c>
      <c r="AC126" s="71">
        <f>+(S126-T126)*V126-'data 1'!$F$4</f>
        <v>41.253</v>
      </c>
      <c r="AD126" s="71">
        <f t="shared" si="7"/>
        <v>3.488880294</v>
      </c>
      <c r="AE126" s="71">
        <f t="shared" si="8"/>
        <v>18.184</v>
      </c>
      <c r="AF126" s="71">
        <f t="shared" si="9"/>
        <v>-71.54827822</v>
      </c>
      <c r="AG126" s="72">
        <f t="shared" si="50"/>
        <v>51.37760208</v>
      </c>
      <c r="AH126" s="193">
        <f t="shared" si="11"/>
        <v>22.665</v>
      </c>
      <c r="AI126" s="193">
        <f t="shared" si="12"/>
        <v>25.968</v>
      </c>
      <c r="AJ126" s="73">
        <f t="shared" si="13"/>
        <v>-12.68974092</v>
      </c>
      <c r="AK126" s="73">
        <f t="shared" si="14"/>
        <v>24.07876585</v>
      </c>
      <c r="AM126" s="51">
        <f t="shared" si="15"/>
        <v>3142.368481</v>
      </c>
      <c r="AN126" s="51" t="str">
        <f t="array" ref="AN126">XLOOKUP(D126,RUC!$B$3:$B$565,RUC!$M$3:$M$565)</f>
        <v>Evelyn</v>
      </c>
      <c r="AO126" s="131" t="s">
        <v>549</v>
      </c>
      <c r="AP126" s="57" t="s">
        <v>3243</v>
      </c>
      <c r="AQ126" s="57" t="s">
        <v>3244</v>
      </c>
    </row>
    <row r="127" ht="15.0" customHeight="1">
      <c r="A127" s="116" t="s">
        <v>3247</v>
      </c>
      <c r="B127" s="182">
        <v>46070.0</v>
      </c>
      <c r="C127" s="182">
        <v>46064.0</v>
      </c>
      <c r="D127" s="57" t="s">
        <v>295</v>
      </c>
      <c r="E127" s="3">
        <f t="array" ref="E127">XLOOKUP(D127,RUC!$B$3:$B$110,RUC!$D$3:$D$110)</f>
        <v>20601769396</v>
      </c>
      <c r="G127" s="3">
        <v>22.0</v>
      </c>
      <c r="H127" s="3" t="s">
        <v>339</v>
      </c>
      <c r="I127" s="6">
        <v>1.67</v>
      </c>
      <c r="J127" s="58">
        <v>12.9</v>
      </c>
      <c r="K127" s="6">
        <f t="shared" si="2"/>
        <v>1.455</v>
      </c>
      <c r="L127" s="139">
        <v>0.567</v>
      </c>
      <c r="M127" s="60">
        <f t="shared" si="45"/>
        <v>0.533</v>
      </c>
      <c r="N127" s="62">
        <f t="shared" ref="N127:N137" si="51">+M127</f>
        <v>0.533</v>
      </c>
      <c r="O127" s="60">
        <f t="shared" si="5"/>
        <v>0.533</v>
      </c>
      <c r="P127" s="63">
        <v>90.0</v>
      </c>
      <c r="Q127" s="58">
        <v>96.3</v>
      </c>
      <c r="R127" s="65">
        <v>5077.85</v>
      </c>
      <c r="S127" s="66">
        <f t="array" ref="S127">IF((XLOOKUP(D127,RUC!$B$3:$B$106,RUC!$E$3:$E$106)+ROUNDDOWN(O127,1)*100)&lt;95,95,((XLOOKUP(D127,RUC!$B$3:$B$106,RUC!$E$3:$E$106)+ROUNDDOWN(O127,1)*100)))</f>
        <v>140</v>
      </c>
      <c r="U127" s="67">
        <f t="array" ref="U127">XLOOKUP(D127,RUC!$B$3:$B$110,RUC!$F$3:$F$110)</f>
        <v>120</v>
      </c>
      <c r="V127" s="67">
        <v>1.1023</v>
      </c>
      <c r="Y127" s="57">
        <f t="array" ref="Y127">XLOOKUP(D127,RUC!$B$3:$B$110,RUC!$G$3:$G$110)</f>
        <v>20</v>
      </c>
      <c r="Z127" s="69">
        <f t="array" ref="Z127">XLOOKUP(D127,RUC!$B$3:$B$110,RUC!$H$3:$H$110)</f>
        <v>30</v>
      </c>
      <c r="AA127" s="70">
        <f t="shared" si="6"/>
        <v>50</v>
      </c>
      <c r="AB127" s="71">
        <f t="shared" si="23"/>
        <v>2412.141755</v>
      </c>
      <c r="AC127" s="71">
        <f>+(S127-T127)*V127-'data 1'!$F$4</f>
        <v>74.322</v>
      </c>
      <c r="AD127" s="71">
        <f t="shared" si="7"/>
        <v>195.2166244</v>
      </c>
      <c r="AE127" s="71">
        <f t="shared" si="8"/>
        <v>-14.885</v>
      </c>
      <c r="AF127" s="71">
        <f t="shared" si="9"/>
        <v>178.936276</v>
      </c>
      <c r="AG127" s="72">
        <f t="shared" si="50"/>
        <v>493.5899004</v>
      </c>
      <c r="AH127" s="193">
        <f t="shared" si="11"/>
        <v>27.238</v>
      </c>
      <c r="AI127" s="193">
        <f t="shared" si="12"/>
        <v>28.285</v>
      </c>
      <c r="AJ127" s="73">
        <f t="shared" si="13"/>
        <v>-34.81869716</v>
      </c>
      <c r="AK127" s="73">
        <f t="shared" si="14"/>
        <v>23.92994944</v>
      </c>
      <c r="AM127" s="51">
        <f t="shared" si="15"/>
        <v>3509.666254</v>
      </c>
      <c r="AN127" s="51" t="str">
        <f t="array" ref="AN127">XLOOKUP(D127,RUC!$B$3:$B$565,RUC!$M$3:$M$565)</f>
        <v>Evelyn</v>
      </c>
      <c r="AO127" s="131" t="s">
        <v>547</v>
      </c>
      <c r="AP127" s="57" t="s">
        <v>3243</v>
      </c>
      <c r="AQ127" s="57" t="s">
        <v>3244</v>
      </c>
    </row>
    <row r="128" ht="15.0" customHeight="1">
      <c r="A128" s="116" t="s">
        <v>3248</v>
      </c>
      <c r="B128" s="182">
        <v>46070.0</v>
      </c>
      <c r="C128" s="182">
        <v>46064.0</v>
      </c>
      <c r="D128" s="57" t="s">
        <v>295</v>
      </c>
      <c r="E128" s="3">
        <f t="array" ref="E128">XLOOKUP(D128,RUC!$B$3:$B$110,RUC!$D$3:$D$110)</f>
        <v>20601769396</v>
      </c>
      <c r="G128" s="3">
        <v>13.0</v>
      </c>
      <c r="H128" s="3" t="s">
        <v>339</v>
      </c>
      <c r="I128" s="6">
        <v>1.01</v>
      </c>
      <c r="J128" s="58">
        <v>15.5</v>
      </c>
      <c r="K128" s="6">
        <f t="shared" si="2"/>
        <v>0.853</v>
      </c>
      <c r="L128" s="139">
        <v>0.224</v>
      </c>
      <c r="M128" s="60">
        <f t="shared" si="45"/>
        <v>0.205</v>
      </c>
      <c r="N128" s="62">
        <f t="shared" si="51"/>
        <v>0.205</v>
      </c>
      <c r="O128" s="60">
        <f t="shared" si="5"/>
        <v>0.205</v>
      </c>
      <c r="P128" s="63">
        <v>90.0</v>
      </c>
      <c r="Q128" s="58">
        <v>90.63</v>
      </c>
      <c r="R128" s="65">
        <v>5077.85</v>
      </c>
      <c r="S128" s="66">
        <f t="array" ref="S128">IF((XLOOKUP(D128,RUC!$B$3:$B$106,RUC!$E$3:$E$106)+ROUNDDOWN(O128,1)*100)&lt;95,95,((XLOOKUP(D128,RUC!$B$3:$B$106,RUC!$E$3:$E$106)+ROUNDDOWN(O128,1)*100)))</f>
        <v>110</v>
      </c>
      <c r="U128" s="67">
        <f t="array" ref="U128">XLOOKUP(D128,RUC!$B$3:$B$110,RUC!$F$3:$F$110)</f>
        <v>120</v>
      </c>
      <c r="V128" s="67">
        <v>1.1023</v>
      </c>
      <c r="Y128" s="57">
        <f t="array" ref="Y128">XLOOKUP(D128,RUC!$B$3:$B$110,RUC!$G$3:$G$110)</f>
        <v>20</v>
      </c>
      <c r="Z128" s="69">
        <f t="array" ref="Z128">XLOOKUP(D128,RUC!$B$3:$B$110,RUC!$H$3:$H$110)</f>
        <v>30</v>
      </c>
      <c r="AA128" s="70">
        <f t="shared" si="6"/>
        <v>50</v>
      </c>
      <c r="AB128" s="71">
        <f t="shared" si="23"/>
        <v>831.9315211</v>
      </c>
      <c r="AC128" s="71">
        <f>+(S128-T128)*V128-'data 1'!$F$4</f>
        <v>41.253</v>
      </c>
      <c r="AD128" s="71">
        <f t="shared" si="7"/>
        <v>7.712261703</v>
      </c>
      <c r="AE128" s="71">
        <f t="shared" si="8"/>
        <v>-14.885</v>
      </c>
      <c r="AF128" s="71">
        <f t="shared" si="9"/>
        <v>94.1063158</v>
      </c>
      <c r="AG128" s="72">
        <f t="shared" si="50"/>
        <v>188.1865775</v>
      </c>
      <c r="AH128" s="193">
        <f t="shared" si="11"/>
        <v>5.937</v>
      </c>
      <c r="AI128" s="193">
        <f t="shared" si="12"/>
        <v>6.551</v>
      </c>
      <c r="AJ128" s="73">
        <f t="shared" si="13"/>
        <v>-12.94562937</v>
      </c>
      <c r="AK128" s="73">
        <f t="shared" si="14"/>
        <v>5.395782943</v>
      </c>
      <c r="AM128" s="51">
        <f t="shared" si="15"/>
        <v>709.6375875</v>
      </c>
      <c r="AN128" s="51" t="str">
        <f t="array" ref="AN128">XLOOKUP(D128,RUC!$B$3:$B$565,RUC!$M$3:$M$565)</f>
        <v>Evelyn</v>
      </c>
      <c r="AO128" s="131" t="s">
        <v>549</v>
      </c>
      <c r="AP128" s="57" t="s">
        <v>3243</v>
      </c>
      <c r="AQ128" s="57" t="s">
        <v>3244</v>
      </c>
    </row>
    <row r="129" ht="15.0" customHeight="1">
      <c r="A129" s="116" t="s">
        <v>3249</v>
      </c>
      <c r="B129" s="182">
        <v>46070.0</v>
      </c>
      <c r="C129" s="182">
        <v>46064.0</v>
      </c>
      <c r="D129" s="57" t="s">
        <v>295</v>
      </c>
      <c r="E129" s="3">
        <f t="array" ref="E129">XLOOKUP(D129,RUC!$B$3:$B$110,RUC!$D$3:$D$110)</f>
        <v>20601769396</v>
      </c>
      <c r="G129" s="3">
        <v>26.0</v>
      </c>
      <c r="H129" s="3" t="s">
        <v>339</v>
      </c>
      <c r="I129" s="6">
        <v>1.89</v>
      </c>
      <c r="J129" s="58">
        <v>15.4</v>
      </c>
      <c r="K129" s="6">
        <f t="shared" si="2"/>
        <v>1.599</v>
      </c>
      <c r="L129" s="139">
        <v>0.374</v>
      </c>
      <c r="M129" s="60">
        <f>ROUND(+IF(AN129="Melchor Vera",IF(L129&gt;0.467,L129*0.985,(L129-0.007)),IF(L129&gt;0.3,L129*0.93,(L129-0.019))),3)</f>
        <v>0.348</v>
      </c>
      <c r="N129" s="62">
        <f t="shared" si="51"/>
        <v>0.348</v>
      </c>
      <c r="O129" s="60">
        <f t="shared" si="5"/>
        <v>0.348</v>
      </c>
      <c r="P129" s="63">
        <v>90.0</v>
      </c>
      <c r="Q129" s="58">
        <v>90.11</v>
      </c>
      <c r="R129" s="65">
        <v>5077.85</v>
      </c>
      <c r="S129" s="66">
        <f t="array" ref="S129">IF((XLOOKUP(D129,RUC!$B$3:$B$106,RUC!$E$3:$E$106)+ROUNDDOWN(O129,1)*100)&lt;95,95,((XLOOKUP(D129,RUC!$B$3:$B$106,RUC!$E$3:$E$106)+ROUNDDOWN(O129,1)*100)))</f>
        <v>120</v>
      </c>
      <c r="U129" s="67">
        <f t="array" ref="U129">XLOOKUP(D129,RUC!$B$3:$B$110,RUC!$F$3:$F$110)</f>
        <v>120</v>
      </c>
      <c r="V129" s="67">
        <v>1.1023</v>
      </c>
      <c r="Y129" s="199">
        <v>25.0</v>
      </c>
      <c r="Z129" s="69">
        <f t="array" ref="Z129">XLOOKUP(D129,RUC!$B$3:$B$110,RUC!$H$3:$H$110)</f>
        <v>30</v>
      </c>
      <c r="AA129" s="70">
        <f t="shared" si="6"/>
        <v>55</v>
      </c>
      <c r="AB129" s="71">
        <f t="shared" si="23"/>
        <v>1518.747419</v>
      </c>
      <c r="AC129" s="71">
        <f>+(S129-T129)*V129-'data 1'!$F$4</f>
        <v>52.276</v>
      </c>
      <c r="AD129" s="71">
        <f t="shared" si="7"/>
        <v>2.248316656</v>
      </c>
      <c r="AE129" s="71">
        <f t="shared" si="8"/>
        <v>-9.3735</v>
      </c>
      <c r="AF129" s="71">
        <f t="shared" si="9"/>
        <v>128.0381906</v>
      </c>
      <c r="AG129" s="72">
        <f t="shared" si="50"/>
        <v>233.1890072</v>
      </c>
      <c r="AH129" s="193">
        <f t="shared" si="11"/>
        <v>18.476</v>
      </c>
      <c r="AI129" s="193">
        <f t="shared" si="12"/>
        <v>20.504</v>
      </c>
      <c r="AJ129" s="73">
        <f t="shared" si="13"/>
        <v>-21.49056149</v>
      </c>
      <c r="AK129" s="73">
        <f t="shared" si="14"/>
        <v>17.17035548</v>
      </c>
      <c r="AM129" s="51">
        <f t="shared" si="15"/>
        <v>2428.477123</v>
      </c>
      <c r="AN129" s="51" t="str">
        <f t="array" ref="AN129">XLOOKUP(D129,RUC!$B$3:$B$565,RUC!$M$3:$M$565)</f>
        <v>Evelyn</v>
      </c>
      <c r="AO129" s="131" t="s">
        <v>549</v>
      </c>
      <c r="AP129" s="57" t="s">
        <v>3243</v>
      </c>
      <c r="AQ129" s="57" t="s">
        <v>3244</v>
      </c>
    </row>
    <row r="130" ht="15.0" customHeight="1">
      <c r="A130" s="116" t="s">
        <v>3250</v>
      </c>
      <c r="B130" s="182">
        <v>46070.0</v>
      </c>
      <c r="C130" s="182">
        <v>46064.0</v>
      </c>
      <c r="D130" s="57" t="s">
        <v>295</v>
      </c>
      <c r="E130" s="3">
        <f t="array" ref="E130">XLOOKUP(D130,RUC!$B$3:$B$110,RUC!$D$3:$D$110)</f>
        <v>20601769396</v>
      </c>
      <c r="G130" s="3">
        <v>19.0</v>
      </c>
      <c r="H130" s="3" t="s">
        <v>339</v>
      </c>
      <c r="I130" s="6">
        <v>1.53</v>
      </c>
      <c r="J130" s="58">
        <v>16.9</v>
      </c>
      <c r="K130" s="6">
        <f t="shared" si="2"/>
        <v>1.271</v>
      </c>
      <c r="L130" s="139">
        <v>0.539</v>
      </c>
      <c r="M130" s="60">
        <f t="shared" ref="M130:M138" si="52">ROUND(+IF(AN130="Melchor Vera",IF(L130&gt;0.467,L130*0.985,(L130-0.007)),IF(L130&gt;0.3,L130*0.94,(L130-0.019))),3)</f>
        <v>0.507</v>
      </c>
      <c r="N130" s="62">
        <f t="shared" si="51"/>
        <v>0.507</v>
      </c>
      <c r="O130" s="60">
        <f t="shared" si="5"/>
        <v>0.507</v>
      </c>
      <c r="P130" s="63">
        <v>90.0</v>
      </c>
      <c r="Q130" s="58">
        <v>92.76</v>
      </c>
      <c r="R130" s="65">
        <v>5077.85</v>
      </c>
      <c r="S130" s="66">
        <f t="array" ref="S130">IF((XLOOKUP(D130,RUC!$B$3:$B$106,RUC!$E$3:$E$106)+ROUNDDOWN(O130,1)*100)&lt;95,95,((XLOOKUP(D130,RUC!$B$3:$B$106,RUC!$E$3:$E$106)+ROUNDDOWN(O130,1)*100)))</f>
        <v>140</v>
      </c>
      <c r="U130" s="67">
        <f t="array" ref="U130">XLOOKUP(D130,RUC!$B$3:$B$110,RUC!$F$3:$F$110)</f>
        <v>120</v>
      </c>
      <c r="V130" s="67">
        <v>1.1023</v>
      </c>
      <c r="Y130" s="199">
        <v>25.0</v>
      </c>
      <c r="Z130" s="69">
        <f t="array" ref="Z130">XLOOKUP(D130,RUC!$B$3:$B$110,RUC!$H$3:$H$110)</f>
        <v>30</v>
      </c>
      <c r="AA130" s="70">
        <f t="shared" si="6"/>
        <v>55</v>
      </c>
      <c r="AB130" s="71">
        <f t="shared" si="23"/>
        <v>2278.748364</v>
      </c>
      <c r="AC130" s="71">
        <f>+(S130-T130)*V130-'data 1'!$F$4</f>
        <v>74.322</v>
      </c>
      <c r="AD130" s="71">
        <f t="shared" si="7"/>
        <v>81.30009212</v>
      </c>
      <c r="AE130" s="71">
        <f t="shared" si="8"/>
        <v>-9.3735</v>
      </c>
      <c r="AF130" s="71">
        <f t="shared" si="9"/>
        <v>162.2198176</v>
      </c>
      <c r="AG130" s="72">
        <f t="shared" si="50"/>
        <v>368.4684097</v>
      </c>
      <c r="AH130" s="193">
        <f t="shared" si="11"/>
        <v>21.787</v>
      </c>
      <c r="AI130" s="193">
        <f t="shared" si="12"/>
        <v>23.488</v>
      </c>
      <c r="AJ130" s="73">
        <f t="shared" si="13"/>
        <v>-31.88252257</v>
      </c>
      <c r="AK130" s="73">
        <f t="shared" si="14"/>
        <v>19.88406108</v>
      </c>
      <c r="AM130" s="51">
        <f t="shared" si="15"/>
        <v>2896.289171</v>
      </c>
      <c r="AN130" s="51" t="str">
        <f t="array" ref="AN130">XLOOKUP(D130,RUC!$B$3:$B$565,RUC!$M$3:$M$565)</f>
        <v>Evelyn</v>
      </c>
      <c r="AO130" s="131" t="s">
        <v>549</v>
      </c>
      <c r="AP130" s="57" t="s">
        <v>3243</v>
      </c>
      <c r="AQ130" s="57" t="s">
        <v>3244</v>
      </c>
    </row>
    <row r="131" ht="15.0" customHeight="1">
      <c r="A131" s="116" t="s">
        <v>3251</v>
      </c>
      <c r="B131" s="182">
        <v>46071.0</v>
      </c>
      <c r="C131" s="182">
        <v>46064.0</v>
      </c>
      <c r="D131" s="57" t="s">
        <v>295</v>
      </c>
      <c r="E131" s="3">
        <f t="array" ref="E131">XLOOKUP(D131,RUC!$B$3:$B$110,RUC!$D$3:$D$110)</f>
        <v>20601769396</v>
      </c>
      <c r="G131" s="3">
        <v>31.0</v>
      </c>
      <c r="H131" s="3" t="s">
        <v>339</v>
      </c>
      <c r="I131" s="6">
        <v>2.34</v>
      </c>
      <c r="J131" s="58">
        <v>13.85</v>
      </c>
      <c r="K131" s="6">
        <f t="shared" si="2"/>
        <v>2.016</v>
      </c>
      <c r="L131" s="139">
        <v>0.464</v>
      </c>
      <c r="M131" s="60">
        <f t="shared" si="52"/>
        <v>0.436</v>
      </c>
      <c r="N131" s="62">
        <f t="shared" si="51"/>
        <v>0.436</v>
      </c>
      <c r="O131" s="60">
        <f t="shared" si="5"/>
        <v>0.436</v>
      </c>
      <c r="P131" s="63">
        <v>87.0</v>
      </c>
      <c r="Q131" s="58">
        <v>87.28</v>
      </c>
      <c r="R131" s="65">
        <v>5077.85</v>
      </c>
      <c r="S131" s="66">
        <f t="array" ref="S131">IF((XLOOKUP(D131,RUC!$B$3:$B$106,RUC!$E$3:$E$106)+ROUNDDOWN(O131,1)*100)&lt;95,95,((XLOOKUP(D131,RUC!$B$3:$B$106,RUC!$E$3:$E$106)+ROUNDDOWN(O131,1)*100)))</f>
        <v>130</v>
      </c>
      <c r="U131" s="67">
        <f t="array" ref="U131">XLOOKUP(D131,RUC!$B$3:$B$110,RUC!$F$3:$F$110)</f>
        <v>120</v>
      </c>
      <c r="V131" s="67">
        <v>1.1023</v>
      </c>
      <c r="Y131" s="57">
        <f t="array" ref="Y131">XLOOKUP(D131,RUC!$B$3:$B$110,RUC!$G$3:$G$110)</f>
        <v>20</v>
      </c>
      <c r="Z131" s="69">
        <f t="array" ref="Z131">XLOOKUP(D131,RUC!$B$3:$B$110,RUC!$H$3:$H$110)</f>
        <v>30</v>
      </c>
      <c r="AA131" s="70">
        <f t="shared" si="6"/>
        <v>50</v>
      </c>
      <c r="AB131" s="71">
        <f t="shared" si="23"/>
        <v>1874.584235</v>
      </c>
      <c r="AC131" s="71">
        <f>+(S131-T131)*V131-'data 1'!$F$4</f>
        <v>63.299</v>
      </c>
      <c r="AD131" s="71">
        <f t="shared" si="7"/>
        <v>7.100177441</v>
      </c>
      <c r="AE131" s="71">
        <f t="shared" si="8"/>
        <v>-14.885</v>
      </c>
      <c r="AF131" s="71">
        <f t="shared" si="9"/>
        <v>133.556786</v>
      </c>
      <c r="AG131" s="72">
        <f t="shared" si="50"/>
        <v>249.0709634</v>
      </c>
      <c r="AH131" s="193">
        <f t="shared" si="11"/>
        <v>27.992</v>
      </c>
      <c r="AI131" s="193">
        <f t="shared" si="12"/>
        <v>32.071</v>
      </c>
      <c r="AJ131" s="73">
        <f t="shared" si="13"/>
        <v>-25.8247359</v>
      </c>
      <c r="AK131" s="73">
        <f t="shared" si="14"/>
        <v>26.21834892</v>
      </c>
      <c r="AM131" s="51">
        <f t="shared" si="15"/>
        <v>3779.161818</v>
      </c>
      <c r="AN131" s="51" t="str">
        <f t="array" ref="AN131">XLOOKUP(D131,RUC!$B$3:$B$565,RUC!$M$3:$M$565)</f>
        <v>Evelyn</v>
      </c>
      <c r="AO131" s="131" t="s">
        <v>549</v>
      </c>
      <c r="AP131" s="57" t="s">
        <v>3243</v>
      </c>
      <c r="AQ131" s="57" t="s">
        <v>3244</v>
      </c>
    </row>
    <row r="132" ht="15.0" customHeight="1">
      <c r="A132" s="116" t="s">
        <v>3252</v>
      </c>
      <c r="B132" s="182">
        <v>46071.0</v>
      </c>
      <c r="C132" s="182">
        <v>46064.0</v>
      </c>
      <c r="D132" s="57" t="s">
        <v>295</v>
      </c>
      <c r="E132" s="3">
        <f t="array" ref="E132">XLOOKUP(D132,RUC!$B$3:$B$110,RUC!$D$3:$D$110)</f>
        <v>20601769396</v>
      </c>
      <c r="G132" s="3">
        <v>31.0</v>
      </c>
      <c r="H132" s="3" t="s">
        <v>339</v>
      </c>
      <c r="I132" s="6">
        <v>2.31</v>
      </c>
      <c r="J132" s="58">
        <v>16.1</v>
      </c>
      <c r="K132" s="6">
        <f t="shared" si="2"/>
        <v>1.938</v>
      </c>
      <c r="L132" s="139">
        <v>0.459</v>
      </c>
      <c r="M132" s="60">
        <f t="shared" si="52"/>
        <v>0.431</v>
      </c>
      <c r="N132" s="62">
        <f t="shared" si="51"/>
        <v>0.431</v>
      </c>
      <c r="O132" s="60">
        <f t="shared" si="5"/>
        <v>0.431</v>
      </c>
      <c r="P132" s="63">
        <v>87.0</v>
      </c>
      <c r="Q132" s="58">
        <v>87.36</v>
      </c>
      <c r="R132" s="65">
        <v>5077.85</v>
      </c>
      <c r="S132" s="66">
        <f t="array" ref="S132">IF((XLOOKUP(D132,RUC!$B$3:$B$106,RUC!$E$3:$E$106)+ROUNDDOWN(O132,1)*100)&lt;95,95,((XLOOKUP(D132,RUC!$B$3:$B$106,RUC!$E$3:$E$106)+ROUNDDOWN(O132,1)*100)))</f>
        <v>130</v>
      </c>
      <c r="U132" s="67">
        <f t="array" ref="U132">XLOOKUP(D132,RUC!$B$3:$B$110,RUC!$F$3:$F$110)</f>
        <v>120</v>
      </c>
      <c r="V132" s="67">
        <v>1.1023</v>
      </c>
      <c r="Y132" s="57">
        <f t="array" ref="Y132">XLOOKUP(D132,RUC!$B$3:$B$110,RUC!$G$3:$G$110)</f>
        <v>20</v>
      </c>
      <c r="Z132" s="69">
        <f t="array" ref="Z132">XLOOKUP(D132,RUC!$B$3:$B$110,RUC!$H$3:$H$110)</f>
        <v>30</v>
      </c>
      <c r="AA132" s="70">
        <f t="shared" si="6"/>
        <v>50</v>
      </c>
      <c r="AB132" s="71">
        <f t="shared" si="23"/>
        <v>1850.811319</v>
      </c>
      <c r="AC132" s="71">
        <f>+(S132-T132)*V132-'data 1'!$F$4</f>
        <v>63.299</v>
      </c>
      <c r="AD132" s="71">
        <f t="shared" si="7"/>
        <v>9.030428882</v>
      </c>
      <c r="AE132" s="71">
        <f t="shared" si="8"/>
        <v>-14.885</v>
      </c>
      <c r="AF132" s="71">
        <f t="shared" si="9"/>
        <v>133.6792029</v>
      </c>
      <c r="AG132" s="72">
        <f t="shared" si="50"/>
        <v>251.1236317</v>
      </c>
      <c r="AH132" s="193">
        <f t="shared" si="11"/>
        <v>26.643</v>
      </c>
      <c r="AI132" s="193">
        <f t="shared" si="12"/>
        <v>30.498</v>
      </c>
      <c r="AJ132" s="73">
        <f t="shared" si="13"/>
        <v>-25.56986774</v>
      </c>
      <c r="AK132" s="73">
        <f t="shared" si="14"/>
        <v>24.91491241</v>
      </c>
      <c r="AM132" s="51">
        <f t="shared" si="15"/>
        <v>3586.872337</v>
      </c>
      <c r="AN132" s="51" t="str">
        <f t="array" ref="AN132">XLOOKUP(D132,RUC!$B$3:$B$565,RUC!$M$3:$M$565)</f>
        <v>Evelyn</v>
      </c>
      <c r="AO132" s="131" t="s">
        <v>549</v>
      </c>
      <c r="AP132" s="57" t="s">
        <v>3243</v>
      </c>
      <c r="AQ132" s="57" t="s">
        <v>3244</v>
      </c>
    </row>
    <row r="133" ht="15.0" customHeight="1">
      <c r="A133" s="116" t="s">
        <v>3253</v>
      </c>
      <c r="B133" s="182">
        <v>46071.0</v>
      </c>
      <c r="C133" s="182">
        <v>46064.0</v>
      </c>
      <c r="D133" s="57" t="s">
        <v>295</v>
      </c>
      <c r="E133" s="3">
        <f t="array" ref="E133">XLOOKUP(D133,RUC!$B$3:$B$110,RUC!$D$3:$D$110)</f>
        <v>20601769396</v>
      </c>
      <c r="G133" s="3">
        <v>15.0</v>
      </c>
      <c r="H133" s="3" t="s">
        <v>339</v>
      </c>
      <c r="I133" s="6">
        <v>1.17</v>
      </c>
      <c r="J133" s="58">
        <v>21.15</v>
      </c>
      <c r="K133" s="6">
        <f t="shared" si="2"/>
        <v>0.923</v>
      </c>
      <c r="L133" s="139">
        <v>0.545</v>
      </c>
      <c r="M133" s="60">
        <f t="shared" si="52"/>
        <v>0.512</v>
      </c>
      <c r="N133" s="62">
        <f t="shared" si="51"/>
        <v>0.512</v>
      </c>
      <c r="O133" s="60">
        <f t="shared" si="5"/>
        <v>0.512</v>
      </c>
      <c r="P133" s="63">
        <v>90.0</v>
      </c>
      <c r="Q133" s="58">
        <v>93.39</v>
      </c>
      <c r="R133" s="65">
        <v>5077.85</v>
      </c>
      <c r="S133" s="66">
        <f t="array" ref="S133">IF((XLOOKUP(D133,RUC!$B$3:$B$106,RUC!$E$3:$E$106)+ROUNDDOWN(O133,1)*100)&lt;95,95,((XLOOKUP(D133,RUC!$B$3:$B$106,RUC!$E$3:$E$106)+ROUNDDOWN(O133,1)*100)))</f>
        <v>140</v>
      </c>
      <c r="U133" s="67">
        <f t="array" ref="U133">XLOOKUP(D133,RUC!$B$3:$B$110,RUC!$F$3:$F$110)</f>
        <v>120</v>
      </c>
      <c r="V133" s="67">
        <v>1.1023</v>
      </c>
      <c r="Y133" s="57">
        <f t="array" ref="Y133">XLOOKUP(D133,RUC!$B$3:$B$110,RUC!$G$3:$G$110)</f>
        <v>20</v>
      </c>
      <c r="Z133" s="69">
        <f t="array" ref="Z133">XLOOKUP(D133,RUC!$B$3:$B$110,RUC!$H$3:$H$110)</f>
        <v>30</v>
      </c>
      <c r="AA133" s="70">
        <f t="shared" si="6"/>
        <v>50</v>
      </c>
      <c r="AB133" s="71">
        <f t="shared" si="23"/>
        <v>2308.852536</v>
      </c>
      <c r="AC133" s="71">
        <f>+(S133-T133)*V133-'data 1'!$F$4</f>
        <v>74.322</v>
      </c>
      <c r="AD133" s="71">
        <f t="shared" si="7"/>
        <v>100.9693106</v>
      </c>
      <c r="AE133" s="71">
        <f t="shared" si="8"/>
        <v>-14.885</v>
      </c>
      <c r="AF133" s="71">
        <f t="shared" si="9"/>
        <v>168.4253683</v>
      </c>
      <c r="AG133" s="72">
        <f t="shared" si="50"/>
        <v>388.8316789</v>
      </c>
      <c r="AH133" s="193">
        <f t="shared" si="11"/>
        <v>16.107</v>
      </c>
      <c r="AI133" s="193">
        <f t="shared" si="12"/>
        <v>17.247</v>
      </c>
      <c r="AJ133" s="73">
        <f t="shared" si="13"/>
        <v>-32.45637768</v>
      </c>
      <c r="AK133" s="73">
        <f t="shared" si="14"/>
        <v>14.58220639</v>
      </c>
      <c r="AM133" s="51">
        <f t="shared" si="15"/>
        <v>2131.07089</v>
      </c>
      <c r="AN133" s="51" t="str">
        <f t="array" ref="AN133">XLOOKUP(D133,RUC!$B$3:$B$565,RUC!$M$3:$M$565)</f>
        <v>Evelyn</v>
      </c>
      <c r="AO133" s="131" t="s">
        <v>549</v>
      </c>
      <c r="AP133" s="57" t="s">
        <v>3243</v>
      </c>
      <c r="AQ133" s="57" t="s">
        <v>3244</v>
      </c>
    </row>
    <row r="134" ht="15.0" customHeight="1">
      <c r="A134" s="116" t="s">
        <v>3254</v>
      </c>
      <c r="B134" s="182">
        <v>46069.0</v>
      </c>
      <c r="C134" s="182">
        <v>46064.0</v>
      </c>
      <c r="D134" s="57" t="s">
        <v>295</v>
      </c>
      <c r="E134" s="3">
        <f t="array" ref="E134">XLOOKUP(D134,RUC!$B$3:$B$110,RUC!$D$3:$D$110)</f>
        <v>20601769396</v>
      </c>
      <c r="G134" s="3">
        <v>45.0</v>
      </c>
      <c r="H134" s="3" t="s">
        <v>339</v>
      </c>
      <c r="I134" s="6">
        <v>3.46</v>
      </c>
      <c r="J134" s="58">
        <v>17.5</v>
      </c>
      <c r="K134" s="6">
        <f t="shared" si="2"/>
        <v>2.855</v>
      </c>
      <c r="L134" s="139">
        <v>0.533</v>
      </c>
      <c r="M134" s="60">
        <f t="shared" si="52"/>
        <v>0.501</v>
      </c>
      <c r="N134" s="62">
        <f t="shared" si="51"/>
        <v>0.501</v>
      </c>
      <c r="O134" s="60">
        <f t="shared" si="5"/>
        <v>0.501</v>
      </c>
      <c r="P134" s="63">
        <v>90.0</v>
      </c>
      <c r="Q134" s="58">
        <v>90.905</v>
      </c>
      <c r="R134" s="65">
        <v>5077.85</v>
      </c>
      <c r="S134" s="66">
        <f t="array" ref="S134">IF((XLOOKUP(D134,RUC!$B$3:$B$106,RUC!$E$3:$E$106)+ROUNDDOWN(O134,1)*100)&lt;95,95,((XLOOKUP(D134,RUC!$B$3:$B$106,RUC!$E$3:$E$106)+ROUNDDOWN(O134,1)*100)))</f>
        <v>140</v>
      </c>
      <c r="U134" s="67">
        <f t="array" ref="U134">XLOOKUP(D134,RUC!$B$3:$B$110,RUC!$F$3:$F$110)</f>
        <v>120</v>
      </c>
      <c r="V134" s="67">
        <v>1.1023</v>
      </c>
      <c r="Y134" s="57">
        <f t="array" ref="Y134">XLOOKUP(D134,RUC!$B$3:$B$110,RUC!$G$3:$G$110)</f>
        <v>20</v>
      </c>
      <c r="Z134" s="69">
        <f t="array" ref="Z134">XLOOKUP(D134,RUC!$B$3:$B$110,RUC!$H$3:$H$110)</f>
        <v>30</v>
      </c>
      <c r="AA134" s="70">
        <f t="shared" si="6"/>
        <v>50</v>
      </c>
      <c r="AB134" s="71">
        <f t="shared" si="23"/>
        <v>2254.748659</v>
      </c>
      <c r="AC134" s="71">
        <f>+(S134-T134)*V134-'data 1'!$F$4</f>
        <v>74.322</v>
      </c>
      <c r="AD134" s="71">
        <f t="shared" si="7"/>
        <v>26.36143081</v>
      </c>
      <c r="AE134" s="71">
        <f t="shared" si="8"/>
        <v>-14.885</v>
      </c>
      <c r="AF134" s="71">
        <f t="shared" si="9"/>
        <v>158.975771</v>
      </c>
      <c r="AG134" s="72">
        <f t="shared" si="50"/>
        <v>304.7742018</v>
      </c>
      <c r="AH134" s="193">
        <f t="shared" si="11"/>
        <v>47.427</v>
      </c>
      <c r="AI134" s="193">
        <f t="shared" si="12"/>
        <v>52.173</v>
      </c>
      <c r="AJ134" s="73">
        <f t="shared" si="13"/>
        <v>-30.89713076</v>
      </c>
      <c r="AK134" s="73">
        <f t="shared" si="14"/>
        <v>44.1362486</v>
      </c>
      <c r="AM134" s="51">
        <f t="shared" si="15"/>
        <v>6437.307421</v>
      </c>
      <c r="AN134" s="51" t="str">
        <f t="array" ref="AN134">XLOOKUP(D134,RUC!$B$3:$B$565,RUC!$M$3:$M$565)</f>
        <v>Evelyn</v>
      </c>
      <c r="AO134" s="131" t="s">
        <v>549</v>
      </c>
      <c r="AP134" s="57" t="s">
        <v>2646</v>
      </c>
      <c r="AQ134" s="57" t="s">
        <v>3255</v>
      </c>
    </row>
    <row r="135" ht="15.0" customHeight="1">
      <c r="A135" s="116" t="s">
        <v>3256</v>
      </c>
      <c r="B135" s="182">
        <v>46069.0</v>
      </c>
      <c r="C135" s="182">
        <v>46064.0</v>
      </c>
      <c r="D135" s="57" t="s">
        <v>295</v>
      </c>
      <c r="E135" s="3">
        <f t="array" ref="E135">XLOOKUP(D135,RUC!$B$3:$B$110,RUC!$D$3:$D$110)</f>
        <v>20601769396</v>
      </c>
      <c r="G135" s="3">
        <v>45.0</v>
      </c>
      <c r="H135" s="3" t="s">
        <v>339</v>
      </c>
      <c r="I135" s="6">
        <v>3.47</v>
      </c>
      <c r="J135" s="58">
        <v>17.4</v>
      </c>
      <c r="K135" s="6">
        <f t="shared" si="2"/>
        <v>2.866</v>
      </c>
      <c r="L135" s="139">
        <v>0.466</v>
      </c>
      <c r="M135" s="60">
        <f t="shared" si="52"/>
        <v>0.438</v>
      </c>
      <c r="N135" s="62">
        <f t="shared" si="51"/>
        <v>0.438</v>
      </c>
      <c r="O135" s="60">
        <f t="shared" si="5"/>
        <v>0.438</v>
      </c>
      <c r="P135" s="63">
        <v>90.0</v>
      </c>
      <c r="Q135" s="58">
        <v>92.81</v>
      </c>
      <c r="R135" s="65">
        <v>5077.85</v>
      </c>
      <c r="S135" s="66">
        <f t="array" ref="S135">IF((XLOOKUP(D135,RUC!$B$3:$B$106,RUC!$E$3:$E$106)+ROUNDDOWN(O135,1)*100)&lt;95,95,((XLOOKUP(D135,RUC!$B$3:$B$106,RUC!$E$3:$E$106)+ROUNDDOWN(O135,1)*100)))</f>
        <v>130</v>
      </c>
      <c r="U135" s="67">
        <f t="array" ref="U135">XLOOKUP(D135,RUC!$B$3:$B$110,RUC!$F$3:$F$110)</f>
        <v>120</v>
      </c>
      <c r="V135" s="67">
        <v>1.1023</v>
      </c>
      <c r="Y135" s="57">
        <f t="array" ref="Y135">XLOOKUP(D135,RUC!$B$3:$B$110,RUC!$G$3:$G$110)</f>
        <v>20</v>
      </c>
      <c r="Z135" s="69">
        <f t="array" ref="Z135">XLOOKUP(D135,RUC!$B$3:$B$110,RUC!$H$3:$H$110)</f>
        <v>30</v>
      </c>
      <c r="AA135" s="70">
        <f t="shared" si="6"/>
        <v>50</v>
      </c>
      <c r="AB135" s="71">
        <f t="shared" si="23"/>
        <v>1955.904001</v>
      </c>
      <c r="AC135" s="71">
        <f>+(S135-T135)*V135-'data 1'!$F$4</f>
        <v>63.299</v>
      </c>
      <c r="AD135" s="71">
        <f t="shared" si="7"/>
        <v>71.56248732</v>
      </c>
      <c r="AE135" s="71">
        <f t="shared" si="8"/>
        <v>-14.885</v>
      </c>
      <c r="AF135" s="71">
        <f t="shared" si="9"/>
        <v>142.0188509</v>
      </c>
      <c r="AG135" s="72">
        <f t="shared" si="50"/>
        <v>321.9953382</v>
      </c>
      <c r="AH135" s="193">
        <f t="shared" si="11"/>
        <v>42.498</v>
      </c>
      <c r="AI135" s="193">
        <f t="shared" si="12"/>
        <v>45.79</v>
      </c>
      <c r="AJ135" s="73">
        <f t="shared" si="13"/>
        <v>-27.57933944</v>
      </c>
      <c r="AK135" s="73">
        <f t="shared" si="14"/>
        <v>38.73484971</v>
      </c>
      <c r="AM135" s="51">
        <f t="shared" si="15"/>
        <v>5605.620868</v>
      </c>
      <c r="AN135" s="51" t="str">
        <f t="array" ref="AN135">XLOOKUP(D135,RUC!$B$3:$B$565,RUC!$M$3:$M$565)</f>
        <v>Evelyn</v>
      </c>
      <c r="AO135" s="131" t="s">
        <v>549</v>
      </c>
      <c r="AP135" s="57" t="s">
        <v>2646</v>
      </c>
      <c r="AQ135" s="57" t="s">
        <v>3255</v>
      </c>
    </row>
    <row r="136" ht="15.0" customHeight="1">
      <c r="A136" s="116" t="s">
        <v>3257</v>
      </c>
      <c r="B136" s="182">
        <v>46072.0</v>
      </c>
      <c r="C136" s="182">
        <v>46065.0</v>
      </c>
      <c r="D136" s="57" t="s">
        <v>295</v>
      </c>
      <c r="E136" s="3">
        <f t="array" ref="E136">XLOOKUP(D136,RUC!$B$3:$B$110,RUC!$D$3:$D$110)</f>
        <v>20601769396</v>
      </c>
      <c r="G136" s="141">
        <v>37.0</v>
      </c>
      <c r="H136" s="3" t="s">
        <v>339</v>
      </c>
      <c r="I136" s="6">
        <v>2.97</v>
      </c>
      <c r="J136" s="58">
        <v>12.8</v>
      </c>
      <c r="K136" s="6">
        <f t="shared" si="2"/>
        <v>2.59</v>
      </c>
      <c r="L136" s="139">
        <v>0.248</v>
      </c>
      <c r="M136" s="60">
        <f t="shared" si="52"/>
        <v>0.229</v>
      </c>
      <c r="N136" s="62">
        <f t="shared" si="51"/>
        <v>0.229</v>
      </c>
      <c r="O136" s="60">
        <f t="shared" si="5"/>
        <v>0.229</v>
      </c>
      <c r="P136" s="63">
        <v>90.0</v>
      </c>
      <c r="Q136" s="58">
        <v>95.16</v>
      </c>
      <c r="R136" s="65">
        <v>5043.15</v>
      </c>
      <c r="S136" s="66">
        <f t="array" ref="S136">IF((XLOOKUP(D136,RUC!$B$3:$B$106,RUC!$E$3:$E$106)+ROUNDDOWN(O136,1)*100)&lt;95,95,((XLOOKUP(D136,RUC!$B$3:$B$106,RUC!$E$3:$E$106)+ROUNDDOWN(O136,1)*100)))</f>
        <v>110</v>
      </c>
      <c r="U136" s="67">
        <f t="array" ref="U136">XLOOKUP(D136,RUC!$B$3:$B$110,RUC!$F$3:$F$110)</f>
        <v>120</v>
      </c>
      <c r="V136" s="67">
        <v>1.1023</v>
      </c>
      <c r="Y136" s="57">
        <f t="array" ref="Y136">XLOOKUP(D136,RUC!$B$3:$B$110,RUC!$G$3:$G$110)</f>
        <v>20</v>
      </c>
      <c r="Z136" s="69">
        <f t="array" ref="Z136">XLOOKUP(D136,RUC!$B$3:$B$110,RUC!$H$3:$H$110)</f>
        <v>30</v>
      </c>
      <c r="AA136" s="70">
        <f t="shared" si="6"/>
        <v>50</v>
      </c>
      <c r="AB136" s="71">
        <f t="shared" si="23"/>
        <v>942.0930573</v>
      </c>
      <c r="AC136" s="71">
        <f>+(S136-T136)*V136-'data 1'!$F$4</f>
        <v>41.253</v>
      </c>
      <c r="AD136" s="71">
        <f t="shared" si="7"/>
        <v>69.44552381</v>
      </c>
      <c r="AE136" s="71">
        <f t="shared" si="8"/>
        <v>-14.885</v>
      </c>
      <c r="AF136" s="71">
        <f t="shared" si="9"/>
        <v>98.11850218</v>
      </c>
      <c r="AG136" s="72">
        <f t="shared" si="50"/>
        <v>253.932026</v>
      </c>
      <c r="AH136" s="193">
        <f t="shared" si="11"/>
        <v>20.956</v>
      </c>
      <c r="AI136" s="193">
        <f t="shared" si="12"/>
        <v>22.022</v>
      </c>
      <c r="AJ136" s="73">
        <f t="shared" si="13"/>
        <v>-6.022224162</v>
      </c>
      <c r="AK136" s="73">
        <f t="shared" si="14"/>
        <v>18.30150586</v>
      </c>
      <c r="AM136" s="51">
        <f t="shared" si="15"/>
        <v>2440.021018</v>
      </c>
      <c r="AN136" s="51" t="str">
        <f t="array" ref="AN136">XLOOKUP(D136,RUC!$B$3:$B$565,RUC!$M$3:$M$565)</f>
        <v>Evelyn</v>
      </c>
      <c r="AO136" s="131" t="s">
        <v>549</v>
      </c>
      <c r="AP136" s="57" t="s">
        <v>706</v>
      </c>
      <c r="AQ136" s="57" t="s">
        <v>635</v>
      </c>
    </row>
    <row r="137" ht="15.0" customHeight="1">
      <c r="A137" s="116" t="s">
        <v>3258</v>
      </c>
      <c r="B137" s="182">
        <v>46072.0</v>
      </c>
      <c r="C137" s="182">
        <v>46065.0</v>
      </c>
      <c r="D137" s="57" t="s">
        <v>295</v>
      </c>
      <c r="E137" s="3">
        <f t="array" ref="E137">XLOOKUP(D137,RUC!$B$3:$B$110,RUC!$D$3:$D$110)</f>
        <v>20601769396</v>
      </c>
      <c r="G137" s="141">
        <v>36.0</v>
      </c>
      <c r="H137" s="3" t="s">
        <v>339</v>
      </c>
      <c r="I137" s="6">
        <v>3.34</v>
      </c>
      <c r="J137" s="58">
        <v>12.7</v>
      </c>
      <c r="K137" s="6">
        <f t="shared" si="2"/>
        <v>2.916</v>
      </c>
      <c r="L137" s="139">
        <v>0.235</v>
      </c>
      <c r="M137" s="60">
        <f t="shared" si="52"/>
        <v>0.216</v>
      </c>
      <c r="N137" s="62">
        <f t="shared" si="51"/>
        <v>0.216</v>
      </c>
      <c r="O137" s="60">
        <f t="shared" si="5"/>
        <v>0.216</v>
      </c>
      <c r="P137" s="63">
        <v>88.0</v>
      </c>
      <c r="Q137" s="58">
        <v>88.50999999999999</v>
      </c>
      <c r="R137" s="65">
        <v>5043.15</v>
      </c>
      <c r="S137" s="66">
        <f t="array" ref="S137">IF((XLOOKUP(D137,RUC!$B$3:$B$106,RUC!$E$3:$E$106)+ROUNDDOWN(O137,1)*100)&lt;95,95,((XLOOKUP(D137,RUC!$B$3:$B$106,RUC!$E$3:$E$106)+ROUNDDOWN(O137,1)*100)))</f>
        <v>110</v>
      </c>
      <c r="U137" s="67">
        <f t="array" ref="U137">XLOOKUP(D137,RUC!$B$3:$B$110,RUC!$F$3:$F$110)</f>
        <v>120</v>
      </c>
      <c r="V137" s="67">
        <v>1.1023</v>
      </c>
      <c r="Y137" s="57">
        <f t="array" ref="Y137">XLOOKUP(D137,RUC!$B$3:$B$110,RUC!$G$3:$G$110)</f>
        <v>20</v>
      </c>
      <c r="Z137" s="69">
        <f t="array" ref="Z137">XLOOKUP(D137,RUC!$B$3:$B$110,RUC!$H$3:$H$110)</f>
        <v>30</v>
      </c>
      <c r="AA137" s="70">
        <f t="shared" si="6"/>
        <v>50</v>
      </c>
      <c r="AB137" s="71">
        <f t="shared" si="23"/>
        <v>855.1559096</v>
      </c>
      <c r="AC137" s="71">
        <f>+(S137-T137)*V137-'data 1'!$F$4</f>
        <v>41.253</v>
      </c>
      <c r="AD137" s="71">
        <f t="shared" si="7"/>
        <v>6.504005712</v>
      </c>
      <c r="AE137" s="71">
        <f t="shared" si="8"/>
        <v>-14.885</v>
      </c>
      <c r="AF137" s="71">
        <f t="shared" si="9"/>
        <v>91.26175524</v>
      </c>
      <c r="AG137" s="72">
        <f t="shared" si="50"/>
        <v>184.1337609</v>
      </c>
      <c r="AH137" s="193">
        <f t="shared" si="11"/>
        <v>20.795</v>
      </c>
      <c r="AI137" s="193">
        <f t="shared" si="12"/>
        <v>23.494</v>
      </c>
      <c r="AJ137" s="73">
        <f t="shared" si="13"/>
        <v>-5.307756683</v>
      </c>
      <c r="AK137" s="73">
        <f t="shared" si="14"/>
        <v>19.00347449</v>
      </c>
      <c r="AM137" s="51">
        <f t="shared" si="15"/>
        <v>2493.634632</v>
      </c>
      <c r="AN137" s="51" t="str">
        <f t="array" ref="AN137">XLOOKUP(D137,RUC!$B$3:$B$565,RUC!$M$3:$M$565)</f>
        <v>Evelyn</v>
      </c>
      <c r="AO137" s="131" t="s">
        <v>549</v>
      </c>
      <c r="AP137" s="57" t="s">
        <v>706</v>
      </c>
      <c r="AQ137" s="57" t="s">
        <v>635</v>
      </c>
    </row>
    <row r="138" ht="15.0" customHeight="1">
      <c r="A138" s="116" t="s">
        <v>3259</v>
      </c>
      <c r="B138" s="182">
        <v>46072.0</v>
      </c>
      <c r="C138" s="182">
        <v>46067.0</v>
      </c>
      <c r="D138" s="2" t="s">
        <v>835</v>
      </c>
      <c r="E138" s="3" t="str">
        <f t="array" ref="E138">XLOOKUP(D138,RUC!$B$3:$B$110,RUC!$D$3:$D$110)</f>
        <v>10486077447,</v>
      </c>
      <c r="G138" s="141">
        <v>60.0</v>
      </c>
      <c r="H138" s="3" t="s">
        <v>47</v>
      </c>
      <c r="I138" s="6">
        <v>5.52</v>
      </c>
      <c r="J138" s="58">
        <v>5.3</v>
      </c>
      <c r="K138" s="6">
        <f t="shared" si="2"/>
        <v>5.227</v>
      </c>
      <c r="L138" s="139">
        <v>1.47</v>
      </c>
      <c r="M138" s="60">
        <f t="shared" si="52"/>
        <v>1.382</v>
      </c>
      <c r="N138" s="75">
        <v>1.505</v>
      </c>
      <c r="O138" s="60">
        <f t="shared" si="5"/>
        <v>1.444</v>
      </c>
      <c r="P138" s="63">
        <v>90.0</v>
      </c>
      <c r="Q138" s="58">
        <v>97.65</v>
      </c>
      <c r="R138" s="65">
        <v>4994.95</v>
      </c>
      <c r="S138" s="66">
        <f t="array" ref="S138">IF((XLOOKUP(D138,RUC!$B$3:$B$106,RUC!$E$3:$E$106)+ROUNDDOWN(O138,1)*100)&lt;95,95,((XLOOKUP(D138,RUC!$B$3:$B$106,RUC!$E$3:$E$106)+ROUNDDOWN(O138,1)*100)))</f>
        <v>230</v>
      </c>
      <c r="U138" s="67">
        <f t="array" ref="U138">XLOOKUP(D138,RUC!$B$3:$B$110,RUC!$F$3:$F$110)</f>
        <v>120</v>
      </c>
      <c r="V138" s="67">
        <v>1.1023</v>
      </c>
      <c r="Y138" s="57">
        <f t="array" ref="Y138">XLOOKUP(D138,RUC!$B$3:$B$110,RUC!$G$3:$G$110)</f>
        <v>20</v>
      </c>
      <c r="Z138" s="69">
        <f t="array" ref="Z138">XLOOKUP(D138,RUC!$B$3:$B$110,RUC!$H$3:$H$110)</f>
        <v>30</v>
      </c>
      <c r="AA138" s="70">
        <f t="shared" si="6"/>
        <v>50</v>
      </c>
      <c r="AB138" s="71">
        <f t="shared" si="23"/>
        <v>6674.961138</v>
      </c>
      <c r="AC138" s="71">
        <f>+(S138-T138)*V138-'data 1'!$F$4</f>
        <v>173.529</v>
      </c>
      <c r="AD138" s="71">
        <f t="shared" si="7"/>
        <v>604.2946412</v>
      </c>
      <c r="AE138" s="71">
        <f t="shared" si="8"/>
        <v>-14.885</v>
      </c>
      <c r="AF138" s="71">
        <f t="shared" si="9"/>
        <v>136.4317873</v>
      </c>
      <c r="AG138" s="72">
        <f>AC138+AD138+AE138+AF138+70-53</f>
        <v>916.3704286</v>
      </c>
      <c r="AH138" s="193">
        <f t="shared" si="11"/>
        <v>257.247</v>
      </c>
      <c r="AI138" s="193">
        <f t="shared" si="12"/>
        <v>263.438</v>
      </c>
      <c r="AJ138" s="73">
        <f t="shared" si="13"/>
        <v>39.63666626</v>
      </c>
      <c r="AK138" s="73">
        <f t="shared" si="14"/>
        <v>232.9009564</v>
      </c>
      <c r="AM138" s="51">
        <f t="shared" si="15"/>
        <v>34890.02187</v>
      </c>
      <c r="AN138" s="122" t="str">
        <f t="array" ref="AN138">XLOOKUP(D138,RUC!$B$3:$B$565,RUC!$M$3:$M$565)</f>
        <v>SIN ACOPIO</v>
      </c>
      <c r="AO138" s="131" t="s">
        <v>549</v>
      </c>
      <c r="AP138" s="57" t="s">
        <v>3022</v>
      </c>
      <c r="AQ138" s="57" t="s">
        <v>3260</v>
      </c>
    </row>
    <row r="139" ht="15.75" customHeight="1">
      <c r="B139" s="3"/>
      <c r="C139" s="3"/>
      <c r="H139" s="3"/>
      <c r="AG139" s="91"/>
    </row>
    <row r="140" ht="15.75" customHeight="1">
      <c r="B140" s="3"/>
      <c r="C140" s="3"/>
      <c r="H140" s="3"/>
      <c r="AG140" s="91"/>
    </row>
    <row r="141" ht="15.75" customHeight="1">
      <c r="B141" s="3"/>
      <c r="C141" s="3"/>
      <c r="H141" s="3"/>
      <c r="AG141" s="91"/>
    </row>
    <row r="142" ht="15.75" customHeight="1">
      <c r="B142" s="3"/>
      <c r="C142" s="3"/>
      <c r="H142" s="3"/>
      <c r="AG142" s="91"/>
    </row>
    <row r="143" ht="15.75" customHeight="1">
      <c r="B143" s="3"/>
      <c r="C143" s="3"/>
      <c r="H143" s="3"/>
      <c r="AG143" s="91"/>
    </row>
    <row r="144" ht="15.75" customHeight="1">
      <c r="B144" s="3"/>
      <c r="C144" s="3"/>
      <c r="H144" s="3"/>
      <c r="AG144" s="91"/>
    </row>
    <row r="145" ht="15.75" customHeight="1">
      <c r="B145" s="3"/>
      <c r="C145" s="3"/>
      <c r="H145" s="3"/>
      <c r="AG145" s="91"/>
    </row>
    <row r="146" ht="15.75" customHeight="1">
      <c r="B146" s="3"/>
      <c r="C146" s="3"/>
      <c r="H146" s="3"/>
      <c r="AG146" s="91"/>
    </row>
    <row r="147" ht="15.75" customHeight="1">
      <c r="B147" s="3"/>
      <c r="C147" s="3"/>
      <c r="H147" s="3"/>
      <c r="AG147" s="91"/>
    </row>
    <row r="148" ht="15.75" customHeight="1">
      <c r="B148" s="3"/>
      <c r="C148" s="3"/>
      <c r="H148" s="3"/>
      <c r="AG148" s="91"/>
    </row>
    <row r="149" ht="15.75" customHeight="1">
      <c r="B149" s="3"/>
      <c r="C149" s="3"/>
      <c r="H149" s="3"/>
      <c r="AG149" s="91"/>
    </row>
    <row r="150" ht="15.75" customHeight="1">
      <c r="B150" s="3"/>
      <c r="C150" s="3"/>
      <c r="H150" s="3"/>
      <c r="AG150" s="91"/>
    </row>
    <row r="151" ht="15.75" customHeight="1">
      <c r="B151" s="3"/>
      <c r="C151" s="3"/>
      <c r="H151" s="3"/>
      <c r="AG151" s="91"/>
    </row>
    <row r="152" ht="15.75" customHeight="1">
      <c r="B152" s="3"/>
      <c r="C152" s="3"/>
      <c r="H152" s="3"/>
      <c r="AG152" s="91"/>
    </row>
    <row r="153" ht="15.75" customHeight="1">
      <c r="B153" s="3"/>
      <c r="C153" s="3"/>
      <c r="H153" s="3"/>
      <c r="AG153" s="91"/>
    </row>
    <row r="154" ht="15.75" customHeight="1">
      <c r="B154" s="3"/>
      <c r="C154" s="3"/>
      <c r="H154" s="3"/>
      <c r="AG154" s="91"/>
    </row>
    <row r="155" ht="15.75" customHeight="1">
      <c r="B155" s="3"/>
      <c r="C155" s="3"/>
      <c r="H155" s="3"/>
      <c r="AG155" s="91"/>
    </row>
    <row r="156" ht="15.75" customHeight="1">
      <c r="B156" s="3"/>
      <c r="C156" s="3"/>
      <c r="H156" s="3"/>
      <c r="AG156" s="91"/>
    </row>
    <row r="157" ht="15.75" customHeight="1">
      <c r="B157" s="3"/>
      <c r="C157" s="3"/>
      <c r="H157" s="3"/>
      <c r="AG157" s="91"/>
    </row>
    <row r="158" ht="15.75" customHeight="1">
      <c r="B158" s="3"/>
      <c r="C158" s="3"/>
      <c r="H158" s="3"/>
      <c r="AG158" s="91"/>
    </row>
    <row r="159" ht="15.75" customHeight="1">
      <c r="B159" s="3"/>
      <c r="C159" s="3"/>
      <c r="H159" s="3"/>
      <c r="AG159" s="91"/>
    </row>
    <row r="160" ht="15.75" customHeight="1">
      <c r="B160" s="3"/>
      <c r="C160" s="3"/>
      <c r="H160" s="3"/>
      <c r="AG160" s="91"/>
    </row>
    <row r="161" ht="15.75" customHeight="1">
      <c r="B161" s="3"/>
      <c r="C161" s="3"/>
      <c r="H161" s="3"/>
      <c r="AG161" s="91"/>
    </row>
    <row r="162" ht="15.75" customHeight="1">
      <c r="B162" s="3"/>
      <c r="C162" s="3"/>
      <c r="H162" s="3"/>
      <c r="AG162" s="91"/>
    </row>
    <row r="163" ht="15.75" customHeight="1">
      <c r="B163" s="3"/>
      <c r="C163" s="3"/>
      <c r="H163" s="3"/>
      <c r="AG163" s="91"/>
    </row>
    <row r="164" ht="15.75" customHeight="1">
      <c r="B164" s="3"/>
      <c r="C164" s="3"/>
      <c r="H164" s="3"/>
      <c r="AG164" s="91"/>
    </row>
    <row r="165" ht="15.75" customHeight="1">
      <c r="B165" s="3"/>
      <c r="C165" s="3"/>
      <c r="H165" s="3"/>
      <c r="AG165" s="91"/>
    </row>
    <row r="166" ht="15.75" customHeight="1">
      <c r="B166" s="3"/>
      <c r="C166" s="3"/>
      <c r="H166" s="3"/>
      <c r="AG166" s="91"/>
    </row>
    <row r="167" ht="15.75" customHeight="1">
      <c r="B167" s="3"/>
      <c r="C167" s="3"/>
      <c r="H167" s="3"/>
      <c r="AG167" s="91"/>
    </row>
    <row r="168" ht="15.75" customHeight="1">
      <c r="B168" s="3"/>
      <c r="C168" s="3"/>
      <c r="H168" s="3"/>
      <c r="AG168" s="91"/>
    </row>
    <row r="169" ht="15.75" customHeight="1">
      <c r="B169" s="3"/>
      <c r="C169" s="3"/>
      <c r="H169" s="3"/>
      <c r="AG169" s="91"/>
    </row>
    <row r="170" ht="15.75" customHeight="1">
      <c r="B170" s="3"/>
      <c r="C170" s="3"/>
      <c r="H170" s="3"/>
      <c r="AG170" s="91"/>
    </row>
    <row r="171" ht="15.75" customHeight="1">
      <c r="B171" s="3"/>
      <c r="C171" s="3"/>
      <c r="H171" s="3"/>
      <c r="AG171" s="91"/>
    </row>
    <row r="172" ht="15.75" customHeight="1">
      <c r="B172" s="3"/>
      <c r="C172" s="3"/>
      <c r="H172" s="3"/>
      <c r="AG172" s="91"/>
    </row>
    <row r="173" ht="15.75" customHeight="1">
      <c r="B173" s="3"/>
      <c r="C173" s="3"/>
      <c r="H173" s="3"/>
      <c r="AG173" s="91"/>
    </row>
    <row r="174" ht="15.75" customHeight="1">
      <c r="B174" s="3"/>
      <c r="C174" s="3"/>
      <c r="H174" s="3"/>
      <c r="AG174" s="91"/>
    </row>
    <row r="175" ht="15.75" customHeight="1">
      <c r="B175" s="3"/>
      <c r="C175" s="3"/>
      <c r="H175" s="3"/>
      <c r="AG175" s="91"/>
    </row>
    <row r="176" ht="15.75" customHeight="1">
      <c r="B176" s="3"/>
      <c r="C176" s="3"/>
      <c r="H176" s="3"/>
      <c r="AG176" s="91"/>
    </row>
    <row r="177" ht="15.75" customHeight="1">
      <c r="B177" s="3"/>
      <c r="C177" s="3"/>
      <c r="H177" s="3"/>
      <c r="AG177" s="91"/>
    </row>
    <row r="178" ht="15.75" customHeight="1">
      <c r="B178" s="3"/>
      <c r="C178" s="3"/>
      <c r="H178" s="3"/>
      <c r="AG178" s="91"/>
    </row>
    <row r="179" ht="15.75" customHeight="1">
      <c r="B179" s="3"/>
      <c r="C179" s="3"/>
      <c r="H179" s="3"/>
      <c r="AG179" s="91"/>
    </row>
    <row r="180" ht="15.75" customHeight="1">
      <c r="B180" s="3"/>
      <c r="C180" s="3"/>
      <c r="H180" s="3"/>
      <c r="AG180" s="91"/>
    </row>
    <row r="181" ht="15.75" customHeight="1">
      <c r="B181" s="3"/>
      <c r="C181" s="3"/>
      <c r="H181" s="3"/>
      <c r="AG181" s="91"/>
    </row>
    <row r="182" ht="15.75" customHeight="1">
      <c r="B182" s="3"/>
      <c r="C182" s="3"/>
      <c r="H182" s="3"/>
      <c r="AG182" s="91"/>
    </row>
    <row r="183" ht="15.75" customHeight="1">
      <c r="B183" s="3"/>
      <c r="C183" s="3"/>
      <c r="H183" s="3"/>
      <c r="AG183" s="91"/>
    </row>
    <row r="184" ht="15.75" customHeight="1">
      <c r="B184" s="3"/>
      <c r="C184" s="3"/>
      <c r="H184" s="3"/>
      <c r="AG184" s="91"/>
    </row>
    <row r="185" ht="15.75" customHeight="1">
      <c r="B185" s="3"/>
      <c r="C185" s="3"/>
      <c r="H185" s="3"/>
      <c r="AG185" s="91"/>
    </row>
    <row r="186" ht="15.75" customHeight="1">
      <c r="B186" s="3"/>
      <c r="C186" s="3"/>
      <c r="H186" s="3"/>
      <c r="AG186" s="91"/>
    </row>
    <row r="187" ht="15.75" customHeight="1">
      <c r="B187" s="3"/>
      <c r="C187" s="3"/>
      <c r="H187" s="3"/>
      <c r="AG187" s="91"/>
    </row>
    <row r="188" ht="15.75" customHeight="1">
      <c r="B188" s="3"/>
      <c r="C188" s="3"/>
      <c r="H188" s="3"/>
      <c r="AG188" s="91"/>
    </row>
    <row r="189" ht="15.75" customHeight="1">
      <c r="B189" s="3"/>
      <c r="C189" s="3"/>
      <c r="H189" s="3"/>
      <c r="AG189" s="91"/>
    </row>
    <row r="190" ht="15.75" customHeight="1">
      <c r="B190" s="3"/>
      <c r="C190" s="3"/>
      <c r="H190" s="3"/>
      <c r="AG190" s="91"/>
    </row>
    <row r="191" ht="15.75" customHeight="1">
      <c r="B191" s="3"/>
      <c r="C191" s="3"/>
      <c r="H191" s="3"/>
      <c r="AG191" s="91"/>
    </row>
    <row r="192" ht="15.75" customHeight="1">
      <c r="B192" s="3"/>
      <c r="C192" s="3"/>
      <c r="H192" s="3"/>
      <c r="AG192" s="91"/>
    </row>
    <row r="193" ht="15.75" customHeight="1">
      <c r="B193" s="3"/>
      <c r="C193" s="3"/>
      <c r="H193" s="3"/>
      <c r="AG193" s="91"/>
    </row>
    <row r="194" ht="15.75" customHeight="1">
      <c r="B194" s="3"/>
      <c r="C194" s="3"/>
      <c r="H194" s="3"/>
      <c r="AG194" s="91"/>
    </row>
    <row r="195" ht="15.75" customHeight="1">
      <c r="B195" s="3"/>
      <c r="C195" s="3"/>
      <c r="H195" s="3"/>
      <c r="AG195" s="91"/>
    </row>
    <row r="196" ht="15.75" customHeight="1">
      <c r="B196" s="3"/>
      <c r="C196" s="3"/>
      <c r="H196" s="3"/>
      <c r="AG196" s="91"/>
    </row>
    <row r="197" ht="15.75" customHeight="1">
      <c r="B197" s="3"/>
      <c r="C197" s="3"/>
      <c r="H197" s="3"/>
      <c r="AG197" s="91"/>
    </row>
    <row r="198" ht="15.75" customHeight="1">
      <c r="B198" s="3"/>
      <c r="C198" s="3"/>
      <c r="H198" s="3"/>
      <c r="AG198" s="91"/>
    </row>
    <row r="199" ht="15.75" customHeight="1">
      <c r="B199" s="3"/>
      <c r="C199" s="3"/>
      <c r="H199" s="3"/>
      <c r="AG199" s="91"/>
    </row>
    <row r="200" ht="15.75" customHeight="1">
      <c r="B200" s="3"/>
      <c r="C200" s="3"/>
      <c r="H200" s="3"/>
      <c r="AG200" s="91"/>
    </row>
    <row r="201" ht="15.75" customHeight="1">
      <c r="B201" s="3"/>
      <c r="C201" s="3"/>
      <c r="H201" s="3"/>
      <c r="AG201" s="91"/>
    </row>
    <row r="202" ht="15.75" customHeight="1">
      <c r="B202" s="3"/>
      <c r="C202" s="3"/>
      <c r="H202" s="3"/>
      <c r="AG202" s="91"/>
    </row>
    <row r="203" ht="15.75" customHeight="1">
      <c r="B203" s="3"/>
      <c r="C203" s="3"/>
      <c r="H203" s="3"/>
      <c r="AG203" s="91"/>
    </row>
    <row r="204" ht="15.75" customHeight="1">
      <c r="B204" s="3"/>
      <c r="C204" s="3"/>
      <c r="H204" s="3"/>
      <c r="AG204" s="91"/>
    </row>
    <row r="205" ht="15.75" customHeight="1">
      <c r="B205" s="3"/>
      <c r="C205" s="3"/>
      <c r="H205" s="3"/>
      <c r="AG205" s="91"/>
    </row>
    <row r="206" ht="15.75" customHeight="1">
      <c r="B206" s="3"/>
      <c r="C206" s="3"/>
      <c r="H206" s="3"/>
      <c r="AG206" s="91"/>
    </row>
    <row r="207" ht="15.75" customHeight="1">
      <c r="B207" s="3"/>
      <c r="C207" s="3"/>
      <c r="H207" s="3"/>
      <c r="AG207" s="91"/>
    </row>
    <row r="208" ht="15.75" customHeight="1">
      <c r="B208" s="3"/>
      <c r="C208" s="3"/>
      <c r="H208" s="3"/>
      <c r="AG208" s="91"/>
    </row>
    <row r="209" ht="15.75" customHeight="1">
      <c r="B209" s="3"/>
      <c r="C209" s="3"/>
      <c r="H209" s="3"/>
      <c r="AG209" s="91"/>
    </row>
    <row r="210" ht="15.75" customHeight="1">
      <c r="B210" s="3"/>
      <c r="C210" s="3"/>
      <c r="H210" s="3"/>
      <c r="AG210" s="91"/>
    </row>
    <row r="211" ht="15.75" customHeight="1">
      <c r="B211" s="3"/>
      <c r="C211" s="3"/>
      <c r="H211" s="3"/>
      <c r="AG211" s="91"/>
    </row>
    <row r="212" ht="15.75" customHeight="1">
      <c r="B212" s="3"/>
      <c r="C212" s="3"/>
      <c r="H212" s="3"/>
      <c r="AG212" s="91"/>
    </row>
    <row r="213" ht="15.75" customHeight="1">
      <c r="B213" s="3"/>
      <c r="C213" s="3"/>
      <c r="H213" s="3"/>
      <c r="AG213" s="91"/>
    </row>
    <row r="214" ht="15.75" customHeight="1">
      <c r="B214" s="3"/>
      <c r="C214" s="3"/>
      <c r="H214" s="3"/>
      <c r="AG214" s="91"/>
    </row>
    <row r="215" ht="15.75" customHeight="1">
      <c r="B215" s="3"/>
      <c r="C215" s="3"/>
      <c r="H215" s="3"/>
      <c r="AG215" s="91"/>
    </row>
    <row r="216" ht="15.75" customHeight="1">
      <c r="B216" s="3"/>
      <c r="C216" s="3"/>
      <c r="H216" s="3"/>
      <c r="AG216" s="91"/>
    </row>
    <row r="217" ht="15.75" customHeight="1">
      <c r="B217" s="3"/>
      <c r="C217" s="3"/>
      <c r="H217" s="3"/>
      <c r="AG217" s="91"/>
    </row>
    <row r="218" ht="15.75" customHeight="1">
      <c r="B218" s="3"/>
      <c r="C218" s="3"/>
      <c r="H218" s="3"/>
      <c r="AG218" s="91"/>
    </row>
    <row r="219" ht="15.75" customHeight="1">
      <c r="B219" s="3"/>
      <c r="C219" s="3"/>
      <c r="H219" s="3"/>
      <c r="AG219" s="91"/>
    </row>
    <row r="220" ht="15.75" customHeight="1">
      <c r="B220" s="3"/>
      <c r="C220" s="3"/>
      <c r="H220" s="3"/>
      <c r="AG220" s="91"/>
    </row>
    <row r="221" ht="15.75" customHeight="1">
      <c r="B221" s="3"/>
      <c r="C221" s="3"/>
      <c r="H221" s="3"/>
      <c r="AG221" s="91"/>
    </row>
    <row r="222" ht="15.75" customHeight="1">
      <c r="B222" s="3"/>
      <c r="C222" s="3"/>
      <c r="H222" s="3"/>
      <c r="AG222" s="91"/>
    </row>
    <row r="223" ht="15.75" customHeight="1">
      <c r="B223" s="3"/>
      <c r="C223" s="3"/>
      <c r="H223" s="3"/>
      <c r="AG223" s="91"/>
    </row>
    <row r="224" ht="15.75" customHeight="1">
      <c r="B224" s="3"/>
      <c r="C224" s="3"/>
      <c r="H224" s="3"/>
      <c r="AG224" s="91"/>
    </row>
    <row r="225" ht="15.75" customHeight="1">
      <c r="B225" s="3"/>
      <c r="C225" s="3"/>
      <c r="H225" s="3"/>
      <c r="AG225" s="91"/>
    </row>
    <row r="226" ht="15.75" customHeight="1">
      <c r="B226" s="3"/>
      <c r="C226" s="3"/>
      <c r="H226" s="3"/>
      <c r="AG226" s="91"/>
    </row>
    <row r="227" ht="15.75" customHeight="1">
      <c r="B227" s="3"/>
      <c r="C227" s="3"/>
      <c r="H227" s="3"/>
      <c r="AG227" s="91"/>
    </row>
    <row r="228" ht="15.75" customHeight="1">
      <c r="B228" s="3"/>
      <c r="C228" s="3"/>
      <c r="H228" s="3"/>
      <c r="AG228" s="91"/>
    </row>
    <row r="229" ht="15.75" customHeight="1">
      <c r="B229" s="3"/>
      <c r="C229" s="3"/>
      <c r="H229" s="3"/>
      <c r="AG229" s="91"/>
    </row>
    <row r="230" ht="15.75" customHeight="1">
      <c r="B230" s="3"/>
      <c r="C230" s="3"/>
      <c r="H230" s="3"/>
      <c r="AG230" s="91"/>
    </row>
    <row r="231" ht="15.75" customHeight="1">
      <c r="B231" s="3"/>
      <c r="C231" s="3"/>
      <c r="H231" s="3"/>
      <c r="AG231" s="91"/>
    </row>
    <row r="232" ht="15.75" customHeight="1">
      <c r="B232" s="3"/>
      <c r="C232" s="3"/>
      <c r="H232" s="3"/>
      <c r="AG232" s="91"/>
    </row>
    <row r="233" ht="15.75" customHeight="1">
      <c r="B233" s="3"/>
      <c r="C233" s="3"/>
      <c r="H233" s="3"/>
      <c r="AG233" s="91"/>
    </row>
    <row r="234" ht="15.75" customHeight="1">
      <c r="B234" s="3"/>
      <c r="C234" s="3"/>
      <c r="H234" s="3"/>
      <c r="AG234" s="91"/>
    </row>
    <row r="235" ht="15.75" customHeight="1">
      <c r="B235" s="3"/>
      <c r="C235" s="3"/>
      <c r="H235" s="3"/>
      <c r="AG235" s="91"/>
    </row>
    <row r="236" ht="15.75" customHeight="1">
      <c r="B236" s="3"/>
      <c r="C236" s="3"/>
      <c r="H236" s="3"/>
      <c r="AG236" s="91"/>
    </row>
    <row r="237" ht="15.75" customHeight="1">
      <c r="B237" s="3"/>
      <c r="C237" s="3"/>
      <c r="H237" s="3"/>
      <c r="AG237" s="91"/>
    </row>
    <row r="238" ht="15.75" customHeight="1">
      <c r="B238" s="3"/>
      <c r="C238" s="3"/>
      <c r="H238" s="3"/>
      <c r="AG238" s="91"/>
    </row>
    <row r="239" ht="15.75" customHeight="1">
      <c r="B239" s="3"/>
      <c r="C239" s="3"/>
      <c r="H239" s="3"/>
      <c r="AG239" s="91"/>
    </row>
    <row r="240" ht="15.75" customHeight="1">
      <c r="B240" s="3"/>
      <c r="C240" s="3"/>
      <c r="H240" s="3"/>
      <c r="AG240" s="91"/>
    </row>
    <row r="241" ht="15.75" customHeight="1">
      <c r="B241" s="3"/>
      <c r="C241" s="3"/>
      <c r="H241" s="3"/>
      <c r="AG241" s="91"/>
    </row>
    <row r="242" ht="15.75" customHeight="1">
      <c r="B242" s="3"/>
      <c r="C242" s="3"/>
      <c r="H242" s="3"/>
      <c r="AG242" s="91"/>
    </row>
    <row r="243" ht="15.75" customHeight="1">
      <c r="B243" s="3"/>
      <c r="C243" s="3"/>
      <c r="H243" s="3"/>
      <c r="AG243" s="91"/>
    </row>
    <row r="244" ht="15.75" customHeight="1">
      <c r="B244" s="3"/>
      <c r="C244" s="3"/>
      <c r="H244" s="3"/>
      <c r="AG244" s="91"/>
    </row>
    <row r="245" ht="15.75" customHeight="1">
      <c r="B245" s="3"/>
      <c r="C245" s="3"/>
      <c r="H245" s="3"/>
      <c r="AG245" s="91"/>
    </row>
    <row r="246" ht="15.75" customHeight="1">
      <c r="B246" s="3"/>
      <c r="C246" s="3"/>
      <c r="H246" s="3"/>
      <c r="AG246" s="91"/>
    </row>
    <row r="247" ht="15.75" customHeight="1">
      <c r="B247" s="3"/>
      <c r="C247" s="3"/>
      <c r="H247" s="3"/>
      <c r="AG247" s="91"/>
    </row>
    <row r="248" ht="15.75" customHeight="1">
      <c r="B248" s="3"/>
      <c r="C248" s="3"/>
      <c r="H248" s="3"/>
      <c r="AG248" s="91"/>
    </row>
    <row r="249" ht="15.75" customHeight="1">
      <c r="B249" s="3"/>
      <c r="C249" s="3"/>
      <c r="H249" s="3"/>
      <c r="AG249" s="91"/>
    </row>
    <row r="250" ht="15.75" customHeight="1">
      <c r="B250" s="3"/>
      <c r="C250" s="3"/>
      <c r="H250" s="3"/>
      <c r="AG250" s="91"/>
    </row>
    <row r="251" ht="15.75" customHeight="1">
      <c r="B251" s="3"/>
      <c r="C251" s="3"/>
      <c r="H251" s="3"/>
      <c r="AG251" s="91"/>
    </row>
    <row r="252" ht="15.75" customHeight="1">
      <c r="B252" s="3"/>
      <c r="C252" s="3"/>
      <c r="H252" s="3"/>
      <c r="AG252" s="91"/>
    </row>
    <row r="253" ht="15.75" customHeight="1">
      <c r="B253" s="3"/>
      <c r="C253" s="3"/>
      <c r="H253" s="3"/>
      <c r="AG253" s="91"/>
    </row>
    <row r="254" ht="15.75" customHeight="1">
      <c r="B254" s="3"/>
      <c r="C254" s="3"/>
      <c r="H254" s="3"/>
      <c r="AG254" s="91"/>
    </row>
    <row r="255" ht="15.75" customHeight="1">
      <c r="B255" s="3"/>
      <c r="C255" s="3"/>
      <c r="H255" s="3"/>
      <c r="AG255" s="91"/>
    </row>
    <row r="256" ht="15.75" customHeight="1">
      <c r="B256" s="3"/>
      <c r="C256" s="3"/>
      <c r="H256" s="3"/>
      <c r="AG256" s="91"/>
    </row>
    <row r="257" ht="15.75" customHeight="1">
      <c r="B257" s="3"/>
      <c r="C257" s="3"/>
      <c r="H257" s="3"/>
      <c r="AG257" s="91"/>
    </row>
    <row r="258" ht="15.75" customHeight="1">
      <c r="B258" s="3"/>
      <c r="C258" s="3"/>
      <c r="H258" s="3"/>
      <c r="AG258" s="91"/>
    </row>
    <row r="259" ht="15.75" customHeight="1">
      <c r="B259" s="3"/>
      <c r="C259" s="3"/>
      <c r="H259" s="3"/>
      <c r="AG259" s="91"/>
    </row>
    <row r="260" ht="15.75" customHeight="1">
      <c r="B260" s="3"/>
      <c r="C260" s="3"/>
      <c r="H260" s="3"/>
      <c r="AG260" s="91"/>
    </row>
    <row r="261" ht="15.75" customHeight="1">
      <c r="B261" s="3"/>
      <c r="C261" s="3"/>
      <c r="H261" s="3"/>
      <c r="AG261" s="91"/>
    </row>
    <row r="262" ht="15.75" customHeight="1">
      <c r="B262" s="3"/>
      <c r="C262" s="3"/>
      <c r="H262" s="3"/>
      <c r="AG262" s="91"/>
    </row>
    <row r="263" ht="15.75" customHeight="1">
      <c r="B263" s="3"/>
      <c r="C263" s="3"/>
      <c r="H263" s="3"/>
      <c r="AG263" s="91"/>
    </row>
    <row r="264" ht="15.75" customHeight="1">
      <c r="B264" s="3"/>
      <c r="C264" s="3"/>
      <c r="H264" s="3"/>
      <c r="AG264" s="91"/>
    </row>
    <row r="265" ht="15.75" customHeight="1">
      <c r="B265" s="3"/>
      <c r="C265" s="3"/>
      <c r="H265" s="3"/>
      <c r="AG265" s="91"/>
    </row>
    <row r="266" ht="15.75" customHeight="1">
      <c r="B266" s="3"/>
      <c r="C266" s="3"/>
      <c r="H266" s="3"/>
      <c r="AG266" s="91"/>
    </row>
    <row r="267" ht="15.75" customHeight="1">
      <c r="B267" s="3"/>
      <c r="C267" s="3"/>
      <c r="H267" s="3"/>
      <c r="AG267" s="91"/>
    </row>
    <row r="268" ht="15.75" customHeight="1">
      <c r="B268" s="3"/>
      <c r="C268" s="3"/>
      <c r="H268" s="3"/>
      <c r="AG268" s="91"/>
    </row>
    <row r="269" ht="15.75" customHeight="1">
      <c r="B269" s="3"/>
      <c r="C269" s="3"/>
      <c r="H269" s="3"/>
      <c r="AG269" s="91"/>
    </row>
    <row r="270" ht="15.75" customHeight="1">
      <c r="B270" s="3"/>
      <c r="C270" s="3"/>
      <c r="H270" s="3"/>
      <c r="AG270" s="91"/>
    </row>
    <row r="271" ht="15.75" customHeight="1">
      <c r="B271" s="3"/>
      <c r="C271" s="3"/>
      <c r="H271" s="3"/>
      <c r="AG271" s="91"/>
    </row>
    <row r="272" ht="15.75" customHeight="1">
      <c r="B272" s="3"/>
      <c r="C272" s="3"/>
      <c r="H272" s="3"/>
      <c r="AG272" s="91"/>
    </row>
    <row r="273" ht="15.75" customHeight="1">
      <c r="B273" s="3"/>
      <c r="C273" s="3"/>
      <c r="H273" s="3"/>
      <c r="AG273" s="91"/>
    </row>
    <row r="274" ht="15.75" customHeight="1">
      <c r="B274" s="3"/>
      <c r="C274" s="3"/>
      <c r="H274" s="3"/>
      <c r="AG274" s="91"/>
    </row>
    <row r="275" ht="15.75" customHeight="1">
      <c r="B275" s="3"/>
      <c r="C275" s="3"/>
      <c r="H275" s="3"/>
      <c r="AG275" s="91"/>
    </row>
    <row r="276" ht="15.75" customHeight="1">
      <c r="B276" s="3"/>
      <c r="C276" s="3"/>
      <c r="H276" s="3"/>
      <c r="AG276" s="91"/>
    </row>
    <row r="277" ht="15.75" customHeight="1">
      <c r="B277" s="3"/>
      <c r="C277" s="3"/>
      <c r="H277" s="3"/>
      <c r="AG277" s="91"/>
    </row>
    <row r="278" ht="15.75" customHeight="1">
      <c r="B278" s="3"/>
      <c r="C278" s="3"/>
      <c r="H278" s="3"/>
      <c r="AG278" s="91"/>
    </row>
    <row r="279" ht="15.75" customHeight="1">
      <c r="B279" s="3"/>
      <c r="C279" s="3"/>
      <c r="H279" s="3"/>
      <c r="AG279" s="91"/>
    </row>
    <row r="280" ht="15.75" customHeight="1">
      <c r="B280" s="3"/>
      <c r="C280" s="3"/>
      <c r="H280" s="3"/>
      <c r="AG280" s="91"/>
    </row>
    <row r="281" ht="15.75" customHeight="1">
      <c r="B281" s="3"/>
      <c r="C281" s="3"/>
      <c r="H281" s="3"/>
      <c r="AG281" s="91"/>
    </row>
    <row r="282" ht="15.75" customHeight="1">
      <c r="B282" s="3"/>
      <c r="C282" s="3"/>
      <c r="H282" s="3"/>
      <c r="AG282" s="91"/>
    </row>
    <row r="283" ht="15.75" customHeight="1">
      <c r="B283" s="3"/>
      <c r="C283" s="3"/>
      <c r="H283" s="3"/>
      <c r="AG283" s="91"/>
    </row>
    <row r="284" ht="15.75" customHeight="1">
      <c r="B284" s="3"/>
      <c r="C284" s="3"/>
      <c r="H284" s="3"/>
      <c r="AG284" s="91"/>
    </row>
    <row r="285" ht="15.75" customHeight="1">
      <c r="B285" s="3"/>
      <c r="C285" s="3"/>
      <c r="H285" s="3"/>
      <c r="AG285" s="91"/>
    </row>
    <row r="286" ht="15.75" customHeight="1">
      <c r="B286" s="3"/>
      <c r="C286" s="3"/>
      <c r="H286" s="3"/>
      <c r="AG286" s="91"/>
    </row>
    <row r="287" ht="15.75" customHeight="1">
      <c r="B287" s="3"/>
      <c r="C287" s="3"/>
      <c r="H287" s="3"/>
      <c r="AG287" s="91"/>
    </row>
    <row r="288" ht="15.75" customHeight="1">
      <c r="B288" s="3"/>
      <c r="C288" s="3"/>
      <c r="H288" s="3"/>
      <c r="AG288" s="91"/>
    </row>
    <row r="289" ht="15.75" customHeight="1">
      <c r="B289" s="3"/>
      <c r="C289" s="3"/>
      <c r="H289" s="3"/>
      <c r="AG289" s="91"/>
    </row>
    <row r="290" ht="15.75" customHeight="1">
      <c r="B290" s="3"/>
      <c r="C290" s="3"/>
      <c r="H290" s="3"/>
      <c r="AG290" s="91"/>
    </row>
    <row r="291" ht="15.75" customHeight="1">
      <c r="B291" s="3"/>
      <c r="C291" s="3"/>
      <c r="H291" s="3"/>
      <c r="AG291" s="91"/>
    </row>
    <row r="292" ht="15.75" customHeight="1">
      <c r="B292" s="3"/>
      <c r="C292" s="3"/>
      <c r="H292" s="3"/>
      <c r="AG292" s="91"/>
    </row>
    <row r="293" ht="15.75" customHeight="1">
      <c r="B293" s="3"/>
      <c r="C293" s="3"/>
      <c r="H293" s="3"/>
      <c r="AG293" s="91"/>
    </row>
    <row r="294" ht="15.75" customHeight="1">
      <c r="B294" s="3"/>
      <c r="C294" s="3"/>
      <c r="H294" s="3"/>
      <c r="AG294" s="91"/>
    </row>
    <row r="295" ht="15.75" customHeight="1">
      <c r="B295" s="3"/>
      <c r="C295" s="3"/>
      <c r="H295" s="3"/>
      <c r="AG295" s="91"/>
    </row>
    <row r="296" ht="15.75" customHeight="1">
      <c r="B296" s="3"/>
      <c r="C296" s="3"/>
      <c r="H296" s="3"/>
      <c r="AG296" s="91"/>
    </row>
    <row r="297" ht="15.75" customHeight="1">
      <c r="B297" s="3"/>
      <c r="C297" s="3"/>
      <c r="H297" s="3"/>
      <c r="AG297" s="91"/>
    </row>
    <row r="298" ht="15.75" customHeight="1">
      <c r="B298" s="3"/>
      <c r="C298" s="3"/>
      <c r="H298" s="3"/>
      <c r="AG298" s="91"/>
    </row>
    <row r="299" ht="15.75" customHeight="1">
      <c r="B299" s="3"/>
      <c r="C299" s="3"/>
      <c r="H299" s="3"/>
      <c r="AG299" s="91"/>
    </row>
    <row r="300" ht="15.75" customHeight="1">
      <c r="B300" s="3"/>
      <c r="C300" s="3"/>
      <c r="H300" s="3"/>
      <c r="AG300" s="91"/>
    </row>
    <row r="301" ht="15.75" customHeight="1">
      <c r="B301" s="3"/>
      <c r="C301" s="3"/>
      <c r="H301" s="3"/>
      <c r="AG301" s="91"/>
    </row>
    <row r="302" ht="15.75" customHeight="1">
      <c r="B302" s="3"/>
      <c r="C302" s="3"/>
      <c r="H302" s="3"/>
      <c r="AG302" s="91"/>
    </row>
    <row r="303" ht="15.75" customHeight="1">
      <c r="B303" s="3"/>
      <c r="C303" s="3"/>
      <c r="H303" s="3"/>
      <c r="AG303" s="91"/>
    </row>
    <row r="304" ht="15.75" customHeight="1">
      <c r="B304" s="3"/>
      <c r="C304" s="3"/>
      <c r="H304" s="3"/>
      <c r="AG304" s="91"/>
    </row>
    <row r="305" ht="15.75" customHeight="1">
      <c r="B305" s="3"/>
      <c r="C305" s="3"/>
      <c r="H305" s="3"/>
      <c r="AG305" s="91"/>
    </row>
    <row r="306" ht="15.75" customHeight="1">
      <c r="B306" s="3"/>
      <c r="C306" s="3"/>
      <c r="H306" s="3"/>
      <c r="AG306" s="91"/>
    </row>
    <row r="307" ht="15.75" customHeight="1">
      <c r="B307" s="3"/>
      <c r="C307" s="3"/>
      <c r="H307" s="3"/>
      <c r="AG307" s="91"/>
    </row>
    <row r="308" ht="15.75" customHeight="1">
      <c r="B308" s="3"/>
      <c r="C308" s="3"/>
      <c r="H308" s="3"/>
      <c r="AG308" s="91"/>
    </row>
    <row r="309" ht="15.75" customHeight="1">
      <c r="B309" s="3"/>
      <c r="C309" s="3"/>
      <c r="H309" s="3"/>
      <c r="AG309" s="91"/>
    </row>
    <row r="310" ht="15.75" customHeight="1">
      <c r="B310" s="3"/>
      <c r="C310" s="3"/>
      <c r="H310" s="3"/>
      <c r="AG310" s="91"/>
    </row>
    <row r="311" ht="15.75" customHeight="1">
      <c r="B311" s="3"/>
      <c r="C311" s="3"/>
      <c r="H311" s="3"/>
      <c r="AG311" s="91"/>
    </row>
    <row r="312" ht="15.75" customHeight="1">
      <c r="B312" s="3"/>
      <c r="C312" s="3"/>
      <c r="H312" s="3"/>
      <c r="AG312" s="91"/>
    </row>
    <row r="313" ht="15.75" customHeight="1">
      <c r="B313" s="3"/>
      <c r="C313" s="3"/>
      <c r="H313" s="3"/>
      <c r="AG313" s="91"/>
    </row>
    <row r="314" ht="15.75" customHeight="1">
      <c r="B314" s="3"/>
      <c r="C314" s="3"/>
      <c r="H314" s="3"/>
      <c r="AG314" s="91"/>
    </row>
    <row r="315" ht="15.75" customHeight="1">
      <c r="B315" s="3"/>
      <c r="C315" s="3"/>
      <c r="H315" s="3"/>
      <c r="AG315" s="91"/>
    </row>
    <row r="316" ht="15.75" customHeight="1">
      <c r="B316" s="3"/>
      <c r="C316" s="3"/>
      <c r="H316" s="3"/>
      <c r="AG316" s="91"/>
    </row>
    <row r="317" ht="15.75" customHeight="1">
      <c r="B317" s="3"/>
      <c r="C317" s="3"/>
      <c r="H317" s="3"/>
      <c r="AG317" s="91"/>
    </row>
    <row r="318" ht="15.75" customHeight="1">
      <c r="B318" s="3"/>
      <c r="C318" s="3"/>
      <c r="H318" s="3"/>
      <c r="AG318" s="91"/>
    </row>
    <row r="319" ht="15.75" customHeight="1">
      <c r="B319" s="3"/>
      <c r="C319" s="3"/>
      <c r="H319" s="3"/>
      <c r="AG319" s="91"/>
    </row>
    <row r="320" ht="15.75" customHeight="1">
      <c r="B320" s="3"/>
      <c r="C320" s="3"/>
      <c r="H320" s="3"/>
      <c r="AG320" s="91"/>
    </row>
    <row r="321" ht="15.75" customHeight="1">
      <c r="B321" s="3"/>
      <c r="C321" s="3"/>
      <c r="H321" s="3"/>
      <c r="AG321" s="91"/>
    </row>
    <row r="322" ht="15.75" customHeight="1">
      <c r="B322" s="3"/>
      <c r="C322" s="3"/>
      <c r="H322" s="3"/>
      <c r="AG322" s="91"/>
    </row>
    <row r="323" ht="15.75" customHeight="1">
      <c r="B323" s="3"/>
      <c r="C323" s="3"/>
      <c r="H323" s="3"/>
      <c r="AG323" s="91"/>
    </row>
    <row r="324" ht="15.75" customHeight="1">
      <c r="B324" s="3"/>
      <c r="C324" s="3"/>
      <c r="H324" s="3"/>
      <c r="AG324" s="91"/>
    </row>
    <row r="325" ht="15.75" customHeight="1">
      <c r="B325" s="3"/>
      <c r="C325" s="3"/>
      <c r="H325" s="3"/>
      <c r="AG325" s="91"/>
    </row>
    <row r="326" ht="15.75" customHeight="1">
      <c r="B326" s="3"/>
      <c r="C326" s="3"/>
      <c r="H326" s="3"/>
      <c r="AG326" s="91"/>
    </row>
    <row r="327" ht="15.75" customHeight="1">
      <c r="B327" s="3"/>
      <c r="C327" s="3"/>
      <c r="H327" s="3"/>
      <c r="AG327" s="91"/>
    </row>
    <row r="328" ht="15.75" customHeight="1">
      <c r="B328" s="3"/>
      <c r="C328" s="3"/>
      <c r="H328" s="3"/>
      <c r="AG328" s="91"/>
    </row>
    <row r="329" ht="15.75" customHeight="1">
      <c r="B329" s="3"/>
      <c r="C329" s="3"/>
      <c r="H329" s="3"/>
      <c r="AG329" s="91"/>
    </row>
    <row r="330" ht="15.75" customHeight="1">
      <c r="B330" s="3"/>
      <c r="C330" s="3"/>
      <c r="H330" s="3"/>
      <c r="AG330" s="91"/>
    </row>
    <row r="331" ht="15.75" customHeight="1">
      <c r="B331" s="3"/>
      <c r="C331" s="3"/>
      <c r="H331" s="3"/>
      <c r="AG331" s="91"/>
    </row>
    <row r="332" ht="15.75" customHeight="1">
      <c r="B332" s="3"/>
      <c r="C332" s="3"/>
      <c r="H332" s="3"/>
      <c r="AG332" s="91"/>
    </row>
    <row r="333" ht="15.75" customHeight="1">
      <c r="B333" s="3"/>
      <c r="C333" s="3"/>
      <c r="H333" s="3"/>
      <c r="AG333" s="91"/>
    </row>
    <row r="334" ht="15.75" customHeight="1">
      <c r="B334" s="3"/>
      <c r="C334" s="3"/>
      <c r="H334" s="3"/>
      <c r="AG334" s="91"/>
    </row>
    <row r="335" ht="15.75" customHeight="1">
      <c r="B335" s="3"/>
      <c r="C335" s="3"/>
      <c r="H335" s="3"/>
      <c r="AG335" s="91"/>
    </row>
    <row r="336" ht="15.75" customHeight="1">
      <c r="B336" s="3"/>
      <c r="C336" s="3"/>
      <c r="H336" s="3"/>
      <c r="AG336" s="91"/>
    </row>
    <row r="337" ht="15.75" customHeight="1">
      <c r="B337" s="3"/>
      <c r="C337" s="3"/>
      <c r="H337" s="3"/>
      <c r="AG337" s="91"/>
    </row>
    <row r="338" ht="15.75" customHeight="1">
      <c r="B338" s="3"/>
      <c r="C338" s="3"/>
      <c r="H338" s="3"/>
      <c r="AG338" s="91"/>
    </row>
    <row r="339" ht="15.75" customHeight="1">
      <c r="B339" s="3"/>
      <c r="C339" s="3"/>
      <c r="H339" s="3"/>
      <c r="AG339" s="91"/>
    </row>
    <row r="340" ht="15.75" customHeight="1">
      <c r="B340" s="3"/>
      <c r="C340" s="3"/>
      <c r="H340" s="3"/>
      <c r="AG340" s="91"/>
    </row>
    <row r="341" ht="15.75" customHeight="1">
      <c r="B341" s="3"/>
      <c r="C341" s="3"/>
      <c r="H341" s="3"/>
      <c r="AG341" s="91"/>
    </row>
    <row r="342" ht="15.75" customHeight="1">
      <c r="B342" s="3"/>
      <c r="C342" s="3"/>
      <c r="H342" s="3"/>
      <c r="AG342" s="91"/>
    </row>
    <row r="343" ht="15.75" customHeight="1">
      <c r="B343" s="3"/>
      <c r="C343" s="3"/>
      <c r="H343" s="3"/>
      <c r="AG343" s="91"/>
    </row>
    <row r="344" ht="15.75" customHeight="1">
      <c r="B344" s="3"/>
      <c r="C344" s="3"/>
      <c r="H344" s="3"/>
      <c r="AG344" s="91"/>
    </row>
    <row r="345" ht="15.75" customHeight="1">
      <c r="B345" s="3"/>
      <c r="C345" s="3"/>
      <c r="H345" s="3"/>
      <c r="AG345" s="91"/>
    </row>
    <row r="346" ht="15.75" customHeight="1">
      <c r="B346" s="3"/>
      <c r="C346" s="3"/>
      <c r="H346" s="3"/>
      <c r="AG346" s="91"/>
    </row>
    <row r="347" ht="15.75" customHeight="1">
      <c r="B347" s="3"/>
      <c r="C347" s="3"/>
      <c r="H347" s="3"/>
      <c r="AG347" s="91"/>
    </row>
    <row r="348" ht="15.75" customHeight="1">
      <c r="B348" s="3"/>
      <c r="C348" s="3"/>
      <c r="H348" s="3"/>
      <c r="AG348" s="91"/>
    </row>
    <row r="349" ht="15.75" customHeight="1">
      <c r="B349" s="3"/>
      <c r="C349" s="3"/>
      <c r="H349" s="3"/>
      <c r="AG349" s="91"/>
    </row>
    <row r="350" ht="15.75" customHeight="1">
      <c r="B350" s="3"/>
      <c r="C350" s="3"/>
      <c r="H350" s="3"/>
      <c r="AG350" s="91"/>
    </row>
    <row r="351" ht="15.75" customHeight="1">
      <c r="B351" s="3"/>
      <c r="C351" s="3"/>
      <c r="H351" s="3"/>
      <c r="AG351" s="91"/>
    </row>
    <row r="352" ht="15.75" customHeight="1">
      <c r="B352" s="3"/>
      <c r="C352" s="3"/>
      <c r="H352" s="3"/>
      <c r="AG352" s="91"/>
    </row>
    <row r="353" ht="15.75" customHeight="1">
      <c r="B353" s="3"/>
      <c r="C353" s="3"/>
      <c r="H353" s="3"/>
      <c r="AG353" s="91"/>
    </row>
    <row r="354" ht="15.75" customHeight="1">
      <c r="B354" s="3"/>
      <c r="C354" s="3"/>
      <c r="H354" s="3"/>
      <c r="AG354" s="91"/>
    </row>
    <row r="355" ht="15.75" customHeight="1">
      <c r="B355" s="3"/>
      <c r="C355" s="3"/>
      <c r="H355" s="3"/>
      <c r="AG355" s="91"/>
    </row>
    <row r="356" ht="15.75" customHeight="1">
      <c r="B356" s="3"/>
      <c r="C356" s="3"/>
      <c r="H356" s="3"/>
      <c r="AG356" s="91"/>
    </row>
    <row r="357" ht="15.75" customHeight="1">
      <c r="B357" s="3"/>
      <c r="C357" s="3"/>
      <c r="H357" s="3"/>
      <c r="AG357" s="91"/>
    </row>
    <row r="358" ht="15.75" customHeight="1">
      <c r="B358" s="3"/>
      <c r="C358" s="3"/>
      <c r="H358" s="3"/>
      <c r="AG358" s="91"/>
    </row>
    <row r="359" ht="15.75" customHeight="1">
      <c r="B359" s="3"/>
      <c r="C359" s="3"/>
      <c r="H359" s="3"/>
      <c r="AG359" s="91"/>
    </row>
    <row r="360" ht="15.75" customHeight="1">
      <c r="B360" s="3"/>
      <c r="C360" s="3"/>
      <c r="H360" s="3"/>
      <c r="AG360" s="91"/>
    </row>
    <row r="361" ht="15.75" customHeight="1">
      <c r="B361" s="3"/>
      <c r="C361" s="3"/>
      <c r="H361" s="3"/>
      <c r="AG361" s="91"/>
    </row>
    <row r="362" ht="15.75" customHeight="1">
      <c r="B362" s="3"/>
      <c r="C362" s="3"/>
      <c r="H362" s="3"/>
      <c r="AG362" s="91"/>
    </row>
    <row r="363" ht="15.75" customHeight="1">
      <c r="B363" s="3"/>
      <c r="C363" s="3"/>
      <c r="H363" s="3"/>
      <c r="AG363" s="91"/>
    </row>
    <row r="364" ht="15.75" customHeight="1">
      <c r="B364" s="3"/>
      <c r="C364" s="3"/>
      <c r="H364" s="3"/>
      <c r="AG364" s="91"/>
    </row>
    <row r="365" ht="15.75" customHeight="1">
      <c r="B365" s="3"/>
      <c r="C365" s="3"/>
      <c r="H365" s="3"/>
      <c r="AG365" s="91"/>
    </row>
    <row r="366" ht="15.75" customHeight="1">
      <c r="B366" s="3"/>
      <c r="C366" s="3"/>
      <c r="H366" s="3"/>
      <c r="AG366" s="91"/>
    </row>
    <row r="367" ht="15.75" customHeight="1">
      <c r="B367" s="3"/>
      <c r="C367" s="3"/>
      <c r="H367" s="3"/>
      <c r="AG367" s="91"/>
    </row>
    <row r="368" ht="15.75" customHeight="1">
      <c r="B368" s="3"/>
      <c r="C368" s="3"/>
      <c r="H368" s="3"/>
      <c r="AG368" s="91"/>
    </row>
    <row r="369" ht="15.75" customHeight="1">
      <c r="B369" s="3"/>
      <c r="C369" s="3"/>
      <c r="H369" s="3"/>
      <c r="AG369" s="91"/>
    </row>
    <row r="370" ht="15.75" customHeight="1">
      <c r="B370" s="3"/>
      <c r="C370" s="3"/>
      <c r="H370" s="3"/>
      <c r="AG370" s="91"/>
    </row>
    <row r="371" ht="15.75" customHeight="1">
      <c r="B371" s="3"/>
      <c r="C371" s="3"/>
      <c r="H371" s="3"/>
      <c r="AG371" s="91"/>
    </row>
    <row r="372" ht="15.75" customHeight="1">
      <c r="B372" s="3"/>
      <c r="C372" s="3"/>
      <c r="H372" s="3"/>
      <c r="AG372" s="91"/>
    </row>
    <row r="373" ht="15.75" customHeight="1">
      <c r="B373" s="3"/>
      <c r="C373" s="3"/>
      <c r="H373" s="3"/>
      <c r="AG373" s="91"/>
    </row>
    <row r="374" ht="15.75" customHeight="1">
      <c r="B374" s="3"/>
      <c r="C374" s="3"/>
      <c r="H374" s="3"/>
      <c r="AG374" s="91"/>
    </row>
    <row r="375" ht="15.75" customHeight="1">
      <c r="B375" s="3"/>
      <c r="C375" s="3"/>
      <c r="H375" s="3"/>
      <c r="AG375" s="91"/>
    </row>
    <row r="376" ht="15.75" customHeight="1">
      <c r="B376" s="3"/>
      <c r="C376" s="3"/>
      <c r="H376" s="3"/>
      <c r="AG376" s="91"/>
    </row>
    <row r="377" ht="15.75" customHeight="1">
      <c r="B377" s="3"/>
      <c r="C377" s="3"/>
      <c r="H377" s="3"/>
      <c r="AG377" s="91"/>
    </row>
    <row r="378" ht="15.75" customHeight="1">
      <c r="B378" s="3"/>
      <c r="C378" s="3"/>
      <c r="H378" s="3"/>
      <c r="AG378" s="91"/>
    </row>
    <row r="379" ht="15.75" customHeight="1">
      <c r="B379" s="3"/>
      <c r="C379" s="3"/>
      <c r="H379" s="3"/>
      <c r="AG379" s="91"/>
    </row>
    <row r="380" ht="15.75" customHeight="1">
      <c r="B380" s="3"/>
      <c r="C380" s="3"/>
      <c r="H380" s="3"/>
      <c r="AG380" s="91"/>
    </row>
    <row r="381" ht="15.75" customHeight="1">
      <c r="B381" s="3"/>
      <c r="C381" s="3"/>
      <c r="H381" s="3"/>
      <c r="AG381" s="91"/>
    </row>
    <row r="382" ht="15.75" customHeight="1">
      <c r="B382" s="3"/>
      <c r="C382" s="3"/>
      <c r="H382" s="3"/>
      <c r="AG382" s="91"/>
    </row>
    <row r="383" ht="15.75" customHeight="1">
      <c r="B383" s="3"/>
      <c r="C383" s="3"/>
      <c r="H383" s="3"/>
      <c r="AG383" s="91"/>
    </row>
    <row r="384" ht="15.75" customHeight="1">
      <c r="B384" s="3"/>
      <c r="C384" s="3"/>
      <c r="H384" s="3"/>
      <c r="AG384" s="91"/>
    </row>
    <row r="385" ht="15.75" customHeight="1">
      <c r="B385" s="3"/>
      <c r="C385" s="3"/>
      <c r="H385" s="3"/>
      <c r="AG385" s="91"/>
    </row>
    <row r="386" ht="15.75" customHeight="1">
      <c r="B386" s="3"/>
      <c r="C386" s="3"/>
      <c r="H386" s="3"/>
      <c r="AG386" s="91"/>
    </row>
    <row r="387" ht="15.75" customHeight="1">
      <c r="B387" s="3"/>
      <c r="C387" s="3"/>
      <c r="H387" s="3"/>
      <c r="AG387" s="91"/>
    </row>
    <row r="388" ht="15.75" customHeight="1">
      <c r="B388" s="3"/>
      <c r="C388" s="3"/>
      <c r="H388" s="3"/>
      <c r="AG388" s="91"/>
    </row>
    <row r="389" ht="15.75" customHeight="1">
      <c r="B389" s="3"/>
      <c r="C389" s="3"/>
      <c r="H389" s="3"/>
      <c r="AG389" s="91"/>
    </row>
    <row r="390" ht="15.75" customHeight="1">
      <c r="B390" s="3"/>
      <c r="C390" s="3"/>
      <c r="H390" s="3"/>
      <c r="AG390" s="91"/>
    </row>
    <row r="391" ht="15.75" customHeight="1">
      <c r="B391" s="3"/>
      <c r="C391" s="3"/>
      <c r="H391" s="3"/>
      <c r="AG391" s="91"/>
    </row>
    <row r="392" ht="15.75" customHeight="1">
      <c r="B392" s="3"/>
      <c r="C392" s="3"/>
      <c r="H392" s="3"/>
      <c r="AG392" s="91"/>
    </row>
    <row r="393" ht="15.75" customHeight="1">
      <c r="B393" s="3"/>
      <c r="C393" s="3"/>
      <c r="H393" s="3"/>
      <c r="AG393" s="91"/>
    </row>
    <row r="394" ht="15.75" customHeight="1">
      <c r="B394" s="3"/>
      <c r="C394" s="3"/>
      <c r="H394" s="3"/>
      <c r="AG394" s="91"/>
    </row>
    <row r="395" ht="15.75" customHeight="1">
      <c r="B395" s="3"/>
      <c r="C395" s="3"/>
      <c r="H395" s="3"/>
      <c r="AG395" s="91"/>
    </row>
    <row r="396" ht="15.75" customHeight="1">
      <c r="B396" s="3"/>
      <c r="C396" s="3"/>
      <c r="H396" s="3"/>
      <c r="AG396" s="91"/>
    </row>
    <row r="397" ht="15.75" customHeight="1">
      <c r="B397" s="3"/>
      <c r="C397" s="3"/>
      <c r="H397" s="3"/>
      <c r="AG397" s="91"/>
    </row>
    <row r="398" ht="15.75" customHeight="1">
      <c r="B398" s="3"/>
      <c r="C398" s="3"/>
      <c r="H398" s="3"/>
      <c r="AG398" s="91"/>
    </row>
    <row r="399" ht="15.75" customHeight="1">
      <c r="B399" s="3"/>
      <c r="C399" s="3"/>
      <c r="H399" s="3"/>
      <c r="AG399" s="91"/>
    </row>
    <row r="400" ht="15.75" customHeight="1">
      <c r="B400" s="3"/>
      <c r="C400" s="3"/>
      <c r="H400" s="3"/>
      <c r="AG400" s="91"/>
    </row>
    <row r="401" ht="15.75" customHeight="1">
      <c r="B401" s="3"/>
      <c r="C401" s="3"/>
      <c r="H401" s="3"/>
      <c r="AG401" s="91"/>
    </row>
    <row r="402" ht="15.75" customHeight="1">
      <c r="B402" s="3"/>
      <c r="C402" s="3"/>
      <c r="H402" s="3"/>
      <c r="AG402" s="91"/>
    </row>
    <row r="403" ht="15.75" customHeight="1">
      <c r="B403" s="3"/>
      <c r="C403" s="3"/>
      <c r="H403" s="3"/>
      <c r="AG403" s="91"/>
    </row>
    <row r="404" ht="15.75" customHeight="1">
      <c r="B404" s="3"/>
      <c r="C404" s="3"/>
      <c r="H404" s="3"/>
      <c r="AG404" s="91"/>
    </row>
    <row r="405" ht="15.75" customHeight="1">
      <c r="B405" s="3"/>
      <c r="C405" s="3"/>
      <c r="H405" s="3"/>
      <c r="AG405" s="91"/>
    </row>
    <row r="406" ht="15.75" customHeight="1">
      <c r="B406" s="3"/>
      <c r="C406" s="3"/>
      <c r="H406" s="3"/>
      <c r="AG406" s="91"/>
    </row>
    <row r="407" ht="15.75" customHeight="1">
      <c r="B407" s="3"/>
      <c r="C407" s="3"/>
      <c r="H407" s="3"/>
      <c r="AG407" s="91"/>
    </row>
    <row r="408" ht="15.75" customHeight="1">
      <c r="B408" s="3"/>
      <c r="C408" s="3"/>
      <c r="H408" s="3"/>
      <c r="AG408" s="91"/>
    </row>
    <row r="409" ht="15.75" customHeight="1">
      <c r="B409" s="3"/>
      <c r="C409" s="3"/>
      <c r="H409" s="3"/>
      <c r="AG409" s="91"/>
    </row>
    <row r="410" ht="15.75" customHeight="1">
      <c r="B410" s="3"/>
      <c r="C410" s="3"/>
      <c r="H410" s="3"/>
      <c r="AG410" s="91"/>
    </row>
    <row r="411" ht="15.75" customHeight="1">
      <c r="B411" s="3"/>
      <c r="C411" s="3"/>
      <c r="H411" s="3"/>
      <c r="AG411" s="91"/>
    </row>
    <row r="412" ht="15.75" customHeight="1">
      <c r="B412" s="3"/>
      <c r="C412" s="3"/>
      <c r="H412" s="3"/>
      <c r="AG412" s="91"/>
    </row>
    <row r="413" ht="15.75" customHeight="1">
      <c r="B413" s="3"/>
      <c r="C413" s="3"/>
      <c r="H413" s="3"/>
      <c r="AG413" s="91"/>
    </row>
    <row r="414" ht="15.75" customHeight="1">
      <c r="B414" s="3"/>
      <c r="C414" s="3"/>
      <c r="H414" s="3"/>
      <c r="AG414" s="91"/>
    </row>
    <row r="415" ht="15.75" customHeight="1">
      <c r="B415" s="3"/>
      <c r="C415" s="3"/>
      <c r="H415" s="3"/>
      <c r="AG415" s="91"/>
    </row>
    <row r="416" ht="15.75" customHeight="1">
      <c r="B416" s="3"/>
      <c r="C416" s="3"/>
      <c r="H416" s="3"/>
      <c r="AG416" s="91"/>
    </row>
    <row r="417" ht="15.75" customHeight="1">
      <c r="B417" s="3"/>
      <c r="C417" s="3"/>
      <c r="H417" s="3"/>
      <c r="AG417" s="91"/>
    </row>
    <row r="418" ht="15.75" customHeight="1">
      <c r="B418" s="3"/>
      <c r="C418" s="3"/>
      <c r="H418" s="3"/>
      <c r="AG418" s="91"/>
    </row>
    <row r="419" ht="15.75" customHeight="1">
      <c r="B419" s="3"/>
      <c r="C419" s="3"/>
      <c r="H419" s="3"/>
      <c r="AG419" s="91"/>
    </row>
    <row r="420" ht="15.75" customHeight="1">
      <c r="B420" s="3"/>
      <c r="C420" s="3"/>
      <c r="H420" s="3"/>
      <c r="AG420" s="91"/>
    </row>
    <row r="421" ht="15.75" customHeight="1">
      <c r="B421" s="3"/>
      <c r="C421" s="3"/>
      <c r="H421" s="3"/>
      <c r="AG421" s="91"/>
    </row>
    <row r="422" ht="15.75" customHeight="1">
      <c r="B422" s="3"/>
      <c r="C422" s="3"/>
      <c r="H422" s="3"/>
      <c r="AG422" s="91"/>
    </row>
    <row r="423" ht="15.75" customHeight="1">
      <c r="B423" s="3"/>
      <c r="C423" s="3"/>
      <c r="H423" s="3"/>
      <c r="AG423" s="91"/>
    </row>
    <row r="424" ht="15.75" customHeight="1">
      <c r="B424" s="3"/>
      <c r="C424" s="3"/>
      <c r="H424" s="3"/>
      <c r="AG424" s="91"/>
    </row>
    <row r="425" ht="15.75" customHeight="1">
      <c r="B425" s="3"/>
      <c r="C425" s="3"/>
      <c r="H425" s="3"/>
      <c r="AG425" s="91"/>
    </row>
    <row r="426" ht="15.75" customHeight="1">
      <c r="B426" s="3"/>
      <c r="C426" s="3"/>
      <c r="H426" s="3"/>
      <c r="AG426" s="91"/>
    </row>
    <row r="427" ht="15.75" customHeight="1">
      <c r="B427" s="3"/>
      <c r="C427" s="3"/>
      <c r="H427" s="3"/>
      <c r="AG427" s="91"/>
    </row>
    <row r="428" ht="15.75" customHeight="1">
      <c r="B428" s="3"/>
      <c r="C428" s="3"/>
      <c r="H428" s="3"/>
      <c r="AG428" s="91"/>
    </row>
    <row r="429" ht="15.75" customHeight="1">
      <c r="B429" s="3"/>
      <c r="C429" s="3"/>
      <c r="H429" s="3"/>
      <c r="AG429" s="91"/>
    </row>
    <row r="430" ht="15.75" customHeight="1">
      <c r="B430" s="3"/>
      <c r="C430" s="3"/>
      <c r="H430" s="3"/>
      <c r="AG430" s="91"/>
    </row>
    <row r="431" ht="15.75" customHeight="1">
      <c r="B431" s="3"/>
      <c r="C431" s="3"/>
      <c r="H431" s="3"/>
      <c r="AG431" s="91"/>
    </row>
    <row r="432" ht="15.75" customHeight="1">
      <c r="B432" s="3"/>
      <c r="C432" s="3"/>
      <c r="H432" s="3"/>
      <c r="AG432" s="91"/>
    </row>
    <row r="433" ht="15.75" customHeight="1">
      <c r="B433" s="3"/>
      <c r="C433" s="3"/>
      <c r="H433" s="3"/>
      <c r="AG433" s="91"/>
    </row>
    <row r="434" ht="15.75" customHeight="1">
      <c r="B434" s="3"/>
      <c r="C434" s="3"/>
      <c r="H434" s="3"/>
      <c r="AG434" s="91"/>
    </row>
    <row r="435" ht="15.75" customHeight="1">
      <c r="B435" s="3"/>
      <c r="C435" s="3"/>
      <c r="H435" s="3"/>
      <c r="AG435" s="91"/>
    </row>
    <row r="436" ht="15.75" customHeight="1">
      <c r="B436" s="3"/>
      <c r="C436" s="3"/>
      <c r="H436" s="3"/>
      <c r="AG436" s="91"/>
    </row>
    <row r="437" ht="15.75" customHeight="1">
      <c r="B437" s="3"/>
      <c r="C437" s="3"/>
      <c r="H437" s="3"/>
      <c r="AG437" s="91"/>
    </row>
    <row r="438" ht="15.75" customHeight="1">
      <c r="B438" s="3"/>
      <c r="C438" s="3"/>
      <c r="H438" s="3"/>
      <c r="AG438" s="91"/>
    </row>
    <row r="439" ht="15.75" customHeight="1">
      <c r="B439" s="3"/>
      <c r="C439" s="3"/>
      <c r="H439" s="3"/>
      <c r="AG439" s="91"/>
    </row>
    <row r="440" ht="15.75" customHeight="1">
      <c r="B440" s="3"/>
      <c r="C440" s="3"/>
      <c r="H440" s="3"/>
      <c r="AG440" s="91"/>
    </row>
    <row r="441" ht="15.75" customHeight="1">
      <c r="B441" s="3"/>
      <c r="C441" s="3"/>
      <c r="H441" s="3"/>
      <c r="AG441" s="91"/>
    </row>
    <row r="442" ht="15.75" customHeight="1">
      <c r="B442" s="3"/>
      <c r="C442" s="3"/>
      <c r="H442" s="3"/>
      <c r="AG442" s="91"/>
    </row>
    <row r="443" ht="15.75" customHeight="1">
      <c r="B443" s="3"/>
      <c r="C443" s="3"/>
      <c r="H443" s="3"/>
      <c r="AG443" s="91"/>
    </row>
    <row r="444" ht="15.75" customHeight="1">
      <c r="B444" s="3"/>
      <c r="C444" s="3"/>
      <c r="H444" s="3"/>
      <c r="AG444" s="91"/>
    </row>
    <row r="445" ht="15.75" customHeight="1">
      <c r="B445" s="3"/>
      <c r="C445" s="3"/>
      <c r="H445" s="3"/>
      <c r="AG445" s="91"/>
    </row>
    <row r="446" ht="15.75" customHeight="1">
      <c r="B446" s="3"/>
      <c r="C446" s="3"/>
      <c r="H446" s="3"/>
      <c r="AG446" s="91"/>
    </row>
    <row r="447" ht="15.75" customHeight="1">
      <c r="B447" s="3"/>
      <c r="C447" s="3"/>
      <c r="H447" s="3"/>
      <c r="AG447" s="91"/>
    </row>
    <row r="448" ht="15.75" customHeight="1">
      <c r="B448" s="3"/>
      <c r="C448" s="3"/>
      <c r="H448" s="3"/>
      <c r="AG448" s="91"/>
    </row>
    <row r="449" ht="15.75" customHeight="1">
      <c r="B449" s="3"/>
      <c r="C449" s="3"/>
      <c r="H449" s="3"/>
      <c r="AG449" s="91"/>
    </row>
    <row r="450" ht="15.75" customHeight="1">
      <c r="B450" s="3"/>
      <c r="C450" s="3"/>
      <c r="H450" s="3"/>
      <c r="AG450" s="91"/>
    </row>
    <row r="451" ht="15.75" customHeight="1">
      <c r="B451" s="3"/>
      <c r="C451" s="3"/>
      <c r="H451" s="3"/>
      <c r="AG451" s="91"/>
    </row>
    <row r="452" ht="15.75" customHeight="1">
      <c r="B452" s="3"/>
      <c r="C452" s="3"/>
      <c r="H452" s="3"/>
      <c r="AG452" s="91"/>
    </row>
    <row r="453" ht="15.75" customHeight="1">
      <c r="B453" s="3"/>
      <c r="C453" s="3"/>
      <c r="H453" s="3"/>
      <c r="AG453" s="91"/>
    </row>
    <row r="454" ht="15.75" customHeight="1">
      <c r="B454" s="3"/>
      <c r="C454" s="3"/>
      <c r="H454" s="3"/>
      <c r="AG454" s="91"/>
    </row>
    <row r="455" ht="15.75" customHeight="1">
      <c r="B455" s="3"/>
      <c r="C455" s="3"/>
      <c r="H455" s="3"/>
      <c r="AG455" s="91"/>
    </row>
    <row r="456" ht="15.75" customHeight="1">
      <c r="B456" s="3"/>
      <c r="C456" s="3"/>
      <c r="H456" s="3"/>
      <c r="AG456" s="91"/>
    </row>
    <row r="457" ht="15.75" customHeight="1">
      <c r="B457" s="3"/>
      <c r="C457" s="3"/>
      <c r="H457" s="3"/>
      <c r="AG457" s="91"/>
    </row>
    <row r="458" ht="15.75" customHeight="1">
      <c r="B458" s="3"/>
      <c r="C458" s="3"/>
      <c r="H458" s="3"/>
      <c r="AG458" s="91"/>
    </row>
    <row r="459" ht="15.75" customHeight="1">
      <c r="B459" s="3"/>
      <c r="C459" s="3"/>
      <c r="H459" s="3"/>
      <c r="AG459" s="91"/>
    </row>
    <row r="460" ht="15.75" customHeight="1">
      <c r="B460" s="3"/>
      <c r="C460" s="3"/>
      <c r="H460" s="3"/>
      <c r="AG460" s="91"/>
    </row>
    <row r="461" ht="15.75" customHeight="1">
      <c r="B461" s="3"/>
      <c r="C461" s="3"/>
      <c r="H461" s="3"/>
      <c r="AG461" s="91"/>
    </row>
    <row r="462" ht="15.75" customHeight="1">
      <c r="B462" s="3"/>
      <c r="C462" s="3"/>
      <c r="H462" s="3"/>
      <c r="AG462" s="91"/>
    </row>
    <row r="463" ht="15.75" customHeight="1">
      <c r="B463" s="3"/>
      <c r="C463" s="3"/>
      <c r="H463" s="3"/>
      <c r="AG463" s="91"/>
    </row>
    <row r="464" ht="15.75" customHeight="1">
      <c r="B464" s="3"/>
      <c r="C464" s="3"/>
      <c r="H464" s="3"/>
      <c r="AG464" s="91"/>
    </row>
    <row r="465" ht="15.75" customHeight="1">
      <c r="B465" s="3"/>
      <c r="C465" s="3"/>
      <c r="H465" s="3"/>
      <c r="AG465" s="91"/>
    </row>
    <row r="466" ht="15.75" customHeight="1">
      <c r="B466" s="3"/>
      <c r="C466" s="3"/>
      <c r="H466" s="3"/>
      <c r="AG466" s="91"/>
    </row>
    <row r="467" ht="15.75" customHeight="1">
      <c r="B467" s="3"/>
      <c r="C467" s="3"/>
      <c r="H467" s="3"/>
      <c r="AG467" s="91"/>
    </row>
    <row r="468" ht="15.75" customHeight="1">
      <c r="B468" s="3"/>
      <c r="C468" s="3"/>
      <c r="H468" s="3"/>
      <c r="AG468" s="91"/>
    </row>
    <row r="469" ht="15.75" customHeight="1">
      <c r="B469" s="3"/>
      <c r="C469" s="3"/>
      <c r="H469" s="3"/>
      <c r="AG469" s="91"/>
    </row>
    <row r="470" ht="15.75" customHeight="1">
      <c r="B470" s="3"/>
      <c r="C470" s="3"/>
      <c r="H470" s="3"/>
      <c r="AG470" s="91"/>
    </row>
    <row r="471" ht="15.75" customHeight="1">
      <c r="B471" s="3"/>
      <c r="C471" s="3"/>
      <c r="H471" s="3"/>
      <c r="AG471" s="91"/>
    </row>
    <row r="472" ht="15.75" customHeight="1">
      <c r="B472" s="3"/>
      <c r="C472" s="3"/>
      <c r="H472" s="3"/>
      <c r="AG472" s="91"/>
    </row>
    <row r="473" ht="15.75" customHeight="1">
      <c r="B473" s="3"/>
      <c r="C473" s="3"/>
      <c r="H473" s="3"/>
      <c r="AG473" s="91"/>
    </row>
    <row r="474" ht="15.75" customHeight="1">
      <c r="B474" s="3"/>
      <c r="C474" s="3"/>
      <c r="H474" s="3"/>
      <c r="AG474" s="91"/>
    </row>
    <row r="475" ht="15.75" customHeight="1">
      <c r="B475" s="3"/>
      <c r="C475" s="3"/>
      <c r="H475" s="3"/>
      <c r="AG475" s="91"/>
    </row>
    <row r="476" ht="15.75" customHeight="1">
      <c r="B476" s="3"/>
      <c r="C476" s="3"/>
      <c r="H476" s="3"/>
      <c r="AG476" s="91"/>
    </row>
    <row r="477" ht="15.75" customHeight="1">
      <c r="B477" s="3"/>
      <c r="C477" s="3"/>
      <c r="H477" s="3"/>
      <c r="AG477" s="91"/>
    </row>
    <row r="478" ht="15.75" customHeight="1">
      <c r="B478" s="3"/>
      <c r="C478" s="3"/>
      <c r="H478" s="3"/>
      <c r="AG478" s="91"/>
    </row>
    <row r="479" ht="15.75" customHeight="1">
      <c r="B479" s="3"/>
      <c r="C479" s="3"/>
      <c r="H479" s="3"/>
      <c r="AG479" s="91"/>
    </row>
    <row r="480" ht="15.75" customHeight="1">
      <c r="B480" s="3"/>
      <c r="C480" s="3"/>
      <c r="H480" s="3"/>
      <c r="AG480" s="91"/>
    </row>
    <row r="481" ht="15.75" customHeight="1">
      <c r="B481" s="3"/>
      <c r="C481" s="3"/>
      <c r="H481" s="3"/>
      <c r="AG481" s="91"/>
    </row>
    <row r="482" ht="15.75" customHeight="1">
      <c r="B482" s="3"/>
      <c r="C482" s="3"/>
      <c r="H482" s="3"/>
      <c r="AG482" s="91"/>
    </row>
    <row r="483" ht="15.75" customHeight="1">
      <c r="B483" s="3"/>
      <c r="C483" s="3"/>
      <c r="H483" s="3"/>
      <c r="AG483" s="91"/>
    </row>
    <row r="484" ht="15.75" customHeight="1">
      <c r="B484" s="3"/>
      <c r="C484" s="3"/>
      <c r="H484" s="3"/>
      <c r="AG484" s="91"/>
    </row>
    <row r="485" ht="15.75" customHeight="1">
      <c r="B485" s="3"/>
      <c r="C485" s="3"/>
      <c r="H485" s="3"/>
      <c r="AG485" s="91"/>
    </row>
    <row r="486" ht="15.75" customHeight="1">
      <c r="B486" s="3"/>
      <c r="C486" s="3"/>
      <c r="H486" s="3"/>
      <c r="AG486" s="91"/>
    </row>
    <row r="487" ht="15.75" customHeight="1">
      <c r="B487" s="3"/>
      <c r="C487" s="3"/>
      <c r="H487" s="3"/>
      <c r="AG487" s="91"/>
    </row>
    <row r="488" ht="15.75" customHeight="1">
      <c r="B488" s="3"/>
      <c r="C488" s="3"/>
      <c r="H488" s="3"/>
      <c r="AG488" s="91"/>
    </row>
    <row r="489" ht="15.75" customHeight="1">
      <c r="B489" s="3"/>
      <c r="C489" s="3"/>
      <c r="H489" s="3"/>
      <c r="AG489" s="91"/>
    </row>
    <row r="490" ht="15.75" customHeight="1">
      <c r="B490" s="3"/>
      <c r="C490" s="3"/>
      <c r="H490" s="3"/>
      <c r="AG490" s="91"/>
    </row>
    <row r="491" ht="15.75" customHeight="1">
      <c r="B491" s="3"/>
      <c r="C491" s="3"/>
      <c r="H491" s="3"/>
      <c r="AG491" s="91"/>
    </row>
    <row r="492" ht="15.75" customHeight="1">
      <c r="B492" s="3"/>
      <c r="C492" s="3"/>
      <c r="H492" s="3"/>
      <c r="AG492" s="91"/>
    </row>
    <row r="493" ht="15.75" customHeight="1">
      <c r="B493" s="3"/>
      <c r="C493" s="3"/>
      <c r="H493" s="3"/>
      <c r="AG493" s="91"/>
    </row>
    <row r="494" ht="15.75" customHeight="1">
      <c r="B494" s="3"/>
      <c r="C494" s="3"/>
      <c r="H494" s="3"/>
      <c r="AG494" s="91"/>
    </row>
    <row r="495" ht="15.75" customHeight="1">
      <c r="B495" s="3"/>
      <c r="C495" s="3"/>
      <c r="H495" s="3"/>
      <c r="AG495" s="91"/>
    </row>
    <row r="496" ht="15.75" customHeight="1">
      <c r="B496" s="3"/>
      <c r="C496" s="3"/>
      <c r="H496" s="3"/>
      <c r="AG496" s="91"/>
    </row>
    <row r="497" ht="15.75" customHeight="1">
      <c r="B497" s="3"/>
      <c r="C497" s="3"/>
      <c r="H497" s="3"/>
      <c r="AG497" s="91"/>
    </row>
    <row r="498" ht="15.75" customHeight="1">
      <c r="B498" s="3"/>
      <c r="C498" s="3"/>
      <c r="H498" s="3"/>
      <c r="AG498" s="91"/>
    </row>
    <row r="499" ht="15.75" customHeight="1">
      <c r="B499" s="3"/>
      <c r="C499" s="3"/>
      <c r="H499" s="3"/>
      <c r="AG499" s="91"/>
    </row>
    <row r="500" ht="15.75" customHeight="1">
      <c r="B500" s="3"/>
      <c r="C500" s="3"/>
      <c r="H500" s="3"/>
      <c r="AG500" s="91"/>
    </row>
    <row r="501" ht="15.75" customHeight="1">
      <c r="B501" s="3"/>
      <c r="C501" s="3"/>
      <c r="H501" s="3"/>
      <c r="AG501" s="91"/>
    </row>
    <row r="502" ht="15.75" customHeight="1">
      <c r="B502" s="3"/>
      <c r="C502" s="3"/>
      <c r="H502" s="3"/>
      <c r="AG502" s="91"/>
    </row>
    <row r="503" ht="15.75" customHeight="1">
      <c r="B503" s="3"/>
      <c r="C503" s="3"/>
      <c r="H503" s="3"/>
      <c r="AG503" s="91"/>
    </row>
    <row r="504" ht="15.75" customHeight="1">
      <c r="B504" s="3"/>
      <c r="C504" s="3"/>
      <c r="H504" s="3"/>
      <c r="AG504" s="91"/>
    </row>
    <row r="505" ht="15.75" customHeight="1">
      <c r="B505" s="3"/>
      <c r="C505" s="3"/>
      <c r="H505" s="3"/>
      <c r="AG505" s="91"/>
    </row>
    <row r="506" ht="15.75" customHeight="1">
      <c r="B506" s="3"/>
      <c r="C506" s="3"/>
      <c r="H506" s="3"/>
      <c r="AG506" s="91"/>
    </row>
    <row r="507" ht="15.75" customHeight="1">
      <c r="B507" s="3"/>
      <c r="C507" s="3"/>
      <c r="H507" s="3"/>
      <c r="AG507" s="91"/>
    </row>
    <row r="508" ht="15.75" customHeight="1">
      <c r="B508" s="3"/>
      <c r="C508" s="3"/>
      <c r="H508" s="3"/>
      <c r="AG508" s="91"/>
    </row>
    <row r="509" ht="15.75" customHeight="1">
      <c r="B509" s="3"/>
      <c r="C509" s="3"/>
      <c r="H509" s="3"/>
      <c r="AG509" s="91"/>
    </row>
    <row r="510" ht="15.75" customHeight="1">
      <c r="B510" s="3"/>
      <c r="C510" s="3"/>
      <c r="H510" s="3"/>
      <c r="AG510" s="91"/>
    </row>
    <row r="511" ht="15.75" customHeight="1">
      <c r="B511" s="3"/>
      <c r="C511" s="3"/>
      <c r="H511" s="3"/>
      <c r="AG511" s="91"/>
    </row>
    <row r="512" ht="15.75" customHeight="1">
      <c r="B512" s="3"/>
      <c r="C512" s="3"/>
      <c r="H512" s="3"/>
      <c r="AG512" s="91"/>
    </row>
    <row r="513" ht="15.75" customHeight="1">
      <c r="B513" s="3"/>
      <c r="C513" s="3"/>
      <c r="H513" s="3"/>
      <c r="AG513" s="91"/>
    </row>
    <row r="514" ht="15.75" customHeight="1">
      <c r="B514" s="3"/>
      <c r="C514" s="3"/>
      <c r="H514" s="3"/>
      <c r="AG514" s="91"/>
    </row>
    <row r="515" ht="15.75" customHeight="1">
      <c r="B515" s="3"/>
      <c r="C515" s="3"/>
      <c r="H515" s="3"/>
      <c r="AG515" s="91"/>
    </row>
    <row r="516" ht="15.75" customHeight="1">
      <c r="B516" s="3"/>
      <c r="C516" s="3"/>
      <c r="H516" s="3"/>
      <c r="AG516" s="91"/>
    </row>
    <row r="517" ht="15.75" customHeight="1">
      <c r="B517" s="3"/>
      <c r="C517" s="3"/>
      <c r="H517" s="3"/>
      <c r="AG517" s="91"/>
    </row>
    <row r="518" ht="15.75" customHeight="1">
      <c r="B518" s="3"/>
      <c r="C518" s="3"/>
      <c r="H518" s="3"/>
      <c r="AG518" s="91"/>
    </row>
    <row r="519" ht="15.75" customHeight="1">
      <c r="B519" s="3"/>
      <c r="C519" s="3"/>
      <c r="H519" s="3"/>
      <c r="AG519" s="91"/>
    </row>
    <row r="520" ht="15.75" customHeight="1">
      <c r="B520" s="3"/>
      <c r="C520" s="3"/>
      <c r="H520" s="3"/>
      <c r="AG520" s="91"/>
    </row>
    <row r="521" ht="15.75" customHeight="1">
      <c r="B521" s="3"/>
      <c r="C521" s="3"/>
      <c r="H521" s="3"/>
      <c r="AG521" s="91"/>
    </row>
    <row r="522" ht="15.75" customHeight="1">
      <c r="B522" s="3"/>
      <c r="C522" s="3"/>
      <c r="H522" s="3"/>
      <c r="AG522" s="91"/>
    </row>
    <row r="523" ht="15.75" customHeight="1">
      <c r="B523" s="3"/>
      <c r="C523" s="3"/>
      <c r="H523" s="3"/>
      <c r="AG523" s="91"/>
    </row>
    <row r="524" ht="15.75" customHeight="1">
      <c r="B524" s="3"/>
      <c r="C524" s="3"/>
      <c r="H524" s="3"/>
      <c r="AG524" s="91"/>
    </row>
    <row r="525" ht="15.75" customHeight="1">
      <c r="B525" s="3"/>
      <c r="C525" s="3"/>
      <c r="H525" s="3"/>
      <c r="AG525" s="91"/>
    </row>
    <row r="526" ht="15.75" customHeight="1">
      <c r="B526" s="3"/>
      <c r="C526" s="3"/>
      <c r="H526" s="3"/>
      <c r="AG526" s="91"/>
    </row>
    <row r="527" ht="15.75" customHeight="1">
      <c r="B527" s="3"/>
      <c r="C527" s="3"/>
      <c r="H527" s="3"/>
      <c r="AG527" s="91"/>
    </row>
    <row r="528" ht="15.75" customHeight="1">
      <c r="B528" s="3"/>
      <c r="C528" s="3"/>
      <c r="H528" s="3"/>
      <c r="AG528" s="91"/>
    </row>
    <row r="529" ht="15.75" customHeight="1">
      <c r="B529" s="3"/>
      <c r="C529" s="3"/>
      <c r="H529" s="3"/>
      <c r="AG529" s="91"/>
    </row>
    <row r="530" ht="15.75" customHeight="1">
      <c r="B530" s="3"/>
      <c r="C530" s="3"/>
      <c r="H530" s="3"/>
      <c r="AG530" s="91"/>
    </row>
    <row r="531" ht="15.75" customHeight="1">
      <c r="B531" s="3"/>
      <c r="C531" s="3"/>
      <c r="H531" s="3"/>
      <c r="AG531" s="91"/>
    </row>
    <row r="532" ht="15.75" customHeight="1">
      <c r="B532" s="3"/>
      <c r="C532" s="3"/>
      <c r="H532" s="3"/>
      <c r="AG532" s="91"/>
    </row>
    <row r="533" ht="15.75" customHeight="1">
      <c r="B533" s="3"/>
      <c r="C533" s="3"/>
      <c r="H533" s="3"/>
      <c r="AG533" s="91"/>
    </row>
    <row r="534" ht="15.75" customHeight="1">
      <c r="B534" s="3"/>
      <c r="C534" s="3"/>
      <c r="H534" s="3"/>
      <c r="AG534" s="91"/>
    </row>
    <row r="535" ht="15.75" customHeight="1">
      <c r="B535" s="3"/>
      <c r="C535" s="3"/>
      <c r="H535" s="3"/>
      <c r="AG535" s="91"/>
    </row>
    <row r="536" ht="15.75" customHeight="1">
      <c r="B536" s="3"/>
      <c r="C536" s="3"/>
      <c r="H536" s="3"/>
      <c r="AG536" s="91"/>
    </row>
    <row r="537" ht="15.75" customHeight="1">
      <c r="B537" s="3"/>
      <c r="C537" s="3"/>
      <c r="H537" s="3"/>
      <c r="AG537" s="91"/>
    </row>
    <row r="538" ht="15.75" customHeight="1">
      <c r="B538" s="3"/>
      <c r="C538" s="3"/>
      <c r="H538" s="3"/>
      <c r="AG538" s="91"/>
    </row>
    <row r="539" ht="15.75" customHeight="1">
      <c r="B539" s="3"/>
      <c r="C539" s="3"/>
      <c r="H539" s="3"/>
      <c r="AG539" s="91"/>
    </row>
    <row r="540" ht="15.75" customHeight="1">
      <c r="B540" s="3"/>
      <c r="C540" s="3"/>
      <c r="H540" s="3"/>
      <c r="AG540" s="91"/>
    </row>
    <row r="541" ht="15.75" customHeight="1">
      <c r="B541" s="3"/>
      <c r="C541" s="3"/>
      <c r="H541" s="3"/>
      <c r="AG541" s="91"/>
    </row>
    <row r="542" ht="15.75" customHeight="1">
      <c r="B542" s="3"/>
      <c r="C542" s="3"/>
      <c r="H542" s="3"/>
      <c r="AG542" s="91"/>
    </row>
    <row r="543" ht="15.75" customHeight="1">
      <c r="B543" s="3"/>
      <c r="C543" s="3"/>
      <c r="H543" s="3"/>
      <c r="AG543" s="91"/>
    </row>
    <row r="544" ht="15.75" customHeight="1">
      <c r="B544" s="3"/>
      <c r="C544" s="3"/>
      <c r="H544" s="3"/>
      <c r="AG544" s="91"/>
    </row>
    <row r="545" ht="15.75" customHeight="1">
      <c r="B545" s="3"/>
      <c r="C545" s="3"/>
      <c r="H545" s="3"/>
      <c r="AG545" s="91"/>
    </row>
    <row r="546" ht="15.75" customHeight="1">
      <c r="B546" s="3"/>
      <c r="C546" s="3"/>
      <c r="H546" s="3"/>
      <c r="AG546" s="91"/>
    </row>
    <row r="547" ht="15.75" customHeight="1">
      <c r="B547" s="3"/>
      <c r="C547" s="3"/>
      <c r="H547" s="3"/>
      <c r="AG547" s="91"/>
    </row>
    <row r="548" ht="15.75" customHeight="1">
      <c r="B548" s="3"/>
      <c r="C548" s="3"/>
      <c r="H548" s="3"/>
      <c r="AG548" s="91"/>
    </row>
    <row r="549" ht="15.75" customHeight="1">
      <c r="B549" s="3"/>
      <c r="C549" s="3"/>
      <c r="H549" s="3"/>
      <c r="AG549" s="91"/>
    </row>
    <row r="550" ht="15.75" customHeight="1">
      <c r="B550" s="3"/>
      <c r="C550" s="3"/>
      <c r="H550" s="3"/>
      <c r="AG550" s="91"/>
    </row>
    <row r="551" ht="15.75" customHeight="1">
      <c r="B551" s="3"/>
      <c r="C551" s="3"/>
      <c r="H551" s="3"/>
      <c r="AG551" s="91"/>
    </row>
    <row r="552" ht="15.75" customHeight="1">
      <c r="B552" s="3"/>
      <c r="C552" s="3"/>
      <c r="H552" s="3"/>
      <c r="AG552" s="91"/>
    </row>
    <row r="553" ht="15.75" customHeight="1">
      <c r="B553" s="3"/>
      <c r="C553" s="3"/>
      <c r="H553" s="3"/>
      <c r="AG553" s="91"/>
    </row>
    <row r="554" ht="15.75" customHeight="1">
      <c r="B554" s="3"/>
      <c r="C554" s="3"/>
      <c r="H554" s="3"/>
      <c r="AG554" s="91"/>
    </row>
    <row r="555" ht="15.75" customHeight="1">
      <c r="B555" s="3"/>
      <c r="C555" s="3"/>
      <c r="H555" s="3"/>
      <c r="AG555" s="91"/>
    </row>
    <row r="556" ht="15.75" customHeight="1">
      <c r="B556" s="3"/>
      <c r="C556" s="3"/>
      <c r="H556" s="3"/>
      <c r="AG556" s="91"/>
    </row>
    <row r="557" ht="15.75" customHeight="1">
      <c r="B557" s="3"/>
      <c r="C557" s="3"/>
      <c r="H557" s="3"/>
      <c r="AG557" s="91"/>
    </row>
    <row r="558" ht="15.75" customHeight="1">
      <c r="B558" s="3"/>
      <c r="C558" s="3"/>
      <c r="H558" s="3"/>
      <c r="AG558" s="91"/>
    </row>
    <row r="559" ht="15.75" customHeight="1">
      <c r="B559" s="3"/>
      <c r="C559" s="3"/>
      <c r="H559" s="3"/>
      <c r="AG559" s="91"/>
    </row>
    <row r="560" ht="15.75" customHeight="1">
      <c r="B560" s="3"/>
      <c r="C560" s="3"/>
      <c r="H560" s="3"/>
      <c r="AG560" s="91"/>
    </row>
    <row r="561" ht="15.75" customHeight="1">
      <c r="B561" s="3"/>
      <c r="C561" s="3"/>
      <c r="H561" s="3"/>
      <c r="AG561" s="91"/>
    </row>
    <row r="562" ht="15.75" customHeight="1">
      <c r="B562" s="3"/>
      <c r="C562" s="3"/>
      <c r="H562" s="3"/>
      <c r="AG562" s="91"/>
    </row>
    <row r="563" ht="15.75" customHeight="1">
      <c r="B563" s="3"/>
      <c r="C563" s="3"/>
      <c r="H563" s="3"/>
      <c r="AG563" s="91"/>
    </row>
    <row r="564" ht="15.75" customHeight="1">
      <c r="B564" s="3"/>
      <c r="C564" s="3"/>
      <c r="H564" s="3"/>
      <c r="AG564" s="91"/>
    </row>
    <row r="565" ht="15.75" customHeight="1">
      <c r="B565" s="3"/>
      <c r="C565" s="3"/>
      <c r="H565" s="3"/>
      <c r="AG565" s="91"/>
    </row>
    <row r="566" ht="15.75" customHeight="1">
      <c r="B566" s="3"/>
      <c r="C566" s="3"/>
      <c r="H566" s="3"/>
      <c r="AG566" s="91"/>
    </row>
    <row r="567" ht="15.75" customHeight="1">
      <c r="B567" s="3"/>
      <c r="C567" s="3"/>
      <c r="H567" s="3"/>
      <c r="AG567" s="91"/>
    </row>
    <row r="568" ht="15.75" customHeight="1">
      <c r="B568" s="3"/>
      <c r="C568" s="3"/>
      <c r="H568" s="3"/>
      <c r="AG568" s="91"/>
    </row>
    <row r="569" ht="15.75" customHeight="1">
      <c r="B569" s="3"/>
      <c r="C569" s="3"/>
      <c r="H569" s="3"/>
      <c r="AG569" s="91"/>
    </row>
    <row r="570" ht="15.75" customHeight="1">
      <c r="B570" s="3"/>
      <c r="C570" s="3"/>
      <c r="H570" s="3"/>
      <c r="AG570" s="91"/>
    </row>
    <row r="571" ht="15.75" customHeight="1">
      <c r="B571" s="3"/>
      <c r="C571" s="3"/>
      <c r="H571" s="3"/>
      <c r="AG571" s="91"/>
    </row>
    <row r="572" ht="15.75" customHeight="1">
      <c r="B572" s="3"/>
      <c r="C572" s="3"/>
      <c r="H572" s="3"/>
      <c r="AG572" s="91"/>
    </row>
    <row r="573" ht="15.75" customHeight="1">
      <c r="B573" s="3"/>
      <c r="C573" s="3"/>
      <c r="H573" s="3"/>
      <c r="AG573" s="91"/>
    </row>
    <row r="574" ht="15.75" customHeight="1">
      <c r="B574" s="3"/>
      <c r="C574" s="3"/>
      <c r="H574" s="3"/>
      <c r="AG574" s="91"/>
    </row>
    <row r="575" ht="15.75" customHeight="1">
      <c r="B575" s="3"/>
      <c r="C575" s="3"/>
      <c r="H575" s="3"/>
      <c r="AG575" s="91"/>
    </row>
    <row r="576" ht="15.75" customHeight="1">
      <c r="B576" s="3"/>
      <c r="C576" s="3"/>
      <c r="H576" s="3"/>
      <c r="AG576" s="91"/>
    </row>
    <row r="577" ht="15.75" customHeight="1">
      <c r="B577" s="3"/>
      <c r="C577" s="3"/>
      <c r="H577" s="3"/>
      <c r="AG577" s="91"/>
    </row>
    <row r="578" ht="15.75" customHeight="1">
      <c r="B578" s="3"/>
      <c r="C578" s="3"/>
      <c r="H578" s="3"/>
      <c r="AG578" s="91"/>
    </row>
    <row r="579" ht="15.75" customHeight="1">
      <c r="B579" s="3"/>
      <c r="C579" s="3"/>
      <c r="H579" s="3"/>
      <c r="AG579" s="91"/>
    </row>
    <row r="580" ht="15.75" customHeight="1">
      <c r="B580" s="3"/>
      <c r="C580" s="3"/>
      <c r="H580" s="3"/>
      <c r="AG580" s="91"/>
    </row>
    <row r="581" ht="15.75" customHeight="1">
      <c r="B581" s="3"/>
      <c r="C581" s="3"/>
      <c r="H581" s="3"/>
      <c r="AG581" s="91"/>
    </row>
    <row r="582" ht="15.75" customHeight="1">
      <c r="B582" s="3"/>
      <c r="C582" s="3"/>
      <c r="H582" s="3"/>
      <c r="AG582" s="91"/>
    </row>
    <row r="583" ht="15.75" customHeight="1">
      <c r="B583" s="3"/>
      <c r="C583" s="3"/>
      <c r="H583" s="3"/>
      <c r="AG583" s="91"/>
    </row>
    <row r="584" ht="15.75" customHeight="1">
      <c r="B584" s="3"/>
      <c r="C584" s="3"/>
      <c r="H584" s="3"/>
      <c r="AG584" s="91"/>
    </row>
    <row r="585" ht="15.75" customHeight="1">
      <c r="B585" s="3"/>
      <c r="C585" s="3"/>
      <c r="H585" s="3"/>
      <c r="AG585" s="91"/>
    </row>
    <row r="586" ht="15.75" customHeight="1">
      <c r="B586" s="3"/>
      <c r="C586" s="3"/>
      <c r="H586" s="3"/>
      <c r="AG586" s="91"/>
    </row>
    <row r="587" ht="15.75" customHeight="1">
      <c r="B587" s="3"/>
      <c r="C587" s="3"/>
      <c r="H587" s="3"/>
      <c r="AG587" s="91"/>
    </row>
    <row r="588" ht="15.75" customHeight="1">
      <c r="B588" s="3"/>
      <c r="C588" s="3"/>
      <c r="H588" s="3"/>
      <c r="AG588" s="91"/>
    </row>
    <row r="589" ht="15.75" customHeight="1">
      <c r="B589" s="3"/>
      <c r="C589" s="3"/>
      <c r="H589" s="3"/>
      <c r="AG589" s="91"/>
    </row>
    <row r="590" ht="15.75" customHeight="1">
      <c r="B590" s="3"/>
      <c r="C590" s="3"/>
      <c r="H590" s="3"/>
      <c r="AG590" s="91"/>
    </row>
    <row r="591" ht="15.75" customHeight="1">
      <c r="B591" s="3"/>
      <c r="C591" s="3"/>
      <c r="H591" s="3"/>
      <c r="AG591" s="91"/>
    </row>
    <row r="592" ht="15.75" customHeight="1">
      <c r="B592" s="3"/>
      <c r="C592" s="3"/>
      <c r="H592" s="3"/>
      <c r="AG592" s="91"/>
    </row>
    <row r="593" ht="15.75" customHeight="1">
      <c r="B593" s="3"/>
      <c r="C593" s="3"/>
      <c r="H593" s="3"/>
      <c r="AG593" s="91"/>
    </row>
    <row r="594" ht="15.75" customHeight="1">
      <c r="B594" s="3"/>
      <c r="C594" s="3"/>
      <c r="H594" s="3"/>
      <c r="AG594" s="91"/>
    </row>
    <row r="595" ht="15.75" customHeight="1">
      <c r="B595" s="3"/>
      <c r="C595" s="3"/>
      <c r="H595" s="3"/>
      <c r="AG595" s="91"/>
    </row>
    <row r="596" ht="15.75" customHeight="1">
      <c r="B596" s="3"/>
      <c r="C596" s="3"/>
      <c r="H596" s="3"/>
      <c r="AG596" s="91"/>
    </row>
    <row r="597" ht="15.75" customHeight="1">
      <c r="B597" s="3"/>
      <c r="C597" s="3"/>
      <c r="H597" s="3"/>
      <c r="AG597" s="91"/>
    </row>
    <row r="598" ht="15.75" customHeight="1">
      <c r="B598" s="3"/>
      <c r="C598" s="3"/>
      <c r="H598" s="3"/>
      <c r="AG598" s="91"/>
    </row>
    <row r="599" ht="15.75" customHeight="1">
      <c r="B599" s="3"/>
      <c r="C599" s="3"/>
      <c r="H599" s="3"/>
      <c r="AG599" s="91"/>
    </row>
    <row r="600" ht="15.75" customHeight="1">
      <c r="B600" s="3"/>
      <c r="C600" s="3"/>
      <c r="H600" s="3"/>
      <c r="AG600" s="91"/>
    </row>
    <row r="601" ht="15.75" customHeight="1">
      <c r="B601" s="3"/>
      <c r="C601" s="3"/>
      <c r="H601" s="3"/>
      <c r="AG601" s="91"/>
    </row>
    <row r="602" ht="15.75" customHeight="1">
      <c r="B602" s="3"/>
      <c r="C602" s="3"/>
      <c r="H602" s="3"/>
      <c r="AG602" s="91"/>
    </row>
    <row r="603" ht="15.75" customHeight="1">
      <c r="B603" s="3"/>
      <c r="C603" s="3"/>
      <c r="H603" s="3"/>
      <c r="AG603" s="91"/>
    </row>
    <row r="604" ht="15.75" customHeight="1">
      <c r="B604" s="3"/>
      <c r="C604" s="3"/>
      <c r="H604" s="3"/>
      <c r="AG604" s="91"/>
    </row>
    <row r="605" ht="15.75" customHeight="1">
      <c r="B605" s="3"/>
      <c r="C605" s="3"/>
      <c r="H605" s="3"/>
      <c r="AG605" s="91"/>
    </row>
    <row r="606" ht="15.75" customHeight="1">
      <c r="B606" s="3"/>
      <c r="C606" s="3"/>
      <c r="H606" s="3"/>
      <c r="AG606" s="91"/>
    </row>
    <row r="607" ht="15.75" customHeight="1">
      <c r="B607" s="3"/>
      <c r="C607" s="3"/>
      <c r="H607" s="3"/>
      <c r="AG607" s="91"/>
    </row>
    <row r="608" ht="15.75" customHeight="1">
      <c r="B608" s="3"/>
      <c r="C608" s="3"/>
      <c r="H608" s="3"/>
      <c r="AG608" s="91"/>
    </row>
    <row r="609" ht="15.75" customHeight="1">
      <c r="B609" s="3"/>
      <c r="C609" s="3"/>
      <c r="H609" s="3"/>
      <c r="AG609" s="91"/>
    </row>
    <row r="610" ht="15.75" customHeight="1">
      <c r="B610" s="3"/>
      <c r="C610" s="3"/>
      <c r="H610" s="3"/>
      <c r="AG610" s="91"/>
    </row>
    <row r="611" ht="15.75" customHeight="1">
      <c r="B611" s="3"/>
      <c r="C611" s="3"/>
      <c r="H611" s="3"/>
      <c r="AG611" s="91"/>
    </row>
    <row r="612" ht="15.75" customHeight="1">
      <c r="B612" s="3"/>
      <c r="C612" s="3"/>
      <c r="H612" s="3"/>
      <c r="AG612" s="91"/>
    </row>
    <row r="613" ht="15.75" customHeight="1">
      <c r="B613" s="3"/>
      <c r="C613" s="3"/>
      <c r="H613" s="3"/>
      <c r="AG613" s="91"/>
    </row>
    <row r="614" ht="15.75" customHeight="1">
      <c r="B614" s="3"/>
      <c r="C614" s="3"/>
      <c r="H614" s="3"/>
      <c r="AG614" s="91"/>
    </row>
    <row r="615" ht="15.75" customHeight="1">
      <c r="B615" s="3"/>
      <c r="C615" s="3"/>
      <c r="H615" s="3"/>
      <c r="AG615" s="91"/>
    </row>
    <row r="616" ht="15.75" customHeight="1">
      <c r="B616" s="3"/>
      <c r="C616" s="3"/>
      <c r="H616" s="3"/>
      <c r="AG616" s="91"/>
    </row>
    <row r="617" ht="15.75" customHeight="1">
      <c r="B617" s="3"/>
      <c r="C617" s="3"/>
      <c r="H617" s="3"/>
      <c r="AG617" s="91"/>
    </row>
    <row r="618" ht="15.75" customHeight="1">
      <c r="B618" s="3"/>
      <c r="C618" s="3"/>
      <c r="H618" s="3"/>
      <c r="AG618" s="91"/>
    </row>
    <row r="619" ht="15.75" customHeight="1">
      <c r="B619" s="3"/>
      <c r="C619" s="3"/>
      <c r="H619" s="3"/>
      <c r="AG619" s="91"/>
    </row>
    <row r="620" ht="15.75" customHeight="1">
      <c r="B620" s="3"/>
      <c r="C620" s="3"/>
      <c r="H620" s="3"/>
      <c r="AG620" s="91"/>
    </row>
    <row r="621" ht="15.75" customHeight="1">
      <c r="B621" s="3"/>
      <c r="C621" s="3"/>
      <c r="H621" s="3"/>
      <c r="AG621" s="91"/>
    </row>
    <row r="622" ht="15.75" customHeight="1">
      <c r="B622" s="3"/>
      <c r="C622" s="3"/>
      <c r="H622" s="3"/>
      <c r="AG622" s="91"/>
    </row>
    <row r="623" ht="15.75" customHeight="1">
      <c r="B623" s="3"/>
      <c r="C623" s="3"/>
      <c r="H623" s="3"/>
      <c r="AG623" s="91"/>
    </row>
    <row r="624" ht="15.75" customHeight="1">
      <c r="B624" s="3"/>
      <c r="C624" s="3"/>
      <c r="H624" s="3"/>
      <c r="AG624" s="91"/>
    </row>
    <row r="625" ht="15.75" customHeight="1">
      <c r="B625" s="3"/>
      <c r="C625" s="3"/>
      <c r="H625" s="3"/>
      <c r="AG625" s="91"/>
    </row>
    <row r="626" ht="15.75" customHeight="1">
      <c r="B626" s="3"/>
      <c r="C626" s="3"/>
      <c r="H626" s="3"/>
      <c r="AG626" s="91"/>
    </row>
    <row r="627" ht="15.75" customHeight="1">
      <c r="B627" s="3"/>
      <c r="C627" s="3"/>
      <c r="H627" s="3"/>
      <c r="AG627" s="91"/>
    </row>
    <row r="628" ht="15.75" customHeight="1">
      <c r="B628" s="3"/>
      <c r="C628" s="3"/>
      <c r="H628" s="3"/>
      <c r="AG628" s="91"/>
    </row>
    <row r="629" ht="15.75" customHeight="1">
      <c r="B629" s="3"/>
      <c r="C629" s="3"/>
      <c r="H629" s="3"/>
      <c r="AG629" s="91"/>
    </row>
    <row r="630" ht="15.75" customHeight="1">
      <c r="B630" s="3"/>
      <c r="C630" s="3"/>
      <c r="H630" s="3"/>
      <c r="AG630" s="91"/>
    </row>
    <row r="631" ht="15.75" customHeight="1">
      <c r="B631" s="3"/>
      <c r="C631" s="3"/>
      <c r="H631" s="3"/>
      <c r="AG631" s="91"/>
    </row>
    <row r="632" ht="15.75" customHeight="1">
      <c r="B632" s="3"/>
      <c r="C632" s="3"/>
      <c r="H632" s="3"/>
      <c r="AG632" s="91"/>
    </row>
    <row r="633" ht="15.75" customHeight="1">
      <c r="B633" s="3"/>
      <c r="C633" s="3"/>
      <c r="H633" s="3"/>
      <c r="AG633" s="91"/>
    </row>
    <row r="634" ht="15.75" customHeight="1">
      <c r="B634" s="3"/>
      <c r="C634" s="3"/>
      <c r="H634" s="3"/>
      <c r="AG634" s="91"/>
    </row>
    <row r="635" ht="15.75" customHeight="1">
      <c r="B635" s="3"/>
      <c r="C635" s="3"/>
      <c r="H635" s="3"/>
      <c r="AG635" s="91"/>
    </row>
    <row r="636" ht="15.75" customHeight="1">
      <c r="B636" s="3"/>
      <c r="C636" s="3"/>
      <c r="H636" s="3"/>
      <c r="AG636" s="91"/>
    </row>
    <row r="637" ht="15.75" customHeight="1">
      <c r="B637" s="3"/>
      <c r="C637" s="3"/>
      <c r="H637" s="3"/>
      <c r="AG637" s="91"/>
    </row>
    <row r="638" ht="15.75" customHeight="1">
      <c r="B638" s="3"/>
      <c r="C638" s="3"/>
      <c r="H638" s="3"/>
      <c r="AG638" s="91"/>
    </row>
    <row r="639" ht="15.75" customHeight="1">
      <c r="B639" s="3"/>
      <c r="C639" s="3"/>
      <c r="H639" s="3"/>
      <c r="AG639" s="91"/>
    </row>
    <row r="640" ht="15.75" customHeight="1">
      <c r="B640" s="3"/>
      <c r="C640" s="3"/>
      <c r="H640" s="3"/>
      <c r="AG640" s="91"/>
    </row>
    <row r="641" ht="15.75" customHeight="1">
      <c r="B641" s="3"/>
      <c r="C641" s="3"/>
      <c r="H641" s="3"/>
      <c r="AG641" s="91"/>
    </row>
    <row r="642" ht="15.75" customHeight="1">
      <c r="B642" s="3"/>
      <c r="C642" s="3"/>
      <c r="H642" s="3"/>
      <c r="AG642" s="91"/>
    </row>
    <row r="643" ht="15.75" customHeight="1">
      <c r="B643" s="3"/>
      <c r="C643" s="3"/>
      <c r="H643" s="3"/>
      <c r="AG643" s="91"/>
    </row>
    <row r="644" ht="15.75" customHeight="1">
      <c r="B644" s="3"/>
      <c r="C644" s="3"/>
      <c r="H644" s="3"/>
      <c r="AG644" s="91"/>
    </row>
    <row r="645" ht="15.75" customHeight="1">
      <c r="B645" s="3"/>
      <c r="C645" s="3"/>
      <c r="H645" s="3"/>
      <c r="AG645" s="91"/>
    </row>
    <row r="646" ht="15.75" customHeight="1">
      <c r="B646" s="3"/>
      <c r="C646" s="3"/>
      <c r="H646" s="3"/>
      <c r="AG646" s="91"/>
    </row>
    <row r="647" ht="15.75" customHeight="1">
      <c r="B647" s="3"/>
      <c r="C647" s="3"/>
      <c r="H647" s="3"/>
      <c r="AG647" s="91"/>
    </row>
    <row r="648" ht="15.75" customHeight="1">
      <c r="B648" s="3"/>
      <c r="C648" s="3"/>
      <c r="H648" s="3"/>
      <c r="AG648" s="91"/>
    </row>
    <row r="649" ht="15.75" customHeight="1">
      <c r="B649" s="3"/>
      <c r="C649" s="3"/>
      <c r="H649" s="3"/>
      <c r="AG649" s="91"/>
    </row>
    <row r="650" ht="15.75" customHeight="1">
      <c r="B650" s="3"/>
      <c r="C650" s="3"/>
      <c r="H650" s="3"/>
      <c r="AG650" s="91"/>
    </row>
    <row r="651" ht="15.75" customHeight="1">
      <c r="B651" s="3"/>
      <c r="C651" s="3"/>
      <c r="H651" s="3"/>
      <c r="AG651" s="91"/>
    </row>
    <row r="652" ht="15.75" customHeight="1">
      <c r="B652" s="3"/>
      <c r="C652" s="3"/>
      <c r="H652" s="3"/>
      <c r="AG652" s="91"/>
    </row>
    <row r="653" ht="15.75" customHeight="1">
      <c r="B653" s="3"/>
      <c r="C653" s="3"/>
      <c r="H653" s="3"/>
      <c r="AG653" s="91"/>
    </row>
    <row r="654" ht="15.75" customHeight="1">
      <c r="B654" s="3"/>
      <c r="C654" s="3"/>
      <c r="H654" s="3"/>
      <c r="AG654" s="91"/>
    </row>
    <row r="655" ht="15.75" customHeight="1">
      <c r="B655" s="3"/>
      <c r="C655" s="3"/>
      <c r="H655" s="3"/>
      <c r="AG655" s="91"/>
    </row>
    <row r="656" ht="15.75" customHeight="1">
      <c r="B656" s="3"/>
      <c r="C656" s="3"/>
      <c r="H656" s="3"/>
      <c r="AG656" s="91"/>
    </row>
    <row r="657" ht="15.75" customHeight="1">
      <c r="B657" s="3"/>
      <c r="C657" s="3"/>
      <c r="H657" s="3"/>
      <c r="AG657" s="91"/>
    </row>
    <row r="658" ht="15.75" customHeight="1">
      <c r="B658" s="3"/>
      <c r="C658" s="3"/>
      <c r="H658" s="3"/>
      <c r="AG658" s="91"/>
    </row>
    <row r="659" ht="15.75" customHeight="1">
      <c r="B659" s="3"/>
      <c r="C659" s="3"/>
      <c r="H659" s="3"/>
      <c r="AG659" s="91"/>
    </row>
    <row r="660" ht="15.75" customHeight="1">
      <c r="B660" s="3"/>
      <c r="C660" s="3"/>
      <c r="H660" s="3"/>
      <c r="AG660" s="91"/>
    </row>
    <row r="661" ht="15.75" customHeight="1">
      <c r="B661" s="3"/>
      <c r="C661" s="3"/>
      <c r="H661" s="3"/>
      <c r="AG661" s="91"/>
    </row>
    <row r="662" ht="15.75" customHeight="1">
      <c r="B662" s="3"/>
      <c r="C662" s="3"/>
      <c r="H662" s="3"/>
      <c r="AG662" s="91"/>
    </row>
    <row r="663" ht="15.75" customHeight="1">
      <c r="B663" s="3"/>
      <c r="C663" s="3"/>
      <c r="H663" s="3"/>
      <c r="AG663" s="91"/>
    </row>
    <row r="664" ht="15.75" customHeight="1">
      <c r="B664" s="3"/>
      <c r="C664" s="3"/>
      <c r="H664" s="3"/>
      <c r="AG664" s="91"/>
    </row>
    <row r="665" ht="15.75" customHeight="1">
      <c r="B665" s="3"/>
      <c r="C665" s="3"/>
      <c r="H665" s="3"/>
      <c r="AG665" s="91"/>
    </row>
    <row r="666" ht="15.75" customHeight="1">
      <c r="B666" s="3"/>
      <c r="C666" s="3"/>
      <c r="H666" s="3"/>
      <c r="AG666" s="91"/>
    </row>
    <row r="667" ht="15.75" customHeight="1">
      <c r="B667" s="3"/>
      <c r="C667" s="3"/>
      <c r="H667" s="3"/>
      <c r="AG667" s="91"/>
    </row>
    <row r="668" ht="15.75" customHeight="1">
      <c r="B668" s="3"/>
      <c r="C668" s="3"/>
      <c r="H668" s="3"/>
      <c r="AG668" s="91"/>
    </row>
    <row r="669" ht="15.75" customHeight="1">
      <c r="B669" s="3"/>
      <c r="C669" s="3"/>
      <c r="H669" s="3"/>
      <c r="AG669" s="91"/>
    </row>
    <row r="670" ht="15.75" customHeight="1">
      <c r="B670" s="3"/>
      <c r="C670" s="3"/>
      <c r="H670" s="3"/>
      <c r="AG670" s="91"/>
    </row>
    <row r="671" ht="15.75" customHeight="1">
      <c r="B671" s="3"/>
      <c r="C671" s="3"/>
      <c r="H671" s="3"/>
      <c r="AG671" s="91"/>
    </row>
    <row r="672" ht="15.75" customHeight="1">
      <c r="B672" s="3"/>
      <c r="C672" s="3"/>
      <c r="H672" s="3"/>
      <c r="AG672" s="91"/>
    </row>
    <row r="673" ht="15.75" customHeight="1">
      <c r="B673" s="3"/>
      <c r="C673" s="3"/>
      <c r="H673" s="3"/>
      <c r="AG673" s="91"/>
    </row>
    <row r="674" ht="15.75" customHeight="1">
      <c r="B674" s="3"/>
      <c r="C674" s="3"/>
      <c r="H674" s="3"/>
      <c r="AG674" s="91"/>
    </row>
    <row r="675" ht="15.75" customHeight="1">
      <c r="B675" s="3"/>
      <c r="C675" s="3"/>
      <c r="H675" s="3"/>
      <c r="AG675" s="91"/>
    </row>
    <row r="676" ht="15.75" customHeight="1">
      <c r="B676" s="3"/>
      <c r="C676" s="3"/>
      <c r="H676" s="3"/>
      <c r="AG676" s="91"/>
    </row>
    <row r="677" ht="15.75" customHeight="1">
      <c r="B677" s="3"/>
      <c r="C677" s="3"/>
      <c r="H677" s="3"/>
      <c r="AG677" s="91"/>
    </row>
    <row r="678" ht="15.75" customHeight="1">
      <c r="B678" s="3"/>
      <c r="C678" s="3"/>
      <c r="H678" s="3"/>
      <c r="AG678" s="91"/>
    </row>
    <row r="679" ht="15.75" customHeight="1">
      <c r="B679" s="3"/>
      <c r="C679" s="3"/>
      <c r="H679" s="3"/>
      <c r="AG679" s="91"/>
    </row>
    <row r="680" ht="15.75" customHeight="1">
      <c r="B680" s="3"/>
      <c r="C680" s="3"/>
      <c r="H680" s="3"/>
      <c r="AG680" s="91"/>
    </row>
    <row r="681" ht="15.75" customHeight="1">
      <c r="B681" s="3"/>
      <c r="C681" s="3"/>
      <c r="H681" s="3"/>
      <c r="AG681" s="91"/>
    </row>
    <row r="682" ht="15.75" customHeight="1">
      <c r="B682" s="3"/>
      <c r="C682" s="3"/>
      <c r="H682" s="3"/>
      <c r="AG682" s="91"/>
    </row>
    <row r="683" ht="15.75" customHeight="1">
      <c r="B683" s="3"/>
      <c r="C683" s="3"/>
      <c r="H683" s="3"/>
      <c r="AG683" s="91"/>
    </row>
    <row r="684" ht="15.75" customHeight="1">
      <c r="B684" s="3"/>
      <c r="C684" s="3"/>
      <c r="H684" s="3"/>
      <c r="AG684" s="91"/>
    </row>
    <row r="685" ht="15.75" customHeight="1">
      <c r="B685" s="3"/>
      <c r="C685" s="3"/>
      <c r="H685" s="3"/>
      <c r="AG685" s="91"/>
    </row>
    <row r="686" ht="15.75" customHeight="1">
      <c r="B686" s="3"/>
      <c r="C686" s="3"/>
      <c r="H686" s="3"/>
      <c r="AG686" s="91"/>
    </row>
    <row r="687" ht="15.75" customHeight="1">
      <c r="B687" s="3"/>
      <c r="C687" s="3"/>
      <c r="H687" s="3"/>
      <c r="AG687" s="91"/>
    </row>
    <row r="688" ht="15.75" customHeight="1">
      <c r="B688" s="3"/>
      <c r="C688" s="3"/>
      <c r="H688" s="3"/>
      <c r="AG688" s="91"/>
    </row>
    <row r="689" ht="15.75" customHeight="1">
      <c r="B689" s="3"/>
      <c r="C689" s="3"/>
      <c r="H689" s="3"/>
      <c r="AG689" s="91"/>
    </row>
    <row r="690" ht="15.75" customHeight="1">
      <c r="B690" s="3"/>
      <c r="C690" s="3"/>
      <c r="H690" s="3"/>
      <c r="AG690" s="91"/>
    </row>
    <row r="691" ht="15.75" customHeight="1">
      <c r="B691" s="3"/>
      <c r="C691" s="3"/>
      <c r="H691" s="3"/>
      <c r="AG691" s="91"/>
    </row>
    <row r="692" ht="15.75" customHeight="1">
      <c r="B692" s="3"/>
      <c r="C692" s="3"/>
      <c r="H692" s="3"/>
      <c r="AG692" s="91"/>
    </row>
    <row r="693" ht="15.75" customHeight="1">
      <c r="B693" s="3"/>
      <c r="C693" s="3"/>
      <c r="H693" s="3"/>
      <c r="AG693" s="91"/>
    </row>
    <row r="694" ht="15.75" customHeight="1">
      <c r="B694" s="3"/>
      <c r="C694" s="3"/>
      <c r="H694" s="3"/>
      <c r="AG694" s="91"/>
    </row>
    <row r="695" ht="15.75" customHeight="1">
      <c r="B695" s="3"/>
      <c r="C695" s="3"/>
      <c r="H695" s="3"/>
      <c r="AG695" s="91"/>
    </row>
    <row r="696" ht="15.75" customHeight="1">
      <c r="B696" s="3"/>
      <c r="C696" s="3"/>
      <c r="H696" s="3"/>
      <c r="AG696" s="91"/>
    </row>
    <row r="697" ht="15.75" customHeight="1">
      <c r="B697" s="3"/>
      <c r="C697" s="3"/>
      <c r="H697" s="3"/>
      <c r="AG697" s="91"/>
    </row>
    <row r="698" ht="15.75" customHeight="1">
      <c r="B698" s="3"/>
      <c r="C698" s="3"/>
      <c r="H698" s="3"/>
      <c r="AG698" s="91"/>
    </row>
    <row r="699" ht="15.75" customHeight="1">
      <c r="B699" s="3"/>
      <c r="C699" s="3"/>
      <c r="H699" s="3"/>
      <c r="AG699" s="91"/>
    </row>
    <row r="700" ht="15.75" customHeight="1">
      <c r="B700" s="3"/>
      <c r="C700" s="3"/>
      <c r="H700" s="3"/>
      <c r="AG700" s="91"/>
    </row>
    <row r="701" ht="15.75" customHeight="1">
      <c r="B701" s="3"/>
      <c r="C701" s="3"/>
      <c r="H701" s="3"/>
      <c r="AG701" s="91"/>
    </row>
    <row r="702" ht="15.75" customHeight="1">
      <c r="B702" s="3"/>
      <c r="C702" s="3"/>
      <c r="H702" s="3"/>
      <c r="AG702" s="91"/>
    </row>
    <row r="703" ht="15.75" customHeight="1">
      <c r="B703" s="3"/>
      <c r="C703" s="3"/>
      <c r="H703" s="3"/>
      <c r="AG703" s="91"/>
    </row>
    <row r="704" ht="15.75" customHeight="1">
      <c r="B704" s="3"/>
      <c r="C704" s="3"/>
      <c r="H704" s="3"/>
      <c r="AG704" s="91"/>
    </row>
    <row r="705" ht="15.75" customHeight="1">
      <c r="B705" s="3"/>
      <c r="C705" s="3"/>
      <c r="H705" s="3"/>
      <c r="AG705" s="91"/>
    </row>
    <row r="706" ht="15.75" customHeight="1">
      <c r="B706" s="3"/>
      <c r="C706" s="3"/>
      <c r="H706" s="3"/>
      <c r="AG706" s="91"/>
    </row>
    <row r="707" ht="15.75" customHeight="1">
      <c r="B707" s="3"/>
      <c r="C707" s="3"/>
      <c r="H707" s="3"/>
      <c r="AG707" s="91"/>
    </row>
    <row r="708" ht="15.75" customHeight="1">
      <c r="B708" s="3"/>
      <c r="C708" s="3"/>
      <c r="H708" s="3"/>
      <c r="AG708" s="91"/>
    </row>
    <row r="709" ht="15.75" customHeight="1">
      <c r="B709" s="3"/>
      <c r="C709" s="3"/>
      <c r="H709" s="3"/>
      <c r="AG709" s="91"/>
    </row>
    <row r="710" ht="15.75" customHeight="1">
      <c r="B710" s="3"/>
      <c r="C710" s="3"/>
      <c r="H710" s="3"/>
      <c r="AG710" s="91"/>
    </row>
    <row r="711" ht="15.75" customHeight="1">
      <c r="B711" s="3"/>
      <c r="C711" s="3"/>
      <c r="H711" s="3"/>
      <c r="AG711" s="91"/>
    </row>
    <row r="712" ht="15.75" customHeight="1">
      <c r="B712" s="3"/>
      <c r="C712" s="3"/>
      <c r="H712" s="3"/>
      <c r="AG712" s="91"/>
    </row>
    <row r="713" ht="15.75" customHeight="1">
      <c r="B713" s="3"/>
      <c r="C713" s="3"/>
      <c r="H713" s="3"/>
      <c r="AG713" s="91"/>
    </row>
    <row r="714" ht="15.75" customHeight="1">
      <c r="B714" s="3"/>
      <c r="C714" s="3"/>
      <c r="H714" s="3"/>
      <c r="AG714" s="91"/>
    </row>
    <row r="715" ht="15.75" customHeight="1">
      <c r="B715" s="3"/>
      <c r="C715" s="3"/>
      <c r="H715" s="3"/>
      <c r="AG715" s="91"/>
    </row>
    <row r="716" ht="15.75" customHeight="1">
      <c r="B716" s="3"/>
      <c r="C716" s="3"/>
      <c r="H716" s="3"/>
      <c r="AG716" s="91"/>
    </row>
    <row r="717" ht="15.75" customHeight="1">
      <c r="B717" s="3"/>
      <c r="C717" s="3"/>
      <c r="H717" s="3"/>
      <c r="AG717" s="91"/>
    </row>
    <row r="718" ht="15.75" customHeight="1">
      <c r="B718" s="3"/>
      <c r="C718" s="3"/>
      <c r="H718" s="3"/>
      <c r="AG718" s="91"/>
    </row>
    <row r="719" ht="15.75" customHeight="1">
      <c r="B719" s="3"/>
      <c r="C719" s="3"/>
      <c r="H719" s="3"/>
      <c r="AG719" s="91"/>
    </row>
    <row r="720" ht="15.75" customHeight="1">
      <c r="B720" s="3"/>
      <c r="C720" s="3"/>
      <c r="H720" s="3"/>
      <c r="AG720" s="91"/>
    </row>
    <row r="721" ht="15.75" customHeight="1">
      <c r="B721" s="3"/>
      <c r="C721" s="3"/>
      <c r="H721" s="3"/>
      <c r="AG721" s="91"/>
    </row>
    <row r="722" ht="15.75" customHeight="1">
      <c r="B722" s="3"/>
      <c r="C722" s="3"/>
      <c r="H722" s="3"/>
      <c r="AG722" s="91"/>
    </row>
    <row r="723" ht="15.75" customHeight="1">
      <c r="B723" s="3"/>
      <c r="C723" s="3"/>
      <c r="H723" s="3"/>
      <c r="AG723" s="91"/>
    </row>
    <row r="724" ht="15.75" customHeight="1">
      <c r="B724" s="3"/>
      <c r="C724" s="3"/>
      <c r="H724" s="3"/>
      <c r="AG724" s="91"/>
    </row>
    <row r="725" ht="15.75" customHeight="1">
      <c r="B725" s="3"/>
      <c r="C725" s="3"/>
      <c r="H725" s="3"/>
      <c r="AG725" s="91"/>
    </row>
    <row r="726" ht="15.75" customHeight="1">
      <c r="B726" s="3"/>
      <c r="C726" s="3"/>
      <c r="H726" s="3"/>
      <c r="AG726" s="91"/>
    </row>
    <row r="727" ht="15.75" customHeight="1">
      <c r="B727" s="3"/>
      <c r="C727" s="3"/>
      <c r="H727" s="3"/>
      <c r="AG727" s="91"/>
    </row>
    <row r="728" ht="15.75" customHeight="1">
      <c r="B728" s="3"/>
      <c r="C728" s="3"/>
      <c r="H728" s="3"/>
      <c r="AG728" s="91"/>
    </row>
    <row r="729" ht="15.75" customHeight="1">
      <c r="B729" s="3"/>
      <c r="C729" s="3"/>
      <c r="H729" s="3"/>
      <c r="AG729" s="91"/>
    </row>
    <row r="730" ht="15.75" customHeight="1">
      <c r="B730" s="3"/>
      <c r="C730" s="3"/>
      <c r="H730" s="3"/>
      <c r="AG730" s="91"/>
    </row>
    <row r="731" ht="15.75" customHeight="1">
      <c r="B731" s="3"/>
      <c r="C731" s="3"/>
      <c r="H731" s="3"/>
      <c r="AG731" s="91"/>
    </row>
    <row r="732" ht="15.75" customHeight="1">
      <c r="B732" s="3"/>
      <c r="C732" s="3"/>
      <c r="H732" s="3"/>
      <c r="AG732" s="91"/>
    </row>
    <row r="733" ht="15.75" customHeight="1">
      <c r="B733" s="3"/>
      <c r="C733" s="3"/>
      <c r="H733" s="3"/>
      <c r="AG733" s="91"/>
    </row>
    <row r="734" ht="15.75" customHeight="1">
      <c r="B734" s="3"/>
      <c r="C734" s="3"/>
      <c r="H734" s="3"/>
      <c r="AG734" s="91"/>
    </row>
    <row r="735" ht="15.75" customHeight="1">
      <c r="B735" s="3"/>
      <c r="C735" s="3"/>
      <c r="H735" s="3"/>
      <c r="AG735" s="91"/>
    </row>
    <row r="736" ht="15.75" customHeight="1">
      <c r="B736" s="3"/>
      <c r="C736" s="3"/>
      <c r="H736" s="3"/>
      <c r="AG736" s="91"/>
    </row>
    <row r="737" ht="15.75" customHeight="1">
      <c r="B737" s="3"/>
      <c r="C737" s="3"/>
      <c r="H737" s="3"/>
      <c r="AG737" s="91"/>
    </row>
    <row r="738" ht="15.75" customHeight="1">
      <c r="B738" s="3"/>
      <c r="C738" s="3"/>
      <c r="H738" s="3"/>
      <c r="AG738" s="91"/>
    </row>
    <row r="739" ht="15.75" customHeight="1">
      <c r="B739" s="3"/>
      <c r="C739" s="3"/>
      <c r="H739" s="3"/>
      <c r="AG739" s="91"/>
    </row>
    <row r="740" ht="15.75" customHeight="1">
      <c r="B740" s="3"/>
      <c r="C740" s="3"/>
      <c r="H740" s="3"/>
      <c r="AG740" s="91"/>
    </row>
    <row r="741" ht="15.75" customHeight="1">
      <c r="B741" s="3"/>
      <c r="C741" s="3"/>
      <c r="H741" s="3"/>
      <c r="AG741" s="91"/>
    </row>
    <row r="742" ht="15.75" customHeight="1">
      <c r="B742" s="3"/>
      <c r="C742" s="3"/>
      <c r="H742" s="3"/>
      <c r="AG742" s="91"/>
    </row>
    <row r="743" ht="15.75" customHeight="1">
      <c r="B743" s="3"/>
      <c r="C743" s="3"/>
      <c r="H743" s="3"/>
      <c r="AG743" s="91"/>
    </row>
    <row r="744" ht="15.75" customHeight="1">
      <c r="B744" s="3"/>
      <c r="C744" s="3"/>
      <c r="H744" s="3"/>
      <c r="AG744" s="91"/>
    </row>
    <row r="745" ht="15.75" customHeight="1">
      <c r="B745" s="3"/>
      <c r="C745" s="3"/>
      <c r="H745" s="3"/>
      <c r="AG745" s="91"/>
    </row>
    <row r="746" ht="15.75" customHeight="1">
      <c r="B746" s="3"/>
      <c r="C746" s="3"/>
      <c r="H746" s="3"/>
      <c r="AG746" s="91"/>
    </row>
    <row r="747" ht="15.75" customHeight="1">
      <c r="B747" s="3"/>
      <c r="C747" s="3"/>
      <c r="H747" s="3"/>
      <c r="AG747" s="91"/>
    </row>
    <row r="748" ht="15.75" customHeight="1">
      <c r="B748" s="3"/>
      <c r="C748" s="3"/>
      <c r="H748" s="3"/>
      <c r="AG748" s="91"/>
    </row>
    <row r="749" ht="15.75" customHeight="1">
      <c r="B749" s="3"/>
      <c r="C749" s="3"/>
      <c r="H749" s="3"/>
      <c r="AG749" s="91"/>
    </row>
    <row r="750" ht="15.75" customHeight="1">
      <c r="B750" s="3"/>
      <c r="C750" s="3"/>
      <c r="H750" s="3"/>
      <c r="AG750" s="91"/>
    </row>
    <row r="751" ht="15.75" customHeight="1">
      <c r="B751" s="3"/>
      <c r="C751" s="3"/>
      <c r="H751" s="3"/>
      <c r="AG751" s="91"/>
    </row>
    <row r="752" ht="15.75" customHeight="1">
      <c r="B752" s="3"/>
      <c r="C752" s="3"/>
      <c r="H752" s="3"/>
      <c r="AG752" s="91"/>
    </row>
    <row r="753" ht="15.75" customHeight="1">
      <c r="B753" s="3"/>
      <c r="C753" s="3"/>
      <c r="H753" s="3"/>
      <c r="AG753" s="91"/>
    </row>
    <row r="754" ht="15.75" customHeight="1">
      <c r="B754" s="3"/>
      <c r="C754" s="3"/>
      <c r="H754" s="3"/>
      <c r="AG754" s="91"/>
    </row>
    <row r="755" ht="15.75" customHeight="1">
      <c r="B755" s="3"/>
      <c r="C755" s="3"/>
      <c r="H755" s="3"/>
      <c r="AG755" s="91"/>
    </row>
    <row r="756" ht="15.75" customHeight="1">
      <c r="B756" s="3"/>
      <c r="C756" s="3"/>
      <c r="H756" s="3"/>
      <c r="AG756" s="91"/>
    </row>
    <row r="757" ht="15.75" customHeight="1">
      <c r="B757" s="3"/>
      <c r="C757" s="3"/>
      <c r="H757" s="3"/>
      <c r="AG757" s="91"/>
    </row>
    <row r="758" ht="15.75" customHeight="1">
      <c r="B758" s="3"/>
      <c r="C758" s="3"/>
      <c r="H758" s="3"/>
      <c r="AG758" s="91"/>
    </row>
    <row r="759" ht="15.75" customHeight="1">
      <c r="B759" s="3"/>
      <c r="C759" s="3"/>
      <c r="H759" s="3"/>
      <c r="AG759" s="91"/>
    </row>
    <row r="760" ht="15.75" customHeight="1">
      <c r="B760" s="3"/>
      <c r="C760" s="3"/>
      <c r="H760" s="3"/>
      <c r="AG760" s="91"/>
    </row>
    <row r="761" ht="15.75" customHeight="1">
      <c r="B761" s="3"/>
      <c r="C761" s="3"/>
      <c r="H761" s="3"/>
      <c r="AG761" s="91"/>
    </row>
    <row r="762" ht="15.75" customHeight="1">
      <c r="B762" s="3"/>
      <c r="C762" s="3"/>
      <c r="H762" s="3"/>
      <c r="AG762" s="91"/>
    </row>
    <row r="763" ht="15.75" customHeight="1">
      <c r="B763" s="3"/>
      <c r="C763" s="3"/>
      <c r="H763" s="3"/>
      <c r="AG763" s="91"/>
    </row>
    <row r="764" ht="15.75" customHeight="1">
      <c r="B764" s="3"/>
      <c r="C764" s="3"/>
      <c r="H764" s="3"/>
      <c r="AG764" s="91"/>
    </row>
    <row r="765" ht="15.75" customHeight="1">
      <c r="B765" s="3"/>
      <c r="C765" s="3"/>
      <c r="H765" s="3"/>
      <c r="AG765" s="91"/>
    </row>
    <row r="766" ht="15.75" customHeight="1">
      <c r="B766" s="3"/>
      <c r="C766" s="3"/>
      <c r="H766" s="3"/>
      <c r="AG766" s="91"/>
    </row>
    <row r="767" ht="15.75" customHeight="1">
      <c r="B767" s="3"/>
      <c r="C767" s="3"/>
      <c r="H767" s="3"/>
      <c r="AG767" s="91"/>
    </row>
    <row r="768" ht="15.75" customHeight="1">
      <c r="B768" s="3"/>
      <c r="C768" s="3"/>
      <c r="H768" s="3"/>
      <c r="AG768" s="91"/>
    </row>
    <row r="769" ht="15.75" customHeight="1">
      <c r="B769" s="3"/>
      <c r="C769" s="3"/>
      <c r="H769" s="3"/>
      <c r="AG769" s="91"/>
    </row>
    <row r="770" ht="15.75" customHeight="1">
      <c r="B770" s="3"/>
      <c r="C770" s="3"/>
      <c r="H770" s="3"/>
      <c r="AG770" s="91"/>
    </row>
    <row r="771" ht="15.75" customHeight="1">
      <c r="B771" s="3"/>
      <c r="C771" s="3"/>
      <c r="H771" s="3"/>
      <c r="AG771" s="91"/>
    </row>
    <row r="772" ht="15.75" customHeight="1">
      <c r="B772" s="3"/>
      <c r="C772" s="3"/>
      <c r="H772" s="3"/>
      <c r="AG772" s="91"/>
    </row>
    <row r="773" ht="15.75" customHeight="1">
      <c r="B773" s="3"/>
      <c r="C773" s="3"/>
      <c r="H773" s="3"/>
      <c r="AG773" s="91"/>
    </row>
    <row r="774" ht="15.75" customHeight="1">
      <c r="B774" s="3"/>
      <c r="C774" s="3"/>
      <c r="H774" s="3"/>
      <c r="AG774" s="91"/>
    </row>
    <row r="775" ht="15.75" customHeight="1">
      <c r="B775" s="3"/>
      <c r="C775" s="3"/>
      <c r="H775" s="3"/>
      <c r="AG775" s="91"/>
    </row>
    <row r="776" ht="15.75" customHeight="1">
      <c r="B776" s="3"/>
      <c r="C776" s="3"/>
      <c r="H776" s="3"/>
      <c r="AG776" s="91"/>
    </row>
    <row r="777" ht="15.75" customHeight="1">
      <c r="B777" s="3"/>
      <c r="C777" s="3"/>
      <c r="H777" s="3"/>
      <c r="AG777" s="91"/>
    </row>
    <row r="778" ht="15.75" customHeight="1">
      <c r="B778" s="3"/>
      <c r="C778" s="3"/>
      <c r="H778" s="3"/>
      <c r="AG778" s="91"/>
    </row>
    <row r="779" ht="15.75" customHeight="1">
      <c r="B779" s="3"/>
      <c r="C779" s="3"/>
      <c r="H779" s="3"/>
      <c r="AG779" s="91"/>
    </row>
    <row r="780" ht="15.75" customHeight="1">
      <c r="B780" s="3"/>
      <c r="C780" s="3"/>
      <c r="H780" s="3"/>
      <c r="AG780" s="91"/>
    </row>
    <row r="781" ht="15.75" customHeight="1">
      <c r="B781" s="3"/>
      <c r="C781" s="3"/>
      <c r="H781" s="3"/>
      <c r="AG781" s="91"/>
    </row>
    <row r="782" ht="15.75" customHeight="1">
      <c r="B782" s="3"/>
      <c r="C782" s="3"/>
      <c r="H782" s="3"/>
      <c r="AG782" s="91"/>
    </row>
    <row r="783" ht="15.75" customHeight="1">
      <c r="B783" s="3"/>
      <c r="C783" s="3"/>
      <c r="H783" s="3"/>
      <c r="AG783" s="91"/>
    </row>
    <row r="784" ht="15.75" customHeight="1">
      <c r="B784" s="3"/>
      <c r="C784" s="3"/>
      <c r="H784" s="3"/>
      <c r="AG784" s="91"/>
    </row>
    <row r="785" ht="15.75" customHeight="1">
      <c r="B785" s="3"/>
      <c r="C785" s="3"/>
      <c r="H785" s="3"/>
      <c r="AG785" s="91"/>
    </row>
    <row r="786" ht="15.75" customHeight="1">
      <c r="B786" s="3"/>
      <c r="C786" s="3"/>
      <c r="H786" s="3"/>
      <c r="AG786" s="91"/>
    </row>
    <row r="787" ht="15.75" customHeight="1">
      <c r="B787" s="3"/>
      <c r="C787" s="3"/>
      <c r="H787" s="3"/>
      <c r="AG787" s="91"/>
    </row>
    <row r="788" ht="15.75" customHeight="1">
      <c r="B788" s="3"/>
      <c r="C788" s="3"/>
      <c r="H788" s="3"/>
      <c r="AG788" s="91"/>
    </row>
    <row r="789" ht="15.75" customHeight="1">
      <c r="B789" s="3"/>
      <c r="C789" s="3"/>
      <c r="H789" s="3"/>
      <c r="AG789" s="91"/>
    </row>
    <row r="790" ht="15.75" customHeight="1">
      <c r="B790" s="3"/>
      <c r="C790" s="3"/>
      <c r="H790" s="3"/>
      <c r="AG790" s="91"/>
    </row>
    <row r="791" ht="15.75" customHeight="1">
      <c r="B791" s="3"/>
      <c r="C791" s="3"/>
      <c r="H791" s="3"/>
      <c r="AG791" s="91"/>
    </row>
    <row r="792" ht="15.75" customHeight="1">
      <c r="B792" s="3"/>
      <c r="C792" s="3"/>
      <c r="H792" s="3"/>
      <c r="AG792" s="91"/>
    </row>
    <row r="793" ht="15.75" customHeight="1">
      <c r="B793" s="3"/>
      <c r="C793" s="3"/>
      <c r="H793" s="3"/>
      <c r="AG793" s="91"/>
    </row>
    <row r="794" ht="15.75" customHeight="1">
      <c r="B794" s="3"/>
      <c r="C794" s="3"/>
      <c r="H794" s="3"/>
      <c r="AG794" s="91"/>
    </row>
    <row r="795" ht="15.75" customHeight="1">
      <c r="B795" s="3"/>
      <c r="C795" s="3"/>
      <c r="H795" s="3"/>
      <c r="AG795" s="91"/>
    </row>
    <row r="796" ht="15.75" customHeight="1">
      <c r="B796" s="3"/>
      <c r="C796" s="3"/>
      <c r="H796" s="3"/>
      <c r="AG796" s="91"/>
    </row>
    <row r="797" ht="15.75" customHeight="1">
      <c r="B797" s="3"/>
      <c r="C797" s="3"/>
      <c r="H797" s="3"/>
      <c r="AG797" s="91"/>
    </row>
    <row r="798" ht="15.75" customHeight="1">
      <c r="B798" s="3"/>
      <c r="C798" s="3"/>
      <c r="H798" s="3"/>
      <c r="AG798" s="91"/>
    </row>
    <row r="799" ht="15.75" customHeight="1">
      <c r="B799" s="3"/>
      <c r="C799" s="3"/>
      <c r="H799" s="3"/>
      <c r="AG799" s="91"/>
    </row>
    <row r="800" ht="15.75" customHeight="1">
      <c r="B800" s="3"/>
      <c r="C800" s="3"/>
      <c r="H800" s="3"/>
      <c r="AG800" s="91"/>
    </row>
    <row r="801" ht="15.75" customHeight="1">
      <c r="B801" s="3"/>
      <c r="C801" s="3"/>
      <c r="H801" s="3"/>
      <c r="AG801" s="91"/>
    </row>
    <row r="802" ht="15.75" customHeight="1">
      <c r="B802" s="3"/>
      <c r="C802" s="3"/>
      <c r="H802" s="3"/>
      <c r="AG802" s="91"/>
    </row>
    <row r="803" ht="15.75" customHeight="1">
      <c r="B803" s="3"/>
      <c r="C803" s="3"/>
      <c r="H803" s="3"/>
      <c r="AG803" s="91"/>
    </row>
    <row r="804" ht="15.75" customHeight="1">
      <c r="B804" s="3"/>
      <c r="C804" s="3"/>
      <c r="H804" s="3"/>
      <c r="AG804" s="91"/>
    </row>
    <row r="805" ht="15.75" customHeight="1">
      <c r="B805" s="3"/>
      <c r="C805" s="3"/>
      <c r="H805" s="3"/>
      <c r="AG805" s="91"/>
    </row>
    <row r="806" ht="15.75" customHeight="1">
      <c r="B806" s="3"/>
      <c r="C806" s="3"/>
      <c r="H806" s="3"/>
      <c r="AG806" s="91"/>
    </row>
    <row r="807" ht="15.75" customHeight="1">
      <c r="B807" s="3"/>
      <c r="C807" s="3"/>
      <c r="H807" s="3"/>
      <c r="AG807" s="91"/>
    </row>
    <row r="808" ht="15.75" customHeight="1">
      <c r="B808" s="3"/>
      <c r="C808" s="3"/>
      <c r="H808" s="3"/>
      <c r="AG808" s="91"/>
    </row>
    <row r="809" ht="15.75" customHeight="1">
      <c r="B809" s="3"/>
      <c r="C809" s="3"/>
      <c r="H809" s="3"/>
      <c r="AG809" s="91"/>
    </row>
    <row r="810" ht="15.75" customHeight="1">
      <c r="B810" s="3"/>
      <c r="C810" s="3"/>
      <c r="H810" s="3"/>
      <c r="AG810" s="91"/>
    </row>
    <row r="811" ht="15.75" customHeight="1">
      <c r="B811" s="3"/>
      <c r="C811" s="3"/>
      <c r="H811" s="3"/>
      <c r="AG811" s="91"/>
    </row>
    <row r="812" ht="15.75" customHeight="1">
      <c r="B812" s="3"/>
      <c r="C812" s="3"/>
      <c r="H812" s="3"/>
      <c r="AG812" s="91"/>
    </row>
    <row r="813" ht="15.75" customHeight="1">
      <c r="B813" s="3"/>
      <c r="C813" s="3"/>
      <c r="H813" s="3"/>
      <c r="AG813" s="91"/>
    </row>
    <row r="814" ht="15.75" customHeight="1">
      <c r="B814" s="3"/>
      <c r="C814" s="3"/>
      <c r="H814" s="3"/>
      <c r="AG814" s="91"/>
    </row>
    <row r="815" ht="15.75" customHeight="1">
      <c r="B815" s="3"/>
      <c r="C815" s="3"/>
      <c r="H815" s="3"/>
      <c r="AG815" s="91"/>
    </row>
    <row r="816" ht="15.75" customHeight="1">
      <c r="B816" s="3"/>
      <c r="C816" s="3"/>
      <c r="H816" s="3"/>
      <c r="AG816" s="91"/>
    </row>
    <row r="817" ht="15.75" customHeight="1">
      <c r="B817" s="3"/>
      <c r="C817" s="3"/>
      <c r="H817" s="3"/>
      <c r="AG817" s="91"/>
    </row>
    <row r="818" ht="15.75" customHeight="1">
      <c r="B818" s="3"/>
      <c r="C818" s="3"/>
      <c r="H818" s="3"/>
      <c r="AG818" s="91"/>
    </row>
    <row r="819" ht="15.75" customHeight="1">
      <c r="B819" s="3"/>
      <c r="C819" s="3"/>
      <c r="H819" s="3"/>
      <c r="AG819" s="91"/>
    </row>
    <row r="820" ht="15.75" customHeight="1">
      <c r="B820" s="3"/>
      <c r="C820" s="3"/>
      <c r="H820" s="3"/>
      <c r="AG820" s="91"/>
    </row>
    <row r="821" ht="15.75" customHeight="1">
      <c r="B821" s="3"/>
      <c r="C821" s="3"/>
      <c r="H821" s="3"/>
      <c r="AG821" s="91"/>
    </row>
    <row r="822" ht="15.75" customHeight="1">
      <c r="B822" s="3"/>
      <c r="C822" s="3"/>
      <c r="H822" s="3"/>
      <c r="AG822" s="91"/>
    </row>
    <row r="823" ht="15.75" customHeight="1">
      <c r="B823" s="3"/>
      <c r="C823" s="3"/>
      <c r="H823" s="3"/>
      <c r="AG823" s="91"/>
    </row>
    <row r="824" ht="15.75" customHeight="1">
      <c r="B824" s="3"/>
      <c r="C824" s="3"/>
      <c r="H824" s="3"/>
      <c r="AG824" s="91"/>
    </row>
    <row r="825" ht="15.75" customHeight="1">
      <c r="B825" s="3"/>
      <c r="C825" s="3"/>
      <c r="H825" s="3"/>
      <c r="AG825" s="91"/>
    </row>
    <row r="826" ht="15.75" customHeight="1">
      <c r="B826" s="3"/>
      <c r="C826" s="3"/>
      <c r="H826" s="3"/>
      <c r="AG826" s="91"/>
    </row>
    <row r="827" ht="15.75" customHeight="1">
      <c r="B827" s="3"/>
      <c r="C827" s="3"/>
      <c r="H827" s="3"/>
      <c r="AG827" s="91"/>
    </row>
    <row r="828" ht="15.75" customHeight="1">
      <c r="B828" s="3"/>
      <c r="C828" s="3"/>
      <c r="H828" s="3"/>
      <c r="AG828" s="91"/>
    </row>
    <row r="829" ht="15.75" customHeight="1">
      <c r="B829" s="3"/>
      <c r="C829" s="3"/>
      <c r="H829" s="3"/>
      <c r="AG829" s="91"/>
    </row>
    <row r="830" ht="15.75" customHeight="1">
      <c r="B830" s="3"/>
      <c r="C830" s="3"/>
      <c r="H830" s="3"/>
      <c r="AG830" s="91"/>
    </row>
    <row r="831" ht="15.75" customHeight="1">
      <c r="B831" s="3"/>
      <c r="C831" s="3"/>
      <c r="H831" s="3"/>
      <c r="AG831" s="91"/>
    </row>
    <row r="832" ht="15.75" customHeight="1">
      <c r="B832" s="3"/>
      <c r="C832" s="3"/>
      <c r="H832" s="3"/>
      <c r="AG832" s="91"/>
    </row>
    <row r="833" ht="15.75" customHeight="1">
      <c r="B833" s="3"/>
      <c r="C833" s="3"/>
      <c r="H833" s="3"/>
      <c r="AG833" s="91"/>
    </row>
    <row r="834" ht="15.75" customHeight="1">
      <c r="B834" s="3"/>
      <c r="C834" s="3"/>
      <c r="H834" s="3"/>
      <c r="AG834" s="91"/>
    </row>
    <row r="835" ht="15.75" customHeight="1">
      <c r="B835" s="3"/>
      <c r="C835" s="3"/>
      <c r="H835" s="3"/>
      <c r="AG835" s="91"/>
    </row>
    <row r="836" ht="15.75" customHeight="1">
      <c r="B836" s="3"/>
      <c r="C836" s="3"/>
      <c r="H836" s="3"/>
      <c r="AG836" s="91"/>
    </row>
    <row r="837" ht="15.75" customHeight="1">
      <c r="B837" s="3"/>
      <c r="C837" s="3"/>
      <c r="H837" s="3"/>
      <c r="AG837" s="91"/>
    </row>
    <row r="838" ht="15.75" customHeight="1">
      <c r="B838" s="3"/>
      <c r="C838" s="3"/>
      <c r="H838" s="3"/>
      <c r="AG838" s="91"/>
    </row>
    <row r="839" ht="15.75" customHeight="1">
      <c r="B839" s="3"/>
      <c r="C839" s="3"/>
      <c r="H839" s="3"/>
      <c r="AG839" s="91"/>
    </row>
    <row r="840" ht="15.75" customHeight="1">
      <c r="B840" s="3"/>
      <c r="C840" s="3"/>
      <c r="H840" s="3"/>
      <c r="AG840" s="91"/>
    </row>
    <row r="841" ht="15.75" customHeight="1">
      <c r="B841" s="3"/>
      <c r="C841" s="3"/>
      <c r="H841" s="3"/>
      <c r="AG841" s="91"/>
    </row>
    <row r="842" ht="15.75" customHeight="1">
      <c r="B842" s="3"/>
      <c r="C842" s="3"/>
      <c r="H842" s="3"/>
      <c r="AG842" s="91"/>
    </row>
    <row r="843" ht="15.75" customHeight="1">
      <c r="B843" s="3"/>
      <c r="C843" s="3"/>
      <c r="H843" s="3"/>
      <c r="AG843" s="91"/>
    </row>
    <row r="844" ht="15.75" customHeight="1">
      <c r="B844" s="3"/>
      <c r="C844" s="3"/>
      <c r="H844" s="3"/>
      <c r="AG844" s="91"/>
    </row>
    <row r="845" ht="15.75" customHeight="1">
      <c r="B845" s="3"/>
      <c r="C845" s="3"/>
      <c r="H845" s="3"/>
      <c r="AG845" s="91"/>
    </row>
    <row r="846" ht="15.75" customHeight="1">
      <c r="B846" s="3"/>
      <c r="C846" s="3"/>
      <c r="H846" s="3"/>
      <c r="AG846" s="91"/>
    </row>
    <row r="847" ht="15.75" customHeight="1">
      <c r="B847" s="3"/>
      <c r="C847" s="3"/>
      <c r="H847" s="3"/>
      <c r="AG847" s="91"/>
    </row>
    <row r="848" ht="15.75" customHeight="1">
      <c r="B848" s="3"/>
      <c r="C848" s="3"/>
      <c r="H848" s="3"/>
      <c r="AG848" s="91"/>
    </row>
    <row r="849" ht="15.75" customHeight="1">
      <c r="B849" s="3"/>
      <c r="C849" s="3"/>
      <c r="H849" s="3"/>
      <c r="AG849" s="91"/>
    </row>
    <row r="850" ht="15.75" customHeight="1">
      <c r="B850" s="3"/>
      <c r="C850" s="3"/>
      <c r="H850" s="3"/>
      <c r="AG850" s="91"/>
    </row>
    <row r="851" ht="15.75" customHeight="1">
      <c r="B851" s="3"/>
      <c r="C851" s="3"/>
      <c r="H851" s="3"/>
      <c r="AG851" s="91"/>
    </row>
    <row r="852" ht="15.75" customHeight="1">
      <c r="B852" s="3"/>
      <c r="C852" s="3"/>
      <c r="H852" s="3"/>
      <c r="AG852" s="91"/>
    </row>
    <row r="853" ht="15.75" customHeight="1">
      <c r="B853" s="3"/>
      <c r="C853" s="3"/>
      <c r="H853" s="3"/>
      <c r="AG853" s="91"/>
    </row>
    <row r="854" ht="15.75" customHeight="1">
      <c r="B854" s="3"/>
      <c r="C854" s="3"/>
      <c r="H854" s="3"/>
      <c r="AG854" s="91"/>
    </row>
    <row r="855" ht="15.75" customHeight="1">
      <c r="B855" s="3"/>
      <c r="C855" s="3"/>
      <c r="H855" s="3"/>
      <c r="AG855" s="91"/>
    </row>
    <row r="856" ht="15.75" customHeight="1">
      <c r="B856" s="3"/>
      <c r="C856" s="3"/>
      <c r="H856" s="3"/>
      <c r="AG856" s="91"/>
    </row>
    <row r="857" ht="15.75" customHeight="1">
      <c r="B857" s="3"/>
      <c r="C857" s="3"/>
      <c r="H857" s="3"/>
      <c r="AG857" s="91"/>
    </row>
    <row r="858" ht="15.75" customHeight="1">
      <c r="B858" s="3"/>
      <c r="C858" s="3"/>
      <c r="H858" s="3"/>
      <c r="AG858" s="91"/>
    </row>
    <row r="859" ht="15.75" customHeight="1">
      <c r="B859" s="3"/>
      <c r="C859" s="3"/>
      <c r="H859" s="3"/>
      <c r="AG859" s="91"/>
    </row>
    <row r="860" ht="15.75" customHeight="1">
      <c r="B860" s="3"/>
      <c r="C860" s="3"/>
      <c r="H860" s="3"/>
      <c r="AG860" s="91"/>
    </row>
    <row r="861" ht="15.75" customHeight="1">
      <c r="B861" s="3"/>
      <c r="C861" s="3"/>
      <c r="H861" s="3"/>
      <c r="AG861" s="91"/>
    </row>
    <row r="862" ht="15.75" customHeight="1">
      <c r="B862" s="3"/>
      <c r="C862" s="3"/>
      <c r="H862" s="3"/>
      <c r="AG862" s="91"/>
    </row>
    <row r="863" ht="15.75" customHeight="1">
      <c r="B863" s="3"/>
      <c r="C863" s="3"/>
      <c r="H863" s="3"/>
      <c r="AG863" s="91"/>
    </row>
    <row r="864" ht="15.75" customHeight="1">
      <c r="B864" s="3"/>
      <c r="C864" s="3"/>
      <c r="H864" s="3"/>
      <c r="AG864" s="91"/>
    </row>
    <row r="865" ht="15.75" customHeight="1">
      <c r="B865" s="3"/>
      <c r="C865" s="3"/>
      <c r="H865" s="3"/>
      <c r="AG865" s="91"/>
    </row>
    <row r="866" ht="15.75" customHeight="1">
      <c r="B866" s="3"/>
      <c r="C866" s="3"/>
      <c r="H866" s="3"/>
      <c r="AG866" s="91"/>
    </row>
    <row r="867" ht="15.75" customHeight="1">
      <c r="B867" s="3"/>
      <c r="C867" s="3"/>
      <c r="H867" s="3"/>
      <c r="AG867" s="91"/>
    </row>
    <row r="868" ht="15.75" customHeight="1">
      <c r="B868" s="3"/>
      <c r="C868" s="3"/>
      <c r="H868" s="3"/>
      <c r="AG868" s="91"/>
    </row>
    <row r="869" ht="15.75" customHeight="1">
      <c r="B869" s="3"/>
      <c r="C869" s="3"/>
      <c r="H869" s="3"/>
      <c r="AG869" s="91"/>
    </row>
    <row r="870" ht="15.75" customHeight="1">
      <c r="B870" s="3"/>
      <c r="C870" s="3"/>
      <c r="H870" s="3"/>
      <c r="AG870" s="91"/>
    </row>
    <row r="871" ht="15.75" customHeight="1">
      <c r="B871" s="3"/>
      <c r="C871" s="3"/>
      <c r="H871" s="3"/>
      <c r="AG871" s="91"/>
    </row>
    <row r="872" ht="15.75" customHeight="1">
      <c r="B872" s="3"/>
      <c r="C872" s="3"/>
      <c r="H872" s="3"/>
      <c r="AG872" s="91"/>
    </row>
    <row r="873" ht="15.75" customHeight="1">
      <c r="B873" s="3"/>
      <c r="C873" s="3"/>
      <c r="H873" s="3"/>
      <c r="AG873" s="91"/>
    </row>
    <row r="874" ht="15.75" customHeight="1">
      <c r="B874" s="3"/>
      <c r="C874" s="3"/>
      <c r="H874" s="3"/>
      <c r="AG874" s="91"/>
    </row>
    <row r="875" ht="15.75" customHeight="1">
      <c r="B875" s="3"/>
      <c r="C875" s="3"/>
      <c r="H875" s="3"/>
      <c r="AG875" s="91"/>
    </row>
    <row r="876" ht="15.75" customHeight="1">
      <c r="B876" s="3"/>
      <c r="C876" s="3"/>
      <c r="H876" s="3"/>
      <c r="AG876" s="91"/>
    </row>
    <row r="877" ht="15.75" customHeight="1">
      <c r="B877" s="3"/>
      <c r="C877" s="3"/>
      <c r="H877" s="3"/>
      <c r="AG877" s="91"/>
    </row>
    <row r="878" ht="15.75" customHeight="1">
      <c r="B878" s="3"/>
      <c r="C878" s="3"/>
      <c r="H878" s="3"/>
      <c r="AG878" s="91"/>
    </row>
    <row r="879" ht="15.75" customHeight="1">
      <c r="B879" s="3"/>
      <c r="C879" s="3"/>
      <c r="H879" s="3"/>
      <c r="AG879" s="91"/>
    </row>
    <row r="880" ht="15.75" customHeight="1">
      <c r="B880" s="3"/>
      <c r="C880" s="3"/>
      <c r="H880" s="3"/>
      <c r="AG880" s="91"/>
    </row>
    <row r="881" ht="15.75" customHeight="1">
      <c r="B881" s="3"/>
      <c r="C881" s="3"/>
      <c r="H881" s="3"/>
      <c r="AG881" s="91"/>
    </row>
    <row r="882" ht="15.75" customHeight="1">
      <c r="B882" s="3"/>
      <c r="C882" s="3"/>
      <c r="H882" s="3"/>
      <c r="AG882" s="91"/>
    </row>
    <row r="883" ht="15.75" customHeight="1">
      <c r="B883" s="3"/>
      <c r="C883" s="3"/>
      <c r="H883" s="3"/>
      <c r="AG883" s="91"/>
    </row>
    <row r="884" ht="15.75" customHeight="1">
      <c r="B884" s="3"/>
      <c r="C884" s="3"/>
      <c r="H884" s="3"/>
      <c r="AG884" s="91"/>
    </row>
    <row r="885" ht="15.75" customHeight="1">
      <c r="B885" s="3"/>
      <c r="C885" s="3"/>
      <c r="H885" s="3"/>
      <c r="AG885" s="91"/>
    </row>
    <row r="886" ht="15.75" customHeight="1">
      <c r="B886" s="3"/>
      <c r="C886" s="3"/>
      <c r="H886" s="3"/>
      <c r="AG886" s="91"/>
    </row>
    <row r="887" ht="15.75" customHeight="1">
      <c r="B887" s="3"/>
      <c r="C887" s="3"/>
      <c r="H887" s="3"/>
      <c r="AG887" s="91"/>
    </row>
    <row r="888" ht="15.75" customHeight="1">
      <c r="B888" s="3"/>
      <c r="C888" s="3"/>
      <c r="H888" s="3"/>
      <c r="AG888" s="91"/>
    </row>
    <row r="889" ht="15.75" customHeight="1">
      <c r="B889" s="3"/>
      <c r="C889" s="3"/>
      <c r="H889" s="3"/>
      <c r="AG889" s="91"/>
    </row>
    <row r="890" ht="15.75" customHeight="1">
      <c r="B890" s="3"/>
      <c r="C890" s="3"/>
      <c r="H890" s="3"/>
      <c r="AG890" s="91"/>
    </row>
    <row r="891" ht="15.75" customHeight="1">
      <c r="B891" s="3"/>
      <c r="C891" s="3"/>
      <c r="H891" s="3"/>
      <c r="AG891" s="91"/>
    </row>
    <row r="892" ht="15.75" customHeight="1">
      <c r="B892" s="3"/>
      <c r="C892" s="3"/>
      <c r="H892" s="3"/>
      <c r="AG892" s="91"/>
    </row>
    <row r="893" ht="15.75" customHeight="1">
      <c r="B893" s="3"/>
      <c r="C893" s="3"/>
      <c r="H893" s="3"/>
      <c r="AG893" s="91"/>
    </row>
    <row r="894" ht="15.75" customHeight="1">
      <c r="B894" s="3"/>
      <c r="C894" s="3"/>
      <c r="H894" s="3"/>
      <c r="AG894" s="91"/>
    </row>
    <row r="895" ht="15.75" customHeight="1">
      <c r="B895" s="3"/>
      <c r="C895" s="3"/>
      <c r="H895" s="3"/>
      <c r="AG895" s="91"/>
    </row>
    <row r="896" ht="15.75" customHeight="1">
      <c r="B896" s="3"/>
      <c r="C896" s="3"/>
      <c r="H896" s="3"/>
      <c r="AG896" s="91"/>
    </row>
    <row r="897" ht="15.75" customHeight="1">
      <c r="B897" s="3"/>
      <c r="C897" s="3"/>
      <c r="H897" s="3"/>
      <c r="AG897" s="91"/>
    </row>
    <row r="898" ht="15.75" customHeight="1">
      <c r="B898" s="3"/>
      <c r="C898" s="3"/>
      <c r="H898" s="3"/>
      <c r="AG898" s="91"/>
    </row>
    <row r="899" ht="15.75" customHeight="1">
      <c r="B899" s="3"/>
      <c r="C899" s="3"/>
      <c r="H899" s="3"/>
      <c r="AG899" s="91"/>
    </row>
    <row r="900" ht="15.75" customHeight="1">
      <c r="B900" s="3"/>
      <c r="C900" s="3"/>
      <c r="H900" s="3"/>
      <c r="AG900" s="91"/>
    </row>
    <row r="901" ht="15.75" customHeight="1">
      <c r="B901" s="3"/>
      <c r="C901" s="3"/>
      <c r="H901" s="3"/>
      <c r="AG901" s="91"/>
    </row>
    <row r="902" ht="15.75" customHeight="1">
      <c r="B902" s="3"/>
      <c r="C902" s="3"/>
      <c r="H902" s="3"/>
      <c r="AG902" s="91"/>
    </row>
    <row r="903" ht="15.75" customHeight="1">
      <c r="B903" s="3"/>
      <c r="C903" s="3"/>
      <c r="H903" s="3"/>
      <c r="AG903" s="91"/>
    </row>
    <row r="904" ht="15.75" customHeight="1">
      <c r="B904" s="3"/>
      <c r="C904" s="3"/>
      <c r="H904" s="3"/>
      <c r="AG904" s="91"/>
    </row>
    <row r="905" ht="15.75" customHeight="1">
      <c r="B905" s="3"/>
      <c r="C905" s="3"/>
      <c r="H905" s="3"/>
      <c r="AG905" s="91"/>
    </row>
    <row r="906" ht="15.75" customHeight="1">
      <c r="B906" s="3"/>
      <c r="C906" s="3"/>
      <c r="H906" s="3"/>
      <c r="AG906" s="91"/>
    </row>
    <row r="907" ht="15.75" customHeight="1">
      <c r="B907" s="3"/>
      <c r="C907" s="3"/>
      <c r="H907" s="3"/>
      <c r="AG907" s="91"/>
    </row>
    <row r="908" ht="15.75" customHeight="1">
      <c r="B908" s="3"/>
      <c r="C908" s="3"/>
      <c r="H908" s="3"/>
      <c r="AG908" s="91"/>
    </row>
    <row r="909" ht="15.75" customHeight="1">
      <c r="B909" s="3"/>
      <c r="C909" s="3"/>
      <c r="H909" s="3"/>
      <c r="AG909" s="91"/>
    </row>
    <row r="910" ht="15.75" customHeight="1">
      <c r="B910" s="3"/>
      <c r="C910" s="3"/>
      <c r="H910" s="3"/>
      <c r="AG910" s="91"/>
    </row>
    <row r="911" ht="15.75" customHeight="1">
      <c r="B911" s="3"/>
      <c r="C911" s="3"/>
      <c r="H911" s="3"/>
      <c r="AG911" s="91"/>
    </row>
    <row r="912" ht="15.75" customHeight="1">
      <c r="B912" s="3"/>
      <c r="C912" s="3"/>
      <c r="H912" s="3"/>
      <c r="AG912" s="91"/>
    </row>
    <row r="913" ht="15.75" customHeight="1">
      <c r="B913" s="3"/>
      <c r="C913" s="3"/>
      <c r="H913" s="3"/>
      <c r="AG913" s="91"/>
    </row>
    <row r="914" ht="15.75" customHeight="1">
      <c r="B914" s="3"/>
      <c r="C914" s="3"/>
      <c r="H914" s="3"/>
      <c r="AG914" s="91"/>
    </row>
    <row r="915" ht="15.75" customHeight="1">
      <c r="B915" s="3"/>
      <c r="C915" s="3"/>
      <c r="H915" s="3"/>
      <c r="AG915" s="91"/>
    </row>
    <row r="916" ht="15.75" customHeight="1">
      <c r="B916" s="3"/>
      <c r="C916" s="3"/>
      <c r="H916" s="3"/>
      <c r="AG916" s="91"/>
    </row>
    <row r="917" ht="15.75" customHeight="1">
      <c r="B917" s="3"/>
      <c r="C917" s="3"/>
      <c r="H917" s="3"/>
      <c r="AG917" s="91"/>
    </row>
    <row r="918" ht="15.75" customHeight="1">
      <c r="B918" s="3"/>
      <c r="C918" s="3"/>
      <c r="H918" s="3"/>
      <c r="AG918" s="91"/>
    </row>
    <row r="919" ht="15.75" customHeight="1">
      <c r="B919" s="3"/>
      <c r="C919" s="3"/>
      <c r="H919" s="3"/>
      <c r="AG919" s="91"/>
    </row>
    <row r="920" ht="15.75" customHeight="1">
      <c r="B920" s="3"/>
      <c r="C920" s="3"/>
      <c r="H920" s="3"/>
      <c r="AG920" s="91"/>
    </row>
    <row r="921" ht="15.75" customHeight="1">
      <c r="B921" s="3"/>
      <c r="C921" s="3"/>
      <c r="H921" s="3"/>
      <c r="AG921" s="91"/>
    </row>
    <row r="922" ht="15.75" customHeight="1">
      <c r="B922" s="3"/>
      <c r="C922" s="3"/>
      <c r="H922" s="3"/>
      <c r="AG922" s="91"/>
    </row>
    <row r="923" ht="15.75" customHeight="1">
      <c r="B923" s="3"/>
      <c r="C923" s="3"/>
      <c r="H923" s="3"/>
      <c r="AG923" s="91"/>
    </row>
    <row r="924" ht="15.75" customHeight="1">
      <c r="B924" s="3"/>
      <c r="C924" s="3"/>
      <c r="H924" s="3"/>
      <c r="AG924" s="91"/>
    </row>
    <row r="925" ht="15.75" customHeight="1">
      <c r="B925" s="3"/>
      <c r="C925" s="3"/>
      <c r="H925" s="3"/>
      <c r="AG925" s="91"/>
    </row>
    <row r="926" ht="15.75" customHeight="1">
      <c r="B926" s="3"/>
      <c r="C926" s="3"/>
      <c r="H926" s="3"/>
      <c r="AG926" s="91"/>
    </row>
    <row r="927" ht="15.75" customHeight="1">
      <c r="B927" s="3"/>
      <c r="C927" s="3"/>
      <c r="H927" s="3"/>
      <c r="AG927" s="91"/>
    </row>
    <row r="928" ht="15.75" customHeight="1">
      <c r="B928" s="3"/>
      <c r="C928" s="3"/>
      <c r="H928" s="3"/>
      <c r="AG928" s="91"/>
    </row>
    <row r="929" ht="15.75" customHeight="1">
      <c r="B929" s="3"/>
      <c r="C929" s="3"/>
      <c r="H929" s="3"/>
      <c r="AG929" s="91"/>
    </row>
    <row r="930" ht="15.75" customHeight="1">
      <c r="B930" s="3"/>
      <c r="C930" s="3"/>
      <c r="H930" s="3"/>
      <c r="AG930" s="91"/>
    </row>
    <row r="931" ht="15.75" customHeight="1">
      <c r="B931" s="3"/>
      <c r="C931" s="3"/>
      <c r="H931" s="3"/>
      <c r="AG931" s="91"/>
    </row>
    <row r="932" ht="15.75" customHeight="1">
      <c r="B932" s="3"/>
      <c r="C932" s="3"/>
      <c r="H932" s="3"/>
      <c r="AG932" s="91"/>
    </row>
    <row r="933" ht="15.75" customHeight="1">
      <c r="B933" s="3"/>
      <c r="C933" s="3"/>
      <c r="H933" s="3"/>
      <c r="AG933" s="91"/>
    </row>
    <row r="934" ht="15.75" customHeight="1">
      <c r="B934" s="3"/>
      <c r="C934" s="3"/>
      <c r="H934" s="3"/>
      <c r="AG934" s="91"/>
    </row>
    <row r="935" ht="15.75" customHeight="1">
      <c r="B935" s="3"/>
      <c r="C935" s="3"/>
      <c r="H935" s="3"/>
      <c r="AG935" s="91"/>
    </row>
    <row r="936" ht="15.75" customHeight="1">
      <c r="B936" s="3"/>
      <c r="C936" s="3"/>
      <c r="H936" s="3"/>
      <c r="AG936" s="91"/>
    </row>
    <row r="937" ht="15.75" customHeight="1">
      <c r="B937" s="3"/>
      <c r="C937" s="3"/>
      <c r="H937" s="3"/>
      <c r="AG937" s="91"/>
    </row>
    <row r="938" ht="15.75" customHeight="1">
      <c r="B938" s="3"/>
      <c r="C938" s="3"/>
      <c r="H938" s="3"/>
      <c r="AG938" s="91"/>
    </row>
    <row r="939" ht="15.75" customHeight="1">
      <c r="B939" s="3"/>
      <c r="C939" s="3"/>
      <c r="H939" s="3"/>
      <c r="AG939" s="91"/>
    </row>
    <row r="940" ht="15.75" customHeight="1">
      <c r="B940" s="3"/>
      <c r="C940" s="3"/>
      <c r="H940" s="3"/>
      <c r="AG940" s="91"/>
    </row>
    <row r="941" ht="15.75" customHeight="1">
      <c r="B941" s="3"/>
      <c r="C941" s="3"/>
      <c r="H941" s="3"/>
      <c r="AG941" s="91"/>
    </row>
    <row r="942" ht="15.75" customHeight="1">
      <c r="B942" s="3"/>
      <c r="C942" s="3"/>
      <c r="H942" s="3"/>
      <c r="AG942" s="91"/>
    </row>
    <row r="943" ht="15.75" customHeight="1">
      <c r="B943" s="3"/>
      <c r="C943" s="3"/>
      <c r="H943" s="3"/>
      <c r="AG943" s="91"/>
    </row>
    <row r="944" ht="15.75" customHeight="1">
      <c r="B944" s="3"/>
      <c r="C944" s="3"/>
      <c r="H944" s="3"/>
      <c r="AG944" s="91"/>
    </row>
    <row r="945" ht="15.75" customHeight="1">
      <c r="B945" s="3"/>
      <c r="C945" s="3"/>
      <c r="H945" s="3"/>
      <c r="AG945" s="91"/>
    </row>
    <row r="946" ht="15.75" customHeight="1">
      <c r="B946" s="3"/>
      <c r="C946" s="3"/>
      <c r="H946" s="3"/>
      <c r="AG946" s="91"/>
    </row>
    <row r="947" ht="15.75" customHeight="1">
      <c r="B947" s="3"/>
      <c r="C947" s="3"/>
      <c r="H947" s="3"/>
      <c r="AG947" s="91"/>
    </row>
    <row r="948" ht="15.75" customHeight="1">
      <c r="B948" s="3"/>
      <c r="C948" s="3"/>
      <c r="H948" s="3"/>
      <c r="AG948" s="91"/>
    </row>
    <row r="949" ht="15.75" customHeight="1">
      <c r="B949" s="3"/>
      <c r="C949" s="3"/>
      <c r="H949" s="3"/>
      <c r="AG949" s="91"/>
    </row>
    <row r="950" ht="15.75" customHeight="1">
      <c r="B950" s="3"/>
      <c r="C950" s="3"/>
      <c r="H950" s="3"/>
      <c r="AG950" s="91"/>
    </row>
    <row r="951" ht="15.75" customHeight="1">
      <c r="B951" s="3"/>
      <c r="C951" s="3"/>
      <c r="H951" s="3"/>
      <c r="AG951" s="91"/>
    </row>
    <row r="952" ht="15.75" customHeight="1">
      <c r="B952" s="3"/>
      <c r="C952" s="3"/>
      <c r="H952" s="3"/>
      <c r="AG952" s="91"/>
    </row>
    <row r="953" ht="15.75" customHeight="1">
      <c r="B953" s="3"/>
      <c r="C953" s="3"/>
      <c r="H953" s="3"/>
      <c r="AG953" s="91"/>
    </row>
    <row r="954" ht="15.75" customHeight="1">
      <c r="B954" s="3"/>
      <c r="C954" s="3"/>
      <c r="H954" s="3"/>
      <c r="AG954" s="91"/>
    </row>
    <row r="955" ht="15.75" customHeight="1">
      <c r="B955" s="3"/>
      <c r="C955" s="3"/>
      <c r="H955" s="3"/>
      <c r="AG955" s="91"/>
    </row>
    <row r="956" ht="15.75" customHeight="1">
      <c r="B956" s="3"/>
      <c r="C956" s="3"/>
      <c r="H956" s="3"/>
      <c r="AG956" s="91"/>
    </row>
    <row r="957" ht="15.75" customHeight="1">
      <c r="B957" s="3"/>
      <c r="C957" s="3"/>
      <c r="H957" s="3"/>
      <c r="AG957" s="91"/>
    </row>
    <row r="958" ht="15.75" customHeight="1">
      <c r="B958" s="3"/>
      <c r="C958" s="3"/>
      <c r="H958" s="3"/>
      <c r="AG958" s="91"/>
    </row>
    <row r="959" ht="15.75" customHeight="1">
      <c r="B959" s="3"/>
      <c r="C959" s="3"/>
      <c r="H959" s="3"/>
      <c r="AG959" s="91"/>
    </row>
    <row r="960" ht="15.75" customHeight="1">
      <c r="B960" s="3"/>
      <c r="C960" s="3"/>
      <c r="H960" s="3"/>
      <c r="AG960" s="91"/>
    </row>
    <row r="961" ht="15.75" customHeight="1">
      <c r="B961" s="3"/>
      <c r="C961" s="3"/>
      <c r="H961" s="3"/>
      <c r="AG961" s="91"/>
    </row>
    <row r="962" ht="15.75" customHeight="1">
      <c r="B962" s="3"/>
      <c r="C962" s="3"/>
      <c r="H962" s="3"/>
      <c r="AG962" s="91"/>
    </row>
    <row r="963" ht="15.75" customHeight="1">
      <c r="B963" s="3"/>
      <c r="C963" s="3"/>
      <c r="H963" s="3"/>
      <c r="AG963" s="91"/>
    </row>
    <row r="964" ht="15.75" customHeight="1">
      <c r="B964" s="3"/>
      <c r="C964" s="3"/>
      <c r="H964" s="3"/>
      <c r="AG964" s="91"/>
    </row>
    <row r="965" ht="15.75" customHeight="1">
      <c r="B965" s="3"/>
      <c r="C965" s="3"/>
      <c r="H965" s="3"/>
      <c r="AG965" s="91"/>
    </row>
    <row r="966" ht="15.75" customHeight="1">
      <c r="B966" s="3"/>
      <c r="C966" s="3"/>
      <c r="H966" s="3"/>
      <c r="AG966" s="91"/>
    </row>
    <row r="967" ht="15.75" customHeight="1">
      <c r="B967" s="3"/>
      <c r="C967" s="3"/>
      <c r="H967" s="3"/>
      <c r="AG967" s="91"/>
    </row>
    <row r="968" ht="15.75" customHeight="1">
      <c r="B968" s="3"/>
      <c r="C968" s="3"/>
      <c r="H968" s="3"/>
      <c r="AG968" s="91"/>
    </row>
    <row r="969" ht="15.75" customHeight="1">
      <c r="B969" s="3"/>
      <c r="C969" s="3"/>
      <c r="H969" s="3"/>
      <c r="AG969" s="91"/>
    </row>
    <row r="970" ht="15.75" customHeight="1">
      <c r="B970" s="3"/>
      <c r="C970" s="3"/>
      <c r="H970" s="3"/>
      <c r="AG970" s="91"/>
    </row>
    <row r="971" ht="15.75" customHeight="1">
      <c r="B971" s="3"/>
      <c r="C971" s="3"/>
      <c r="H971" s="3"/>
      <c r="AG971" s="91"/>
    </row>
    <row r="972" ht="15.75" customHeight="1">
      <c r="B972" s="3"/>
      <c r="C972" s="3"/>
      <c r="H972" s="3"/>
      <c r="AG972" s="91"/>
    </row>
    <row r="973" ht="15.75" customHeight="1">
      <c r="B973" s="3"/>
      <c r="C973" s="3"/>
      <c r="H973" s="3"/>
      <c r="AG973" s="91"/>
    </row>
    <row r="974" ht="15.75" customHeight="1">
      <c r="B974" s="3"/>
      <c r="C974" s="3"/>
      <c r="H974" s="3"/>
      <c r="AG974" s="91"/>
    </row>
    <row r="975" ht="15.75" customHeight="1">
      <c r="B975" s="3"/>
      <c r="C975" s="3"/>
      <c r="H975" s="3"/>
      <c r="AG975" s="91"/>
    </row>
    <row r="976" ht="15.75" customHeight="1">
      <c r="B976" s="3"/>
      <c r="C976" s="3"/>
      <c r="H976" s="3"/>
      <c r="AG976" s="91"/>
    </row>
    <row r="977" ht="15.75" customHeight="1">
      <c r="B977" s="3"/>
      <c r="C977" s="3"/>
      <c r="H977" s="3"/>
      <c r="AG977" s="91"/>
    </row>
    <row r="978" ht="15.75" customHeight="1">
      <c r="B978" s="3"/>
      <c r="C978" s="3"/>
      <c r="H978" s="3"/>
      <c r="AG978" s="91"/>
    </row>
    <row r="979" ht="15.75" customHeight="1">
      <c r="B979" s="3"/>
      <c r="C979" s="3"/>
      <c r="H979" s="3"/>
      <c r="AG979" s="91"/>
    </row>
    <row r="980" ht="15.75" customHeight="1">
      <c r="B980" s="3"/>
      <c r="C980" s="3"/>
      <c r="H980" s="3"/>
      <c r="AG980" s="91"/>
    </row>
    <row r="981" ht="15.75" customHeight="1">
      <c r="B981" s="3"/>
      <c r="C981" s="3"/>
      <c r="H981" s="3"/>
      <c r="AG981" s="91"/>
    </row>
    <row r="982" ht="15.75" customHeight="1">
      <c r="B982" s="3"/>
      <c r="C982" s="3"/>
      <c r="H982" s="3"/>
      <c r="AG982" s="91"/>
    </row>
    <row r="983" ht="15.75" customHeight="1">
      <c r="B983" s="3"/>
      <c r="C983" s="3"/>
      <c r="H983" s="3"/>
      <c r="AG983" s="91"/>
    </row>
    <row r="984" ht="15.75" customHeight="1">
      <c r="B984" s="3"/>
      <c r="C984" s="3"/>
      <c r="H984" s="3"/>
      <c r="AG984" s="91"/>
    </row>
    <row r="985" ht="15.75" customHeight="1">
      <c r="B985" s="3"/>
      <c r="C985" s="3"/>
      <c r="H985" s="3"/>
      <c r="AG985" s="91"/>
    </row>
    <row r="986" ht="15.75" customHeight="1">
      <c r="B986" s="3"/>
      <c r="C986" s="3"/>
      <c r="H986" s="3"/>
      <c r="AG986" s="91"/>
    </row>
    <row r="987" ht="15.75" customHeight="1">
      <c r="B987" s="3"/>
      <c r="C987" s="3"/>
      <c r="H987" s="3"/>
      <c r="AG987" s="91"/>
    </row>
    <row r="988" ht="15.75" customHeight="1">
      <c r="B988" s="3"/>
      <c r="C988" s="3"/>
      <c r="H988" s="3"/>
      <c r="AG988" s="91"/>
    </row>
    <row r="989" ht="15.75" customHeight="1">
      <c r="B989" s="3"/>
      <c r="C989" s="3"/>
      <c r="H989" s="3"/>
      <c r="AG989" s="91"/>
    </row>
    <row r="990" ht="15.75" customHeight="1">
      <c r="B990" s="3"/>
      <c r="C990" s="3"/>
      <c r="H990" s="3"/>
      <c r="AG990" s="91"/>
    </row>
    <row r="991" ht="15.75" customHeight="1">
      <c r="B991" s="3"/>
      <c r="C991" s="3"/>
      <c r="H991" s="3"/>
      <c r="AG991" s="91"/>
    </row>
    <row r="992" ht="15.75" customHeight="1">
      <c r="B992" s="3"/>
      <c r="C992" s="3"/>
      <c r="H992" s="3"/>
      <c r="AG992" s="91"/>
    </row>
    <row r="993" ht="15.75" customHeight="1">
      <c r="B993" s="3"/>
      <c r="C993" s="3"/>
      <c r="H993" s="3"/>
      <c r="AG993" s="91"/>
    </row>
    <row r="994" ht="15.75" customHeight="1">
      <c r="B994" s="3"/>
      <c r="C994" s="3"/>
      <c r="H994" s="3"/>
      <c r="AG994" s="91"/>
    </row>
    <row r="995" ht="15.75" customHeight="1">
      <c r="B995" s="3"/>
      <c r="C995" s="3"/>
      <c r="H995" s="3"/>
      <c r="AG995" s="91"/>
    </row>
    <row r="996" ht="15.75" customHeight="1">
      <c r="B996" s="3"/>
      <c r="C996" s="3"/>
      <c r="H996" s="3"/>
      <c r="AG996" s="91"/>
    </row>
    <row r="997" ht="15.75" customHeight="1">
      <c r="B997" s="3"/>
      <c r="C997" s="3"/>
      <c r="H997" s="3"/>
      <c r="AG997" s="91"/>
    </row>
    <row r="998" ht="15.75" customHeight="1">
      <c r="B998" s="3"/>
      <c r="C998" s="3"/>
      <c r="H998" s="3"/>
      <c r="AG998" s="91"/>
    </row>
    <row r="999" ht="15.75" customHeight="1">
      <c r="B999" s="3"/>
      <c r="C999" s="3"/>
      <c r="H999" s="3"/>
      <c r="AG999" s="91"/>
    </row>
    <row r="1000" ht="15.75" customHeight="1">
      <c r="B1000" s="3"/>
      <c r="C1000" s="3"/>
      <c r="H1000" s="3"/>
      <c r="AG1000" s="91"/>
    </row>
  </sheetData>
  <autoFilter ref="$A$3:$AO$138"/>
  <mergeCells count="2">
    <mergeCell ref="AV5:BD5"/>
    <mergeCell ref="AV26:BA26"/>
  </mergeCells>
  <printOptions/>
  <pageMargins bottom="0.75" footer="0.0" header="0.0" left="0.7" right="0.7" top="0.75"/>
  <pageSetup fitToHeight="0"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29"/>
    <col customWidth="1" min="3" max="3" width="11.71"/>
    <col customWidth="1" min="4" max="4" width="42.57"/>
    <col customWidth="1" min="5" max="5" width="15.86"/>
    <col customWidth="1" min="6" max="6" width="15.29"/>
    <col customWidth="1" min="7" max="7" width="12.14"/>
    <col customWidth="1" min="8" max="8" width="11.43"/>
    <col customWidth="1" min="9" max="10" width="10.29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7.71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182"/>
      <c r="C1" s="3"/>
      <c r="D1" s="97" t="s">
        <v>540</v>
      </c>
      <c r="E1" s="98">
        <f>+AI3</f>
        <v>4097.313</v>
      </c>
      <c r="F1" s="97" t="s">
        <v>241</v>
      </c>
      <c r="G1" s="98">
        <f>+$AM3</f>
        <v>467940.2925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82"/>
      <c r="C2" s="3"/>
      <c r="D2" s="97" t="s">
        <v>242</v>
      </c>
      <c r="E2" s="98">
        <f>+AH3</f>
        <v>3852.698</v>
      </c>
      <c r="F2" s="99" t="s">
        <v>243</v>
      </c>
      <c r="G2" s="100">
        <f>+Q2</f>
        <v>94.33259242</v>
      </c>
      <c r="H2" s="13"/>
      <c r="I2" s="184">
        <f>SUBTOTAL(9,I4:I519)</f>
        <v>490.48</v>
      </c>
      <c r="J2" s="4"/>
      <c r="K2" s="14">
        <f>SUBTOTAL(9,K4:K519)</f>
        <v>450.798</v>
      </c>
      <c r="L2" s="126">
        <f>+SUMPRODUCT(L5:L519,K5:K519)/K2</f>
        <v>0.2650989978</v>
      </c>
      <c r="M2" s="2"/>
      <c r="O2" s="6"/>
      <c r="P2" s="16">
        <f>+SUMPRODUCT(P4:P519,AH4:AH519)/SUM(AH4:AH519)</f>
        <v>88.47831727</v>
      </c>
      <c r="Q2" s="16">
        <f>+SUMPRODUCT(Q4:Q519,AH4:AH519)/SUM(AH4:AH519)</f>
        <v>94.33259242</v>
      </c>
      <c r="R2" s="12">
        <f>+SUMPRODUCT(R4:R519,AH4:AH519)/SUM(AH4:AH519)</f>
        <v>5096.383147</v>
      </c>
      <c r="S2" s="2"/>
      <c r="AB2" s="7"/>
      <c r="AC2" s="7"/>
      <c r="AD2" s="7"/>
      <c r="AE2" s="7"/>
      <c r="AF2" s="7"/>
      <c r="AG2" s="17">
        <f>SUMPRODUCT($AG4:$AG519,$K4:$K519)/SUM($K4:$K519)</f>
        <v>216.6062163</v>
      </c>
      <c r="AH2" s="18"/>
      <c r="AI2" s="2"/>
      <c r="AJ2" s="19">
        <v>4900.0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185" t="s">
        <v>6</v>
      </c>
      <c r="C3" s="23" t="s">
        <v>7</v>
      </c>
      <c r="D3" s="101" t="s">
        <v>8</v>
      </c>
      <c r="E3" s="101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SUBTOTAL(9,AH4:AH519)</f>
        <v>3852.698</v>
      </c>
      <c r="AI3" s="186">
        <f t="shared" si="1"/>
        <v>4097.313</v>
      </c>
      <c r="AJ3" s="187">
        <f>SUMPRODUCT(K4:K519,AJ4:AJ519)/K2</f>
        <v>-22.75371652</v>
      </c>
      <c r="AK3" s="39">
        <f>SUBTOTAL(9,AK4:AK519)</f>
        <v>3406.954905</v>
      </c>
      <c r="AL3" s="11"/>
      <c r="AM3" s="39">
        <f>SUBTOTAL(9,AM4:AM519)</f>
        <v>467940.2925</v>
      </c>
      <c r="AN3" s="127" t="s">
        <v>542</v>
      </c>
      <c r="AO3" s="128" t="s">
        <v>543</v>
      </c>
      <c r="AP3" s="131" t="s">
        <v>544</v>
      </c>
      <c r="AQ3" s="131" t="s">
        <v>545</v>
      </c>
      <c r="AS3" s="129"/>
    </row>
    <row r="4" ht="15.75" customHeight="1">
      <c r="A4" s="41"/>
      <c r="B4" s="190"/>
      <c r="C4" s="190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17" t="s">
        <v>3261</v>
      </c>
      <c r="B5" s="182"/>
      <c r="C5" s="182">
        <v>46014.0</v>
      </c>
      <c r="D5" s="57" t="s">
        <v>225</v>
      </c>
      <c r="E5" s="3">
        <f t="array" ref="E5">XLOOKUP(D5,RUC!$B$3:$B$110,RUC!$D$3:$D$110)</f>
        <v>10761932735</v>
      </c>
      <c r="G5" s="141"/>
      <c r="H5" s="3"/>
      <c r="I5" s="6"/>
      <c r="J5" s="58"/>
      <c r="K5" s="6"/>
      <c r="L5" s="139"/>
      <c r="M5" s="60"/>
      <c r="N5" s="62"/>
      <c r="O5" s="60"/>
      <c r="P5" s="63"/>
      <c r="Q5" s="58"/>
      <c r="R5" s="65"/>
      <c r="S5" s="66"/>
      <c r="U5" s="67"/>
      <c r="V5" s="67"/>
      <c r="Z5" s="69"/>
      <c r="AA5" s="70"/>
      <c r="AB5" s="71"/>
      <c r="AC5" s="71"/>
      <c r="AD5" s="71"/>
      <c r="AE5" s="71"/>
      <c r="AF5" s="71"/>
      <c r="AG5" s="72"/>
      <c r="AH5" s="193"/>
      <c r="AI5" s="193"/>
      <c r="AJ5" s="73"/>
      <c r="AK5" s="73"/>
      <c r="AM5" s="51"/>
      <c r="AN5" s="51" t="str">
        <f t="array" ref="AN5">XLOOKUP(D5,RUC!$B$3:$B$565,RUC!$M$3:$M$565)</f>
        <v>Richard Sapacayo</v>
      </c>
      <c r="AO5" s="131" t="s">
        <v>731</v>
      </c>
      <c r="AP5" s="57" t="s">
        <v>2756</v>
      </c>
      <c r="AQ5" s="57" t="s">
        <v>2757</v>
      </c>
      <c r="AR5" s="57" t="s">
        <v>3262</v>
      </c>
      <c r="AV5" s="149" t="s">
        <v>3263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17" t="s">
        <v>3264</v>
      </c>
      <c r="B6" s="182"/>
      <c r="C6" s="182">
        <v>46014.0</v>
      </c>
      <c r="D6" s="57" t="s">
        <v>225</v>
      </c>
      <c r="E6" s="3">
        <f t="array" ref="E6">XLOOKUP(D6,RUC!$B$3:$B$110,RUC!$D$3:$D$110)</f>
        <v>10761932735</v>
      </c>
      <c r="G6" s="141"/>
      <c r="H6" s="3"/>
      <c r="I6" s="6"/>
      <c r="J6" s="58"/>
      <c r="K6" s="6"/>
      <c r="L6" s="139"/>
      <c r="M6" s="60"/>
      <c r="N6" s="62"/>
      <c r="O6" s="60"/>
      <c r="P6" s="63"/>
      <c r="Q6" s="64"/>
      <c r="R6" s="65"/>
      <c r="S6" s="66"/>
      <c r="U6" s="67"/>
      <c r="V6" s="67"/>
      <c r="Z6" s="69"/>
      <c r="AA6" s="70"/>
      <c r="AB6" s="71"/>
      <c r="AC6" s="71"/>
      <c r="AD6" s="71"/>
      <c r="AE6" s="71"/>
      <c r="AF6" s="71"/>
      <c r="AG6" s="72"/>
      <c r="AH6" s="193"/>
      <c r="AI6" s="193"/>
      <c r="AJ6" s="73"/>
      <c r="AK6" s="73"/>
      <c r="AM6" s="51"/>
      <c r="AN6" s="51" t="str">
        <f t="array" ref="AN6">XLOOKUP(D6,RUC!$B$3:$B$565,RUC!$M$3:$M$565)</f>
        <v>Richard Sapacayo</v>
      </c>
      <c r="AO6" s="131" t="s">
        <v>731</v>
      </c>
      <c r="AP6" s="57" t="s">
        <v>2890</v>
      </c>
      <c r="AQ6" s="57" t="s">
        <v>2891</v>
      </c>
      <c r="AR6" s="57" t="s">
        <v>3265</v>
      </c>
      <c r="AV6" s="131"/>
      <c r="AW6" s="131"/>
      <c r="AX6" s="131"/>
      <c r="AY6" s="131"/>
      <c r="AZ6" s="131"/>
      <c r="BA6" s="131"/>
      <c r="BB6" s="131"/>
      <c r="BC6" s="131"/>
      <c r="BD6" s="131"/>
    </row>
    <row r="7" ht="15.0" customHeight="1">
      <c r="A7" s="192" t="s">
        <v>3266</v>
      </c>
      <c r="B7" s="182"/>
      <c r="C7" s="182">
        <v>46039.0</v>
      </c>
      <c r="D7" s="57" t="s">
        <v>705</v>
      </c>
      <c r="E7" s="3">
        <f t="array" ref="E7">XLOOKUP(D7,RUC!$B$3:$B$110,RUC!$D$3:$D$110)</f>
        <v>20614031698</v>
      </c>
      <c r="G7" s="141">
        <v>11.0</v>
      </c>
      <c r="H7" s="3" t="s">
        <v>339</v>
      </c>
      <c r="I7" s="6">
        <v>1.05</v>
      </c>
      <c r="J7" s="58">
        <v>1.2</v>
      </c>
      <c r="K7" s="6">
        <f t="shared" ref="K7:K109" si="3">ROUND(+I7-(I7*(J7/100)),3)</f>
        <v>1.037</v>
      </c>
      <c r="L7" s="139">
        <v>0.068</v>
      </c>
      <c r="M7" s="60">
        <f t="shared" ref="M7:M53" si="4">ROUND(+IF(AN7="Melchor Vera",IF(L7&gt;0.467,L7*0.985,(L7-0.007)),IF(L7&gt;0.3,L7*0.94,(L7-0.019))),3)</f>
        <v>0.049</v>
      </c>
      <c r="N7" s="62">
        <f t="shared" ref="N7:N18" si="5">+M7</f>
        <v>0.049</v>
      </c>
      <c r="O7" s="60">
        <f t="shared" ref="O7:O34" si="6">+ROUND((M7+N7)/2,3)</f>
        <v>0.049</v>
      </c>
      <c r="P7" s="63">
        <v>80.0</v>
      </c>
      <c r="Q7" s="58">
        <v>94.12</v>
      </c>
      <c r="R7" s="65">
        <v>4611.05</v>
      </c>
      <c r="S7" s="66">
        <f t="array" ref="S7">IF((XLOOKUP(D7,RUC!$B$3:$B$106,RUC!$E$3:$E$106)+ROUNDDOWN(O7,1)*100)&lt;95,95,((XLOOKUP(D7,RUC!$B$3:$B$106,RUC!$E$3:$E$106)+ROUNDDOWN(O7,1)*100)))</f>
        <v>95</v>
      </c>
      <c r="U7" s="67">
        <f t="array" ref="U7">XLOOKUP(D7,RUC!$B$3:$B$110,RUC!$F$3:$F$110)</f>
        <v>110</v>
      </c>
      <c r="V7" s="67">
        <v>1.1023</v>
      </c>
      <c r="Y7" s="57">
        <f t="array" ref="Y7">XLOOKUP(D7,RUC!$B$3:$B$110,RUC!$G$3:$G$110)</f>
        <v>0</v>
      </c>
      <c r="Z7" s="69">
        <f t="array" ref="Z7">XLOOKUP(D7,RUC!$B$3:$B$110,RUC!$H$3:$H$110)</f>
        <v>35</v>
      </c>
      <c r="AA7" s="70">
        <f t="shared" ref="AA7:AA109" si="7">+Y7+Z7</f>
        <v>35</v>
      </c>
      <c r="AB7" s="71">
        <v>0.0</v>
      </c>
      <c r="AC7" s="71">
        <f>+(S7-T7)*V7-'data 1'!$F$4</f>
        <v>24.7185</v>
      </c>
      <c r="AD7" s="71">
        <f t="shared" ref="AD7:AD109" si="8">+(Q7-P7)*(R7-U7)*L7*V7/100</f>
        <v>47.6384096</v>
      </c>
      <c r="AE7" s="71">
        <f t="shared" ref="AE7:AE109" si="9">+(Y7*V7-70)+V7*(Z7-IF(D7="UNTUCA",IF(+((W7-3)*2.5+(X7-3)*3.1)&gt;0,+((W7-3)*1.5+(X7-3)*3.1),0),IF(+((W7-3)*1.5+(X7-3)*3.1)&gt;0,+((W7-3)*1.5+(X7-3)*3.1),0)))</f>
        <v>-31.4195</v>
      </c>
      <c r="AF7" s="71">
        <f t="shared" ref="AF7:AF109" si="10">(L7-O7)*(R7-U7)*Q7*V7/100</f>
        <v>88.7256448</v>
      </c>
      <c r="AG7" s="72">
        <f>AC7+AD7+AE7+AF7+70-53+51.19</f>
        <v>197.8530544</v>
      </c>
      <c r="AH7" s="193">
        <f t="shared" ref="AH7:AH109" si="11">ROUND((31.1035*L7*Q7*1.1023*K7/100),3)</f>
        <v>2.276</v>
      </c>
      <c r="AI7" s="193">
        <f t="shared" ref="AI7:AI109" si="12">ROUND((31.1035*L7*1.1023*K7),3)</f>
        <v>2.418</v>
      </c>
      <c r="AJ7" s="73">
        <f t="shared" ref="AJ7:AJ109" si="13">+((+$AJ$2-R7+U7)*L7*Q7*V7)/100</f>
        <v>28.14550906</v>
      </c>
      <c r="AK7" s="73">
        <f t="shared" ref="AK7:AK109" si="14">31.1035*1.1023*K7*P7*O7/100</f>
        <v>1.393714738</v>
      </c>
      <c r="AM7" s="51">
        <f t="shared" ref="AM7:AM109" si="15">+IF(AB7*K7&gt;0,AB7*K7,0)</f>
        <v>0</v>
      </c>
      <c r="AN7" s="51" t="str">
        <f t="array" ref="AN7">XLOOKUP(D7,RUC!$B$3:$B$565,RUC!$M$3:$M$565)</f>
        <v>Robinson Tuya</v>
      </c>
      <c r="AO7" s="131" t="s">
        <v>558</v>
      </c>
      <c r="AP7" s="57" t="s">
        <v>775</v>
      </c>
      <c r="AQ7" s="57" t="s">
        <v>2991</v>
      </c>
      <c r="AW7" s="195">
        <f>SUM(AW9:AW18)</f>
        <v>450.798</v>
      </c>
      <c r="AX7" s="196">
        <f>SUMPRODUCT(AW9:AW18,AX9:AX18)/SUM(AW9:AW18)</f>
        <v>0.2650989978</v>
      </c>
      <c r="AY7" s="197"/>
      <c r="AZ7" s="198">
        <f>SUMPRODUCT(AZ9:AZ18,$BB9:$BB18)/SUM($BB9:$BB18)/100</f>
        <v>0.9433259242</v>
      </c>
      <c r="BA7" s="82">
        <f t="shared" ref="BA7:BB7" si="2">SUM(BA9:BA18)</f>
        <v>4097.312944</v>
      </c>
      <c r="BB7" s="82">
        <f t="shared" si="2"/>
        <v>3852.698</v>
      </c>
    </row>
    <row r="8" ht="15.0" customHeight="1">
      <c r="A8" s="192" t="s">
        <v>3267</v>
      </c>
      <c r="B8" s="194">
        <v>46049.0</v>
      </c>
      <c r="C8" s="182">
        <v>46043.0</v>
      </c>
      <c r="D8" s="57" t="s">
        <v>806</v>
      </c>
      <c r="E8" s="3">
        <f t="array" ref="E8">XLOOKUP(D8,RUC!$B$3:$B$110,RUC!$D$3:$D$110)</f>
        <v>20614284740</v>
      </c>
      <c r="G8" s="3">
        <v>40.0</v>
      </c>
      <c r="H8" s="3" t="s">
        <v>47</v>
      </c>
      <c r="I8" s="6">
        <v>2.68</v>
      </c>
      <c r="J8" s="58">
        <v>4.25</v>
      </c>
      <c r="K8" s="6">
        <f t="shared" si="3"/>
        <v>2.566</v>
      </c>
      <c r="L8" s="139">
        <v>0.088</v>
      </c>
      <c r="M8" s="60">
        <f t="shared" si="4"/>
        <v>0.069</v>
      </c>
      <c r="N8" s="62">
        <f t="shared" si="5"/>
        <v>0.069</v>
      </c>
      <c r="O8" s="60">
        <f t="shared" si="6"/>
        <v>0.069</v>
      </c>
      <c r="P8" s="63">
        <v>80.0</v>
      </c>
      <c r="Q8" s="58">
        <v>96.59</v>
      </c>
      <c r="R8" s="65">
        <v>4866.5</v>
      </c>
      <c r="S8" s="66">
        <f t="array" ref="S8">IF((XLOOKUP(D8,RUC!$B$3:$B$106,RUC!$E$3:$E$106)+ROUNDDOWN(O8,1)*100)&lt;95,95,((XLOOKUP(D8,RUC!$B$3:$B$106,RUC!$E$3:$E$106)+ROUNDDOWN(O8,1)*100)))</f>
        <v>95</v>
      </c>
      <c r="U8" s="67">
        <f t="array" ref="U8">XLOOKUP(D8,RUC!$B$3:$B$110,RUC!$F$3:$F$110)</f>
        <v>120</v>
      </c>
      <c r="V8" s="67">
        <v>1.1023</v>
      </c>
      <c r="Y8" s="57">
        <f t="array" ref="Y8">XLOOKUP(D8,RUC!$B$3:$B$110,RUC!$G$3:$G$110)</f>
        <v>20</v>
      </c>
      <c r="Z8" s="69">
        <f t="array" ref="Z8">XLOOKUP(D8,RUC!$B$3:$B$110,RUC!$H$3:$H$110)</f>
        <v>30</v>
      </c>
      <c r="AA8" s="70">
        <f t="shared" si="7"/>
        <v>50</v>
      </c>
      <c r="AB8" s="71">
        <v>0.001</v>
      </c>
      <c r="AC8" s="71">
        <f>+(S8-T8)*V8-'data 1'!$F$4</f>
        <v>24.7185</v>
      </c>
      <c r="AD8" s="71">
        <f t="shared" si="8"/>
        <v>76.38399182</v>
      </c>
      <c r="AE8" s="71">
        <f t="shared" si="9"/>
        <v>-14.885</v>
      </c>
      <c r="AF8" s="71">
        <f t="shared" si="10"/>
        <v>96.01941587</v>
      </c>
      <c r="AG8" s="72">
        <f>AC8+AD8+AE8+AF8+70-53+128.98</f>
        <v>328.2169077</v>
      </c>
      <c r="AH8" s="193">
        <f t="shared" si="11"/>
        <v>7.478</v>
      </c>
      <c r="AI8" s="193">
        <f t="shared" si="12"/>
        <v>7.742</v>
      </c>
      <c r="AJ8" s="73">
        <f t="shared" si="13"/>
        <v>14.38212389</v>
      </c>
      <c r="AK8" s="73">
        <f t="shared" si="14"/>
        <v>4.856292077</v>
      </c>
      <c r="AM8" s="51">
        <f t="shared" si="15"/>
        <v>0.002566</v>
      </c>
      <c r="AN8" s="51" t="str">
        <f t="array" ref="AN8">XLOOKUP(D8,RUC!$B$3:$B$565,RUC!$M$3:$M$565)</f>
        <v>Dante </v>
      </c>
      <c r="AO8" s="131" t="s">
        <v>558</v>
      </c>
      <c r="AP8" s="57" t="s">
        <v>3077</v>
      </c>
      <c r="AQ8" s="57" t="s">
        <v>3078</v>
      </c>
      <c r="AV8" s="3"/>
      <c r="AW8" s="3" t="s">
        <v>14</v>
      </c>
      <c r="AX8" s="3" t="s">
        <v>683</v>
      </c>
      <c r="AY8" s="143" t="s">
        <v>683</v>
      </c>
      <c r="AZ8" s="3" t="s">
        <v>685</v>
      </c>
      <c r="BA8" s="3" t="s">
        <v>686</v>
      </c>
      <c r="BB8" s="3" t="s">
        <v>687</v>
      </c>
      <c r="BC8" s="3" t="s">
        <v>698</v>
      </c>
      <c r="BD8" s="65" t="s">
        <v>699</v>
      </c>
    </row>
    <row r="9" ht="15.0" customHeight="1">
      <c r="A9" s="116" t="s">
        <v>3268</v>
      </c>
      <c r="B9" s="182">
        <v>46057.0</v>
      </c>
      <c r="C9" s="182">
        <v>46049.0</v>
      </c>
      <c r="D9" s="57" t="s">
        <v>295</v>
      </c>
      <c r="E9" s="3">
        <f t="array" ref="E9">XLOOKUP(D9,RUC!$B$3:$B$110,RUC!$D$3:$D$110)</f>
        <v>20601769396</v>
      </c>
      <c r="G9" s="3">
        <v>21.0</v>
      </c>
      <c r="H9" s="3" t="s">
        <v>40</v>
      </c>
      <c r="I9" s="6">
        <v>1.81</v>
      </c>
      <c r="J9" s="58">
        <v>13.03</v>
      </c>
      <c r="K9" s="6">
        <f t="shared" si="3"/>
        <v>1.574</v>
      </c>
      <c r="L9" s="139">
        <v>0.143</v>
      </c>
      <c r="M9" s="60">
        <f t="shared" si="4"/>
        <v>0.124</v>
      </c>
      <c r="N9" s="62">
        <f t="shared" si="5"/>
        <v>0.124</v>
      </c>
      <c r="O9" s="60">
        <f t="shared" si="6"/>
        <v>0.124</v>
      </c>
      <c r="P9" s="63">
        <v>80.0</v>
      </c>
      <c r="Q9" s="58">
        <v>95.1</v>
      </c>
      <c r="R9" s="65">
        <v>5064.25</v>
      </c>
      <c r="S9" s="66">
        <f t="array" ref="S9">IF((XLOOKUP(D9,RUC!$B$3:$B$106,RUC!$E$3:$E$106)+ROUNDDOWN(O9,1)*100)&lt;95,95,((XLOOKUP(D9,RUC!$B$3:$B$106,RUC!$E$3:$E$106)+ROUNDDOWN(O9,1)*100)))</f>
        <v>100</v>
      </c>
      <c r="U9" s="67">
        <f t="array" ref="U9">XLOOKUP(D9,RUC!$B$3:$B$110,RUC!$F$3:$F$110)</f>
        <v>120</v>
      </c>
      <c r="V9" s="67">
        <v>1.1023</v>
      </c>
      <c r="Y9" s="199">
        <v>30.0</v>
      </c>
      <c r="Z9" s="140">
        <v>40.0</v>
      </c>
      <c r="AA9" s="70">
        <f t="shared" si="7"/>
        <v>70</v>
      </c>
      <c r="AB9" s="71">
        <f t="shared" ref="AB9:AB16" si="16">+((O9*P9*(R9-U9)/100)-S9-AA9+T9)*V9</f>
        <v>353.2536401</v>
      </c>
      <c r="AC9" s="71">
        <f>+(S9-T9)*V9-'data 1'!$F$4</f>
        <v>30.23</v>
      </c>
      <c r="AD9" s="71">
        <f t="shared" si="8"/>
        <v>117.68286</v>
      </c>
      <c r="AE9" s="71">
        <f t="shared" si="9"/>
        <v>7.161</v>
      </c>
      <c r="AF9" s="71">
        <f t="shared" si="10"/>
        <v>98.47689518</v>
      </c>
      <c r="AG9" s="72">
        <f t="shared" ref="AG9:AG11" si="17">AC9+AD9+AE9+AF9+70-53</f>
        <v>270.5507552</v>
      </c>
      <c r="AH9" s="193">
        <f t="shared" si="11"/>
        <v>7.339</v>
      </c>
      <c r="AI9" s="193">
        <f t="shared" si="12"/>
        <v>7.717</v>
      </c>
      <c r="AJ9" s="73">
        <f t="shared" si="13"/>
        <v>-6.633299963</v>
      </c>
      <c r="AK9" s="73">
        <f t="shared" si="14"/>
        <v>5.353347918</v>
      </c>
      <c r="AM9" s="51">
        <f t="shared" si="15"/>
        <v>556.0212295</v>
      </c>
      <c r="AN9" s="51" t="str">
        <f t="array" ref="AN9">XLOOKUP(D9,RUC!$B$3:$B$565,RUC!$M$3:$M$565)</f>
        <v>Evelyn</v>
      </c>
      <c r="AO9" s="131" t="s">
        <v>547</v>
      </c>
      <c r="AP9" s="57" t="s">
        <v>716</v>
      </c>
      <c r="AQ9" s="57" t="s">
        <v>717</v>
      </c>
      <c r="AV9" s="152" t="s">
        <v>558</v>
      </c>
      <c r="AW9" s="154">
        <f t="shared" ref="AW9:AW18" si="18">SUMIF($AO$4:$AO$627,AV9,$K$4:$K$627)</f>
        <v>117.776</v>
      </c>
      <c r="AX9" s="154">
        <f t="array" ref="AX9">+SUMPRODUCT(IF($AO$4:$AO$627=AV9,$L$4:$L$627*$K$4:$K$627/AW9))</f>
        <v>0.299639553</v>
      </c>
      <c r="AY9" s="155">
        <f t="shared" ref="AY9:AY18" si="19">31.1035*1.1023*AX9*(100-AZ9)/100</f>
        <v>0.4485453599</v>
      </c>
      <c r="AZ9" s="157">
        <f t="array" ref="AZ9">+SUMPRODUCT(IF($AO$4:$AO$627=AV9,($Q$4:$Q$627*$AH$4:$AH$627)/SUMIF($AO$4:$AO$627,$AV9,$AH$4:$AH$627)))</f>
        <v>95.63385496</v>
      </c>
      <c r="BA9" s="200">
        <f t="shared" ref="BA9:BA18" si="20">+AX9*31.1035*1.1023*AW9</f>
        <v>1209.943276</v>
      </c>
      <c r="BB9" s="156">
        <f t="shared" ref="BB9:BB17" si="21">SUMIF($AO$4:$AO$617,$AV9,$AH$4:$AH$6)</f>
        <v>1155.707</v>
      </c>
      <c r="BC9" s="157">
        <f>+BA9-BB9</f>
        <v>54.2362756</v>
      </c>
      <c r="BD9" s="158">
        <f>+AW9</f>
        <v>117.776</v>
      </c>
    </row>
    <row r="10" ht="15.0" customHeight="1">
      <c r="A10" s="116" t="s">
        <v>3269</v>
      </c>
      <c r="B10" s="182">
        <v>46077.0</v>
      </c>
      <c r="C10" s="182">
        <v>46049.0</v>
      </c>
      <c r="D10" s="57" t="s">
        <v>295</v>
      </c>
      <c r="E10" s="3">
        <f t="array" ref="E10">XLOOKUP(D10,RUC!$B$3:$B$110,RUC!$D$3:$D$110)</f>
        <v>20601769396</v>
      </c>
      <c r="G10" s="3">
        <v>43.0</v>
      </c>
      <c r="H10" s="3" t="s">
        <v>339</v>
      </c>
      <c r="I10" s="6">
        <v>3.8</v>
      </c>
      <c r="J10" s="58">
        <v>12.3</v>
      </c>
      <c r="K10" s="6">
        <f t="shared" si="3"/>
        <v>3.333</v>
      </c>
      <c r="L10" s="139">
        <v>0.175</v>
      </c>
      <c r="M10" s="60">
        <f t="shared" si="4"/>
        <v>0.156</v>
      </c>
      <c r="N10" s="62">
        <f t="shared" si="5"/>
        <v>0.156</v>
      </c>
      <c r="O10" s="60">
        <f t="shared" si="6"/>
        <v>0.156</v>
      </c>
      <c r="P10" s="63">
        <v>85.0</v>
      </c>
      <c r="Q10" s="58">
        <v>92.65</v>
      </c>
      <c r="R10" s="65">
        <v>5064.25</v>
      </c>
      <c r="S10" s="66">
        <f t="array" ref="S10">IF((XLOOKUP(D10,RUC!$B$3:$B$106,RUC!$E$3:$E$106)+ROUNDDOWN(O10,1)*100)&lt;95,95,((XLOOKUP(D10,RUC!$B$3:$B$106,RUC!$E$3:$E$106)+ROUNDDOWN(O10,1)*100)))</f>
        <v>100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69">
        <f t="array" ref="Z10">XLOOKUP(D10,RUC!$B$3:$B$110,RUC!$H$3:$H$110)</f>
        <v>30</v>
      </c>
      <c r="AA10" s="70">
        <f t="shared" si="7"/>
        <v>50</v>
      </c>
      <c r="AB10" s="71">
        <f t="shared" si="16"/>
        <v>557.3312024</v>
      </c>
      <c r="AC10" s="71">
        <f>+(S10-T10)*V10-'data 1'!$F$4</f>
        <v>30.23</v>
      </c>
      <c r="AD10" s="71">
        <f t="shared" si="8"/>
        <v>72.9625012</v>
      </c>
      <c r="AE10" s="71">
        <f t="shared" si="9"/>
        <v>-14.885</v>
      </c>
      <c r="AF10" s="71">
        <f t="shared" si="10"/>
        <v>95.9398984</v>
      </c>
      <c r="AG10" s="72">
        <f t="shared" si="17"/>
        <v>201.2473996</v>
      </c>
      <c r="AH10" s="193">
        <f t="shared" si="11"/>
        <v>18.528</v>
      </c>
      <c r="AI10" s="193">
        <f t="shared" si="12"/>
        <v>19.998</v>
      </c>
      <c r="AJ10" s="73">
        <f t="shared" si="13"/>
        <v>-7.908544357</v>
      </c>
      <c r="AK10" s="73">
        <f t="shared" si="14"/>
        <v>15.1526261</v>
      </c>
      <c r="AM10" s="51">
        <f t="shared" si="15"/>
        <v>1857.584897</v>
      </c>
      <c r="AN10" s="51" t="str">
        <f t="array" ref="AN10">XLOOKUP(D10,RUC!$B$3:$B$565,RUC!$M$3:$M$565)</f>
        <v>Evelyn</v>
      </c>
      <c r="AO10" s="131" t="s">
        <v>551</v>
      </c>
      <c r="AP10" s="57" t="s">
        <v>719</v>
      </c>
      <c r="AQ10" s="57" t="s">
        <v>720</v>
      </c>
      <c r="AV10" s="160" t="s">
        <v>551</v>
      </c>
      <c r="AW10" s="6">
        <f t="shared" si="18"/>
        <v>144.305</v>
      </c>
      <c r="AX10" s="6">
        <f t="array" ref="AX10">+SUMPRODUCT(IF($AO$4:$AO$627=AV10,$L$4:$L$627*$K$4:$K$627/AW10))</f>
        <v>0.2674583764</v>
      </c>
      <c r="AY10" s="145">
        <f t="shared" si="19"/>
        <v>0.6628942568</v>
      </c>
      <c r="AZ10" s="58">
        <f t="array" ref="AZ10">+SUMPRODUCT(IF($AO$4:$AO$627=AV10,($Q$4:$Q$627*$AH$4:$AH$627)/SUMIF($AO$4:$AO$627,$AV10,$AH$4:$AH$627)))</f>
        <v>92.77098737</v>
      </c>
      <c r="BA10" s="5">
        <f t="shared" si="20"/>
        <v>1323.264472</v>
      </c>
      <c r="BB10" s="65">
        <f t="shared" si="21"/>
        <v>1220.708</v>
      </c>
      <c r="BC10" s="58">
        <f t="shared" ref="BC10:BC18" si="22">+BC9+BA10-BB10</f>
        <v>156.7927472</v>
      </c>
      <c r="BD10" s="161">
        <f t="shared" ref="BD10:BD18" si="23">+BD9+AW10</f>
        <v>262.081</v>
      </c>
    </row>
    <row r="11" ht="15.0" customHeight="1">
      <c r="A11" s="116" t="s">
        <v>3270</v>
      </c>
      <c r="B11" s="182">
        <v>46077.0</v>
      </c>
      <c r="C11" s="182">
        <v>46049.0</v>
      </c>
      <c r="D11" s="57" t="s">
        <v>295</v>
      </c>
      <c r="E11" s="3">
        <f t="array" ref="E11">XLOOKUP(D11,RUC!$B$3:$B$110,RUC!$D$3:$D$110)</f>
        <v>20601769396</v>
      </c>
      <c r="G11" s="3">
        <v>43.0</v>
      </c>
      <c r="H11" s="3" t="s">
        <v>339</v>
      </c>
      <c r="I11" s="6">
        <v>3.75</v>
      </c>
      <c r="J11" s="58">
        <v>14.45</v>
      </c>
      <c r="K11" s="6">
        <f t="shared" si="3"/>
        <v>3.208</v>
      </c>
      <c r="L11" s="139">
        <v>0.145</v>
      </c>
      <c r="M11" s="60">
        <f t="shared" si="4"/>
        <v>0.126</v>
      </c>
      <c r="N11" s="62">
        <f t="shared" si="5"/>
        <v>0.126</v>
      </c>
      <c r="O11" s="60">
        <f t="shared" si="6"/>
        <v>0.126</v>
      </c>
      <c r="P11" s="63">
        <v>80.0</v>
      </c>
      <c r="Q11" s="58">
        <v>85.92</v>
      </c>
      <c r="R11" s="65">
        <v>5064.25</v>
      </c>
      <c r="S11" s="66">
        <f t="array" ref="S11">IF((XLOOKUP(D11,RUC!$B$3:$B$106,RUC!$E$3:$E$106)+ROUNDDOWN(O11,1)*100)&lt;95,95,((XLOOKUP(D11,RUC!$B$3:$B$106,RUC!$E$3:$E$106)+ROUNDDOWN(O11,1)*100)))</f>
        <v>100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7"/>
        <v>50</v>
      </c>
      <c r="AB11" s="71">
        <f t="shared" si="16"/>
        <v>384.0197149</v>
      </c>
      <c r="AC11" s="71">
        <f>+(S11-T11)*V11-'data 1'!$F$4</f>
        <v>30.23</v>
      </c>
      <c r="AD11" s="71">
        <f t="shared" si="8"/>
        <v>46.78320152</v>
      </c>
      <c r="AE11" s="71">
        <f t="shared" si="9"/>
        <v>-14.885</v>
      </c>
      <c r="AF11" s="71">
        <f t="shared" si="10"/>
        <v>88.97092359</v>
      </c>
      <c r="AG11" s="72">
        <f t="shared" si="17"/>
        <v>168.0991251</v>
      </c>
      <c r="AH11" s="193">
        <f t="shared" si="11"/>
        <v>13.703</v>
      </c>
      <c r="AI11" s="193">
        <f t="shared" si="12"/>
        <v>15.948</v>
      </c>
      <c r="AJ11" s="73">
        <f t="shared" si="13"/>
        <v>-6.076805737</v>
      </c>
      <c r="AK11" s="73">
        <f t="shared" si="14"/>
        <v>11.08674251</v>
      </c>
      <c r="AM11" s="51">
        <f t="shared" si="15"/>
        <v>1231.935245</v>
      </c>
      <c r="AN11" s="51" t="str">
        <f t="array" ref="AN11">XLOOKUP(D11,RUC!$B$3:$B$565,RUC!$M$3:$M$565)</f>
        <v>Evelyn</v>
      </c>
      <c r="AO11" s="131" t="s">
        <v>547</v>
      </c>
      <c r="AP11" s="57" t="s">
        <v>719</v>
      </c>
      <c r="AQ11" s="57" t="s">
        <v>720</v>
      </c>
      <c r="AV11" s="160" t="s">
        <v>547</v>
      </c>
      <c r="AW11" s="6">
        <f t="shared" si="18"/>
        <v>103.815</v>
      </c>
      <c r="AX11" s="6">
        <f t="array" ref="AX11">+SUMPRODUCT(IF($AO$4:$AO$627=AV11,$L$4:$L$627*$K$4:$K$627/AW11))</f>
        <v>0.2407286712</v>
      </c>
      <c r="AY11" s="145">
        <f t="shared" si="19"/>
        <v>0.4757766815</v>
      </c>
      <c r="AZ11" s="58">
        <f t="array" ref="AZ11">+SUMPRODUCT(IF($AO$4:$AO$627=AV11,($Q$4:$Q$627*$AH$4:$AH$627)/SUMIF($AO$4:$AO$627,$AV11,$AH$4:$AH$627)))</f>
        <v>94.23543866</v>
      </c>
      <c r="BA11" s="65">
        <f t="shared" si="20"/>
        <v>856.8346012</v>
      </c>
      <c r="BB11" s="65">
        <f t="shared" si="21"/>
        <v>804.511</v>
      </c>
      <c r="BC11" s="58">
        <f t="shared" si="22"/>
        <v>209.1163484</v>
      </c>
      <c r="BD11" s="161">
        <f t="shared" si="23"/>
        <v>365.896</v>
      </c>
    </row>
    <row r="12" ht="15.0" customHeight="1">
      <c r="A12" s="116" t="s">
        <v>3271</v>
      </c>
      <c r="B12" s="182">
        <v>46057.0</v>
      </c>
      <c r="C12" s="182">
        <v>46051.0</v>
      </c>
      <c r="D12" s="2" t="s">
        <v>806</v>
      </c>
      <c r="E12" s="3">
        <f t="array" ref="E12">XLOOKUP(D12,RUC!$B$3:$B$110,RUC!$D$3:$D$110)</f>
        <v>20614284740</v>
      </c>
      <c r="G12" s="3">
        <v>93.0</v>
      </c>
      <c r="H12" s="3" t="s">
        <v>47</v>
      </c>
      <c r="I12" s="6">
        <v>6.74</v>
      </c>
      <c r="J12" s="58">
        <v>2.55</v>
      </c>
      <c r="K12" s="6">
        <f t="shared" si="3"/>
        <v>6.568</v>
      </c>
      <c r="L12" s="139">
        <v>0.145</v>
      </c>
      <c r="M12" s="60">
        <f t="shared" si="4"/>
        <v>0.126</v>
      </c>
      <c r="N12" s="62">
        <f t="shared" si="5"/>
        <v>0.126</v>
      </c>
      <c r="O12" s="60">
        <f t="shared" si="6"/>
        <v>0.126</v>
      </c>
      <c r="P12" s="63">
        <v>80.0</v>
      </c>
      <c r="Q12" s="58">
        <v>97.93</v>
      </c>
      <c r="R12" s="65">
        <v>5405.0</v>
      </c>
      <c r="S12" s="66">
        <f t="array" ref="S12">IF((XLOOKUP(D12,RUC!$B$3:$B$106,RUC!$E$3:$E$106)+ROUNDDOWN(O12,1)*100)&lt;95,95,((XLOOKUP(D12,RUC!$B$3:$B$106,RUC!$E$3:$E$106)+ROUNDDOWN(O12,1)*100)))</f>
        <v>100</v>
      </c>
      <c r="U12" s="67">
        <f t="array" ref="U12">XLOOKUP(D12,RUC!$B$3:$B$110,RUC!$F$3:$F$110)</f>
        <v>120</v>
      </c>
      <c r="V12" s="67">
        <v>1.1023</v>
      </c>
      <c r="Y12" s="57">
        <f t="array" ref="Y12">XLOOKUP(D12,RUC!$B$3:$B$110,RUC!$G$3:$G$110)</f>
        <v>20</v>
      </c>
      <c r="Z12" s="69">
        <f t="array" ref="Z12">XLOOKUP(D12,RUC!$B$3:$B$110,RUC!$H$3:$H$110)</f>
        <v>30</v>
      </c>
      <c r="AA12" s="70">
        <f t="shared" si="7"/>
        <v>50</v>
      </c>
      <c r="AB12" s="71">
        <f t="shared" si="16"/>
        <v>421.8810744</v>
      </c>
      <c r="AC12" s="71">
        <f>+(S12-T12)*V12-'data 1'!$F$4</f>
        <v>30.23</v>
      </c>
      <c r="AD12" s="71">
        <f t="shared" si="8"/>
        <v>151.4583045</v>
      </c>
      <c r="AE12" s="71">
        <f t="shared" si="9"/>
        <v>-14.885</v>
      </c>
      <c r="AF12" s="71">
        <f t="shared" si="10"/>
        <v>108.3962242</v>
      </c>
      <c r="AG12" s="72">
        <f>AC12+AD12+AE12+AF12+70</f>
        <v>345.1995287</v>
      </c>
      <c r="AH12" s="193">
        <f t="shared" si="11"/>
        <v>31.976</v>
      </c>
      <c r="AI12" s="193">
        <f t="shared" si="12"/>
        <v>32.652</v>
      </c>
      <c r="AJ12" s="73">
        <f t="shared" si="13"/>
        <v>-60.26210442</v>
      </c>
      <c r="AK12" s="73">
        <f t="shared" si="14"/>
        <v>22.69879201</v>
      </c>
      <c r="AM12" s="51">
        <f t="shared" si="15"/>
        <v>2770.914897</v>
      </c>
      <c r="AN12" s="51" t="str">
        <f t="array" ref="AN12">XLOOKUP(D12,RUC!$B$3:$B$565,RUC!$M$3:$M$565)</f>
        <v>Dante </v>
      </c>
      <c r="AO12" s="131" t="s">
        <v>547</v>
      </c>
      <c r="AP12" s="57" t="s">
        <v>2840</v>
      </c>
      <c r="AQ12" s="57" t="s">
        <v>3272</v>
      </c>
      <c r="AV12" s="160" t="s">
        <v>549</v>
      </c>
      <c r="AW12" s="6">
        <f t="shared" si="18"/>
        <v>84.902</v>
      </c>
      <c r="AX12" s="6">
        <f t="array" ref="AX12">+SUMPRODUCT(IF($AO$4:$AO$627=AV12,$L$4:$L$627*$K$4:$K$627/AW12))</f>
        <v>0.242973334</v>
      </c>
      <c r="AY12" s="145">
        <f t="shared" si="19"/>
        <v>0.4125285965</v>
      </c>
      <c r="AZ12" s="58">
        <f t="array" ref="AZ12">+SUMPRODUCT(IF($AO$4:$AO$627=AV12,($Q$4:$Q$627*$AH$4:$AH$627)/SUMIF($AO$4:$AO$627,$AV12,$AH$4:$AH$627)))</f>
        <v>95.04793454</v>
      </c>
      <c r="BA12" s="65">
        <f t="shared" si="20"/>
        <v>707.2705958</v>
      </c>
      <c r="BB12" s="65">
        <f t="shared" si="21"/>
        <v>671.772</v>
      </c>
      <c r="BC12" s="58">
        <f t="shared" si="22"/>
        <v>244.6149443</v>
      </c>
      <c r="BD12" s="161">
        <f t="shared" si="23"/>
        <v>450.798</v>
      </c>
    </row>
    <row r="13" ht="15.0" customHeight="1">
      <c r="A13" s="116" t="s">
        <v>3273</v>
      </c>
      <c r="B13" s="182">
        <v>46057.0</v>
      </c>
      <c r="C13" s="182">
        <v>46052.0</v>
      </c>
      <c r="D13" s="57" t="s">
        <v>723</v>
      </c>
      <c r="E13" s="3">
        <f t="array" ref="E13">XLOOKUP(D13,RUC!$B$3:$B$110,RUC!$D$3:$D$110)</f>
        <v>20606480840</v>
      </c>
      <c r="G13" s="3">
        <v>12.0</v>
      </c>
      <c r="H13" s="3" t="s">
        <v>47</v>
      </c>
      <c r="I13" s="6">
        <v>0.88</v>
      </c>
      <c r="J13" s="58">
        <v>1.2</v>
      </c>
      <c r="K13" s="6">
        <f t="shared" si="3"/>
        <v>0.869</v>
      </c>
      <c r="L13" s="139">
        <v>0.137</v>
      </c>
      <c r="M13" s="60">
        <f t="shared" si="4"/>
        <v>0.118</v>
      </c>
      <c r="N13" s="62">
        <f t="shared" si="5"/>
        <v>0.118</v>
      </c>
      <c r="O13" s="60">
        <f t="shared" si="6"/>
        <v>0.118</v>
      </c>
      <c r="P13" s="63">
        <v>80.0</v>
      </c>
      <c r="Q13" s="58">
        <v>97.81</v>
      </c>
      <c r="R13" s="65">
        <v>4981.85</v>
      </c>
      <c r="S13" s="66">
        <f t="array" ref="S13">IF((XLOOKUP(D13,RUC!$B$3:$B$106,RUC!$E$3:$E$106)+ROUNDDOWN(O13,1)*100)&lt;95,95,((XLOOKUP(D13,RUC!$B$3:$B$106,RUC!$E$3:$E$106)+ROUNDDOWN(O13,1)*100)))</f>
        <v>95</v>
      </c>
      <c r="U13" s="67">
        <f t="array" ref="U13">XLOOKUP(D13,RUC!$B$3:$B$110,RUC!$F$3:$F$110)</f>
        <v>110</v>
      </c>
      <c r="V13" s="67">
        <v>1.1023</v>
      </c>
      <c r="Y13" s="57">
        <f t="array" ref="Y13">XLOOKUP(D13,RUC!$B$3:$B$110,RUC!$G$3:$G$110)</f>
        <v>0</v>
      </c>
      <c r="Z13" s="69">
        <f t="array" ref="Z13">XLOOKUP(D13,RUC!$B$3:$B$110,RUC!$H$3:$H$110)</f>
        <v>35</v>
      </c>
      <c r="AA13" s="70">
        <f t="shared" si="7"/>
        <v>35</v>
      </c>
      <c r="AB13" s="71">
        <f t="shared" si="16"/>
        <v>363.6516801</v>
      </c>
      <c r="AC13" s="71">
        <f>+(S13-T13)*V13-'data 1'!$F$4</f>
        <v>24.7185</v>
      </c>
      <c r="AD13" s="71">
        <f t="shared" si="8"/>
        <v>131.0322511</v>
      </c>
      <c r="AE13" s="71">
        <f t="shared" si="9"/>
        <v>-31.4195</v>
      </c>
      <c r="AF13" s="71">
        <f t="shared" si="10"/>
        <v>99.80000787</v>
      </c>
      <c r="AG13" s="72">
        <f t="shared" ref="AG13:AG15" si="24">AC13+AD13+AE13+AF13+70-53</f>
        <v>241.131259</v>
      </c>
      <c r="AH13" s="193">
        <f t="shared" si="11"/>
        <v>3.992</v>
      </c>
      <c r="AI13" s="193">
        <f t="shared" si="12"/>
        <v>4.082</v>
      </c>
      <c r="AJ13" s="73">
        <f t="shared" si="13"/>
        <v>4.157976521</v>
      </c>
      <c r="AK13" s="73">
        <f t="shared" si="14"/>
        <v>2.812553809</v>
      </c>
      <c r="AM13" s="51">
        <f t="shared" si="15"/>
        <v>316.01331</v>
      </c>
      <c r="AN13" s="51" t="str">
        <f t="array" ref="AN13">XLOOKUP(D13,RUC!$B$3:$B$565,RUC!$M$3:$M$565)</f>
        <v>Robinson Tuya</v>
      </c>
      <c r="AO13" s="131" t="s">
        <v>547</v>
      </c>
      <c r="AP13" s="57" t="s">
        <v>1237</v>
      </c>
      <c r="AQ13" s="57" t="s">
        <v>2026</v>
      </c>
      <c r="AV13" s="160" t="s">
        <v>561</v>
      </c>
      <c r="AW13" s="6">
        <f t="shared" si="18"/>
        <v>0</v>
      </c>
      <c r="AX13" s="6">
        <f t="array" ref="AX13">+SUMPRODUCT(IF($AO$4:$AO$627=AV13,$L$4:$L$627*$K$4:$K$627/AW13))</f>
        <v>0</v>
      </c>
      <c r="AY13" s="145">
        <f t="shared" si="19"/>
        <v>0</v>
      </c>
      <c r="AZ13" s="58">
        <f t="array" ref="AZ13">+SUMPRODUCT(IF($AO$4:$AO$627=AV13,($Q$4:$Q$627*$AH$4:$AH$627)/SUMIF($AO$4:$AO$627,$AV13,$AH$4:$AH$627)))</f>
        <v>0</v>
      </c>
      <c r="BA13" s="65">
        <f t="shared" si="20"/>
        <v>0</v>
      </c>
      <c r="BB13" s="65">
        <f t="shared" si="21"/>
        <v>0</v>
      </c>
      <c r="BC13" s="58">
        <f t="shared" si="22"/>
        <v>244.6149443</v>
      </c>
      <c r="BD13" s="161">
        <f t="shared" si="23"/>
        <v>450.798</v>
      </c>
    </row>
    <row r="14" ht="15.0" customHeight="1">
      <c r="A14" s="116" t="s">
        <v>3274</v>
      </c>
      <c r="B14" s="182">
        <v>46058.0</v>
      </c>
      <c r="C14" s="182">
        <v>46052.0</v>
      </c>
      <c r="D14" s="57" t="s">
        <v>295</v>
      </c>
      <c r="E14" s="3">
        <f t="array" ref="E14">XLOOKUP(D14,RUC!$B$3:$B$110,RUC!$D$3:$D$110)</f>
        <v>20601769396</v>
      </c>
      <c r="G14" s="3">
        <v>30.0</v>
      </c>
      <c r="H14" s="3" t="s">
        <v>40</v>
      </c>
      <c r="I14" s="6">
        <v>2.61</v>
      </c>
      <c r="J14" s="58">
        <v>6.2</v>
      </c>
      <c r="K14" s="6">
        <f t="shared" si="3"/>
        <v>2.448</v>
      </c>
      <c r="L14" s="139">
        <v>0.119</v>
      </c>
      <c r="M14" s="60">
        <f t="shared" si="4"/>
        <v>0.1</v>
      </c>
      <c r="N14" s="62">
        <f t="shared" si="5"/>
        <v>0.1</v>
      </c>
      <c r="O14" s="60">
        <f t="shared" si="6"/>
        <v>0.1</v>
      </c>
      <c r="P14" s="63">
        <v>80.0</v>
      </c>
      <c r="Q14" s="58">
        <v>87.39</v>
      </c>
      <c r="R14" s="65">
        <v>4981.85</v>
      </c>
      <c r="S14" s="66">
        <f t="array" ref="S14">IF((XLOOKUP(D14,RUC!$B$3:$B$106,RUC!$E$3:$E$106)+ROUNDDOWN(O14,1)*100)&lt;95,95,((XLOOKUP(D14,RUC!$B$3:$B$106,RUC!$E$3:$E$106)+ROUNDDOWN(O14,1)*100)))</f>
        <v>100</v>
      </c>
      <c r="U14" s="67">
        <f t="array" ref="U14">XLOOKUP(D14,RUC!$B$3:$B$110,RUC!$F$3:$F$110)</f>
        <v>120</v>
      </c>
      <c r="V14" s="67">
        <v>1.1023</v>
      </c>
      <c r="Y14" s="199">
        <v>30.0</v>
      </c>
      <c r="Z14" s="140">
        <v>40.0</v>
      </c>
      <c r="AA14" s="70">
        <f t="shared" si="7"/>
        <v>70</v>
      </c>
      <c r="AB14" s="71">
        <f t="shared" si="16"/>
        <v>241.3463804</v>
      </c>
      <c r="AC14" s="71">
        <f>+(S14-T14)*V14-'data 1'!$F$4</f>
        <v>30.23</v>
      </c>
      <c r="AD14" s="71">
        <f t="shared" si="8"/>
        <v>47.12949246</v>
      </c>
      <c r="AE14" s="71">
        <f t="shared" si="9"/>
        <v>7.161</v>
      </c>
      <c r="AF14" s="71">
        <f t="shared" si="10"/>
        <v>88.98497922</v>
      </c>
      <c r="AG14" s="72">
        <f t="shared" si="24"/>
        <v>190.5054717</v>
      </c>
      <c r="AH14" s="193">
        <f t="shared" si="11"/>
        <v>8.728</v>
      </c>
      <c r="AI14" s="193">
        <f t="shared" si="12"/>
        <v>9.988</v>
      </c>
      <c r="AJ14" s="73">
        <f t="shared" si="13"/>
        <v>4.373237369</v>
      </c>
      <c r="AK14" s="73">
        <f t="shared" si="14"/>
        <v>6.714450396</v>
      </c>
      <c r="AM14" s="51">
        <f t="shared" si="15"/>
        <v>590.8159392</v>
      </c>
      <c r="AN14" s="51" t="str">
        <f t="array" ref="AN14">XLOOKUP(D14,RUC!$B$3:$B$565,RUC!$M$3:$M$565)</f>
        <v>Evelyn</v>
      </c>
      <c r="AO14" s="131" t="s">
        <v>549</v>
      </c>
      <c r="AP14" s="57" t="s">
        <v>3147</v>
      </c>
      <c r="AQ14" s="57" t="s">
        <v>3148</v>
      </c>
      <c r="AV14" s="160" t="s">
        <v>689</v>
      </c>
      <c r="AW14" s="6">
        <f t="shared" si="18"/>
        <v>0</v>
      </c>
      <c r="AX14" s="6">
        <f t="array" ref="AX14">+SUMPRODUCT(IF($AO$4:$AO$627=AV14,$L$4:$L$627*$K$4:$K$627/AW14))</f>
        <v>0</v>
      </c>
      <c r="AY14" s="145">
        <f t="shared" si="19"/>
        <v>0</v>
      </c>
      <c r="AZ14" s="58">
        <f t="array" ref="AZ14">+SUMPRODUCT(IF('40'!$AO$4:$AO$519=AV14,('40'!$Q$4:$Q$519*'40'!$AH$4:$AH$519)/SUMIF('40'!$AO$4:$AO$519,#REF!,'40'!$AH$4:$AH$519)))</f>
        <v>0</v>
      </c>
      <c r="BA14" s="65">
        <f t="shared" si="20"/>
        <v>0</v>
      </c>
      <c r="BB14" s="65">
        <f t="shared" si="21"/>
        <v>0</v>
      </c>
      <c r="BC14" s="58">
        <f t="shared" si="22"/>
        <v>244.6149443</v>
      </c>
      <c r="BD14" s="161">
        <f t="shared" si="23"/>
        <v>450.798</v>
      </c>
    </row>
    <row r="15" ht="15.0" customHeight="1">
      <c r="A15" s="116" t="s">
        <v>3275</v>
      </c>
      <c r="B15" s="182">
        <v>46059.0</v>
      </c>
      <c r="C15" s="182">
        <v>46052.0</v>
      </c>
      <c r="D15" s="57" t="s">
        <v>295</v>
      </c>
      <c r="E15" s="3">
        <f t="array" ref="E15">XLOOKUP(D15,RUC!$B$3:$B$110,RUC!$D$3:$D$110)</f>
        <v>20601769396</v>
      </c>
      <c r="G15" s="3">
        <v>26.0</v>
      </c>
      <c r="H15" s="3" t="s">
        <v>40</v>
      </c>
      <c r="I15" s="6">
        <v>2.21</v>
      </c>
      <c r="J15" s="58">
        <v>13.15</v>
      </c>
      <c r="K15" s="6">
        <f t="shared" si="3"/>
        <v>1.919</v>
      </c>
      <c r="L15" s="139">
        <v>0.137</v>
      </c>
      <c r="M15" s="60">
        <f t="shared" si="4"/>
        <v>0.118</v>
      </c>
      <c r="N15" s="62">
        <f t="shared" si="5"/>
        <v>0.118</v>
      </c>
      <c r="O15" s="60">
        <f t="shared" si="6"/>
        <v>0.118</v>
      </c>
      <c r="P15" s="63">
        <v>80.0</v>
      </c>
      <c r="Q15" s="58">
        <v>93.43</v>
      </c>
      <c r="R15" s="65">
        <v>4981.85</v>
      </c>
      <c r="S15" s="66">
        <f t="array" ref="S15">IF((XLOOKUP(D15,RUC!$B$3:$B$106,RUC!$E$3:$E$106)+ROUNDDOWN(O15,1)*100)&lt;95,95,((XLOOKUP(D15,RUC!$B$3:$B$106,RUC!$E$3:$E$106)+ROUNDDOWN(O15,1)*100)))</f>
        <v>100</v>
      </c>
      <c r="U15" s="67">
        <f t="array" ref="U15">XLOOKUP(D15,RUC!$B$3:$B$110,RUC!$F$3:$F$110)</f>
        <v>120</v>
      </c>
      <c r="V15" s="67">
        <v>1.1023</v>
      </c>
      <c r="Y15" s="199">
        <v>30.0</v>
      </c>
      <c r="Z15" s="140">
        <v>40.0</v>
      </c>
      <c r="AA15" s="70">
        <f t="shared" si="7"/>
        <v>70</v>
      </c>
      <c r="AB15" s="71">
        <f t="shared" si="16"/>
        <v>318.5191089</v>
      </c>
      <c r="AC15" s="71">
        <f>+(S15-T15)*V15-'data 1'!$F$4</f>
        <v>30.23</v>
      </c>
      <c r="AD15" s="71">
        <f t="shared" si="8"/>
        <v>98.6047742</v>
      </c>
      <c r="AE15" s="71">
        <f t="shared" si="9"/>
        <v>7.161</v>
      </c>
      <c r="AF15" s="71">
        <f t="shared" si="10"/>
        <v>95.13521695</v>
      </c>
      <c r="AG15" s="72">
        <f t="shared" si="24"/>
        <v>248.1309911</v>
      </c>
      <c r="AH15" s="193">
        <f t="shared" si="11"/>
        <v>8.422</v>
      </c>
      <c r="AI15" s="193">
        <f t="shared" si="12"/>
        <v>9.014</v>
      </c>
      <c r="AJ15" s="73">
        <f t="shared" si="13"/>
        <v>5.382713513</v>
      </c>
      <c r="AK15" s="73">
        <f t="shared" si="14"/>
        <v>6.210921473</v>
      </c>
      <c r="AM15" s="51">
        <f t="shared" si="15"/>
        <v>611.2381699</v>
      </c>
      <c r="AN15" s="51" t="str">
        <f t="array" ref="AN15">XLOOKUP(D15,RUC!$B$3:$B$565,RUC!$M$3:$M$565)</f>
        <v>Evelyn</v>
      </c>
      <c r="AO15" s="131" t="s">
        <v>547</v>
      </c>
      <c r="AP15" s="57" t="s">
        <v>3147</v>
      </c>
      <c r="AQ15" s="57" t="s">
        <v>3148</v>
      </c>
      <c r="AV15" s="160" t="s">
        <v>690</v>
      </c>
      <c r="AW15" s="6">
        <f t="shared" si="18"/>
        <v>0</v>
      </c>
      <c r="AX15" s="6">
        <f t="array" ref="AX15">+SUMPRODUCT(IF($AO$4:$AO$627=AV15,$L$4:$L$627*$K$4:$K$627/AW15))</f>
        <v>0</v>
      </c>
      <c r="AY15" s="145">
        <f t="shared" si="19"/>
        <v>0</v>
      </c>
      <c r="AZ15" s="58">
        <f t="array" ref="AZ15">+SUMPRODUCT(IF('40'!$AO$4:$AO$519=AV15,('40'!$Q$4:$Q$519*'40'!$AH$4:$AH$519)/SUMIF('40'!$AO$4:$AO$519,#REF!,'40'!$AH$4:$AH$519)))</f>
        <v>0</v>
      </c>
      <c r="BA15" s="65">
        <f t="shared" si="20"/>
        <v>0</v>
      </c>
      <c r="BB15" s="65">
        <f t="shared" si="21"/>
        <v>0</v>
      </c>
      <c r="BC15" s="58">
        <f t="shared" si="22"/>
        <v>244.6149443</v>
      </c>
      <c r="BD15" s="161">
        <f t="shared" si="23"/>
        <v>450.798</v>
      </c>
    </row>
    <row r="16" ht="15.0" customHeight="1">
      <c r="A16" s="116" t="s">
        <v>3276</v>
      </c>
      <c r="B16" s="182">
        <v>46066.0</v>
      </c>
      <c r="C16" s="182">
        <v>46052.0</v>
      </c>
      <c r="D16" s="57" t="s">
        <v>852</v>
      </c>
      <c r="E16" s="3">
        <f t="array" ref="E16">XLOOKUP(D16,RUC!$B$3:$B$110,RUC!$D$3:$D$110)</f>
        <v>20610807004</v>
      </c>
      <c r="G16" s="3">
        <v>29.0</v>
      </c>
      <c r="H16" s="3" t="s">
        <v>40</v>
      </c>
      <c r="I16" s="6">
        <v>2.62</v>
      </c>
      <c r="J16" s="58">
        <v>14.55</v>
      </c>
      <c r="K16" s="6">
        <f t="shared" si="3"/>
        <v>2.239</v>
      </c>
      <c r="L16" s="139">
        <v>0.145</v>
      </c>
      <c r="M16" s="60">
        <f t="shared" si="4"/>
        <v>0.126</v>
      </c>
      <c r="N16" s="62">
        <f t="shared" si="5"/>
        <v>0.126</v>
      </c>
      <c r="O16" s="60">
        <f t="shared" si="6"/>
        <v>0.126</v>
      </c>
      <c r="P16" s="63">
        <v>60.0</v>
      </c>
      <c r="Q16" s="58">
        <v>60.69</v>
      </c>
      <c r="R16" s="65">
        <v>4981.85</v>
      </c>
      <c r="S16" s="66">
        <f t="array" ref="S16">IF((XLOOKUP(D16,RUC!$B$3:$B$106,RUC!$E$3:$E$106)+ROUNDDOWN(O16,1)*100)&lt;95,95,((XLOOKUP(D16,RUC!$B$3:$B$106,RUC!$E$3:$E$106)+ROUNDDOWN(O16,1)*100)))</f>
        <v>95</v>
      </c>
      <c r="U16" s="67">
        <f t="array" ref="U16">XLOOKUP(D16,RUC!$B$3:$B$110,RUC!$F$3:$F$110)</f>
        <v>120</v>
      </c>
      <c r="V16" s="67">
        <v>1.1023</v>
      </c>
      <c r="Y16" s="199">
        <v>30.0</v>
      </c>
      <c r="Z16" s="140">
        <v>40.0</v>
      </c>
      <c r="AA16" s="70">
        <f t="shared" si="7"/>
        <v>70</v>
      </c>
      <c r="AB16" s="71">
        <f t="shared" si="16"/>
        <v>223.2773245</v>
      </c>
      <c r="AC16" s="71">
        <f>+(S16-T16)*V16-'data 1'!$F$4</f>
        <v>24.7185</v>
      </c>
      <c r="AD16" s="71">
        <f t="shared" si="8"/>
        <v>5.361896864</v>
      </c>
      <c r="AE16" s="71">
        <f t="shared" si="9"/>
        <v>7.161</v>
      </c>
      <c r="AF16" s="71">
        <f t="shared" si="10"/>
        <v>61.79767009</v>
      </c>
      <c r="AG16" s="72">
        <f>AC16+AD16+AE16+AF16+70-10</f>
        <v>159.039067</v>
      </c>
      <c r="AH16" s="193">
        <f t="shared" si="11"/>
        <v>6.755</v>
      </c>
      <c r="AI16" s="193">
        <f t="shared" si="12"/>
        <v>11.131</v>
      </c>
      <c r="AJ16" s="73">
        <f t="shared" si="13"/>
        <v>3.700662586</v>
      </c>
      <c r="AK16" s="73">
        <f t="shared" si="14"/>
        <v>5.803432779</v>
      </c>
      <c r="AM16" s="51">
        <f t="shared" si="15"/>
        <v>499.9179295</v>
      </c>
      <c r="AN16" s="51" t="str">
        <f t="array" ref="AN16">XLOOKUP(D16,RUC!$B$3:$B$565,RUC!$M$3:$M$565)</f>
        <v>Renzo</v>
      </c>
      <c r="AO16" s="131" t="s">
        <v>547</v>
      </c>
      <c r="AP16" s="57" t="s">
        <v>1964</v>
      </c>
      <c r="AQ16" s="57" t="s">
        <v>3157</v>
      </c>
      <c r="AV16" s="160" t="s">
        <v>691</v>
      </c>
      <c r="AW16" s="6">
        <f t="shared" si="18"/>
        <v>0</v>
      </c>
      <c r="AX16" s="6">
        <f t="array" ref="AX16">+SUMPRODUCT(IF($AO$4:$AO$627=AV16,$L$4:$L$627*$K$4:$K$627/AW16))</f>
        <v>0</v>
      </c>
      <c r="AY16" s="145">
        <f t="shared" si="19"/>
        <v>0</v>
      </c>
      <c r="AZ16" s="58">
        <f t="array" ref="AZ16">+SUMPRODUCT(IF('40'!$AO$4:$AO$519=AV16,('40'!$Q$4:$Q$519*'40'!$AH$4:$AH$519)/SUMIF('40'!$AO$4:$AO$519,#REF!,'40'!$AH$4:$AH$519)))</f>
        <v>0</v>
      </c>
      <c r="BA16" s="65">
        <f t="shared" si="20"/>
        <v>0</v>
      </c>
      <c r="BB16" s="65">
        <f t="shared" si="21"/>
        <v>0</v>
      </c>
      <c r="BC16" s="58">
        <f t="shared" si="22"/>
        <v>244.6149443</v>
      </c>
      <c r="BD16" s="161">
        <f t="shared" si="23"/>
        <v>450.798</v>
      </c>
    </row>
    <row r="17" ht="15.0" customHeight="1">
      <c r="A17" s="192" t="s">
        <v>3277</v>
      </c>
      <c r="B17" s="194">
        <v>46059.0</v>
      </c>
      <c r="C17" s="182">
        <v>46053.0</v>
      </c>
      <c r="D17" s="57" t="s">
        <v>2222</v>
      </c>
      <c r="E17" s="3" t="str">
        <f t="array" ref="E17">XLOOKUP(D17,RUC!$B$3:$B$110,RUC!$D$3:$D$110)</f>
        <v>20601769396*</v>
      </c>
      <c r="G17" s="3">
        <v>35.0</v>
      </c>
      <c r="H17" s="3" t="s">
        <v>40</v>
      </c>
      <c r="I17" s="6">
        <v>3.29</v>
      </c>
      <c r="J17" s="58">
        <v>6.55</v>
      </c>
      <c r="K17" s="6">
        <f t="shared" si="3"/>
        <v>3.075</v>
      </c>
      <c r="L17" s="139">
        <v>0.096</v>
      </c>
      <c r="M17" s="60">
        <f t="shared" si="4"/>
        <v>0.077</v>
      </c>
      <c r="N17" s="62">
        <f t="shared" si="5"/>
        <v>0.077</v>
      </c>
      <c r="O17" s="60">
        <f t="shared" si="6"/>
        <v>0.077</v>
      </c>
      <c r="P17" s="63">
        <v>70.0</v>
      </c>
      <c r="Q17" s="58">
        <v>70.83</v>
      </c>
      <c r="R17" s="65">
        <v>4981.85</v>
      </c>
      <c r="S17" s="66">
        <f t="array" ref="S17">IF((XLOOKUP(D17,RUC!$B$3:$B$106,RUC!$E$3:$E$106)+ROUNDDOWN(O17,1)*100)&lt;95,95,((XLOOKUP(D17,RUC!$B$3:$B$106,RUC!$E$3:$E$106)+ROUNDDOWN(O17,1)*100)))</f>
        <v>95</v>
      </c>
      <c r="U17" s="67">
        <f t="array" ref="U17">XLOOKUP(D17,RUC!$B$3:$B$110,RUC!$F$3:$F$110)</f>
        <v>120</v>
      </c>
      <c r="V17" s="67">
        <v>1.1023</v>
      </c>
      <c r="Y17" s="199">
        <v>30.0</v>
      </c>
      <c r="Z17" s="140">
        <v>40.0</v>
      </c>
      <c r="AA17" s="70">
        <f t="shared" si="7"/>
        <v>70</v>
      </c>
      <c r="AB17" s="71">
        <v>0.0</v>
      </c>
      <c r="AC17" s="71">
        <f>+(S17-T17)*V17-'data 1'!$F$4</f>
        <v>24.7185</v>
      </c>
      <c r="AD17" s="71">
        <f t="shared" si="8"/>
        <v>4.270224309</v>
      </c>
      <c r="AE17" s="71">
        <f t="shared" si="9"/>
        <v>7.161</v>
      </c>
      <c r="AF17" s="71">
        <f t="shared" si="10"/>
        <v>72.12273805</v>
      </c>
      <c r="AG17" s="72">
        <f>AC17+AD17+AE17+AF17+70-10+102.86</f>
        <v>271.1324624</v>
      </c>
      <c r="AH17" s="193">
        <f t="shared" si="11"/>
        <v>7.169</v>
      </c>
      <c r="AI17" s="193">
        <f t="shared" si="12"/>
        <v>10.121</v>
      </c>
      <c r="AJ17" s="73">
        <f t="shared" si="13"/>
        <v>2.859452091</v>
      </c>
      <c r="AK17" s="73">
        <f t="shared" si="14"/>
        <v>5.682545929</v>
      </c>
      <c r="AM17" s="51">
        <f t="shared" si="15"/>
        <v>0</v>
      </c>
      <c r="AN17" s="51" t="str">
        <f t="array" ref="AN17">XLOOKUP(D17,RUC!$B$3:$B$565,RUC!$M$3:$M$565)</f>
        <v>Zudaire</v>
      </c>
      <c r="AO17" s="131" t="s">
        <v>558</v>
      </c>
      <c r="AP17" s="57" t="s">
        <v>2066</v>
      </c>
      <c r="AQ17" s="57" t="s">
        <v>707</v>
      </c>
      <c r="AV17" s="160" t="s">
        <v>692</v>
      </c>
      <c r="AW17" s="6">
        <f t="shared" si="18"/>
        <v>0</v>
      </c>
      <c r="AX17" s="6">
        <f t="array" ref="AX17">+SUMPRODUCT(IF($AO$4:$AO$627=AV17,$L$4:$L$627*$K$4:$K$627/AW17))</f>
        <v>0</v>
      </c>
      <c r="AY17" s="145">
        <f t="shared" si="19"/>
        <v>0</v>
      </c>
      <c r="AZ17" s="58">
        <f t="array" ref="AZ17">+SUMPRODUCT(IF('40'!$AO$4:$AO$519=AV17,('40'!$Q$4:$Q$519*'40'!$AH$4:$AH$519)/SUMIF('40'!$AO$4:$AO$519,#REF!,'40'!$AH$4:$AH$519)))</f>
        <v>0</v>
      </c>
      <c r="BA17" s="65">
        <f t="shared" si="20"/>
        <v>0</v>
      </c>
      <c r="BB17" s="65">
        <f t="shared" si="21"/>
        <v>0</v>
      </c>
      <c r="BC17" s="58">
        <f t="shared" si="22"/>
        <v>244.6149443</v>
      </c>
      <c r="BD17" s="161">
        <f t="shared" si="23"/>
        <v>450.798</v>
      </c>
    </row>
    <row r="18" ht="15.0" customHeight="1">
      <c r="A18" s="116" t="s">
        <v>3278</v>
      </c>
      <c r="B18" s="182">
        <v>46066.0</v>
      </c>
      <c r="C18" s="182">
        <v>46058.0</v>
      </c>
      <c r="D18" s="57" t="s">
        <v>602</v>
      </c>
      <c r="E18" s="3">
        <f t="array" ref="E18">XLOOKUP(D18,RUC!$B$3:$B$110,RUC!$D$3:$D$110)</f>
        <v>20169040231</v>
      </c>
      <c r="G18" s="3">
        <v>54.0</v>
      </c>
      <c r="H18" s="3" t="s">
        <v>47</v>
      </c>
      <c r="I18" s="6">
        <v>4.62</v>
      </c>
      <c r="J18" s="58">
        <v>2.04</v>
      </c>
      <c r="K18" s="6">
        <f t="shared" si="3"/>
        <v>4.526</v>
      </c>
      <c r="L18" s="139">
        <v>0.145</v>
      </c>
      <c r="M18" s="60">
        <f t="shared" si="4"/>
        <v>0.126</v>
      </c>
      <c r="N18" s="62">
        <f t="shared" si="5"/>
        <v>0.126</v>
      </c>
      <c r="O18" s="60">
        <f t="shared" si="6"/>
        <v>0.126</v>
      </c>
      <c r="P18" s="63">
        <v>80.0</v>
      </c>
      <c r="Q18" s="58">
        <v>80.0</v>
      </c>
      <c r="R18" s="65">
        <v>4847.25</v>
      </c>
      <c r="S18" s="66">
        <f t="array" ref="S18">IF((XLOOKUP(D18,RUC!$B$3:$B$106,RUC!$E$3:$E$106)+ROUNDDOWN(O18,1)*100)&lt;95,95,((XLOOKUP(D18,RUC!$B$3:$B$106,RUC!$E$3:$E$106)+ROUNDDOWN(O18,1)*100)))</f>
        <v>95</v>
      </c>
      <c r="U18" s="67">
        <f t="array" ref="U18">XLOOKUP(D18,RUC!$B$3:$B$110,RUC!$F$3:$F$110)</f>
        <v>120</v>
      </c>
      <c r="V18" s="67">
        <v>1.1023</v>
      </c>
      <c r="Y18" s="199">
        <v>25.0</v>
      </c>
      <c r="Z18" s="140">
        <v>35.0</v>
      </c>
      <c r="AA18" s="70">
        <f t="shared" si="7"/>
        <v>60</v>
      </c>
      <c r="AB18" s="71">
        <f t="shared" ref="AB18:AB109" si="25">+((O18*P18*(R18-U18)/100)-S18-AA18+T18)*V18</f>
        <v>354.3969456</v>
      </c>
      <c r="AC18" s="71">
        <f>+(S18-T18)*V18-'data 1'!$F$4</f>
        <v>24.7185</v>
      </c>
      <c r="AD18" s="71">
        <f t="shared" si="8"/>
        <v>0</v>
      </c>
      <c r="AE18" s="71">
        <f t="shared" si="9"/>
        <v>-3.862</v>
      </c>
      <c r="AF18" s="71">
        <f t="shared" si="10"/>
        <v>79.20488466</v>
      </c>
      <c r="AG18" s="72">
        <f t="shared" ref="AG18:AG22" si="26">AC18+AD18+AE18+AF18+70-53</f>
        <v>117.0613847</v>
      </c>
      <c r="AH18" s="193">
        <f t="shared" si="11"/>
        <v>18</v>
      </c>
      <c r="AI18" s="193">
        <f t="shared" si="12"/>
        <v>22.5</v>
      </c>
      <c r="AJ18" s="73">
        <f t="shared" si="13"/>
        <v>22.0889897</v>
      </c>
      <c r="AK18" s="73">
        <f t="shared" si="14"/>
        <v>15.64170716</v>
      </c>
      <c r="AM18" s="51">
        <f t="shared" si="15"/>
        <v>1604.000576</v>
      </c>
      <c r="AN18" s="51" t="str">
        <f t="array" ref="AN18">XLOOKUP(D18,RUC!$B$3:$B$565,RUC!$M$3:$M$565)</f>
        <v>Ronald Miranda</v>
      </c>
      <c r="AO18" s="131" t="s">
        <v>547</v>
      </c>
      <c r="AP18" s="57" t="s">
        <v>3210</v>
      </c>
      <c r="AQ18" s="57" t="s">
        <v>3211</v>
      </c>
      <c r="AV18" s="163" t="s">
        <v>693</v>
      </c>
      <c r="AW18" s="165">
        <f t="shared" si="18"/>
        <v>0</v>
      </c>
      <c r="AX18" s="165">
        <f t="array" ref="AX18">+SUMPRODUCT(IF('40'!$AO$4:$AO$519=AV18,'40'!$L$4:$L$519*'40'!$K$4:$K$519/AW18))</f>
        <v>0</v>
      </c>
      <c r="AY18" s="166">
        <f t="shared" si="19"/>
        <v>0</v>
      </c>
      <c r="AZ18" s="168">
        <f t="array" ref="AZ18">+SUMPRODUCT(IF('40'!$AO$4:$AO$519=AV18,('40'!$Q$4:$Q$519*'40'!$AH$4:$AH$519)/SUMIF('40'!$AO$4:$AO$519,#REF!,'40'!$AH$4:$AH$519)))</f>
        <v>0</v>
      </c>
      <c r="BA18" s="167">
        <f t="shared" si="20"/>
        <v>0</v>
      </c>
      <c r="BB18" s="167">
        <f>SUMIF($AO$4:$AO$6,$AV18,$AH$4:$AH$6)</f>
        <v>0</v>
      </c>
      <c r="BC18" s="168">
        <f t="shared" si="22"/>
        <v>244.6149443</v>
      </c>
      <c r="BD18" s="169">
        <f t="shared" si="23"/>
        <v>450.798</v>
      </c>
    </row>
    <row r="19" ht="15.0" customHeight="1">
      <c r="A19" s="116" t="s">
        <v>3279</v>
      </c>
      <c r="B19" s="182">
        <v>46066.0</v>
      </c>
      <c r="C19" s="182">
        <v>46059.0</v>
      </c>
      <c r="D19" s="57" t="s">
        <v>225</v>
      </c>
      <c r="E19" s="3">
        <f t="array" ref="E19">XLOOKUP(D19,RUC!$B$3:$B$110,RUC!$D$3:$D$110)</f>
        <v>10761932735</v>
      </c>
      <c r="G19" s="3">
        <v>75.0</v>
      </c>
      <c r="H19" s="3" t="s">
        <v>47</v>
      </c>
      <c r="I19" s="6">
        <v>7.31</v>
      </c>
      <c r="J19" s="58">
        <v>15.3</v>
      </c>
      <c r="K19" s="6">
        <f t="shared" si="3"/>
        <v>6.192</v>
      </c>
      <c r="L19" s="139">
        <v>0.199</v>
      </c>
      <c r="M19" s="60">
        <f t="shared" si="4"/>
        <v>0.18</v>
      </c>
      <c r="N19" s="75">
        <v>0.265</v>
      </c>
      <c r="O19" s="60">
        <f t="shared" si="6"/>
        <v>0.223</v>
      </c>
      <c r="P19" s="63">
        <v>90.0</v>
      </c>
      <c r="Q19" s="58">
        <v>93.47</v>
      </c>
      <c r="R19" s="65">
        <v>4948.0</v>
      </c>
      <c r="S19" s="66">
        <f t="array" ref="S19">IF((XLOOKUP(D19,RUC!$B$3:$B$106,RUC!$E$3:$E$106)+ROUNDDOWN(O19,1)*100)&lt;95,95,((XLOOKUP(D19,RUC!$B$3:$B$106,RUC!$E$3:$E$106)+ROUNDDOWN(O19,1)*100)))</f>
        <v>110</v>
      </c>
      <c r="U19" s="67">
        <f t="array" ref="U19">XLOOKUP(D19,RUC!$B$3:$B$110,RUC!$F$3:$F$110)</f>
        <v>120</v>
      </c>
      <c r="V19" s="67">
        <v>1.1023</v>
      </c>
      <c r="Y19" s="199">
        <v>40.0</v>
      </c>
      <c r="Z19" s="69">
        <f t="array" ref="Z19">XLOOKUP(D19,RUC!$B$3:$B$110,RUC!$H$3:$H$110)</f>
        <v>30</v>
      </c>
      <c r="AA19" s="70">
        <f t="shared" si="7"/>
        <v>70</v>
      </c>
      <c r="AB19" s="71">
        <f t="shared" si="25"/>
        <v>869.6922131</v>
      </c>
      <c r="AC19" s="71">
        <f>+(S19-T19)*V19-'data 1'!$F$4</f>
        <v>41.253</v>
      </c>
      <c r="AD19" s="71">
        <f t="shared" si="8"/>
        <v>36.74934645</v>
      </c>
      <c r="AE19" s="71">
        <f t="shared" si="9"/>
        <v>7.161</v>
      </c>
      <c r="AF19" s="71">
        <f t="shared" si="10"/>
        <v>-119.385217</v>
      </c>
      <c r="AG19" s="72">
        <f t="shared" si="26"/>
        <v>-17.22187057</v>
      </c>
      <c r="AH19" s="193">
        <f t="shared" si="11"/>
        <v>39.488</v>
      </c>
      <c r="AI19" s="193">
        <f t="shared" si="12"/>
        <v>42.247</v>
      </c>
      <c r="AJ19" s="73">
        <f t="shared" si="13"/>
        <v>14.76242224</v>
      </c>
      <c r="AK19" s="73">
        <f t="shared" si="14"/>
        <v>42.60763115</v>
      </c>
      <c r="AM19" s="51">
        <f t="shared" si="15"/>
        <v>5385.134183</v>
      </c>
      <c r="AN19" s="122" t="str">
        <f t="array" ref="AN19">XLOOKUP(D19,RUC!$B$3:$B$565,RUC!$M$3:$M$565)</f>
        <v>Richard Sapacayo</v>
      </c>
      <c r="AO19" s="131" t="s">
        <v>558</v>
      </c>
      <c r="AP19" s="57" t="s">
        <v>3221</v>
      </c>
      <c r="AQ19" s="57" t="s">
        <v>3222</v>
      </c>
      <c r="AV19" s="2"/>
      <c r="AW19" s="6"/>
      <c r="AX19" s="6"/>
      <c r="AY19" s="145"/>
      <c r="AZ19" s="58"/>
      <c r="BA19" s="65"/>
      <c r="BB19" s="65"/>
      <c r="BC19" s="58"/>
      <c r="BD19" s="65"/>
    </row>
    <row r="20" ht="15.0" customHeight="1">
      <c r="A20" s="116" t="s">
        <v>3280</v>
      </c>
      <c r="B20" s="182">
        <v>46068.0</v>
      </c>
      <c r="C20" s="182">
        <v>46060.0</v>
      </c>
      <c r="D20" s="57" t="s">
        <v>730</v>
      </c>
      <c r="E20" s="3">
        <f t="array" ref="E20">XLOOKUP(D20,RUC!$B$3:$B$110,RUC!$D$3:$D$110)</f>
        <v>20613935151</v>
      </c>
      <c r="G20" s="3">
        <v>100.0</v>
      </c>
      <c r="H20" s="3" t="s">
        <v>47</v>
      </c>
      <c r="I20" s="6">
        <v>7.02</v>
      </c>
      <c r="J20" s="58">
        <v>2.02</v>
      </c>
      <c r="K20" s="6">
        <f t="shared" si="3"/>
        <v>6.878</v>
      </c>
      <c r="L20" s="139">
        <v>0.141</v>
      </c>
      <c r="M20" s="60">
        <f t="shared" si="4"/>
        <v>0.122</v>
      </c>
      <c r="N20" s="62">
        <f t="shared" ref="N20:N30" si="27">+M20</f>
        <v>0.122</v>
      </c>
      <c r="O20" s="60">
        <f t="shared" si="6"/>
        <v>0.122</v>
      </c>
      <c r="P20" s="63">
        <v>80.0</v>
      </c>
      <c r="Q20" s="58">
        <v>92.91</v>
      </c>
      <c r="R20" s="65">
        <v>4948.0</v>
      </c>
      <c r="S20" s="66">
        <f t="array" ref="S20">IF((XLOOKUP(D20,RUC!$B$3:$B$106,RUC!$E$3:$E$106)+ROUNDDOWN(O20,1)*100)&lt;95,95,((XLOOKUP(D20,RUC!$B$3:$B$106,RUC!$E$3:$E$106)+ROUNDDOWN(O20,1)*100)))</f>
        <v>100</v>
      </c>
      <c r="U20" s="67">
        <f t="array" ref="U20">XLOOKUP(D20,RUC!$B$3:$B$110,RUC!$F$3:$F$110)</f>
        <v>120</v>
      </c>
      <c r="V20" s="67">
        <v>1.1023</v>
      </c>
      <c r="Y20" s="57">
        <f t="array" ref="Y20">XLOOKUP(D20,RUC!$B$3:$B$110,RUC!$G$3:$G$110)</f>
        <v>20</v>
      </c>
      <c r="Z20" s="69">
        <f t="array" ref="Z20">XLOOKUP(D20,RUC!$B$3:$B$110,RUC!$H$3:$H$110)</f>
        <v>30</v>
      </c>
      <c r="AA20" s="70">
        <f t="shared" si="7"/>
        <v>50</v>
      </c>
      <c r="AB20" s="71">
        <f t="shared" si="25"/>
        <v>354.0728694</v>
      </c>
      <c r="AC20" s="71">
        <f>+(S20-T20)*V20-'data 1'!$F$4</f>
        <v>30.23</v>
      </c>
      <c r="AD20" s="71">
        <f t="shared" si="8"/>
        <v>96.87515798</v>
      </c>
      <c r="AE20" s="71">
        <f t="shared" si="9"/>
        <v>-14.885</v>
      </c>
      <c r="AF20" s="71">
        <f t="shared" si="10"/>
        <v>93.94704618</v>
      </c>
      <c r="AG20" s="72">
        <f t="shared" si="26"/>
        <v>223.1672042</v>
      </c>
      <c r="AH20" s="193">
        <f t="shared" si="11"/>
        <v>30.892</v>
      </c>
      <c r="AI20" s="193">
        <f t="shared" si="12"/>
        <v>33.25</v>
      </c>
      <c r="AJ20" s="73">
        <f t="shared" si="13"/>
        <v>10.39713963</v>
      </c>
      <c r="AK20" s="73">
        <f t="shared" si="14"/>
        <v>23.01553414</v>
      </c>
      <c r="AM20" s="51">
        <f t="shared" si="15"/>
        <v>2435.313196</v>
      </c>
      <c r="AN20" s="51" t="str">
        <f t="array" ref="AN20">XLOOKUP(D20,RUC!$B$3:$B$565,RUC!$M$3:$M$565)</f>
        <v>Dante </v>
      </c>
      <c r="AO20" s="131" t="s">
        <v>547</v>
      </c>
      <c r="AP20" s="57" t="s">
        <v>2469</v>
      </c>
      <c r="AQ20" s="57" t="s">
        <v>3281</v>
      </c>
    </row>
    <row r="21" ht="15.0" customHeight="1">
      <c r="A21" s="116" t="s">
        <v>3282</v>
      </c>
      <c r="B21" s="182">
        <v>46071.0</v>
      </c>
      <c r="C21" s="182">
        <v>46060.0</v>
      </c>
      <c r="D21" s="57" t="s">
        <v>756</v>
      </c>
      <c r="E21" s="3" t="str">
        <f t="array" ref="E21">XLOOKUP(D21,RUC!$B$3:$B$110,RUC!$D$3:$D$110)</f>
        <v>20610807004*</v>
      </c>
      <c r="G21" s="3">
        <v>73.0</v>
      </c>
      <c r="H21" s="3" t="s">
        <v>47</v>
      </c>
      <c r="I21" s="6">
        <v>6.57</v>
      </c>
      <c r="J21" s="58">
        <v>2.6</v>
      </c>
      <c r="K21" s="6">
        <f t="shared" si="3"/>
        <v>6.399</v>
      </c>
      <c r="L21" s="139">
        <v>0.143</v>
      </c>
      <c r="M21" s="60">
        <f t="shared" si="4"/>
        <v>0.124</v>
      </c>
      <c r="N21" s="62">
        <f t="shared" si="27"/>
        <v>0.124</v>
      </c>
      <c r="O21" s="60">
        <f t="shared" si="6"/>
        <v>0.124</v>
      </c>
      <c r="P21" s="63">
        <v>80.0</v>
      </c>
      <c r="Q21" s="58">
        <v>86.71</v>
      </c>
      <c r="R21" s="65">
        <v>4948.0</v>
      </c>
      <c r="S21" s="66">
        <f t="array" ref="S21">IF((XLOOKUP(D21,RUC!$B$3:$B$106,RUC!$E$3:$E$106)+ROUNDDOWN(O21,1)*100)&lt;95,95,((XLOOKUP(D21,RUC!$B$3:$B$106,RUC!$E$3:$E$106)+ROUNDDOWN(O21,1)*100)))</f>
        <v>95</v>
      </c>
      <c r="U21" s="67">
        <f t="array" ref="U21">XLOOKUP(D21,RUC!$B$3:$B$110,RUC!$F$3:$F$110)</f>
        <v>120</v>
      </c>
      <c r="V21" s="67">
        <v>1.1023</v>
      </c>
      <c r="Y21" s="199">
        <v>25.0</v>
      </c>
      <c r="Z21" s="140">
        <v>35.0</v>
      </c>
      <c r="AA21" s="70">
        <f t="shared" si="7"/>
        <v>60</v>
      </c>
      <c r="AB21" s="71">
        <f t="shared" si="25"/>
        <v>357.0764165</v>
      </c>
      <c r="AC21" s="71">
        <f>+(S21-T21)*V21-'data 1'!$F$4</f>
        <v>24.7185</v>
      </c>
      <c r="AD21" s="71">
        <f t="shared" si="8"/>
        <v>51.06526929</v>
      </c>
      <c r="AE21" s="71">
        <f t="shared" si="9"/>
        <v>-3.862</v>
      </c>
      <c r="AF21" s="71">
        <f t="shared" si="10"/>
        <v>87.6778428</v>
      </c>
      <c r="AG21" s="72">
        <f t="shared" si="26"/>
        <v>176.5996121</v>
      </c>
      <c r="AH21" s="193">
        <f t="shared" si="11"/>
        <v>27.204</v>
      </c>
      <c r="AI21" s="193">
        <f t="shared" si="12"/>
        <v>31.373</v>
      </c>
      <c r="AJ21" s="73">
        <f t="shared" si="13"/>
        <v>9.840961382</v>
      </c>
      <c r="AK21" s="73">
        <f t="shared" si="14"/>
        <v>21.76370605</v>
      </c>
      <c r="AM21" s="51">
        <f t="shared" si="15"/>
        <v>2284.931989</v>
      </c>
      <c r="AN21" s="51" t="str">
        <f t="array" ref="AN21">XLOOKUP(D21,RUC!$B$3:$B$565,RUC!$M$3:$M$565)</f>
        <v>Ronald Miranda</v>
      </c>
      <c r="AO21" s="131" t="s">
        <v>547</v>
      </c>
      <c r="AP21" s="57" t="s">
        <v>3229</v>
      </c>
      <c r="AQ21" s="57" t="s">
        <v>3230</v>
      </c>
    </row>
    <row r="22" ht="15.0" customHeight="1">
      <c r="A22" s="116" t="s">
        <v>3283</v>
      </c>
      <c r="B22" s="182">
        <v>46068.0</v>
      </c>
      <c r="C22" s="182">
        <v>46062.0</v>
      </c>
      <c r="D22" s="57" t="s">
        <v>806</v>
      </c>
      <c r="E22" s="3">
        <f t="array" ref="E22">XLOOKUP(D22,RUC!$B$3:$B$110,RUC!$D$3:$D$110)</f>
        <v>20614284740</v>
      </c>
      <c r="G22" s="3">
        <v>64.0</v>
      </c>
      <c r="H22" s="3" t="s">
        <v>40</v>
      </c>
      <c r="I22" s="6">
        <v>4.7</v>
      </c>
      <c r="J22" s="58">
        <v>2.0</v>
      </c>
      <c r="K22" s="6">
        <f t="shared" si="3"/>
        <v>4.606</v>
      </c>
      <c r="L22" s="139">
        <v>0.143</v>
      </c>
      <c r="M22" s="60">
        <f t="shared" si="4"/>
        <v>0.124</v>
      </c>
      <c r="N22" s="62">
        <f t="shared" si="27"/>
        <v>0.124</v>
      </c>
      <c r="O22" s="60">
        <f t="shared" si="6"/>
        <v>0.124</v>
      </c>
      <c r="P22" s="63">
        <v>80.0</v>
      </c>
      <c r="Q22" s="58">
        <v>93.71</v>
      </c>
      <c r="R22" s="65">
        <v>5039.55</v>
      </c>
      <c r="S22" s="66">
        <f t="array" ref="S22">IF((XLOOKUP(D22,RUC!$B$3:$B$106,RUC!$E$3:$E$106)+ROUNDDOWN(O22,1)*100)&lt;95,95,((XLOOKUP(D22,RUC!$B$3:$B$106,RUC!$E$3:$E$106)+ROUNDDOWN(O22,1)*100)))</f>
        <v>100</v>
      </c>
      <c r="U22" s="67">
        <f t="array" ref="U22">XLOOKUP(D22,RUC!$B$3:$B$110,RUC!$F$3:$F$110)</f>
        <v>120</v>
      </c>
      <c r="V22" s="67">
        <v>1.1023</v>
      </c>
      <c r="Y22" s="199">
        <v>30.0</v>
      </c>
      <c r="Z22" s="140">
        <v>40.0</v>
      </c>
      <c r="AA22" s="70">
        <f t="shared" si="7"/>
        <v>70</v>
      </c>
      <c r="AB22" s="71">
        <f t="shared" si="25"/>
        <v>350.5527405</v>
      </c>
      <c r="AC22" s="71">
        <f>+(S22-T22)*V22-'data 1'!$F$4</f>
        <v>30.23</v>
      </c>
      <c r="AD22" s="71">
        <f t="shared" si="8"/>
        <v>106.3160123</v>
      </c>
      <c r="AE22" s="71">
        <f t="shared" si="9"/>
        <v>7.161</v>
      </c>
      <c r="AF22" s="71">
        <f t="shared" si="10"/>
        <v>96.55276719</v>
      </c>
      <c r="AG22" s="72">
        <f t="shared" si="26"/>
        <v>257.2597795</v>
      </c>
      <c r="AH22" s="193">
        <f t="shared" si="11"/>
        <v>21.162</v>
      </c>
      <c r="AI22" s="193">
        <f t="shared" si="12"/>
        <v>22.582</v>
      </c>
      <c r="AJ22" s="73">
        <f t="shared" si="13"/>
        <v>-2.887809525</v>
      </c>
      <c r="AK22" s="73">
        <f t="shared" si="14"/>
        <v>15.66551494</v>
      </c>
      <c r="AM22" s="51">
        <f t="shared" si="15"/>
        <v>1614.645923</v>
      </c>
      <c r="AN22" s="51" t="str">
        <f t="array" ref="AN22">XLOOKUP(D22,RUC!$B$3:$B$565,RUC!$M$3:$M$565)</f>
        <v>Dante </v>
      </c>
      <c r="AO22" s="131" t="s">
        <v>547</v>
      </c>
      <c r="AP22" s="57" t="s">
        <v>3044</v>
      </c>
      <c r="AQ22" s="57" t="s">
        <v>3284</v>
      </c>
    </row>
    <row r="23" ht="15.0" customHeight="1">
      <c r="A23" s="116" t="s">
        <v>3285</v>
      </c>
      <c r="B23" s="182">
        <v>46076.0</v>
      </c>
      <c r="C23" s="182">
        <v>46063.0</v>
      </c>
      <c r="D23" s="57" t="s">
        <v>295</v>
      </c>
      <c r="E23" s="3">
        <f t="array" ref="E23">XLOOKUP(D23,RUC!$B$3:$B$110,RUC!$D$3:$D$110)</f>
        <v>20601769396</v>
      </c>
      <c r="G23" s="3">
        <v>35.0</v>
      </c>
      <c r="H23" s="3" t="s">
        <v>47</v>
      </c>
      <c r="I23" s="6">
        <v>2.71</v>
      </c>
      <c r="J23" s="58">
        <v>9.65</v>
      </c>
      <c r="K23" s="6">
        <f t="shared" si="3"/>
        <v>2.448</v>
      </c>
      <c r="L23" s="139">
        <v>0.157</v>
      </c>
      <c r="M23" s="60">
        <f t="shared" si="4"/>
        <v>0.138</v>
      </c>
      <c r="N23" s="62">
        <f t="shared" si="27"/>
        <v>0.138</v>
      </c>
      <c r="O23" s="60">
        <f t="shared" si="6"/>
        <v>0.138</v>
      </c>
      <c r="P23" s="63">
        <v>72.0</v>
      </c>
      <c r="Q23" s="64">
        <v>79.62</v>
      </c>
      <c r="R23" s="65">
        <v>5031.4</v>
      </c>
      <c r="S23" s="66">
        <f t="array" ref="S23">IF((XLOOKUP(D23,RUC!$B$3:$B$106,RUC!$E$3:$E$106)+ROUNDDOWN(O23,1)*100)&lt;95,95,((XLOOKUP(D23,RUC!$B$3:$B$106,RUC!$E$3:$E$106)+ROUNDDOWN(O23,1)*100)))</f>
        <v>100</v>
      </c>
      <c r="U23" s="67">
        <f t="array" ref="U23">XLOOKUP(D23,RUC!$B$3:$B$110,RUC!$F$3:$F$110)</f>
        <v>120</v>
      </c>
      <c r="V23" s="67">
        <v>1.1023</v>
      </c>
      <c r="Y23" s="57">
        <f t="array" ref="Y23">XLOOKUP(D23,RUC!$B$3:$B$110,RUC!$G$3:$G$110)</f>
        <v>20</v>
      </c>
      <c r="Z23" s="140">
        <v>80.0</v>
      </c>
      <c r="AA23" s="70">
        <f t="shared" si="7"/>
        <v>100</v>
      </c>
      <c r="AB23" s="71">
        <f t="shared" si="25"/>
        <v>317.4587668</v>
      </c>
      <c r="AC23" s="71">
        <f>+(S23-T23)*V23-'data 1'!$F$4</f>
        <v>30.23</v>
      </c>
      <c r="AD23" s="71">
        <f t="shared" si="8"/>
        <v>64.76788823</v>
      </c>
      <c r="AE23" s="71">
        <f t="shared" si="9"/>
        <v>40.23</v>
      </c>
      <c r="AF23" s="71">
        <f t="shared" si="10"/>
        <v>81.89943157</v>
      </c>
      <c r="AG23" s="72">
        <f t="shared" ref="AG23:AG28" si="28">AC23+AD23+AE23+AF23+70-10</f>
        <v>277.1273198</v>
      </c>
      <c r="AH23" s="193">
        <f t="shared" si="11"/>
        <v>10.492</v>
      </c>
      <c r="AI23" s="193">
        <f t="shared" si="12"/>
        <v>13.177</v>
      </c>
      <c r="AJ23" s="73">
        <f t="shared" si="13"/>
        <v>-1.570820225</v>
      </c>
      <c r="AK23" s="73">
        <f t="shared" si="14"/>
        <v>8.339347391</v>
      </c>
      <c r="AM23" s="51">
        <f t="shared" si="15"/>
        <v>777.1390612</v>
      </c>
      <c r="AN23" s="51" t="str">
        <f t="array" ref="AN23">XLOOKUP(D23,RUC!$B$3:$B$565,RUC!$M$3:$M$565)</f>
        <v>Evelyn</v>
      </c>
      <c r="AO23" s="131" t="s">
        <v>551</v>
      </c>
      <c r="AP23" s="57" t="s">
        <v>2458</v>
      </c>
      <c r="AQ23" s="57" t="s">
        <v>3286</v>
      </c>
      <c r="AR23" s="2" t="s">
        <v>3237</v>
      </c>
    </row>
    <row r="24" ht="15.0" customHeight="1">
      <c r="A24" s="116" t="s">
        <v>3287</v>
      </c>
      <c r="B24" s="182">
        <v>46076.0</v>
      </c>
      <c r="C24" s="182">
        <v>46063.0</v>
      </c>
      <c r="D24" s="57" t="s">
        <v>295</v>
      </c>
      <c r="E24" s="3">
        <f t="array" ref="E24">XLOOKUP(D24,RUC!$B$3:$B$110,RUC!$D$3:$D$110)</f>
        <v>20601769396</v>
      </c>
      <c r="G24" s="3">
        <v>35.0</v>
      </c>
      <c r="H24" s="3" t="s">
        <v>47</v>
      </c>
      <c r="I24" s="6">
        <v>2.76</v>
      </c>
      <c r="J24" s="58">
        <v>8.05</v>
      </c>
      <c r="K24" s="6">
        <f t="shared" si="3"/>
        <v>2.538</v>
      </c>
      <c r="L24" s="139">
        <v>0.165</v>
      </c>
      <c r="M24" s="60">
        <f t="shared" si="4"/>
        <v>0.146</v>
      </c>
      <c r="N24" s="62">
        <f t="shared" si="27"/>
        <v>0.146</v>
      </c>
      <c r="O24" s="60">
        <f t="shared" si="6"/>
        <v>0.146</v>
      </c>
      <c r="P24" s="63">
        <v>85.0</v>
      </c>
      <c r="Q24" s="58">
        <v>92.12</v>
      </c>
      <c r="R24" s="65">
        <v>5031.4</v>
      </c>
      <c r="S24" s="66">
        <f t="array" ref="S24">IF((XLOOKUP(D24,RUC!$B$3:$B$106,RUC!$E$3:$E$106)+ROUNDDOWN(O24,1)*100)&lt;95,95,((XLOOKUP(D24,RUC!$B$3:$B$106,RUC!$E$3:$E$106)+ROUNDDOWN(O24,1)*100)))</f>
        <v>100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140">
        <v>80.0</v>
      </c>
      <c r="AA24" s="70">
        <f t="shared" si="7"/>
        <v>100</v>
      </c>
      <c r="AB24" s="71">
        <f t="shared" si="25"/>
        <v>451.3970749</v>
      </c>
      <c r="AC24" s="71">
        <f>+(S24-T24)*V24-'data 1'!$F$4</f>
        <v>30.23</v>
      </c>
      <c r="AD24" s="71">
        <f t="shared" si="8"/>
        <v>63.60174791</v>
      </c>
      <c r="AE24" s="71">
        <f t="shared" si="9"/>
        <v>40.23</v>
      </c>
      <c r="AF24" s="71">
        <f t="shared" si="10"/>
        <v>94.75729259</v>
      </c>
      <c r="AG24" s="72">
        <f t="shared" si="28"/>
        <v>288.8190405</v>
      </c>
      <c r="AH24" s="193">
        <f t="shared" si="11"/>
        <v>13.226</v>
      </c>
      <c r="AI24" s="193">
        <f t="shared" si="12"/>
        <v>14.358</v>
      </c>
      <c r="AJ24" s="73">
        <f t="shared" si="13"/>
        <v>-1.910040308</v>
      </c>
      <c r="AK24" s="73">
        <f t="shared" si="14"/>
        <v>10.79872468</v>
      </c>
      <c r="AM24" s="51">
        <f t="shared" si="15"/>
        <v>1145.645776</v>
      </c>
      <c r="AN24" s="51" t="str">
        <f t="array" ref="AN24">XLOOKUP(D24,RUC!$B$3:$B$565,RUC!$M$3:$M$565)</f>
        <v>Evelyn</v>
      </c>
      <c r="AO24" s="131" t="s">
        <v>551</v>
      </c>
      <c r="AP24" s="57" t="s">
        <v>2458</v>
      </c>
      <c r="AQ24" s="57" t="s">
        <v>3286</v>
      </c>
      <c r="AR24" s="2" t="s">
        <v>3237</v>
      </c>
      <c r="BA24" s="203"/>
    </row>
    <row r="25" ht="15.0" customHeight="1">
      <c r="A25" s="116" t="s">
        <v>3288</v>
      </c>
      <c r="B25" s="182">
        <v>46076.0</v>
      </c>
      <c r="C25" s="182">
        <v>46063.0</v>
      </c>
      <c r="D25" s="57" t="s">
        <v>295</v>
      </c>
      <c r="E25" s="3">
        <f t="array" ref="E25">XLOOKUP(D25,RUC!$B$3:$B$110,RUC!$D$3:$D$110)</f>
        <v>20601769396</v>
      </c>
      <c r="G25" s="3">
        <v>25.0</v>
      </c>
      <c r="H25" s="3" t="s">
        <v>47</v>
      </c>
      <c r="I25" s="6">
        <v>1.9</v>
      </c>
      <c r="J25" s="58">
        <v>10.35</v>
      </c>
      <c r="K25" s="6">
        <f t="shared" si="3"/>
        <v>1.703</v>
      </c>
      <c r="L25" s="139">
        <v>0.184</v>
      </c>
      <c r="M25" s="60">
        <f t="shared" si="4"/>
        <v>0.165</v>
      </c>
      <c r="N25" s="62">
        <f t="shared" si="27"/>
        <v>0.165</v>
      </c>
      <c r="O25" s="60">
        <f t="shared" si="6"/>
        <v>0.165</v>
      </c>
      <c r="P25" s="63">
        <v>60.0</v>
      </c>
      <c r="Q25" s="64">
        <v>60.055</v>
      </c>
      <c r="R25" s="65">
        <v>5031.4</v>
      </c>
      <c r="S25" s="66">
        <f t="array" ref="S25">IF((XLOOKUP(D25,RUC!$B$3:$B$106,RUC!$E$3:$E$106)+ROUNDDOWN(O25,1)*100)&lt;95,95,((XLOOKUP(D25,RUC!$B$3:$B$106,RUC!$E$3:$E$106)+ROUNDDOWN(O25,1)*100)))</f>
        <v>100</v>
      </c>
      <c r="U25" s="67">
        <f t="array" ref="U25">XLOOKUP(D25,RUC!$B$3:$B$110,RUC!$F$3:$F$110)</f>
        <v>120</v>
      </c>
      <c r="V25" s="67">
        <v>1.1023</v>
      </c>
      <c r="Y25" s="57">
        <f t="array" ref="Y25">XLOOKUP(D25,RUC!$B$3:$B$110,RUC!$G$3:$G$110)</f>
        <v>20</v>
      </c>
      <c r="Z25" s="140">
        <v>80.0</v>
      </c>
      <c r="AA25" s="70">
        <f t="shared" si="7"/>
        <v>100</v>
      </c>
      <c r="AB25" s="71">
        <f t="shared" si="25"/>
        <v>315.5097858</v>
      </c>
      <c r="AC25" s="71">
        <f>+(S25-T25)*V25-'data 1'!$F$4</f>
        <v>30.23</v>
      </c>
      <c r="AD25" s="71">
        <f t="shared" si="8"/>
        <v>0.5478802255</v>
      </c>
      <c r="AE25" s="71">
        <f t="shared" si="9"/>
        <v>40.23</v>
      </c>
      <c r="AF25" s="71">
        <f t="shared" si="10"/>
        <v>61.7743075</v>
      </c>
      <c r="AG25" s="72">
        <f t="shared" si="28"/>
        <v>192.7821877</v>
      </c>
      <c r="AH25" s="193">
        <f t="shared" si="11"/>
        <v>6.452</v>
      </c>
      <c r="AI25" s="193">
        <f t="shared" si="12"/>
        <v>10.743</v>
      </c>
      <c r="AJ25" s="73">
        <f t="shared" si="13"/>
        <v>-1.388582389</v>
      </c>
      <c r="AK25" s="73">
        <f t="shared" si="14"/>
        <v>5.780413569</v>
      </c>
      <c r="AM25" s="51">
        <f t="shared" si="15"/>
        <v>537.3131652</v>
      </c>
      <c r="AN25" s="51" t="str">
        <f t="array" ref="AN25">XLOOKUP(D25,RUC!$B$3:$B$565,RUC!$M$3:$M$565)</f>
        <v>Evelyn</v>
      </c>
      <c r="AO25" s="131" t="s">
        <v>551</v>
      </c>
      <c r="AP25" s="57" t="s">
        <v>2458</v>
      </c>
      <c r="AQ25" s="57" t="s">
        <v>3286</v>
      </c>
      <c r="AR25" s="2" t="s">
        <v>3237</v>
      </c>
      <c r="BA25" s="203"/>
    </row>
    <row r="26" ht="15.0" customHeight="1">
      <c r="A26" s="116" t="s">
        <v>3289</v>
      </c>
      <c r="B26" s="182">
        <v>46076.0</v>
      </c>
      <c r="C26" s="182">
        <v>46063.0</v>
      </c>
      <c r="D26" s="57" t="s">
        <v>295</v>
      </c>
      <c r="E26" s="3">
        <f t="array" ref="E26">XLOOKUP(D26,RUC!$B$3:$B$110,RUC!$D$3:$D$110)</f>
        <v>20601769396</v>
      </c>
      <c r="G26" s="3">
        <v>25.0</v>
      </c>
      <c r="H26" s="3" t="s">
        <v>47</v>
      </c>
      <c r="I26" s="6">
        <v>1.95</v>
      </c>
      <c r="J26" s="58">
        <v>12.6</v>
      </c>
      <c r="K26" s="6">
        <f t="shared" si="3"/>
        <v>1.704</v>
      </c>
      <c r="L26" s="139">
        <v>0.207</v>
      </c>
      <c r="M26" s="60">
        <f t="shared" si="4"/>
        <v>0.188</v>
      </c>
      <c r="N26" s="62">
        <f t="shared" si="27"/>
        <v>0.188</v>
      </c>
      <c r="O26" s="60">
        <f t="shared" si="6"/>
        <v>0.188</v>
      </c>
      <c r="P26" s="63">
        <v>55.0</v>
      </c>
      <c r="Q26" s="64">
        <v>56.04</v>
      </c>
      <c r="R26" s="65">
        <v>5031.4</v>
      </c>
      <c r="S26" s="66">
        <f t="array" ref="S26">IF((XLOOKUP(D26,RUC!$B$3:$B$106,RUC!$E$3:$E$106)+ROUNDDOWN(O26,1)*100)&lt;95,95,((XLOOKUP(D26,RUC!$B$3:$B$106,RUC!$E$3:$E$106)+ROUNDDOWN(O26,1)*100)))</f>
        <v>100</v>
      </c>
      <c r="U26" s="67">
        <f t="array" ref="U26">XLOOKUP(D26,RUC!$B$3:$B$110,RUC!$F$3:$F$110)</f>
        <v>120</v>
      </c>
      <c r="V26" s="67">
        <v>1.1023</v>
      </c>
      <c r="Y26" s="57">
        <f t="array" ref="Y26">XLOOKUP(D26,RUC!$B$3:$B$110,RUC!$G$3:$G$110)</f>
        <v>20</v>
      </c>
      <c r="Z26" s="140">
        <v>80.0</v>
      </c>
      <c r="AA26" s="70">
        <f t="shared" si="7"/>
        <v>100</v>
      </c>
      <c r="AB26" s="71">
        <f t="shared" si="25"/>
        <v>339.3306651</v>
      </c>
      <c r="AC26" s="71">
        <f>+(S26-T26)*V26-'data 1'!$F$4</f>
        <v>30.23</v>
      </c>
      <c r="AD26" s="71">
        <f t="shared" si="8"/>
        <v>11.65490661</v>
      </c>
      <c r="AE26" s="71">
        <f t="shared" si="9"/>
        <v>40.23</v>
      </c>
      <c r="AF26" s="71">
        <f t="shared" si="10"/>
        <v>57.64436254</v>
      </c>
      <c r="AG26" s="72">
        <f t="shared" si="28"/>
        <v>199.7592692</v>
      </c>
      <c r="AH26" s="193">
        <f t="shared" si="11"/>
        <v>6.777</v>
      </c>
      <c r="AI26" s="193">
        <f t="shared" si="12"/>
        <v>12.093</v>
      </c>
      <c r="AJ26" s="73">
        <f t="shared" si="13"/>
        <v>-1.457716705</v>
      </c>
      <c r="AK26" s="73">
        <f t="shared" si="14"/>
        <v>6.040865948</v>
      </c>
      <c r="AM26" s="51">
        <f t="shared" si="15"/>
        <v>578.2194534</v>
      </c>
      <c r="AN26" s="51" t="str">
        <f t="array" ref="AN26">XLOOKUP(D26,RUC!$B$3:$B$565,RUC!$M$3:$M$565)</f>
        <v>Evelyn</v>
      </c>
      <c r="AO26" s="131" t="s">
        <v>551</v>
      </c>
      <c r="AP26" s="57" t="s">
        <v>2458</v>
      </c>
      <c r="AQ26" s="57" t="s">
        <v>3286</v>
      </c>
      <c r="AR26" s="2" t="s">
        <v>3237</v>
      </c>
      <c r="AV26" s="149" t="s">
        <v>3290</v>
      </c>
      <c r="AW26" s="150"/>
      <c r="AX26" s="150"/>
      <c r="AY26" s="150"/>
      <c r="AZ26" s="150"/>
      <c r="BA26" s="151"/>
    </row>
    <row r="27" ht="15.0" customHeight="1">
      <c r="A27" s="116" t="s">
        <v>3291</v>
      </c>
      <c r="B27" s="182">
        <v>46076.0</v>
      </c>
      <c r="C27" s="182">
        <v>46063.0</v>
      </c>
      <c r="D27" s="57" t="s">
        <v>295</v>
      </c>
      <c r="E27" s="3">
        <f t="array" ref="E27">XLOOKUP(D27,RUC!$B$3:$B$110,RUC!$D$3:$D$110)</f>
        <v>20601769396</v>
      </c>
      <c r="G27" s="3">
        <v>45.0</v>
      </c>
      <c r="H27" s="3" t="s">
        <v>47</v>
      </c>
      <c r="I27" s="6">
        <v>3.52</v>
      </c>
      <c r="J27" s="58">
        <v>12.7</v>
      </c>
      <c r="K27" s="6">
        <f t="shared" si="3"/>
        <v>3.073</v>
      </c>
      <c r="L27" s="139">
        <v>0.16</v>
      </c>
      <c r="M27" s="60">
        <f t="shared" si="4"/>
        <v>0.141</v>
      </c>
      <c r="N27" s="62">
        <f t="shared" si="27"/>
        <v>0.141</v>
      </c>
      <c r="O27" s="60">
        <f t="shared" si="6"/>
        <v>0.141</v>
      </c>
      <c r="P27" s="63">
        <v>60.0</v>
      </c>
      <c r="Q27" s="64">
        <v>64.065</v>
      </c>
      <c r="R27" s="65">
        <v>5031.4</v>
      </c>
      <c r="S27" s="66">
        <f t="array" ref="S27">IF((XLOOKUP(D27,RUC!$B$3:$B$106,RUC!$E$3:$E$106)+ROUNDDOWN(O27,1)*100)&lt;95,95,((XLOOKUP(D27,RUC!$B$3:$B$106,RUC!$E$3:$E$106)+ROUNDDOWN(O27,1)*100)))</f>
        <v>100</v>
      </c>
      <c r="U27" s="67">
        <f t="array" ref="U27">XLOOKUP(D27,RUC!$B$3:$B$110,RUC!$F$3:$F$110)</f>
        <v>120</v>
      </c>
      <c r="V27" s="67">
        <v>1.1023</v>
      </c>
      <c r="Y27" s="57">
        <f t="array" ref="Y27">XLOOKUP(D27,RUC!$B$3:$B$110,RUC!$G$3:$G$110)</f>
        <v>20</v>
      </c>
      <c r="Z27" s="140">
        <v>80.0</v>
      </c>
      <c r="AA27" s="70">
        <f t="shared" si="7"/>
        <v>100</v>
      </c>
      <c r="AB27" s="71">
        <f t="shared" si="25"/>
        <v>237.5505442</v>
      </c>
      <c r="AC27" s="71">
        <f>+(S27-T27)*V27-'data 1'!$F$4</f>
        <v>30.23</v>
      </c>
      <c r="AD27" s="71">
        <f t="shared" si="8"/>
        <v>35.21159077</v>
      </c>
      <c r="AE27" s="71">
        <f t="shared" si="9"/>
        <v>40.23</v>
      </c>
      <c r="AF27" s="71">
        <f t="shared" si="10"/>
        <v>65.89910931</v>
      </c>
      <c r="AG27" s="72">
        <f t="shared" si="28"/>
        <v>231.5707001</v>
      </c>
      <c r="AH27" s="193">
        <f t="shared" si="11"/>
        <v>10.8</v>
      </c>
      <c r="AI27" s="193">
        <f t="shared" si="12"/>
        <v>16.857</v>
      </c>
      <c r="AJ27" s="73">
        <f t="shared" si="13"/>
        <v>-1.288087815</v>
      </c>
      <c r="AK27" s="73">
        <f t="shared" si="14"/>
        <v>8.913371187</v>
      </c>
      <c r="AM27" s="51">
        <f t="shared" si="15"/>
        <v>729.9928224</v>
      </c>
      <c r="AN27" s="51" t="str">
        <f t="array" ref="AN27">XLOOKUP(D27,RUC!$B$3:$B$565,RUC!$M$3:$M$565)</f>
        <v>Evelyn</v>
      </c>
      <c r="AO27" s="131" t="s">
        <v>551</v>
      </c>
      <c r="AP27" s="57" t="s">
        <v>2458</v>
      </c>
      <c r="AQ27" s="57" t="s">
        <v>3286</v>
      </c>
      <c r="AR27" s="2" t="s">
        <v>3237</v>
      </c>
      <c r="BA27" s="203">
        <f>SUM(BA29:BA38)</f>
        <v>0</v>
      </c>
    </row>
    <row r="28" ht="15.0" customHeight="1">
      <c r="A28" s="116" t="s">
        <v>3292</v>
      </c>
      <c r="B28" s="182">
        <v>46374.0</v>
      </c>
      <c r="C28" s="182">
        <v>46063.0</v>
      </c>
      <c r="D28" s="57" t="s">
        <v>295</v>
      </c>
      <c r="E28" s="3">
        <f t="array" ref="E28">XLOOKUP(D28,RUC!$B$3:$B$110,RUC!$D$3:$D$110)</f>
        <v>20601769396</v>
      </c>
      <c r="G28" s="3">
        <v>20.0</v>
      </c>
      <c r="H28" s="3" t="s">
        <v>47</v>
      </c>
      <c r="I28" s="6">
        <v>1.59</v>
      </c>
      <c r="J28" s="58">
        <v>11.8</v>
      </c>
      <c r="K28" s="6">
        <f t="shared" si="3"/>
        <v>1.402</v>
      </c>
      <c r="L28" s="139">
        <v>0.479</v>
      </c>
      <c r="M28" s="60">
        <f t="shared" si="4"/>
        <v>0.45</v>
      </c>
      <c r="N28" s="62">
        <f t="shared" si="27"/>
        <v>0.45</v>
      </c>
      <c r="O28" s="60">
        <f t="shared" si="6"/>
        <v>0.45</v>
      </c>
      <c r="P28" s="63">
        <v>87.0</v>
      </c>
      <c r="Q28" s="58">
        <v>87.27</v>
      </c>
      <c r="R28" s="65">
        <v>5031.4</v>
      </c>
      <c r="S28" s="66">
        <f t="array" ref="S28">IF((XLOOKUP(D28,RUC!$B$3:$B$106,RUC!$E$3:$E$106)+ROUNDDOWN(O28,1)*100)&lt;95,95,((XLOOKUP(D28,RUC!$B$3:$B$106,RUC!$E$3:$E$106)+ROUNDDOWN(O28,1)*100)))</f>
        <v>130</v>
      </c>
      <c r="U28" s="67">
        <f t="array" ref="U28">XLOOKUP(D28,RUC!$B$3:$B$110,RUC!$F$3:$F$110)</f>
        <v>120</v>
      </c>
      <c r="V28" s="67">
        <v>1.1023</v>
      </c>
      <c r="Y28" s="57">
        <f t="array" ref="Y28">XLOOKUP(D28,RUC!$B$3:$B$110,RUC!$G$3:$G$110)</f>
        <v>20</v>
      </c>
      <c r="Z28" s="69">
        <f t="array" ref="Z28">XLOOKUP(D28,RUC!$B$3:$B$110,RUC!$H$3:$H$110)</f>
        <v>30</v>
      </c>
      <c r="AA28" s="70">
        <f t="shared" si="7"/>
        <v>50</v>
      </c>
      <c r="AB28" s="71">
        <f t="shared" si="25"/>
        <v>1921.10288</v>
      </c>
      <c r="AC28" s="71">
        <f>+(S28-T28)*V28-'data 1'!$F$4</f>
        <v>63.299</v>
      </c>
      <c r="AD28" s="71">
        <f t="shared" si="8"/>
        <v>7.001714383</v>
      </c>
      <c r="AE28" s="71">
        <f t="shared" si="9"/>
        <v>-14.885</v>
      </c>
      <c r="AF28" s="71">
        <f t="shared" si="10"/>
        <v>137.0149912</v>
      </c>
      <c r="AG28" s="72">
        <f t="shared" si="28"/>
        <v>252.4307056</v>
      </c>
      <c r="AH28" s="193">
        <f t="shared" si="11"/>
        <v>20.094</v>
      </c>
      <c r="AI28" s="193">
        <f t="shared" si="12"/>
        <v>23.025</v>
      </c>
      <c r="AJ28" s="73">
        <f t="shared" si="13"/>
        <v>-5.252972753</v>
      </c>
      <c r="AK28" s="73">
        <f t="shared" si="14"/>
        <v>18.81866665</v>
      </c>
      <c r="AM28" s="51">
        <f t="shared" si="15"/>
        <v>2693.386238</v>
      </c>
      <c r="AN28" s="51" t="str">
        <f t="array" ref="AN28">XLOOKUP(D28,RUC!$B$3:$B$565,RUC!$M$3:$M$565)</f>
        <v>Evelyn</v>
      </c>
      <c r="AO28" s="131" t="s">
        <v>551</v>
      </c>
      <c r="AP28" s="57" t="s">
        <v>2458</v>
      </c>
      <c r="AQ28" s="57" t="s">
        <v>3286</v>
      </c>
      <c r="AV28" s="3"/>
      <c r="AW28" s="3" t="s">
        <v>14</v>
      </c>
      <c r="AX28" s="3" t="s">
        <v>683</v>
      </c>
      <c r="AY28" s="3" t="s">
        <v>686</v>
      </c>
      <c r="AZ28" s="204" t="s">
        <v>700</v>
      </c>
      <c r="BA28" s="3" t="s">
        <v>687</v>
      </c>
    </row>
    <row r="29" ht="15.0" customHeight="1">
      <c r="A29" s="116" t="s">
        <v>3293</v>
      </c>
      <c r="B29" s="182">
        <v>46070.0</v>
      </c>
      <c r="C29" s="182">
        <v>46063.0</v>
      </c>
      <c r="D29" s="57" t="s">
        <v>806</v>
      </c>
      <c r="E29" s="3">
        <f t="array" ref="E29">XLOOKUP(D29,RUC!$B$3:$B$110,RUC!$D$3:$D$110)</f>
        <v>20614284740</v>
      </c>
      <c r="G29" s="3">
        <v>54.0</v>
      </c>
      <c r="H29" s="3" t="s">
        <v>47</v>
      </c>
      <c r="I29" s="6">
        <v>4.26</v>
      </c>
      <c r="J29" s="58">
        <v>2.35</v>
      </c>
      <c r="K29" s="6">
        <f t="shared" si="3"/>
        <v>4.16</v>
      </c>
      <c r="L29" s="139">
        <v>0.156</v>
      </c>
      <c r="M29" s="60">
        <f t="shared" si="4"/>
        <v>0.137</v>
      </c>
      <c r="N29" s="62">
        <f t="shared" si="27"/>
        <v>0.137</v>
      </c>
      <c r="O29" s="60">
        <f t="shared" si="6"/>
        <v>0.137</v>
      </c>
      <c r="P29" s="63">
        <v>85.0</v>
      </c>
      <c r="Q29" s="58">
        <v>98.08</v>
      </c>
      <c r="R29" s="65">
        <v>5031.4</v>
      </c>
      <c r="S29" s="66">
        <f t="array" ref="S29">IF((XLOOKUP(D29,RUC!$B$3:$B$106,RUC!$E$3:$E$106)+ROUNDDOWN(O29,1)*100)&lt;95,95,((XLOOKUP(D29,RUC!$B$3:$B$106,RUC!$E$3:$E$106)+ROUNDDOWN(O29,1)*100)))</f>
        <v>100</v>
      </c>
      <c r="U29" s="67">
        <f t="array" ref="U29">XLOOKUP(D29,RUC!$B$3:$B$110,RUC!$F$3:$F$110)</f>
        <v>120</v>
      </c>
      <c r="V29" s="67">
        <v>1.1023</v>
      </c>
      <c r="Y29" s="57">
        <f t="array" ref="Y29">XLOOKUP(D29,RUC!$B$3:$B$110,RUC!$G$3:$G$110)</f>
        <v>20</v>
      </c>
      <c r="Z29" s="69">
        <f t="array" ref="Z29">XLOOKUP(D29,RUC!$B$3:$B$110,RUC!$H$3:$H$110)</f>
        <v>30</v>
      </c>
      <c r="AA29" s="70">
        <f t="shared" si="7"/>
        <v>50</v>
      </c>
      <c r="AB29" s="71">
        <f t="shared" si="25"/>
        <v>465.0962278</v>
      </c>
      <c r="AC29" s="71">
        <f>+(S29-T29)*V29-'data 1'!$F$4</f>
        <v>30.23</v>
      </c>
      <c r="AD29" s="71">
        <f t="shared" si="8"/>
        <v>110.4682453</v>
      </c>
      <c r="AE29" s="71">
        <f t="shared" si="9"/>
        <v>-14.885</v>
      </c>
      <c r="AF29" s="71">
        <f t="shared" si="10"/>
        <v>100.8879207</v>
      </c>
      <c r="AG29" s="72">
        <f t="shared" ref="AG29:AG49" si="29">AC29+AD29+AE29+AF29+70-53</f>
        <v>243.701166</v>
      </c>
      <c r="AH29" s="193">
        <f t="shared" si="11"/>
        <v>21.823</v>
      </c>
      <c r="AI29" s="193">
        <f t="shared" si="12"/>
        <v>22.25</v>
      </c>
      <c r="AJ29" s="73">
        <f t="shared" si="13"/>
        <v>-1.922691978</v>
      </c>
      <c r="AK29" s="73">
        <f t="shared" si="14"/>
        <v>16.6089391</v>
      </c>
      <c r="AM29" s="51">
        <f t="shared" si="15"/>
        <v>1934.800308</v>
      </c>
      <c r="AN29" s="51" t="str">
        <f t="array" ref="AN29">XLOOKUP(D29,RUC!$B$3:$B$565,RUC!$M$3:$M$565)</f>
        <v>Dante </v>
      </c>
      <c r="AO29" s="131" t="s">
        <v>558</v>
      </c>
      <c r="AP29" s="57" t="s">
        <v>3294</v>
      </c>
      <c r="AQ29" s="57" t="s">
        <v>847</v>
      </c>
      <c r="AV29" s="152" t="s">
        <v>558</v>
      </c>
      <c r="AW29" s="154">
        <f t="shared" ref="AW29:AW38" si="30">SUMIF($AO$4:$AO$627,AV29,$K$4:$K$627)</f>
        <v>117.776</v>
      </c>
      <c r="AX29" s="154"/>
      <c r="AY29" s="157">
        <f t="shared" ref="AY29:AY38" si="31">AW29*AX29*31.1035*1.1023</f>
        <v>0</v>
      </c>
      <c r="AZ29" s="58"/>
      <c r="BA29" s="159">
        <f t="shared" ref="BA29:BA38" si="32">AY29*AZ29/100</f>
        <v>0</v>
      </c>
      <c r="BB29" s="449" t="s">
        <v>3295</v>
      </c>
      <c r="BC29" s="450">
        <f>+BB7</f>
        <v>3852.698</v>
      </c>
    </row>
    <row r="30" ht="15.0" customHeight="1">
      <c r="A30" s="116" t="s">
        <v>3296</v>
      </c>
      <c r="B30" s="182">
        <v>46070.0</v>
      </c>
      <c r="C30" s="182">
        <v>46063.0</v>
      </c>
      <c r="D30" s="57" t="s">
        <v>806</v>
      </c>
      <c r="E30" s="3">
        <f t="array" ref="E30">XLOOKUP(D30,RUC!$B$3:$B$110,RUC!$D$3:$D$110)</f>
        <v>20614284740</v>
      </c>
      <c r="G30" s="3">
        <v>30.0</v>
      </c>
      <c r="H30" s="3" t="s">
        <v>47</v>
      </c>
      <c r="I30" s="6">
        <v>2.45</v>
      </c>
      <c r="J30" s="58">
        <v>2.5</v>
      </c>
      <c r="K30" s="6">
        <f t="shared" si="3"/>
        <v>2.389</v>
      </c>
      <c r="L30" s="139">
        <v>0.146</v>
      </c>
      <c r="M30" s="60">
        <f t="shared" si="4"/>
        <v>0.127</v>
      </c>
      <c r="N30" s="62">
        <f t="shared" si="27"/>
        <v>0.127</v>
      </c>
      <c r="O30" s="60">
        <f t="shared" si="6"/>
        <v>0.127</v>
      </c>
      <c r="P30" s="63">
        <v>80.0</v>
      </c>
      <c r="Q30" s="58">
        <v>97.95</v>
      </c>
      <c r="R30" s="65">
        <v>5031.4</v>
      </c>
      <c r="S30" s="66">
        <f t="array" ref="S30">IF((XLOOKUP(D30,RUC!$B$3:$B$106,RUC!$E$3:$E$106)+ROUNDDOWN(O30,1)*100)&lt;95,95,((XLOOKUP(D30,RUC!$B$3:$B$106,RUC!$E$3:$E$106)+ROUNDDOWN(O30,1)*100)))</f>
        <v>100</v>
      </c>
      <c r="U30" s="67">
        <f t="array" ref="U30">XLOOKUP(D30,RUC!$B$3:$B$110,RUC!$F$3:$F$110)</f>
        <v>120</v>
      </c>
      <c r="V30" s="67">
        <v>1.1023</v>
      </c>
      <c r="Y30" s="57">
        <f t="array" ref="Y30">XLOOKUP(D30,RUC!$B$3:$B$110,RUC!$G$3:$G$110)</f>
        <v>20</v>
      </c>
      <c r="Z30" s="69">
        <f t="array" ref="Z30">XLOOKUP(D30,RUC!$B$3:$B$110,RUC!$H$3:$H$110)</f>
        <v>30</v>
      </c>
      <c r="AA30" s="70">
        <f t="shared" si="7"/>
        <v>50</v>
      </c>
      <c r="AB30" s="71">
        <f t="shared" si="25"/>
        <v>384.70076</v>
      </c>
      <c r="AC30" s="71">
        <f>+(S30-T30)*V30-'data 1'!$F$4</f>
        <v>30.23</v>
      </c>
      <c r="AD30" s="71">
        <f t="shared" si="8"/>
        <v>141.8804058</v>
      </c>
      <c r="AE30" s="71">
        <f t="shared" si="9"/>
        <v>-14.885</v>
      </c>
      <c r="AF30" s="71">
        <f t="shared" si="10"/>
        <v>100.754199</v>
      </c>
      <c r="AG30" s="72">
        <f t="shared" si="29"/>
        <v>274.9796048</v>
      </c>
      <c r="AH30" s="193">
        <f t="shared" si="11"/>
        <v>11.713</v>
      </c>
      <c r="AI30" s="193">
        <f t="shared" si="12"/>
        <v>11.959</v>
      </c>
      <c r="AJ30" s="73">
        <f t="shared" si="13"/>
        <v>-1.797057424</v>
      </c>
      <c r="AK30" s="73">
        <f t="shared" si="14"/>
        <v>8.321831672</v>
      </c>
      <c r="AM30" s="51">
        <f t="shared" si="15"/>
        <v>919.0501155</v>
      </c>
      <c r="AN30" s="51" t="str">
        <f t="array" ref="AN30">XLOOKUP(D30,RUC!$B$3:$B$565,RUC!$M$3:$M$565)</f>
        <v>Dante </v>
      </c>
      <c r="AO30" s="131" t="s">
        <v>547</v>
      </c>
      <c r="AP30" s="57" t="s">
        <v>3294</v>
      </c>
      <c r="AQ30" s="57" t="s">
        <v>847</v>
      </c>
      <c r="AV30" s="160" t="s">
        <v>551</v>
      </c>
      <c r="AW30" s="6">
        <f t="shared" si="30"/>
        <v>144.305</v>
      </c>
      <c r="AX30" s="6"/>
      <c r="AY30" s="58">
        <f t="shared" si="31"/>
        <v>0</v>
      </c>
      <c r="AZ30" s="58"/>
      <c r="BA30" s="162">
        <f t="shared" si="32"/>
        <v>0</v>
      </c>
      <c r="BB30" s="451" t="s">
        <v>3297</v>
      </c>
      <c r="BC30" s="452">
        <f>+'39'!BC33</f>
        <v>267</v>
      </c>
    </row>
    <row r="31" ht="15.0" customHeight="1">
      <c r="A31" s="116" t="s">
        <v>3298</v>
      </c>
      <c r="B31" s="182">
        <v>46080.0</v>
      </c>
      <c r="C31" s="182">
        <v>46064.0</v>
      </c>
      <c r="D31" s="57" t="s">
        <v>225</v>
      </c>
      <c r="E31" s="3">
        <f t="array" ref="E31">XLOOKUP(D31,RUC!$B$3:$B$110,RUC!$D$3:$D$110)</f>
        <v>10761932735</v>
      </c>
      <c r="G31" s="3">
        <v>73.0</v>
      </c>
      <c r="H31" s="3" t="s">
        <v>47</v>
      </c>
      <c r="I31" s="6">
        <v>7.5</v>
      </c>
      <c r="J31" s="58">
        <v>12.13</v>
      </c>
      <c r="K31" s="6">
        <f t="shared" si="3"/>
        <v>6.59</v>
      </c>
      <c r="L31" s="139">
        <v>0.187</v>
      </c>
      <c r="M31" s="60">
        <f t="shared" si="4"/>
        <v>0.168</v>
      </c>
      <c r="N31" s="75">
        <v>0.222</v>
      </c>
      <c r="O31" s="60">
        <f t="shared" si="6"/>
        <v>0.195</v>
      </c>
      <c r="P31" s="63">
        <v>90.0</v>
      </c>
      <c r="Q31" s="58">
        <v>98.94</v>
      </c>
      <c r="R31" s="65">
        <v>5077.85</v>
      </c>
      <c r="S31" s="66">
        <f t="array" ref="S31">IF((XLOOKUP(D31,RUC!$B$3:$B$106,RUC!$E$3:$E$106)+ROUNDDOWN(O31,1)*100)&lt;95,95,((XLOOKUP(D31,RUC!$B$3:$B$106,RUC!$E$3:$E$106)+ROUNDDOWN(O31,1)*100)))</f>
        <v>100</v>
      </c>
      <c r="U31" s="67">
        <f t="array" ref="U31">XLOOKUP(D31,RUC!$B$3:$B$110,RUC!$F$3:$F$110)</f>
        <v>120</v>
      </c>
      <c r="V31" s="67">
        <v>1.1023</v>
      </c>
      <c r="Y31" s="199">
        <v>40.0</v>
      </c>
      <c r="Z31" s="69">
        <f t="array" ref="Z31">XLOOKUP(D31,RUC!$B$3:$B$110,RUC!$H$3:$H$110)</f>
        <v>30</v>
      </c>
      <c r="AA31" s="70">
        <f t="shared" si="7"/>
        <v>70</v>
      </c>
      <c r="AB31" s="71">
        <f t="shared" si="25"/>
        <v>771.7231787</v>
      </c>
      <c r="AC31" s="71">
        <f>+(S31-T31)*V31-'data 1'!$F$4</f>
        <v>30.23</v>
      </c>
      <c r="AD31" s="71">
        <f t="shared" si="8"/>
        <v>91.3634132</v>
      </c>
      <c r="AE31" s="71">
        <f t="shared" si="9"/>
        <v>7.161</v>
      </c>
      <c r="AF31" s="71">
        <f t="shared" si="10"/>
        <v>-43.25686921</v>
      </c>
      <c r="AG31" s="72">
        <f t="shared" si="29"/>
        <v>102.497544</v>
      </c>
      <c r="AH31" s="193">
        <f t="shared" si="11"/>
        <v>41.803</v>
      </c>
      <c r="AI31" s="193">
        <f t="shared" si="12"/>
        <v>42.251</v>
      </c>
      <c r="AJ31" s="73">
        <f t="shared" si="13"/>
        <v>-11.79822525</v>
      </c>
      <c r="AK31" s="73">
        <f t="shared" si="14"/>
        <v>39.65259412</v>
      </c>
      <c r="AM31" s="51">
        <f t="shared" si="15"/>
        <v>5085.655747</v>
      </c>
      <c r="AN31" s="51" t="str">
        <f t="array" ref="AN31">XLOOKUP(D31,RUC!$B$3:$B$565,RUC!$M$3:$M$565)</f>
        <v>Richard Sapacayo</v>
      </c>
      <c r="AO31" s="131" t="s">
        <v>549</v>
      </c>
      <c r="AP31" s="57" t="s">
        <v>739</v>
      </c>
      <c r="AQ31" s="57" t="s">
        <v>740</v>
      </c>
      <c r="AV31" s="160" t="s">
        <v>547</v>
      </c>
      <c r="AW31" s="6">
        <f t="shared" si="30"/>
        <v>103.815</v>
      </c>
      <c r="AX31" s="6"/>
      <c r="AY31" s="58">
        <f t="shared" si="31"/>
        <v>0</v>
      </c>
      <c r="AZ31" s="58"/>
      <c r="BA31" s="162">
        <f t="shared" si="32"/>
        <v>0</v>
      </c>
      <c r="BB31" s="454" t="s">
        <v>3299</v>
      </c>
      <c r="BC31" s="470">
        <v>3149.53</v>
      </c>
    </row>
    <row r="32" ht="15.0" customHeight="1">
      <c r="A32" s="116" t="s">
        <v>3300</v>
      </c>
      <c r="B32" s="182">
        <v>46078.0</v>
      </c>
      <c r="C32" s="182">
        <v>46064.0</v>
      </c>
      <c r="D32" s="57" t="s">
        <v>295</v>
      </c>
      <c r="E32" s="3">
        <f t="array" ref="E32">XLOOKUP(D32,RUC!$B$3:$B$110,RUC!$D$3:$D$110)</f>
        <v>20601769396</v>
      </c>
      <c r="G32" s="3">
        <v>20.0</v>
      </c>
      <c r="H32" s="3" t="s">
        <v>339</v>
      </c>
      <c r="I32" s="6">
        <v>1.69</v>
      </c>
      <c r="J32" s="58">
        <v>7.7</v>
      </c>
      <c r="K32" s="6">
        <f t="shared" si="3"/>
        <v>1.56</v>
      </c>
      <c r="L32" s="139">
        <v>0.293</v>
      </c>
      <c r="M32" s="60">
        <f t="shared" si="4"/>
        <v>0.274</v>
      </c>
      <c r="N32" s="62">
        <f>+M32</f>
        <v>0.274</v>
      </c>
      <c r="O32" s="60">
        <f t="shared" si="6"/>
        <v>0.274</v>
      </c>
      <c r="P32" s="63">
        <v>83.0</v>
      </c>
      <c r="Q32" s="58">
        <v>83.96</v>
      </c>
      <c r="R32" s="65">
        <v>5077.85</v>
      </c>
      <c r="S32" s="66">
        <f t="array" ref="S32">IF((XLOOKUP(D32,RUC!$B$3:$B$106,RUC!$E$3:$E$106)+ROUNDDOWN(O32,1)*100)&lt;95,95,((XLOOKUP(D32,RUC!$B$3:$B$106,RUC!$E$3:$E$106)+ROUNDDOWN(O32,1)*100)))</f>
        <v>110</v>
      </c>
      <c r="U32" s="67">
        <f t="array" ref="U32">XLOOKUP(D32,RUC!$B$3:$B$110,RUC!$F$3:$F$110)</f>
        <v>120</v>
      </c>
      <c r="V32" s="67">
        <v>1.1023</v>
      </c>
      <c r="Y32" s="57">
        <f t="array" ref="Y32">XLOOKUP(D32,RUC!$B$3:$B$110,RUC!$G$3:$G$110)</f>
        <v>20</v>
      </c>
      <c r="Z32" s="69">
        <f t="array" ref="Z32">XLOOKUP(D32,RUC!$B$3:$B$110,RUC!$H$3:$H$110)</f>
        <v>30</v>
      </c>
      <c r="AA32" s="70">
        <f t="shared" si="7"/>
        <v>50</v>
      </c>
      <c r="AB32" s="71">
        <f t="shared" si="25"/>
        <v>1066.490954</v>
      </c>
      <c r="AC32" s="71">
        <f>+(S32-T32)*V32-'data 1'!$F$4</f>
        <v>41.253</v>
      </c>
      <c r="AD32" s="71">
        <f t="shared" si="8"/>
        <v>15.37205904</v>
      </c>
      <c r="AE32" s="71">
        <f t="shared" si="9"/>
        <v>-14.885</v>
      </c>
      <c r="AF32" s="71">
        <f t="shared" si="10"/>
        <v>87.18047307</v>
      </c>
      <c r="AG32" s="72">
        <f t="shared" si="29"/>
        <v>145.9205321</v>
      </c>
      <c r="AH32" s="193">
        <f t="shared" si="11"/>
        <v>13.158</v>
      </c>
      <c r="AI32" s="193">
        <f t="shared" si="12"/>
        <v>15.671</v>
      </c>
      <c r="AJ32" s="73">
        <f t="shared" si="13"/>
        <v>-15.68712008</v>
      </c>
      <c r="AK32" s="73">
        <f t="shared" si="14"/>
        <v>12.1636054</v>
      </c>
      <c r="AM32" s="51">
        <f t="shared" si="15"/>
        <v>1663.725889</v>
      </c>
      <c r="AN32" s="51" t="str">
        <f t="array" ref="AN32">XLOOKUP(D32,RUC!$B$3:$B$565,RUC!$M$3:$M$565)</f>
        <v>Evelyn</v>
      </c>
      <c r="AO32" s="131" t="s">
        <v>551</v>
      </c>
      <c r="AP32" s="57" t="s">
        <v>2646</v>
      </c>
      <c r="AQ32" s="57" t="s">
        <v>3255</v>
      </c>
      <c r="AV32" s="160" t="s">
        <v>549</v>
      </c>
      <c r="AW32" s="6">
        <f t="shared" si="30"/>
        <v>84.902</v>
      </c>
      <c r="AX32" s="6"/>
      <c r="AY32" s="58">
        <f t="shared" si="31"/>
        <v>0</v>
      </c>
      <c r="AZ32" s="58"/>
      <c r="BA32" s="162">
        <f t="shared" si="32"/>
        <v>0</v>
      </c>
      <c r="BB32" s="454" t="s">
        <v>3301</v>
      </c>
      <c r="BC32" s="470">
        <v>712.104</v>
      </c>
    </row>
    <row r="33" ht="15.0" customHeight="1">
      <c r="A33" s="116" t="s">
        <v>3302</v>
      </c>
      <c r="B33" s="182">
        <v>46078.0</v>
      </c>
      <c r="C33" s="182">
        <v>46064.0</v>
      </c>
      <c r="D33" s="57" t="s">
        <v>295</v>
      </c>
      <c r="E33" s="3">
        <f t="array" ref="E33">XLOOKUP(D33,RUC!$B$3:$B$110,RUC!$D$3:$D$110)</f>
        <v>20601769396</v>
      </c>
      <c r="G33" s="3">
        <v>20.0</v>
      </c>
      <c r="H33" s="3" t="s">
        <v>339</v>
      </c>
      <c r="I33" s="6">
        <v>1.85</v>
      </c>
      <c r="J33" s="58">
        <v>7.45</v>
      </c>
      <c r="K33" s="6">
        <f t="shared" si="3"/>
        <v>1.712</v>
      </c>
      <c r="L33" s="139">
        <v>0.21</v>
      </c>
      <c r="M33" s="60">
        <f t="shared" si="4"/>
        <v>0.191</v>
      </c>
      <c r="N33" s="75">
        <v>0.268</v>
      </c>
      <c r="O33" s="60">
        <f t="shared" si="6"/>
        <v>0.23</v>
      </c>
      <c r="P33" s="63">
        <v>83.0</v>
      </c>
      <c r="Q33" s="58">
        <v>83.81</v>
      </c>
      <c r="R33" s="65">
        <v>5077.85</v>
      </c>
      <c r="S33" s="66">
        <f t="array" ref="S33">IF((XLOOKUP(D33,RUC!$B$3:$B$106,RUC!$E$3:$E$106)+ROUNDDOWN(O33,1)*100)&lt;95,95,((XLOOKUP(D33,RUC!$B$3:$B$106,RUC!$E$3:$E$106)+ROUNDDOWN(O33,1)*100)))</f>
        <v>110</v>
      </c>
      <c r="U33" s="67">
        <f t="array" ref="U33">XLOOKUP(D33,RUC!$B$3:$B$110,RUC!$F$3:$F$110)</f>
        <v>120</v>
      </c>
      <c r="V33" s="67">
        <v>1.1023</v>
      </c>
      <c r="Y33" s="199">
        <v>30.0</v>
      </c>
      <c r="Z33" s="69">
        <f t="array" ref="Z33">XLOOKUP(D33,RUC!$B$3:$B$110,RUC!$H$3:$H$110)</f>
        <v>30</v>
      </c>
      <c r="AA33" s="70">
        <f t="shared" si="7"/>
        <v>60</v>
      </c>
      <c r="AB33" s="71">
        <f t="shared" si="25"/>
        <v>855.8847647</v>
      </c>
      <c r="AC33" s="71">
        <f>+(S33-T33)*V33-'data 1'!$F$4</f>
        <v>41.253</v>
      </c>
      <c r="AD33" s="71">
        <f t="shared" si="8"/>
        <v>9.296029732</v>
      </c>
      <c r="AE33" s="71">
        <f t="shared" si="9"/>
        <v>-3.862</v>
      </c>
      <c r="AF33" s="71">
        <f t="shared" si="10"/>
        <v>-91.60496788</v>
      </c>
      <c r="AG33" s="72">
        <f t="shared" si="29"/>
        <v>-27.91793815</v>
      </c>
      <c r="AH33" s="193">
        <f t="shared" si="11"/>
        <v>10.331</v>
      </c>
      <c r="AI33" s="193">
        <f t="shared" si="12"/>
        <v>12.326</v>
      </c>
      <c r="AJ33" s="73">
        <f t="shared" si="13"/>
        <v>-11.22324145</v>
      </c>
      <c r="AK33" s="73">
        <f t="shared" si="14"/>
        <v>11.20517795</v>
      </c>
      <c r="AM33" s="51">
        <f t="shared" si="15"/>
        <v>1465.274717</v>
      </c>
      <c r="AN33" s="51" t="str">
        <f t="array" ref="AN33">XLOOKUP(D33,RUC!$B$3:$B$565,RUC!$M$3:$M$565)</f>
        <v>Evelyn</v>
      </c>
      <c r="AO33" s="131" t="s">
        <v>551</v>
      </c>
      <c r="AP33" s="57" t="s">
        <v>2646</v>
      </c>
      <c r="AQ33" s="57" t="s">
        <v>3255</v>
      </c>
      <c r="AV33" s="160" t="s">
        <v>561</v>
      </c>
      <c r="AW33" s="6">
        <f t="shared" si="30"/>
        <v>0</v>
      </c>
      <c r="AX33" s="6"/>
      <c r="AY33" s="58">
        <f t="shared" si="31"/>
        <v>0</v>
      </c>
      <c r="AZ33" s="58"/>
      <c r="BA33" s="162">
        <f t="shared" si="32"/>
        <v>0</v>
      </c>
      <c r="BB33" s="454" t="s">
        <v>3303</v>
      </c>
      <c r="BC33" s="459">
        <v>149.254</v>
      </c>
    </row>
    <row r="34" ht="15.0" customHeight="1">
      <c r="A34" s="116" t="s">
        <v>3304</v>
      </c>
      <c r="B34" s="182">
        <v>46080.0</v>
      </c>
      <c r="C34" s="182">
        <v>46064.0</v>
      </c>
      <c r="D34" s="57" t="s">
        <v>295</v>
      </c>
      <c r="E34" s="3">
        <f t="array" ref="E34">XLOOKUP(D34,RUC!$B$3:$B$110,RUC!$D$3:$D$110)</f>
        <v>20601769396</v>
      </c>
      <c r="G34" s="3">
        <v>28.0</v>
      </c>
      <c r="H34" s="3" t="s">
        <v>339</v>
      </c>
      <c r="I34" s="6">
        <v>2.61</v>
      </c>
      <c r="J34" s="58">
        <v>9.55</v>
      </c>
      <c r="K34" s="6">
        <f t="shared" si="3"/>
        <v>2.361</v>
      </c>
      <c r="L34" s="139">
        <v>0.178</v>
      </c>
      <c r="M34" s="60">
        <f t="shared" si="4"/>
        <v>0.159</v>
      </c>
      <c r="N34" s="75">
        <v>0.243</v>
      </c>
      <c r="O34" s="60">
        <f t="shared" si="6"/>
        <v>0.201</v>
      </c>
      <c r="P34" s="63">
        <v>84.0</v>
      </c>
      <c r="Q34" s="58">
        <v>86.52</v>
      </c>
      <c r="R34" s="65">
        <v>5077.85</v>
      </c>
      <c r="S34" s="66">
        <f t="array" ref="S34">IF((XLOOKUP(D34,RUC!$B$3:$B$106,RUC!$E$3:$E$106)+ROUNDDOWN(O34,1)*100)&lt;95,95,((XLOOKUP(D34,RUC!$B$3:$B$106,RUC!$E$3:$E$106)+ROUNDDOWN(O34,1)*100)))</f>
        <v>110</v>
      </c>
      <c r="U34" s="67">
        <f t="array" ref="U34">XLOOKUP(D34,RUC!$B$3:$B$110,RUC!$F$3:$F$110)</f>
        <v>120</v>
      </c>
      <c r="V34" s="67">
        <v>1.1023</v>
      </c>
      <c r="Y34" s="199">
        <v>40.0</v>
      </c>
      <c r="Z34" s="69">
        <f t="array" ref="Z34">XLOOKUP(D34,RUC!$B$3:$B$110,RUC!$H$3:$H$110)</f>
        <v>30</v>
      </c>
      <c r="AA34" s="70">
        <f t="shared" si="7"/>
        <v>70</v>
      </c>
      <c r="AB34" s="71">
        <f t="shared" si="25"/>
        <v>724.3030252</v>
      </c>
      <c r="AC34" s="71">
        <f>+(S34-T34)*V34-'data 1'!$F$4</f>
        <v>41.253</v>
      </c>
      <c r="AD34" s="71">
        <f t="shared" si="8"/>
        <v>24.5139747</v>
      </c>
      <c r="AE34" s="71">
        <f t="shared" si="9"/>
        <v>7.161</v>
      </c>
      <c r="AF34" s="71">
        <f t="shared" si="10"/>
        <v>-108.7520713</v>
      </c>
      <c r="AG34" s="72">
        <f t="shared" si="29"/>
        <v>-18.82409658</v>
      </c>
      <c r="AH34" s="193">
        <f t="shared" si="11"/>
        <v>12.466</v>
      </c>
      <c r="AI34" s="193">
        <f t="shared" si="12"/>
        <v>14.409</v>
      </c>
      <c r="AJ34" s="73">
        <f t="shared" si="13"/>
        <v>-9.820637571</v>
      </c>
      <c r="AK34" s="73">
        <f t="shared" si="14"/>
        <v>13.66722675</v>
      </c>
      <c r="AM34" s="51">
        <f t="shared" si="15"/>
        <v>1710.079443</v>
      </c>
      <c r="AN34" s="51" t="str">
        <f t="array" ref="AN34">XLOOKUP(D34,RUC!$B$3:$B$565,RUC!$M$3:$M$565)</f>
        <v>Evelyn</v>
      </c>
      <c r="AO34" s="131" t="s">
        <v>551</v>
      </c>
      <c r="AP34" s="57" t="s">
        <v>2646</v>
      </c>
      <c r="AQ34" s="57" t="s">
        <v>3255</v>
      </c>
      <c r="AV34" s="160" t="s">
        <v>689</v>
      </c>
      <c r="AW34" s="6">
        <f t="shared" si="30"/>
        <v>0</v>
      </c>
      <c r="AY34" s="58">
        <f t="shared" si="31"/>
        <v>0</v>
      </c>
      <c r="BA34" s="162">
        <f t="shared" si="32"/>
        <v>0</v>
      </c>
      <c r="BB34" s="456" t="s">
        <v>1206</v>
      </c>
      <c r="BC34" s="473">
        <f>-BC29-BC30+BC31+BC32+BC33</f>
        <v>-108.81</v>
      </c>
    </row>
    <row r="35" ht="15.0" customHeight="1">
      <c r="A35" s="116" t="s">
        <v>3305</v>
      </c>
      <c r="B35" s="182">
        <v>46080.0</v>
      </c>
      <c r="C35" s="182">
        <v>46064.0</v>
      </c>
      <c r="D35" s="57" t="s">
        <v>295</v>
      </c>
      <c r="E35" s="3">
        <f t="array" ref="E35">XLOOKUP(D35,RUC!$B$3:$B$110,RUC!$D$3:$D$110)</f>
        <v>20601769396</v>
      </c>
      <c r="G35" s="3">
        <v>29.0</v>
      </c>
      <c r="H35" s="3" t="s">
        <v>339</v>
      </c>
      <c r="I35" s="6">
        <v>2.81</v>
      </c>
      <c r="J35" s="58">
        <v>9.85</v>
      </c>
      <c r="K35" s="6">
        <f t="shared" si="3"/>
        <v>2.533</v>
      </c>
      <c r="L35" s="139">
        <v>0.198</v>
      </c>
      <c r="M35" s="60">
        <f t="shared" si="4"/>
        <v>0.179</v>
      </c>
      <c r="N35" s="62">
        <f t="shared" ref="N35:N38" si="33">+M35</f>
        <v>0.179</v>
      </c>
      <c r="O35" s="123">
        <v>0.202</v>
      </c>
      <c r="P35" s="63">
        <v>82.0</v>
      </c>
      <c r="Q35" s="58">
        <v>84.34</v>
      </c>
      <c r="R35" s="65">
        <v>5077.85</v>
      </c>
      <c r="S35" s="66">
        <f t="array" ref="S35">IF((XLOOKUP(D35,RUC!$B$3:$B$106,RUC!$E$3:$E$106)+ROUNDDOWN(O35,1)*100)&lt;95,95,((XLOOKUP(D35,RUC!$B$3:$B$106,RUC!$E$3:$E$106)+ROUNDDOWN(O35,1)*100)))</f>
        <v>110</v>
      </c>
      <c r="U35" s="67">
        <f t="array" ref="U35">XLOOKUP(D35,RUC!$B$3:$B$110,RUC!$F$3:$F$110)</f>
        <v>120</v>
      </c>
      <c r="V35" s="67">
        <v>1.1023</v>
      </c>
      <c r="Y35" s="199">
        <v>40.0</v>
      </c>
      <c r="Z35" s="69">
        <f t="array" ref="Z35">XLOOKUP(D35,RUC!$B$3:$B$110,RUC!$H$3:$H$110)</f>
        <v>30</v>
      </c>
      <c r="AA35" s="70">
        <f t="shared" si="7"/>
        <v>70</v>
      </c>
      <c r="AB35" s="71">
        <f t="shared" si="25"/>
        <v>706.8149034</v>
      </c>
      <c r="AC35" s="71">
        <f>+(S35-T35)*V35-'data 1'!$F$4</f>
        <v>41.253</v>
      </c>
      <c r="AD35" s="71">
        <f t="shared" si="8"/>
        <v>25.32061432</v>
      </c>
      <c r="AE35" s="71">
        <f t="shared" si="9"/>
        <v>7.161</v>
      </c>
      <c r="AF35" s="71">
        <f t="shared" si="10"/>
        <v>-18.43685238</v>
      </c>
      <c r="AG35" s="72">
        <f t="shared" si="29"/>
        <v>72.29776193</v>
      </c>
      <c r="AH35" s="193">
        <f t="shared" si="11"/>
        <v>14.503</v>
      </c>
      <c r="AI35" s="193">
        <f t="shared" si="12"/>
        <v>17.195</v>
      </c>
      <c r="AJ35" s="73">
        <f t="shared" si="13"/>
        <v>-10.64883156</v>
      </c>
      <c r="AK35" s="73">
        <f t="shared" si="14"/>
        <v>14.38498724</v>
      </c>
      <c r="AM35" s="51">
        <f t="shared" si="15"/>
        <v>1790.36215</v>
      </c>
      <c r="AN35" s="51" t="str">
        <f t="array" ref="AN35">XLOOKUP(D35,RUC!$B$3:$B$565,RUC!$M$3:$M$565)</f>
        <v>Evelyn</v>
      </c>
      <c r="AO35" s="131" t="s">
        <v>551</v>
      </c>
      <c r="AP35" s="57" t="s">
        <v>2646</v>
      </c>
      <c r="AQ35" s="57" t="s">
        <v>3255</v>
      </c>
      <c r="AV35" s="160" t="s">
        <v>690</v>
      </c>
      <c r="AW35" s="6">
        <f t="shared" si="30"/>
        <v>0</v>
      </c>
      <c r="AY35" s="58">
        <f t="shared" si="31"/>
        <v>0</v>
      </c>
      <c r="BA35" s="162">
        <f t="shared" si="32"/>
        <v>0</v>
      </c>
    </row>
    <row r="36" ht="15.0" customHeight="1">
      <c r="A36" s="116" t="s">
        <v>3306</v>
      </c>
      <c r="B36" s="182">
        <v>46080.0</v>
      </c>
      <c r="C36" s="182">
        <v>46064.0</v>
      </c>
      <c r="D36" s="57" t="s">
        <v>295</v>
      </c>
      <c r="E36" s="3">
        <f t="array" ref="E36">XLOOKUP(D36,RUC!$B$3:$B$110,RUC!$D$3:$D$110)</f>
        <v>20601769396</v>
      </c>
      <c r="G36" s="3">
        <v>30.0</v>
      </c>
      <c r="H36" s="3" t="s">
        <v>339</v>
      </c>
      <c r="I36" s="6">
        <v>2.63</v>
      </c>
      <c r="J36" s="58">
        <v>8.55</v>
      </c>
      <c r="K36" s="6">
        <f t="shared" si="3"/>
        <v>2.405</v>
      </c>
      <c r="L36" s="139">
        <v>0.157</v>
      </c>
      <c r="M36" s="60">
        <f t="shared" si="4"/>
        <v>0.138</v>
      </c>
      <c r="N36" s="62">
        <f t="shared" si="33"/>
        <v>0.138</v>
      </c>
      <c r="O36" s="60">
        <f>+ROUND((M36+N36)/2,3)</f>
        <v>0.138</v>
      </c>
      <c r="P36" s="63">
        <v>82.0</v>
      </c>
      <c r="Q36" s="58">
        <v>84.08</v>
      </c>
      <c r="R36" s="65">
        <v>5077.85</v>
      </c>
      <c r="S36" s="66">
        <f t="array" ref="S36">IF((XLOOKUP(D36,RUC!$B$3:$B$106,RUC!$E$3:$E$106)+ROUNDDOWN(O36,1)*100)&lt;95,95,((XLOOKUP(D36,RUC!$B$3:$B$106,RUC!$E$3:$E$106)+ROUNDDOWN(O36,1)*100)))</f>
        <v>100</v>
      </c>
      <c r="U36" s="67">
        <f t="array" ref="U36">XLOOKUP(D36,RUC!$B$3:$B$110,RUC!$F$3:$F$110)</f>
        <v>120</v>
      </c>
      <c r="V36" s="67">
        <v>1.1023</v>
      </c>
      <c r="Y36" s="199">
        <v>40.0</v>
      </c>
      <c r="Z36" s="69">
        <f t="array" ref="Z36">XLOOKUP(D36,RUC!$B$3:$B$110,RUC!$H$3:$H$110)</f>
        <v>30</v>
      </c>
      <c r="AA36" s="70">
        <f t="shared" si="7"/>
        <v>70</v>
      </c>
      <c r="AB36" s="71">
        <f t="shared" si="25"/>
        <v>431.0327063</v>
      </c>
      <c r="AC36" s="71">
        <f>+(S36-T36)*V36-'data 1'!$F$4</f>
        <v>30.23</v>
      </c>
      <c r="AD36" s="71">
        <f t="shared" si="8"/>
        <v>17.84662827</v>
      </c>
      <c r="AE36" s="71">
        <f t="shared" si="9"/>
        <v>7.161</v>
      </c>
      <c r="AF36" s="71">
        <f t="shared" si="10"/>
        <v>87.30507594</v>
      </c>
      <c r="AG36" s="72">
        <f t="shared" si="29"/>
        <v>159.5427042</v>
      </c>
      <c r="AH36" s="193">
        <f t="shared" si="11"/>
        <v>10.885</v>
      </c>
      <c r="AI36" s="193">
        <f t="shared" si="12"/>
        <v>12.946</v>
      </c>
      <c r="AJ36" s="73">
        <f t="shared" si="13"/>
        <v>-8.417740361</v>
      </c>
      <c r="AK36" s="73">
        <f t="shared" si="14"/>
        <v>9.330761501</v>
      </c>
      <c r="AM36" s="51">
        <f t="shared" si="15"/>
        <v>1036.633659</v>
      </c>
      <c r="AN36" s="51" t="str">
        <f t="array" ref="AN36">XLOOKUP(D36,RUC!$B$3:$B$565,RUC!$M$3:$M$565)</f>
        <v>Evelyn</v>
      </c>
      <c r="AO36" s="131" t="s">
        <v>551</v>
      </c>
      <c r="AP36" s="57" t="s">
        <v>2646</v>
      </c>
      <c r="AQ36" s="57" t="s">
        <v>3255</v>
      </c>
      <c r="AV36" s="160" t="s">
        <v>691</v>
      </c>
      <c r="AW36" s="6">
        <f t="shared" si="30"/>
        <v>0</v>
      </c>
      <c r="AY36" s="58">
        <f t="shared" si="31"/>
        <v>0</v>
      </c>
      <c r="BA36" s="162">
        <f t="shared" si="32"/>
        <v>0</v>
      </c>
    </row>
    <row r="37" ht="15.0" customHeight="1">
      <c r="A37" s="116" t="s">
        <v>3307</v>
      </c>
      <c r="B37" s="182">
        <v>46080.0</v>
      </c>
      <c r="C37" s="182">
        <v>46064.0</v>
      </c>
      <c r="D37" s="57" t="s">
        <v>295</v>
      </c>
      <c r="E37" s="3">
        <f t="array" ref="E37">XLOOKUP(D37,RUC!$B$3:$B$110,RUC!$D$3:$D$110)</f>
        <v>20601769396</v>
      </c>
      <c r="G37" s="3">
        <v>20.0</v>
      </c>
      <c r="H37" s="3" t="s">
        <v>339</v>
      </c>
      <c r="I37" s="6">
        <v>1.85</v>
      </c>
      <c r="J37" s="58">
        <v>13.5</v>
      </c>
      <c r="K37" s="6">
        <f t="shared" si="3"/>
        <v>1.6</v>
      </c>
      <c r="L37" s="139">
        <v>0.279</v>
      </c>
      <c r="M37" s="60">
        <f t="shared" si="4"/>
        <v>0.26</v>
      </c>
      <c r="N37" s="62">
        <f t="shared" si="33"/>
        <v>0.26</v>
      </c>
      <c r="O37" s="123">
        <v>0.277</v>
      </c>
      <c r="P37" s="63">
        <v>86.0</v>
      </c>
      <c r="Q37" s="58">
        <v>88.53</v>
      </c>
      <c r="R37" s="65">
        <v>5077.85</v>
      </c>
      <c r="S37" s="66">
        <f t="array" ref="S37">IF((XLOOKUP(D37,RUC!$B$3:$B$106,RUC!$E$3:$E$106)+ROUNDDOWN(O37,1)*100)&lt;95,95,((XLOOKUP(D37,RUC!$B$3:$B$106,RUC!$E$3:$E$106)+ROUNDDOWN(O37,1)*100)))</f>
        <v>110</v>
      </c>
      <c r="U37" s="67">
        <f t="array" ref="U37">XLOOKUP(D37,RUC!$B$3:$B$110,RUC!$F$3:$F$110)</f>
        <v>120</v>
      </c>
      <c r="V37" s="67">
        <v>1.1023</v>
      </c>
      <c r="Y37" s="199">
        <v>40.0</v>
      </c>
      <c r="Z37" s="69">
        <f t="array" ref="Z37">XLOOKUP(D37,RUC!$B$3:$B$110,RUC!$H$3:$H$110)</f>
        <v>30</v>
      </c>
      <c r="AA37" s="70">
        <f t="shared" si="7"/>
        <v>70</v>
      </c>
      <c r="AB37" s="71">
        <f t="shared" si="25"/>
        <v>1103.467365</v>
      </c>
      <c r="AC37" s="71">
        <f>+(S37-T37)*V37-'data 1'!$F$4</f>
        <v>41.253</v>
      </c>
      <c r="AD37" s="71">
        <f t="shared" si="8"/>
        <v>38.57606412</v>
      </c>
      <c r="AE37" s="71">
        <f t="shared" si="9"/>
        <v>7.161</v>
      </c>
      <c r="AF37" s="71">
        <f t="shared" si="10"/>
        <v>9.67639638</v>
      </c>
      <c r="AG37" s="72">
        <f t="shared" si="29"/>
        <v>113.6664605</v>
      </c>
      <c r="AH37" s="193">
        <f t="shared" si="11"/>
        <v>13.55</v>
      </c>
      <c r="AI37" s="193">
        <f t="shared" si="12"/>
        <v>15.305</v>
      </c>
      <c r="AJ37" s="73">
        <f t="shared" si="13"/>
        <v>-15.75062669</v>
      </c>
      <c r="AK37" s="73">
        <f t="shared" si="14"/>
        <v>13.06794423</v>
      </c>
      <c r="AM37" s="51">
        <f t="shared" si="15"/>
        <v>1765.547785</v>
      </c>
      <c r="AN37" s="51" t="str">
        <f t="array" ref="AN37">XLOOKUP(D37,RUC!$B$3:$B$565,RUC!$M$3:$M$565)</f>
        <v>Evelyn</v>
      </c>
      <c r="AO37" s="131" t="s">
        <v>551</v>
      </c>
      <c r="AP37" s="57" t="s">
        <v>2646</v>
      </c>
      <c r="AQ37" s="57" t="s">
        <v>3255</v>
      </c>
      <c r="AV37" s="160" t="s">
        <v>692</v>
      </c>
      <c r="AW37" s="6">
        <f t="shared" si="30"/>
        <v>0</v>
      </c>
      <c r="AY37" s="58">
        <f t="shared" si="31"/>
        <v>0</v>
      </c>
      <c r="BA37" s="162">
        <f t="shared" si="32"/>
        <v>0</v>
      </c>
    </row>
    <row r="38" ht="15.0" customHeight="1">
      <c r="A38" s="116" t="s">
        <v>3308</v>
      </c>
      <c r="B38" s="182">
        <v>46080.0</v>
      </c>
      <c r="C38" s="182">
        <v>46064.0</v>
      </c>
      <c r="D38" s="57" t="s">
        <v>295</v>
      </c>
      <c r="E38" s="3">
        <f t="array" ref="E38">XLOOKUP(D38,RUC!$B$3:$B$110,RUC!$D$3:$D$110)</f>
        <v>20601769396</v>
      </c>
      <c r="G38" s="3">
        <v>20.0</v>
      </c>
      <c r="H38" s="3" t="s">
        <v>339</v>
      </c>
      <c r="I38" s="6">
        <v>1.85</v>
      </c>
      <c r="J38" s="58">
        <v>9.05</v>
      </c>
      <c r="K38" s="6">
        <f t="shared" si="3"/>
        <v>1.683</v>
      </c>
      <c r="L38" s="139">
        <v>0.252</v>
      </c>
      <c r="M38" s="60">
        <f t="shared" si="4"/>
        <v>0.233</v>
      </c>
      <c r="N38" s="62">
        <f t="shared" si="33"/>
        <v>0.233</v>
      </c>
      <c r="O38" s="60">
        <f t="shared" ref="O38:O49" si="34">+ROUND((M38+N38)/2,3)</f>
        <v>0.233</v>
      </c>
      <c r="P38" s="63">
        <v>86.0</v>
      </c>
      <c r="Q38" s="58">
        <v>88.89</v>
      </c>
      <c r="R38" s="65">
        <v>5077.85</v>
      </c>
      <c r="S38" s="66">
        <f t="array" ref="S38">IF((XLOOKUP(D38,RUC!$B$3:$B$106,RUC!$E$3:$E$106)+ROUNDDOWN(O38,1)*100)&lt;95,95,((XLOOKUP(D38,RUC!$B$3:$B$106,RUC!$E$3:$E$106)+ROUNDDOWN(O38,1)*100)))</f>
        <v>110</v>
      </c>
      <c r="U38" s="67">
        <f t="array" ref="U38">XLOOKUP(D38,RUC!$B$3:$B$110,RUC!$F$3:$F$110)</f>
        <v>120</v>
      </c>
      <c r="V38" s="67">
        <v>1.1023</v>
      </c>
      <c r="Y38" s="199">
        <v>40.0</v>
      </c>
      <c r="Z38" s="69">
        <f t="array" ref="Z38">XLOOKUP(D38,RUC!$B$3:$B$110,RUC!$H$3:$H$110)</f>
        <v>30</v>
      </c>
      <c r="AA38" s="70">
        <f t="shared" si="7"/>
        <v>70</v>
      </c>
      <c r="AB38" s="71">
        <f t="shared" si="25"/>
        <v>896.6703255</v>
      </c>
      <c r="AC38" s="71">
        <f>+(S38-T38)*V38-'data 1'!$F$4</f>
        <v>41.253</v>
      </c>
      <c r="AD38" s="71">
        <f t="shared" si="8"/>
        <v>39.80077915</v>
      </c>
      <c r="AE38" s="71">
        <f t="shared" si="9"/>
        <v>7.161</v>
      </c>
      <c r="AF38" s="71">
        <f t="shared" si="10"/>
        <v>92.29957421</v>
      </c>
      <c r="AG38" s="72">
        <f t="shared" si="29"/>
        <v>197.5143534</v>
      </c>
      <c r="AH38" s="193">
        <f t="shared" si="11"/>
        <v>12.925</v>
      </c>
      <c r="AI38" s="193">
        <f t="shared" si="12"/>
        <v>14.541</v>
      </c>
      <c r="AJ38" s="73">
        <f t="shared" si="13"/>
        <v>-14.28422287</v>
      </c>
      <c r="AK38" s="73">
        <f t="shared" si="14"/>
        <v>11.56238849</v>
      </c>
      <c r="AM38" s="51">
        <f t="shared" si="15"/>
        <v>1509.096158</v>
      </c>
      <c r="AN38" s="51" t="str">
        <f t="array" ref="AN38">XLOOKUP(D38,RUC!$B$3:$B$565,RUC!$M$3:$M$565)</f>
        <v>Evelyn</v>
      </c>
      <c r="AO38" s="131" t="s">
        <v>551</v>
      </c>
      <c r="AP38" s="57" t="s">
        <v>2646</v>
      </c>
      <c r="AQ38" s="57" t="s">
        <v>3255</v>
      </c>
      <c r="AV38" s="163" t="s">
        <v>693</v>
      </c>
      <c r="AW38" s="165">
        <f t="shared" si="30"/>
        <v>0</v>
      </c>
      <c r="AX38" s="170"/>
      <c r="AY38" s="168">
        <f t="shared" si="31"/>
        <v>0</v>
      </c>
      <c r="AZ38" s="170"/>
      <c r="BA38" s="171">
        <f t="shared" si="32"/>
        <v>0</v>
      </c>
    </row>
    <row r="39" ht="15.0" customHeight="1">
      <c r="A39" s="116" t="s">
        <v>3309</v>
      </c>
      <c r="B39" s="182">
        <v>46080.0</v>
      </c>
      <c r="C39" s="182">
        <v>46064.0</v>
      </c>
      <c r="D39" s="57" t="s">
        <v>295</v>
      </c>
      <c r="E39" s="3">
        <f t="array" ref="E39">XLOOKUP(D39,RUC!$B$3:$B$110,RUC!$D$3:$D$110)</f>
        <v>20601769396</v>
      </c>
      <c r="G39" s="3">
        <v>12.0</v>
      </c>
      <c r="H39" s="3" t="s">
        <v>339</v>
      </c>
      <c r="I39" s="6">
        <v>1.5</v>
      </c>
      <c r="J39" s="58">
        <v>8.05</v>
      </c>
      <c r="K39" s="6">
        <f t="shared" si="3"/>
        <v>1.379</v>
      </c>
      <c r="L39" s="139">
        <v>0.243</v>
      </c>
      <c r="M39" s="60">
        <f t="shared" si="4"/>
        <v>0.224</v>
      </c>
      <c r="N39" s="75">
        <v>0.322</v>
      </c>
      <c r="O39" s="60">
        <f t="shared" si="34"/>
        <v>0.273</v>
      </c>
      <c r="P39" s="63">
        <v>88.0</v>
      </c>
      <c r="Q39" s="58">
        <v>90.95</v>
      </c>
      <c r="R39" s="65">
        <v>5077.85</v>
      </c>
      <c r="S39" s="66">
        <f t="array" ref="S39">IF((XLOOKUP(D39,RUC!$B$3:$B$106,RUC!$E$3:$E$106)+ROUNDDOWN(O39,1)*100)&lt;95,95,((XLOOKUP(D39,RUC!$B$3:$B$106,RUC!$E$3:$E$106)+ROUNDDOWN(O39,1)*100)))</f>
        <v>110</v>
      </c>
      <c r="U39" s="67">
        <f t="array" ref="U39">XLOOKUP(D39,RUC!$B$3:$B$110,RUC!$F$3:$F$110)</f>
        <v>120</v>
      </c>
      <c r="V39" s="67">
        <v>1.1023</v>
      </c>
      <c r="Y39" s="199">
        <v>40.0</v>
      </c>
      <c r="Z39" s="69">
        <f t="array" ref="Z39">XLOOKUP(D39,RUC!$B$3:$B$110,RUC!$H$3:$H$110)</f>
        <v>30</v>
      </c>
      <c r="AA39" s="70">
        <f t="shared" si="7"/>
        <v>70</v>
      </c>
      <c r="AB39" s="71">
        <f t="shared" si="25"/>
        <v>1114.506742</v>
      </c>
      <c r="AC39" s="71">
        <f>+(S39-T39)*V39-'data 1'!$F$4</f>
        <v>41.253</v>
      </c>
      <c r="AD39" s="71">
        <f t="shared" si="8"/>
        <v>39.1761253</v>
      </c>
      <c r="AE39" s="71">
        <f t="shared" si="9"/>
        <v>7.161</v>
      </c>
      <c r="AF39" s="71">
        <f t="shared" si="10"/>
        <v>-149.1135633</v>
      </c>
      <c r="AG39" s="72">
        <f t="shared" si="29"/>
        <v>-44.52343803</v>
      </c>
      <c r="AH39" s="193">
        <f t="shared" si="11"/>
        <v>10.449</v>
      </c>
      <c r="AI39" s="193">
        <f t="shared" si="12"/>
        <v>11.489</v>
      </c>
      <c r="AJ39" s="73">
        <f t="shared" si="13"/>
        <v>-14.09328218</v>
      </c>
      <c r="AK39" s="73">
        <f t="shared" si="14"/>
        <v>11.35843912</v>
      </c>
      <c r="AM39" s="51">
        <f t="shared" si="15"/>
        <v>1536.904798</v>
      </c>
      <c r="AN39" s="51" t="str">
        <f t="array" ref="AN39">XLOOKUP(D39,RUC!$B$3:$B$565,RUC!$M$3:$M$565)</f>
        <v>Evelyn</v>
      </c>
      <c r="AO39" s="131" t="s">
        <v>551</v>
      </c>
      <c r="AP39" s="57" t="s">
        <v>2646</v>
      </c>
      <c r="AQ39" s="57" t="s">
        <v>3255</v>
      </c>
    </row>
    <row r="40" ht="15.0" customHeight="1">
      <c r="A40" s="116" t="s">
        <v>3310</v>
      </c>
      <c r="B40" s="182">
        <v>46073.0</v>
      </c>
      <c r="C40" s="182">
        <v>46065.0</v>
      </c>
      <c r="D40" s="57" t="s">
        <v>295</v>
      </c>
      <c r="E40" s="3">
        <f t="array" ref="E40">XLOOKUP(D40,RUC!$B$3:$B$110,RUC!$D$3:$D$110)</f>
        <v>20601769396</v>
      </c>
      <c r="G40" s="141">
        <v>30.0</v>
      </c>
      <c r="H40" s="3" t="s">
        <v>339</v>
      </c>
      <c r="I40" s="6">
        <v>2.53</v>
      </c>
      <c r="J40" s="58">
        <v>17.7</v>
      </c>
      <c r="K40" s="6">
        <f t="shared" si="3"/>
        <v>2.082</v>
      </c>
      <c r="L40" s="139">
        <v>0.538</v>
      </c>
      <c r="M40" s="60">
        <f t="shared" si="4"/>
        <v>0.506</v>
      </c>
      <c r="N40" s="62">
        <f t="shared" ref="N40:N45" si="35">+M40</f>
        <v>0.506</v>
      </c>
      <c r="O40" s="60">
        <f t="shared" si="34"/>
        <v>0.506</v>
      </c>
      <c r="P40" s="63">
        <v>90.0</v>
      </c>
      <c r="Q40" s="58">
        <v>96.655</v>
      </c>
      <c r="R40" s="65">
        <v>5043.15</v>
      </c>
      <c r="S40" s="66">
        <f t="array" ref="S40">IF((XLOOKUP(D40,RUC!$B$3:$B$106,RUC!$E$3:$E$106)+ROUNDDOWN(O40,1)*100)&lt;95,95,((XLOOKUP(D40,RUC!$B$3:$B$106,RUC!$E$3:$E$106)+ROUNDDOWN(O40,1)*100)))</f>
        <v>140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69">
        <f t="array" ref="Z40">XLOOKUP(D40,RUC!$B$3:$B$110,RUC!$H$3:$H$110)</f>
        <v>30</v>
      </c>
      <c r="AA40" s="70">
        <f t="shared" si="7"/>
        <v>50</v>
      </c>
      <c r="AB40" s="71">
        <f t="shared" si="25"/>
        <v>2261.922367</v>
      </c>
      <c r="AC40" s="71">
        <f>+(S40-T40)*V40-'data 1'!$F$4</f>
        <v>74.322</v>
      </c>
      <c r="AD40" s="71">
        <f t="shared" si="8"/>
        <v>194.3001836</v>
      </c>
      <c r="AE40" s="71">
        <f t="shared" si="9"/>
        <v>-14.885</v>
      </c>
      <c r="AF40" s="71">
        <f t="shared" si="10"/>
        <v>167.8483897</v>
      </c>
      <c r="AG40" s="72">
        <f t="shared" si="29"/>
        <v>438.5855733</v>
      </c>
      <c r="AH40" s="193">
        <f t="shared" si="11"/>
        <v>37.119</v>
      </c>
      <c r="AI40" s="193">
        <f t="shared" si="12"/>
        <v>38.404</v>
      </c>
      <c r="AJ40" s="73">
        <f t="shared" si="13"/>
        <v>-13.26958692</v>
      </c>
      <c r="AK40" s="73">
        <f t="shared" si="14"/>
        <v>32.50744382</v>
      </c>
      <c r="AM40" s="51">
        <f t="shared" si="15"/>
        <v>4709.322368</v>
      </c>
      <c r="AN40" s="51" t="str">
        <f t="array" ref="AN40">XLOOKUP(D40,RUC!$B$3:$B$565,RUC!$M$3:$M$565)</f>
        <v>Evelyn</v>
      </c>
      <c r="AO40" s="131" t="s">
        <v>551</v>
      </c>
      <c r="AP40" s="57" t="s">
        <v>706</v>
      </c>
      <c r="AQ40" s="57" t="s">
        <v>635</v>
      </c>
    </row>
    <row r="41" ht="15.0" customHeight="1">
      <c r="A41" s="116" t="s">
        <v>3311</v>
      </c>
      <c r="B41" s="182">
        <v>46073.0</v>
      </c>
      <c r="C41" s="182">
        <v>46065.0</v>
      </c>
      <c r="D41" s="57" t="s">
        <v>295</v>
      </c>
      <c r="E41" s="3">
        <f t="array" ref="E41">XLOOKUP(D41,RUC!$B$3:$B$110,RUC!$D$3:$D$110)</f>
        <v>20601769396</v>
      </c>
      <c r="G41" s="141">
        <v>35.0</v>
      </c>
      <c r="H41" s="3" t="s">
        <v>339</v>
      </c>
      <c r="I41" s="6">
        <v>2.92</v>
      </c>
      <c r="J41" s="58">
        <v>18.5</v>
      </c>
      <c r="K41" s="6">
        <f t="shared" si="3"/>
        <v>2.38</v>
      </c>
      <c r="L41" s="139">
        <v>0.583</v>
      </c>
      <c r="M41" s="60">
        <f t="shared" si="4"/>
        <v>0.548</v>
      </c>
      <c r="N41" s="62">
        <f t="shared" si="35"/>
        <v>0.548</v>
      </c>
      <c r="O41" s="60">
        <f t="shared" si="34"/>
        <v>0.548</v>
      </c>
      <c r="P41" s="63">
        <v>90.0</v>
      </c>
      <c r="Q41" s="58">
        <v>96.74</v>
      </c>
      <c r="R41" s="65">
        <v>5043.15</v>
      </c>
      <c r="S41" s="66">
        <f t="array" ref="S41">IF((XLOOKUP(D41,RUC!$B$3:$B$106,RUC!$E$3:$E$106)+ROUNDDOWN(O41,1)*100)&lt;95,95,((XLOOKUP(D41,RUC!$B$3:$B$106,RUC!$E$3:$E$106)+ROUNDDOWN(O41,1)*100)))</f>
        <v>140</v>
      </c>
      <c r="U41" s="67">
        <f t="array" ref="U41">XLOOKUP(D41,RUC!$B$3:$B$110,RUC!$F$3:$F$110)</f>
        <v>120</v>
      </c>
      <c r="V41" s="67">
        <v>1.1023</v>
      </c>
      <c r="Y41" s="57">
        <f t="array" ref="Y41">XLOOKUP(D41,RUC!$B$3:$B$110,RUC!$G$3:$G$110)</f>
        <v>20</v>
      </c>
      <c r="Z41" s="69">
        <f t="array" ref="Z41">XLOOKUP(D41,RUC!$B$3:$B$110,RUC!$H$3:$H$110)</f>
        <v>30</v>
      </c>
      <c r="AA41" s="70">
        <f t="shared" si="7"/>
        <v>50</v>
      </c>
      <c r="AB41" s="71">
        <f t="shared" si="25"/>
        <v>2467.054962</v>
      </c>
      <c r="AC41" s="71">
        <f>+(S41-T41)*V41-'data 1'!$F$4</f>
        <v>74.322</v>
      </c>
      <c r="AD41" s="71">
        <f t="shared" si="8"/>
        <v>213.2413027</v>
      </c>
      <c r="AE41" s="71">
        <f t="shared" si="9"/>
        <v>-14.885</v>
      </c>
      <c r="AF41" s="71">
        <f t="shared" si="10"/>
        <v>183.7456232</v>
      </c>
      <c r="AG41" s="72">
        <f t="shared" si="29"/>
        <v>473.4239258</v>
      </c>
      <c r="AH41" s="193">
        <f t="shared" si="11"/>
        <v>46.021</v>
      </c>
      <c r="AI41" s="193">
        <f t="shared" si="12"/>
        <v>47.572</v>
      </c>
      <c r="AJ41" s="73">
        <f t="shared" si="13"/>
        <v>-14.39214217</v>
      </c>
      <c r="AK41" s="73">
        <f t="shared" si="14"/>
        <v>40.24473706</v>
      </c>
      <c r="AM41" s="51">
        <f t="shared" si="15"/>
        <v>5871.590811</v>
      </c>
      <c r="AN41" s="51" t="str">
        <f t="array" ref="AN41">XLOOKUP(D41,RUC!$B$3:$B$565,RUC!$M$3:$M$565)</f>
        <v>Evelyn</v>
      </c>
      <c r="AO41" s="131" t="s">
        <v>551</v>
      </c>
      <c r="AP41" s="57" t="s">
        <v>706</v>
      </c>
      <c r="AQ41" s="57" t="s">
        <v>635</v>
      </c>
    </row>
    <row r="42" ht="15.0" customHeight="1">
      <c r="A42" s="116" t="s">
        <v>3312</v>
      </c>
      <c r="B42" s="182">
        <v>46073.0</v>
      </c>
      <c r="C42" s="182">
        <v>46065.0</v>
      </c>
      <c r="D42" s="57" t="s">
        <v>295</v>
      </c>
      <c r="E42" s="3">
        <f t="array" ref="E42">XLOOKUP(D42,RUC!$B$3:$B$110,RUC!$D$3:$D$110)</f>
        <v>20601769396</v>
      </c>
      <c r="G42" s="141">
        <v>36.0</v>
      </c>
      <c r="H42" s="3" t="s">
        <v>339</v>
      </c>
      <c r="I42" s="6">
        <v>3.04</v>
      </c>
      <c r="J42" s="58">
        <v>15.0</v>
      </c>
      <c r="K42" s="6">
        <f t="shared" si="3"/>
        <v>2.584</v>
      </c>
      <c r="L42" s="139">
        <v>0.604</v>
      </c>
      <c r="M42" s="60">
        <f t="shared" si="4"/>
        <v>0.568</v>
      </c>
      <c r="N42" s="62">
        <f t="shared" si="35"/>
        <v>0.568</v>
      </c>
      <c r="O42" s="60">
        <f t="shared" si="34"/>
        <v>0.568</v>
      </c>
      <c r="P42" s="63">
        <v>90.0</v>
      </c>
      <c r="Q42" s="58">
        <v>96.69</v>
      </c>
      <c r="R42" s="65">
        <v>5043.15</v>
      </c>
      <c r="S42" s="66">
        <f t="array" ref="S42">IF((XLOOKUP(D42,RUC!$B$3:$B$106,RUC!$E$3:$E$106)+ROUNDDOWN(O42,1)*100)&lt;95,95,((XLOOKUP(D42,RUC!$B$3:$B$106,RUC!$E$3:$E$106)+ROUNDDOWN(O42,1)*100)))</f>
        <v>140</v>
      </c>
      <c r="U42" s="67">
        <f t="array" ref="U42">XLOOKUP(D42,RUC!$B$3:$B$110,RUC!$F$3:$F$110)</f>
        <v>120</v>
      </c>
      <c r="V42" s="67">
        <v>1.1023</v>
      </c>
      <c r="Y42" s="57">
        <f t="array" ref="Y42">XLOOKUP(D42,RUC!$B$3:$B$110,RUC!$G$3:$G$110)</f>
        <v>20</v>
      </c>
      <c r="Z42" s="69">
        <f t="array" ref="Z42">XLOOKUP(D42,RUC!$B$3:$B$110,RUC!$H$3:$H$110)</f>
        <v>30</v>
      </c>
      <c r="AA42" s="70">
        <f t="shared" si="7"/>
        <v>50</v>
      </c>
      <c r="AB42" s="71">
        <f t="shared" si="25"/>
        <v>2564.737151</v>
      </c>
      <c r="AC42" s="71">
        <f>+(S42-T42)*V42-'data 1'!$F$4</f>
        <v>74.322</v>
      </c>
      <c r="AD42" s="71">
        <f t="shared" si="8"/>
        <v>219.2834887</v>
      </c>
      <c r="AE42" s="71">
        <f t="shared" si="9"/>
        <v>-14.885</v>
      </c>
      <c r="AF42" s="71">
        <f t="shared" si="10"/>
        <v>188.8978159</v>
      </c>
      <c r="AG42" s="72">
        <f t="shared" si="29"/>
        <v>484.6183046</v>
      </c>
      <c r="AH42" s="193">
        <f t="shared" si="11"/>
        <v>51.739</v>
      </c>
      <c r="AI42" s="193">
        <f t="shared" si="12"/>
        <v>53.51</v>
      </c>
      <c r="AJ42" s="73">
        <f t="shared" si="13"/>
        <v>-14.90284902</v>
      </c>
      <c r="AK42" s="73">
        <f t="shared" si="14"/>
        <v>45.28896792</v>
      </c>
      <c r="AM42" s="51">
        <f t="shared" si="15"/>
        <v>6627.280798</v>
      </c>
      <c r="AN42" s="51" t="str">
        <f t="array" ref="AN42">XLOOKUP(D42,RUC!$B$3:$B$565,RUC!$M$3:$M$565)</f>
        <v>Evelyn</v>
      </c>
      <c r="AO42" s="131" t="s">
        <v>551</v>
      </c>
      <c r="AP42" s="57" t="s">
        <v>706</v>
      </c>
      <c r="AQ42" s="57" t="s">
        <v>635</v>
      </c>
    </row>
    <row r="43" ht="15.0" customHeight="1">
      <c r="A43" s="116" t="s">
        <v>3313</v>
      </c>
      <c r="B43" s="182">
        <v>46073.0</v>
      </c>
      <c r="C43" s="182">
        <v>46067.0</v>
      </c>
      <c r="D43" s="2" t="s">
        <v>806</v>
      </c>
      <c r="E43" s="3">
        <f t="array" ref="E43">XLOOKUP(D43,RUC!$B$3:$B$110,RUC!$D$3:$D$110)</f>
        <v>20614284740</v>
      </c>
      <c r="G43" s="141">
        <v>19.0</v>
      </c>
      <c r="H43" s="3" t="s">
        <v>47</v>
      </c>
      <c r="I43" s="6">
        <v>1.43</v>
      </c>
      <c r="J43" s="58">
        <v>3.7</v>
      </c>
      <c r="K43" s="6">
        <f t="shared" si="3"/>
        <v>1.377</v>
      </c>
      <c r="L43" s="139">
        <v>0.732</v>
      </c>
      <c r="M43" s="60">
        <f t="shared" si="4"/>
        <v>0.688</v>
      </c>
      <c r="N43" s="62">
        <f t="shared" si="35"/>
        <v>0.688</v>
      </c>
      <c r="O43" s="60">
        <f t="shared" si="34"/>
        <v>0.688</v>
      </c>
      <c r="P43" s="63">
        <v>90.0</v>
      </c>
      <c r="Q43" s="58">
        <v>97.265</v>
      </c>
      <c r="R43" s="65">
        <v>4994.95</v>
      </c>
      <c r="S43" s="66">
        <f t="array" ref="S43">IF((XLOOKUP(D43,RUC!$B$3:$B$106,RUC!$E$3:$E$106)+ROUNDDOWN(O43,1)*100)&lt;95,95,((XLOOKUP(D43,RUC!$B$3:$B$106,RUC!$E$3:$E$106)+ROUNDDOWN(O43,1)*100)))</f>
        <v>150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7"/>
        <v>50</v>
      </c>
      <c r="AB43" s="71">
        <f t="shared" si="25"/>
        <v>3106.908653</v>
      </c>
      <c r="AC43" s="71">
        <f>+(S43-T43)*V43-'data 1'!$F$4</f>
        <v>85.345</v>
      </c>
      <c r="AD43" s="71">
        <f t="shared" si="8"/>
        <v>285.770025</v>
      </c>
      <c r="AE43" s="71">
        <f t="shared" si="9"/>
        <v>-14.885</v>
      </c>
      <c r="AF43" s="71">
        <f t="shared" si="10"/>
        <v>229.9742656</v>
      </c>
      <c r="AG43" s="72">
        <f t="shared" si="29"/>
        <v>603.2042906</v>
      </c>
      <c r="AH43" s="193">
        <f t="shared" si="11"/>
        <v>33.613</v>
      </c>
      <c r="AI43" s="193">
        <f t="shared" si="12"/>
        <v>34.558</v>
      </c>
      <c r="AJ43" s="73">
        <f t="shared" si="13"/>
        <v>19.65962411</v>
      </c>
      <c r="AK43" s="73">
        <f t="shared" si="14"/>
        <v>29.23303841</v>
      </c>
      <c r="AM43" s="51">
        <f t="shared" si="15"/>
        <v>4278.213215</v>
      </c>
      <c r="AN43" s="51" t="str">
        <f t="array" ref="AN43">XLOOKUP(D43,RUC!$B$3:$B$565,RUC!$M$3:$M$565)</f>
        <v>Dante </v>
      </c>
      <c r="AO43" s="131" t="s">
        <v>558</v>
      </c>
      <c r="AP43" s="57" t="s">
        <v>719</v>
      </c>
      <c r="AQ43" s="57" t="s">
        <v>2417</v>
      </c>
    </row>
    <row r="44" ht="15.0" customHeight="1">
      <c r="A44" s="116" t="s">
        <v>3314</v>
      </c>
      <c r="B44" s="182">
        <v>46073.0</v>
      </c>
      <c r="C44" s="182">
        <v>46067.0</v>
      </c>
      <c r="D44" s="2" t="s">
        <v>806</v>
      </c>
      <c r="E44" s="3">
        <f t="array" ref="E44">XLOOKUP(D44,RUC!$B$3:$B$110,RUC!$D$3:$D$110)</f>
        <v>20614284740</v>
      </c>
      <c r="G44" s="141">
        <v>105.0</v>
      </c>
      <c r="H44" s="3" t="s">
        <v>47</v>
      </c>
      <c r="I44" s="6">
        <v>8.26</v>
      </c>
      <c r="J44" s="58">
        <v>2.75</v>
      </c>
      <c r="K44" s="6">
        <f t="shared" si="3"/>
        <v>8.033</v>
      </c>
      <c r="L44" s="139">
        <v>0.15</v>
      </c>
      <c r="M44" s="60">
        <f t="shared" si="4"/>
        <v>0.131</v>
      </c>
      <c r="N44" s="62">
        <f t="shared" si="35"/>
        <v>0.131</v>
      </c>
      <c r="O44" s="60">
        <f t="shared" si="34"/>
        <v>0.131</v>
      </c>
      <c r="P44" s="63">
        <v>85.0</v>
      </c>
      <c r="Q44" s="58">
        <v>95.67</v>
      </c>
      <c r="R44" s="65">
        <v>4994.95</v>
      </c>
      <c r="S44" s="66">
        <f t="array" ref="S44">IF((XLOOKUP(D44,RUC!$B$3:$B$106,RUC!$E$3:$E$106)+ROUNDDOWN(O44,1)*100)&lt;95,95,((XLOOKUP(D44,RUC!$B$3:$B$106,RUC!$E$3:$E$106)+ROUNDDOWN(O44,1)*100)))</f>
        <v>100</v>
      </c>
      <c r="U44" s="67">
        <f t="array" ref="U44">XLOOKUP(D44,RUC!$B$3:$B$110,RUC!$F$3:$F$110)</f>
        <v>120</v>
      </c>
      <c r="V44" s="67">
        <v>1.1023</v>
      </c>
      <c r="Y44" s="57">
        <f t="array" ref="Y44">XLOOKUP(D44,RUC!$B$3:$B$110,RUC!$G$3:$G$110)</f>
        <v>20</v>
      </c>
      <c r="Z44" s="69">
        <f t="array" ref="Z44">XLOOKUP(D44,RUC!$B$3:$B$110,RUC!$H$3:$H$110)</f>
        <v>30</v>
      </c>
      <c r="AA44" s="70">
        <f t="shared" si="7"/>
        <v>50</v>
      </c>
      <c r="AB44" s="71">
        <f t="shared" si="25"/>
        <v>433.0117498</v>
      </c>
      <c r="AC44" s="71">
        <f>+(S44-T44)*V44-'data 1'!$F$4</f>
        <v>30.23</v>
      </c>
      <c r="AD44" s="71">
        <f t="shared" si="8"/>
        <v>86.00538645</v>
      </c>
      <c r="AE44" s="71">
        <f t="shared" si="9"/>
        <v>-14.885</v>
      </c>
      <c r="AF44" s="71">
        <f t="shared" si="10"/>
        <v>97.67858238</v>
      </c>
      <c r="AG44" s="72">
        <f t="shared" si="29"/>
        <v>216.0289688</v>
      </c>
      <c r="AH44" s="193">
        <f t="shared" si="11"/>
        <v>39.523</v>
      </c>
      <c r="AI44" s="193">
        <f t="shared" si="12"/>
        <v>41.312</v>
      </c>
      <c r="AJ44" s="73">
        <f t="shared" si="13"/>
        <v>3.962548316</v>
      </c>
      <c r="AK44" s="73">
        <f t="shared" si="14"/>
        <v>30.66740705</v>
      </c>
      <c r="AM44" s="51">
        <f t="shared" si="15"/>
        <v>3478.383386</v>
      </c>
      <c r="AN44" s="51" t="str">
        <f t="array" ref="AN44">XLOOKUP(D44,RUC!$B$3:$B$565,RUC!$M$3:$M$565)</f>
        <v>Dante </v>
      </c>
      <c r="AO44" s="131" t="s">
        <v>558</v>
      </c>
      <c r="AP44" s="57" t="s">
        <v>719</v>
      </c>
      <c r="AQ44" s="57" t="s">
        <v>2417</v>
      </c>
    </row>
    <row r="45" ht="15.0" customHeight="1">
      <c r="A45" s="116" t="s">
        <v>3315</v>
      </c>
      <c r="B45" s="182">
        <v>46073.0</v>
      </c>
      <c r="C45" s="182">
        <v>46067.0</v>
      </c>
      <c r="D45" s="2" t="s">
        <v>806</v>
      </c>
      <c r="E45" s="3">
        <f t="array" ref="E45">XLOOKUP(D45,RUC!$B$3:$B$110,RUC!$D$3:$D$110)</f>
        <v>20614284740</v>
      </c>
      <c r="G45" s="141">
        <v>28.0</v>
      </c>
      <c r="H45" s="3" t="s">
        <v>40</v>
      </c>
      <c r="I45" s="6">
        <v>1.75</v>
      </c>
      <c r="J45" s="58">
        <v>2.1</v>
      </c>
      <c r="K45" s="6">
        <f t="shared" si="3"/>
        <v>1.713</v>
      </c>
      <c r="L45" s="139">
        <v>0.337</v>
      </c>
      <c r="M45" s="60">
        <f t="shared" si="4"/>
        <v>0.317</v>
      </c>
      <c r="N45" s="62">
        <f t="shared" si="35"/>
        <v>0.317</v>
      </c>
      <c r="O45" s="60">
        <f t="shared" si="34"/>
        <v>0.317</v>
      </c>
      <c r="P45" s="63">
        <v>90.0</v>
      </c>
      <c r="Q45" s="58">
        <v>94.07</v>
      </c>
      <c r="R45" s="65">
        <v>4994.95</v>
      </c>
      <c r="S45" s="66">
        <f t="array" ref="S45">IF((XLOOKUP(D45,RUC!$B$3:$B$106,RUC!$E$3:$E$106)+ROUNDDOWN(O45,1)*100)&lt;95,95,((XLOOKUP(D45,RUC!$B$3:$B$106,RUC!$E$3:$E$106)+ROUNDDOWN(O45,1)*100)))</f>
        <v>120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si="7"/>
        <v>50</v>
      </c>
      <c r="AB45" s="71">
        <f t="shared" si="25"/>
        <v>1345.713452</v>
      </c>
      <c r="AC45" s="71">
        <f>+(S45-T45)*V45-'data 1'!$F$4</f>
        <v>52.276</v>
      </c>
      <c r="AD45" s="71">
        <f t="shared" si="8"/>
        <v>73.70454733</v>
      </c>
      <c r="AE45" s="71">
        <f t="shared" si="9"/>
        <v>-14.885</v>
      </c>
      <c r="AF45" s="71">
        <f t="shared" si="10"/>
        <v>101.09999</v>
      </c>
      <c r="AG45" s="72">
        <f t="shared" si="29"/>
        <v>229.1955374</v>
      </c>
      <c r="AH45" s="193">
        <f t="shared" si="11"/>
        <v>18.619</v>
      </c>
      <c r="AI45" s="193">
        <f t="shared" si="12"/>
        <v>19.792</v>
      </c>
      <c r="AJ45" s="73">
        <f t="shared" si="13"/>
        <v>8.753637996</v>
      </c>
      <c r="AK45" s="73">
        <f t="shared" si="14"/>
        <v>16.75591713</v>
      </c>
      <c r="AM45" s="51">
        <f t="shared" si="15"/>
        <v>2305.207143</v>
      </c>
      <c r="AN45" s="51" t="str">
        <f t="array" ref="AN45">XLOOKUP(D45,RUC!$B$3:$B$565,RUC!$M$3:$M$565)</f>
        <v>Dante </v>
      </c>
      <c r="AO45" s="131" t="s">
        <v>558</v>
      </c>
      <c r="AP45" s="57" t="s">
        <v>719</v>
      </c>
      <c r="AQ45" s="57" t="s">
        <v>2417</v>
      </c>
    </row>
    <row r="46" ht="15.0" customHeight="1">
      <c r="A46" s="116" t="s">
        <v>3316</v>
      </c>
      <c r="B46" s="182">
        <v>46073.0</v>
      </c>
      <c r="C46" s="182">
        <v>46067.0</v>
      </c>
      <c r="D46" s="2" t="s">
        <v>806</v>
      </c>
      <c r="E46" s="3">
        <f t="array" ref="E46">XLOOKUP(D46,RUC!$B$3:$B$110,RUC!$D$3:$D$110)</f>
        <v>20614284740</v>
      </c>
      <c r="G46" s="141">
        <v>41.0</v>
      </c>
      <c r="H46" s="3" t="s">
        <v>47</v>
      </c>
      <c r="I46" s="6">
        <v>2.88</v>
      </c>
      <c r="J46" s="58">
        <v>2.2</v>
      </c>
      <c r="K46" s="6">
        <f t="shared" si="3"/>
        <v>2.817</v>
      </c>
      <c r="L46" s="139">
        <v>1.258</v>
      </c>
      <c r="M46" s="60">
        <f t="shared" si="4"/>
        <v>1.183</v>
      </c>
      <c r="N46" s="75">
        <v>1.234</v>
      </c>
      <c r="O46" s="60">
        <f t="shared" si="34"/>
        <v>1.209</v>
      </c>
      <c r="P46" s="63">
        <v>90.0</v>
      </c>
      <c r="Q46" s="58">
        <v>97.18</v>
      </c>
      <c r="R46" s="65">
        <v>4994.95</v>
      </c>
      <c r="S46" s="66">
        <f t="array" ref="S46">IF((XLOOKUP(D46,RUC!$B$3:$B$106,RUC!$E$3:$E$106)+ROUNDDOWN(O46,1)*100)&lt;95,95,((XLOOKUP(D46,RUC!$B$3:$B$106,RUC!$E$3:$E$106)+ROUNDDOWN(O46,1)*100)))</f>
        <v>210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7"/>
        <v>50</v>
      </c>
      <c r="AB46" s="71">
        <f t="shared" si="25"/>
        <v>5560.478601</v>
      </c>
      <c r="AC46" s="71">
        <f>+(S46-T46)*V46-'data 1'!$F$4</f>
        <v>151.483</v>
      </c>
      <c r="AD46" s="71">
        <f t="shared" si="8"/>
        <v>485.3723791</v>
      </c>
      <c r="AE46" s="71">
        <f t="shared" si="9"/>
        <v>-14.885</v>
      </c>
      <c r="AF46" s="71">
        <f t="shared" si="10"/>
        <v>255.8838921</v>
      </c>
      <c r="AG46" s="72">
        <f t="shared" si="29"/>
        <v>894.8542712</v>
      </c>
      <c r="AH46" s="193">
        <f t="shared" si="11"/>
        <v>118.074</v>
      </c>
      <c r="AI46" s="193">
        <f t="shared" si="12"/>
        <v>121.5</v>
      </c>
      <c r="AJ46" s="73">
        <f t="shared" si="13"/>
        <v>33.75709559</v>
      </c>
      <c r="AK46" s="73">
        <f t="shared" si="14"/>
        <v>105.0908069</v>
      </c>
      <c r="AM46" s="51">
        <f t="shared" si="15"/>
        <v>15663.86822</v>
      </c>
      <c r="AN46" s="51" t="str">
        <f t="array" ref="AN46">XLOOKUP(D46,RUC!$B$3:$B$565,RUC!$M$3:$M$565)</f>
        <v>Dante </v>
      </c>
      <c r="AO46" s="131" t="s">
        <v>558</v>
      </c>
      <c r="AP46" s="57" t="s">
        <v>719</v>
      </c>
      <c r="AQ46" s="57" t="s">
        <v>2417</v>
      </c>
    </row>
    <row r="47" ht="15.0" customHeight="1">
      <c r="A47" s="116" t="s">
        <v>3317</v>
      </c>
      <c r="B47" s="182">
        <v>46072.0</v>
      </c>
      <c r="C47" s="182">
        <v>46067.0</v>
      </c>
      <c r="D47" s="2" t="s">
        <v>2786</v>
      </c>
      <c r="E47" s="3" t="str">
        <f t="array" ref="E47">XLOOKUP(D47,RUC!$B$3:$B$110,RUC!$D$3:$D$110)</f>
        <v>20614284740*</v>
      </c>
      <c r="G47" s="141">
        <v>14.0</v>
      </c>
      <c r="H47" s="3" t="s">
        <v>47</v>
      </c>
      <c r="I47" s="6">
        <v>1.15</v>
      </c>
      <c r="J47" s="58">
        <v>2.15</v>
      </c>
      <c r="K47" s="6">
        <f t="shared" si="3"/>
        <v>1.125</v>
      </c>
      <c r="L47" s="139">
        <v>0.467</v>
      </c>
      <c r="M47" s="60">
        <f t="shared" si="4"/>
        <v>0.439</v>
      </c>
      <c r="N47" s="62">
        <f t="shared" ref="N47:N51" si="36">+M47</f>
        <v>0.439</v>
      </c>
      <c r="O47" s="60">
        <f t="shared" si="34"/>
        <v>0.439</v>
      </c>
      <c r="P47" s="63">
        <v>90.0</v>
      </c>
      <c r="Q47" s="58">
        <v>91.65</v>
      </c>
      <c r="R47" s="65">
        <v>4994.95</v>
      </c>
      <c r="S47" s="66">
        <f t="array" ref="S47">IF((XLOOKUP(D47,RUC!$B$3:$B$106,RUC!$E$3:$E$106)+ROUNDDOWN(O47,1)*100)&lt;95,95,((XLOOKUP(D47,RUC!$B$3:$B$106,RUC!$E$3:$E$106)+ROUNDDOWN(O47,1)*100)))</f>
        <v>120</v>
      </c>
      <c r="U47" s="67">
        <f t="array" ref="U47">XLOOKUP(D47,RUC!$B$3:$B$110,RUC!$F$3:$F$110)</f>
        <v>110</v>
      </c>
      <c r="V47" s="67">
        <v>1.1023</v>
      </c>
      <c r="Y47" s="57">
        <f t="array" ref="Y47">XLOOKUP(D47,RUC!$B$3:$B$110,RUC!$G$3:$G$110)</f>
        <v>0</v>
      </c>
      <c r="Z47" s="69">
        <f t="array" ref="Z47">XLOOKUP(D47,RUC!$B$3:$B$110,RUC!$H$3:$H$110)</f>
        <v>35</v>
      </c>
      <c r="AA47" s="70">
        <f t="shared" si="7"/>
        <v>35</v>
      </c>
      <c r="AB47" s="71">
        <f t="shared" si="25"/>
        <v>1956.63072</v>
      </c>
      <c r="AC47" s="71">
        <f>+(S47-T47)*V47-'data 1'!$F$4</f>
        <v>52.276</v>
      </c>
      <c r="AD47" s="71">
        <f t="shared" si="8"/>
        <v>41.49165471</v>
      </c>
      <c r="AE47" s="71">
        <f t="shared" si="9"/>
        <v>-31.4195</v>
      </c>
      <c r="AF47" s="71">
        <f t="shared" si="10"/>
        <v>138.181668</v>
      </c>
      <c r="AG47" s="72">
        <f t="shared" si="29"/>
        <v>217.5298227</v>
      </c>
      <c r="AH47" s="193">
        <f t="shared" si="11"/>
        <v>16.509</v>
      </c>
      <c r="AI47" s="193">
        <f t="shared" si="12"/>
        <v>18.013</v>
      </c>
      <c r="AJ47" s="73">
        <f t="shared" si="13"/>
        <v>7.100446463</v>
      </c>
      <c r="AK47" s="73">
        <f t="shared" si="14"/>
        <v>15.23942642</v>
      </c>
      <c r="AM47" s="51">
        <f t="shared" si="15"/>
        <v>2201.20956</v>
      </c>
      <c r="AN47" s="122" t="str">
        <f t="array" ref="AN47">XLOOKUP(D47,RUC!$B$3:$B$565,RUC!$M$3:$M$565)</f>
        <v>Robinson Tuya</v>
      </c>
      <c r="AO47" s="131" t="s">
        <v>558</v>
      </c>
      <c r="AP47" s="57" t="s">
        <v>867</v>
      </c>
      <c r="AQ47" s="57" t="s">
        <v>2339</v>
      </c>
    </row>
    <row r="48" ht="15.0" customHeight="1">
      <c r="A48" s="116" t="s">
        <v>3318</v>
      </c>
      <c r="B48" s="182">
        <v>46073.0</v>
      </c>
      <c r="C48" s="182">
        <v>46068.0</v>
      </c>
      <c r="D48" s="57" t="s">
        <v>730</v>
      </c>
      <c r="E48" s="3">
        <f t="array" ref="E48">XLOOKUP(D48,RUC!$B$3:$B$110,RUC!$D$3:$D$110)</f>
        <v>20613935151</v>
      </c>
      <c r="G48" s="141">
        <v>46.0</v>
      </c>
      <c r="H48" s="3" t="s">
        <v>47</v>
      </c>
      <c r="I48" s="6">
        <v>3.57</v>
      </c>
      <c r="J48" s="58">
        <v>3.5</v>
      </c>
      <c r="K48" s="6">
        <f t="shared" si="3"/>
        <v>3.445</v>
      </c>
      <c r="L48" s="139">
        <v>0.247</v>
      </c>
      <c r="M48" s="60">
        <f t="shared" si="4"/>
        <v>0.228</v>
      </c>
      <c r="N48" s="62">
        <f t="shared" si="36"/>
        <v>0.228</v>
      </c>
      <c r="O48" s="60">
        <f t="shared" si="34"/>
        <v>0.228</v>
      </c>
      <c r="P48" s="63">
        <v>90.0</v>
      </c>
      <c r="Q48" s="58">
        <v>94.94</v>
      </c>
      <c r="R48" s="65">
        <v>4972.1</v>
      </c>
      <c r="S48" s="66">
        <f t="array" ref="S48">IF((XLOOKUP(D48,RUC!$B$3:$B$106,RUC!$E$3:$E$106)+ROUNDDOWN(O48,1)*100)&lt;95,95,((XLOOKUP(D48,RUC!$B$3:$B$106,RUC!$E$3:$E$106)+ROUNDDOWN(O48,1)*100)))</f>
        <v>110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7"/>
        <v>50</v>
      </c>
      <c r="AB48" s="71">
        <f t="shared" si="25"/>
        <v>921.1380091</v>
      </c>
      <c r="AC48" s="71">
        <f>+(S48-T48)*V48-'data 1'!$F$4</f>
        <v>41.253</v>
      </c>
      <c r="AD48" s="71">
        <f t="shared" si="8"/>
        <v>65.26095917</v>
      </c>
      <c r="AE48" s="71">
        <f t="shared" si="9"/>
        <v>-14.885</v>
      </c>
      <c r="AF48" s="71">
        <f t="shared" si="10"/>
        <v>96.47890788</v>
      </c>
      <c r="AG48" s="72">
        <f t="shared" si="29"/>
        <v>205.107867</v>
      </c>
      <c r="AH48" s="193">
        <f t="shared" si="11"/>
        <v>27.698</v>
      </c>
      <c r="AI48" s="193">
        <f t="shared" si="12"/>
        <v>29.174</v>
      </c>
      <c r="AJ48" s="73">
        <f t="shared" si="13"/>
        <v>12.38173491</v>
      </c>
      <c r="AK48" s="73">
        <f t="shared" si="14"/>
        <v>24.23682081</v>
      </c>
      <c r="AM48" s="51">
        <f t="shared" si="15"/>
        <v>3173.320441</v>
      </c>
      <c r="AN48" s="51" t="str">
        <f t="array" ref="AN48">XLOOKUP(D48,RUC!$B$3:$B$565,RUC!$M$3:$M$565)</f>
        <v>Dante </v>
      </c>
      <c r="AO48" s="131" t="s">
        <v>551</v>
      </c>
      <c r="AP48" s="57" t="s">
        <v>2525</v>
      </c>
      <c r="AQ48" s="57" t="s">
        <v>707</v>
      </c>
    </row>
    <row r="49" ht="15.0" customHeight="1">
      <c r="A49" s="116" t="s">
        <v>3319</v>
      </c>
      <c r="B49" s="182">
        <v>46073.0</v>
      </c>
      <c r="C49" s="182">
        <v>46068.0</v>
      </c>
      <c r="D49" s="57" t="s">
        <v>730</v>
      </c>
      <c r="E49" s="3">
        <f t="array" ref="E49">XLOOKUP(D49,RUC!$B$3:$B$110,RUC!$D$3:$D$110)</f>
        <v>20613935151</v>
      </c>
      <c r="G49" s="141">
        <v>45.0</v>
      </c>
      <c r="H49" s="3" t="s">
        <v>47</v>
      </c>
      <c r="I49" s="6">
        <v>3.45</v>
      </c>
      <c r="J49" s="58">
        <v>3.0</v>
      </c>
      <c r="K49" s="6">
        <f t="shared" si="3"/>
        <v>3.347</v>
      </c>
      <c r="L49" s="139">
        <v>0.25</v>
      </c>
      <c r="M49" s="60">
        <f t="shared" si="4"/>
        <v>0.231</v>
      </c>
      <c r="N49" s="62">
        <f t="shared" si="36"/>
        <v>0.231</v>
      </c>
      <c r="O49" s="60">
        <f t="shared" si="34"/>
        <v>0.231</v>
      </c>
      <c r="P49" s="63">
        <v>90.0</v>
      </c>
      <c r="Q49" s="58">
        <v>95.4</v>
      </c>
      <c r="R49" s="65">
        <v>4972.1</v>
      </c>
      <c r="S49" s="66">
        <f t="array" ref="S49">IF((XLOOKUP(D49,RUC!$B$3:$B$106,RUC!$E$3:$E$106)+ROUNDDOWN(O49,1)*100)&lt;95,95,((XLOOKUP(D49,RUC!$B$3:$B$106,RUC!$E$3:$E$106)+ROUNDDOWN(O49,1)*100)))</f>
        <v>110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7"/>
        <v>50</v>
      </c>
      <c r="AB49" s="71">
        <f t="shared" si="25"/>
        <v>935.5788777</v>
      </c>
      <c r="AC49" s="71">
        <f>+(S49-T49)*V49-'data 1'!$F$4</f>
        <v>41.253</v>
      </c>
      <c r="AD49" s="71">
        <f t="shared" si="8"/>
        <v>72.20434271</v>
      </c>
      <c r="AE49" s="71">
        <f t="shared" si="9"/>
        <v>-14.885</v>
      </c>
      <c r="AF49" s="71">
        <f t="shared" si="10"/>
        <v>96.94636414</v>
      </c>
      <c r="AG49" s="72">
        <f t="shared" si="29"/>
        <v>212.5187068</v>
      </c>
      <c r="AH49" s="193">
        <f t="shared" si="11"/>
        <v>27.369</v>
      </c>
      <c r="AI49" s="193">
        <f t="shared" si="12"/>
        <v>28.688</v>
      </c>
      <c r="AJ49" s="73">
        <f t="shared" si="13"/>
        <v>12.59284054</v>
      </c>
      <c r="AK49" s="73">
        <f t="shared" si="14"/>
        <v>23.85718899</v>
      </c>
      <c r="AM49" s="51">
        <f t="shared" si="15"/>
        <v>3131.382504</v>
      </c>
      <c r="AN49" s="51" t="str">
        <f t="array" ref="AN49">XLOOKUP(D49,RUC!$B$3:$B$565,RUC!$M$3:$M$565)</f>
        <v>Dante </v>
      </c>
      <c r="AO49" s="131" t="s">
        <v>551</v>
      </c>
      <c r="AP49" s="57" t="s">
        <v>2525</v>
      </c>
      <c r="AQ49" s="57" t="s">
        <v>707</v>
      </c>
    </row>
    <row r="50" ht="15.0" customHeight="1">
      <c r="A50" s="116" t="s">
        <v>3320</v>
      </c>
      <c r="B50" s="182">
        <v>46076.0</v>
      </c>
      <c r="C50" s="182">
        <v>46068.0</v>
      </c>
      <c r="D50" s="57" t="s">
        <v>306</v>
      </c>
      <c r="E50" s="3">
        <f t="array" ref="E50">XLOOKUP(D50,RUC!$B$3:$B$110,RUC!$D$3:$D$110)</f>
        <v>20612921866</v>
      </c>
      <c r="G50" s="141">
        <v>125.0</v>
      </c>
      <c r="H50" s="3" t="s">
        <v>47</v>
      </c>
      <c r="I50" s="6">
        <v>11.76</v>
      </c>
      <c r="J50" s="58">
        <v>2.1</v>
      </c>
      <c r="K50" s="6">
        <f t="shared" si="3"/>
        <v>11.513</v>
      </c>
      <c r="L50" s="139">
        <v>0.303</v>
      </c>
      <c r="M50" s="60">
        <f t="shared" si="4"/>
        <v>0.285</v>
      </c>
      <c r="N50" s="62">
        <f t="shared" si="36"/>
        <v>0.285</v>
      </c>
      <c r="O50" s="123">
        <v>0.288</v>
      </c>
      <c r="P50" s="63">
        <v>90.0</v>
      </c>
      <c r="Q50" s="58">
        <v>97.36000000000001</v>
      </c>
      <c r="R50" s="65">
        <v>4972.1</v>
      </c>
      <c r="S50" s="66">
        <f t="array" ref="S50">IF((XLOOKUP(D50,RUC!$B$3:$B$106,RUC!$E$3:$E$106)+ROUNDDOWN(O50,1)*100)&lt;95,95,((XLOOKUP(D50,RUC!$B$3:$B$106,RUC!$E$3:$E$106)+ROUNDDOWN(O50,1)*100)))</f>
        <v>100</v>
      </c>
      <c r="U50" s="67">
        <f t="array" ref="U50">XLOOKUP(D50,RUC!$B$3:$B$110,RUC!$F$3:$F$110)</f>
        <v>100</v>
      </c>
      <c r="V50" s="67">
        <v>1.1023</v>
      </c>
      <c r="Y50" s="57" t="str">
        <f t="array" ref="Y50">XLOOKUP(D50,RUC!$B$3:$B$110,RUC!$G$3:$G$110)</f>
        <v/>
      </c>
      <c r="Z50" s="69">
        <f t="array" ref="Z50">XLOOKUP(D50,RUC!$B$3:$B$110,RUC!$H$3:$H$110)</f>
        <v>30</v>
      </c>
      <c r="AA50" s="70">
        <f t="shared" si="7"/>
        <v>30</v>
      </c>
      <c r="AB50" s="71">
        <f t="shared" si="25"/>
        <v>1248.738703</v>
      </c>
      <c r="AC50" s="71">
        <f>+(S50-T50)*V50-'data 1'!$F$4</f>
        <v>30.23</v>
      </c>
      <c r="AD50" s="71">
        <f t="shared" si="8"/>
        <v>119.7667994</v>
      </c>
      <c r="AE50" s="71">
        <f t="shared" si="9"/>
        <v>-36.931</v>
      </c>
      <c r="AF50" s="71">
        <f t="shared" si="10"/>
        <v>78.43101318</v>
      </c>
      <c r="AG50" s="72">
        <f>AC50+AD50+AE50+AF50+70-10</f>
        <v>251.4968126</v>
      </c>
      <c r="AH50" s="193">
        <f t="shared" si="11"/>
        <v>116.445</v>
      </c>
      <c r="AI50" s="193">
        <f t="shared" si="12"/>
        <v>119.602</v>
      </c>
      <c r="AJ50" s="73">
        <f t="shared" si="13"/>
        <v>9.072504753</v>
      </c>
      <c r="AK50" s="73">
        <f t="shared" si="14"/>
        <v>102.3134127</v>
      </c>
      <c r="AM50" s="51">
        <f t="shared" si="15"/>
        <v>14376.72869</v>
      </c>
      <c r="AN50" s="51" t="str">
        <f t="array" ref="AN50">XLOOKUP(D50,RUC!$B$3:$B$565,RUC!$M$3:$M$565)</f>
        <v>Ronald Garibay</v>
      </c>
      <c r="AO50" s="131" t="s">
        <v>558</v>
      </c>
      <c r="AP50" s="57" t="s">
        <v>3321</v>
      </c>
      <c r="AQ50" s="57" t="s">
        <v>3322</v>
      </c>
      <c r="AR50" s="2" t="s">
        <v>3323</v>
      </c>
    </row>
    <row r="51" ht="15.0" customHeight="1">
      <c r="A51" s="116" t="s">
        <v>3324</v>
      </c>
      <c r="B51" s="182">
        <v>46077.0</v>
      </c>
      <c r="C51" s="182">
        <v>46068.0</v>
      </c>
      <c r="D51" s="57" t="s">
        <v>2166</v>
      </c>
      <c r="E51" s="3">
        <f t="array" ref="E51">XLOOKUP(D51,RUC!$B$3:$B$110,RUC!$D$3:$D$110)</f>
        <v>10408856049</v>
      </c>
      <c r="G51" s="141" t="s">
        <v>735</v>
      </c>
      <c r="H51" s="3" t="s">
        <v>47</v>
      </c>
      <c r="I51" s="6">
        <v>34.13</v>
      </c>
      <c r="J51" s="58">
        <v>15.85</v>
      </c>
      <c r="K51" s="6">
        <f t="shared" si="3"/>
        <v>28.72</v>
      </c>
      <c r="L51" s="139">
        <v>0.207</v>
      </c>
      <c r="M51" s="60">
        <f t="shared" si="4"/>
        <v>0.188</v>
      </c>
      <c r="N51" s="62">
        <f t="shared" si="36"/>
        <v>0.188</v>
      </c>
      <c r="O51" s="60">
        <f t="shared" ref="O51:O109" si="37">+ROUND((M51+N51)/2,3)</f>
        <v>0.188</v>
      </c>
      <c r="P51" s="63">
        <v>90.0</v>
      </c>
      <c r="Q51" s="58">
        <v>96.62</v>
      </c>
      <c r="R51" s="65">
        <v>4972.1</v>
      </c>
      <c r="S51" s="462">
        <v>105.0</v>
      </c>
      <c r="U51" s="199">
        <v>170.0</v>
      </c>
      <c r="V51" s="67">
        <v>1.1023</v>
      </c>
      <c r="Y51" s="57">
        <v>0.0</v>
      </c>
      <c r="Z51" s="69">
        <f t="array" ref="Z51">XLOOKUP(D51,RUC!$B$3:$B$110,RUC!$H$3:$H$110)</f>
        <v>30</v>
      </c>
      <c r="AA51" s="70">
        <f t="shared" si="7"/>
        <v>30</v>
      </c>
      <c r="AB51" s="71">
        <f t="shared" si="25"/>
        <v>746.8251372</v>
      </c>
      <c r="AC51" s="71">
        <f>+(S51-T51)*V51-'data 1'!$F$4</f>
        <v>35.7415</v>
      </c>
      <c r="AD51" s="71">
        <f t="shared" si="8"/>
        <v>72.53695858</v>
      </c>
      <c r="AE51" s="71">
        <f t="shared" si="9"/>
        <v>-36.931</v>
      </c>
      <c r="AF51" s="71">
        <f t="shared" si="10"/>
        <v>97.1743493</v>
      </c>
      <c r="AG51" s="72">
        <f>AC51+AD51+AE51+AF51+70-53</f>
        <v>185.5218079</v>
      </c>
      <c r="AH51" s="193">
        <f t="shared" si="11"/>
        <v>196.939</v>
      </c>
      <c r="AI51" s="193">
        <f t="shared" si="12"/>
        <v>203.828</v>
      </c>
      <c r="AJ51" s="73">
        <f t="shared" si="13"/>
        <v>21.58340091</v>
      </c>
      <c r="AK51" s="73">
        <f t="shared" si="14"/>
        <v>166.6072375</v>
      </c>
      <c r="AM51" s="51">
        <f t="shared" si="15"/>
        <v>21448.81794</v>
      </c>
      <c r="AN51" s="51" t="str">
        <f t="array" ref="AN51">XLOOKUP(D51,RUC!$B$3:$B$565,RUC!$M$3:$M$565)</f>
        <v>Richard Sapacayo</v>
      </c>
      <c r="AO51" s="131" t="s">
        <v>549</v>
      </c>
      <c r="AP51" s="57" t="s">
        <v>598</v>
      </c>
      <c r="AQ51" s="57" t="s">
        <v>604</v>
      </c>
    </row>
    <row r="52" ht="15.0" customHeight="1">
      <c r="A52" s="116" t="s">
        <v>3325</v>
      </c>
      <c r="B52" s="182">
        <v>46076.0</v>
      </c>
      <c r="C52" s="182">
        <v>46071.0</v>
      </c>
      <c r="D52" s="57" t="s">
        <v>306</v>
      </c>
      <c r="E52" s="3">
        <f t="array" ref="E52">XLOOKUP(D52,RUC!$B$3:$B$110,RUC!$D$3:$D$110)</f>
        <v>20612921866</v>
      </c>
      <c r="G52" s="141" t="s">
        <v>735</v>
      </c>
      <c r="H52" s="3" t="s">
        <v>47</v>
      </c>
      <c r="I52" s="6">
        <v>10.16</v>
      </c>
      <c r="J52" s="58">
        <v>2.1</v>
      </c>
      <c r="K52" s="6">
        <f t="shared" si="3"/>
        <v>9.947</v>
      </c>
      <c r="L52" s="139">
        <v>0.323</v>
      </c>
      <c r="M52" s="60">
        <f t="shared" si="4"/>
        <v>0.304</v>
      </c>
      <c r="N52" s="75">
        <v>0.373</v>
      </c>
      <c r="O52" s="60">
        <f t="shared" si="37"/>
        <v>0.339</v>
      </c>
      <c r="P52" s="63">
        <v>90.0</v>
      </c>
      <c r="Q52" s="58">
        <v>97.52</v>
      </c>
      <c r="R52" s="65">
        <v>5003.3</v>
      </c>
      <c r="S52" s="66">
        <f t="array" ref="S52">IF((XLOOKUP(D52,RUC!$B$3:$B$106,RUC!$E$3:$E$106)+ROUNDDOWN(O52,1)*100)&lt;95,95,((XLOOKUP(D52,RUC!$B$3:$B$106,RUC!$E$3:$E$106)+ROUNDDOWN(O52,1)*100)))</f>
        <v>110</v>
      </c>
      <c r="U52" s="67">
        <f t="array" ref="U52">XLOOKUP(D52,RUC!$B$3:$B$110,RUC!$F$3:$F$110)</f>
        <v>100</v>
      </c>
      <c r="V52" s="67">
        <v>1.1023</v>
      </c>
      <c r="Y52" s="57" t="str">
        <f t="array" ref="Y52">XLOOKUP(D52,RUC!$B$3:$B$110,RUC!$G$3:$G$110)</f>
        <v/>
      </c>
      <c r="Z52" s="69">
        <f t="array" ref="Z52">XLOOKUP(D52,RUC!$B$3:$B$110,RUC!$H$3:$H$110)</f>
        <v>30</v>
      </c>
      <c r="AA52" s="70">
        <f t="shared" si="7"/>
        <v>30</v>
      </c>
      <c r="AB52" s="71">
        <f t="shared" si="25"/>
        <v>1494.715306</v>
      </c>
      <c r="AC52" s="71">
        <f>+(S52-T52)*V52-'data 1'!$F$4</f>
        <v>41.253</v>
      </c>
      <c r="AD52" s="71">
        <f t="shared" si="8"/>
        <v>131.2830434</v>
      </c>
      <c r="AE52" s="71">
        <f t="shared" si="9"/>
        <v>-36.931</v>
      </c>
      <c r="AF52" s="71">
        <f t="shared" si="10"/>
        <v>-84.33385411</v>
      </c>
      <c r="AG52" s="72">
        <f t="shared" ref="AG52:AG58" si="38">AC52+AD52+AE52+AF52+70-10</f>
        <v>111.2711893</v>
      </c>
      <c r="AH52" s="193">
        <f t="shared" si="11"/>
        <v>107.423</v>
      </c>
      <c r="AI52" s="193">
        <f t="shared" si="12"/>
        <v>110.155</v>
      </c>
      <c r="AJ52" s="73">
        <f t="shared" si="13"/>
        <v>-1.145803019</v>
      </c>
      <c r="AK52" s="73">
        <f t="shared" si="14"/>
        <v>104.0503139</v>
      </c>
      <c r="AM52" s="51">
        <f t="shared" si="15"/>
        <v>14867.93315</v>
      </c>
      <c r="AN52" s="51" t="str">
        <f t="array" ref="AN52">XLOOKUP(D52,RUC!$B$3:$B$565,RUC!$M$3:$M$565)</f>
        <v>Ronald Garibay</v>
      </c>
      <c r="AO52" s="131" t="s">
        <v>558</v>
      </c>
      <c r="AP52" s="57" t="s">
        <v>3326</v>
      </c>
      <c r="AQ52" s="57" t="s">
        <v>3327</v>
      </c>
    </row>
    <row r="53" ht="15.0" customHeight="1">
      <c r="A53" s="116" t="s">
        <v>3328</v>
      </c>
      <c r="B53" s="182">
        <v>46076.0</v>
      </c>
      <c r="C53" s="182">
        <v>46071.0</v>
      </c>
      <c r="D53" s="57" t="s">
        <v>306</v>
      </c>
      <c r="E53" s="3">
        <f t="array" ref="E53">XLOOKUP(D53,RUC!$B$3:$B$110,RUC!$D$3:$D$110)</f>
        <v>20612921866</v>
      </c>
      <c r="G53" s="141" t="s">
        <v>735</v>
      </c>
      <c r="H53" s="3" t="s">
        <v>47</v>
      </c>
      <c r="I53" s="6">
        <v>11.48</v>
      </c>
      <c r="J53" s="58">
        <v>2.1</v>
      </c>
      <c r="K53" s="6">
        <f t="shared" si="3"/>
        <v>11.239</v>
      </c>
      <c r="L53" s="139">
        <v>0.323</v>
      </c>
      <c r="M53" s="60">
        <f t="shared" si="4"/>
        <v>0.304</v>
      </c>
      <c r="N53" s="75">
        <v>0.373</v>
      </c>
      <c r="O53" s="60">
        <f t="shared" si="37"/>
        <v>0.339</v>
      </c>
      <c r="P53" s="63">
        <v>90.0</v>
      </c>
      <c r="Q53" s="58">
        <v>97.52</v>
      </c>
      <c r="R53" s="65">
        <v>5003.3</v>
      </c>
      <c r="S53" s="66">
        <f t="array" ref="S53">IF((XLOOKUP(D53,RUC!$B$3:$B$106,RUC!$E$3:$E$106)+ROUNDDOWN(O53,1)*100)&lt;95,95,((XLOOKUP(D53,RUC!$B$3:$B$106,RUC!$E$3:$E$106)+ROUNDDOWN(O53,1)*100)))</f>
        <v>110</v>
      </c>
      <c r="U53" s="67">
        <f t="array" ref="U53">XLOOKUP(D53,RUC!$B$3:$B$110,RUC!$F$3:$F$110)</f>
        <v>100</v>
      </c>
      <c r="V53" s="67">
        <v>1.1023</v>
      </c>
      <c r="Y53" s="57" t="str">
        <f t="array" ref="Y53">XLOOKUP(D53,RUC!$B$3:$B$110,RUC!$G$3:$G$110)</f>
        <v/>
      </c>
      <c r="Z53" s="69">
        <f t="array" ref="Z53">XLOOKUP(D53,RUC!$B$3:$B$110,RUC!$H$3:$H$110)</f>
        <v>30</v>
      </c>
      <c r="AA53" s="70">
        <f t="shared" si="7"/>
        <v>30</v>
      </c>
      <c r="AB53" s="71">
        <f t="shared" si="25"/>
        <v>1494.715306</v>
      </c>
      <c r="AC53" s="71">
        <f>+(S53-T53)*V53-'data 1'!$F$4</f>
        <v>41.253</v>
      </c>
      <c r="AD53" s="71">
        <f t="shared" si="8"/>
        <v>131.2830434</v>
      </c>
      <c r="AE53" s="71">
        <f t="shared" si="9"/>
        <v>-36.931</v>
      </c>
      <c r="AF53" s="71">
        <f t="shared" si="10"/>
        <v>-84.33385411</v>
      </c>
      <c r="AG53" s="72">
        <f t="shared" si="38"/>
        <v>111.2711893</v>
      </c>
      <c r="AH53" s="193">
        <f t="shared" si="11"/>
        <v>121.376</v>
      </c>
      <c r="AI53" s="193">
        <f t="shared" si="12"/>
        <v>124.463</v>
      </c>
      <c r="AJ53" s="73">
        <f t="shared" si="13"/>
        <v>-1.145803019</v>
      </c>
      <c r="AK53" s="73">
        <f t="shared" si="14"/>
        <v>117.5652436</v>
      </c>
      <c r="AM53" s="51">
        <f t="shared" si="15"/>
        <v>16799.10532</v>
      </c>
      <c r="AN53" s="51" t="str">
        <f t="array" ref="AN53">XLOOKUP(D53,RUC!$B$3:$B$565,RUC!$M$3:$M$565)</f>
        <v>Ronald Garibay</v>
      </c>
      <c r="AO53" s="131" t="s">
        <v>558</v>
      </c>
      <c r="AP53" s="57" t="s">
        <v>3329</v>
      </c>
      <c r="AQ53" s="57" t="s">
        <v>3330</v>
      </c>
    </row>
    <row r="54" ht="15.0" customHeight="1">
      <c r="A54" s="116" t="s">
        <v>3331</v>
      </c>
      <c r="B54" s="182">
        <v>46076.0</v>
      </c>
      <c r="C54" s="182">
        <v>46071.0</v>
      </c>
      <c r="D54" s="57" t="s">
        <v>306</v>
      </c>
      <c r="E54" s="3">
        <f t="array" ref="E54">XLOOKUP(D54,RUC!$B$3:$B$110,RUC!$D$3:$D$110)</f>
        <v>20612921866</v>
      </c>
      <c r="G54" s="141" t="s">
        <v>735</v>
      </c>
      <c r="H54" s="3" t="s">
        <v>47</v>
      </c>
      <c r="I54" s="6">
        <v>8.51</v>
      </c>
      <c r="J54" s="58">
        <v>2.15</v>
      </c>
      <c r="K54" s="6">
        <f t="shared" si="3"/>
        <v>8.327</v>
      </c>
      <c r="L54" s="139">
        <v>0.339</v>
      </c>
      <c r="M54" s="61">
        <f t="shared" ref="M54:M55" si="39">ROUND(+IF(AN54="Melchor Vera",IF(L54&gt;0.467,L54*0.985,(L54-0.007)),IF(L54&gt;0.3,L54*0.93,(L54-0.019))),3)</f>
        <v>0.315</v>
      </c>
      <c r="N54" s="75">
        <v>0.367</v>
      </c>
      <c r="O54" s="60">
        <f t="shared" si="37"/>
        <v>0.341</v>
      </c>
      <c r="P54" s="63">
        <v>90.0</v>
      </c>
      <c r="Q54" s="58">
        <v>97.05</v>
      </c>
      <c r="R54" s="65">
        <v>5003.3</v>
      </c>
      <c r="S54" s="66">
        <f t="array" ref="S54">IF((XLOOKUP(D54,RUC!$B$3:$B$106,RUC!$E$3:$E$106)+ROUNDDOWN(O54,1)*100)&lt;95,95,((XLOOKUP(D54,RUC!$B$3:$B$106,RUC!$E$3:$E$106)+ROUNDDOWN(O54,1)*100)))</f>
        <v>110</v>
      </c>
      <c r="U54" s="67">
        <f t="array" ref="U54">XLOOKUP(D54,RUC!$B$3:$B$110,RUC!$F$3:$F$110)</f>
        <v>100</v>
      </c>
      <c r="V54" s="67">
        <v>1.1023</v>
      </c>
      <c r="Y54" s="57" t="str">
        <f t="array" ref="Y54">XLOOKUP(D54,RUC!$B$3:$B$110,RUC!$G$3:$G$110)</f>
        <v/>
      </c>
      <c r="Z54" s="69">
        <f t="array" ref="Z54">XLOOKUP(D54,RUC!$B$3:$B$110,RUC!$H$3:$H$110)</f>
        <v>30</v>
      </c>
      <c r="AA54" s="70">
        <f t="shared" si="7"/>
        <v>30</v>
      </c>
      <c r="AB54" s="71">
        <f t="shared" si="25"/>
        <v>1504.444139</v>
      </c>
      <c r="AC54" s="71">
        <f>+(S54-T54)*V54-'data 1'!$F$4</f>
        <v>41.253</v>
      </c>
      <c r="AD54" s="71">
        <f t="shared" si="8"/>
        <v>129.1745889</v>
      </c>
      <c r="AE54" s="71">
        <f t="shared" si="9"/>
        <v>-36.931</v>
      </c>
      <c r="AF54" s="71">
        <f t="shared" si="10"/>
        <v>-10.49092563</v>
      </c>
      <c r="AG54" s="72">
        <f t="shared" si="38"/>
        <v>183.0056633</v>
      </c>
      <c r="AH54" s="193">
        <f t="shared" si="11"/>
        <v>93.928</v>
      </c>
      <c r="AI54" s="193">
        <f t="shared" si="12"/>
        <v>96.783</v>
      </c>
      <c r="AJ54" s="73">
        <f t="shared" si="13"/>
        <v>-1.196765291</v>
      </c>
      <c r="AK54" s="73">
        <f t="shared" si="14"/>
        <v>87.61823943</v>
      </c>
      <c r="AM54" s="51">
        <f t="shared" si="15"/>
        <v>12527.50635</v>
      </c>
      <c r="AN54" s="51" t="str">
        <f t="array" ref="AN54">XLOOKUP(D54,RUC!$B$3:$B$565,RUC!$M$3:$M$565)</f>
        <v>Ronald Garibay</v>
      </c>
      <c r="AO54" s="131" t="s">
        <v>558</v>
      </c>
      <c r="AP54" s="57" t="s">
        <v>3332</v>
      </c>
      <c r="AQ54" s="57" t="s">
        <v>3333</v>
      </c>
    </row>
    <row r="55" ht="15.0" customHeight="1">
      <c r="A55" s="116" t="s">
        <v>3334</v>
      </c>
      <c r="B55" s="182">
        <v>46076.0</v>
      </c>
      <c r="C55" s="182">
        <v>46071.0</v>
      </c>
      <c r="D55" s="57" t="s">
        <v>306</v>
      </c>
      <c r="E55" s="3">
        <f t="array" ref="E55">XLOOKUP(D55,RUC!$B$3:$B$110,RUC!$D$3:$D$110)</f>
        <v>20612921866</v>
      </c>
      <c r="G55" s="141" t="s">
        <v>735</v>
      </c>
      <c r="H55" s="3" t="s">
        <v>47</v>
      </c>
      <c r="I55" s="6">
        <v>9.85</v>
      </c>
      <c r="J55" s="58">
        <v>2.15</v>
      </c>
      <c r="K55" s="6">
        <f t="shared" si="3"/>
        <v>9.638</v>
      </c>
      <c r="L55" s="139">
        <v>0.339</v>
      </c>
      <c r="M55" s="61">
        <f t="shared" si="39"/>
        <v>0.315</v>
      </c>
      <c r="N55" s="75">
        <v>0.367</v>
      </c>
      <c r="O55" s="60">
        <f t="shared" si="37"/>
        <v>0.341</v>
      </c>
      <c r="P55" s="63">
        <v>90.0</v>
      </c>
      <c r="Q55" s="58">
        <v>97.05</v>
      </c>
      <c r="R55" s="65">
        <v>5003.3</v>
      </c>
      <c r="S55" s="66">
        <f t="array" ref="S55">IF((XLOOKUP(D55,RUC!$B$3:$B$106,RUC!$E$3:$E$106)+ROUNDDOWN(O55,1)*100)&lt;95,95,((XLOOKUP(D55,RUC!$B$3:$B$106,RUC!$E$3:$E$106)+ROUNDDOWN(O55,1)*100)))</f>
        <v>110</v>
      </c>
      <c r="U55" s="67">
        <f t="array" ref="U55">XLOOKUP(D55,RUC!$B$3:$B$110,RUC!$F$3:$F$110)</f>
        <v>100</v>
      </c>
      <c r="V55" s="67">
        <v>1.1023</v>
      </c>
      <c r="Y55" s="57" t="str">
        <f t="array" ref="Y55">XLOOKUP(D55,RUC!$B$3:$B$110,RUC!$G$3:$G$110)</f>
        <v/>
      </c>
      <c r="Z55" s="69">
        <f t="array" ref="Z55">XLOOKUP(D55,RUC!$B$3:$B$110,RUC!$H$3:$H$110)</f>
        <v>30</v>
      </c>
      <c r="AA55" s="70">
        <f t="shared" si="7"/>
        <v>30</v>
      </c>
      <c r="AB55" s="71">
        <f t="shared" si="25"/>
        <v>1504.444139</v>
      </c>
      <c r="AC55" s="71">
        <f>+(S55-T55)*V55-'data 1'!$F$4</f>
        <v>41.253</v>
      </c>
      <c r="AD55" s="71">
        <f t="shared" si="8"/>
        <v>129.1745889</v>
      </c>
      <c r="AE55" s="71">
        <f t="shared" si="9"/>
        <v>-36.931</v>
      </c>
      <c r="AF55" s="71">
        <f t="shared" si="10"/>
        <v>-10.49092563</v>
      </c>
      <c r="AG55" s="72">
        <f t="shared" si="38"/>
        <v>183.0056633</v>
      </c>
      <c r="AH55" s="193">
        <f t="shared" si="11"/>
        <v>108.715</v>
      </c>
      <c r="AI55" s="193">
        <f t="shared" si="12"/>
        <v>112.02</v>
      </c>
      <c r="AJ55" s="73">
        <f t="shared" si="13"/>
        <v>-1.196765291</v>
      </c>
      <c r="AK55" s="73">
        <f t="shared" si="14"/>
        <v>101.4128247</v>
      </c>
      <c r="AM55" s="51">
        <f t="shared" si="15"/>
        <v>14499.83262</v>
      </c>
      <c r="AN55" s="51" t="str">
        <f t="array" ref="AN55">XLOOKUP(D55,RUC!$B$3:$B$565,RUC!$M$3:$M$565)</f>
        <v>Ronald Garibay</v>
      </c>
      <c r="AO55" s="131" t="s">
        <v>558</v>
      </c>
      <c r="AP55" s="57" t="s">
        <v>3335</v>
      </c>
      <c r="AQ55" s="57" t="s">
        <v>3336</v>
      </c>
    </row>
    <row r="56" ht="15.0" customHeight="1">
      <c r="A56" s="116" t="s">
        <v>3337</v>
      </c>
      <c r="B56" s="182">
        <v>46076.0</v>
      </c>
      <c r="C56" s="182">
        <v>46072.0</v>
      </c>
      <c r="D56" s="57" t="s">
        <v>306</v>
      </c>
      <c r="E56" s="3">
        <f t="array" ref="E56">XLOOKUP(D56,RUC!$B$3:$B$110,RUC!$D$3:$D$110)</f>
        <v>20612921866</v>
      </c>
      <c r="G56" s="141">
        <v>12.0</v>
      </c>
      <c r="H56" s="3" t="s">
        <v>47</v>
      </c>
      <c r="I56" s="6">
        <v>1.5</v>
      </c>
      <c r="J56" s="58">
        <v>2.2</v>
      </c>
      <c r="K56" s="6">
        <f t="shared" si="3"/>
        <v>1.467</v>
      </c>
      <c r="L56" s="139">
        <v>0.609</v>
      </c>
      <c r="M56" s="60">
        <f t="shared" ref="M56:M68" si="40">ROUND(+IF(AN56="Melchor Vera",IF(L56&gt;0.467,L56*0.985,(L56-0.007)),IF(L56&gt;0.3,L56*0.94,(L56-0.019))),3)</f>
        <v>0.572</v>
      </c>
      <c r="N56" s="62">
        <f t="shared" ref="N56:N109" si="41">+M56</f>
        <v>0.572</v>
      </c>
      <c r="O56" s="60">
        <f t="shared" si="37"/>
        <v>0.572</v>
      </c>
      <c r="P56" s="63">
        <v>90.0</v>
      </c>
      <c r="Q56" s="58">
        <v>97.54</v>
      </c>
      <c r="R56" s="65">
        <v>5004.8</v>
      </c>
      <c r="S56" s="66">
        <f t="array" ref="S56">IF((XLOOKUP(D56,RUC!$B$3:$B$106,RUC!$E$3:$E$106)+ROUNDDOWN(O56,1)*100)&lt;95,95,((XLOOKUP(D56,RUC!$B$3:$B$106,RUC!$E$3:$E$106)+ROUNDDOWN(O56,1)*100)))</f>
        <v>130</v>
      </c>
      <c r="U56" s="67">
        <f t="array" ref="U56">XLOOKUP(D56,RUC!$B$3:$B$110,RUC!$F$3:$F$110)</f>
        <v>100</v>
      </c>
      <c r="V56" s="67">
        <v>1.1023</v>
      </c>
      <c r="Y56" s="57" t="str">
        <f t="array" ref="Y56">XLOOKUP(D56,RUC!$B$3:$B$110,RUC!$G$3:$G$110)</f>
        <v/>
      </c>
      <c r="Z56" s="69">
        <f t="array" ref="Z56">XLOOKUP(D56,RUC!$B$3:$B$110,RUC!$H$3:$H$110)</f>
        <v>30</v>
      </c>
      <c r="AA56" s="70">
        <f t="shared" si="7"/>
        <v>30</v>
      </c>
      <c r="AB56" s="71">
        <f t="shared" si="25"/>
        <v>2606.929623</v>
      </c>
      <c r="AC56" s="71">
        <f>+(S56-T56)*V56-'data 1'!$F$4</f>
        <v>63.299</v>
      </c>
      <c r="AD56" s="71">
        <f t="shared" si="8"/>
        <v>248.2617138</v>
      </c>
      <c r="AE56" s="71">
        <f t="shared" si="9"/>
        <v>-36.931</v>
      </c>
      <c r="AF56" s="71">
        <f t="shared" si="10"/>
        <v>195.1217066</v>
      </c>
      <c r="AG56" s="72">
        <f t="shared" si="38"/>
        <v>529.7514204</v>
      </c>
      <c r="AH56" s="193">
        <f t="shared" si="11"/>
        <v>29.877</v>
      </c>
      <c r="AI56" s="193">
        <f t="shared" si="12"/>
        <v>30.631</v>
      </c>
      <c r="AJ56" s="73">
        <f t="shared" si="13"/>
        <v>-3.142976173</v>
      </c>
      <c r="AK56" s="73">
        <f t="shared" si="14"/>
        <v>25.89272277</v>
      </c>
      <c r="AM56" s="51">
        <f t="shared" si="15"/>
        <v>3824.365758</v>
      </c>
      <c r="AN56" s="51" t="str">
        <f t="array" ref="AN56">XLOOKUP(D56,RUC!$B$3:$B$565,RUC!$M$3:$M$565)</f>
        <v>Ronald Garibay</v>
      </c>
      <c r="AO56" s="131" t="s">
        <v>558</v>
      </c>
      <c r="AP56" s="57" t="s">
        <v>3338</v>
      </c>
      <c r="AQ56" s="57" t="s">
        <v>3339</v>
      </c>
    </row>
    <row r="57" ht="15.0" customHeight="1">
      <c r="A57" s="116" t="s">
        <v>3340</v>
      </c>
      <c r="B57" s="182">
        <v>46076.0</v>
      </c>
      <c r="C57" s="182">
        <v>46072.0</v>
      </c>
      <c r="D57" s="57" t="s">
        <v>306</v>
      </c>
      <c r="E57" s="3">
        <f t="array" ref="E57">XLOOKUP(D57,RUC!$B$3:$B$110,RUC!$D$3:$D$110)</f>
        <v>20612921866</v>
      </c>
      <c r="G57" s="141" t="s">
        <v>735</v>
      </c>
      <c r="H57" s="3" t="s">
        <v>47</v>
      </c>
      <c r="I57" s="6">
        <v>7.85</v>
      </c>
      <c r="J57" s="58">
        <v>2.4</v>
      </c>
      <c r="K57" s="6">
        <f t="shared" si="3"/>
        <v>7.662</v>
      </c>
      <c r="L57" s="139">
        <v>0.334</v>
      </c>
      <c r="M57" s="60">
        <f t="shared" si="40"/>
        <v>0.314</v>
      </c>
      <c r="N57" s="62">
        <f t="shared" si="41"/>
        <v>0.314</v>
      </c>
      <c r="O57" s="60">
        <f t="shared" si="37"/>
        <v>0.314</v>
      </c>
      <c r="P57" s="63">
        <v>90.0</v>
      </c>
      <c r="Q57" s="58">
        <v>93.11</v>
      </c>
      <c r="R57" s="65">
        <v>5004.8</v>
      </c>
      <c r="S57" s="66">
        <f t="array" ref="S57">IF((XLOOKUP(D57,RUC!$B$3:$B$106,RUC!$E$3:$E$106)+ROUNDDOWN(O57,1)*100)&lt;95,95,((XLOOKUP(D57,RUC!$B$3:$B$106,RUC!$E$3:$E$106)+ROUNDDOWN(O57,1)*100)))</f>
        <v>110</v>
      </c>
      <c r="U57" s="67">
        <f t="array" ref="U57">XLOOKUP(D57,RUC!$B$3:$B$110,RUC!$F$3:$F$110)</f>
        <v>100</v>
      </c>
      <c r="V57" s="67">
        <v>1.1023</v>
      </c>
      <c r="Y57" s="57" t="str">
        <f t="array" ref="Y57">XLOOKUP(D57,RUC!$B$3:$B$110,RUC!$G$3:$G$110)</f>
        <v/>
      </c>
      <c r="Z57" s="69">
        <f t="array" ref="Z57">XLOOKUP(D57,RUC!$B$3:$B$110,RUC!$H$3:$H$110)</f>
        <v>30</v>
      </c>
      <c r="AA57" s="70">
        <f t="shared" si="7"/>
        <v>30</v>
      </c>
      <c r="AB57" s="71">
        <f t="shared" si="25"/>
        <v>1373.57215</v>
      </c>
      <c r="AC57" s="71">
        <f>+(S57-T57)*V57-'data 1'!$F$4</f>
        <v>41.253</v>
      </c>
      <c r="AD57" s="71">
        <f t="shared" si="8"/>
        <v>56.16011215</v>
      </c>
      <c r="AE57" s="71">
        <f t="shared" si="9"/>
        <v>-36.931</v>
      </c>
      <c r="AF57" s="71">
        <f t="shared" si="10"/>
        <v>100.6809797</v>
      </c>
      <c r="AG57" s="72">
        <f t="shared" si="38"/>
        <v>221.1630918</v>
      </c>
      <c r="AH57" s="193">
        <f t="shared" si="11"/>
        <v>81.695</v>
      </c>
      <c r="AI57" s="193">
        <f t="shared" si="12"/>
        <v>87.74</v>
      </c>
      <c r="AJ57" s="73">
        <f t="shared" si="13"/>
        <v>-1.645446773</v>
      </c>
      <c r="AK57" s="73">
        <f t="shared" si="14"/>
        <v>74.23750618</v>
      </c>
      <c r="AM57" s="51">
        <f t="shared" si="15"/>
        <v>10524.30981</v>
      </c>
      <c r="AN57" s="51" t="str">
        <f t="array" ref="AN57">XLOOKUP(D57,RUC!$B$3:$B$565,RUC!$M$3:$M$565)</f>
        <v>Ronald Garibay</v>
      </c>
      <c r="AO57" s="131" t="s">
        <v>558</v>
      </c>
      <c r="AP57" s="57" t="s">
        <v>3338</v>
      </c>
      <c r="AQ57" s="57" t="s">
        <v>3339</v>
      </c>
    </row>
    <row r="58" ht="15.0" customHeight="1">
      <c r="A58" s="116" t="s">
        <v>3341</v>
      </c>
      <c r="B58" s="182">
        <v>46076.0</v>
      </c>
      <c r="C58" s="182">
        <v>46072.0</v>
      </c>
      <c r="D58" s="57" t="s">
        <v>306</v>
      </c>
      <c r="E58" s="3">
        <f t="array" ref="E58">XLOOKUP(D58,RUC!$B$3:$B$110,RUC!$D$3:$D$110)</f>
        <v>20612921866</v>
      </c>
      <c r="G58" s="141" t="s">
        <v>735</v>
      </c>
      <c r="H58" s="3" t="s">
        <v>47</v>
      </c>
      <c r="I58" s="6">
        <v>9.55</v>
      </c>
      <c r="J58" s="58">
        <v>2.4</v>
      </c>
      <c r="K58" s="6">
        <f t="shared" si="3"/>
        <v>9.321</v>
      </c>
      <c r="L58" s="139">
        <v>0.334</v>
      </c>
      <c r="M58" s="60">
        <f t="shared" si="40"/>
        <v>0.314</v>
      </c>
      <c r="N58" s="62">
        <f t="shared" si="41"/>
        <v>0.314</v>
      </c>
      <c r="O58" s="60">
        <f t="shared" si="37"/>
        <v>0.314</v>
      </c>
      <c r="P58" s="63">
        <v>90.0</v>
      </c>
      <c r="Q58" s="58">
        <v>93.11</v>
      </c>
      <c r="R58" s="65">
        <v>5004.8</v>
      </c>
      <c r="S58" s="66">
        <f t="array" ref="S58">IF((XLOOKUP(D58,RUC!$B$3:$B$106,RUC!$E$3:$E$106)+ROUNDDOWN(O58,1)*100)&lt;95,95,((XLOOKUP(D58,RUC!$B$3:$B$106,RUC!$E$3:$E$106)+ROUNDDOWN(O58,1)*100)))</f>
        <v>110</v>
      </c>
      <c r="U58" s="67">
        <f t="array" ref="U58">XLOOKUP(D58,RUC!$B$3:$B$110,RUC!$F$3:$F$110)</f>
        <v>100</v>
      </c>
      <c r="V58" s="67">
        <v>1.1023</v>
      </c>
      <c r="Y58" s="57" t="str">
        <f t="array" ref="Y58">XLOOKUP(D58,RUC!$B$3:$B$110,RUC!$G$3:$G$110)</f>
        <v/>
      </c>
      <c r="Z58" s="69">
        <f t="array" ref="Z58">XLOOKUP(D58,RUC!$B$3:$B$110,RUC!$H$3:$H$110)</f>
        <v>30</v>
      </c>
      <c r="AA58" s="70">
        <f t="shared" si="7"/>
        <v>30</v>
      </c>
      <c r="AB58" s="71">
        <f t="shared" si="25"/>
        <v>1373.57215</v>
      </c>
      <c r="AC58" s="71">
        <f>+(S58-T58)*V58-'data 1'!$F$4</f>
        <v>41.253</v>
      </c>
      <c r="AD58" s="71">
        <f t="shared" si="8"/>
        <v>56.16011215</v>
      </c>
      <c r="AE58" s="71">
        <f t="shared" si="9"/>
        <v>-36.931</v>
      </c>
      <c r="AF58" s="71">
        <f t="shared" si="10"/>
        <v>100.6809797</v>
      </c>
      <c r="AG58" s="72">
        <f t="shared" si="38"/>
        <v>221.1630918</v>
      </c>
      <c r="AH58" s="193">
        <f t="shared" si="11"/>
        <v>99.384</v>
      </c>
      <c r="AI58" s="193">
        <f t="shared" si="12"/>
        <v>106.738</v>
      </c>
      <c r="AJ58" s="73">
        <f t="shared" si="13"/>
        <v>-1.645446773</v>
      </c>
      <c r="AK58" s="73">
        <f t="shared" si="14"/>
        <v>90.31164123</v>
      </c>
      <c r="AM58" s="51">
        <f t="shared" si="15"/>
        <v>12803.06601</v>
      </c>
      <c r="AN58" s="51" t="str">
        <f t="array" ref="AN58">XLOOKUP(D58,RUC!$B$3:$B$565,RUC!$M$3:$M$565)</f>
        <v>Ronald Garibay</v>
      </c>
      <c r="AO58" s="131" t="s">
        <v>558</v>
      </c>
      <c r="AP58" s="57" t="s">
        <v>3342</v>
      </c>
      <c r="AQ58" s="57" t="s">
        <v>3343</v>
      </c>
    </row>
    <row r="59" ht="15.0" customHeight="1">
      <c r="A59" s="116" t="s">
        <v>3344</v>
      </c>
      <c r="B59" s="182">
        <v>46077.0</v>
      </c>
      <c r="C59" s="182">
        <v>46073.0</v>
      </c>
      <c r="D59" s="57" t="s">
        <v>74</v>
      </c>
      <c r="E59" s="3">
        <f t="array" ref="E59">XLOOKUP(D59,RUC!$B$3:$B$110,RUC!$D$3:$D$110)</f>
        <v>10082235774</v>
      </c>
      <c r="G59" s="141">
        <v>78.0</v>
      </c>
      <c r="H59" s="3" t="s">
        <v>47</v>
      </c>
      <c r="I59" s="6">
        <v>7.18</v>
      </c>
      <c r="J59" s="58">
        <v>2.9</v>
      </c>
      <c r="K59" s="6">
        <f t="shared" si="3"/>
        <v>6.972</v>
      </c>
      <c r="L59" s="139">
        <v>0.168</v>
      </c>
      <c r="M59" s="60">
        <f t="shared" si="40"/>
        <v>0.161</v>
      </c>
      <c r="N59" s="62">
        <f t="shared" si="41"/>
        <v>0.161</v>
      </c>
      <c r="O59" s="60">
        <f t="shared" si="37"/>
        <v>0.161</v>
      </c>
      <c r="P59" s="63">
        <v>85.0</v>
      </c>
      <c r="Q59" s="58">
        <v>93.45</v>
      </c>
      <c r="R59" s="65">
        <v>5053.2</v>
      </c>
      <c r="S59" s="133">
        <v>95.0</v>
      </c>
      <c r="U59" s="67">
        <f t="array" ref="U59">XLOOKUP(D59,RUC!$B$3:$B$110,RUC!$F$3:$F$110)</f>
        <v>80</v>
      </c>
      <c r="V59" s="67">
        <v>1.1023</v>
      </c>
      <c r="Y59" s="57" t="str">
        <f t="array" ref="Y59">XLOOKUP(D59,RUC!$B$3:$B$110,RUC!$G$3:$G$110)</f>
        <v/>
      </c>
      <c r="Z59" s="69">
        <f t="array" ref="Z59">XLOOKUP(D59,RUC!$B$3:$B$110,RUC!$H$3:$H$110)</f>
        <v>10</v>
      </c>
      <c r="AA59" s="70">
        <f t="shared" si="7"/>
        <v>10</v>
      </c>
      <c r="AB59" s="71">
        <f t="shared" si="25"/>
        <v>634.4645016</v>
      </c>
      <c r="AC59" s="71">
        <f>+(S59-T59)*V59-'data 1'!$F$4</f>
        <v>24.7185</v>
      </c>
      <c r="AD59" s="71">
        <f t="shared" si="8"/>
        <v>77.82188088</v>
      </c>
      <c r="AE59" s="71">
        <f t="shared" si="9"/>
        <v>-58.977</v>
      </c>
      <c r="AF59" s="71">
        <f t="shared" si="10"/>
        <v>35.86023061</v>
      </c>
      <c r="AG59" s="72">
        <f t="shared" ref="AG59:AG62" si="42">AC59+AD59+AE59+AF59+70</f>
        <v>149.4236115</v>
      </c>
      <c r="AH59" s="193">
        <f t="shared" si="11"/>
        <v>37.528</v>
      </c>
      <c r="AI59" s="193">
        <f t="shared" si="12"/>
        <v>40.158</v>
      </c>
      <c r="AJ59" s="73">
        <f t="shared" si="13"/>
        <v>-12.66774977</v>
      </c>
      <c r="AK59" s="73">
        <f t="shared" si="14"/>
        <v>32.71231273</v>
      </c>
      <c r="AM59" s="51">
        <f t="shared" si="15"/>
        <v>4423.486505</v>
      </c>
      <c r="AN59" s="51" t="str">
        <f t="array" ref="AN59">XLOOKUP(D59,RUC!$B$3:$B$565,RUC!$M$3:$M$565)</f>
        <v>Melchor Vera</v>
      </c>
      <c r="AO59" s="131" t="s">
        <v>558</v>
      </c>
      <c r="AP59" s="2" t="s">
        <v>3345</v>
      </c>
      <c r="AQ59" s="2" t="s">
        <v>3346</v>
      </c>
    </row>
    <row r="60" ht="15.0" customHeight="1">
      <c r="A60" s="116" t="s">
        <v>3347</v>
      </c>
      <c r="B60" s="182">
        <v>46077.0</v>
      </c>
      <c r="C60" s="182">
        <v>46073.0</v>
      </c>
      <c r="D60" s="57" t="s">
        <v>74</v>
      </c>
      <c r="E60" s="3">
        <f t="array" ref="E60">XLOOKUP(D60,RUC!$B$3:$B$110,RUC!$D$3:$D$110)</f>
        <v>10082235774</v>
      </c>
      <c r="G60" s="141">
        <v>77.0</v>
      </c>
      <c r="H60" s="3" t="s">
        <v>47</v>
      </c>
      <c r="I60" s="6">
        <v>6.95</v>
      </c>
      <c r="J60" s="58">
        <v>2.25</v>
      </c>
      <c r="K60" s="6">
        <f t="shared" si="3"/>
        <v>6.794</v>
      </c>
      <c r="L60" s="139">
        <v>0.168</v>
      </c>
      <c r="M60" s="60">
        <f t="shared" si="40"/>
        <v>0.161</v>
      </c>
      <c r="N60" s="62">
        <f t="shared" si="41"/>
        <v>0.161</v>
      </c>
      <c r="O60" s="60">
        <f t="shared" si="37"/>
        <v>0.161</v>
      </c>
      <c r="P60" s="63">
        <v>85.0</v>
      </c>
      <c r="Q60" s="58">
        <v>89.88</v>
      </c>
      <c r="R60" s="65">
        <v>5053.2</v>
      </c>
      <c r="S60" s="133">
        <v>95.0</v>
      </c>
      <c r="U60" s="67">
        <f t="array" ref="U60">XLOOKUP(D60,RUC!$B$3:$B$110,RUC!$F$3:$F$110)</f>
        <v>80</v>
      </c>
      <c r="V60" s="67">
        <v>1.1023</v>
      </c>
      <c r="Y60" s="57" t="str">
        <f t="array" ref="Y60">XLOOKUP(D60,RUC!$B$3:$B$110,RUC!$G$3:$G$110)</f>
        <v/>
      </c>
      <c r="Z60" s="69">
        <f t="array" ref="Z60">XLOOKUP(D60,RUC!$B$3:$B$110,RUC!$H$3:$H$110)</f>
        <v>10</v>
      </c>
      <c r="AA60" s="70">
        <f t="shared" si="7"/>
        <v>10</v>
      </c>
      <c r="AB60" s="71">
        <f t="shared" si="25"/>
        <v>634.4645016</v>
      </c>
      <c r="AC60" s="71">
        <f>+(S60-T60)*V60-'data 1'!$F$4</f>
        <v>24.7185</v>
      </c>
      <c r="AD60" s="71">
        <f t="shared" si="8"/>
        <v>44.94328742</v>
      </c>
      <c r="AE60" s="71">
        <f t="shared" si="9"/>
        <v>-58.977</v>
      </c>
      <c r="AF60" s="71">
        <f t="shared" si="10"/>
        <v>34.49028922</v>
      </c>
      <c r="AG60" s="72">
        <f t="shared" si="42"/>
        <v>115.1750766</v>
      </c>
      <c r="AH60" s="193">
        <f t="shared" si="11"/>
        <v>35.173</v>
      </c>
      <c r="AI60" s="193">
        <f t="shared" si="12"/>
        <v>39.133</v>
      </c>
      <c r="AJ60" s="73">
        <f t="shared" si="13"/>
        <v>-12.18381326</v>
      </c>
      <c r="AK60" s="73">
        <f t="shared" si="14"/>
        <v>31.87714468</v>
      </c>
      <c r="AM60" s="51">
        <f t="shared" si="15"/>
        <v>4310.551824</v>
      </c>
      <c r="AN60" s="51" t="str">
        <f t="array" ref="AN60">XLOOKUP(D60,RUC!$B$3:$B$565,RUC!$M$3:$M$565)</f>
        <v>Melchor Vera</v>
      </c>
      <c r="AO60" s="131" t="s">
        <v>558</v>
      </c>
      <c r="AP60" s="2" t="s">
        <v>3345</v>
      </c>
      <c r="AQ60" s="2" t="s">
        <v>3346</v>
      </c>
    </row>
    <row r="61" ht="15.0" customHeight="1">
      <c r="A61" s="116" t="s">
        <v>3348</v>
      </c>
      <c r="B61" s="182">
        <v>46077.0</v>
      </c>
      <c r="C61" s="182">
        <v>46073.0</v>
      </c>
      <c r="D61" s="57" t="s">
        <v>74</v>
      </c>
      <c r="E61" s="3">
        <f t="array" ref="E61">XLOOKUP(D61,RUC!$B$3:$B$110,RUC!$D$3:$D$110)</f>
        <v>10082235774</v>
      </c>
      <c r="G61" s="141">
        <v>74.0</v>
      </c>
      <c r="H61" s="3" t="s">
        <v>47</v>
      </c>
      <c r="I61" s="6">
        <v>6.58</v>
      </c>
      <c r="J61" s="58">
        <v>2.3</v>
      </c>
      <c r="K61" s="6">
        <f t="shared" si="3"/>
        <v>6.429</v>
      </c>
      <c r="L61" s="139">
        <v>0.14</v>
      </c>
      <c r="M61" s="60">
        <f t="shared" si="40"/>
        <v>0.133</v>
      </c>
      <c r="N61" s="62">
        <f t="shared" si="41"/>
        <v>0.133</v>
      </c>
      <c r="O61" s="60">
        <f t="shared" si="37"/>
        <v>0.133</v>
      </c>
      <c r="P61" s="63">
        <v>85.0</v>
      </c>
      <c r="Q61" s="58">
        <v>94.29</v>
      </c>
      <c r="R61" s="65">
        <v>5053.2</v>
      </c>
      <c r="S61" s="133">
        <f t="array" ref="S61">IF((XLOOKUP(D61,RUC!$B$3:$B$106,RUC!$E$3:$E$106)+ROUNDDOWN(O61,1)*100)&lt;95,95,((XLOOKUP(D61,RUC!$B$3:$B$106,RUC!$E$3:$E$106)+ROUNDDOWN(O61,1)*100)))</f>
        <v>95</v>
      </c>
      <c r="U61" s="67">
        <f t="array" ref="U61">XLOOKUP(D61,RUC!$B$3:$B$110,RUC!$F$3:$F$110)</f>
        <v>80</v>
      </c>
      <c r="V61" s="67">
        <v>1.1023</v>
      </c>
      <c r="Y61" s="57" t="str">
        <f t="array" ref="Y61">XLOOKUP(D61,RUC!$B$3:$B$110,RUC!$G$3:$G$110)</f>
        <v/>
      </c>
      <c r="Z61" s="69">
        <f t="array" ref="Z61">XLOOKUP(D61,RUC!$B$3:$B$110,RUC!$H$3:$H$110)</f>
        <v>10</v>
      </c>
      <c r="AA61" s="70">
        <f t="shared" si="7"/>
        <v>10</v>
      </c>
      <c r="AB61" s="71">
        <f t="shared" si="25"/>
        <v>503.9938926</v>
      </c>
      <c r="AC61" s="71">
        <f>+(S61-T61)*V61-'data 1'!$F$4</f>
        <v>24.7185</v>
      </c>
      <c r="AD61" s="71">
        <f t="shared" si="8"/>
        <v>71.29835043</v>
      </c>
      <c r="AE61" s="71">
        <f t="shared" si="9"/>
        <v>-58.977</v>
      </c>
      <c r="AF61" s="71">
        <f t="shared" si="10"/>
        <v>36.18256976</v>
      </c>
      <c r="AG61" s="72">
        <f t="shared" si="42"/>
        <v>143.2224202</v>
      </c>
      <c r="AH61" s="193">
        <f t="shared" si="11"/>
        <v>29.097</v>
      </c>
      <c r="AI61" s="193">
        <f t="shared" si="12"/>
        <v>30.859</v>
      </c>
      <c r="AJ61" s="73">
        <f t="shared" si="13"/>
        <v>-10.65134765</v>
      </c>
      <c r="AK61" s="73">
        <f t="shared" si="14"/>
        <v>24.91856689</v>
      </c>
      <c r="AM61" s="51">
        <f t="shared" si="15"/>
        <v>3240.176736</v>
      </c>
      <c r="AN61" s="51" t="str">
        <f t="array" ref="AN61">XLOOKUP(D61,RUC!$B$3:$B$565,RUC!$M$3:$M$565)</f>
        <v>Melchor Vera</v>
      </c>
      <c r="AO61" s="131" t="s">
        <v>547</v>
      </c>
      <c r="AP61" s="2" t="s">
        <v>3345</v>
      </c>
      <c r="AQ61" s="2" t="s">
        <v>3346</v>
      </c>
    </row>
    <row r="62" ht="15.0" customHeight="1">
      <c r="A62" s="116" t="s">
        <v>3349</v>
      </c>
      <c r="B62" s="182">
        <v>46077.0</v>
      </c>
      <c r="C62" s="182">
        <v>46073.0</v>
      </c>
      <c r="D62" s="57" t="s">
        <v>74</v>
      </c>
      <c r="E62" s="3">
        <f t="array" ref="E62">XLOOKUP(D62,RUC!$B$3:$B$110,RUC!$D$3:$D$110)</f>
        <v>10082235774</v>
      </c>
      <c r="G62" s="141">
        <v>31.0</v>
      </c>
      <c r="H62" s="3" t="s">
        <v>47</v>
      </c>
      <c r="I62" s="6">
        <v>2.91</v>
      </c>
      <c r="J62" s="58">
        <v>3.75</v>
      </c>
      <c r="K62" s="6">
        <f t="shared" si="3"/>
        <v>2.801</v>
      </c>
      <c r="L62" s="139">
        <v>0.235</v>
      </c>
      <c r="M62" s="60">
        <f t="shared" si="40"/>
        <v>0.228</v>
      </c>
      <c r="N62" s="62">
        <f t="shared" si="41"/>
        <v>0.228</v>
      </c>
      <c r="O62" s="60">
        <f t="shared" si="37"/>
        <v>0.228</v>
      </c>
      <c r="P62" s="63">
        <v>85.0</v>
      </c>
      <c r="Q62" s="58">
        <v>86.81</v>
      </c>
      <c r="R62" s="65">
        <v>5053.2</v>
      </c>
      <c r="S62" s="133">
        <v>105.0</v>
      </c>
      <c r="U62" s="67">
        <f t="array" ref="U62">XLOOKUP(D62,RUC!$B$3:$B$110,RUC!$F$3:$F$110)</f>
        <v>80</v>
      </c>
      <c r="V62" s="67">
        <v>1.1023</v>
      </c>
      <c r="Y62" s="57" t="str">
        <f t="array" ref="Y62">XLOOKUP(D62,RUC!$B$3:$B$110,RUC!$G$3:$G$110)</f>
        <v/>
      </c>
      <c r="Z62" s="69">
        <f t="array" ref="Z62">XLOOKUP(D62,RUC!$B$3:$B$110,RUC!$H$3:$H$110)</f>
        <v>10</v>
      </c>
      <c r="AA62" s="70">
        <f t="shared" si="7"/>
        <v>10</v>
      </c>
      <c r="AB62" s="71">
        <f t="shared" si="25"/>
        <v>935.6390302</v>
      </c>
      <c r="AC62" s="71">
        <f>+(S62-T62)*V62-'data 1'!$F$4</f>
        <v>35.7415</v>
      </c>
      <c r="AD62" s="71">
        <f t="shared" si="8"/>
        <v>23.31750988</v>
      </c>
      <c r="AE62" s="71">
        <f t="shared" si="9"/>
        <v>-58.977</v>
      </c>
      <c r="AF62" s="71">
        <f t="shared" si="10"/>
        <v>33.31221637</v>
      </c>
      <c r="AG62" s="72">
        <f t="shared" si="42"/>
        <v>103.3942263</v>
      </c>
      <c r="AH62" s="193">
        <f t="shared" si="11"/>
        <v>19.591</v>
      </c>
      <c r="AI62" s="193">
        <f t="shared" si="12"/>
        <v>22.568</v>
      </c>
      <c r="AJ62" s="73">
        <f t="shared" si="13"/>
        <v>-16.46070785</v>
      </c>
      <c r="AK62" s="73">
        <f t="shared" si="14"/>
        <v>18.61126748</v>
      </c>
      <c r="AM62" s="51">
        <f t="shared" si="15"/>
        <v>2620.724924</v>
      </c>
      <c r="AN62" s="51" t="str">
        <f t="array" ref="AN62">XLOOKUP(D62,RUC!$B$3:$B$565,RUC!$M$3:$M$565)</f>
        <v>Melchor Vera</v>
      </c>
      <c r="AO62" s="131" t="s">
        <v>558</v>
      </c>
      <c r="AP62" s="2" t="s">
        <v>3345</v>
      </c>
      <c r="AQ62" s="2" t="s">
        <v>3346</v>
      </c>
    </row>
    <row r="63" ht="15.0" customHeight="1">
      <c r="A63" s="116" t="s">
        <v>3350</v>
      </c>
      <c r="B63" s="182">
        <v>46082.0</v>
      </c>
      <c r="C63" s="182">
        <v>46076.0</v>
      </c>
      <c r="D63" s="57" t="s">
        <v>3351</v>
      </c>
      <c r="E63" s="3" t="str">
        <f t="array" ref="E63">XLOOKUP(D63,RUC!$B$3:$B$110,RUC!$D$3:$D$110)</f>
        <v>20611329556*</v>
      </c>
      <c r="G63" s="141" t="s">
        <v>735</v>
      </c>
      <c r="H63" s="3" t="s">
        <v>40</v>
      </c>
      <c r="I63" s="6">
        <v>10.36</v>
      </c>
      <c r="J63" s="58">
        <v>10.3</v>
      </c>
      <c r="K63" s="6">
        <f t="shared" si="3"/>
        <v>9.293</v>
      </c>
      <c r="L63" s="3">
        <v>0.317</v>
      </c>
      <c r="M63" s="60">
        <f t="shared" si="40"/>
        <v>0.298</v>
      </c>
      <c r="N63" s="62">
        <f t="shared" si="41"/>
        <v>0.298</v>
      </c>
      <c r="O63" s="60">
        <f t="shared" si="37"/>
        <v>0.298</v>
      </c>
      <c r="P63" s="63">
        <v>90.0</v>
      </c>
      <c r="Q63" s="58">
        <v>98.11</v>
      </c>
      <c r="R63" s="65">
        <v>5191.4</v>
      </c>
      <c r="S63" s="66">
        <f t="array" ref="S63">IF((XLOOKUP(D63,RUC!$B$3:$B$106,RUC!$E$3:$E$106)+ROUNDDOWN(O63,1)*100)&lt;95,95,((XLOOKUP(D63,RUC!$B$3:$B$106,RUC!$E$3:$E$106)+ROUNDDOWN(O63,1)*100)))</f>
        <v>100</v>
      </c>
      <c r="U63" s="67">
        <f t="array" ref="U63">XLOOKUP(D63,RUC!$B$3:$B$110,RUC!$F$3:$F$110)</f>
        <v>110</v>
      </c>
      <c r="V63" s="67">
        <v>1.1023</v>
      </c>
      <c r="Y63" s="57">
        <f t="array" ref="Y63">XLOOKUP(D63,RUC!$B$3:$B$110,RUC!$G$3:$G$110)</f>
        <v>0</v>
      </c>
      <c r="Z63" s="69">
        <f t="array" ref="Z63">XLOOKUP(D63,RUC!$B$3:$B$110,RUC!$H$3:$H$110)</f>
        <v>35</v>
      </c>
      <c r="AA63" s="70">
        <f t="shared" si="7"/>
        <v>35</v>
      </c>
      <c r="AB63" s="71">
        <f t="shared" si="25"/>
        <v>1353.43864</v>
      </c>
      <c r="AC63" s="71">
        <f>+(S63-T63)*V63-'data 1'!$F$4</f>
        <v>30.23</v>
      </c>
      <c r="AD63" s="71">
        <f t="shared" si="8"/>
        <v>144.0002702</v>
      </c>
      <c r="AE63" s="71">
        <f t="shared" si="9"/>
        <v>-31.4195</v>
      </c>
      <c r="AF63" s="71">
        <f t="shared" si="10"/>
        <v>104.4119165</v>
      </c>
      <c r="AG63" s="72">
        <f t="shared" ref="AG63:AG86" si="43">AC63+AD63+AE63+AF63+70-53</f>
        <v>264.2226867</v>
      </c>
      <c r="AH63" s="193">
        <f t="shared" si="11"/>
        <v>99.092</v>
      </c>
      <c r="AI63" s="193">
        <f t="shared" si="12"/>
        <v>101.001</v>
      </c>
      <c r="AJ63" s="73">
        <f t="shared" si="13"/>
        <v>-62.18843505</v>
      </c>
      <c r="AK63" s="73">
        <f t="shared" si="14"/>
        <v>85.45230461</v>
      </c>
      <c r="AM63" s="51">
        <f t="shared" si="15"/>
        <v>12577.50529</v>
      </c>
      <c r="AN63" s="51" t="str">
        <f t="array" ref="AN63">XLOOKUP(D63,RUC!$B$3:$B$565,RUC!$M$3:$M$565)</f>
        <v>Robinson Tuya</v>
      </c>
      <c r="AO63" s="131" t="s">
        <v>551</v>
      </c>
      <c r="AP63" s="57" t="s">
        <v>3352</v>
      </c>
      <c r="AQ63" s="57" t="s">
        <v>776</v>
      </c>
    </row>
    <row r="64" ht="15.0" customHeight="1">
      <c r="A64" s="116" t="s">
        <v>3353</v>
      </c>
      <c r="B64" s="182">
        <v>46082.0</v>
      </c>
      <c r="C64" s="182">
        <v>46076.0</v>
      </c>
      <c r="D64" s="57" t="s">
        <v>3351</v>
      </c>
      <c r="E64" s="3" t="str">
        <f t="array" ref="E64">XLOOKUP(D64,RUC!$B$3:$B$110,RUC!$D$3:$D$110)</f>
        <v>20611329556*</v>
      </c>
      <c r="G64" s="141" t="s">
        <v>735</v>
      </c>
      <c r="H64" s="3" t="s">
        <v>40</v>
      </c>
      <c r="I64" s="6">
        <v>6.18</v>
      </c>
      <c r="J64" s="58">
        <v>14.4</v>
      </c>
      <c r="K64" s="6">
        <f t="shared" si="3"/>
        <v>5.29</v>
      </c>
      <c r="L64" s="3">
        <v>0.423</v>
      </c>
      <c r="M64" s="60">
        <f t="shared" si="40"/>
        <v>0.398</v>
      </c>
      <c r="N64" s="62">
        <f t="shared" si="41"/>
        <v>0.398</v>
      </c>
      <c r="O64" s="60">
        <f t="shared" si="37"/>
        <v>0.398</v>
      </c>
      <c r="P64" s="63">
        <v>90.0</v>
      </c>
      <c r="Q64" s="58">
        <v>98.82</v>
      </c>
      <c r="R64" s="65">
        <v>5191.4</v>
      </c>
      <c r="S64" s="66">
        <f t="array" ref="S64">IF((XLOOKUP(D64,RUC!$B$3:$B$106,RUC!$E$3:$E$106)+ROUNDDOWN(O64,1)*100)&lt;95,95,((XLOOKUP(D64,RUC!$B$3:$B$106,RUC!$E$3:$E$106)+ROUNDDOWN(O64,1)*100)))</f>
        <v>110</v>
      </c>
      <c r="U64" s="67">
        <f t="array" ref="U64">XLOOKUP(D64,RUC!$B$3:$B$110,RUC!$F$3:$F$110)</f>
        <v>110</v>
      </c>
      <c r="V64" s="67">
        <v>1.1023</v>
      </c>
      <c r="Y64" s="57">
        <f t="array" ref="Y64">XLOOKUP(D64,RUC!$B$3:$B$110,RUC!$G$3:$G$110)</f>
        <v>0</v>
      </c>
      <c r="Z64" s="69">
        <f t="array" ref="Z64">XLOOKUP(D64,RUC!$B$3:$B$110,RUC!$H$3:$H$110)</f>
        <v>35</v>
      </c>
      <c r="AA64" s="70">
        <f t="shared" si="7"/>
        <v>35</v>
      </c>
      <c r="AB64" s="71">
        <f t="shared" si="25"/>
        <v>1846.52609</v>
      </c>
      <c r="AC64" s="71">
        <f>+(S64-T64)*V64-'data 1'!$F$4</f>
        <v>41.253</v>
      </c>
      <c r="AD64" s="71">
        <f t="shared" si="8"/>
        <v>208.9739459</v>
      </c>
      <c r="AE64" s="71">
        <f t="shared" si="9"/>
        <v>-31.4195</v>
      </c>
      <c r="AF64" s="71">
        <f t="shared" si="10"/>
        <v>138.3783185</v>
      </c>
      <c r="AG64" s="72">
        <f t="shared" si="43"/>
        <v>374.1857643</v>
      </c>
      <c r="AH64" s="193">
        <f t="shared" si="11"/>
        <v>75.814</v>
      </c>
      <c r="AI64" s="193">
        <f t="shared" si="12"/>
        <v>76.719</v>
      </c>
      <c r="AJ64" s="73">
        <f t="shared" si="13"/>
        <v>-83.58383759</v>
      </c>
      <c r="AK64" s="73">
        <f t="shared" si="14"/>
        <v>64.96662754</v>
      </c>
      <c r="AM64" s="51">
        <f t="shared" si="15"/>
        <v>9768.123017</v>
      </c>
      <c r="AN64" s="51" t="str">
        <f t="array" ref="AN64">XLOOKUP(D64,RUC!$B$3:$B$565,RUC!$M$3:$M$565)</f>
        <v>Robinson Tuya</v>
      </c>
      <c r="AO64" s="131" t="s">
        <v>551</v>
      </c>
      <c r="AP64" s="57" t="s">
        <v>3352</v>
      </c>
      <c r="AQ64" s="57" t="s">
        <v>776</v>
      </c>
    </row>
    <row r="65" ht="15.0" customHeight="1">
      <c r="A65" s="116" t="s">
        <v>3354</v>
      </c>
      <c r="B65" s="182">
        <v>46082.0</v>
      </c>
      <c r="C65" s="182">
        <v>46078.0</v>
      </c>
      <c r="D65" s="57" t="s">
        <v>2011</v>
      </c>
      <c r="E65" s="3">
        <f t="array" ref="E65">XLOOKUP(D65,RUC!$B$3:$B$110,RUC!$D$3:$D$110)</f>
        <v>20535021563</v>
      </c>
      <c r="G65" s="141">
        <v>297.0</v>
      </c>
      <c r="H65" s="3" t="s">
        <v>47</v>
      </c>
      <c r="I65" s="6">
        <v>23.75</v>
      </c>
      <c r="J65" s="58">
        <v>2.2</v>
      </c>
      <c r="K65" s="6">
        <f t="shared" si="3"/>
        <v>23.228</v>
      </c>
      <c r="L65" s="3">
        <v>0.218</v>
      </c>
      <c r="M65" s="60">
        <f t="shared" si="40"/>
        <v>0.199</v>
      </c>
      <c r="N65" s="62">
        <f t="shared" si="41"/>
        <v>0.199</v>
      </c>
      <c r="O65" s="60">
        <f t="shared" si="37"/>
        <v>0.199</v>
      </c>
      <c r="P65" s="63">
        <v>90.0</v>
      </c>
      <c r="Q65" s="58">
        <v>90.37</v>
      </c>
      <c r="R65" s="65">
        <v>5191.55</v>
      </c>
      <c r="S65" s="66">
        <f t="array" ref="S65">IF((XLOOKUP(D65,RUC!$B$3:$B$106,RUC!$E$3:$E$106)+ROUNDDOWN(O65,1)*100)&lt;95,95,((XLOOKUP(D65,RUC!$B$3:$B$106,RUC!$E$3:$E$106)+ROUNDDOWN(O65,1)*100)))</f>
        <v>95</v>
      </c>
      <c r="U65" s="67">
        <f t="array" ref="U65">XLOOKUP(D65,RUC!$B$3:$B$110,RUC!$F$3:$F$110)</f>
        <v>100</v>
      </c>
      <c r="V65" s="67">
        <v>1.1023</v>
      </c>
      <c r="Y65" s="57" t="str">
        <f t="array" ref="Y65">XLOOKUP(D65,RUC!$B$3:$B$110,RUC!$G$3:$G$110)</f>
        <v/>
      </c>
      <c r="Z65" s="140">
        <v>90.0</v>
      </c>
      <c r="AA65" s="70">
        <f t="shared" si="7"/>
        <v>90</v>
      </c>
      <c r="AB65" s="71">
        <f t="shared" si="25"/>
        <v>801.2581277</v>
      </c>
      <c r="AC65" s="71">
        <f>+(S65-T65)*V65-'data 1'!$F$4</f>
        <v>24.7185</v>
      </c>
      <c r="AD65" s="71">
        <f t="shared" si="8"/>
        <v>4.526974395</v>
      </c>
      <c r="AE65" s="71">
        <f t="shared" si="9"/>
        <v>29.207</v>
      </c>
      <c r="AF65" s="71">
        <f t="shared" si="10"/>
        <v>96.36685898</v>
      </c>
      <c r="AG65" s="72">
        <f t="shared" si="43"/>
        <v>171.8193334</v>
      </c>
      <c r="AH65" s="193">
        <f t="shared" si="11"/>
        <v>156.892</v>
      </c>
      <c r="AI65" s="193">
        <f t="shared" si="12"/>
        <v>173.611</v>
      </c>
      <c r="AJ65" s="73">
        <f t="shared" si="13"/>
        <v>-41.59706987</v>
      </c>
      <c r="AK65" s="73">
        <f t="shared" si="14"/>
        <v>142.631836</v>
      </c>
      <c r="AM65" s="51">
        <f t="shared" si="15"/>
        <v>18611.62379</v>
      </c>
      <c r="AN65" s="51" t="str">
        <f t="array" ref="AN65">XLOOKUP(D65,RUC!$B$3:$B$565,RUC!$M$3:$M$565)</f>
        <v>Alfred Torres  *</v>
      </c>
      <c r="AO65" s="131" t="s">
        <v>551</v>
      </c>
      <c r="AP65" s="57" t="s">
        <v>3355</v>
      </c>
      <c r="AQ65" s="57" t="s">
        <v>3356</v>
      </c>
    </row>
    <row r="66" ht="15.0" customHeight="1">
      <c r="A66" s="116" t="s">
        <v>3357</v>
      </c>
      <c r="B66" s="182">
        <v>46082.0</v>
      </c>
      <c r="C66" s="182">
        <v>46078.0</v>
      </c>
      <c r="D66" s="57" t="s">
        <v>622</v>
      </c>
      <c r="E66" s="3">
        <f t="array" ref="E66">XLOOKUP(D66,RUC!$B$3:$B$110,RUC!$D$3:$D$110)</f>
        <v>20612719757</v>
      </c>
      <c r="G66" s="141">
        <v>41.0</v>
      </c>
      <c r="H66" s="3" t="s">
        <v>339</v>
      </c>
      <c r="I66" s="6">
        <v>4.05</v>
      </c>
      <c r="J66" s="58">
        <v>11.5</v>
      </c>
      <c r="K66" s="6">
        <f t="shared" si="3"/>
        <v>3.584</v>
      </c>
      <c r="L66" s="3">
        <v>0.482</v>
      </c>
      <c r="M66" s="60">
        <f t="shared" si="40"/>
        <v>0.453</v>
      </c>
      <c r="N66" s="62">
        <f t="shared" si="41"/>
        <v>0.453</v>
      </c>
      <c r="O66" s="60">
        <f t="shared" si="37"/>
        <v>0.453</v>
      </c>
      <c r="P66" s="63">
        <v>90.0</v>
      </c>
      <c r="Q66" s="58">
        <v>97.93</v>
      </c>
      <c r="R66" s="65">
        <v>5191.55</v>
      </c>
      <c r="S66" s="66">
        <f t="array" ref="S66">IF((XLOOKUP(D66,RUC!$B$3:$B$106,RUC!$E$3:$E$106)+ROUNDDOWN(O66,1)*100)&lt;95,95,((XLOOKUP(D66,RUC!$B$3:$B$106,RUC!$E$3:$E$106)+ROUNDDOWN(O66,1)*100)))</f>
        <v>130</v>
      </c>
      <c r="U66" s="67">
        <f t="array" ref="U66">XLOOKUP(D66,RUC!$B$3:$B$110,RUC!$F$3:$F$110)</f>
        <v>120</v>
      </c>
      <c r="V66" s="67">
        <v>1.1023</v>
      </c>
      <c r="Y66" s="57">
        <f t="array" ref="Y66">XLOOKUP(D66,RUC!$B$3:$B$110,RUC!$G$3:$G$110)</f>
        <v>20</v>
      </c>
      <c r="Z66" s="69">
        <f t="array" ref="Z66">XLOOKUP(D66,RUC!$B$3:$B$110,RUC!$H$3:$H$110)</f>
        <v>30</v>
      </c>
      <c r="AA66" s="70">
        <f t="shared" si="7"/>
        <v>50</v>
      </c>
      <c r="AB66" s="71">
        <f t="shared" si="25"/>
        <v>2080.779672</v>
      </c>
      <c r="AC66" s="71">
        <f>+(S66-T66)*V66-'data 1'!$F$4</f>
        <v>63.299</v>
      </c>
      <c r="AD66" s="71">
        <f t="shared" si="8"/>
        <v>213.6784597</v>
      </c>
      <c r="AE66" s="71">
        <f t="shared" si="9"/>
        <v>-14.885</v>
      </c>
      <c r="AF66" s="71">
        <f t="shared" si="10"/>
        <v>158.7648185</v>
      </c>
      <c r="AG66" s="72">
        <f t="shared" si="43"/>
        <v>437.8572783</v>
      </c>
      <c r="AH66" s="193">
        <f t="shared" si="11"/>
        <v>58.002</v>
      </c>
      <c r="AI66" s="193">
        <f t="shared" si="12"/>
        <v>59.228</v>
      </c>
      <c r="AJ66" s="73">
        <f t="shared" si="13"/>
        <v>-89.25926833</v>
      </c>
      <c r="AK66" s="73">
        <f t="shared" si="14"/>
        <v>50.09769931</v>
      </c>
      <c r="AM66" s="51">
        <f t="shared" si="15"/>
        <v>7457.514343</v>
      </c>
      <c r="AN66" s="51" t="str">
        <f t="array" ref="AN66">XLOOKUP(D66,RUC!$B$3:$B$565,RUC!$M$3:$M$565)</f>
        <v>Walter Achulla </v>
      </c>
      <c r="AO66" s="131" t="s">
        <v>551</v>
      </c>
      <c r="AP66" s="57" t="s">
        <v>3358</v>
      </c>
      <c r="AQ66" s="57" t="s">
        <v>3359</v>
      </c>
    </row>
    <row r="67" ht="15.0" customHeight="1">
      <c r="A67" s="116" t="s">
        <v>3360</v>
      </c>
      <c r="B67" s="182">
        <v>46082.0</v>
      </c>
      <c r="C67" s="182">
        <v>46078.0</v>
      </c>
      <c r="D67" s="57" t="s">
        <v>622</v>
      </c>
      <c r="E67" s="3">
        <f t="array" ref="E67">XLOOKUP(D67,RUC!$B$3:$B$110,RUC!$D$3:$D$110)</f>
        <v>20612719757</v>
      </c>
      <c r="G67" s="141">
        <v>30.0</v>
      </c>
      <c r="H67" s="3" t="s">
        <v>339</v>
      </c>
      <c r="I67" s="6">
        <v>2.57</v>
      </c>
      <c r="J67" s="58">
        <v>11.4</v>
      </c>
      <c r="K67" s="6">
        <f t="shared" si="3"/>
        <v>2.277</v>
      </c>
      <c r="L67" s="3">
        <v>0.478</v>
      </c>
      <c r="M67" s="60">
        <f t="shared" si="40"/>
        <v>0.449</v>
      </c>
      <c r="N67" s="62">
        <f t="shared" si="41"/>
        <v>0.449</v>
      </c>
      <c r="O67" s="60">
        <f t="shared" si="37"/>
        <v>0.449</v>
      </c>
      <c r="P67" s="63">
        <v>90.0</v>
      </c>
      <c r="Q67" s="58">
        <v>97.28</v>
      </c>
      <c r="R67" s="65">
        <v>5191.55</v>
      </c>
      <c r="S67" s="66">
        <f t="array" ref="S67">IF((XLOOKUP(D67,RUC!$B$3:$B$106,RUC!$E$3:$E$106)+ROUNDDOWN(O67,1)*100)&lt;95,95,((XLOOKUP(D67,RUC!$B$3:$B$106,RUC!$E$3:$E$106)+ROUNDDOWN(O67,1)*100)))</f>
        <v>130</v>
      </c>
      <c r="U67" s="67">
        <f t="array" ref="U67">XLOOKUP(D67,RUC!$B$3:$B$110,RUC!$F$3:$F$110)</f>
        <v>120</v>
      </c>
      <c r="V67" s="67">
        <v>1.1023</v>
      </c>
      <c r="Y67" s="57">
        <f t="array" ref="Y67">XLOOKUP(D67,RUC!$B$3:$B$110,RUC!$G$3:$G$110)</f>
        <v>20</v>
      </c>
      <c r="Z67" s="69">
        <f t="array" ref="Z67">XLOOKUP(D67,RUC!$B$3:$B$110,RUC!$H$3:$H$110)</f>
        <v>30</v>
      </c>
      <c r="AA67" s="70">
        <f t="shared" si="7"/>
        <v>50</v>
      </c>
      <c r="AB67" s="71">
        <f t="shared" si="25"/>
        <v>2060.654341</v>
      </c>
      <c r="AC67" s="71">
        <f>+(S67-T67)*V67-'data 1'!$F$4</f>
        <v>63.299</v>
      </c>
      <c r="AD67" s="71">
        <f t="shared" si="8"/>
        <v>194.5359163</v>
      </c>
      <c r="AE67" s="71">
        <f t="shared" si="9"/>
        <v>-14.885</v>
      </c>
      <c r="AF67" s="71">
        <f t="shared" si="10"/>
        <v>157.7110339</v>
      </c>
      <c r="AG67" s="72">
        <f t="shared" si="43"/>
        <v>417.6609501</v>
      </c>
      <c r="AH67" s="193">
        <f t="shared" si="11"/>
        <v>36.301</v>
      </c>
      <c r="AI67" s="193">
        <f t="shared" si="12"/>
        <v>37.316</v>
      </c>
      <c r="AJ67" s="73">
        <f t="shared" si="13"/>
        <v>-87.93099517</v>
      </c>
      <c r="AK67" s="73">
        <f t="shared" si="14"/>
        <v>31.54720953</v>
      </c>
      <c r="AM67" s="51">
        <f t="shared" si="15"/>
        <v>4692.109935</v>
      </c>
      <c r="AN67" s="51" t="str">
        <f t="array" ref="AN67">XLOOKUP(D67,RUC!$B$3:$B$565,RUC!$M$3:$M$565)</f>
        <v>Walter Achulla </v>
      </c>
      <c r="AO67" s="131" t="s">
        <v>551</v>
      </c>
      <c r="AP67" s="57" t="s">
        <v>3358</v>
      </c>
      <c r="AQ67" s="57" t="s">
        <v>3359</v>
      </c>
    </row>
    <row r="68" ht="15.0" customHeight="1">
      <c r="A68" s="116" t="s">
        <v>3361</v>
      </c>
      <c r="B68" s="182">
        <v>46082.0</v>
      </c>
      <c r="C68" s="182">
        <v>46078.0</v>
      </c>
      <c r="D68" s="57" t="s">
        <v>622</v>
      </c>
      <c r="E68" s="3">
        <f t="array" ref="E68">XLOOKUP(D68,RUC!$B$3:$B$110,RUC!$D$3:$D$110)</f>
        <v>20612719757</v>
      </c>
      <c r="G68" s="141">
        <v>34.0</v>
      </c>
      <c r="H68" s="3" t="s">
        <v>339</v>
      </c>
      <c r="I68" s="6">
        <v>2.71</v>
      </c>
      <c r="J68" s="58">
        <v>18.35</v>
      </c>
      <c r="K68" s="6">
        <f t="shared" si="3"/>
        <v>2.213</v>
      </c>
      <c r="L68" s="3">
        <v>0.427</v>
      </c>
      <c r="M68" s="60">
        <f t="shared" si="40"/>
        <v>0.401</v>
      </c>
      <c r="N68" s="62">
        <f t="shared" si="41"/>
        <v>0.401</v>
      </c>
      <c r="O68" s="60">
        <f t="shared" si="37"/>
        <v>0.401</v>
      </c>
      <c r="P68" s="63">
        <v>90.0</v>
      </c>
      <c r="Q68" s="58">
        <v>90.87</v>
      </c>
      <c r="R68" s="65">
        <v>5191.55</v>
      </c>
      <c r="S68" s="66">
        <f t="array" ref="S68">IF((XLOOKUP(D68,RUC!$B$3:$B$106,RUC!$E$3:$E$106)+ROUNDDOWN(O68,1)*100)&lt;95,95,((XLOOKUP(D68,RUC!$B$3:$B$106,RUC!$E$3:$E$106)+ROUNDDOWN(O68,1)*100)))</f>
        <v>130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7"/>
        <v>50</v>
      </c>
      <c r="AB68" s="71">
        <f t="shared" si="25"/>
        <v>1819.150376</v>
      </c>
      <c r="AC68" s="71">
        <f>+(S68-T68)*V68-'data 1'!$F$4</f>
        <v>63.299</v>
      </c>
      <c r="AD68" s="71">
        <f t="shared" si="8"/>
        <v>20.7676639</v>
      </c>
      <c r="AE68" s="71">
        <f t="shared" si="9"/>
        <v>-14.885</v>
      </c>
      <c r="AF68" s="71">
        <f t="shared" si="10"/>
        <v>132.0791894</v>
      </c>
      <c r="AG68" s="72">
        <f t="shared" si="43"/>
        <v>218.2608533</v>
      </c>
      <c r="AH68" s="193">
        <f t="shared" si="11"/>
        <v>29.44</v>
      </c>
      <c r="AI68" s="193">
        <f t="shared" si="12"/>
        <v>32.398</v>
      </c>
      <c r="AJ68" s="73">
        <f t="shared" si="13"/>
        <v>-73.3734488</v>
      </c>
      <c r="AK68" s="73">
        <f t="shared" si="14"/>
        <v>27.38276916</v>
      </c>
      <c r="AM68" s="51">
        <f t="shared" si="15"/>
        <v>4025.779782</v>
      </c>
      <c r="AN68" s="51" t="str">
        <f t="array" ref="AN68">XLOOKUP(D68,RUC!$B$3:$B$565,RUC!$M$3:$M$565)</f>
        <v>Walter Achulla </v>
      </c>
      <c r="AO68" s="131" t="s">
        <v>551</v>
      </c>
      <c r="AP68" s="57" t="s">
        <v>3358</v>
      </c>
      <c r="AQ68" s="57" t="s">
        <v>3359</v>
      </c>
    </row>
    <row r="69" ht="15.0" customHeight="1">
      <c r="A69" s="116" t="s">
        <v>3362</v>
      </c>
      <c r="B69" s="182">
        <v>46083.0</v>
      </c>
      <c r="C69" s="182">
        <v>46078.0</v>
      </c>
      <c r="D69" s="57" t="s">
        <v>295</v>
      </c>
      <c r="E69" s="3">
        <f t="array" ref="E69">XLOOKUP(D69,RUC!$B$3:$B$110,RUC!$D$3:$D$110)</f>
        <v>20601769396</v>
      </c>
      <c r="G69" s="141">
        <v>50.0</v>
      </c>
      <c r="H69" s="3" t="s">
        <v>339</v>
      </c>
      <c r="I69" s="6">
        <v>3.76</v>
      </c>
      <c r="J69" s="58">
        <v>11.75</v>
      </c>
      <c r="K69" s="6">
        <f t="shared" si="3"/>
        <v>3.318</v>
      </c>
      <c r="L69" s="3">
        <v>0.298</v>
      </c>
      <c r="M69" s="60">
        <f>ROUND(+IF(AN69="Melchor Vera",IF(L69&gt;0.467,L69*0.985,(L69-0.007)),IF(L69&gt;0.3,L69*0.94,(L69-0.023))),3)</f>
        <v>0.275</v>
      </c>
      <c r="N69" s="62">
        <f t="shared" si="41"/>
        <v>0.275</v>
      </c>
      <c r="O69" s="60">
        <f t="shared" si="37"/>
        <v>0.275</v>
      </c>
      <c r="P69" s="63">
        <v>90.0</v>
      </c>
      <c r="Q69" s="58">
        <v>96.17</v>
      </c>
      <c r="R69" s="65">
        <v>5191.55</v>
      </c>
      <c r="S69" s="66">
        <f t="array" ref="S69">IF((XLOOKUP(D69,RUC!$B$3:$B$106,RUC!$E$3:$E$106)+ROUNDDOWN(O69,1)*100)&lt;95,95,((XLOOKUP(D69,RUC!$B$3:$B$106,RUC!$E$3:$E$106)+ROUNDDOWN(O69,1)*100)))</f>
        <v>110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7"/>
        <v>50</v>
      </c>
      <c r="AB69" s="71">
        <f t="shared" si="25"/>
        <v>1207.248467</v>
      </c>
      <c r="AC69" s="71">
        <f>+(S69-T69)*V69-'data 1'!$F$4</f>
        <v>41.253</v>
      </c>
      <c r="AD69" s="71">
        <f t="shared" si="8"/>
        <v>102.787889</v>
      </c>
      <c r="AE69" s="71">
        <f t="shared" si="9"/>
        <v>-14.885</v>
      </c>
      <c r="AF69" s="71">
        <f t="shared" si="10"/>
        <v>123.6539434</v>
      </c>
      <c r="AG69" s="72">
        <f t="shared" si="43"/>
        <v>269.8098325</v>
      </c>
      <c r="AH69" s="193">
        <f t="shared" si="11"/>
        <v>32.602</v>
      </c>
      <c r="AI69" s="193">
        <f t="shared" si="12"/>
        <v>33.9</v>
      </c>
      <c r="AJ69" s="73">
        <f t="shared" si="13"/>
        <v>-54.19340139</v>
      </c>
      <c r="AK69" s="73">
        <f t="shared" si="14"/>
        <v>28.15533209</v>
      </c>
      <c r="AM69" s="51">
        <f t="shared" si="15"/>
        <v>4005.650415</v>
      </c>
      <c r="AN69" s="51" t="str">
        <f t="array" ref="AN69">XLOOKUP(D69,RUC!$B$3:$B$565,RUC!$M$3:$M$565)</f>
        <v>Evelyn</v>
      </c>
      <c r="AO69" s="131" t="s">
        <v>551</v>
      </c>
      <c r="AP69" s="57" t="s">
        <v>3363</v>
      </c>
      <c r="AQ69" s="57" t="s">
        <v>3364</v>
      </c>
    </row>
    <row r="70" ht="15.0" customHeight="1">
      <c r="A70" s="116" t="s">
        <v>3365</v>
      </c>
      <c r="B70" s="182">
        <v>46083.0</v>
      </c>
      <c r="C70" s="182">
        <v>46078.0</v>
      </c>
      <c r="D70" s="57" t="s">
        <v>295</v>
      </c>
      <c r="E70" s="3">
        <f t="array" ref="E70">XLOOKUP(D70,RUC!$B$3:$B$110,RUC!$D$3:$D$110)</f>
        <v>20601769396</v>
      </c>
      <c r="G70" s="141">
        <v>50.0</v>
      </c>
      <c r="H70" s="3" t="s">
        <v>339</v>
      </c>
      <c r="I70" s="6">
        <v>3.62</v>
      </c>
      <c r="J70" s="58">
        <v>13.98</v>
      </c>
      <c r="K70" s="6">
        <f t="shared" si="3"/>
        <v>3.114</v>
      </c>
      <c r="L70" s="3">
        <v>0.364</v>
      </c>
      <c r="M70" s="60">
        <f>ROUND(+IF(AN70="Melchor Vera",IF(L70&gt;0.467,L70*0.985,(L70-0.007)),IF(L70&gt;0.3,L70*0.93,(L70-0.019))),3)</f>
        <v>0.339</v>
      </c>
      <c r="N70" s="62">
        <f t="shared" si="41"/>
        <v>0.339</v>
      </c>
      <c r="O70" s="60">
        <f t="shared" si="37"/>
        <v>0.339</v>
      </c>
      <c r="P70" s="63">
        <v>90.0</v>
      </c>
      <c r="Q70" s="58">
        <v>96.24</v>
      </c>
      <c r="R70" s="65">
        <v>5191.55</v>
      </c>
      <c r="S70" s="66">
        <f t="array" ref="S70">IF((XLOOKUP(D70,RUC!$B$3:$B$106,RUC!$E$3:$E$106)+ROUNDDOWN(O70,1)*100)&lt;95,95,((XLOOKUP(D70,RUC!$B$3:$B$106,RUC!$E$3:$E$106)+ROUNDDOWN(O70,1)*100)))</f>
        <v>120</v>
      </c>
      <c r="U70" s="67">
        <f t="array" ref="U70">XLOOKUP(D70,RUC!$B$3:$B$110,RUC!$F$3:$F$110)</f>
        <v>120</v>
      </c>
      <c r="V70" s="67">
        <v>1.1023</v>
      </c>
      <c r="Y70" s="57">
        <f t="array" ref="Y70">XLOOKUP(D70,RUC!$B$3:$B$110,RUC!$G$3:$G$110)</f>
        <v>20</v>
      </c>
      <c r="Z70" s="69">
        <f t="array" ref="Z70">XLOOKUP(D70,RUC!$B$3:$B$110,RUC!$H$3:$H$110)</f>
        <v>30</v>
      </c>
      <c r="AA70" s="70">
        <f t="shared" si="7"/>
        <v>50</v>
      </c>
      <c r="AB70" s="71">
        <f t="shared" si="25"/>
        <v>1518.230754</v>
      </c>
      <c r="AC70" s="71">
        <f>+(S70-T70)*V70-'data 1'!$F$4</f>
        <v>52.276</v>
      </c>
      <c r="AD70" s="71">
        <f t="shared" si="8"/>
        <v>126.9774182</v>
      </c>
      <c r="AE70" s="71">
        <f t="shared" si="9"/>
        <v>-14.885</v>
      </c>
      <c r="AF70" s="71">
        <f t="shared" si="10"/>
        <v>134.5042917</v>
      </c>
      <c r="AG70" s="72">
        <f t="shared" si="43"/>
        <v>315.8727099</v>
      </c>
      <c r="AH70" s="193">
        <f t="shared" si="11"/>
        <v>37.401</v>
      </c>
      <c r="AI70" s="193">
        <f t="shared" si="12"/>
        <v>38.862</v>
      </c>
      <c r="AJ70" s="73">
        <f t="shared" si="13"/>
        <v>-66.24414937</v>
      </c>
      <c r="AK70" s="73">
        <f t="shared" si="14"/>
        <v>32.57390948</v>
      </c>
      <c r="AM70" s="51">
        <f t="shared" si="15"/>
        <v>4727.770569</v>
      </c>
      <c r="AN70" s="51" t="str">
        <f t="array" ref="AN70">XLOOKUP(D70,RUC!$B$3:$B$565,RUC!$M$3:$M$565)</f>
        <v>Evelyn</v>
      </c>
      <c r="AO70" s="131" t="s">
        <v>551</v>
      </c>
      <c r="AP70" s="57" t="s">
        <v>3363</v>
      </c>
      <c r="AQ70" s="57" t="s">
        <v>3364</v>
      </c>
    </row>
    <row r="71" ht="15.0" customHeight="1">
      <c r="A71" s="116" t="s">
        <v>3366</v>
      </c>
      <c r="B71" s="182">
        <v>46082.0</v>
      </c>
      <c r="C71" s="182">
        <v>46078.0</v>
      </c>
      <c r="D71" s="57" t="s">
        <v>295</v>
      </c>
      <c r="E71" s="3">
        <f t="array" ref="E71">XLOOKUP(D71,RUC!$B$3:$B$110,RUC!$D$3:$D$110)</f>
        <v>20601769396</v>
      </c>
      <c r="G71" s="141">
        <v>65.0</v>
      </c>
      <c r="H71" s="3" t="s">
        <v>339</v>
      </c>
      <c r="I71" s="6">
        <v>5.94</v>
      </c>
      <c r="J71" s="58">
        <v>9.53</v>
      </c>
      <c r="K71" s="6">
        <f t="shared" si="3"/>
        <v>5.374</v>
      </c>
      <c r="L71" s="60">
        <v>0.14</v>
      </c>
      <c r="M71" s="60">
        <f t="shared" ref="M71:M109" si="44">ROUND(+IF(AN71="Melchor Vera",IF(L71&gt;0.467,L71*0.985,(L71-0.007)),IF(L71&gt;0.3,L71*0.94,(L71-0.019))),3)</f>
        <v>0.121</v>
      </c>
      <c r="N71" s="62">
        <f t="shared" si="41"/>
        <v>0.121</v>
      </c>
      <c r="O71" s="60">
        <f t="shared" si="37"/>
        <v>0.121</v>
      </c>
      <c r="P71" s="63">
        <v>80.0</v>
      </c>
      <c r="Q71" s="58">
        <v>92.86</v>
      </c>
      <c r="R71" s="65">
        <v>5191.55</v>
      </c>
      <c r="S71" s="66">
        <f t="array" ref="S71">IF((XLOOKUP(D71,RUC!$B$3:$B$106,RUC!$E$3:$E$106)+ROUNDDOWN(O71,1)*100)&lt;95,95,((XLOOKUP(D71,RUC!$B$3:$B$106,RUC!$E$3:$E$106)+ROUNDDOWN(O71,1)*100)))</f>
        <v>100</v>
      </c>
      <c r="U71" s="67">
        <f t="array" ref="U71">XLOOKUP(D71,RUC!$B$3:$B$110,RUC!$F$3:$F$110)</f>
        <v>120</v>
      </c>
      <c r="V71" s="67">
        <v>1.1023</v>
      </c>
      <c r="Y71" s="57">
        <f t="array" ref="Y71">XLOOKUP(D71,RUC!$B$3:$B$110,RUC!$G$3:$G$110)</f>
        <v>20</v>
      </c>
      <c r="Z71" s="69">
        <f t="array" ref="Z71">XLOOKUP(D71,RUC!$B$3:$B$110,RUC!$H$3:$H$110)</f>
        <v>30</v>
      </c>
      <c r="AA71" s="70">
        <f t="shared" si="7"/>
        <v>50</v>
      </c>
      <c r="AB71" s="71">
        <f t="shared" si="25"/>
        <v>375.8027739</v>
      </c>
      <c r="AC71" s="71">
        <f>+(S71-T71)*V71-'data 1'!$F$4</f>
        <v>30.23</v>
      </c>
      <c r="AD71" s="71">
        <f t="shared" si="8"/>
        <v>100.6490136</v>
      </c>
      <c r="AE71" s="71">
        <f t="shared" si="9"/>
        <v>-14.885</v>
      </c>
      <c r="AF71" s="71">
        <f t="shared" si="10"/>
        <v>98.63312638</v>
      </c>
      <c r="AG71" s="72">
        <f t="shared" si="43"/>
        <v>231.62714</v>
      </c>
      <c r="AH71" s="193">
        <f t="shared" si="11"/>
        <v>23.953</v>
      </c>
      <c r="AI71" s="193">
        <f t="shared" si="12"/>
        <v>25.795</v>
      </c>
      <c r="AJ71" s="73">
        <f t="shared" si="13"/>
        <v>-24.58369985</v>
      </c>
      <c r="AK71" s="73">
        <f t="shared" si="14"/>
        <v>17.83536858</v>
      </c>
      <c r="AM71" s="51">
        <f t="shared" si="15"/>
        <v>2019.564107</v>
      </c>
      <c r="AN71" s="51" t="str">
        <f t="array" ref="AN71">XLOOKUP(D71,RUC!$B$3:$B$565,RUC!$M$3:$M$565)</f>
        <v>Evelyn</v>
      </c>
      <c r="AO71" s="131" t="s">
        <v>547</v>
      </c>
      <c r="AP71" s="57" t="s">
        <v>3363</v>
      </c>
      <c r="AQ71" s="57" t="s">
        <v>3364</v>
      </c>
    </row>
    <row r="72" ht="15.0" customHeight="1">
      <c r="A72" s="116" t="s">
        <v>3367</v>
      </c>
      <c r="B72" s="182">
        <v>46082.0</v>
      </c>
      <c r="C72" s="182">
        <v>46078.0</v>
      </c>
      <c r="D72" s="57" t="s">
        <v>295</v>
      </c>
      <c r="E72" s="3">
        <f t="array" ref="E72">XLOOKUP(D72,RUC!$B$3:$B$110,RUC!$D$3:$D$110)</f>
        <v>20601769396</v>
      </c>
      <c r="G72" s="141">
        <v>65.0</v>
      </c>
      <c r="H72" s="3" t="s">
        <v>339</v>
      </c>
      <c r="I72" s="6">
        <v>5.9</v>
      </c>
      <c r="J72" s="58">
        <v>10.25</v>
      </c>
      <c r="K72" s="6">
        <f t="shared" si="3"/>
        <v>5.295</v>
      </c>
      <c r="L72" s="3">
        <v>0.154</v>
      </c>
      <c r="M72" s="60">
        <f t="shared" si="44"/>
        <v>0.135</v>
      </c>
      <c r="N72" s="62">
        <f t="shared" si="41"/>
        <v>0.135</v>
      </c>
      <c r="O72" s="60">
        <f t="shared" si="37"/>
        <v>0.135</v>
      </c>
      <c r="P72" s="63">
        <v>85.0</v>
      </c>
      <c r="Q72" s="58">
        <v>90.91</v>
      </c>
      <c r="R72" s="65">
        <v>5191.55</v>
      </c>
      <c r="S72" s="66">
        <f t="array" ref="S72">IF((XLOOKUP(D72,RUC!$B$3:$B$106,RUC!$E$3:$E$106)+ROUNDDOWN(O72,1)*100)&lt;95,95,((XLOOKUP(D72,RUC!$B$3:$B$106,RUC!$E$3:$E$106)+ROUNDDOWN(O72,1)*100)))</f>
        <v>100</v>
      </c>
      <c r="U72" s="67">
        <f t="array" ref="U72">XLOOKUP(D72,RUC!$B$3:$B$110,RUC!$F$3:$F$110)</f>
        <v>120</v>
      </c>
      <c r="V72" s="67">
        <v>1.1023</v>
      </c>
      <c r="Y72" s="57">
        <f t="array" ref="Y72">XLOOKUP(D72,RUC!$B$3:$B$110,RUC!$G$3:$G$110)</f>
        <v>20</v>
      </c>
      <c r="Z72" s="69">
        <f t="array" ref="Z72">XLOOKUP(D72,RUC!$B$3:$B$110,RUC!$H$3:$H$110)</f>
        <v>30</v>
      </c>
      <c r="AA72" s="70">
        <f t="shared" si="7"/>
        <v>50</v>
      </c>
      <c r="AB72" s="71">
        <f t="shared" si="25"/>
        <v>476.1499076</v>
      </c>
      <c r="AC72" s="71">
        <f>+(S72-T72)*V72-'data 1'!$F$4</f>
        <v>30.23</v>
      </c>
      <c r="AD72" s="71">
        <f t="shared" si="8"/>
        <v>50.88018956</v>
      </c>
      <c r="AE72" s="71">
        <f t="shared" si="9"/>
        <v>-14.885</v>
      </c>
      <c r="AF72" s="71">
        <f t="shared" si="10"/>
        <v>96.56189446</v>
      </c>
      <c r="AG72" s="72">
        <f t="shared" si="43"/>
        <v>179.787084</v>
      </c>
      <c r="AH72" s="193">
        <f t="shared" si="11"/>
        <v>25.416</v>
      </c>
      <c r="AI72" s="193">
        <f t="shared" si="12"/>
        <v>27.957</v>
      </c>
      <c r="AJ72" s="73">
        <f t="shared" si="13"/>
        <v>-26.47420384</v>
      </c>
      <c r="AK72" s="73">
        <f t="shared" si="14"/>
        <v>20.83184464</v>
      </c>
      <c r="AM72" s="51">
        <f t="shared" si="15"/>
        <v>2521.213761</v>
      </c>
      <c r="AN72" s="51" t="str">
        <f t="array" ref="AN72">XLOOKUP(D72,RUC!$B$3:$B$565,RUC!$M$3:$M$565)</f>
        <v>Evelyn</v>
      </c>
      <c r="AO72" s="131" t="s">
        <v>551</v>
      </c>
      <c r="AP72" s="57" t="s">
        <v>3363</v>
      </c>
      <c r="AQ72" s="57" t="s">
        <v>3364</v>
      </c>
    </row>
    <row r="73" ht="15.0" customHeight="1">
      <c r="A73" s="116" t="s">
        <v>3368</v>
      </c>
      <c r="B73" s="182">
        <v>46084.0</v>
      </c>
      <c r="C73" s="182">
        <v>46079.0</v>
      </c>
      <c r="D73" s="57" t="s">
        <v>295</v>
      </c>
      <c r="E73" s="3">
        <f t="array" ref="E73">XLOOKUP(D73,RUC!$B$3:$B$110,RUC!$D$3:$D$110)</f>
        <v>20601769396</v>
      </c>
      <c r="G73" s="141">
        <v>25.0</v>
      </c>
      <c r="H73" s="3" t="s">
        <v>339</v>
      </c>
      <c r="I73" s="6">
        <v>1.63</v>
      </c>
      <c r="J73" s="58">
        <v>10.0</v>
      </c>
      <c r="K73" s="6">
        <f t="shared" si="3"/>
        <v>1.467</v>
      </c>
      <c r="L73" s="3">
        <v>0.241</v>
      </c>
      <c r="M73" s="60">
        <f t="shared" si="44"/>
        <v>0.222</v>
      </c>
      <c r="N73" s="62">
        <f t="shared" si="41"/>
        <v>0.222</v>
      </c>
      <c r="O73" s="60">
        <f t="shared" si="37"/>
        <v>0.222</v>
      </c>
      <c r="P73" s="63">
        <v>90.0</v>
      </c>
      <c r="Q73" s="58">
        <v>90.46</v>
      </c>
      <c r="R73" s="65">
        <v>5167.35</v>
      </c>
      <c r="S73" s="66">
        <f t="array" ref="S73">IF((XLOOKUP(D73,RUC!$B$3:$B$106,RUC!$E$3:$E$106)+ROUNDDOWN(O73,1)*100)&lt;95,95,((XLOOKUP(D73,RUC!$B$3:$B$106,RUC!$E$3:$E$106)+ROUNDDOWN(O73,1)*100)))</f>
        <v>110</v>
      </c>
      <c r="U73" s="67">
        <f t="array" ref="U73">XLOOKUP(D73,RUC!$B$3:$B$110,RUC!$F$3:$F$110)</f>
        <v>120</v>
      </c>
      <c r="V73" s="67">
        <v>1.1023</v>
      </c>
      <c r="Y73" s="57">
        <f t="array" ref="Y73">XLOOKUP(D73,RUC!$B$3:$B$110,RUC!$G$3:$G$110)</f>
        <v>20</v>
      </c>
      <c r="Z73" s="69">
        <f t="array" ref="Z73">XLOOKUP(D73,RUC!$B$3:$B$110,RUC!$H$3:$H$110)</f>
        <v>30</v>
      </c>
      <c r="AA73" s="70">
        <f t="shared" si="7"/>
        <v>50</v>
      </c>
      <c r="AB73" s="71">
        <f t="shared" si="25"/>
        <v>935.2580422</v>
      </c>
      <c r="AC73" s="71">
        <f>+(S73-T73)*V73-'data 1'!$F$4</f>
        <v>41.253</v>
      </c>
      <c r="AD73" s="71">
        <f t="shared" si="8"/>
        <v>6.167911063</v>
      </c>
      <c r="AE73" s="71">
        <f t="shared" si="9"/>
        <v>-14.885</v>
      </c>
      <c r="AF73" s="71">
        <f t="shared" si="10"/>
        <v>95.62543262</v>
      </c>
      <c r="AG73" s="72">
        <f t="shared" si="43"/>
        <v>145.1613437</v>
      </c>
      <c r="AH73" s="193">
        <f t="shared" si="11"/>
        <v>10.965</v>
      </c>
      <c r="AI73" s="193">
        <f t="shared" si="12"/>
        <v>12.121</v>
      </c>
      <c r="AJ73" s="73">
        <f t="shared" si="13"/>
        <v>-35.40980814</v>
      </c>
      <c r="AK73" s="73">
        <f t="shared" si="14"/>
        <v>10.04927352</v>
      </c>
      <c r="AM73" s="51">
        <f t="shared" si="15"/>
        <v>1372.023548</v>
      </c>
      <c r="AN73" s="51" t="str">
        <f t="array" ref="AN73">XLOOKUP(D73,RUC!$B$3:$B$565,RUC!$M$3:$M$565)</f>
        <v>Evelyn</v>
      </c>
      <c r="AO73" s="131" t="s">
        <v>551</v>
      </c>
      <c r="AP73" s="57" t="s">
        <v>3369</v>
      </c>
      <c r="AQ73" s="57" t="s">
        <v>3370</v>
      </c>
    </row>
    <row r="74" ht="15.0" customHeight="1">
      <c r="A74" s="116" t="s">
        <v>3371</v>
      </c>
      <c r="B74" s="182">
        <v>46084.0</v>
      </c>
      <c r="C74" s="182">
        <v>46079.0</v>
      </c>
      <c r="D74" s="57" t="s">
        <v>295</v>
      </c>
      <c r="E74" s="3">
        <f t="array" ref="E74">XLOOKUP(D74,RUC!$B$3:$B$110,RUC!$D$3:$D$110)</f>
        <v>20601769396</v>
      </c>
      <c r="G74" s="141">
        <v>25.0</v>
      </c>
      <c r="H74" s="3" t="s">
        <v>339</v>
      </c>
      <c r="I74" s="6">
        <v>1.89</v>
      </c>
      <c r="J74" s="58">
        <v>10.3</v>
      </c>
      <c r="K74" s="6">
        <f t="shared" si="3"/>
        <v>1.695</v>
      </c>
      <c r="L74" s="60">
        <v>0.26</v>
      </c>
      <c r="M74" s="60">
        <f t="shared" si="44"/>
        <v>0.241</v>
      </c>
      <c r="N74" s="62">
        <f t="shared" si="41"/>
        <v>0.241</v>
      </c>
      <c r="O74" s="60">
        <f t="shared" si="37"/>
        <v>0.241</v>
      </c>
      <c r="P74" s="63">
        <v>90.0</v>
      </c>
      <c r="Q74" s="58">
        <v>93.46</v>
      </c>
      <c r="R74" s="65">
        <v>5167.35</v>
      </c>
      <c r="S74" s="66">
        <f t="array" ref="S74">IF((XLOOKUP(D74,RUC!$B$3:$B$106,RUC!$E$3:$E$106)+ROUNDDOWN(O74,1)*100)&lt;95,95,((XLOOKUP(D74,RUC!$B$3:$B$106,RUC!$E$3:$E$106)+ROUNDDOWN(O74,1)*100)))</f>
        <v>110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69">
        <f t="array" ref="Z74">XLOOKUP(D74,RUC!$B$3:$B$110,RUC!$H$3:$H$110)</f>
        <v>30</v>
      </c>
      <c r="AA74" s="70">
        <f t="shared" si="7"/>
        <v>50</v>
      </c>
      <c r="AB74" s="71">
        <f t="shared" si="25"/>
        <v>1030.397208</v>
      </c>
      <c r="AC74" s="71">
        <f>+(S74-T74)*V74-'data 1'!$F$4</f>
        <v>41.253</v>
      </c>
      <c r="AD74" s="71">
        <f t="shared" si="8"/>
        <v>50.05099037</v>
      </c>
      <c r="AE74" s="71">
        <f t="shared" si="9"/>
        <v>-14.885</v>
      </c>
      <c r="AF74" s="71">
        <f t="shared" si="10"/>
        <v>98.79673815</v>
      </c>
      <c r="AG74" s="72">
        <f t="shared" si="43"/>
        <v>192.2157285</v>
      </c>
      <c r="AH74" s="193">
        <f t="shared" si="11"/>
        <v>14.121</v>
      </c>
      <c r="AI74" s="193">
        <f t="shared" si="12"/>
        <v>15.11</v>
      </c>
      <c r="AJ74" s="73">
        <f t="shared" si="13"/>
        <v>-39.46835922</v>
      </c>
      <c r="AK74" s="73">
        <f t="shared" si="14"/>
        <v>12.60486863</v>
      </c>
      <c r="AM74" s="51">
        <f t="shared" si="15"/>
        <v>1746.523268</v>
      </c>
      <c r="AN74" s="51" t="str">
        <f t="array" ref="AN74">XLOOKUP(D74,RUC!$B$3:$B$565,RUC!$M$3:$M$565)</f>
        <v>Evelyn</v>
      </c>
      <c r="AO74" s="131" t="s">
        <v>551</v>
      </c>
      <c r="AP74" s="57" t="s">
        <v>3369</v>
      </c>
      <c r="AQ74" s="57" t="s">
        <v>3370</v>
      </c>
    </row>
    <row r="75" ht="15.0" customHeight="1">
      <c r="A75" s="116" t="s">
        <v>3372</v>
      </c>
      <c r="B75" s="182">
        <v>46084.0</v>
      </c>
      <c r="C75" s="182">
        <v>46079.0</v>
      </c>
      <c r="D75" s="57" t="s">
        <v>295</v>
      </c>
      <c r="E75" s="3">
        <f t="array" ref="E75">XLOOKUP(D75,RUC!$B$3:$B$110,RUC!$D$3:$D$110)</f>
        <v>20601769396</v>
      </c>
      <c r="G75" s="141">
        <v>25.0</v>
      </c>
      <c r="H75" s="3" t="s">
        <v>339</v>
      </c>
      <c r="I75" s="6">
        <v>1.62</v>
      </c>
      <c r="J75" s="58">
        <v>11.0</v>
      </c>
      <c r="K75" s="6">
        <f t="shared" si="3"/>
        <v>1.442</v>
      </c>
      <c r="L75" s="3">
        <v>0.297</v>
      </c>
      <c r="M75" s="60">
        <f t="shared" si="44"/>
        <v>0.278</v>
      </c>
      <c r="N75" s="62">
        <f t="shared" si="41"/>
        <v>0.278</v>
      </c>
      <c r="O75" s="60">
        <f t="shared" si="37"/>
        <v>0.278</v>
      </c>
      <c r="P75" s="63">
        <v>90.0</v>
      </c>
      <c r="Q75" s="58">
        <v>92.93</v>
      </c>
      <c r="R75" s="65">
        <v>5167.35</v>
      </c>
      <c r="S75" s="66">
        <f t="array" ref="S75">IF((XLOOKUP(D75,RUC!$B$3:$B$106,RUC!$E$3:$E$106)+ROUNDDOWN(O75,1)*100)&lt;95,95,((XLOOKUP(D75,RUC!$B$3:$B$106,RUC!$E$3:$E$106)+ROUNDDOWN(O75,1)*100)))</f>
        <v>110</v>
      </c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69">
        <f t="array" ref="Z75">XLOOKUP(D75,RUC!$B$3:$B$110,RUC!$H$3:$H$110)</f>
        <v>30</v>
      </c>
      <c r="AA75" s="70">
        <f t="shared" si="7"/>
        <v>50</v>
      </c>
      <c r="AB75" s="71">
        <f t="shared" si="25"/>
        <v>1215.668215</v>
      </c>
      <c r="AC75" s="71">
        <f>+(S75-T75)*V75-'data 1'!$F$4</f>
        <v>41.253</v>
      </c>
      <c r="AD75" s="71">
        <f t="shared" si="8"/>
        <v>48.41582073</v>
      </c>
      <c r="AE75" s="71">
        <f t="shared" si="9"/>
        <v>-14.885</v>
      </c>
      <c r="AF75" s="71">
        <f t="shared" si="10"/>
        <v>98.23647417</v>
      </c>
      <c r="AG75" s="72">
        <f t="shared" si="43"/>
        <v>190.0202949</v>
      </c>
      <c r="AH75" s="193">
        <f t="shared" si="11"/>
        <v>13.645</v>
      </c>
      <c r="AI75" s="193">
        <f t="shared" si="12"/>
        <v>14.684</v>
      </c>
      <c r="AJ75" s="73">
        <f t="shared" si="13"/>
        <v>-44.82933887</v>
      </c>
      <c r="AK75" s="73">
        <f t="shared" si="14"/>
        <v>12.3697703</v>
      </c>
      <c r="AM75" s="51">
        <f t="shared" si="15"/>
        <v>1752.993566</v>
      </c>
      <c r="AN75" s="51" t="str">
        <f t="array" ref="AN75">XLOOKUP(D75,RUC!$B$3:$B$565,RUC!$M$3:$M$565)</f>
        <v>Evelyn</v>
      </c>
      <c r="AO75" s="131" t="s">
        <v>551</v>
      </c>
      <c r="AP75" s="57" t="s">
        <v>3369</v>
      </c>
      <c r="AQ75" s="57" t="s">
        <v>3370</v>
      </c>
    </row>
    <row r="76" ht="15.0" customHeight="1">
      <c r="A76" s="116" t="s">
        <v>3373</v>
      </c>
      <c r="B76" s="182">
        <v>46084.0</v>
      </c>
      <c r="C76" s="182">
        <v>46079.0</v>
      </c>
      <c r="D76" s="57" t="s">
        <v>295</v>
      </c>
      <c r="E76" s="3">
        <f t="array" ref="E76">XLOOKUP(D76,RUC!$B$3:$B$110,RUC!$D$3:$D$110)</f>
        <v>20601769396</v>
      </c>
      <c r="G76" s="141">
        <v>25.0</v>
      </c>
      <c r="H76" s="3" t="s">
        <v>339</v>
      </c>
      <c r="I76" s="6">
        <v>1.7</v>
      </c>
      <c r="J76" s="58">
        <v>13.43</v>
      </c>
      <c r="K76" s="6">
        <f t="shared" si="3"/>
        <v>1.472</v>
      </c>
      <c r="L76" s="3">
        <v>0.275</v>
      </c>
      <c r="M76" s="60">
        <f t="shared" si="44"/>
        <v>0.256</v>
      </c>
      <c r="N76" s="62">
        <f t="shared" si="41"/>
        <v>0.256</v>
      </c>
      <c r="O76" s="60">
        <f t="shared" si="37"/>
        <v>0.256</v>
      </c>
      <c r="P76" s="63">
        <v>90.0</v>
      </c>
      <c r="Q76" s="58">
        <v>93.45</v>
      </c>
      <c r="R76" s="65">
        <v>5167.35</v>
      </c>
      <c r="S76" s="66">
        <f t="array" ref="S76">IF((XLOOKUP(D76,RUC!$B$3:$B$106,RUC!$E$3:$E$106)+ROUNDDOWN(O76,1)*100)&lt;95,95,((XLOOKUP(D76,RUC!$B$3:$B$106,RUC!$E$3:$E$106)+ROUNDDOWN(O76,1)*100)))</f>
        <v>110</v>
      </c>
      <c r="U76" s="67">
        <f t="array" ref="U76">XLOOKUP(D76,RUC!$B$3:$B$110,RUC!$F$3:$F$110)</f>
        <v>120</v>
      </c>
      <c r="V76" s="67">
        <v>1.1023</v>
      </c>
      <c r="Y76" s="57">
        <f t="array" ref="Y76">XLOOKUP(D76,RUC!$B$3:$B$110,RUC!$G$3:$G$110)</f>
        <v>20</v>
      </c>
      <c r="Z76" s="69">
        <f t="array" ref="Z76">XLOOKUP(D76,RUC!$B$3:$B$110,RUC!$H$3:$H$110)</f>
        <v>30</v>
      </c>
      <c r="AA76" s="70">
        <f t="shared" si="7"/>
        <v>50</v>
      </c>
      <c r="AB76" s="71">
        <f t="shared" si="25"/>
        <v>1105.507076</v>
      </c>
      <c r="AC76" s="71">
        <f>+(S76-T76)*V76-'data 1'!$F$4</f>
        <v>41.253</v>
      </c>
      <c r="AD76" s="71">
        <f t="shared" si="8"/>
        <v>52.78554592</v>
      </c>
      <c r="AE76" s="71">
        <f t="shared" si="9"/>
        <v>-14.885</v>
      </c>
      <c r="AF76" s="71">
        <f t="shared" si="10"/>
        <v>98.78616713</v>
      </c>
      <c r="AG76" s="72">
        <f t="shared" si="43"/>
        <v>194.9397131</v>
      </c>
      <c r="AH76" s="193">
        <f t="shared" si="11"/>
        <v>12.97</v>
      </c>
      <c r="AI76" s="193">
        <f t="shared" si="12"/>
        <v>13.879</v>
      </c>
      <c r="AJ76" s="73">
        <f t="shared" si="13"/>
        <v>-41.74091329</v>
      </c>
      <c r="AK76" s="73">
        <f t="shared" si="14"/>
        <v>11.62784821</v>
      </c>
      <c r="AM76" s="51">
        <f t="shared" si="15"/>
        <v>1627.306415</v>
      </c>
      <c r="AN76" s="51" t="str">
        <f t="array" ref="AN76">XLOOKUP(D76,RUC!$B$3:$B$565,RUC!$M$3:$M$565)</f>
        <v>Evelyn</v>
      </c>
      <c r="AO76" s="131" t="s">
        <v>551</v>
      </c>
      <c r="AP76" s="57" t="s">
        <v>3369</v>
      </c>
      <c r="AQ76" s="57" t="s">
        <v>3370</v>
      </c>
    </row>
    <row r="77" ht="15.0" customHeight="1">
      <c r="A77" s="116" t="s">
        <v>3374</v>
      </c>
      <c r="B77" s="182">
        <v>46084.0</v>
      </c>
      <c r="C77" s="182">
        <v>46079.0</v>
      </c>
      <c r="D77" s="57" t="s">
        <v>295</v>
      </c>
      <c r="E77" s="3">
        <f t="array" ref="E77">XLOOKUP(D77,RUC!$B$3:$B$110,RUC!$D$3:$D$110)</f>
        <v>20601769396</v>
      </c>
      <c r="G77" s="141">
        <v>26.0</v>
      </c>
      <c r="H77" s="3" t="s">
        <v>339</v>
      </c>
      <c r="I77" s="6">
        <v>1.72</v>
      </c>
      <c r="J77" s="58">
        <v>15.3</v>
      </c>
      <c r="K77" s="6">
        <f t="shared" si="3"/>
        <v>1.457</v>
      </c>
      <c r="L77" s="3">
        <v>0.248</v>
      </c>
      <c r="M77" s="60">
        <f t="shared" si="44"/>
        <v>0.229</v>
      </c>
      <c r="N77" s="62">
        <f t="shared" si="41"/>
        <v>0.229</v>
      </c>
      <c r="O77" s="60">
        <f t="shared" si="37"/>
        <v>0.229</v>
      </c>
      <c r="P77" s="63">
        <v>90.0</v>
      </c>
      <c r="Q77" s="58">
        <v>93.55</v>
      </c>
      <c r="R77" s="65">
        <v>5167.35</v>
      </c>
      <c r="S77" s="66">
        <f t="array" ref="S77">IF((XLOOKUP(D77,RUC!$B$3:$B$106,RUC!$E$3:$E$106)+ROUNDDOWN(O77,1)*100)&lt;95,95,((XLOOKUP(D77,RUC!$B$3:$B$106,RUC!$E$3:$E$106)+ROUNDDOWN(O77,1)*100)))</f>
        <v>110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69">
        <f t="array" ref="Z77">XLOOKUP(D77,RUC!$B$3:$B$110,RUC!$H$3:$H$110)</f>
        <v>30</v>
      </c>
      <c r="AA77" s="70">
        <f t="shared" si="7"/>
        <v>50</v>
      </c>
      <c r="AB77" s="71">
        <f t="shared" si="25"/>
        <v>970.3093138</v>
      </c>
      <c r="AC77" s="71">
        <f>+(S77-T77)*V77-'data 1'!$F$4</f>
        <v>41.253</v>
      </c>
      <c r="AD77" s="71">
        <f t="shared" si="8"/>
        <v>48.98276114</v>
      </c>
      <c r="AE77" s="71">
        <f t="shared" si="9"/>
        <v>-14.885</v>
      </c>
      <c r="AF77" s="71">
        <f t="shared" si="10"/>
        <v>98.89187731</v>
      </c>
      <c r="AG77" s="72">
        <f t="shared" si="43"/>
        <v>191.2426385</v>
      </c>
      <c r="AH77" s="193">
        <f t="shared" si="11"/>
        <v>11.589</v>
      </c>
      <c r="AI77" s="193">
        <f t="shared" si="12"/>
        <v>12.389</v>
      </c>
      <c r="AJ77" s="73">
        <f t="shared" si="13"/>
        <v>-37.68299566</v>
      </c>
      <c r="AK77" s="73">
        <f t="shared" si="14"/>
        <v>10.29548032</v>
      </c>
      <c r="AM77" s="51">
        <f t="shared" si="15"/>
        <v>1413.74067</v>
      </c>
      <c r="AN77" s="51" t="str">
        <f t="array" ref="AN77">XLOOKUP(D77,RUC!$B$3:$B$565,RUC!$M$3:$M$565)</f>
        <v>Evelyn</v>
      </c>
      <c r="AO77" s="131" t="s">
        <v>551</v>
      </c>
      <c r="AP77" s="57" t="s">
        <v>3369</v>
      </c>
      <c r="AQ77" s="57" t="s">
        <v>3370</v>
      </c>
    </row>
    <row r="78" ht="15.0" customHeight="1">
      <c r="A78" s="116" t="s">
        <v>3375</v>
      </c>
      <c r="B78" s="182">
        <v>46084.0</v>
      </c>
      <c r="C78" s="182">
        <v>46079.0</v>
      </c>
      <c r="D78" s="57" t="s">
        <v>295</v>
      </c>
      <c r="E78" s="3">
        <f t="array" ref="E78">XLOOKUP(D78,RUC!$B$3:$B$110,RUC!$D$3:$D$110)</f>
        <v>20601769396</v>
      </c>
      <c r="G78" s="141">
        <v>25.0</v>
      </c>
      <c r="H78" s="3" t="s">
        <v>339</v>
      </c>
      <c r="I78" s="6">
        <v>1.45</v>
      </c>
      <c r="J78" s="58">
        <v>15.8</v>
      </c>
      <c r="K78" s="6">
        <f t="shared" si="3"/>
        <v>1.221</v>
      </c>
      <c r="L78" s="3">
        <v>0.232</v>
      </c>
      <c r="M78" s="60">
        <f t="shared" si="44"/>
        <v>0.213</v>
      </c>
      <c r="N78" s="62">
        <f t="shared" si="41"/>
        <v>0.213</v>
      </c>
      <c r="O78" s="60">
        <f t="shared" si="37"/>
        <v>0.213</v>
      </c>
      <c r="P78" s="63">
        <v>90.0</v>
      </c>
      <c r="Q78" s="58">
        <v>93.53</v>
      </c>
      <c r="R78" s="65">
        <v>5167.35</v>
      </c>
      <c r="S78" s="66">
        <f t="array" ref="S78">IF((XLOOKUP(D78,RUC!$B$3:$B$106,RUC!$E$3:$E$106)+ROUNDDOWN(O78,1)*100)&lt;95,95,((XLOOKUP(D78,RUC!$B$3:$B$106,RUC!$E$3:$E$106)+ROUNDDOWN(O78,1)*100)))</f>
        <v>110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69">
        <f t="array" ref="Z78">XLOOKUP(D78,RUC!$B$3:$B$110,RUC!$H$3:$H$110)</f>
        <v>30</v>
      </c>
      <c r="AA78" s="70">
        <f t="shared" si="7"/>
        <v>50</v>
      </c>
      <c r="AB78" s="71">
        <f t="shared" si="25"/>
        <v>890.1921216</v>
      </c>
      <c r="AC78" s="71">
        <f>+(S78-T78)*V78-'data 1'!$F$4</f>
        <v>41.253</v>
      </c>
      <c r="AD78" s="71">
        <f t="shared" si="8"/>
        <v>45.5644276</v>
      </c>
      <c r="AE78" s="71">
        <f t="shared" si="9"/>
        <v>-14.885</v>
      </c>
      <c r="AF78" s="71">
        <f t="shared" si="10"/>
        <v>98.87073528</v>
      </c>
      <c r="AG78" s="72">
        <f t="shared" si="43"/>
        <v>187.8031629</v>
      </c>
      <c r="AH78" s="193">
        <f t="shared" si="11"/>
        <v>9.084</v>
      </c>
      <c r="AI78" s="193">
        <f t="shared" si="12"/>
        <v>9.712</v>
      </c>
      <c r="AJ78" s="73">
        <f t="shared" si="13"/>
        <v>-35.24429818</v>
      </c>
      <c r="AK78" s="73">
        <f t="shared" si="14"/>
        <v>8.025033354</v>
      </c>
      <c r="AM78" s="51">
        <f t="shared" si="15"/>
        <v>1086.92458</v>
      </c>
      <c r="AN78" s="51" t="str">
        <f t="array" ref="AN78">XLOOKUP(D78,RUC!$B$3:$B$565,RUC!$M$3:$M$565)</f>
        <v>Evelyn</v>
      </c>
      <c r="AO78" s="131" t="s">
        <v>551</v>
      </c>
      <c r="AP78" s="57" t="s">
        <v>3369</v>
      </c>
      <c r="AQ78" s="57" t="s">
        <v>3370</v>
      </c>
    </row>
    <row r="79" ht="15.0" customHeight="1">
      <c r="A79" s="116" t="s">
        <v>3376</v>
      </c>
      <c r="B79" s="182">
        <v>46084.0</v>
      </c>
      <c r="C79" s="182">
        <v>46079.0</v>
      </c>
      <c r="D79" s="57" t="s">
        <v>295</v>
      </c>
      <c r="E79" s="3">
        <f t="array" ref="E79">XLOOKUP(D79,RUC!$B$3:$B$110,RUC!$D$3:$D$110)</f>
        <v>20601769396</v>
      </c>
      <c r="G79" s="141">
        <v>90.0</v>
      </c>
      <c r="H79" s="3" t="s">
        <v>40</v>
      </c>
      <c r="I79" s="6">
        <v>7.95</v>
      </c>
      <c r="J79" s="58">
        <v>15.6</v>
      </c>
      <c r="K79" s="6">
        <f t="shared" si="3"/>
        <v>6.71</v>
      </c>
      <c r="L79" s="3">
        <v>0.171</v>
      </c>
      <c r="M79" s="60">
        <f t="shared" si="44"/>
        <v>0.152</v>
      </c>
      <c r="N79" s="62">
        <f t="shared" si="41"/>
        <v>0.152</v>
      </c>
      <c r="O79" s="60">
        <f t="shared" si="37"/>
        <v>0.152</v>
      </c>
      <c r="P79" s="63">
        <v>85.0</v>
      </c>
      <c r="Q79" s="58">
        <v>87.72</v>
      </c>
      <c r="R79" s="65">
        <v>5167.35</v>
      </c>
      <c r="S79" s="66">
        <f t="array" ref="S79">IF((XLOOKUP(D79,RUC!$B$3:$B$106,RUC!$E$3:$E$106)+ROUNDDOWN(O79,1)*100)&lt;95,95,((XLOOKUP(D79,RUC!$B$3:$B$106,RUC!$E$3:$E$106)+ROUNDDOWN(O79,1)*100)))</f>
        <v>100</v>
      </c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69">
        <f t="array" ref="Z79">XLOOKUP(D79,RUC!$B$3:$B$110,RUC!$H$3:$H$110)</f>
        <v>30</v>
      </c>
      <c r="AA79" s="70">
        <f t="shared" si="7"/>
        <v>50</v>
      </c>
      <c r="AB79" s="71">
        <f t="shared" si="25"/>
        <v>553.4842525</v>
      </c>
      <c r="AC79" s="71">
        <f>+(S79-T79)*V79-'data 1'!$F$4</f>
        <v>30.23</v>
      </c>
      <c r="AD79" s="71">
        <f t="shared" si="8"/>
        <v>25.87785309</v>
      </c>
      <c r="AE79" s="71">
        <f t="shared" si="9"/>
        <v>-14.885</v>
      </c>
      <c r="AF79" s="71">
        <f t="shared" si="10"/>
        <v>92.72897358</v>
      </c>
      <c r="AG79" s="72">
        <f t="shared" si="43"/>
        <v>150.9518267</v>
      </c>
      <c r="AH79" s="193">
        <f t="shared" si="11"/>
        <v>34.509</v>
      </c>
      <c r="AI79" s="193">
        <f t="shared" si="12"/>
        <v>39.339</v>
      </c>
      <c r="AJ79" s="73">
        <f t="shared" si="13"/>
        <v>-24.36378066</v>
      </c>
      <c r="AK79" s="73">
        <f t="shared" si="14"/>
        <v>29.72310003</v>
      </c>
      <c r="AM79" s="51">
        <f t="shared" si="15"/>
        <v>3713.879334</v>
      </c>
      <c r="AN79" s="51" t="str">
        <f t="array" ref="AN79">XLOOKUP(D79,RUC!$B$3:$B$565,RUC!$M$3:$M$565)</f>
        <v>Evelyn</v>
      </c>
      <c r="AO79" s="131" t="s">
        <v>551</v>
      </c>
      <c r="AP79" s="57" t="s">
        <v>3369</v>
      </c>
      <c r="AQ79" s="57" t="s">
        <v>3370</v>
      </c>
    </row>
    <row r="80" ht="15.0" customHeight="1">
      <c r="A80" s="116" t="s">
        <v>3377</v>
      </c>
      <c r="B80" s="182">
        <v>46084.0</v>
      </c>
      <c r="C80" s="182">
        <v>46079.0</v>
      </c>
      <c r="D80" s="57" t="s">
        <v>295</v>
      </c>
      <c r="E80" s="3">
        <f t="array" ref="E80">XLOOKUP(D80,RUC!$B$3:$B$110,RUC!$D$3:$D$110)</f>
        <v>20601769396</v>
      </c>
      <c r="G80" s="141">
        <v>60.0</v>
      </c>
      <c r="H80" s="3" t="s">
        <v>40</v>
      </c>
      <c r="I80" s="6">
        <v>5.51</v>
      </c>
      <c r="J80" s="58">
        <v>17.6</v>
      </c>
      <c r="K80" s="6">
        <f t="shared" si="3"/>
        <v>4.54</v>
      </c>
      <c r="L80" s="3">
        <v>0.138</v>
      </c>
      <c r="M80" s="60">
        <f t="shared" si="44"/>
        <v>0.119</v>
      </c>
      <c r="N80" s="62">
        <f t="shared" si="41"/>
        <v>0.119</v>
      </c>
      <c r="O80" s="60">
        <f t="shared" si="37"/>
        <v>0.119</v>
      </c>
      <c r="P80" s="63">
        <v>80.0</v>
      </c>
      <c r="Q80" s="58">
        <v>88.41</v>
      </c>
      <c r="R80" s="65">
        <v>5167.35</v>
      </c>
      <c r="S80" s="66">
        <f t="array" ref="S80">IF((XLOOKUP(D80,RUC!$B$3:$B$106,RUC!$E$3:$E$106)+ROUNDDOWN(O80,1)*100)&lt;95,95,((XLOOKUP(D80,RUC!$B$3:$B$106,RUC!$E$3:$E$106)+ROUNDDOWN(O80,1)*100)))</f>
        <v>100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69">
        <f t="array" ref="Z80">XLOOKUP(D80,RUC!$B$3:$B$110,RUC!$H$3:$H$110)</f>
        <v>30</v>
      </c>
      <c r="AA80" s="70">
        <f t="shared" si="7"/>
        <v>50</v>
      </c>
      <c r="AB80" s="71">
        <f t="shared" si="25"/>
        <v>364.3186598</v>
      </c>
      <c r="AC80" s="71">
        <f>+(S80-T80)*V80-'data 1'!$F$4</f>
        <v>30.23</v>
      </c>
      <c r="AD80" s="71">
        <f t="shared" si="8"/>
        <v>64.57111872</v>
      </c>
      <c r="AE80" s="71">
        <f t="shared" si="9"/>
        <v>-14.885</v>
      </c>
      <c r="AF80" s="71">
        <f t="shared" si="10"/>
        <v>93.45837385</v>
      </c>
      <c r="AG80" s="72">
        <f t="shared" si="43"/>
        <v>190.3744926</v>
      </c>
      <c r="AH80" s="193">
        <f t="shared" si="11"/>
        <v>18.991</v>
      </c>
      <c r="AI80" s="193">
        <f t="shared" si="12"/>
        <v>21.48</v>
      </c>
      <c r="AJ80" s="73">
        <f t="shared" si="13"/>
        <v>-19.81665847</v>
      </c>
      <c r="AK80" s="73">
        <f t="shared" si="14"/>
        <v>14.818419</v>
      </c>
      <c r="AM80" s="51">
        <f t="shared" si="15"/>
        <v>1654.006715</v>
      </c>
      <c r="AN80" s="51" t="str">
        <f t="array" ref="AN80">XLOOKUP(D80,RUC!$B$3:$B$565,RUC!$M$3:$M$565)</f>
        <v>Evelyn</v>
      </c>
      <c r="AO80" s="131" t="s">
        <v>547</v>
      </c>
      <c r="AP80" s="57" t="s">
        <v>3369</v>
      </c>
      <c r="AQ80" s="57" t="s">
        <v>3370</v>
      </c>
    </row>
    <row r="81" ht="15.0" customHeight="1">
      <c r="A81" s="116" t="s">
        <v>3378</v>
      </c>
      <c r="B81" s="182">
        <v>46083.0</v>
      </c>
      <c r="C81" s="182">
        <v>46079.0</v>
      </c>
      <c r="D81" s="57" t="s">
        <v>2011</v>
      </c>
      <c r="E81" s="3">
        <f t="array" ref="E81">XLOOKUP(D81,RUC!$B$3:$B$110,RUC!$D$3:$D$110)</f>
        <v>20535021563</v>
      </c>
      <c r="G81" s="141">
        <v>297.0</v>
      </c>
      <c r="H81" s="3" t="s">
        <v>47</v>
      </c>
      <c r="I81" s="6">
        <v>23.21</v>
      </c>
      <c r="J81" s="58">
        <v>2.15</v>
      </c>
      <c r="K81" s="6">
        <f t="shared" si="3"/>
        <v>22.711</v>
      </c>
      <c r="L81" s="3">
        <v>0.219</v>
      </c>
      <c r="M81" s="60">
        <f t="shared" si="44"/>
        <v>0.2</v>
      </c>
      <c r="N81" s="62">
        <f t="shared" si="41"/>
        <v>0.2</v>
      </c>
      <c r="O81" s="60">
        <f t="shared" si="37"/>
        <v>0.2</v>
      </c>
      <c r="P81" s="63">
        <v>90.0</v>
      </c>
      <c r="Q81" s="58">
        <v>92.24</v>
      </c>
      <c r="R81" s="65">
        <v>5167.35</v>
      </c>
      <c r="S81" s="66">
        <f t="array" ref="S81">IF((XLOOKUP(D81,RUC!$B$3:$B$106,RUC!$E$3:$E$106)+ROUNDDOWN(O81,1)*100)&lt;95,95,((XLOOKUP(D81,RUC!$B$3:$B$106,RUC!$E$3:$E$106)+ROUNDDOWN(O81,1)*100)))</f>
        <v>105</v>
      </c>
      <c r="U81" s="67">
        <f t="array" ref="U81">XLOOKUP(D81,RUC!$B$3:$B$110,RUC!$F$3:$F$110)</f>
        <v>100</v>
      </c>
      <c r="V81" s="67">
        <v>1.1023</v>
      </c>
      <c r="Y81" s="57" t="str">
        <f t="array" ref="Y81">XLOOKUP(D81,RUC!$B$3:$B$110,RUC!$G$3:$G$110)</f>
        <v/>
      </c>
      <c r="Z81" s="140">
        <v>90.0</v>
      </c>
      <c r="AA81" s="70">
        <f t="shared" si="7"/>
        <v>90</v>
      </c>
      <c r="AB81" s="71">
        <f t="shared" si="25"/>
        <v>790.4846829</v>
      </c>
      <c r="AC81" s="71">
        <f>+(S81-T81)*V81-'data 1'!$F$4</f>
        <v>35.7415</v>
      </c>
      <c r="AD81" s="71">
        <f t="shared" si="8"/>
        <v>27.40140568</v>
      </c>
      <c r="AE81" s="71">
        <f t="shared" si="9"/>
        <v>29.207</v>
      </c>
      <c r="AF81" s="71">
        <f t="shared" si="10"/>
        <v>97.89344328</v>
      </c>
      <c r="AG81" s="72">
        <f t="shared" si="43"/>
        <v>207.243349</v>
      </c>
      <c r="AH81" s="193">
        <f t="shared" si="11"/>
        <v>157.293</v>
      </c>
      <c r="AI81" s="193">
        <f t="shared" si="12"/>
        <v>170.526</v>
      </c>
      <c r="AJ81" s="73">
        <f t="shared" si="13"/>
        <v>-37.26395384</v>
      </c>
      <c r="AK81" s="73">
        <f t="shared" si="14"/>
        <v>140.1579806</v>
      </c>
      <c r="AM81" s="51">
        <f t="shared" si="15"/>
        <v>17952.69763</v>
      </c>
      <c r="AN81" s="51" t="str">
        <f t="array" ref="AN81">XLOOKUP(D81,RUC!$B$3:$B$565,RUC!$M$3:$M$565)</f>
        <v>Alfred Torres  *</v>
      </c>
      <c r="AO81" s="131" t="s">
        <v>551</v>
      </c>
      <c r="AP81" s="57" t="s">
        <v>3379</v>
      </c>
      <c r="AQ81" s="57" t="s">
        <v>3380</v>
      </c>
    </row>
    <row r="82" ht="15.0" customHeight="1">
      <c r="A82" s="116" t="s">
        <v>3381</v>
      </c>
      <c r="B82" s="182">
        <v>46086.0</v>
      </c>
      <c r="C82" s="182">
        <v>46079.0</v>
      </c>
      <c r="D82" s="57" t="s">
        <v>295</v>
      </c>
      <c r="E82" s="3">
        <f t="array" ref="E82">XLOOKUP(D82,RUC!$B$3:$B$110,RUC!$D$3:$D$110)</f>
        <v>20601769396</v>
      </c>
      <c r="G82" s="141">
        <v>41.0</v>
      </c>
      <c r="H82" s="3" t="s">
        <v>40</v>
      </c>
      <c r="I82" s="6">
        <v>2.94</v>
      </c>
      <c r="J82" s="58">
        <v>12.6</v>
      </c>
      <c r="K82" s="145">
        <f t="shared" si="3"/>
        <v>2.57</v>
      </c>
      <c r="L82" s="3">
        <v>0.287</v>
      </c>
      <c r="M82" s="60">
        <f t="shared" si="44"/>
        <v>0.268</v>
      </c>
      <c r="N82" s="62">
        <f t="shared" si="41"/>
        <v>0.268</v>
      </c>
      <c r="O82" s="60">
        <f t="shared" si="37"/>
        <v>0.268</v>
      </c>
      <c r="P82" s="63">
        <v>90.0</v>
      </c>
      <c r="Q82" s="58">
        <v>91.64</v>
      </c>
      <c r="R82" s="65">
        <v>5167.35</v>
      </c>
      <c r="S82" s="66">
        <f t="array" ref="S82">IF((XLOOKUP(D82,RUC!$B$3:$B$106,RUC!$E$3:$E$106)+ROUNDDOWN(O82,1)*100)&lt;95,95,((XLOOKUP(D82,RUC!$B$3:$B$106,RUC!$E$3:$E$106)+ROUNDDOWN(O82,1)*100)))</f>
        <v>110</v>
      </c>
      <c r="U82" s="67">
        <f t="array" ref="U82">XLOOKUP(D82,RUC!$B$3:$B$110,RUC!$F$3:$F$110)</f>
        <v>120</v>
      </c>
      <c r="V82" s="67">
        <v>1.1023</v>
      </c>
      <c r="Y82" s="199">
        <v>30.0</v>
      </c>
      <c r="Z82" s="140">
        <v>40.0</v>
      </c>
      <c r="AA82" s="70">
        <f t="shared" si="7"/>
        <v>70</v>
      </c>
      <c r="AB82" s="71">
        <f t="shared" si="25"/>
        <v>1143.54897</v>
      </c>
      <c r="AC82" s="71">
        <f>+(S82-T82)*V82-'data 1'!$F$4</f>
        <v>41.253</v>
      </c>
      <c r="AD82" s="71">
        <f t="shared" si="8"/>
        <v>26.18719447</v>
      </c>
      <c r="AE82" s="71">
        <f t="shared" si="9"/>
        <v>7.161</v>
      </c>
      <c r="AF82" s="71">
        <f t="shared" si="10"/>
        <v>96.8728128</v>
      </c>
      <c r="AG82" s="72">
        <f t="shared" si="43"/>
        <v>188.4740073</v>
      </c>
      <c r="AH82" s="193">
        <f t="shared" si="11"/>
        <v>23.174</v>
      </c>
      <c r="AI82" s="193">
        <f t="shared" si="12"/>
        <v>25.289</v>
      </c>
      <c r="AJ82" s="73">
        <f t="shared" si="13"/>
        <v>-42.7185915</v>
      </c>
      <c r="AK82" s="73">
        <f t="shared" si="14"/>
        <v>21.25296349</v>
      </c>
      <c r="AM82" s="51">
        <f t="shared" si="15"/>
        <v>2938.920853</v>
      </c>
      <c r="AN82" s="51" t="str">
        <f t="array" ref="AN82">XLOOKUP(D82,RUC!$B$3:$B$565,RUC!$M$3:$M$565)</f>
        <v>Evelyn</v>
      </c>
      <c r="AO82" s="131" t="s">
        <v>549</v>
      </c>
      <c r="AP82" s="57" t="s">
        <v>3369</v>
      </c>
      <c r="AQ82" s="57" t="s">
        <v>3370</v>
      </c>
    </row>
    <row r="83" ht="15.0" customHeight="1">
      <c r="A83" s="116" t="s">
        <v>3382</v>
      </c>
      <c r="B83" s="182">
        <v>46086.0</v>
      </c>
      <c r="C83" s="182">
        <v>46079.0</v>
      </c>
      <c r="D83" s="57" t="s">
        <v>295</v>
      </c>
      <c r="E83" s="3">
        <f t="array" ref="E83">XLOOKUP(D83,RUC!$B$3:$B$110,RUC!$D$3:$D$110)</f>
        <v>20601769396</v>
      </c>
      <c r="G83" s="141">
        <v>40.0</v>
      </c>
      <c r="H83" s="3" t="s">
        <v>40</v>
      </c>
      <c r="I83" s="6">
        <v>2.9</v>
      </c>
      <c r="J83" s="58">
        <v>12.9</v>
      </c>
      <c r="K83" s="145">
        <f t="shared" si="3"/>
        <v>2.526</v>
      </c>
      <c r="L83" s="3">
        <v>0.166</v>
      </c>
      <c r="M83" s="60">
        <f t="shared" si="44"/>
        <v>0.147</v>
      </c>
      <c r="N83" s="62">
        <f t="shared" si="41"/>
        <v>0.147</v>
      </c>
      <c r="O83" s="60">
        <f t="shared" si="37"/>
        <v>0.147</v>
      </c>
      <c r="P83" s="63">
        <v>85.0</v>
      </c>
      <c r="Q83" s="58">
        <v>90.91</v>
      </c>
      <c r="R83" s="65">
        <v>5167.35</v>
      </c>
      <c r="S83" s="66">
        <f t="array" ref="S83">IF((XLOOKUP(D83,RUC!$B$3:$B$106,RUC!$E$3:$E$106)+ROUNDDOWN(O83,1)*100)&lt;95,95,((XLOOKUP(D83,RUC!$B$3:$B$106,RUC!$E$3:$E$106)+ROUNDDOWN(O83,1)*100)))</f>
        <v>100</v>
      </c>
      <c r="U83" s="67">
        <f t="array" ref="U83">XLOOKUP(D83,RUC!$B$3:$B$110,RUC!$F$3:$F$110)</f>
        <v>120</v>
      </c>
      <c r="V83" s="67">
        <v>1.1023</v>
      </c>
      <c r="Y83" s="199">
        <v>30.0</v>
      </c>
      <c r="Z83" s="140">
        <v>40.0</v>
      </c>
      <c r="AA83" s="70">
        <f t="shared" si="7"/>
        <v>70</v>
      </c>
      <c r="AB83" s="71">
        <f t="shared" si="25"/>
        <v>507.7925534</v>
      </c>
      <c r="AC83" s="71">
        <f>+(S83-T83)*V83-'data 1'!$F$4</f>
        <v>30.23</v>
      </c>
      <c r="AD83" s="71">
        <f t="shared" si="8"/>
        <v>54.58317542</v>
      </c>
      <c r="AE83" s="71">
        <f t="shared" si="9"/>
        <v>7.161</v>
      </c>
      <c r="AF83" s="71">
        <f t="shared" si="10"/>
        <v>96.10112845</v>
      </c>
      <c r="AG83" s="72">
        <f t="shared" si="43"/>
        <v>205.0753039</v>
      </c>
      <c r="AH83" s="193">
        <f t="shared" si="11"/>
        <v>13.07</v>
      </c>
      <c r="AI83" s="193">
        <f t="shared" si="12"/>
        <v>14.376</v>
      </c>
      <c r="AJ83" s="73">
        <f t="shared" si="13"/>
        <v>-24.51148896</v>
      </c>
      <c r="AK83" s="73">
        <f t="shared" si="14"/>
        <v>10.82128103</v>
      </c>
      <c r="AM83" s="51">
        <f t="shared" si="15"/>
        <v>1282.68399</v>
      </c>
      <c r="AN83" s="51" t="str">
        <f t="array" ref="AN83">XLOOKUP(D83,RUC!$B$3:$B$565,RUC!$M$3:$M$565)</f>
        <v>Evelyn</v>
      </c>
      <c r="AO83" s="131" t="s">
        <v>549</v>
      </c>
      <c r="AP83" s="57" t="s">
        <v>3369</v>
      </c>
      <c r="AQ83" s="57" t="s">
        <v>3370</v>
      </c>
    </row>
    <row r="84" ht="15.0" customHeight="1">
      <c r="A84" s="116" t="s">
        <v>3383</v>
      </c>
      <c r="B84" s="182">
        <v>46084.0</v>
      </c>
      <c r="C84" s="182">
        <v>46079.0</v>
      </c>
      <c r="D84" s="57" t="s">
        <v>295</v>
      </c>
      <c r="E84" s="3">
        <f t="array" ref="E84">XLOOKUP(D84,RUC!$B$3:$B$110,RUC!$D$3:$D$110)</f>
        <v>20601769396</v>
      </c>
      <c r="G84" s="141">
        <v>10.0</v>
      </c>
      <c r="H84" s="3" t="s">
        <v>47</v>
      </c>
      <c r="I84" s="6">
        <v>0.76</v>
      </c>
      <c r="J84" s="58">
        <v>2.2</v>
      </c>
      <c r="K84" s="6">
        <f t="shared" si="3"/>
        <v>0.743</v>
      </c>
      <c r="L84" s="3">
        <v>0.208</v>
      </c>
      <c r="M84" s="60">
        <f t="shared" si="44"/>
        <v>0.189</v>
      </c>
      <c r="N84" s="62">
        <f t="shared" si="41"/>
        <v>0.189</v>
      </c>
      <c r="O84" s="60">
        <f t="shared" si="37"/>
        <v>0.189</v>
      </c>
      <c r="P84" s="63">
        <v>85.0</v>
      </c>
      <c r="Q84" s="58">
        <v>94.23</v>
      </c>
      <c r="R84" s="65">
        <v>5167.35</v>
      </c>
      <c r="S84" s="66">
        <f t="array" ref="S84">IF((XLOOKUP(D84,RUC!$B$3:$B$106,RUC!$E$3:$E$106)+ROUNDDOWN(O84,1)*100)&lt;95,95,((XLOOKUP(D84,RUC!$B$3:$B$106,RUC!$E$3:$E$106)+ROUNDDOWN(O84,1)*100)))</f>
        <v>100</v>
      </c>
      <c r="U84" s="67">
        <f t="array" ref="U84">XLOOKUP(D84,RUC!$B$3:$B$110,RUC!$F$3:$F$110)</f>
        <v>120</v>
      </c>
      <c r="V84" s="67">
        <v>1.1023</v>
      </c>
      <c r="Y84" s="57">
        <f t="array" ref="Y84">XLOOKUP(D84,RUC!$B$3:$B$110,RUC!$G$3:$G$110)</f>
        <v>20</v>
      </c>
      <c r="Z84" s="69">
        <f t="array" ref="Z84">XLOOKUP(D84,RUC!$B$3:$B$110,RUC!$H$3:$H$110)</f>
        <v>30</v>
      </c>
      <c r="AA84" s="70">
        <f t="shared" si="7"/>
        <v>50</v>
      </c>
      <c r="AB84" s="71">
        <f t="shared" si="25"/>
        <v>728.4624258</v>
      </c>
      <c r="AC84" s="71">
        <f>+(S84-T84)*V84-'data 1'!$F$4</f>
        <v>30.23</v>
      </c>
      <c r="AD84" s="71">
        <f t="shared" si="8"/>
        <v>106.8140211</v>
      </c>
      <c r="AE84" s="71">
        <f t="shared" si="9"/>
        <v>-14.885</v>
      </c>
      <c r="AF84" s="71">
        <f t="shared" si="10"/>
        <v>99.61070657</v>
      </c>
      <c r="AG84" s="72">
        <f t="shared" si="43"/>
        <v>238.7697276</v>
      </c>
      <c r="AH84" s="193">
        <f t="shared" si="11"/>
        <v>4.993</v>
      </c>
      <c r="AI84" s="193">
        <f t="shared" si="12"/>
        <v>5.299</v>
      </c>
      <c r="AJ84" s="73">
        <f t="shared" si="13"/>
        <v>-31.8348255</v>
      </c>
      <c r="AK84" s="73">
        <f t="shared" si="14"/>
        <v>4.09240506</v>
      </c>
      <c r="AM84" s="51">
        <f t="shared" si="15"/>
        <v>541.2475824</v>
      </c>
      <c r="AN84" s="51" t="str">
        <f t="array" ref="AN84">XLOOKUP(D84,RUC!$B$3:$B$565,RUC!$M$3:$M$565)</f>
        <v>Evelyn</v>
      </c>
      <c r="AO84" s="131" t="s">
        <v>551</v>
      </c>
      <c r="AP84" s="57" t="s">
        <v>3369</v>
      </c>
      <c r="AQ84" s="57" t="s">
        <v>3370</v>
      </c>
    </row>
    <row r="85" ht="15.0" customHeight="1">
      <c r="A85" s="116" t="s">
        <v>3384</v>
      </c>
      <c r="B85" s="182">
        <v>46084.0</v>
      </c>
      <c r="C85" s="182">
        <v>46079.0</v>
      </c>
      <c r="D85" s="57" t="s">
        <v>295</v>
      </c>
      <c r="E85" s="3">
        <f t="array" ref="E85">XLOOKUP(D85,RUC!$B$3:$B$110,RUC!$D$3:$D$110)</f>
        <v>20601769396</v>
      </c>
      <c r="G85" s="141">
        <v>21.0</v>
      </c>
      <c r="H85" s="3" t="s">
        <v>40</v>
      </c>
      <c r="I85" s="6">
        <v>1.49</v>
      </c>
      <c r="J85" s="58">
        <v>12.4</v>
      </c>
      <c r="K85" s="6">
        <f t="shared" si="3"/>
        <v>1.305</v>
      </c>
      <c r="L85" s="3">
        <v>0.293</v>
      </c>
      <c r="M85" s="60">
        <f t="shared" si="44"/>
        <v>0.274</v>
      </c>
      <c r="N85" s="62">
        <f t="shared" si="41"/>
        <v>0.274</v>
      </c>
      <c r="O85" s="60">
        <f t="shared" si="37"/>
        <v>0.274</v>
      </c>
      <c r="P85" s="63">
        <v>90.0</v>
      </c>
      <c r="Q85" s="58">
        <v>95.22</v>
      </c>
      <c r="R85" s="65">
        <v>5167.35</v>
      </c>
      <c r="S85" s="66">
        <f t="array" ref="S85">IF((XLOOKUP(D85,RUC!$B$3:$B$106,RUC!$E$3:$E$106)+ROUNDDOWN(O85,1)*100)&lt;95,95,((XLOOKUP(D85,RUC!$B$3:$B$106,RUC!$E$3:$E$106)+ROUNDDOWN(O85,1)*100)))</f>
        <v>110</v>
      </c>
      <c r="U85" s="67">
        <f t="array" ref="U85">XLOOKUP(D85,RUC!$B$3:$B$110,RUC!$F$3:$F$110)</f>
        <v>120</v>
      </c>
      <c r="V85" s="67">
        <v>1.1023</v>
      </c>
      <c r="Y85" s="57">
        <f t="array" ref="Y85">XLOOKUP(D85,RUC!$B$3:$B$110,RUC!$G$3:$G$110)</f>
        <v>20</v>
      </c>
      <c r="Z85" s="69">
        <f t="array" ref="Z85">XLOOKUP(D85,RUC!$B$3:$B$110,RUC!$H$3:$H$110)</f>
        <v>30</v>
      </c>
      <c r="AA85" s="70">
        <f t="shared" si="7"/>
        <v>50</v>
      </c>
      <c r="AB85" s="71">
        <f t="shared" si="25"/>
        <v>1195.638917</v>
      </c>
      <c r="AC85" s="71">
        <f>+(S85-T85)*V85-'data 1'!$F$4</f>
        <v>41.253</v>
      </c>
      <c r="AD85" s="71">
        <f t="shared" si="8"/>
        <v>85.0944728</v>
      </c>
      <c r="AE85" s="71">
        <f t="shared" si="9"/>
        <v>-14.885</v>
      </c>
      <c r="AF85" s="71">
        <f t="shared" si="10"/>
        <v>100.6572374</v>
      </c>
      <c r="AG85" s="72">
        <f t="shared" si="43"/>
        <v>229.1197102</v>
      </c>
      <c r="AH85" s="193">
        <f t="shared" si="11"/>
        <v>12.483</v>
      </c>
      <c r="AI85" s="193">
        <f t="shared" si="12"/>
        <v>13.11</v>
      </c>
      <c r="AJ85" s="73">
        <f t="shared" si="13"/>
        <v>-45.31539241</v>
      </c>
      <c r="AK85" s="73">
        <f t="shared" si="14"/>
        <v>11.03348358</v>
      </c>
      <c r="AM85" s="51">
        <f t="shared" si="15"/>
        <v>1560.308787</v>
      </c>
      <c r="AN85" s="51" t="str">
        <f t="array" ref="AN85">XLOOKUP(D85,RUC!$B$3:$B$565,RUC!$M$3:$M$565)</f>
        <v>Evelyn</v>
      </c>
      <c r="AO85" s="131" t="s">
        <v>551</v>
      </c>
      <c r="AP85" s="57" t="s">
        <v>3369</v>
      </c>
      <c r="AQ85" s="57" t="s">
        <v>3370</v>
      </c>
    </row>
    <row r="86" ht="15.0" customHeight="1">
      <c r="A86" s="116" t="s">
        <v>3385</v>
      </c>
      <c r="B86" s="182">
        <v>46084.0</v>
      </c>
      <c r="C86" s="182">
        <v>46079.0</v>
      </c>
      <c r="D86" s="57" t="s">
        <v>295</v>
      </c>
      <c r="E86" s="3">
        <f t="array" ref="E86">XLOOKUP(D86,RUC!$B$3:$B$110,RUC!$D$3:$D$110)</f>
        <v>20601769396</v>
      </c>
      <c r="G86" s="141">
        <v>20.0</v>
      </c>
      <c r="H86" s="3" t="s">
        <v>40</v>
      </c>
      <c r="I86" s="6">
        <v>1.4</v>
      </c>
      <c r="J86" s="58">
        <v>14.4</v>
      </c>
      <c r="K86" s="6">
        <f t="shared" si="3"/>
        <v>1.198</v>
      </c>
      <c r="L86" s="3">
        <v>0.356</v>
      </c>
      <c r="M86" s="60">
        <f t="shared" si="44"/>
        <v>0.335</v>
      </c>
      <c r="N86" s="62">
        <f t="shared" si="41"/>
        <v>0.335</v>
      </c>
      <c r="O86" s="60">
        <f t="shared" si="37"/>
        <v>0.335</v>
      </c>
      <c r="P86" s="63">
        <v>90.0</v>
      </c>
      <c r="Q86" s="58">
        <v>92.42</v>
      </c>
      <c r="R86" s="65">
        <v>5167.35</v>
      </c>
      <c r="S86" s="66">
        <f t="array" ref="S86">IF((XLOOKUP(D86,RUC!$B$3:$B$106,RUC!$E$3:$E$106)+ROUNDDOWN(O86,1)*100)&lt;95,95,((XLOOKUP(D86,RUC!$B$3:$B$106,RUC!$E$3:$E$106)+ROUNDDOWN(O86,1)*100)))</f>
        <v>120</v>
      </c>
      <c r="U86" s="67">
        <f t="array" ref="U86">XLOOKUP(D86,RUC!$B$3:$B$110,RUC!$F$3:$F$110)</f>
        <v>120</v>
      </c>
      <c r="V86" s="67">
        <v>1.1023</v>
      </c>
      <c r="Y86" s="57">
        <f t="array" ref="Y86">XLOOKUP(D86,RUC!$B$3:$B$110,RUC!$G$3:$G$110)</f>
        <v>20</v>
      </c>
      <c r="Z86" s="69">
        <f t="array" ref="Z86">XLOOKUP(D86,RUC!$B$3:$B$110,RUC!$H$3:$H$110)</f>
        <v>30</v>
      </c>
      <c r="AA86" s="70">
        <f t="shared" si="7"/>
        <v>50</v>
      </c>
      <c r="AB86" s="71">
        <f t="shared" si="25"/>
        <v>1490.062712</v>
      </c>
      <c r="AC86" s="71">
        <f>+(S86-T86)*V86-'data 1'!$F$4</f>
        <v>52.276</v>
      </c>
      <c r="AD86" s="71">
        <f t="shared" si="8"/>
        <v>47.93233573</v>
      </c>
      <c r="AE86" s="71">
        <f t="shared" si="9"/>
        <v>-14.885</v>
      </c>
      <c r="AF86" s="71">
        <f t="shared" si="10"/>
        <v>107.981284</v>
      </c>
      <c r="AG86" s="72">
        <f t="shared" si="43"/>
        <v>210.3046198</v>
      </c>
      <c r="AH86" s="193">
        <f t="shared" si="11"/>
        <v>13.514</v>
      </c>
      <c r="AI86" s="193">
        <f t="shared" si="12"/>
        <v>14.622</v>
      </c>
      <c r="AJ86" s="73">
        <f t="shared" si="13"/>
        <v>-53.43993359</v>
      </c>
      <c r="AK86" s="73">
        <f t="shared" si="14"/>
        <v>12.38377931</v>
      </c>
      <c r="AM86" s="51">
        <f t="shared" si="15"/>
        <v>1785.095129</v>
      </c>
      <c r="AN86" s="51" t="str">
        <f t="array" ref="AN86">XLOOKUP(D86,RUC!$B$3:$B$565,RUC!$M$3:$M$565)</f>
        <v>Evelyn</v>
      </c>
      <c r="AO86" s="131" t="s">
        <v>551</v>
      </c>
      <c r="AP86" s="57" t="s">
        <v>3369</v>
      </c>
      <c r="AQ86" s="57" t="s">
        <v>3370</v>
      </c>
    </row>
    <row r="87" ht="15.0" customHeight="1">
      <c r="A87" s="116" t="s">
        <v>3386</v>
      </c>
      <c r="B87" s="182">
        <v>46084.0</v>
      </c>
      <c r="C87" s="182">
        <v>46079.0</v>
      </c>
      <c r="D87" s="57" t="s">
        <v>306</v>
      </c>
      <c r="E87" s="3">
        <f t="array" ref="E87">XLOOKUP(D87,RUC!$B$3:$B$110,RUC!$D$3:$D$110)</f>
        <v>20612921866</v>
      </c>
      <c r="G87" s="141">
        <v>50.0</v>
      </c>
      <c r="H87" s="3" t="s">
        <v>47</v>
      </c>
      <c r="I87" s="6">
        <v>5.26</v>
      </c>
      <c r="J87" s="58">
        <v>2.25</v>
      </c>
      <c r="K87" s="145">
        <f t="shared" si="3"/>
        <v>5.142</v>
      </c>
      <c r="L87" s="3">
        <v>0.218</v>
      </c>
      <c r="M87" s="60">
        <f t="shared" si="44"/>
        <v>0.199</v>
      </c>
      <c r="N87" s="62">
        <f t="shared" si="41"/>
        <v>0.199</v>
      </c>
      <c r="O87" s="60">
        <f t="shared" si="37"/>
        <v>0.199</v>
      </c>
      <c r="P87" s="63">
        <v>90.0</v>
      </c>
      <c r="Q87" s="58">
        <v>96.79</v>
      </c>
      <c r="R87" s="65">
        <v>5167.35</v>
      </c>
      <c r="S87" s="66">
        <f t="array" ref="S87">IF((XLOOKUP(D87,RUC!$B$3:$B$106,RUC!$E$3:$E$106)+ROUNDDOWN(O87,1)*100)&lt;95,95,((XLOOKUP(D87,RUC!$B$3:$B$106,RUC!$E$3:$E$106)+ROUNDDOWN(O87,1)*100)))</f>
        <v>95</v>
      </c>
      <c r="U87" s="67">
        <f t="array" ref="U87">XLOOKUP(D87,RUC!$B$3:$B$110,RUC!$F$3:$F$110)</f>
        <v>100</v>
      </c>
      <c r="V87" s="67">
        <v>1.1023</v>
      </c>
      <c r="Y87" s="57" t="str">
        <f t="array" ref="Y87">XLOOKUP(D87,RUC!$B$3:$B$110,RUC!$G$3:$G$110)</f>
        <v/>
      </c>
      <c r="Z87" s="69">
        <f t="array" ref="Z87">XLOOKUP(D87,RUC!$B$3:$B$110,RUC!$H$3:$H$110)</f>
        <v>30</v>
      </c>
      <c r="AA87" s="70">
        <f t="shared" si="7"/>
        <v>30</v>
      </c>
      <c r="AB87" s="71">
        <f t="shared" si="25"/>
        <v>862.618517</v>
      </c>
      <c r="AC87" s="71">
        <f>+(S87-T87)*V87-'data 1'!$F$4</f>
        <v>24.7185</v>
      </c>
      <c r="AD87" s="71">
        <f t="shared" si="8"/>
        <v>82.68123922</v>
      </c>
      <c r="AE87" s="71">
        <f t="shared" si="9"/>
        <v>-36.931</v>
      </c>
      <c r="AF87" s="71">
        <f t="shared" si="10"/>
        <v>102.7223154</v>
      </c>
      <c r="AG87" s="72">
        <f t="shared" ref="AG87:AG88" si="45">AC87+AD87+AE87+AF87+70-10</f>
        <v>233.1910546</v>
      </c>
      <c r="AH87" s="193">
        <f t="shared" si="11"/>
        <v>37.199</v>
      </c>
      <c r="AI87" s="193">
        <f t="shared" si="12"/>
        <v>38.432</v>
      </c>
      <c r="AJ87" s="73">
        <f t="shared" si="13"/>
        <v>-38.92355579</v>
      </c>
      <c r="AK87" s="73">
        <f t="shared" si="14"/>
        <v>31.57451784</v>
      </c>
      <c r="AM87" s="51">
        <f t="shared" si="15"/>
        <v>4435.584414</v>
      </c>
      <c r="AN87" s="51" t="str">
        <f t="array" ref="AN87">XLOOKUP(D87,RUC!$B$3:$B$565,RUC!$M$3:$M$565)</f>
        <v>Ronald Garibay</v>
      </c>
      <c r="AO87" s="131" t="s">
        <v>549</v>
      </c>
      <c r="AP87" s="475" t="s">
        <v>3387</v>
      </c>
      <c r="AQ87" s="57" t="s">
        <v>3388</v>
      </c>
    </row>
    <row r="88" ht="15.0" customHeight="1">
      <c r="A88" s="116" t="s">
        <v>3389</v>
      </c>
      <c r="B88" s="182">
        <v>46085.0</v>
      </c>
      <c r="C88" s="182">
        <v>46080.0</v>
      </c>
      <c r="D88" s="57" t="s">
        <v>306</v>
      </c>
      <c r="E88" s="3">
        <f t="array" ref="E88">XLOOKUP(D88,RUC!$B$3:$B$110,RUC!$D$3:$D$110)</f>
        <v>20612921866</v>
      </c>
      <c r="G88" s="141" t="s">
        <v>735</v>
      </c>
      <c r="H88" s="3" t="s">
        <v>47</v>
      </c>
      <c r="I88" s="6">
        <v>2.06</v>
      </c>
      <c r="J88" s="58">
        <v>2.1</v>
      </c>
      <c r="K88" s="145">
        <f t="shared" si="3"/>
        <v>2.017</v>
      </c>
      <c r="L88" s="3">
        <v>0.367</v>
      </c>
      <c r="M88" s="60">
        <f t="shared" si="44"/>
        <v>0.345</v>
      </c>
      <c r="N88" s="62">
        <f t="shared" si="41"/>
        <v>0.345</v>
      </c>
      <c r="O88" s="60">
        <f t="shared" si="37"/>
        <v>0.345</v>
      </c>
      <c r="P88" s="63">
        <v>90.0</v>
      </c>
      <c r="Q88" s="58">
        <v>98.64</v>
      </c>
      <c r="R88" s="65">
        <v>5222.3</v>
      </c>
      <c r="S88" s="66">
        <f t="array" ref="S88">IF((XLOOKUP(D88,RUC!$B$3:$B$106,RUC!$E$3:$E$106)+ROUNDDOWN(O88,1)*100)&lt;95,95,((XLOOKUP(D88,RUC!$B$3:$B$106,RUC!$E$3:$E$106)+ROUNDDOWN(O88,1)*100)))</f>
        <v>110</v>
      </c>
      <c r="U88" s="67">
        <f t="array" ref="U88">XLOOKUP(D88,RUC!$B$3:$B$110,RUC!$F$3:$F$110)</f>
        <v>100</v>
      </c>
      <c r="V88" s="67">
        <v>1.1023</v>
      </c>
      <c r="Y88" s="57" t="str">
        <f t="array" ref="Y88">XLOOKUP(D88,RUC!$B$3:$B$110,RUC!$G$3:$G$110)</f>
        <v/>
      </c>
      <c r="Z88" s="69">
        <f t="array" ref="Z88">XLOOKUP(D88,RUC!$B$3:$B$110,RUC!$H$3:$H$110)</f>
        <v>30</v>
      </c>
      <c r="AA88" s="70">
        <f t="shared" si="7"/>
        <v>30</v>
      </c>
      <c r="AB88" s="71">
        <f t="shared" si="25"/>
        <v>1598.857656</v>
      </c>
      <c r="AC88" s="71">
        <f>+(S88-T88)*V88-'data 1'!$F$4</f>
        <v>41.253</v>
      </c>
      <c r="AD88" s="71">
        <f t="shared" si="8"/>
        <v>179.0377554</v>
      </c>
      <c r="AE88" s="71">
        <f t="shared" si="9"/>
        <v>-36.931</v>
      </c>
      <c r="AF88" s="71">
        <f t="shared" si="10"/>
        <v>122.529472</v>
      </c>
      <c r="AG88" s="72">
        <f t="shared" si="45"/>
        <v>365.8892275</v>
      </c>
      <c r="AH88" s="193">
        <f t="shared" si="11"/>
        <v>25.034</v>
      </c>
      <c r="AI88" s="193">
        <f t="shared" si="12"/>
        <v>25.379</v>
      </c>
      <c r="AJ88" s="73">
        <f t="shared" si="13"/>
        <v>-88.70710334</v>
      </c>
      <c r="AK88" s="73">
        <f t="shared" si="14"/>
        <v>21.4722014</v>
      </c>
      <c r="AM88" s="51">
        <f t="shared" si="15"/>
        <v>3224.895891</v>
      </c>
      <c r="AN88" s="51" t="str">
        <f t="array" ref="AN88">XLOOKUP(D88,RUC!$B$3:$B$565,RUC!$M$3:$M$565)</f>
        <v>Ronald Garibay</v>
      </c>
      <c r="AO88" s="131" t="s">
        <v>549</v>
      </c>
      <c r="AP88" s="475" t="s">
        <v>3390</v>
      </c>
      <c r="AQ88" s="57" t="s">
        <v>808</v>
      </c>
    </row>
    <row r="89" ht="15.0" customHeight="1">
      <c r="A89" s="116" t="s">
        <v>3391</v>
      </c>
      <c r="B89" s="182">
        <v>46086.0</v>
      </c>
      <c r="C89" s="182">
        <v>46081.0</v>
      </c>
      <c r="D89" s="57" t="s">
        <v>3392</v>
      </c>
      <c r="E89" s="3">
        <f t="array" ref="E89">XLOOKUP(D89,RUC!$B$3:$B$110,RUC!$D$3:$D$110)</f>
        <v>20613170848</v>
      </c>
      <c r="G89" s="141">
        <v>12.0</v>
      </c>
      <c r="H89" s="3" t="s">
        <v>47</v>
      </c>
      <c r="I89" s="6">
        <v>0.93</v>
      </c>
      <c r="J89" s="58">
        <v>2.1</v>
      </c>
      <c r="K89" s="6">
        <f t="shared" si="3"/>
        <v>0.91</v>
      </c>
      <c r="L89" s="3">
        <v>0.199</v>
      </c>
      <c r="M89" s="60">
        <f t="shared" si="44"/>
        <v>0.18</v>
      </c>
      <c r="N89" s="62">
        <f t="shared" si="41"/>
        <v>0.18</v>
      </c>
      <c r="O89" s="60">
        <f t="shared" si="37"/>
        <v>0.18</v>
      </c>
      <c r="P89" s="63">
        <v>85.0</v>
      </c>
      <c r="Q89" s="58">
        <v>98.49</v>
      </c>
      <c r="R89" s="65">
        <v>5222.3</v>
      </c>
      <c r="S89" s="66">
        <f t="array" ref="S89">IF((XLOOKUP(D89,RUC!$B$3:$B$106,RUC!$E$3:$E$106)+ROUNDDOWN(O89,1)*100)&lt;95,95,((XLOOKUP(D89,RUC!$B$3:$B$106,RUC!$E$3:$E$106)+ROUNDDOWN(O89,1)*100)))</f>
        <v>95</v>
      </c>
      <c r="U89" s="67">
        <f t="array" ref="U89">XLOOKUP(D89,RUC!$B$3:$B$110,RUC!$F$3:$F$110)</f>
        <v>110</v>
      </c>
      <c r="V89" s="67">
        <v>1.1023</v>
      </c>
      <c r="Y89" s="57">
        <f t="array" ref="Y89">XLOOKUP(D89,RUC!$B$3:$B$110,RUC!$G$3:$G$110)</f>
        <v>0</v>
      </c>
      <c r="Z89" s="69">
        <f t="array" ref="Z89">XLOOKUP(D89,RUC!$B$3:$B$110,RUC!$H$3:$H$110)</f>
        <v>35</v>
      </c>
      <c r="AA89" s="70">
        <f t="shared" si="7"/>
        <v>35</v>
      </c>
      <c r="AB89" s="71">
        <f t="shared" si="25"/>
        <v>718.9001084</v>
      </c>
      <c r="AC89" s="71">
        <f>+(S89-T89)*V89-'data 1'!$F$4</f>
        <v>24.7185</v>
      </c>
      <c r="AD89" s="71">
        <f t="shared" si="8"/>
        <v>151.2798777</v>
      </c>
      <c r="AE89" s="71">
        <f t="shared" si="9"/>
        <v>-31.4195</v>
      </c>
      <c r="AF89" s="71">
        <f t="shared" si="10"/>
        <v>105.4537133</v>
      </c>
      <c r="AG89" s="72">
        <f t="shared" ref="AG89:AG96" si="46">AC89+AD89+AE89+AF89+70-53</f>
        <v>267.032591</v>
      </c>
      <c r="AH89" s="193">
        <f t="shared" si="11"/>
        <v>6.115</v>
      </c>
      <c r="AI89" s="193">
        <f t="shared" si="12"/>
        <v>6.209</v>
      </c>
      <c r="AJ89" s="73">
        <f t="shared" si="13"/>
        <v>-45.86643815</v>
      </c>
      <c r="AK89" s="73">
        <f t="shared" si="14"/>
        <v>4.773554578</v>
      </c>
      <c r="AM89" s="51">
        <f t="shared" si="15"/>
        <v>654.1990986</v>
      </c>
      <c r="AN89" s="51" t="str">
        <f t="array" ref="AN89">XLOOKUP(D89,RUC!$B$3:$B$565,RUC!$M$3:$M$565)</f>
        <v>Robinson Tuya</v>
      </c>
      <c r="AO89" s="131" t="s">
        <v>547</v>
      </c>
      <c r="AP89" s="475" t="s">
        <v>2381</v>
      </c>
      <c r="AQ89" s="57" t="s">
        <v>3393</v>
      </c>
    </row>
    <row r="90" ht="15.0" customHeight="1">
      <c r="A90" s="116" t="s">
        <v>3394</v>
      </c>
      <c r="B90" s="182">
        <v>46086.0</v>
      </c>
      <c r="C90" s="182">
        <v>46081.0</v>
      </c>
      <c r="D90" s="57" t="s">
        <v>3392</v>
      </c>
      <c r="E90" s="3">
        <f t="array" ref="E90">XLOOKUP(D90,RUC!$B$3:$B$110,RUC!$D$3:$D$110)</f>
        <v>20613170848</v>
      </c>
      <c r="G90" s="141">
        <v>20.0</v>
      </c>
      <c r="H90" s="3" t="s">
        <v>40</v>
      </c>
      <c r="I90" s="6">
        <v>1.36</v>
      </c>
      <c r="J90" s="58">
        <v>17.85</v>
      </c>
      <c r="K90" s="6">
        <f t="shared" si="3"/>
        <v>1.117</v>
      </c>
      <c r="L90" s="3">
        <v>0.887</v>
      </c>
      <c r="M90" s="60">
        <f t="shared" si="44"/>
        <v>0.834</v>
      </c>
      <c r="N90" s="62">
        <f t="shared" si="41"/>
        <v>0.834</v>
      </c>
      <c r="O90" s="60">
        <f t="shared" si="37"/>
        <v>0.834</v>
      </c>
      <c r="P90" s="63">
        <v>90.0</v>
      </c>
      <c r="Q90" s="58">
        <v>98.42</v>
      </c>
      <c r="R90" s="65">
        <v>5222.3</v>
      </c>
      <c r="S90" s="66">
        <f t="array" ref="S90">IF((XLOOKUP(D90,RUC!$B$3:$B$106,RUC!$E$3:$E$106)+ROUNDDOWN(O90,1)*100)&lt;95,95,((XLOOKUP(D90,RUC!$B$3:$B$106,RUC!$E$3:$E$106)+ROUNDDOWN(O90,1)*100)))</f>
        <v>160</v>
      </c>
      <c r="U90" s="67">
        <f t="array" ref="U90">XLOOKUP(D90,RUC!$B$3:$B$110,RUC!$F$3:$F$110)</f>
        <v>110</v>
      </c>
      <c r="V90" s="67">
        <v>1.1023</v>
      </c>
      <c r="Y90" s="57">
        <f t="array" ref="Y90">XLOOKUP(D90,RUC!$B$3:$B$110,RUC!$G$3:$G$110)</f>
        <v>0</v>
      </c>
      <c r="Z90" s="69">
        <f t="array" ref="Z90">XLOOKUP(D90,RUC!$B$3:$B$110,RUC!$H$3:$H$110)</f>
        <v>35</v>
      </c>
      <c r="AA90" s="70">
        <f t="shared" si="7"/>
        <v>35</v>
      </c>
      <c r="AB90" s="71">
        <f t="shared" si="25"/>
        <v>4014.89889</v>
      </c>
      <c r="AC90" s="71">
        <f>+(S90-T90)*V90-'data 1'!$F$4</f>
        <v>96.368</v>
      </c>
      <c r="AD90" s="71">
        <f t="shared" si="8"/>
        <v>420.8737601</v>
      </c>
      <c r="AE90" s="71">
        <f t="shared" si="9"/>
        <v>-31.4195</v>
      </c>
      <c r="AF90" s="71">
        <f t="shared" si="10"/>
        <v>293.951289</v>
      </c>
      <c r="AG90" s="72">
        <f t="shared" si="46"/>
        <v>796.773549</v>
      </c>
      <c r="AH90" s="193">
        <f t="shared" si="11"/>
        <v>33.433</v>
      </c>
      <c r="AI90" s="193">
        <f t="shared" si="12"/>
        <v>33.969</v>
      </c>
      <c r="AJ90" s="73">
        <f t="shared" si="13"/>
        <v>-204.2945505</v>
      </c>
      <c r="AK90" s="73">
        <f t="shared" si="14"/>
        <v>28.74556191</v>
      </c>
      <c r="AM90" s="51">
        <f t="shared" si="15"/>
        <v>4484.642061</v>
      </c>
      <c r="AN90" s="51" t="str">
        <f t="array" ref="AN90">XLOOKUP(D90,RUC!$B$3:$B$565,RUC!$M$3:$M$565)</f>
        <v>Robinson Tuya</v>
      </c>
      <c r="AO90" s="131" t="s">
        <v>547</v>
      </c>
      <c r="AP90" s="475" t="s">
        <v>2381</v>
      </c>
      <c r="AQ90" s="57" t="s">
        <v>3393</v>
      </c>
    </row>
    <row r="91" ht="15.0" customHeight="1">
      <c r="A91" s="116" t="s">
        <v>3395</v>
      </c>
      <c r="B91" s="182">
        <v>46086.0</v>
      </c>
      <c r="C91" s="182">
        <v>46081.0</v>
      </c>
      <c r="D91" s="57" t="s">
        <v>3392</v>
      </c>
      <c r="E91" s="3">
        <f t="array" ref="E91">XLOOKUP(D91,RUC!$B$3:$B$110,RUC!$D$3:$D$110)</f>
        <v>20613170848</v>
      </c>
      <c r="G91" s="141">
        <v>133.0</v>
      </c>
      <c r="H91" s="3" t="s">
        <v>40</v>
      </c>
      <c r="I91" s="6">
        <v>8.06</v>
      </c>
      <c r="J91" s="58">
        <v>13.1</v>
      </c>
      <c r="K91" s="6">
        <f t="shared" si="3"/>
        <v>7.004</v>
      </c>
      <c r="L91" s="3">
        <v>0.319</v>
      </c>
      <c r="M91" s="60">
        <f t="shared" si="44"/>
        <v>0.3</v>
      </c>
      <c r="N91" s="62">
        <f t="shared" si="41"/>
        <v>0.3</v>
      </c>
      <c r="O91" s="60">
        <f t="shared" si="37"/>
        <v>0.3</v>
      </c>
      <c r="P91" s="63">
        <v>90.0</v>
      </c>
      <c r="Q91" s="58">
        <v>92.16</v>
      </c>
      <c r="R91" s="65">
        <v>5222.3</v>
      </c>
      <c r="S91" s="66">
        <f t="array" ref="S91">IF((XLOOKUP(D91,RUC!$B$3:$B$106,RUC!$E$3:$E$106)+ROUNDDOWN(O91,1)*100)&lt;95,95,((XLOOKUP(D91,RUC!$B$3:$B$106,RUC!$E$3:$E$106)+ROUNDDOWN(O91,1)*100)))</f>
        <v>110</v>
      </c>
      <c r="U91" s="67">
        <f t="array" ref="U91">XLOOKUP(D91,RUC!$B$3:$B$110,RUC!$F$3:$F$110)</f>
        <v>110</v>
      </c>
      <c r="V91" s="67">
        <v>1.1023</v>
      </c>
      <c r="Y91" s="57">
        <f t="array" ref="Y91">XLOOKUP(D91,RUC!$B$3:$B$110,RUC!$G$3:$G$110)</f>
        <v>0</v>
      </c>
      <c r="Z91" s="69">
        <f t="array" ref="Z91">XLOOKUP(D91,RUC!$B$3:$B$110,RUC!$H$3:$H$110)</f>
        <v>35</v>
      </c>
      <c r="AA91" s="70">
        <f t="shared" si="7"/>
        <v>35</v>
      </c>
      <c r="AB91" s="71">
        <f t="shared" si="25"/>
        <v>1361.694338</v>
      </c>
      <c r="AC91" s="71">
        <f>+(S91-T91)*V91-'data 1'!$F$4</f>
        <v>41.253</v>
      </c>
      <c r="AD91" s="71">
        <f t="shared" si="8"/>
        <v>38.82939043</v>
      </c>
      <c r="AE91" s="71">
        <f t="shared" si="9"/>
        <v>-31.4195</v>
      </c>
      <c r="AF91" s="71">
        <f t="shared" si="10"/>
        <v>98.67615207</v>
      </c>
      <c r="AG91" s="72">
        <f t="shared" si="46"/>
        <v>164.3390425</v>
      </c>
      <c r="AH91" s="193">
        <f t="shared" si="11"/>
        <v>70.597</v>
      </c>
      <c r="AI91" s="193">
        <f t="shared" si="12"/>
        <v>76.603</v>
      </c>
      <c r="AJ91" s="73">
        <f t="shared" si="13"/>
        <v>-68.79913068</v>
      </c>
      <c r="AK91" s="73">
        <f t="shared" si="14"/>
        <v>64.83641163</v>
      </c>
      <c r="AM91" s="51">
        <f t="shared" si="15"/>
        <v>9537.307145</v>
      </c>
      <c r="AN91" s="51" t="str">
        <f t="array" ref="AN91">XLOOKUP(D91,RUC!$B$3:$B$565,RUC!$M$3:$M$565)</f>
        <v>Robinson Tuya</v>
      </c>
      <c r="AO91" s="131" t="s">
        <v>547</v>
      </c>
      <c r="AP91" s="475" t="s">
        <v>2381</v>
      </c>
      <c r="AQ91" s="57" t="s">
        <v>3393</v>
      </c>
    </row>
    <row r="92" ht="15.0" customHeight="1">
      <c r="A92" s="116" t="s">
        <v>3396</v>
      </c>
      <c r="B92" s="182">
        <v>46086.0</v>
      </c>
      <c r="C92" s="182">
        <v>46081.0</v>
      </c>
      <c r="D92" s="57" t="s">
        <v>3392</v>
      </c>
      <c r="E92" s="3">
        <f t="array" ref="E92">XLOOKUP(D92,RUC!$B$3:$B$110,RUC!$D$3:$D$110)</f>
        <v>20613170848</v>
      </c>
      <c r="G92" s="141">
        <v>136.0</v>
      </c>
      <c r="H92" s="3" t="s">
        <v>40</v>
      </c>
      <c r="I92" s="6">
        <v>9.59</v>
      </c>
      <c r="J92" s="58">
        <v>16.2</v>
      </c>
      <c r="K92" s="6">
        <f t="shared" si="3"/>
        <v>8.036</v>
      </c>
      <c r="L92" s="3">
        <v>0.326</v>
      </c>
      <c r="M92" s="60">
        <f t="shared" si="44"/>
        <v>0.306</v>
      </c>
      <c r="N92" s="62">
        <f t="shared" si="41"/>
        <v>0.306</v>
      </c>
      <c r="O92" s="60">
        <f t="shared" si="37"/>
        <v>0.306</v>
      </c>
      <c r="P92" s="63">
        <v>90.0</v>
      </c>
      <c r="Q92" s="58">
        <v>94.48</v>
      </c>
      <c r="R92" s="65">
        <v>5222.3</v>
      </c>
      <c r="S92" s="66">
        <f t="array" ref="S92">IF((XLOOKUP(D92,RUC!$B$3:$B$106,RUC!$E$3:$E$106)+ROUNDDOWN(O92,1)*100)&lt;95,95,((XLOOKUP(D92,RUC!$B$3:$B$106,RUC!$E$3:$E$106)+ROUNDDOWN(O92,1)*100)))</f>
        <v>110</v>
      </c>
      <c r="U92" s="67">
        <f t="array" ref="U92">XLOOKUP(D92,RUC!$B$3:$B$110,RUC!$F$3:$F$110)</f>
        <v>110</v>
      </c>
      <c r="V92" s="67">
        <v>1.1023</v>
      </c>
      <c r="Y92" s="57">
        <f t="array" ref="Y92">XLOOKUP(D92,RUC!$B$3:$B$110,RUC!$G$3:$G$110)</f>
        <v>0</v>
      </c>
      <c r="Z92" s="69">
        <f t="array" ref="Z92">XLOOKUP(D92,RUC!$B$3:$B$110,RUC!$H$3:$H$110)</f>
        <v>35</v>
      </c>
      <c r="AA92" s="70">
        <f t="shared" si="7"/>
        <v>35</v>
      </c>
      <c r="AB92" s="71">
        <f t="shared" si="25"/>
        <v>1392.124895</v>
      </c>
      <c r="AC92" s="71">
        <f>+(S92-T92)*V92-'data 1'!$F$4</f>
        <v>41.253</v>
      </c>
      <c r="AD92" s="71">
        <f t="shared" si="8"/>
        <v>82.30225842</v>
      </c>
      <c r="AE92" s="71">
        <f t="shared" si="9"/>
        <v>-31.4195</v>
      </c>
      <c r="AF92" s="71">
        <f t="shared" si="10"/>
        <v>106.4844075</v>
      </c>
      <c r="AG92" s="72">
        <f t="shared" si="46"/>
        <v>215.6201659</v>
      </c>
      <c r="AH92" s="193">
        <f t="shared" si="11"/>
        <v>84.861</v>
      </c>
      <c r="AI92" s="193">
        <f t="shared" si="12"/>
        <v>89.819</v>
      </c>
      <c r="AJ92" s="73">
        <f t="shared" si="13"/>
        <v>-72.07875661</v>
      </c>
      <c r="AK92" s="73">
        <f t="shared" si="14"/>
        <v>75.877486</v>
      </c>
      <c r="AM92" s="51">
        <f t="shared" si="15"/>
        <v>11187.11566</v>
      </c>
      <c r="AN92" s="51" t="str">
        <f t="array" ref="AN92">XLOOKUP(D92,RUC!$B$3:$B$565,RUC!$M$3:$M$565)</f>
        <v>Robinson Tuya</v>
      </c>
      <c r="AO92" s="131" t="s">
        <v>547</v>
      </c>
      <c r="AP92" s="475" t="s">
        <v>2381</v>
      </c>
      <c r="AQ92" s="57" t="s">
        <v>3393</v>
      </c>
    </row>
    <row r="93" ht="15.0" customHeight="1">
      <c r="A93" s="116" t="s">
        <v>3397</v>
      </c>
      <c r="B93" s="182">
        <v>46086.0</v>
      </c>
      <c r="C93" s="182">
        <v>46081.0</v>
      </c>
      <c r="D93" s="57" t="s">
        <v>3392</v>
      </c>
      <c r="E93" s="3">
        <f t="array" ref="E93">XLOOKUP(D93,RUC!$B$3:$B$110,RUC!$D$3:$D$110)</f>
        <v>20613170848</v>
      </c>
      <c r="G93" s="141">
        <v>107.0</v>
      </c>
      <c r="H93" s="3" t="s">
        <v>40</v>
      </c>
      <c r="I93" s="6">
        <v>6.8</v>
      </c>
      <c r="J93" s="58">
        <v>7.6</v>
      </c>
      <c r="K93" s="6">
        <f t="shared" si="3"/>
        <v>6.283</v>
      </c>
      <c r="L93" s="3">
        <v>0.266</v>
      </c>
      <c r="M93" s="60">
        <f t="shared" si="44"/>
        <v>0.247</v>
      </c>
      <c r="N93" s="62">
        <f t="shared" si="41"/>
        <v>0.247</v>
      </c>
      <c r="O93" s="60">
        <f t="shared" si="37"/>
        <v>0.247</v>
      </c>
      <c r="P93" s="63">
        <v>90.0</v>
      </c>
      <c r="Q93" s="58">
        <v>90.6</v>
      </c>
      <c r="R93" s="65">
        <v>5222.3</v>
      </c>
      <c r="S93" s="66">
        <f t="array" ref="S93">IF((XLOOKUP(D93,RUC!$B$3:$B$106,RUC!$E$3:$E$106)+ROUNDDOWN(O93,1)*100)&lt;95,95,((XLOOKUP(D93,RUC!$B$3:$B$106,RUC!$E$3:$E$106)+ROUNDDOWN(O93,1)*100)))</f>
        <v>100</v>
      </c>
      <c r="U93" s="67">
        <f t="array" ref="U93">XLOOKUP(D93,RUC!$B$3:$B$110,RUC!$F$3:$F$110)</f>
        <v>110</v>
      </c>
      <c r="V93" s="67">
        <v>1.1023</v>
      </c>
      <c r="Y93" s="57">
        <f t="array" ref="Y93">XLOOKUP(D93,RUC!$B$3:$B$110,RUC!$G$3:$G$110)</f>
        <v>0</v>
      </c>
      <c r="Z93" s="69">
        <f t="array" ref="Z93">XLOOKUP(D93,RUC!$B$3:$B$110,RUC!$H$3:$H$110)</f>
        <v>35</v>
      </c>
      <c r="AA93" s="70">
        <f t="shared" si="7"/>
        <v>35</v>
      </c>
      <c r="AB93" s="71">
        <f t="shared" si="25"/>
        <v>1103.914087</v>
      </c>
      <c r="AC93" s="71">
        <f>+(S93-T93)*V93-'data 1'!$F$4</f>
        <v>30.23</v>
      </c>
      <c r="AD93" s="71">
        <f t="shared" si="8"/>
        <v>8.993920111</v>
      </c>
      <c r="AE93" s="71">
        <f t="shared" si="9"/>
        <v>-31.4195</v>
      </c>
      <c r="AF93" s="71">
        <f t="shared" si="10"/>
        <v>97.00585262</v>
      </c>
      <c r="AG93" s="72">
        <f t="shared" si="46"/>
        <v>121.8102727</v>
      </c>
      <c r="AH93" s="193">
        <f t="shared" si="11"/>
        <v>51.914</v>
      </c>
      <c r="AI93" s="193">
        <f t="shared" si="12"/>
        <v>57.3</v>
      </c>
      <c r="AJ93" s="73">
        <f t="shared" si="13"/>
        <v>-56.39747182</v>
      </c>
      <c r="AK93" s="73">
        <f t="shared" si="14"/>
        <v>47.8867752</v>
      </c>
      <c r="AM93" s="51">
        <f t="shared" si="15"/>
        <v>6935.892208</v>
      </c>
      <c r="AN93" s="51" t="str">
        <f t="array" ref="AN93">XLOOKUP(D93,RUC!$B$3:$B$565,RUC!$M$3:$M$565)</f>
        <v>Robinson Tuya</v>
      </c>
      <c r="AO93" s="131" t="s">
        <v>547</v>
      </c>
      <c r="AP93" s="475" t="s">
        <v>2381</v>
      </c>
      <c r="AQ93" s="57" t="s">
        <v>3393</v>
      </c>
    </row>
    <row r="94" ht="15.0" customHeight="1">
      <c r="A94" s="116" t="s">
        <v>3398</v>
      </c>
      <c r="B94" s="182">
        <v>46086.0</v>
      </c>
      <c r="C94" s="182">
        <v>46081.0</v>
      </c>
      <c r="D94" s="2" t="s">
        <v>3392</v>
      </c>
      <c r="E94" s="3">
        <f t="array" ref="E94">XLOOKUP(D94,RUC!$B$3:$B$110,RUC!$D$3:$D$110)</f>
        <v>20613170848</v>
      </c>
      <c r="G94" s="141">
        <v>138.0</v>
      </c>
      <c r="H94" s="3" t="s">
        <v>40</v>
      </c>
      <c r="I94" s="6">
        <v>10.33</v>
      </c>
      <c r="J94" s="58">
        <v>14.0</v>
      </c>
      <c r="K94" s="6">
        <f t="shared" si="3"/>
        <v>8.884</v>
      </c>
      <c r="L94" s="60">
        <v>0.27</v>
      </c>
      <c r="M94" s="60">
        <f t="shared" si="44"/>
        <v>0.251</v>
      </c>
      <c r="N94" s="62">
        <f t="shared" si="41"/>
        <v>0.251</v>
      </c>
      <c r="O94" s="60">
        <f t="shared" si="37"/>
        <v>0.251</v>
      </c>
      <c r="P94" s="63">
        <v>90.0</v>
      </c>
      <c r="Q94" s="58">
        <v>95.19</v>
      </c>
      <c r="R94" s="65">
        <v>5222.3</v>
      </c>
      <c r="S94" s="66">
        <f t="array" ref="S94">IF((XLOOKUP(D94,RUC!$B$3:$B$106,RUC!$E$3:$E$106)+ROUNDDOWN(O94,1)*100)&lt;95,95,((XLOOKUP(D94,RUC!$B$3:$B$106,RUC!$E$3:$E$106)+ROUNDDOWN(O94,1)*100)))</f>
        <v>100</v>
      </c>
      <c r="U94" s="67">
        <f t="array" ref="U94">XLOOKUP(D94,RUC!$B$3:$B$110,RUC!$F$3:$F$110)</f>
        <v>110</v>
      </c>
      <c r="V94" s="67">
        <v>1.1023</v>
      </c>
      <c r="Y94" s="57">
        <f t="array" ref="Y94">XLOOKUP(D94,RUC!$B$3:$B$110,RUC!$G$3:$G$110)</f>
        <v>0</v>
      </c>
      <c r="Z94" s="69">
        <f t="array" ref="Z94">XLOOKUP(D94,RUC!$B$3:$B$110,RUC!$H$3:$H$110)</f>
        <v>35</v>
      </c>
      <c r="AA94" s="70">
        <f t="shared" si="7"/>
        <v>35</v>
      </c>
      <c r="AB94" s="71">
        <f t="shared" si="25"/>
        <v>1124.201125</v>
      </c>
      <c r="AC94" s="71">
        <f>+(S94-T94)*V94-'data 1'!$F$4</f>
        <v>30.23</v>
      </c>
      <c r="AD94" s="71">
        <f t="shared" si="8"/>
        <v>78.96729481</v>
      </c>
      <c r="AE94" s="71">
        <f t="shared" si="9"/>
        <v>-31.4195</v>
      </c>
      <c r="AF94" s="71">
        <f t="shared" si="10"/>
        <v>101.9203875</v>
      </c>
      <c r="AG94" s="72">
        <f t="shared" si="46"/>
        <v>196.6981823</v>
      </c>
      <c r="AH94" s="193">
        <f t="shared" si="11"/>
        <v>78.284</v>
      </c>
      <c r="AI94" s="193">
        <f t="shared" si="12"/>
        <v>82.24</v>
      </c>
      <c r="AJ94" s="73">
        <f t="shared" si="13"/>
        <v>-60.14574277</v>
      </c>
      <c r="AK94" s="73">
        <f t="shared" si="14"/>
        <v>68.80719442</v>
      </c>
      <c r="AM94" s="51">
        <f t="shared" si="15"/>
        <v>9987.402792</v>
      </c>
      <c r="AN94" s="51" t="str">
        <f t="array" ref="AN94">XLOOKUP(D94,RUC!$B$3:$B$565,RUC!$M$3:$M$565)</f>
        <v>Robinson Tuya</v>
      </c>
      <c r="AO94" s="131" t="s">
        <v>547</v>
      </c>
      <c r="AP94" s="475" t="s">
        <v>2381</v>
      </c>
      <c r="AQ94" s="57" t="s">
        <v>3393</v>
      </c>
    </row>
    <row r="95" ht="15.0" customHeight="1">
      <c r="A95" s="116" t="s">
        <v>3399</v>
      </c>
      <c r="B95" s="182">
        <v>46086.0</v>
      </c>
      <c r="C95" s="182">
        <v>46081.0</v>
      </c>
      <c r="D95" s="57" t="s">
        <v>3392</v>
      </c>
      <c r="E95" s="3">
        <f t="array" ref="E95">XLOOKUP(D95,RUC!$B$3:$B$110,RUC!$D$3:$D$110)</f>
        <v>20613170848</v>
      </c>
      <c r="G95" s="141">
        <v>94.0</v>
      </c>
      <c r="H95" s="3" t="s">
        <v>40</v>
      </c>
      <c r="I95" s="6">
        <v>6.88</v>
      </c>
      <c r="J95" s="58">
        <v>22.1</v>
      </c>
      <c r="K95" s="6">
        <f t="shared" si="3"/>
        <v>5.36</v>
      </c>
      <c r="L95" s="3">
        <v>0.302</v>
      </c>
      <c r="M95" s="60">
        <f t="shared" si="44"/>
        <v>0.284</v>
      </c>
      <c r="N95" s="62">
        <f t="shared" si="41"/>
        <v>0.284</v>
      </c>
      <c r="O95" s="60">
        <f t="shared" si="37"/>
        <v>0.284</v>
      </c>
      <c r="P95" s="63">
        <v>90.0</v>
      </c>
      <c r="Q95" s="57">
        <v>95.03</v>
      </c>
      <c r="R95" s="65">
        <v>5222.3</v>
      </c>
      <c r="S95" s="66">
        <f t="array" ref="S95">IF((XLOOKUP(D95,RUC!$B$3:$B$106,RUC!$E$3:$E$106)+ROUNDDOWN(O95,1)*100)&lt;95,95,((XLOOKUP(D95,RUC!$B$3:$B$106,RUC!$E$3:$E$106)+ROUNDDOWN(O95,1)*100)))</f>
        <v>100</v>
      </c>
      <c r="U95" s="67">
        <f t="array" ref="U95">XLOOKUP(D95,RUC!$B$3:$B$110,RUC!$F$3:$F$110)</f>
        <v>110</v>
      </c>
      <c r="V95" s="67">
        <v>1.1023</v>
      </c>
      <c r="Y95" s="57">
        <f t="array" ref="Y95">XLOOKUP(D95,RUC!$B$3:$B$110,RUC!$G$3:$G$110)</f>
        <v>0</v>
      </c>
      <c r="Z95" s="69">
        <f t="array" ref="Z95">XLOOKUP(D95,RUC!$B$3:$B$110,RUC!$H$3:$H$110)</f>
        <v>35</v>
      </c>
      <c r="AA95" s="70">
        <f t="shared" si="7"/>
        <v>35</v>
      </c>
      <c r="AB95" s="71">
        <f t="shared" si="25"/>
        <v>1291.569187</v>
      </c>
      <c r="AC95" s="71">
        <f>+(S95-T95)*V95-'data 1'!$F$4</f>
        <v>30.23</v>
      </c>
      <c r="AD95" s="71">
        <f t="shared" si="8"/>
        <v>85.6034103</v>
      </c>
      <c r="AE95" s="71">
        <f t="shared" si="9"/>
        <v>-31.4195</v>
      </c>
      <c r="AF95" s="71">
        <f t="shared" si="10"/>
        <v>96.39386032</v>
      </c>
      <c r="AG95" s="72">
        <f t="shared" si="46"/>
        <v>197.8077706</v>
      </c>
      <c r="AH95" s="193">
        <f t="shared" si="11"/>
        <v>52.74</v>
      </c>
      <c r="AI95" s="193">
        <f t="shared" si="12"/>
        <v>55.498</v>
      </c>
      <c r="AJ95" s="73">
        <f t="shared" si="13"/>
        <v>-67.16104946</v>
      </c>
      <c r="AK95" s="73">
        <f t="shared" si="14"/>
        <v>46.97153019</v>
      </c>
      <c r="AM95" s="51">
        <f t="shared" si="15"/>
        <v>6922.810842</v>
      </c>
      <c r="AN95" s="51" t="str">
        <f t="array" ref="AN95">XLOOKUP(D95,RUC!$B$3:$B$565,RUC!$M$3:$M$565)</f>
        <v>Robinson Tuya</v>
      </c>
      <c r="AO95" s="131" t="s">
        <v>547</v>
      </c>
      <c r="AP95" s="475" t="s">
        <v>2381</v>
      </c>
      <c r="AQ95" s="57" t="s">
        <v>3393</v>
      </c>
    </row>
    <row r="96" ht="15.0" customHeight="1">
      <c r="A96" s="116" t="s">
        <v>3400</v>
      </c>
      <c r="B96" s="182">
        <v>46087.0</v>
      </c>
      <c r="C96" s="182">
        <v>46083.0</v>
      </c>
      <c r="D96" s="2" t="s">
        <v>806</v>
      </c>
      <c r="E96" s="3">
        <f t="array" ref="E96">XLOOKUP(D96,RUC!$B$3:$B$110,RUC!$D$3:$D$110)</f>
        <v>20614284740</v>
      </c>
      <c r="G96" s="141">
        <v>109.0</v>
      </c>
      <c r="H96" s="3" t="s">
        <v>47</v>
      </c>
      <c r="I96" s="6">
        <v>8.89</v>
      </c>
      <c r="J96" s="58">
        <v>2.1</v>
      </c>
      <c r="K96" s="6">
        <f t="shared" si="3"/>
        <v>8.703</v>
      </c>
      <c r="L96" s="3">
        <v>0.586</v>
      </c>
      <c r="M96" s="60">
        <f t="shared" si="44"/>
        <v>0.551</v>
      </c>
      <c r="N96" s="62">
        <f t="shared" si="41"/>
        <v>0.551</v>
      </c>
      <c r="O96" s="60">
        <f t="shared" si="37"/>
        <v>0.551</v>
      </c>
      <c r="P96" s="63">
        <v>90.0</v>
      </c>
      <c r="Q96" s="2">
        <v>99.15</v>
      </c>
      <c r="R96" s="65">
        <v>5313.9</v>
      </c>
      <c r="S96" s="66">
        <f t="array" ref="S96">IF((XLOOKUP(D96,RUC!$B$3:$B$106,RUC!$E$3:$E$106)+ROUNDDOWN(O96,1)*100)&lt;95,95,((XLOOKUP(D96,RUC!$B$3:$B$106,RUC!$E$3:$E$106)+ROUNDDOWN(O96,1)*100)))</f>
        <v>140</v>
      </c>
      <c r="U96" s="67">
        <f t="array" ref="U96">XLOOKUP(D96,RUC!$B$3:$B$110,RUC!$F$3:$F$110)</f>
        <v>120</v>
      </c>
      <c r="V96" s="67">
        <v>1.1023</v>
      </c>
      <c r="Y96" s="57">
        <f t="array" ref="Y96">XLOOKUP(D96,RUC!$B$3:$B$110,RUC!$G$3:$G$110)</f>
        <v>20</v>
      </c>
      <c r="Z96" s="69">
        <f t="array" ref="Z96">XLOOKUP(D96,RUC!$B$3:$B$110,RUC!$H$3:$H$110)</f>
        <v>30</v>
      </c>
      <c r="AA96" s="70">
        <f t="shared" si="7"/>
        <v>50</v>
      </c>
      <c r="AB96" s="71">
        <f t="shared" si="25"/>
        <v>2629.707518</v>
      </c>
      <c r="AC96" s="71">
        <f>+(S96-T96)*V96-'data 1'!$F$4</f>
        <v>74.322</v>
      </c>
      <c r="AD96" s="71">
        <f t="shared" si="8"/>
        <v>306.9814275</v>
      </c>
      <c r="AE96" s="71">
        <f t="shared" si="9"/>
        <v>-14.885</v>
      </c>
      <c r="AF96" s="71">
        <f t="shared" si="10"/>
        <v>198.6800012</v>
      </c>
      <c r="AG96" s="72">
        <f t="shared" si="46"/>
        <v>582.0984287</v>
      </c>
      <c r="AH96" s="193">
        <f t="shared" si="11"/>
        <v>173.368</v>
      </c>
      <c r="AI96" s="193">
        <f t="shared" si="12"/>
        <v>174.854</v>
      </c>
      <c r="AJ96" s="73">
        <f t="shared" si="13"/>
        <v>-188.2303839</v>
      </c>
      <c r="AK96" s="73">
        <f t="shared" si="14"/>
        <v>147.9694846</v>
      </c>
      <c r="AM96" s="51">
        <f t="shared" si="15"/>
        <v>22886.34453</v>
      </c>
      <c r="AN96" s="51" t="str">
        <f t="array" ref="AN96">XLOOKUP(D96,RUC!$B$3:$B$565,RUC!$M$3:$M$565)</f>
        <v>Dante </v>
      </c>
      <c r="AO96" s="131" t="s">
        <v>547</v>
      </c>
      <c r="AP96" s="57" t="s">
        <v>3401</v>
      </c>
      <c r="AQ96" s="57" t="s">
        <v>878</v>
      </c>
    </row>
    <row r="97" ht="15.0" customHeight="1">
      <c r="A97" s="116" t="s">
        <v>3402</v>
      </c>
      <c r="B97" s="182">
        <v>46087.0</v>
      </c>
      <c r="C97" s="182">
        <v>46083.0</v>
      </c>
      <c r="D97" s="57" t="s">
        <v>306</v>
      </c>
      <c r="E97" s="3">
        <f t="array" ref="E97">XLOOKUP(D97,RUC!$B$3:$B$110,RUC!$D$3:$D$110)</f>
        <v>20612921866</v>
      </c>
      <c r="G97" s="141" t="s">
        <v>735</v>
      </c>
      <c r="H97" s="3" t="s">
        <v>47</v>
      </c>
      <c r="I97" s="6">
        <v>10.64</v>
      </c>
      <c r="J97" s="58">
        <v>2.5</v>
      </c>
      <c r="K97" s="6">
        <f t="shared" si="3"/>
        <v>10.374</v>
      </c>
      <c r="L97" s="3">
        <v>0.199</v>
      </c>
      <c r="M97" s="60">
        <f t="shared" si="44"/>
        <v>0.18</v>
      </c>
      <c r="N97" s="62">
        <f t="shared" si="41"/>
        <v>0.18</v>
      </c>
      <c r="O97" s="60">
        <f t="shared" si="37"/>
        <v>0.18</v>
      </c>
      <c r="P97" s="63">
        <v>90.0</v>
      </c>
      <c r="Q97" s="2">
        <v>90.95</v>
      </c>
      <c r="R97" s="65">
        <v>5313.9</v>
      </c>
      <c r="S97" s="66">
        <f t="array" ref="S97">IF((XLOOKUP(D97,RUC!$B$3:$B$106,RUC!$E$3:$E$106)+ROUNDDOWN(O97,1)*100)&lt;95,95,((XLOOKUP(D97,RUC!$B$3:$B$106,RUC!$E$3:$E$106)+ROUNDDOWN(O97,1)*100)))</f>
        <v>95</v>
      </c>
      <c r="U97" s="67">
        <f t="array" ref="U97">XLOOKUP(D97,RUC!$B$3:$B$110,RUC!$F$3:$F$110)</f>
        <v>100</v>
      </c>
      <c r="V97" s="67">
        <v>1.1023</v>
      </c>
      <c r="Y97" s="57" t="str">
        <f t="array" ref="Y97">XLOOKUP(D97,RUC!$B$3:$B$110,RUC!$G$3:$G$110)</f>
        <v/>
      </c>
      <c r="Z97" s="69">
        <f t="array" ref="Z97">XLOOKUP(D97,RUC!$B$3:$B$110,RUC!$H$3:$H$110)</f>
        <v>30</v>
      </c>
      <c r="AA97" s="70">
        <f t="shared" si="7"/>
        <v>30</v>
      </c>
      <c r="AB97" s="71">
        <f t="shared" si="25"/>
        <v>793.2721791</v>
      </c>
      <c r="AC97" s="71">
        <f>+(S97-T97)*V97-'data 1'!$F$4</f>
        <v>24.7185</v>
      </c>
      <c r="AD97" s="71">
        <f t="shared" si="8"/>
        <v>10.86523656</v>
      </c>
      <c r="AE97" s="71">
        <f t="shared" si="9"/>
        <v>-36.931</v>
      </c>
      <c r="AF97" s="71">
        <f t="shared" si="10"/>
        <v>99.31590608</v>
      </c>
      <c r="AG97" s="72">
        <f>AC97+AD97+AE97+AF97+70-10</f>
        <v>157.9686426</v>
      </c>
      <c r="AH97" s="193">
        <f t="shared" si="11"/>
        <v>64.374</v>
      </c>
      <c r="AI97" s="193">
        <f t="shared" si="12"/>
        <v>70.78</v>
      </c>
      <c r="AJ97" s="73">
        <f t="shared" si="13"/>
        <v>-62.62487946</v>
      </c>
      <c r="AK97" s="73">
        <f t="shared" si="14"/>
        <v>57.61961173</v>
      </c>
      <c r="AM97" s="51">
        <f t="shared" si="15"/>
        <v>8229.405586</v>
      </c>
      <c r="AN97" s="51" t="str">
        <f t="array" ref="AN97">XLOOKUP(D97,RUC!$B$3:$B$565,RUC!$M$3:$M$565)</f>
        <v>Ronald Garibay</v>
      </c>
      <c r="AO97" s="131" t="s">
        <v>549</v>
      </c>
      <c r="AP97" s="57" t="s">
        <v>3403</v>
      </c>
      <c r="AQ97" s="57" t="s">
        <v>604</v>
      </c>
    </row>
    <row r="98" ht="15.0" customHeight="1">
      <c r="A98" s="116" t="s">
        <v>3404</v>
      </c>
      <c r="B98" s="182">
        <v>46090.0</v>
      </c>
      <c r="C98" s="182">
        <v>46084.0</v>
      </c>
      <c r="D98" s="57" t="s">
        <v>852</v>
      </c>
      <c r="E98" s="3">
        <f t="array" ref="E98">XLOOKUP(D98,RUC!$B$3:$B$110,RUC!$D$3:$D$110)</f>
        <v>20610807004</v>
      </c>
      <c r="G98" s="141">
        <v>26.0</v>
      </c>
      <c r="H98" s="3" t="s">
        <v>339</v>
      </c>
      <c r="I98" s="6">
        <v>1.93</v>
      </c>
      <c r="J98" s="58">
        <v>14.68</v>
      </c>
      <c r="K98" s="6">
        <f t="shared" si="3"/>
        <v>1.647</v>
      </c>
      <c r="L98" s="3">
        <v>0.451</v>
      </c>
      <c r="M98" s="60">
        <f t="shared" si="44"/>
        <v>0.424</v>
      </c>
      <c r="N98" s="62">
        <f t="shared" si="41"/>
        <v>0.424</v>
      </c>
      <c r="O98" s="60">
        <f t="shared" si="37"/>
        <v>0.424</v>
      </c>
      <c r="P98" s="63">
        <v>90.0</v>
      </c>
      <c r="Q98" s="2">
        <v>95.79</v>
      </c>
      <c r="R98" s="65">
        <v>5033.65</v>
      </c>
      <c r="S98" s="66">
        <f t="array" ref="S98">IF((XLOOKUP(D98,RUC!$B$3:$B$106,RUC!$E$3:$E$106)+ROUNDDOWN(O98,1)*100)&lt;95,95,((XLOOKUP(D98,RUC!$B$3:$B$106,RUC!$E$3:$E$106)+ROUNDDOWN(O98,1)*100)))</f>
        <v>125</v>
      </c>
      <c r="U98" s="67">
        <f t="array" ref="U98">XLOOKUP(D98,RUC!$B$3:$B$110,RUC!$F$3:$F$110)</f>
        <v>120</v>
      </c>
      <c r="V98" s="67">
        <v>1.1023</v>
      </c>
      <c r="Y98" s="57">
        <f t="array" ref="Y98">XLOOKUP(D98,RUC!$B$3:$B$110,RUC!$G$3:$G$110)</f>
        <v>20</v>
      </c>
      <c r="Z98" s="69">
        <f t="array" ref="Z98">XLOOKUP(D98,RUC!$B$3:$B$110,RUC!$H$3:$H$110)</f>
        <v>30</v>
      </c>
      <c r="AA98" s="70">
        <f t="shared" si="7"/>
        <v>50</v>
      </c>
      <c r="AB98" s="71">
        <f t="shared" si="25"/>
        <v>1873.963836</v>
      </c>
      <c r="AC98" s="71">
        <f>+(S98-T98)*V98-'data 1'!$F$4</f>
        <v>57.7875</v>
      </c>
      <c r="AD98" s="71">
        <f t="shared" si="8"/>
        <v>141.4357284</v>
      </c>
      <c r="AE98" s="71">
        <f t="shared" si="9"/>
        <v>-14.885</v>
      </c>
      <c r="AF98" s="71">
        <f t="shared" si="10"/>
        <v>140.0838158</v>
      </c>
      <c r="AG98" s="72">
        <f t="shared" ref="AG98:AG109" si="47">AC98+AD98+AE98+AF98+70-53</f>
        <v>341.4220442</v>
      </c>
      <c r="AH98" s="193">
        <f t="shared" si="11"/>
        <v>24.395</v>
      </c>
      <c r="AI98" s="193">
        <f t="shared" si="12"/>
        <v>25.467</v>
      </c>
      <c r="AJ98" s="73">
        <f t="shared" si="13"/>
        <v>-6.500236738</v>
      </c>
      <c r="AK98" s="73">
        <f t="shared" si="14"/>
        <v>21.54820182</v>
      </c>
      <c r="AM98" s="51">
        <f t="shared" si="15"/>
        <v>3086.418438</v>
      </c>
      <c r="AN98" s="51" t="str">
        <f t="array" ref="AN98">XLOOKUP(D98,RUC!$B$3:$B$565,RUC!$M$3:$M$565)</f>
        <v>Renzo</v>
      </c>
      <c r="AO98" s="131" t="s">
        <v>549</v>
      </c>
      <c r="AP98" s="57" t="s">
        <v>3405</v>
      </c>
      <c r="AQ98" s="57" t="s">
        <v>3406</v>
      </c>
    </row>
    <row r="99" ht="15.0" customHeight="1">
      <c r="A99" s="116" t="s">
        <v>3407</v>
      </c>
      <c r="B99" s="182">
        <v>46090.0</v>
      </c>
      <c r="C99" s="182">
        <v>46084.0</v>
      </c>
      <c r="D99" s="57" t="s">
        <v>852</v>
      </c>
      <c r="E99" s="3">
        <f t="array" ref="E99">XLOOKUP(D99,RUC!$B$3:$B$110,RUC!$D$3:$D$110)</f>
        <v>20610807004</v>
      </c>
      <c r="G99" s="141">
        <v>37.0</v>
      </c>
      <c r="H99" s="3" t="s">
        <v>339</v>
      </c>
      <c r="I99" s="6">
        <v>2.7</v>
      </c>
      <c r="J99" s="58">
        <v>12.33</v>
      </c>
      <c r="K99" s="6">
        <f t="shared" si="3"/>
        <v>2.367</v>
      </c>
      <c r="L99" s="60">
        <v>0.429</v>
      </c>
      <c r="M99" s="60">
        <f t="shared" si="44"/>
        <v>0.403</v>
      </c>
      <c r="N99" s="62">
        <f t="shared" si="41"/>
        <v>0.403</v>
      </c>
      <c r="O99" s="60">
        <f t="shared" si="37"/>
        <v>0.403</v>
      </c>
      <c r="P99" s="63">
        <v>90.0</v>
      </c>
      <c r="Q99" s="2">
        <v>94.64</v>
      </c>
      <c r="R99" s="65">
        <v>5033.65</v>
      </c>
      <c r="S99" s="66">
        <f t="array" ref="S99">IF((XLOOKUP(D99,RUC!$B$3:$B$106,RUC!$E$3:$E$106)+ROUNDDOWN(O99,1)*100)&lt;95,95,((XLOOKUP(D99,RUC!$B$3:$B$106,RUC!$E$3:$E$106)+ROUNDDOWN(O99,1)*100)))</f>
        <v>125</v>
      </c>
      <c r="U99" s="67">
        <f t="array" ref="U99">XLOOKUP(D99,RUC!$B$3:$B$110,RUC!$F$3:$F$110)</f>
        <v>120</v>
      </c>
      <c r="V99" s="67">
        <v>1.1023</v>
      </c>
      <c r="Y99" s="57">
        <f t="array" ref="Y99">XLOOKUP(D99,RUC!$B$3:$B$110,RUC!$G$3:$G$110)</f>
        <v>20</v>
      </c>
      <c r="Z99" s="69">
        <f t="array" ref="Z99">XLOOKUP(D99,RUC!$B$3:$B$110,RUC!$H$3:$H$110)</f>
        <v>30</v>
      </c>
      <c r="AA99" s="70">
        <f t="shared" si="7"/>
        <v>50</v>
      </c>
      <c r="AB99" s="71">
        <f t="shared" si="25"/>
        <v>1771.595456</v>
      </c>
      <c r="AC99" s="71">
        <f>+(S99-T99)*V99-'data 1'!$F$4</f>
        <v>57.7875</v>
      </c>
      <c r="AD99" s="71">
        <f t="shared" si="8"/>
        <v>107.8150276</v>
      </c>
      <c r="AE99" s="71">
        <f t="shared" si="9"/>
        <v>-14.885</v>
      </c>
      <c r="AF99" s="71">
        <f t="shared" si="10"/>
        <v>133.2760477</v>
      </c>
      <c r="AG99" s="72">
        <f t="shared" si="47"/>
        <v>300.9935754</v>
      </c>
      <c r="AH99" s="193">
        <f t="shared" si="11"/>
        <v>32.949</v>
      </c>
      <c r="AI99" s="193">
        <f t="shared" si="12"/>
        <v>34.815</v>
      </c>
      <c r="AJ99" s="73">
        <f t="shared" si="13"/>
        <v>-6.10892063</v>
      </c>
      <c r="AK99" s="73">
        <f t="shared" si="14"/>
        <v>29.43437935</v>
      </c>
      <c r="AM99" s="51">
        <f t="shared" si="15"/>
        <v>4193.366445</v>
      </c>
      <c r="AN99" s="51" t="str">
        <f t="array" ref="AN99">XLOOKUP(D99,RUC!$B$3:$B$565,RUC!$M$3:$M$565)</f>
        <v>Renzo</v>
      </c>
      <c r="AO99" s="131" t="s">
        <v>549</v>
      </c>
      <c r="AP99" s="57" t="s">
        <v>3405</v>
      </c>
      <c r="AQ99" s="57" t="s">
        <v>3406</v>
      </c>
    </row>
    <row r="100" ht="15.0" customHeight="1">
      <c r="A100" s="116" t="s">
        <v>3408</v>
      </c>
      <c r="B100" s="182">
        <v>46090.0</v>
      </c>
      <c r="C100" s="182">
        <v>46084.0</v>
      </c>
      <c r="D100" s="57" t="s">
        <v>852</v>
      </c>
      <c r="E100" s="3">
        <f t="array" ref="E100">XLOOKUP(D100,RUC!$B$3:$B$110,RUC!$D$3:$D$110)</f>
        <v>20610807004</v>
      </c>
      <c r="G100" s="141">
        <v>29.0</v>
      </c>
      <c r="H100" s="3" t="s">
        <v>339</v>
      </c>
      <c r="I100" s="6">
        <v>2.31</v>
      </c>
      <c r="J100" s="58">
        <v>6.7</v>
      </c>
      <c r="K100" s="6">
        <f t="shared" si="3"/>
        <v>2.155</v>
      </c>
      <c r="L100" s="60">
        <v>0.23</v>
      </c>
      <c r="M100" s="60">
        <f t="shared" si="44"/>
        <v>0.211</v>
      </c>
      <c r="N100" s="62">
        <f t="shared" si="41"/>
        <v>0.211</v>
      </c>
      <c r="O100" s="60">
        <f t="shared" si="37"/>
        <v>0.211</v>
      </c>
      <c r="P100" s="63">
        <v>90.0</v>
      </c>
      <c r="Q100" s="2">
        <v>92.17</v>
      </c>
      <c r="R100" s="65">
        <v>5033.65</v>
      </c>
      <c r="S100" s="66">
        <f t="array" ref="S100">IF((XLOOKUP(D100,RUC!$B$3:$B$106,RUC!$E$3:$E$106)+ROUNDDOWN(O100,1)*100)&lt;95,95,((XLOOKUP(D100,RUC!$B$3:$B$106,RUC!$E$3:$E$106)+ROUNDDOWN(O100,1)*100)))</f>
        <v>105</v>
      </c>
      <c r="U100" s="67">
        <f t="array" ref="U100">XLOOKUP(D100,RUC!$B$3:$B$110,RUC!$F$3:$F$110)</f>
        <v>120</v>
      </c>
      <c r="V100" s="67">
        <v>1.1023</v>
      </c>
      <c r="Y100" s="57">
        <f t="array" ref="Y100">XLOOKUP(D100,RUC!$B$3:$B$110,RUC!$G$3:$G$110)</f>
        <v>20</v>
      </c>
      <c r="Z100" s="69">
        <f t="array" ref="Z100">XLOOKUP(D100,RUC!$B$3:$B$110,RUC!$H$3:$H$110)</f>
        <v>30</v>
      </c>
      <c r="AA100" s="70">
        <f t="shared" si="7"/>
        <v>50</v>
      </c>
      <c r="AB100" s="71">
        <f t="shared" si="25"/>
        <v>857.7019834</v>
      </c>
      <c r="AC100" s="71">
        <f>+(S100-T100)*V100-'data 1'!$F$4</f>
        <v>35.7415</v>
      </c>
      <c r="AD100" s="71">
        <f t="shared" si="8"/>
        <v>27.03283513</v>
      </c>
      <c r="AE100" s="71">
        <f t="shared" si="9"/>
        <v>-14.885</v>
      </c>
      <c r="AF100" s="71">
        <f t="shared" si="10"/>
        <v>94.8521576</v>
      </c>
      <c r="AG100" s="72">
        <f t="shared" si="47"/>
        <v>159.7414927</v>
      </c>
      <c r="AH100" s="193">
        <f t="shared" si="11"/>
        <v>15.663</v>
      </c>
      <c r="AI100" s="193">
        <f t="shared" si="12"/>
        <v>16.994</v>
      </c>
      <c r="AJ100" s="73">
        <f t="shared" si="13"/>
        <v>-3.189700322</v>
      </c>
      <c r="AK100" s="73">
        <f t="shared" si="14"/>
        <v>14.03076364</v>
      </c>
      <c r="AM100" s="51">
        <f t="shared" si="15"/>
        <v>1848.347774</v>
      </c>
      <c r="AN100" s="51" t="str">
        <f t="array" ref="AN100">XLOOKUP(D100,RUC!$B$3:$B$565,RUC!$M$3:$M$565)</f>
        <v>Renzo</v>
      </c>
      <c r="AO100" s="131" t="s">
        <v>549</v>
      </c>
      <c r="AP100" s="57" t="s">
        <v>3405</v>
      </c>
      <c r="AQ100" s="57" t="s">
        <v>3406</v>
      </c>
    </row>
    <row r="101" ht="15.0" customHeight="1">
      <c r="A101" s="116" t="s">
        <v>3409</v>
      </c>
      <c r="B101" s="182">
        <v>46090.0</v>
      </c>
      <c r="C101" s="182">
        <v>46084.0</v>
      </c>
      <c r="D101" s="57" t="s">
        <v>852</v>
      </c>
      <c r="E101" s="3">
        <f t="array" ref="E101">XLOOKUP(D101,RUC!$B$3:$B$110,RUC!$D$3:$D$110)</f>
        <v>20610807004</v>
      </c>
      <c r="G101" s="141">
        <v>41.0</v>
      </c>
      <c r="H101" s="3" t="s">
        <v>339</v>
      </c>
      <c r="I101" s="6">
        <v>3.15</v>
      </c>
      <c r="J101" s="58">
        <v>11.9</v>
      </c>
      <c r="K101" s="6">
        <f t="shared" si="3"/>
        <v>2.775</v>
      </c>
      <c r="L101" s="60">
        <v>0.212</v>
      </c>
      <c r="M101" s="60">
        <f t="shared" si="44"/>
        <v>0.193</v>
      </c>
      <c r="N101" s="62">
        <f t="shared" si="41"/>
        <v>0.193</v>
      </c>
      <c r="O101" s="60">
        <f t="shared" si="37"/>
        <v>0.193</v>
      </c>
      <c r="P101" s="63">
        <v>85.0</v>
      </c>
      <c r="Q101" s="58">
        <v>91.51</v>
      </c>
      <c r="R101" s="65">
        <v>5033.65</v>
      </c>
      <c r="S101" s="66">
        <f t="array" ref="S101">IF((XLOOKUP(D101,RUC!$B$3:$B$106,RUC!$E$3:$E$106)+ROUNDDOWN(O101,1)*100)&lt;95,95,((XLOOKUP(D101,RUC!$B$3:$B$106,RUC!$E$3:$E$106)+ROUNDDOWN(O101,1)*100)))</f>
        <v>95</v>
      </c>
      <c r="U101" s="67">
        <f t="array" ref="U101">XLOOKUP(D101,RUC!$B$3:$B$110,RUC!$F$3:$F$110)</f>
        <v>120</v>
      </c>
      <c r="V101" s="67">
        <v>1.1023</v>
      </c>
      <c r="Y101" s="57">
        <f t="array" ref="Y101">XLOOKUP(D101,RUC!$B$3:$B$110,RUC!$G$3:$G$110)</f>
        <v>20</v>
      </c>
      <c r="Z101" s="69">
        <f t="array" ref="Z101">XLOOKUP(D101,RUC!$B$3:$B$110,RUC!$H$3:$H$110)</f>
        <v>30</v>
      </c>
      <c r="AA101" s="70">
        <f t="shared" si="7"/>
        <v>50</v>
      </c>
      <c r="AB101" s="71">
        <f t="shared" si="25"/>
        <v>728.7132046</v>
      </c>
      <c r="AC101" s="71">
        <f>+(S101-T101)*V101-'data 1'!$F$4</f>
        <v>24.7185</v>
      </c>
      <c r="AD101" s="71">
        <f t="shared" si="8"/>
        <v>74.75166583</v>
      </c>
      <c r="AE101" s="71">
        <f t="shared" si="9"/>
        <v>-14.885</v>
      </c>
      <c r="AF101" s="71">
        <f t="shared" si="10"/>
        <v>94.17295153</v>
      </c>
      <c r="AG101" s="72">
        <f t="shared" si="47"/>
        <v>195.7581174</v>
      </c>
      <c r="AH101" s="193">
        <f t="shared" si="11"/>
        <v>18.458</v>
      </c>
      <c r="AI101" s="193">
        <f t="shared" si="12"/>
        <v>20.17</v>
      </c>
      <c r="AJ101" s="73">
        <f t="shared" si="13"/>
        <v>-2.919018686</v>
      </c>
      <c r="AK101" s="73">
        <f t="shared" si="14"/>
        <v>15.6080372</v>
      </c>
      <c r="AM101" s="51">
        <f t="shared" si="15"/>
        <v>2022.179143</v>
      </c>
      <c r="AN101" s="51" t="str">
        <f t="array" ref="AN101">XLOOKUP(D101,RUC!$B$3:$B$565,RUC!$M$3:$M$565)</f>
        <v>Renzo</v>
      </c>
      <c r="AO101" s="131" t="s">
        <v>549</v>
      </c>
      <c r="AP101" s="57" t="s">
        <v>3405</v>
      </c>
      <c r="AQ101" s="57" t="s">
        <v>3406</v>
      </c>
    </row>
    <row r="102" ht="15.0" customHeight="1">
      <c r="A102" s="116" t="s">
        <v>3410</v>
      </c>
      <c r="B102" s="182">
        <v>46090.0</v>
      </c>
      <c r="C102" s="182">
        <v>46084.0</v>
      </c>
      <c r="D102" s="57" t="s">
        <v>852</v>
      </c>
      <c r="E102" s="3">
        <f t="array" ref="E102">XLOOKUP(D102,RUC!$B$3:$B$110,RUC!$D$3:$D$110)</f>
        <v>20610807004</v>
      </c>
      <c r="G102" s="141">
        <v>30.0</v>
      </c>
      <c r="H102" s="3" t="s">
        <v>47</v>
      </c>
      <c r="I102" s="6">
        <v>2.39</v>
      </c>
      <c r="J102" s="58">
        <v>11.9</v>
      </c>
      <c r="K102" s="6">
        <f t="shared" si="3"/>
        <v>2.106</v>
      </c>
      <c r="L102" s="60">
        <v>0.374</v>
      </c>
      <c r="M102" s="60">
        <f t="shared" si="44"/>
        <v>0.352</v>
      </c>
      <c r="N102" s="62">
        <f t="shared" si="41"/>
        <v>0.352</v>
      </c>
      <c r="O102" s="60">
        <f t="shared" si="37"/>
        <v>0.352</v>
      </c>
      <c r="P102" s="63">
        <v>90.0</v>
      </c>
      <c r="Q102" s="58">
        <v>95.19</v>
      </c>
      <c r="R102" s="65">
        <v>5033.65</v>
      </c>
      <c r="S102" s="66">
        <f t="array" ref="S102">IF((XLOOKUP(D102,RUC!$B$3:$B$106,RUC!$E$3:$E$106)+ROUNDDOWN(O102,1)*100)&lt;95,95,((XLOOKUP(D102,RUC!$B$3:$B$106,RUC!$E$3:$E$106)+ROUNDDOWN(O102,1)*100)))</f>
        <v>115</v>
      </c>
      <c r="U102" s="67">
        <f t="array" ref="U102">XLOOKUP(D102,RUC!$B$3:$B$110,RUC!$F$3:$F$110)</f>
        <v>120</v>
      </c>
      <c r="V102" s="67">
        <v>1.1023</v>
      </c>
      <c r="Y102" s="57">
        <f t="array" ref="Y102">XLOOKUP(D102,RUC!$B$3:$B$110,RUC!$G$3:$G$110)</f>
        <v>20</v>
      </c>
      <c r="Z102" s="69">
        <f t="array" ref="Z102">XLOOKUP(D102,RUC!$B$3:$B$110,RUC!$H$3:$H$110)</f>
        <v>30</v>
      </c>
      <c r="AA102" s="70">
        <f t="shared" si="7"/>
        <v>50</v>
      </c>
      <c r="AB102" s="71">
        <f t="shared" si="25"/>
        <v>1534.009534</v>
      </c>
      <c r="AC102" s="71">
        <f>+(S102-T102)*V102-'data 1'!$F$4</f>
        <v>46.7645</v>
      </c>
      <c r="AD102" s="71">
        <f t="shared" si="8"/>
        <v>105.133951</v>
      </c>
      <c r="AE102" s="71">
        <f t="shared" si="9"/>
        <v>-14.885</v>
      </c>
      <c r="AF102" s="71">
        <f t="shared" si="10"/>
        <v>113.4274147</v>
      </c>
      <c r="AG102" s="72">
        <f t="shared" si="47"/>
        <v>267.4408657</v>
      </c>
      <c r="AH102" s="193">
        <f t="shared" si="11"/>
        <v>25.706</v>
      </c>
      <c r="AI102" s="193">
        <f t="shared" si="12"/>
        <v>27.005</v>
      </c>
      <c r="AJ102" s="73">
        <f t="shared" si="13"/>
        <v>-5.356676112</v>
      </c>
      <c r="AK102" s="73">
        <f t="shared" si="14"/>
        <v>22.87455263</v>
      </c>
      <c r="AM102" s="51">
        <f t="shared" si="15"/>
        <v>3230.624078</v>
      </c>
      <c r="AN102" s="51" t="str">
        <f t="array" ref="AN102">XLOOKUP(D102,RUC!$B$3:$B$565,RUC!$M$3:$M$565)</f>
        <v>Renzo</v>
      </c>
      <c r="AO102" s="131" t="s">
        <v>549</v>
      </c>
      <c r="AP102" s="57" t="s">
        <v>3405</v>
      </c>
      <c r="AQ102" s="57" t="s">
        <v>3406</v>
      </c>
    </row>
    <row r="103" ht="15.0" customHeight="1">
      <c r="A103" s="116" t="s">
        <v>3411</v>
      </c>
      <c r="B103" s="182">
        <v>46090.0</v>
      </c>
      <c r="C103" s="182">
        <v>46084.0</v>
      </c>
      <c r="D103" s="57" t="s">
        <v>852</v>
      </c>
      <c r="E103" s="3">
        <f t="array" ref="E103">XLOOKUP(D103,RUC!$B$3:$B$110,RUC!$D$3:$D$110)</f>
        <v>20610807004</v>
      </c>
      <c r="G103" s="141">
        <v>30.0</v>
      </c>
      <c r="H103" s="3" t="s">
        <v>47</v>
      </c>
      <c r="I103" s="6">
        <v>2.11</v>
      </c>
      <c r="J103" s="58">
        <v>15.2</v>
      </c>
      <c r="K103" s="6">
        <f t="shared" si="3"/>
        <v>1.789</v>
      </c>
      <c r="L103" s="60">
        <v>0.433</v>
      </c>
      <c r="M103" s="60">
        <f t="shared" si="44"/>
        <v>0.407</v>
      </c>
      <c r="N103" s="62">
        <f t="shared" si="41"/>
        <v>0.407</v>
      </c>
      <c r="O103" s="60">
        <f t="shared" si="37"/>
        <v>0.407</v>
      </c>
      <c r="P103" s="63">
        <v>90.0</v>
      </c>
      <c r="Q103" s="58">
        <v>92.61</v>
      </c>
      <c r="R103" s="65">
        <v>5033.65</v>
      </c>
      <c r="S103" s="66">
        <f t="array" ref="S103">IF((XLOOKUP(D103,RUC!$B$3:$B$106,RUC!$E$3:$E$106)+ROUNDDOWN(O103,1)*100)&lt;95,95,((XLOOKUP(D103,RUC!$B$3:$B$106,RUC!$E$3:$E$106)+ROUNDDOWN(O103,1)*100)))</f>
        <v>125</v>
      </c>
      <c r="U103" s="67">
        <f t="array" ref="U103">XLOOKUP(D103,RUC!$B$3:$B$110,RUC!$F$3:$F$110)</f>
        <v>120</v>
      </c>
      <c r="V103" s="67">
        <v>1.1023</v>
      </c>
      <c r="Y103" s="57">
        <f t="array" ref="Y103">XLOOKUP(D103,RUC!$B$3:$B$110,RUC!$G$3:$G$110)</f>
        <v>20</v>
      </c>
      <c r="Z103" s="69">
        <f t="array" ref="Z103">XLOOKUP(D103,RUC!$B$3:$B$110,RUC!$H$3:$H$110)</f>
        <v>30</v>
      </c>
      <c r="AA103" s="70">
        <f t="shared" si="7"/>
        <v>50</v>
      </c>
      <c r="AB103" s="71">
        <f t="shared" si="25"/>
        <v>1791.094195</v>
      </c>
      <c r="AC103" s="71">
        <f>+(S103-T103)*V103-'data 1'!$F$4</f>
        <v>57.7875</v>
      </c>
      <c r="AD103" s="71">
        <f t="shared" si="8"/>
        <v>61.21141647</v>
      </c>
      <c r="AE103" s="71">
        <f t="shared" si="9"/>
        <v>-14.885</v>
      </c>
      <c r="AF103" s="71">
        <f t="shared" si="10"/>
        <v>130.4173159</v>
      </c>
      <c r="AG103" s="72">
        <f t="shared" si="47"/>
        <v>251.5312324</v>
      </c>
      <c r="AH103" s="193">
        <f t="shared" si="11"/>
        <v>24.596</v>
      </c>
      <c r="AI103" s="193">
        <f t="shared" si="12"/>
        <v>26.559</v>
      </c>
      <c r="AJ103" s="73">
        <f t="shared" si="13"/>
        <v>-6.033623955</v>
      </c>
      <c r="AK103" s="73">
        <f t="shared" si="14"/>
        <v>22.46758164</v>
      </c>
      <c r="AM103" s="51">
        <f t="shared" si="15"/>
        <v>3204.267516</v>
      </c>
      <c r="AN103" s="51" t="str">
        <f t="array" ref="AN103">XLOOKUP(D103,RUC!$B$3:$B$565,RUC!$M$3:$M$565)</f>
        <v>Renzo</v>
      </c>
      <c r="AO103" s="131" t="s">
        <v>549</v>
      </c>
      <c r="AP103" s="57" t="s">
        <v>3405</v>
      </c>
      <c r="AQ103" s="57" t="s">
        <v>3406</v>
      </c>
    </row>
    <row r="104" ht="15.0" customHeight="1">
      <c r="A104" s="116" t="s">
        <v>3412</v>
      </c>
      <c r="B104" s="182">
        <v>46090.0</v>
      </c>
      <c r="C104" s="182">
        <v>46084.0</v>
      </c>
      <c r="D104" s="57" t="s">
        <v>852</v>
      </c>
      <c r="E104" s="3">
        <f t="array" ref="E104">XLOOKUP(D104,RUC!$B$3:$B$110,RUC!$D$3:$D$110)</f>
        <v>20610807004</v>
      </c>
      <c r="G104" s="141">
        <v>30.0</v>
      </c>
      <c r="H104" s="3" t="s">
        <v>47</v>
      </c>
      <c r="I104" s="6">
        <v>2.33</v>
      </c>
      <c r="J104" s="58">
        <v>11.9</v>
      </c>
      <c r="K104" s="6">
        <f t="shared" si="3"/>
        <v>2.053</v>
      </c>
      <c r="L104" s="60">
        <v>0.299</v>
      </c>
      <c r="M104" s="60">
        <f t="shared" si="44"/>
        <v>0.28</v>
      </c>
      <c r="N104" s="62">
        <f t="shared" si="41"/>
        <v>0.28</v>
      </c>
      <c r="O104" s="60">
        <f t="shared" si="37"/>
        <v>0.28</v>
      </c>
      <c r="P104" s="63">
        <v>90.0</v>
      </c>
      <c r="Q104" s="58">
        <v>95.99</v>
      </c>
      <c r="R104" s="65">
        <v>5033.65</v>
      </c>
      <c r="S104" s="66">
        <f t="array" ref="S104">IF((XLOOKUP(D104,RUC!$B$3:$B$106,RUC!$E$3:$E$106)+ROUNDDOWN(O104,1)*100)&lt;95,95,((XLOOKUP(D104,RUC!$B$3:$B$106,RUC!$E$3:$E$106)+ROUNDDOWN(O104,1)*100)))</f>
        <v>105</v>
      </c>
      <c r="U104" s="67">
        <f t="array" ref="U104">XLOOKUP(D104,RUC!$B$3:$B$110,RUC!$F$3:$F$110)</f>
        <v>120</v>
      </c>
      <c r="V104" s="67">
        <v>1.1023</v>
      </c>
      <c r="Y104" s="57">
        <f t="array" ref="Y104">XLOOKUP(D104,RUC!$B$3:$B$110,RUC!$G$3:$G$110)</f>
        <v>20</v>
      </c>
      <c r="Z104" s="69">
        <f t="array" ref="Z104">XLOOKUP(D104,RUC!$B$3:$B$110,RUC!$H$3:$H$110)</f>
        <v>30</v>
      </c>
      <c r="AA104" s="70">
        <f t="shared" si="7"/>
        <v>50</v>
      </c>
      <c r="AB104" s="71">
        <f t="shared" si="25"/>
        <v>1194.055232</v>
      </c>
      <c r="AC104" s="71">
        <f>+(S104-T104)*V104-'data 1'!$F$4</f>
        <v>35.7415</v>
      </c>
      <c r="AD104" s="71">
        <f t="shared" si="8"/>
        <v>97.00676827</v>
      </c>
      <c r="AE104" s="71">
        <f t="shared" si="9"/>
        <v>-14.885</v>
      </c>
      <c r="AF104" s="71">
        <f t="shared" si="10"/>
        <v>98.78332004</v>
      </c>
      <c r="AG104" s="72">
        <f t="shared" si="47"/>
        <v>233.6465883</v>
      </c>
      <c r="AH104" s="193">
        <f t="shared" si="11"/>
        <v>20.202</v>
      </c>
      <c r="AI104" s="193">
        <f t="shared" si="12"/>
        <v>21.046</v>
      </c>
      <c r="AJ104" s="73">
        <f t="shared" si="13"/>
        <v>-4.318467334</v>
      </c>
      <c r="AK104" s="73">
        <f t="shared" si="14"/>
        <v>17.73775122</v>
      </c>
      <c r="AM104" s="51">
        <f t="shared" si="15"/>
        <v>2451.39539</v>
      </c>
      <c r="AN104" s="51" t="str">
        <f t="array" ref="AN104">XLOOKUP(D104,RUC!$B$3:$B$565,RUC!$M$3:$M$565)</f>
        <v>Renzo</v>
      </c>
      <c r="AO104" s="131" t="s">
        <v>549</v>
      </c>
      <c r="AP104" s="57" t="s">
        <v>3405</v>
      </c>
      <c r="AQ104" s="57" t="s">
        <v>3406</v>
      </c>
    </row>
    <row r="105" ht="15.0" customHeight="1">
      <c r="A105" s="116" t="s">
        <v>3413</v>
      </c>
      <c r="B105" s="182">
        <v>46090.0</v>
      </c>
      <c r="C105" s="182">
        <v>46084.0</v>
      </c>
      <c r="D105" s="57" t="s">
        <v>852</v>
      </c>
      <c r="E105" s="3">
        <f t="array" ref="E105">XLOOKUP(D105,RUC!$B$3:$B$110,RUC!$D$3:$D$110)</f>
        <v>20610807004</v>
      </c>
      <c r="G105" s="141">
        <v>30.0</v>
      </c>
      <c r="H105" s="3" t="s">
        <v>339</v>
      </c>
      <c r="I105" s="6">
        <v>2.12</v>
      </c>
      <c r="J105" s="58">
        <v>18.5</v>
      </c>
      <c r="K105" s="6">
        <f t="shared" si="3"/>
        <v>1.728</v>
      </c>
      <c r="L105" s="60">
        <v>0.4</v>
      </c>
      <c r="M105" s="60">
        <f t="shared" si="44"/>
        <v>0.376</v>
      </c>
      <c r="N105" s="62">
        <f t="shared" si="41"/>
        <v>0.376</v>
      </c>
      <c r="O105" s="60">
        <f t="shared" si="37"/>
        <v>0.376</v>
      </c>
      <c r="P105" s="63">
        <v>90.0</v>
      </c>
      <c r="Q105" s="58">
        <v>95.5</v>
      </c>
      <c r="R105" s="65">
        <v>5033.65</v>
      </c>
      <c r="S105" s="66">
        <f t="array" ref="S105">IF((XLOOKUP(D105,RUC!$B$3:$B$106,RUC!$E$3:$E$106)+ROUNDDOWN(O105,1)*100)&lt;95,95,((XLOOKUP(D105,RUC!$B$3:$B$106,RUC!$E$3:$E$106)+ROUNDDOWN(O105,1)*100)))</f>
        <v>115</v>
      </c>
      <c r="U105" s="67">
        <f t="array" ref="U105">XLOOKUP(D105,RUC!$B$3:$B$110,RUC!$F$3:$F$110)</f>
        <v>120</v>
      </c>
      <c r="V105" s="67">
        <v>1.1023</v>
      </c>
      <c r="Y105" s="57">
        <f t="array" ref="Y105">XLOOKUP(D105,RUC!$B$3:$B$110,RUC!$G$3:$G$110)</f>
        <v>20</v>
      </c>
      <c r="Z105" s="69">
        <f t="array" ref="Z105">XLOOKUP(D105,RUC!$B$3:$B$110,RUC!$H$3:$H$110)</f>
        <v>30</v>
      </c>
      <c r="AA105" s="70">
        <f t="shared" si="7"/>
        <v>50</v>
      </c>
      <c r="AB105" s="71">
        <f t="shared" si="25"/>
        <v>1651.001968</v>
      </c>
      <c r="AC105" s="71">
        <f>+(S105-T105)*V105-'data 1'!$F$4</f>
        <v>46.7645</v>
      </c>
      <c r="AD105" s="71">
        <f t="shared" si="8"/>
        <v>119.1589607</v>
      </c>
      <c r="AE105" s="71">
        <f t="shared" si="9"/>
        <v>-14.885</v>
      </c>
      <c r="AF105" s="71">
        <f t="shared" si="10"/>
        <v>124.1419718</v>
      </c>
      <c r="AG105" s="72">
        <f t="shared" si="47"/>
        <v>292.1804325</v>
      </c>
      <c r="AH105" s="193">
        <f t="shared" si="11"/>
        <v>22.632</v>
      </c>
      <c r="AI105" s="193">
        <f t="shared" si="12"/>
        <v>23.698</v>
      </c>
      <c r="AJ105" s="73">
        <f t="shared" si="13"/>
        <v>-5.74772289</v>
      </c>
      <c r="AK105" s="73">
        <f t="shared" si="14"/>
        <v>20.04855895</v>
      </c>
      <c r="AM105" s="51">
        <f t="shared" si="15"/>
        <v>2852.931401</v>
      </c>
      <c r="AN105" s="51" t="str">
        <f t="array" ref="AN105">XLOOKUP(D105,RUC!$B$3:$B$565,RUC!$M$3:$M$565)</f>
        <v>Renzo</v>
      </c>
      <c r="AO105" s="131" t="s">
        <v>549</v>
      </c>
      <c r="AP105" s="57" t="s">
        <v>3405</v>
      </c>
      <c r="AQ105" s="57" t="s">
        <v>3406</v>
      </c>
    </row>
    <row r="106" ht="15.0" customHeight="1">
      <c r="A106" s="116" t="s">
        <v>3414</v>
      </c>
      <c r="B106" s="182">
        <v>46090.0</v>
      </c>
      <c r="C106" s="182">
        <v>46084.0</v>
      </c>
      <c r="D106" s="57" t="s">
        <v>852</v>
      </c>
      <c r="E106" s="3">
        <f t="array" ref="E106">XLOOKUP(D106,RUC!$B$3:$B$110,RUC!$D$3:$D$110)</f>
        <v>20610807004</v>
      </c>
      <c r="G106" s="141">
        <v>30.0</v>
      </c>
      <c r="H106" s="3" t="s">
        <v>47</v>
      </c>
      <c r="I106" s="6">
        <v>2.59</v>
      </c>
      <c r="J106" s="58">
        <v>13.3</v>
      </c>
      <c r="K106" s="6">
        <f t="shared" si="3"/>
        <v>2.246</v>
      </c>
      <c r="L106" s="60">
        <v>0.224</v>
      </c>
      <c r="M106" s="60">
        <f t="shared" si="44"/>
        <v>0.205</v>
      </c>
      <c r="N106" s="62">
        <f t="shared" si="41"/>
        <v>0.205</v>
      </c>
      <c r="O106" s="60">
        <f t="shared" si="37"/>
        <v>0.205</v>
      </c>
      <c r="P106" s="63">
        <v>90.0</v>
      </c>
      <c r="Q106" s="58">
        <v>94.64</v>
      </c>
      <c r="R106" s="65">
        <v>5033.65</v>
      </c>
      <c r="S106" s="66">
        <f t="array" ref="S106">IF((XLOOKUP(D106,RUC!$B$3:$B$106,RUC!$E$3:$E$106)+ROUNDDOWN(O106,1)*100)&lt;95,95,((XLOOKUP(D106,RUC!$B$3:$B$106,RUC!$E$3:$E$106)+ROUNDDOWN(O106,1)*100)))</f>
        <v>105</v>
      </c>
      <c r="U106" s="67">
        <f t="array" ref="U106">XLOOKUP(D106,RUC!$B$3:$B$110,RUC!$F$3:$F$110)</f>
        <v>120</v>
      </c>
      <c r="V106" s="67">
        <v>1.1023</v>
      </c>
      <c r="Y106" s="57">
        <f t="array" ref="Y106">XLOOKUP(D106,RUC!$B$3:$B$110,RUC!$G$3:$G$110)</f>
        <v>20</v>
      </c>
      <c r="Z106" s="69">
        <f t="array" ref="Z106">XLOOKUP(D106,RUC!$B$3:$B$110,RUC!$H$3:$H$110)</f>
        <v>30</v>
      </c>
      <c r="AA106" s="70">
        <f t="shared" si="7"/>
        <v>50</v>
      </c>
      <c r="AB106" s="71">
        <f t="shared" si="25"/>
        <v>828.4538749</v>
      </c>
      <c r="AC106" s="71">
        <f>+(S106-T106)*V106-'data 1'!$F$4</f>
        <v>35.7415</v>
      </c>
      <c r="AD106" s="71">
        <f t="shared" si="8"/>
        <v>56.29502608</v>
      </c>
      <c r="AE106" s="71">
        <f t="shared" si="9"/>
        <v>-14.885</v>
      </c>
      <c r="AF106" s="71">
        <f t="shared" si="10"/>
        <v>97.39403489</v>
      </c>
      <c r="AG106" s="72">
        <f t="shared" si="47"/>
        <v>191.545561</v>
      </c>
      <c r="AH106" s="193">
        <f t="shared" si="11"/>
        <v>16.325</v>
      </c>
      <c r="AI106" s="193">
        <f t="shared" si="12"/>
        <v>17.249</v>
      </c>
      <c r="AJ106" s="73">
        <f t="shared" si="13"/>
        <v>-3.189739443</v>
      </c>
      <c r="AK106" s="73">
        <f t="shared" si="14"/>
        <v>14.2074191</v>
      </c>
      <c r="AM106" s="51">
        <f t="shared" si="15"/>
        <v>1860.707403</v>
      </c>
      <c r="AN106" s="51" t="str">
        <f t="array" ref="AN106">XLOOKUP(D106,RUC!$B$3:$B$565,RUC!$M$3:$M$565)</f>
        <v>Renzo</v>
      </c>
      <c r="AO106" s="131" t="s">
        <v>549</v>
      </c>
      <c r="AP106" s="57" t="s">
        <v>3405</v>
      </c>
      <c r="AQ106" s="57" t="s">
        <v>3406</v>
      </c>
    </row>
    <row r="107" ht="15.0" customHeight="1">
      <c r="A107" s="116" t="s">
        <v>3415</v>
      </c>
      <c r="B107" s="182">
        <v>46090.0</v>
      </c>
      <c r="C107" s="182">
        <v>46084.0</v>
      </c>
      <c r="D107" s="57" t="s">
        <v>852</v>
      </c>
      <c r="E107" s="3">
        <f t="array" ref="E107">XLOOKUP(D107,RUC!$B$3:$B$110,RUC!$D$3:$D$110)</f>
        <v>20610807004</v>
      </c>
      <c r="G107" s="141">
        <v>25.0</v>
      </c>
      <c r="H107" s="3" t="s">
        <v>47</v>
      </c>
      <c r="I107" s="6">
        <v>2.13</v>
      </c>
      <c r="J107" s="58">
        <v>12.2</v>
      </c>
      <c r="K107" s="6">
        <f t="shared" si="3"/>
        <v>1.87</v>
      </c>
      <c r="L107" s="60">
        <v>0.328</v>
      </c>
      <c r="M107" s="60">
        <f t="shared" si="44"/>
        <v>0.308</v>
      </c>
      <c r="N107" s="62">
        <f t="shared" si="41"/>
        <v>0.308</v>
      </c>
      <c r="O107" s="60">
        <f t="shared" si="37"/>
        <v>0.308</v>
      </c>
      <c r="P107" s="63">
        <v>90.0</v>
      </c>
      <c r="Q107" s="58">
        <v>94.21</v>
      </c>
      <c r="R107" s="65">
        <v>5033.65</v>
      </c>
      <c r="S107" s="66">
        <f t="array" ref="S107">IF((XLOOKUP(D107,RUC!$B$3:$B$106,RUC!$E$3:$E$106)+ROUNDDOWN(O107,1)*100)&lt;95,95,((XLOOKUP(D107,RUC!$B$3:$B$106,RUC!$E$3:$E$106)+ROUNDDOWN(O107,1)*100)))</f>
        <v>115</v>
      </c>
      <c r="U107" s="67">
        <f t="array" ref="U107">XLOOKUP(D107,RUC!$B$3:$B$110,RUC!$F$3:$F$110)</f>
        <v>120</v>
      </c>
      <c r="V107" s="67">
        <v>1.1023</v>
      </c>
      <c r="Y107" s="57">
        <f t="array" ref="Y107">XLOOKUP(D107,RUC!$B$3:$B$110,RUC!$G$3:$G$110)</f>
        <v>20</v>
      </c>
      <c r="Z107" s="69">
        <f t="array" ref="Z107">XLOOKUP(D107,RUC!$B$3:$B$110,RUC!$H$3:$H$110)</f>
        <v>30</v>
      </c>
      <c r="AA107" s="70">
        <f t="shared" si="7"/>
        <v>50</v>
      </c>
      <c r="AB107" s="71">
        <f t="shared" si="25"/>
        <v>1319.523405</v>
      </c>
      <c r="AC107" s="71">
        <f>+(S107-T107)*V107-'data 1'!$F$4</f>
        <v>46.7645</v>
      </c>
      <c r="AD107" s="71">
        <f t="shared" si="8"/>
        <v>74.79282984</v>
      </c>
      <c r="AE107" s="71">
        <f t="shared" si="9"/>
        <v>-14.885</v>
      </c>
      <c r="AF107" s="71">
        <f t="shared" si="10"/>
        <v>102.0542335</v>
      </c>
      <c r="AG107" s="72">
        <f t="shared" si="47"/>
        <v>225.7265633</v>
      </c>
      <c r="AH107" s="193">
        <f t="shared" si="11"/>
        <v>19.812</v>
      </c>
      <c r="AI107" s="193">
        <f t="shared" si="12"/>
        <v>21.029</v>
      </c>
      <c r="AJ107" s="73">
        <f t="shared" si="13"/>
        <v>-4.649468463</v>
      </c>
      <c r="AK107" s="73">
        <f t="shared" si="14"/>
        <v>17.77231089</v>
      </c>
      <c r="AM107" s="51">
        <f t="shared" si="15"/>
        <v>2467.508767</v>
      </c>
      <c r="AN107" s="51" t="str">
        <f t="array" ref="AN107">XLOOKUP(D107,RUC!$B$3:$B$565,RUC!$M$3:$M$565)</f>
        <v>Renzo</v>
      </c>
      <c r="AO107" s="131" t="s">
        <v>549</v>
      </c>
      <c r="AP107" s="57" t="s">
        <v>3405</v>
      </c>
      <c r="AQ107" s="57" t="s">
        <v>3406</v>
      </c>
    </row>
    <row r="108" ht="15.0" customHeight="1">
      <c r="A108" s="116" t="s">
        <v>3416</v>
      </c>
      <c r="B108" s="182">
        <v>46090.0</v>
      </c>
      <c r="C108" s="182">
        <v>46084.0</v>
      </c>
      <c r="D108" s="57" t="s">
        <v>852</v>
      </c>
      <c r="E108" s="3">
        <f t="array" ref="E108">XLOOKUP(D108,RUC!$B$3:$B$110,RUC!$D$3:$D$110)</f>
        <v>20610807004</v>
      </c>
      <c r="G108" s="141">
        <v>25.0</v>
      </c>
      <c r="H108" s="3" t="s">
        <v>47</v>
      </c>
      <c r="I108" s="6">
        <v>2.22</v>
      </c>
      <c r="J108" s="58">
        <v>14.2</v>
      </c>
      <c r="K108" s="6">
        <f t="shared" si="3"/>
        <v>1.905</v>
      </c>
      <c r="L108" s="3">
        <v>0.299</v>
      </c>
      <c r="M108" s="60">
        <f t="shared" si="44"/>
        <v>0.28</v>
      </c>
      <c r="N108" s="62">
        <f t="shared" si="41"/>
        <v>0.28</v>
      </c>
      <c r="O108" s="60">
        <f t="shared" si="37"/>
        <v>0.28</v>
      </c>
      <c r="P108" s="63">
        <v>90.0</v>
      </c>
      <c r="Q108" s="58">
        <v>94.31</v>
      </c>
      <c r="R108" s="65">
        <v>5033.65</v>
      </c>
      <c r="S108" s="66">
        <f t="array" ref="S108">IF((XLOOKUP(D108,RUC!$B$3:$B$106,RUC!$E$3:$E$106)+ROUNDDOWN(O108,1)*100)&lt;95,95,((XLOOKUP(D108,RUC!$B$3:$B$106,RUC!$E$3:$E$106)+ROUNDDOWN(O108,1)*100)))</f>
        <v>105</v>
      </c>
      <c r="U108" s="67">
        <f t="array" ref="U108">XLOOKUP(D108,RUC!$B$3:$B$110,RUC!$F$3:$F$110)</f>
        <v>120</v>
      </c>
      <c r="V108" s="67">
        <v>1.1023</v>
      </c>
      <c r="Y108" s="57">
        <f t="array" ref="Y108">XLOOKUP(D108,RUC!$B$3:$B$110,RUC!$G$3:$G$110)</f>
        <v>20</v>
      </c>
      <c r="Z108" s="69">
        <f t="array" ref="Z108">XLOOKUP(D108,RUC!$B$3:$B$110,RUC!$H$3:$H$110)</f>
        <v>30</v>
      </c>
      <c r="AA108" s="70">
        <f t="shared" si="7"/>
        <v>50</v>
      </c>
      <c r="AB108" s="71">
        <f t="shared" si="25"/>
        <v>1194.055232</v>
      </c>
      <c r="AC108" s="71">
        <f>+(S108-T108)*V108-'data 1'!$F$4</f>
        <v>35.7415</v>
      </c>
      <c r="AD108" s="71">
        <f t="shared" si="8"/>
        <v>69.79952775</v>
      </c>
      <c r="AE108" s="71">
        <f t="shared" si="9"/>
        <v>-14.885</v>
      </c>
      <c r="AF108" s="71">
        <f t="shared" si="10"/>
        <v>97.05443185</v>
      </c>
      <c r="AG108" s="72">
        <f t="shared" si="47"/>
        <v>204.7104596</v>
      </c>
      <c r="AH108" s="193">
        <f t="shared" si="11"/>
        <v>18.418</v>
      </c>
      <c r="AI108" s="193">
        <f t="shared" si="12"/>
        <v>19.529</v>
      </c>
      <c r="AJ108" s="73">
        <f t="shared" si="13"/>
        <v>-4.242886282</v>
      </c>
      <c r="AK108" s="73">
        <f t="shared" si="14"/>
        <v>16.45904339</v>
      </c>
      <c r="AM108" s="51">
        <f t="shared" si="15"/>
        <v>2274.675216</v>
      </c>
      <c r="AN108" s="51" t="str">
        <f t="array" ref="AN108">XLOOKUP(D108,RUC!$B$3:$B$565,RUC!$M$3:$M$565)</f>
        <v>Renzo</v>
      </c>
      <c r="AO108" s="131" t="s">
        <v>549</v>
      </c>
      <c r="AP108" s="57" t="s">
        <v>3405</v>
      </c>
      <c r="AQ108" s="57" t="s">
        <v>3406</v>
      </c>
    </row>
    <row r="109" ht="15.0" customHeight="1">
      <c r="A109" s="116" t="s">
        <v>3417</v>
      </c>
      <c r="B109" s="182">
        <v>46090.0</v>
      </c>
      <c r="C109" s="182">
        <v>46084.0</v>
      </c>
      <c r="D109" s="57" t="s">
        <v>852</v>
      </c>
      <c r="E109" s="3">
        <f t="array" ref="E109">XLOOKUP(D109,RUC!$B$3:$B$110,RUC!$D$3:$D$110)</f>
        <v>20610807004</v>
      </c>
      <c r="G109" s="141">
        <v>25.0</v>
      </c>
      <c r="H109" s="3" t="s">
        <v>47</v>
      </c>
      <c r="I109" s="6">
        <v>2.21</v>
      </c>
      <c r="J109" s="58">
        <v>15.2</v>
      </c>
      <c r="K109" s="6">
        <f t="shared" si="3"/>
        <v>1.874</v>
      </c>
      <c r="L109" s="3">
        <v>0.364</v>
      </c>
      <c r="M109" s="60">
        <f t="shared" si="44"/>
        <v>0.342</v>
      </c>
      <c r="N109" s="62">
        <f t="shared" si="41"/>
        <v>0.342</v>
      </c>
      <c r="O109" s="60">
        <f t="shared" si="37"/>
        <v>0.342</v>
      </c>
      <c r="P109" s="63">
        <v>90.0</v>
      </c>
      <c r="Q109" s="58">
        <v>95.33</v>
      </c>
      <c r="R109" s="65">
        <v>5033.65</v>
      </c>
      <c r="S109" s="66">
        <f t="array" ref="S109">IF((XLOOKUP(D109,RUC!$B$3:$B$106,RUC!$E$3:$E$106)+ROUNDDOWN(O109,1)*100)&lt;95,95,((XLOOKUP(D109,RUC!$B$3:$B$106,RUC!$E$3:$E$106)+ROUNDDOWN(O109,1)*100)))</f>
        <v>115</v>
      </c>
      <c r="U109" s="67">
        <f t="array" ref="U109">XLOOKUP(D109,RUC!$B$3:$B$110,RUC!$F$3:$F$110)</f>
        <v>120</v>
      </c>
      <c r="V109" s="67">
        <v>1.1023</v>
      </c>
      <c r="Y109" s="57">
        <f t="array" ref="Y109">XLOOKUP(D109,RUC!$B$3:$B$110,RUC!$G$3:$G$110)</f>
        <v>20</v>
      </c>
      <c r="Z109" s="69">
        <f t="array" ref="Z109">XLOOKUP(D109,RUC!$B$3:$B$110,RUC!$H$3:$H$110)</f>
        <v>30</v>
      </c>
      <c r="AA109" s="70">
        <f t="shared" si="7"/>
        <v>50</v>
      </c>
      <c r="AB109" s="71">
        <f t="shared" si="25"/>
        <v>1485.262686</v>
      </c>
      <c r="AC109" s="71">
        <f>+(S109-T109)*V109-'data 1'!$F$4</f>
        <v>46.7645</v>
      </c>
      <c r="AD109" s="71">
        <f t="shared" si="8"/>
        <v>105.0830376</v>
      </c>
      <c r="AE109" s="71">
        <f t="shared" si="9"/>
        <v>-14.885</v>
      </c>
      <c r="AF109" s="71">
        <f t="shared" si="10"/>
        <v>113.5942372</v>
      </c>
      <c r="AG109" s="72">
        <f t="shared" si="47"/>
        <v>267.5567749</v>
      </c>
      <c r="AH109" s="193">
        <f t="shared" si="11"/>
        <v>22.295</v>
      </c>
      <c r="AI109" s="193">
        <f t="shared" si="12"/>
        <v>23.387</v>
      </c>
      <c r="AJ109" s="73">
        <f t="shared" si="13"/>
        <v>-5.221117121</v>
      </c>
      <c r="AK109" s="73">
        <f t="shared" si="14"/>
        <v>19.77640154</v>
      </c>
      <c r="AM109" s="51">
        <f t="shared" si="15"/>
        <v>2783.382274</v>
      </c>
      <c r="AN109" s="51" t="str">
        <f t="array" ref="AN109">XLOOKUP(D109,RUC!$B$3:$B$565,RUC!$M$3:$M$565)</f>
        <v>Renzo</v>
      </c>
      <c r="AO109" s="131" t="s">
        <v>549</v>
      </c>
      <c r="AP109" s="57" t="s">
        <v>3405</v>
      </c>
      <c r="AQ109" s="57" t="s">
        <v>3406</v>
      </c>
    </row>
    <row r="110" ht="15.75" customHeight="1">
      <c r="B110" s="182"/>
      <c r="C110" s="3"/>
      <c r="H110" s="3"/>
      <c r="AG110" s="91"/>
    </row>
    <row r="111" ht="15.75" customHeight="1">
      <c r="B111" s="182"/>
      <c r="C111" s="3"/>
      <c r="H111" s="3"/>
      <c r="AG111" s="91"/>
    </row>
    <row r="112" ht="15.75" customHeight="1">
      <c r="B112" s="182"/>
      <c r="C112" s="3"/>
      <c r="H112" s="3"/>
      <c r="AG112" s="91"/>
    </row>
    <row r="113" ht="15.75" customHeight="1">
      <c r="B113" s="182"/>
      <c r="C113" s="3"/>
      <c r="H113" s="3"/>
      <c r="AG113" s="91"/>
    </row>
    <row r="114" ht="15.75" customHeight="1">
      <c r="B114" s="182"/>
      <c r="C114" s="3"/>
      <c r="H114" s="3"/>
      <c r="AG114" s="91"/>
    </row>
    <row r="115" ht="15.75" customHeight="1">
      <c r="B115" s="182"/>
      <c r="C115" s="3"/>
      <c r="H115" s="3"/>
      <c r="AG115" s="91"/>
    </row>
    <row r="116" ht="15.75" customHeight="1">
      <c r="B116" s="182"/>
      <c r="C116" s="3"/>
      <c r="H116" s="3"/>
      <c r="AG116" s="91"/>
    </row>
    <row r="117" ht="15.75" customHeight="1">
      <c r="B117" s="182"/>
      <c r="C117" s="3"/>
      <c r="H117" s="3"/>
      <c r="AG117" s="91"/>
    </row>
    <row r="118" ht="15.75" customHeight="1">
      <c r="B118" s="182"/>
      <c r="C118" s="3"/>
      <c r="H118" s="3"/>
      <c r="AG118" s="91"/>
    </row>
    <row r="119" ht="15.75" customHeight="1">
      <c r="B119" s="182"/>
      <c r="C119" s="3"/>
      <c r="H119" s="3"/>
      <c r="AG119" s="91"/>
    </row>
    <row r="120" ht="15.75" customHeight="1">
      <c r="B120" s="182"/>
      <c r="C120" s="3"/>
      <c r="H120" s="3"/>
      <c r="AG120" s="91"/>
    </row>
    <row r="121" ht="15.75" customHeight="1">
      <c r="B121" s="182"/>
      <c r="C121" s="3"/>
      <c r="H121" s="3"/>
      <c r="AG121" s="91"/>
    </row>
    <row r="122" ht="15.75" customHeight="1">
      <c r="B122" s="182"/>
      <c r="C122" s="3"/>
      <c r="H122" s="3"/>
      <c r="AG122" s="91"/>
    </row>
    <row r="123" ht="15.75" customHeight="1">
      <c r="B123" s="182"/>
      <c r="C123" s="3"/>
      <c r="H123" s="3"/>
      <c r="AG123" s="91"/>
    </row>
    <row r="124" ht="15.75" customHeight="1">
      <c r="B124" s="182"/>
      <c r="C124" s="3"/>
      <c r="H124" s="3"/>
      <c r="AG124" s="91"/>
    </row>
    <row r="125" ht="15.75" customHeight="1">
      <c r="B125" s="182"/>
      <c r="C125" s="3"/>
      <c r="H125" s="3"/>
      <c r="AG125" s="91"/>
    </row>
    <row r="126" ht="15.75" customHeight="1">
      <c r="B126" s="182"/>
      <c r="C126" s="3"/>
      <c r="H126" s="3"/>
      <c r="AG126" s="91"/>
    </row>
    <row r="127" ht="15.75" customHeight="1">
      <c r="B127" s="182"/>
      <c r="C127" s="3"/>
      <c r="H127" s="3"/>
      <c r="AG127" s="91"/>
    </row>
    <row r="128" ht="15.75" customHeight="1">
      <c r="B128" s="182"/>
      <c r="C128" s="3"/>
      <c r="H128" s="3"/>
      <c r="AG128" s="91"/>
    </row>
    <row r="129" ht="15.75" customHeight="1">
      <c r="B129" s="182"/>
      <c r="C129" s="3"/>
      <c r="H129" s="3"/>
      <c r="AG129" s="91"/>
    </row>
    <row r="130" ht="15.75" customHeight="1">
      <c r="B130" s="182"/>
      <c r="C130" s="3"/>
      <c r="H130" s="3"/>
      <c r="AG130" s="91"/>
    </row>
    <row r="131" ht="15.75" customHeight="1">
      <c r="B131" s="182"/>
      <c r="C131" s="3"/>
      <c r="H131" s="3"/>
      <c r="AG131" s="91"/>
    </row>
    <row r="132" ht="15.75" customHeight="1">
      <c r="B132" s="182"/>
      <c r="C132" s="3"/>
      <c r="H132" s="3"/>
      <c r="AG132" s="91"/>
    </row>
    <row r="133" ht="15.75" customHeight="1">
      <c r="B133" s="182"/>
      <c r="C133" s="3"/>
      <c r="H133" s="3"/>
      <c r="AG133" s="91"/>
    </row>
    <row r="134" ht="15.75" customHeight="1">
      <c r="B134" s="182"/>
      <c r="C134" s="3"/>
      <c r="H134" s="3"/>
      <c r="AG134" s="91"/>
    </row>
    <row r="135" ht="15.75" customHeight="1">
      <c r="B135" s="182"/>
      <c r="C135" s="3"/>
      <c r="H135" s="3"/>
      <c r="AG135" s="91"/>
    </row>
    <row r="136" ht="15.75" customHeight="1">
      <c r="B136" s="182"/>
      <c r="C136" s="3"/>
      <c r="H136" s="3"/>
      <c r="AG136" s="91"/>
    </row>
    <row r="137" ht="15.75" customHeight="1">
      <c r="B137" s="182"/>
      <c r="C137" s="3"/>
      <c r="H137" s="3"/>
      <c r="AG137" s="91"/>
    </row>
    <row r="138" ht="15.75" customHeight="1">
      <c r="B138" s="182"/>
      <c r="C138" s="3"/>
      <c r="H138" s="3"/>
      <c r="AG138" s="91"/>
    </row>
    <row r="139" ht="15.75" customHeight="1">
      <c r="B139" s="182"/>
      <c r="C139" s="3"/>
      <c r="H139" s="3"/>
      <c r="AG139" s="91"/>
    </row>
    <row r="140" ht="15.75" customHeight="1">
      <c r="B140" s="182"/>
      <c r="C140" s="3"/>
      <c r="H140" s="3"/>
      <c r="AG140" s="91"/>
    </row>
    <row r="141" ht="15.75" customHeight="1">
      <c r="B141" s="182"/>
      <c r="C141" s="3"/>
      <c r="H141" s="3"/>
      <c r="AG141" s="91"/>
    </row>
    <row r="142" ht="15.75" customHeight="1">
      <c r="B142" s="182"/>
      <c r="C142" s="3"/>
      <c r="H142" s="3"/>
      <c r="AG142" s="91"/>
    </row>
    <row r="143" ht="15.75" customHeight="1">
      <c r="B143" s="182"/>
      <c r="C143" s="3"/>
      <c r="H143" s="3"/>
      <c r="AG143" s="91"/>
    </row>
    <row r="144" ht="15.75" customHeight="1">
      <c r="B144" s="182"/>
      <c r="C144" s="3"/>
      <c r="H144" s="3"/>
      <c r="AG144" s="91"/>
    </row>
    <row r="145" ht="15.75" customHeight="1">
      <c r="B145" s="182"/>
      <c r="C145" s="3"/>
      <c r="H145" s="3"/>
      <c r="AG145" s="91"/>
    </row>
    <row r="146" ht="15.75" customHeight="1">
      <c r="B146" s="182"/>
      <c r="C146" s="3"/>
      <c r="H146" s="3"/>
      <c r="AG146" s="91"/>
    </row>
    <row r="147" ht="15.75" customHeight="1">
      <c r="B147" s="182"/>
      <c r="C147" s="3"/>
      <c r="H147" s="3"/>
      <c r="AG147" s="91"/>
    </row>
    <row r="148" ht="15.75" customHeight="1">
      <c r="B148" s="182"/>
      <c r="C148" s="3"/>
      <c r="H148" s="3"/>
      <c r="AG148" s="91"/>
    </row>
    <row r="149" ht="15.75" customHeight="1">
      <c r="B149" s="182"/>
      <c r="C149" s="3"/>
      <c r="H149" s="3"/>
      <c r="AG149" s="91"/>
    </row>
    <row r="150" ht="15.75" customHeight="1">
      <c r="B150" s="182"/>
      <c r="C150" s="3"/>
      <c r="H150" s="3"/>
      <c r="AG150" s="91"/>
    </row>
    <row r="151" ht="15.75" customHeight="1">
      <c r="B151" s="182"/>
      <c r="C151" s="3"/>
      <c r="H151" s="3"/>
      <c r="AG151" s="91"/>
    </row>
    <row r="152" ht="15.75" customHeight="1">
      <c r="B152" s="182"/>
      <c r="C152" s="3"/>
      <c r="H152" s="3"/>
      <c r="AG152" s="91"/>
    </row>
    <row r="153" ht="15.75" customHeight="1">
      <c r="B153" s="182"/>
      <c r="C153" s="3"/>
      <c r="H153" s="3"/>
      <c r="AG153" s="91"/>
    </row>
    <row r="154" ht="15.75" customHeight="1">
      <c r="B154" s="182"/>
      <c r="C154" s="3"/>
      <c r="H154" s="3"/>
      <c r="AG154" s="91"/>
    </row>
    <row r="155" ht="15.75" customHeight="1">
      <c r="B155" s="182"/>
      <c r="C155" s="3"/>
      <c r="H155" s="3"/>
      <c r="AG155" s="91"/>
    </row>
    <row r="156" ht="15.75" customHeight="1">
      <c r="B156" s="182"/>
      <c r="C156" s="3"/>
      <c r="H156" s="3"/>
      <c r="AG156" s="91"/>
    </row>
    <row r="157" ht="15.75" customHeight="1">
      <c r="B157" s="182"/>
      <c r="C157" s="3"/>
      <c r="H157" s="3"/>
      <c r="AG157" s="91"/>
    </row>
    <row r="158" ht="15.75" customHeight="1">
      <c r="B158" s="182"/>
      <c r="C158" s="3"/>
      <c r="H158" s="3"/>
      <c r="AG158" s="91"/>
    </row>
    <row r="159" ht="15.75" customHeight="1">
      <c r="B159" s="182"/>
      <c r="C159" s="3"/>
      <c r="H159" s="3"/>
      <c r="AG159" s="91"/>
    </row>
    <row r="160" ht="15.75" customHeight="1">
      <c r="B160" s="182"/>
      <c r="C160" s="3"/>
      <c r="H160" s="3"/>
      <c r="AG160" s="91"/>
    </row>
    <row r="161" ht="15.75" customHeight="1">
      <c r="B161" s="182"/>
      <c r="C161" s="3"/>
      <c r="H161" s="3"/>
      <c r="AG161" s="91"/>
    </row>
    <row r="162" ht="15.75" customHeight="1">
      <c r="B162" s="182"/>
      <c r="C162" s="3"/>
      <c r="H162" s="3"/>
      <c r="AG162" s="91"/>
    </row>
    <row r="163" ht="15.75" customHeight="1">
      <c r="B163" s="182"/>
      <c r="C163" s="3"/>
      <c r="H163" s="3"/>
      <c r="AG163" s="91"/>
    </row>
    <row r="164" ht="15.75" customHeight="1">
      <c r="B164" s="182"/>
      <c r="C164" s="3"/>
      <c r="H164" s="3"/>
      <c r="AG164" s="91"/>
    </row>
    <row r="165" ht="15.75" customHeight="1">
      <c r="B165" s="182"/>
      <c r="C165" s="3"/>
      <c r="H165" s="3"/>
      <c r="AG165" s="91"/>
    </row>
    <row r="166" ht="15.75" customHeight="1">
      <c r="B166" s="182"/>
      <c r="C166" s="3"/>
      <c r="H166" s="3"/>
      <c r="AG166" s="91"/>
    </row>
    <row r="167" ht="15.75" customHeight="1">
      <c r="B167" s="182"/>
      <c r="C167" s="3"/>
      <c r="H167" s="3"/>
      <c r="AG167" s="91"/>
    </row>
    <row r="168" ht="15.75" customHeight="1">
      <c r="B168" s="182"/>
      <c r="C168" s="3"/>
      <c r="H168" s="3"/>
      <c r="AG168" s="91"/>
    </row>
    <row r="169" ht="15.75" customHeight="1">
      <c r="B169" s="182"/>
      <c r="C169" s="3"/>
      <c r="H169" s="3"/>
      <c r="AG169" s="91"/>
    </row>
    <row r="170" ht="15.75" customHeight="1">
      <c r="B170" s="182"/>
      <c r="C170" s="3"/>
      <c r="H170" s="3"/>
      <c r="AG170" s="91"/>
    </row>
    <row r="171" ht="15.75" customHeight="1">
      <c r="B171" s="182"/>
      <c r="C171" s="3"/>
      <c r="H171" s="3"/>
      <c r="AG171" s="91"/>
    </row>
    <row r="172" ht="15.75" customHeight="1">
      <c r="B172" s="182"/>
      <c r="C172" s="3"/>
      <c r="H172" s="3"/>
      <c r="AG172" s="91"/>
    </row>
    <row r="173" ht="15.75" customHeight="1">
      <c r="B173" s="182"/>
      <c r="C173" s="3"/>
      <c r="H173" s="3"/>
      <c r="AG173" s="91"/>
    </row>
    <row r="174" ht="15.75" customHeight="1">
      <c r="B174" s="182"/>
      <c r="C174" s="3"/>
      <c r="H174" s="3"/>
      <c r="AG174" s="91"/>
    </row>
    <row r="175" ht="15.75" customHeight="1">
      <c r="B175" s="182"/>
      <c r="C175" s="3"/>
      <c r="H175" s="3"/>
      <c r="AG175" s="91"/>
    </row>
    <row r="176" ht="15.75" customHeight="1">
      <c r="B176" s="182"/>
      <c r="C176" s="3"/>
      <c r="H176" s="3"/>
      <c r="AG176" s="91"/>
    </row>
    <row r="177" ht="15.75" customHeight="1">
      <c r="B177" s="182"/>
      <c r="C177" s="3"/>
      <c r="H177" s="3"/>
      <c r="AG177" s="91"/>
    </row>
    <row r="178" ht="15.75" customHeight="1">
      <c r="B178" s="182"/>
      <c r="C178" s="3"/>
      <c r="H178" s="3"/>
      <c r="AG178" s="91"/>
    </row>
    <row r="179" ht="15.75" customHeight="1">
      <c r="B179" s="182"/>
      <c r="C179" s="3"/>
      <c r="H179" s="3"/>
      <c r="AG179" s="91"/>
    </row>
    <row r="180" ht="15.75" customHeight="1">
      <c r="B180" s="182"/>
      <c r="C180" s="3"/>
      <c r="H180" s="3"/>
      <c r="AG180" s="91"/>
    </row>
    <row r="181" ht="15.75" customHeight="1">
      <c r="B181" s="182"/>
      <c r="C181" s="3"/>
      <c r="H181" s="3"/>
      <c r="AG181" s="91"/>
    </row>
    <row r="182" ht="15.75" customHeight="1">
      <c r="B182" s="182"/>
      <c r="C182" s="3"/>
      <c r="H182" s="3"/>
      <c r="AG182" s="91"/>
    </row>
    <row r="183" ht="15.75" customHeight="1">
      <c r="B183" s="182"/>
      <c r="C183" s="3"/>
      <c r="H183" s="3"/>
      <c r="AG183" s="91"/>
    </row>
    <row r="184" ht="15.75" customHeight="1">
      <c r="B184" s="182"/>
      <c r="C184" s="3"/>
      <c r="H184" s="3"/>
      <c r="AG184" s="91"/>
    </row>
    <row r="185" ht="15.75" customHeight="1">
      <c r="B185" s="182"/>
      <c r="C185" s="3"/>
      <c r="H185" s="3"/>
      <c r="AG185" s="91"/>
    </row>
    <row r="186" ht="15.75" customHeight="1">
      <c r="B186" s="182"/>
      <c r="C186" s="3"/>
      <c r="H186" s="3"/>
      <c r="AG186" s="91"/>
    </row>
    <row r="187" ht="15.75" customHeight="1">
      <c r="B187" s="182"/>
      <c r="C187" s="3"/>
      <c r="H187" s="3"/>
      <c r="AG187" s="91"/>
    </row>
    <row r="188" ht="15.75" customHeight="1">
      <c r="B188" s="182"/>
      <c r="C188" s="3"/>
      <c r="H188" s="3"/>
      <c r="AG188" s="91"/>
    </row>
    <row r="189" ht="15.75" customHeight="1">
      <c r="B189" s="182"/>
      <c r="C189" s="3"/>
      <c r="H189" s="3"/>
      <c r="AG189" s="91"/>
    </row>
    <row r="190" ht="15.75" customHeight="1">
      <c r="B190" s="182"/>
      <c r="C190" s="3"/>
      <c r="H190" s="3"/>
      <c r="AG190" s="91"/>
    </row>
    <row r="191" ht="15.75" customHeight="1">
      <c r="B191" s="182"/>
      <c r="C191" s="3"/>
      <c r="H191" s="3"/>
      <c r="AG191" s="91"/>
    </row>
    <row r="192" ht="15.75" customHeight="1">
      <c r="B192" s="182"/>
      <c r="C192" s="3"/>
      <c r="H192" s="3"/>
      <c r="AG192" s="91"/>
    </row>
    <row r="193" ht="15.75" customHeight="1">
      <c r="B193" s="182"/>
      <c r="C193" s="3"/>
      <c r="H193" s="3"/>
      <c r="AG193" s="91"/>
    </row>
    <row r="194" ht="15.75" customHeight="1">
      <c r="B194" s="182"/>
      <c r="C194" s="3"/>
      <c r="H194" s="3"/>
      <c r="AG194" s="91"/>
    </row>
    <row r="195" ht="15.75" customHeight="1">
      <c r="B195" s="182"/>
      <c r="C195" s="3"/>
      <c r="H195" s="3"/>
      <c r="AG195" s="91"/>
    </row>
    <row r="196" ht="15.75" customHeight="1">
      <c r="B196" s="182"/>
      <c r="C196" s="3"/>
      <c r="H196" s="3"/>
      <c r="AG196" s="91"/>
    </row>
    <row r="197" ht="15.75" customHeight="1">
      <c r="B197" s="182"/>
      <c r="C197" s="3"/>
      <c r="H197" s="3"/>
      <c r="AG197" s="91"/>
    </row>
    <row r="198" ht="15.75" customHeight="1">
      <c r="B198" s="182"/>
      <c r="C198" s="3"/>
      <c r="H198" s="3"/>
      <c r="AG198" s="91"/>
    </row>
    <row r="199" ht="15.75" customHeight="1">
      <c r="B199" s="182"/>
      <c r="C199" s="3"/>
      <c r="H199" s="3"/>
      <c r="AG199" s="91"/>
    </row>
    <row r="200" ht="15.75" customHeight="1">
      <c r="B200" s="182"/>
      <c r="C200" s="3"/>
      <c r="H200" s="3"/>
      <c r="AG200" s="91"/>
    </row>
    <row r="201" ht="15.75" customHeight="1">
      <c r="B201" s="182"/>
      <c r="C201" s="3"/>
      <c r="H201" s="3"/>
      <c r="AG201" s="91"/>
    </row>
    <row r="202" ht="15.75" customHeight="1">
      <c r="B202" s="182"/>
      <c r="C202" s="3"/>
      <c r="H202" s="3"/>
      <c r="AG202" s="91"/>
    </row>
    <row r="203" ht="15.75" customHeight="1">
      <c r="B203" s="182"/>
      <c r="C203" s="3"/>
      <c r="H203" s="3"/>
      <c r="AG203" s="91"/>
    </row>
    <row r="204" ht="15.75" customHeight="1">
      <c r="B204" s="182"/>
      <c r="C204" s="3"/>
      <c r="H204" s="3"/>
      <c r="AG204" s="91"/>
    </row>
    <row r="205" ht="15.75" customHeight="1">
      <c r="B205" s="182"/>
      <c r="C205" s="3"/>
      <c r="H205" s="3"/>
      <c r="AG205" s="91"/>
    </row>
    <row r="206" ht="15.75" customHeight="1">
      <c r="B206" s="182"/>
      <c r="C206" s="3"/>
      <c r="H206" s="3"/>
      <c r="AG206" s="91"/>
    </row>
    <row r="207" ht="15.75" customHeight="1">
      <c r="B207" s="182"/>
      <c r="C207" s="3"/>
      <c r="H207" s="3"/>
      <c r="AG207" s="91"/>
    </row>
    <row r="208" ht="15.75" customHeight="1">
      <c r="B208" s="182"/>
      <c r="C208" s="3"/>
      <c r="H208" s="3"/>
      <c r="AG208" s="91"/>
    </row>
    <row r="209" ht="15.75" customHeight="1">
      <c r="B209" s="182"/>
      <c r="C209" s="3"/>
      <c r="H209" s="3"/>
      <c r="AG209" s="91"/>
    </row>
    <row r="210" ht="15.75" customHeight="1">
      <c r="B210" s="182"/>
      <c r="C210" s="3"/>
      <c r="H210" s="3"/>
      <c r="AG210" s="91"/>
    </row>
    <row r="211" ht="15.75" customHeight="1">
      <c r="B211" s="182"/>
      <c r="C211" s="3"/>
      <c r="H211" s="3"/>
      <c r="AG211" s="91"/>
    </row>
    <row r="212" ht="15.75" customHeight="1">
      <c r="B212" s="182"/>
      <c r="C212" s="3"/>
      <c r="H212" s="3"/>
      <c r="AG212" s="91"/>
    </row>
    <row r="213" ht="15.75" customHeight="1">
      <c r="B213" s="182"/>
      <c r="C213" s="3"/>
      <c r="H213" s="3"/>
      <c r="AG213" s="91"/>
    </row>
    <row r="214" ht="15.75" customHeight="1">
      <c r="B214" s="182"/>
      <c r="C214" s="3"/>
      <c r="H214" s="3"/>
      <c r="AG214" s="91"/>
    </row>
    <row r="215" ht="15.75" customHeight="1">
      <c r="B215" s="182"/>
      <c r="C215" s="3"/>
      <c r="H215" s="3"/>
      <c r="AG215" s="91"/>
    </row>
    <row r="216" ht="15.75" customHeight="1">
      <c r="B216" s="182"/>
      <c r="C216" s="3"/>
      <c r="H216" s="3"/>
      <c r="AG216" s="91"/>
    </row>
    <row r="217" ht="15.75" customHeight="1">
      <c r="B217" s="182"/>
      <c r="C217" s="3"/>
      <c r="H217" s="3"/>
      <c r="AG217" s="91"/>
    </row>
    <row r="218" ht="15.75" customHeight="1">
      <c r="B218" s="182"/>
      <c r="C218" s="3"/>
      <c r="H218" s="3"/>
      <c r="AG218" s="91"/>
    </row>
    <row r="219" ht="15.75" customHeight="1">
      <c r="B219" s="182"/>
      <c r="C219" s="3"/>
      <c r="H219" s="3"/>
      <c r="AG219" s="91"/>
    </row>
    <row r="220" ht="15.75" customHeight="1">
      <c r="B220" s="182"/>
      <c r="C220" s="3"/>
      <c r="H220" s="3"/>
      <c r="AG220" s="91"/>
    </row>
    <row r="221" ht="15.75" customHeight="1">
      <c r="B221" s="182"/>
      <c r="C221" s="3"/>
      <c r="H221" s="3"/>
      <c r="AG221" s="91"/>
    </row>
    <row r="222" ht="15.75" customHeight="1">
      <c r="B222" s="182"/>
      <c r="C222" s="3"/>
      <c r="H222" s="3"/>
      <c r="AG222" s="91"/>
    </row>
    <row r="223" ht="15.75" customHeight="1">
      <c r="B223" s="182"/>
      <c r="C223" s="3"/>
      <c r="H223" s="3"/>
      <c r="AG223" s="91"/>
    </row>
    <row r="224" ht="15.75" customHeight="1">
      <c r="B224" s="182"/>
      <c r="C224" s="3"/>
      <c r="H224" s="3"/>
      <c r="AG224" s="91"/>
    </row>
    <row r="225" ht="15.75" customHeight="1">
      <c r="B225" s="182"/>
      <c r="C225" s="3"/>
      <c r="H225" s="3"/>
      <c r="AG225" s="91"/>
    </row>
    <row r="226" ht="15.75" customHeight="1">
      <c r="B226" s="182"/>
      <c r="C226" s="3"/>
      <c r="H226" s="3"/>
      <c r="AG226" s="91"/>
    </row>
    <row r="227" ht="15.75" customHeight="1">
      <c r="B227" s="182"/>
      <c r="C227" s="3"/>
      <c r="H227" s="3"/>
      <c r="AG227" s="91"/>
    </row>
    <row r="228" ht="15.75" customHeight="1">
      <c r="B228" s="182"/>
      <c r="C228" s="3"/>
      <c r="H228" s="3"/>
      <c r="AG228" s="91"/>
    </row>
    <row r="229" ht="15.75" customHeight="1">
      <c r="B229" s="182"/>
      <c r="C229" s="3"/>
      <c r="H229" s="3"/>
      <c r="AG229" s="91"/>
    </row>
    <row r="230" ht="15.75" customHeight="1">
      <c r="B230" s="182"/>
      <c r="C230" s="3"/>
      <c r="H230" s="3"/>
      <c r="AG230" s="91"/>
    </row>
    <row r="231" ht="15.75" customHeight="1">
      <c r="B231" s="182"/>
      <c r="C231" s="3"/>
      <c r="H231" s="3"/>
      <c r="AG231" s="91"/>
    </row>
    <row r="232" ht="15.75" customHeight="1">
      <c r="B232" s="182"/>
      <c r="C232" s="3"/>
      <c r="H232" s="3"/>
      <c r="AG232" s="91"/>
    </row>
    <row r="233" ht="15.75" customHeight="1">
      <c r="B233" s="182"/>
      <c r="C233" s="3"/>
      <c r="H233" s="3"/>
      <c r="AG233" s="91"/>
    </row>
    <row r="234" ht="15.75" customHeight="1">
      <c r="B234" s="182"/>
      <c r="C234" s="3"/>
      <c r="H234" s="3"/>
      <c r="AG234" s="91"/>
    </row>
    <row r="235" ht="15.75" customHeight="1">
      <c r="B235" s="182"/>
      <c r="C235" s="3"/>
      <c r="H235" s="3"/>
      <c r="AG235" s="91"/>
    </row>
    <row r="236" ht="15.75" customHeight="1">
      <c r="B236" s="182"/>
      <c r="C236" s="3"/>
      <c r="H236" s="3"/>
      <c r="AG236" s="91"/>
    </row>
    <row r="237" ht="15.75" customHeight="1">
      <c r="B237" s="182"/>
      <c r="C237" s="3"/>
      <c r="H237" s="3"/>
      <c r="AG237" s="91"/>
    </row>
    <row r="238" ht="15.75" customHeight="1">
      <c r="B238" s="182"/>
      <c r="C238" s="3"/>
      <c r="H238" s="3"/>
      <c r="AG238" s="91"/>
    </row>
    <row r="239" ht="15.75" customHeight="1">
      <c r="B239" s="182"/>
      <c r="C239" s="3"/>
      <c r="H239" s="3"/>
      <c r="AG239" s="91"/>
    </row>
    <row r="240" ht="15.75" customHeight="1">
      <c r="B240" s="182"/>
      <c r="C240" s="3"/>
      <c r="H240" s="3"/>
      <c r="AG240" s="91"/>
    </row>
    <row r="241" ht="15.75" customHeight="1">
      <c r="B241" s="182"/>
      <c r="C241" s="3"/>
      <c r="H241" s="3"/>
      <c r="AG241" s="91"/>
    </row>
    <row r="242" ht="15.75" customHeight="1">
      <c r="B242" s="182"/>
      <c r="C242" s="3"/>
      <c r="H242" s="3"/>
      <c r="AG242" s="91"/>
    </row>
    <row r="243" ht="15.75" customHeight="1">
      <c r="B243" s="182"/>
      <c r="C243" s="3"/>
      <c r="H243" s="3"/>
      <c r="AG243" s="91"/>
    </row>
    <row r="244" ht="15.75" customHeight="1">
      <c r="B244" s="182"/>
      <c r="C244" s="3"/>
      <c r="H244" s="3"/>
      <c r="AG244" s="91"/>
    </row>
    <row r="245" ht="15.75" customHeight="1">
      <c r="B245" s="182"/>
      <c r="C245" s="3"/>
      <c r="H245" s="3"/>
      <c r="AG245" s="91"/>
    </row>
    <row r="246" ht="15.75" customHeight="1">
      <c r="B246" s="182"/>
      <c r="C246" s="3"/>
      <c r="H246" s="3"/>
      <c r="AG246" s="91"/>
    </row>
    <row r="247" ht="15.75" customHeight="1">
      <c r="B247" s="182"/>
      <c r="C247" s="3"/>
      <c r="H247" s="3"/>
      <c r="AG247" s="91"/>
    </row>
    <row r="248" ht="15.75" customHeight="1">
      <c r="B248" s="182"/>
      <c r="C248" s="3"/>
      <c r="H248" s="3"/>
      <c r="AG248" s="91"/>
    </row>
    <row r="249" ht="15.75" customHeight="1">
      <c r="B249" s="182"/>
      <c r="C249" s="3"/>
      <c r="H249" s="3"/>
      <c r="AG249" s="91"/>
    </row>
    <row r="250" ht="15.75" customHeight="1">
      <c r="B250" s="182"/>
      <c r="C250" s="3"/>
      <c r="H250" s="3"/>
      <c r="AG250" s="91"/>
    </row>
    <row r="251" ht="15.75" customHeight="1">
      <c r="B251" s="182"/>
      <c r="C251" s="3"/>
      <c r="H251" s="3"/>
      <c r="AG251" s="91"/>
    </row>
    <row r="252" ht="15.75" customHeight="1">
      <c r="B252" s="182"/>
      <c r="C252" s="3"/>
      <c r="H252" s="3"/>
      <c r="AG252" s="91"/>
    </row>
    <row r="253" ht="15.75" customHeight="1">
      <c r="B253" s="182"/>
      <c r="C253" s="3"/>
      <c r="H253" s="3"/>
      <c r="AG253" s="91"/>
    </row>
    <row r="254" ht="15.75" customHeight="1">
      <c r="B254" s="182"/>
      <c r="C254" s="3"/>
      <c r="H254" s="3"/>
      <c r="AG254" s="91"/>
    </row>
    <row r="255" ht="15.75" customHeight="1">
      <c r="B255" s="182"/>
      <c r="C255" s="3"/>
      <c r="H255" s="3"/>
      <c r="AG255" s="91"/>
    </row>
    <row r="256" ht="15.75" customHeight="1">
      <c r="B256" s="182"/>
      <c r="C256" s="3"/>
      <c r="H256" s="3"/>
      <c r="AG256" s="91"/>
    </row>
    <row r="257" ht="15.75" customHeight="1">
      <c r="B257" s="182"/>
      <c r="C257" s="3"/>
      <c r="H257" s="3"/>
      <c r="AG257" s="91"/>
    </row>
    <row r="258" ht="15.75" customHeight="1">
      <c r="B258" s="182"/>
      <c r="C258" s="3"/>
      <c r="H258" s="3"/>
      <c r="AG258" s="91"/>
    </row>
    <row r="259" ht="15.75" customHeight="1">
      <c r="B259" s="182"/>
      <c r="C259" s="3"/>
      <c r="H259" s="3"/>
      <c r="AG259" s="91"/>
    </row>
    <row r="260" ht="15.75" customHeight="1">
      <c r="B260" s="182"/>
      <c r="C260" s="3"/>
      <c r="H260" s="3"/>
      <c r="AG260" s="91"/>
    </row>
    <row r="261" ht="15.75" customHeight="1">
      <c r="B261" s="182"/>
      <c r="C261" s="3"/>
      <c r="H261" s="3"/>
      <c r="AG261" s="91"/>
    </row>
    <row r="262" ht="15.75" customHeight="1">
      <c r="B262" s="182"/>
      <c r="C262" s="3"/>
      <c r="H262" s="3"/>
      <c r="AG262" s="91"/>
    </row>
    <row r="263" ht="15.75" customHeight="1">
      <c r="B263" s="182"/>
      <c r="C263" s="3"/>
      <c r="H263" s="3"/>
      <c r="AG263" s="91"/>
    </row>
    <row r="264" ht="15.75" customHeight="1">
      <c r="B264" s="182"/>
      <c r="C264" s="3"/>
      <c r="H264" s="3"/>
      <c r="AG264" s="91"/>
    </row>
    <row r="265" ht="15.75" customHeight="1">
      <c r="B265" s="182"/>
      <c r="C265" s="3"/>
      <c r="H265" s="3"/>
      <c r="AG265" s="91"/>
    </row>
    <row r="266" ht="15.75" customHeight="1">
      <c r="B266" s="182"/>
      <c r="C266" s="3"/>
      <c r="H266" s="3"/>
      <c r="AG266" s="91"/>
    </row>
    <row r="267" ht="15.75" customHeight="1">
      <c r="B267" s="182"/>
      <c r="C267" s="3"/>
      <c r="H267" s="3"/>
      <c r="AG267" s="91"/>
    </row>
    <row r="268" ht="15.75" customHeight="1">
      <c r="B268" s="182"/>
      <c r="C268" s="3"/>
      <c r="H268" s="3"/>
      <c r="AG268" s="91"/>
    </row>
    <row r="269" ht="15.75" customHeight="1">
      <c r="B269" s="182"/>
      <c r="C269" s="3"/>
      <c r="H269" s="3"/>
      <c r="AG269" s="91"/>
    </row>
    <row r="270" ht="15.75" customHeight="1">
      <c r="B270" s="182"/>
      <c r="C270" s="3"/>
      <c r="H270" s="3"/>
      <c r="AG270" s="91"/>
    </row>
    <row r="271" ht="15.75" customHeight="1">
      <c r="B271" s="182"/>
      <c r="C271" s="3"/>
      <c r="H271" s="3"/>
      <c r="AG271" s="91"/>
    </row>
    <row r="272" ht="15.75" customHeight="1">
      <c r="B272" s="182"/>
      <c r="C272" s="3"/>
      <c r="H272" s="3"/>
      <c r="AG272" s="91"/>
    </row>
    <row r="273" ht="15.75" customHeight="1">
      <c r="B273" s="182"/>
      <c r="C273" s="3"/>
      <c r="H273" s="3"/>
      <c r="AG273" s="91"/>
    </row>
    <row r="274" ht="15.75" customHeight="1">
      <c r="B274" s="182"/>
      <c r="C274" s="3"/>
      <c r="H274" s="3"/>
      <c r="AG274" s="91"/>
    </row>
    <row r="275" ht="15.75" customHeight="1">
      <c r="B275" s="182"/>
      <c r="C275" s="3"/>
      <c r="H275" s="3"/>
      <c r="AG275" s="91"/>
    </row>
    <row r="276" ht="15.75" customHeight="1">
      <c r="B276" s="182"/>
      <c r="C276" s="3"/>
      <c r="H276" s="3"/>
      <c r="AG276" s="91"/>
    </row>
    <row r="277" ht="15.75" customHeight="1">
      <c r="B277" s="182"/>
      <c r="C277" s="3"/>
      <c r="H277" s="3"/>
      <c r="AG277" s="91"/>
    </row>
    <row r="278" ht="15.75" customHeight="1">
      <c r="B278" s="182"/>
      <c r="C278" s="3"/>
      <c r="H278" s="3"/>
      <c r="AG278" s="91"/>
    </row>
    <row r="279" ht="15.75" customHeight="1">
      <c r="B279" s="182"/>
      <c r="C279" s="3"/>
      <c r="H279" s="3"/>
      <c r="AG279" s="91"/>
    </row>
    <row r="280" ht="15.75" customHeight="1">
      <c r="B280" s="182"/>
      <c r="C280" s="3"/>
      <c r="H280" s="3"/>
      <c r="AG280" s="91"/>
    </row>
    <row r="281" ht="15.75" customHeight="1">
      <c r="B281" s="182"/>
      <c r="C281" s="3"/>
      <c r="H281" s="3"/>
      <c r="AG281" s="91"/>
    </row>
    <row r="282" ht="15.75" customHeight="1">
      <c r="B282" s="182"/>
      <c r="C282" s="3"/>
      <c r="H282" s="3"/>
      <c r="AG282" s="91"/>
    </row>
    <row r="283" ht="15.75" customHeight="1">
      <c r="B283" s="182"/>
      <c r="C283" s="3"/>
      <c r="H283" s="3"/>
      <c r="AG283" s="91"/>
    </row>
    <row r="284" ht="15.75" customHeight="1">
      <c r="B284" s="182"/>
      <c r="C284" s="3"/>
      <c r="H284" s="3"/>
      <c r="AG284" s="91"/>
    </row>
    <row r="285" ht="15.75" customHeight="1">
      <c r="B285" s="182"/>
      <c r="C285" s="3"/>
      <c r="H285" s="3"/>
      <c r="AG285" s="91"/>
    </row>
    <row r="286" ht="15.75" customHeight="1">
      <c r="B286" s="182"/>
      <c r="C286" s="3"/>
      <c r="H286" s="3"/>
      <c r="AG286" s="91"/>
    </row>
    <row r="287" ht="15.75" customHeight="1">
      <c r="B287" s="182"/>
      <c r="C287" s="3"/>
      <c r="H287" s="3"/>
      <c r="AG287" s="91"/>
    </row>
    <row r="288" ht="15.75" customHeight="1">
      <c r="B288" s="182"/>
      <c r="C288" s="3"/>
      <c r="H288" s="3"/>
      <c r="AG288" s="91"/>
    </row>
    <row r="289" ht="15.75" customHeight="1">
      <c r="B289" s="182"/>
      <c r="C289" s="3"/>
      <c r="H289" s="3"/>
      <c r="AG289" s="91"/>
    </row>
    <row r="290" ht="15.75" customHeight="1">
      <c r="B290" s="182"/>
      <c r="C290" s="3"/>
      <c r="H290" s="3"/>
      <c r="AG290" s="91"/>
    </row>
    <row r="291" ht="15.75" customHeight="1">
      <c r="B291" s="182"/>
      <c r="C291" s="3"/>
      <c r="H291" s="3"/>
      <c r="AG291" s="91"/>
    </row>
    <row r="292" ht="15.75" customHeight="1">
      <c r="B292" s="182"/>
      <c r="C292" s="3"/>
      <c r="H292" s="3"/>
      <c r="AG292" s="91"/>
    </row>
    <row r="293" ht="15.75" customHeight="1">
      <c r="B293" s="182"/>
      <c r="C293" s="3"/>
      <c r="H293" s="3"/>
      <c r="AG293" s="91"/>
    </row>
    <row r="294" ht="15.75" customHeight="1">
      <c r="B294" s="182"/>
      <c r="C294" s="3"/>
      <c r="H294" s="3"/>
      <c r="AG294" s="91"/>
    </row>
    <row r="295" ht="15.75" customHeight="1">
      <c r="B295" s="182"/>
      <c r="C295" s="3"/>
      <c r="H295" s="3"/>
      <c r="AG295" s="91"/>
    </row>
    <row r="296" ht="15.75" customHeight="1">
      <c r="B296" s="182"/>
      <c r="C296" s="3"/>
      <c r="H296" s="3"/>
      <c r="AG296" s="91"/>
    </row>
    <row r="297" ht="15.75" customHeight="1">
      <c r="B297" s="182"/>
      <c r="C297" s="3"/>
      <c r="H297" s="3"/>
      <c r="AG297" s="91"/>
    </row>
    <row r="298" ht="15.75" customHeight="1">
      <c r="B298" s="182"/>
      <c r="C298" s="3"/>
      <c r="H298" s="3"/>
      <c r="AG298" s="91"/>
    </row>
    <row r="299" ht="15.75" customHeight="1">
      <c r="B299" s="182"/>
      <c r="C299" s="3"/>
      <c r="H299" s="3"/>
      <c r="AG299" s="91"/>
    </row>
    <row r="300" ht="15.75" customHeight="1">
      <c r="B300" s="182"/>
      <c r="C300" s="3"/>
      <c r="H300" s="3"/>
      <c r="AG300" s="91"/>
    </row>
    <row r="301" ht="15.75" customHeight="1">
      <c r="B301" s="182"/>
      <c r="C301" s="3"/>
      <c r="H301" s="3"/>
      <c r="AG301" s="91"/>
    </row>
    <row r="302" ht="15.75" customHeight="1">
      <c r="B302" s="182"/>
      <c r="C302" s="3"/>
      <c r="H302" s="3"/>
      <c r="AG302" s="91"/>
    </row>
    <row r="303" ht="15.75" customHeight="1">
      <c r="B303" s="182"/>
      <c r="C303" s="3"/>
      <c r="H303" s="3"/>
      <c r="AG303" s="91"/>
    </row>
    <row r="304" ht="15.75" customHeight="1">
      <c r="B304" s="182"/>
      <c r="C304" s="3"/>
      <c r="H304" s="3"/>
      <c r="AG304" s="91"/>
    </row>
    <row r="305" ht="15.75" customHeight="1">
      <c r="B305" s="182"/>
      <c r="C305" s="3"/>
      <c r="H305" s="3"/>
      <c r="AG305" s="91"/>
    </row>
    <row r="306" ht="15.75" customHeight="1">
      <c r="B306" s="182"/>
      <c r="C306" s="3"/>
      <c r="H306" s="3"/>
      <c r="AG306" s="91"/>
    </row>
    <row r="307" ht="15.75" customHeight="1">
      <c r="B307" s="182"/>
      <c r="C307" s="3"/>
      <c r="H307" s="3"/>
      <c r="AG307" s="91"/>
    </row>
    <row r="308" ht="15.75" customHeight="1">
      <c r="B308" s="182"/>
      <c r="C308" s="3"/>
      <c r="H308" s="3"/>
      <c r="AG308" s="91"/>
    </row>
    <row r="309" ht="15.75" customHeight="1">
      <c r="B309" s="182"/>
      <c r="C309" s="3"/>
      <c r="H309" s="3"/>
      <c r="AG309" s="91"/>
    </row>
    <row r="310" ht="15.75" customHeight="1">
      <c r="B310" s="182"/>
      <c r="C310" s="3"/>
      <c r="H310" s="3"/>
      <c r="AG310" s="91"/>
    </row>
    <row r="311" ht="15.75" customHeight="1">
      <c r="B311" s="182"/>
      <c r="C311" s="3"/>
      <c r="H311" s="3"/>
      <c r="AG311" s="91"/>
    </row>
    <row r="312" ht="15.75" customHeight="1">
      <c r="B312" s="182"/>
      <c r="C312" s="3"/>
      <c r="H312" s="3"/>
      <c r="AG312" s="91"/>
    </row>
    <row r="313" ht="15.75" customHeight="1">
      <c r="B313" s="182"/>
      <c r="C313" s="3"/>
      <c r="H313" s="3"/>
      <c r="AG313" s="91"/>
    </row>
    <row r="314" ht="15.75" customHeight="1">
      <c r="B314" s="182"/>
      <c r="C314" s="3"/>
      <c r="H314" s="3"/>
      <c r="AG314" s="91"/>
    </row>
    <row r="315" ht="15.75" customHeight="1">
      <c r="B315" s="182"/>
      <c r="C315" s="3"/>
      <c r="H315" s="3"/>
      <c r="AG315" s="91"/>
    </row>
    <row r="316" ht="15.75" customHeight="1">
      <c r="B316" s="182"/>
      <c r="C316" s="3"/>
      <c r="H316" s="3"/>
      <c r="AG316" s="91"/>
    </row>
    <row r="317" ht="15.75" customHeight="1">
      <c r="B317" s="182"/>
      <c r="C317" s="3"/>
      <c r="H317" s="3"/>
      <c r="AG317" s="91"/>
    </row>
    <row r="318" ht="15.75" customHeight="1">
      <c r="B318" s="182"/>
      <c r="C318" s="3"/>
      <c r="H318" s="3"/>
      <c r="AG318" s="91"/>
    </row>
    <row r="319" ht="15.75" customHeight="1">
      <c r="B319" s="182"/>
      <c r="C319" s="3"/>
      <c r="H319" s="3"/>
      <c r="AG319" s="91"/>
    </row>
    <row r="320" ht="15.75" customHeight="1">
      <c r="B320" s="182"/>
      <c r="C320" s="3"/>
      <c r="H320" s="3"/>
      <c r="AG320" s="91"/>
    </row>
    <row r="321" ht="15.75" customHeight="1">
      <c r="B321" s="182"/>
      <c r="C321" s="3"/>
      <c r="H321" s="3"/>
      <c r="AG321" s="91"/>
    </row>
    <row r="322" ht="15.75" customHeight="1">
      <c r="B322" s="182"/>
      <c r="C322" s="3"/>
      <c r="H322" s="3"/>
      <c r="AG322" s="91"/>
    </row>
    <row r="323" ht="15.75" customHeight="1">
      <c r="B323" s="182"/>
      <c r="C323" s="3"/>
      <c r="H323" s="3"/>
      <c r="AG323" s="91"/>
    </row>
    <row r="324" ht="15.75" customHeight="1">
      <c r="B324" s="182"/>
      <c r="C324" s="3"/>
      <c r="H324" s="3"/>
      <c r="AG324" s="91"/>
    </row>
    <row r="325" ht="15.75" customHeight="1">
      <c r="B325" s="182"/>
      <c r="C325" s="3"/>
      <c r="H325" s="3"/>
      <c r="AG325" s="91"/>
    </row>
    <row r="326" ht="15.75" customHeight="1">
      <c r="B326" s="182"/>
      <c r="C326" s="3"/>
      <c r="H326" s="3"/>
      <c r="AG326" s="91"/>
    </row>
    <row r="327" ht="15.75" customHeight="1">
      <c r="B327" s="182"/>
      <c r="C327" s="3"/>
      <c r="H327" s="3"/>
      <c r="AG327" s="91"/>
    </row>
    <row r="328" ht="15.75" customHeight="1">
      <c r="B328" s="182"/>
      <c r="C328" s="3"/>
      <c r="H328" s="3"/>
      <c r="AG328" s="91"/>
    </row>
    <row r="329" ht="15.75" customHeight="1">
      <c r="B329" s="182"/>
      <c r="C329" s="3"/>
      <c r="H329" s="3"/>
      <c r="AG329" s="91"/>
    </row>
    <row r="330" ht="15.75" customHeight="1">
      <c r="B330" s="182"/>
      <c r="C330" s="3"/>
      <c r="H330" s="3"/>
      <c r="AG330" s="91"/>
    </row>
    <row r="331" ht="15.75" customHeight="1">
      <c r="B331" s="182"/>
      <c r="C331" s="3"/>
      <c r="H331" s="3"/>
      <c r="AG331" s="91"/>
    </row>
    <row r="332" ht="15.75" customHeight="1">
      <c r="B332" s="182"/>
      <c r="C332" s="3"/>
      <c r="H332" s="3"/>
      <c r="AG332" s="91"/>
    </row>
    <row r="333" ht="15.75" customHeight="1">
      <c r="B333" s="182"/>
      <c r="C333" s="3"/>
      <c r="H333" s="3"/>
      <c r="AG333" s="91"/>
    </row>
    <row r="334" ht="15.75" customHeight="1">
      <c r="B334" s="182"/>
      <c r="C334" s="3"/>
      <c r="H334" s="3"/>
      <c r="AG334" s="91"/>
    </row>
    <row r="335" ht="15.75" customHeight="1">
      <c r="B335" s="182"/>
      <c r="C335" s="3"/>
      <c r="H335" s="3"/>
      <c r="AG335" s="91"/>
    </row>
    <row r="336" ht="15.75" customHeight="1">
      <c r="B336" s="182"/>
      <c r="C336" s="3"/>
      <c r="H336" s="3"/>
      <c r="AG336" s="91"/>
    </row>
    <row r="337" ht="15.75" customHeight="1">
      <c r="B337" s="182"/>
      <c r="C337" s="3"/>
      <c r="H337" s="3"/>
      <c r="AG337" s="91"/>
    </row>
    <row r="338" ht="15.75" customHeight="1">
      <c r="B338" s="182"/>
      <c r="C338" s="3"/>
      <c r="H338" s="3"/>
      <c r="AG338" s="91"/>
    </row>
    <row r="339" ht="15.75" customHeight="1">
      <c r="B339" s="182"/>
      <c r="C339" s="3"/>
      <c r="H339" s="3"/>
      <c r="AG339" s="91"/>
    </row>
    <row r="340" ht="15.75" customHeight="1">
      <c r="B340" s="182"/>
      <c r="C340" s="3"/>
      <c r="H340" s="3"/>
      <c r="AG340" s="91"/>
    </row>
    <row r="341" ht="15.75" customHeight="1">
      <c r="B341" s="182"/>
      <c r="C341" s="3"/>
      <c r="H341" s="3"/>
      <c r="AG341" s="91"/>
    </row>
    <row r="342" ht="15.75" customHeight="1">
      <c r="B342" s="182"/>
      <c r="C342" s="3"/>
      <c r="H342" s="3"/>
      <c r="AG342" s="91"/>
    </row>
    <row r="343" ht="15.75" customHeight="1">
      <c r="B343" s="182"/>
      <c r="C343" s="3"/>
      <c r="H343" s="3"/>
      <c r="AG343" s="91"/>
    </row>
    <row r="344" ht="15.75" customHeight="1">
      <c r="B344" s="182"/>
      <c r="C344" s="3"/>
      <c r="H344" s="3"/>
      <c r="AG344" s="91"/>
    </row>
    <row r="345" ht="15.75" customHeight="1">
      <c r="B345" s="182"/>
      <c r="C345" s="3"/>
      <c r="H345" s="3"/>
      <c r="AG345" s="91"/>
    </row>
    <row r="346" ht="15.75" customHeight="1">
      <c r="B346" s="182"/>
      <c r="C346" s="3"/>
      <c r="H346" s="3"/>
      <c r="AG346" s="91"/>
    </row>
    <row r="347" ht="15.75" customHeight="1">
      <c r="B347" s="182"/>
      <c r="C347" s="3"/>
      <c r="H347" s="3"/>
      <c r="AG347" s="91"/>
    </row>
    <row r="348" ht="15.75" customHeight="1">
      <c r="B348" s="182"/>
      <c r="C348" s="3"/>
      <c r="H348" s="3"/>
      <c r="AG348" s="91"/>
    </row>
    <row r="349" ht="15.75" customHeight="1">
      <c r="B349" s="182"/>
      <c r="C349" s="3"/>
      <c r="H349" s="3"/>
      <c r="AG349" s="91"/>
    </row>
    <row r="350" ht="15.75" customHeight="1">
      <c r="B350" s="182"/>
      <c r="C350" s="3"/>
      <c r="H350" s="3"/>
      <c r="AG350" s="91"/>
    </row>
    <row r="351" ht="15.75" customHeight="1">
      <c r="B351" s="182"/>
      <c r="C351" s="3"/>
      <c r="H351" s="3"/>
      <c r="AG351" s="91"/>
    </row>
    <row r="352" ht="15.75" customHeight="1">
      <c r="B352" s="182"/>
      <c r="C352" s="3"/>
      <c r="H352" s="3"/>
      <c r="AG352" s="91"/>
    </row>
    <row r="353" ht="15.75" customHeight="1">
      <c r="B353" s="182"/>
      <c r="C353" s="3"/>
      <c r="H353" s="3"/>
      <c r="AG353" s="91"/>
    </row>
    <row r="354" ht="15.75" customHeight="1">
      <c r="B354" s="182"/>
      <c r="C354" s="3"/>
      <c r="H354" s="3"/>
      <c r="AG354" s="91"/>
    </row>
    <row r="355" ht="15.75" customHeight="1">
      <c r="B355" s="182"/>
      <c r="C355" s="3"/>
      <c r="H355" s="3"/>
      <c r="AG355" s="91"/>
    </row>
    <row r="356" ht="15.75" customHeight="1">
      <c r="B356" s="182"/>
      <c r="C356" s="3"/>
      <c r="H356" s="3"/>
      <c r="AG356" s="91"/>
    </row>
    <row r="357" ht="15.75" customHeight="1">
      <c r="B357" s="182"/>
      <c r="C357" s="3"/>
      <c r="H357" s="3"/>
      <c r="AG357" s="91"/>
    </row>
    <row r="358" ht="15.75" customHeight="1">
      <c r="B358" s="182"/>
      <c r="C358" s="3"/>
      <c r="H358" s="3"/>
      <c r="AG358" s="91"/>
    </row>
    <row r="359" ht="15.75" customHeight="1">
      <c r="B359" s="182"/>
      <c r="C359" s="3"/>
      <c r="H359" s="3"/>
      <c r="AG359" s="91"/>
    </row>
    <row r="360" ht="15.75" customHeight="1">
      <c r="B360" s="182"/>
      <c r="C360" s="3"/>
      <c r="H360" s="3"/>
      <c r="AG360" s="91"/>
    </row>
    <row r="361" ht="15.75" customHeight="1">
      <c r="B361" s="182"/>
      <c r="C361" s="3"/>
      <c r="H361" s="3"/>
      <c r="AG361" s="91"/>
    </row>
    <row r="362" ht="15.75" customHeight="1">
      <c r="B362" s="182"/>
      <c r="C362" s="3"/>
      <c r="H362" s="3"/>
      <c r="AG362" s="91"/>
    </row>
    <row r="363" ht="15.75" customHeight="1">
      <c r="B363" s="182"/>
      <c r="C363" s="3"/>
      <c r="H363" s="3"/>
      <c r="AG363" s="91"/>
    </row>
    <row r="364" ht="15.75" customHeight="1">
      <c r="B364" s="182"/>
      <c r="C364" s="3"/>
      <c r="H364" s="3"/>
      <c r="AG364" s="91"/>
    </row>
    <row r="365" ht="15.75" customHeight="1">
      <c r="B365" s="182"/>
      <c r="C365" s="3"/>
      <c r="H365" s="3"/>
      <c r="AG365" s="91"/>
    </row>
    <row r="366" ht="15.75" customHeight="1">
      <c r="B366" s="182"/>
      <c r="C366" s="3"/>
      <c r="H366" s="3"/>
      <c r="AG366" s="91"/>
    </row>
    <row r="367" ht="15.75" customHeight="1">
      <c r="B367" s="182"/>
      <c r="C367" s="3"/>
      <c r="H367" s="3"/>
      <c r="AG367" s="91"/>
    </row>
    <row r="368" ht="15.75" customHeight="1">
      <c r="B368" s="182"/>
      <c r="C368" s="3"/>
      <c r="H368" s="3"/>
      <c r="AG368" s="91"/>
    </row>
    <row r="369" ht="15.75" customHeight="1">
      <c r="B369" s="182"/>
      <c r="C369" s="3"/>
      <c r="H369" s="3"/>
      <c r="AG369" s="91"/>
    </row>
    <row r="370" ht="15.75" customHeight="1">
      <c r="B370" s="182"/>
      <c r="C370" s="3"/>
      <c r="H370" s="3"/>
      <c r="AG370" s="91"/>
    </row>
    <row r="371" ht="15.75" customHeight="1">
      <c r="B371" s="182"/>
      <c r="C371" s="3"/>
      <c r="H371" s="3"/>
      <c r="AG371" s="91"/>
    </row>
    <row r="372" ht="15.75" customHeight="1">
      <c r="B372" s="182"/>
      <c r="C372" s="3"/>
      <c r="H372" s="3"/>
      <c r="AG372" s="91"/>
    </row>
    <row r="373" ht="15.75" customHeight="1">
      <c r="B373" s="182"/>
      <c r="C373" s="3"/>
      <c r="H373" s="3"/>
      <c r="AG373" s="91"/>
    </row>
    <row r="374" ht="15.75" customHeight="1">
      <c r="B374" s="182"/>
      <c r="C374" s="3"/>
      <c r="H374" s="3"/>
      <c r="AG374" s="91"/>
    </row>
    <row r="375" ht="15.75" customHeight="1">
      <c r="B375" s="182"/>
      <c r="C375" s="3"/>
      <c r="H375" s="3"/>
      <c r="AG375" s="91"/>
    </row>
    <row r="376" ht="15.75" customHeight="1">
      <c r="B376" s="182"/>
      <c r="C376" s="3"/>
      <c r="H376" s="3"/>
      <c r="AG376" s="91"/>
    </row>
    <row r="377" ht="15.75" customHeight="1">
      <c r="B377" s="182"/>
      <c r="C377" s="3"/>
      <c r="H377" s="3"/>
      <c r="AG377" s="91"/>
    </row>
    <row r="378" ht="15.75" customHeight="1">
      <c r="B378" s="182"/>
      <c r="C378" s="3"/>
      <c r="H378" s="3"/>
      <c r="AG378" s="91"/>
    </row>
    <row r="379" ht="15.75" customHeight="1">
      <c r="B379" s="182"/>
      <c r="C379" s="3"/>
      <c r="H379" s="3"/>
      <c r="AG379" s="91"/>
    </row>
    <row r="380" ht="15.75" customHeight="1">
      <c r="B380" s="182"/>
      <c r="C380" s="3"/>
      <c r="H380" s="3"/>
      <c r="AG380" s="91"/>
    </row>
    <row r="381" ht="15.75" customHeight="1">
      <c r="B381" s="182"/>
      <c r="C381" s="3"/>
      <c r="H381" s="3"/>
      <c r="AG381" s="91"/>
    </row>
    <row r="382" ht="15.75" customHeight="1">
      <c r="B382" s="182"/>
      <c r="C382" s="3"/>
      <c r="H382" s="3"/>
      <c r="AG382" s="91"/>
    </row>
    <row r="383" ht="15.75" customHeight="1">
      <c r="B383" s="182"/>
      <c r="C383" s="3"/>
      <c r="H383" s="3"/>
      <c r="AG383" s="91"/>
    </row>
    <row r="384" ht="15.75" customHeight="1">
      <c r="B384" s="182"/>
      <c r="C384" s="3"/>
      <c r="H384" s="3"/>
      <c r="AG384" s="91"/>
    </row>
    <row r="385" ht="15.75" customHeight="1">
      <c r="B385" s="182"/>
      <c r="C385" s="3"/>
      <c r="H385" s="3"/>
      <c r="AG385" s="91"/>
    </row>
    <row r="386" ht="15.75" customHeight="1">
      <c r="B386" s="182"/>
      <c r="C386" s="3"/>
      <c r="H386" s="3"/>
      <c r="AG386" s="91"/>
    </row>
    <row r="387" ht="15.75" customHeight="1">
      <c r="B387" s="182"/>
      <c r="C387" s="3"/>
      <c r="H387" s="3"/>
      <c r="AG387" s="91"/>
    </row>
    <row r="388" ht="15.75" customHeight="1">
      <c r="B388" s="182"/>
      <c r="C388" s="3"/>
      <c r="H388" s="3"/>
      <c r="AG388" s="91"/>
    </row>
    <row r="389" ht="15.75" customHeight="1">
      <c r="B389" s="182"/>
      <c r="C389" s="3"/>
      <c r="H389" s="3"/>
      <c r="AG389" s="91"/>
    </row>
    <row r="390" ht="15.75" customHeight="1">
      <c r="B390" s="182"/>
      <c r="C390" s="3"/>
      <c r="H390" s="3"/>
      <c r="AG390" s="91"/>
    </row>
    <row r="391" ht="15.75" customHeight="1">
      <c r="B391" s="182"/>
      <c r="C391" s="3"/>
      <c r="H391" s="3"/>
      <c r="AG391" s="91"/>
    </row>
    <row r="392" ht="15.75" customHeight="1">
      <c r="B392" s="182"/>
      <c r="C392" s="3"/>
      <c r="H392" s="3"/>
      <c r="AG392" s="91"/>
    </row>
    <row r="393" ht="15.75" customHeight="1">
      <c r="B393" s="182"/>
      <c r="C393" s="3"/>
      <c r="H393" s="3"/>
      <c r="AG393" s="91"/>
    </row>
    <row r="394" ht="15.75" customHeight="1">
      <c r="B394" s="182"/>
      <c r="C394" s="3"/>
      <c r="H394" s="3"/>
      <c r="AG394" s="91"/>
    </row>
    <row r="395" ht="15.75" customHeight="1">
      <c r="B395" s="182"/>
      <c r="C395" s="3"/>
      <c r="H395" s="3"/>
      <c r="AG395" s="91"/>
    </row>
    <row r="396" ht="15.75" customHeight="1">
      <c r="B396" s="182"/>
      <c r="C396" s="3"/>
      <c r="H396" s="3"/>
      <c r="AG396" s="91"/>
    </row>
    <row r="397" ht="15.75" customHeight="1">
      <c r="B397" s="182"/>
      <c r="C397" s="3"/>
      <c r="H397" s="3"/>
      <c r="AG397" s="91"/>
    </row>
    <row r="398" ht="15.75" customHeight="1">
      <c r="B398" s="182"/>
      <c r="C398" s="3"/>
      <c r="H398" s="3"/>
      <c r="AG398" s="91"/>
    </row>
    <row r="399" ht="15.75" customHeight="1">
      <c r="B399" s="182"/>
      <c r="C399" s="3"/>
      <c r="H399" s="3"/>
      <c r="AG399" s="91"/>
    </row>
    <row r="400" ht="15.75" customHeight="1">
      <c r="B400" s="182"/>
      <c r="C400" s="3"/>
      <c r="H400" s="3"/>
      <c r="AG400" s="91"/>
    </row>
    <row r="401" ht="15.75" customHeight="1">
      <c r="B401" s="182"/>
      <c r="C401" s="3"/>
      <c r="H401" s="3"/>
      <c r="AG401" s="91"/>
    </row>
    <row r="402" ht="15.75" customHeight="1">
      <c r="B402" s="182"/>
      <c r="C402" s="3"/>
      <c r="H402" s="3"/>
      <c r="AG402" s="91"/>
    </row>
    <row r="403" ht="15.75" customHeight="1">
      <c r="B403" s="182"/>
      <c r="C403" s="3"/>
      <c r="H403" s="3"/>
      <c r="AG403" s="91"/>
    </row>
    <row r="404" ht="15.75" customHeight="1">
      <c r="B404" s="182"/>
      <c r="C404" s="3"/>
      <c r="H404" s="3"/>
      <c r="AG404" s="91"/>
    </row>
    <row r="405" ht="15.75" customHeight="1">
      <c r="B405" s="182"/>
      <c r="C405" s="3"/>
      <c r="H405" s="3"/>
      <c r="AG405" s="91"/>
    </row>
    <row r="406" ht="15.75" customHeight="1">
      <c r="B406" s="182"/>
      <c r="C406" s="3"/>
      <c r="H406" s="3"/>
      <c r="AG406" s="91"/>
    </row>
    <row r="407" ht="15.75" customHeight="1">
      <c r="B407" s="182"/>
      <c r="C407" s="3"/>
      <c r="H407" s="3"/>
      <c r="AG407" s="91"/>
    </row>
    <row r="408" ht="15.75" customHeight="1">
      <c r="B408" s="182"/>
      <c r="C408" s="3"/>
      <c r="H408" s="3"/>
      <c r="AG408" s="91"/>
    </row>
    <row r="409" ht="15.75" customHeight="1">
      <c r="B409" s="182"/>
      <c r="C409" s="3"/>
      <c r="H409" s="3"/>
      <c r="AG409" s="91"/>
    </row>
    <row r="410" ht="15.75" customHeight="1">
      <c r="B410" s="182"/>
      <c r="C410" s="3"/>
      <c r="H410" s="3"/>
      <c r="AG410" s="91"/>
    </row>
    <row r="411" ht="15.75" customHeight="1">
      <c r="B411" s="182"/>
      <c r="C411" s="3"/>
      <c r="H411" s="3"/>
      <c r="AG411" s="91"/>
    </row>
    <row r="412" ht="15.75" customHeight="1">
      <c r="B412" s="182"/>
      <c r="C412" s="3"/>
      <c r="H412" s="3"/>
      <c r="AG412" s="91"/>
    </row>
    <row r="413" ht="15.75" customHeight="1">
      <c r="B413" s="182"/>
      <c r="C413" s="3"/>
      <c r="H413" s="3"/>
      <c r="AG413" s="91"/>
    </row>
    <row r="414" ht="15.75" customHeight="1">
      <c r="B414" s="182"/>
      <c r="C414" s="3"/>
      <c r="H414" s="3"/>
      <c r="AG414" s="91"/>
    </row>
    <row r="415" ht="15.75" customHeight="1">
      <c r="B415" s="182"/>
      <c r="C415" s="3"/>
      <c r="H415" s="3"/>
      <c r="AG415" s="91"/>
    </row>
    <row r="416" ht="15.75" customHeight="1">
      <c r="B416" s="182"/>
      <c r="C416" s="3"/>
      <c r="H416" s="3"/>
      <c r="AG416" s="91"/>
    </row>
    <row r="417" ht="15.75" customHeight="1">
      <c r="B417" s="182"/>
      <c r="C417" s="3"/>
      <c r="H417" s="3"/>
      <c r="AG417" s="91"/>
    </row>
    <row r="418" ht="15.75" customHeight="1">
      <c r="B418" s="182"/>
      <c r="C418" s="3"/>
      <c r="H418" s="3"/>
      <c r="AG418" s="91"/>
    </row>
    <row r="419" ht="15.75" customHeight="1">
      <c r="B419" s="182"/>
      <c r="C419" s="3"/>
      <c r="H419" s="3"/>
      <c r="AG419" s="91"/>
    </row>
    <row r="420" ht="15.75" customHeight="1">
      <c r="B420" s="182"/>
      <c r="C420" s="3"/>
      <c r="H420" s="3"/>
      <c r="AG420" s="91"/>
    </row>
    <row r="421" ht="15.75" customHeight="1">
      <c r="B421" s="182"/>
      <c r="C421" s="3"/>
      <c r="H421" s="3"/>
      <c r="AG421" s="91"/>
    </row>
    <row r="422" ht="15.75" customHeight="1">
      <c r="B422" s="182"/>
      <c r="C422" s="3"/>
      <c r="H422" s="3"/>
      <c r="AG422" s="91"/>
    </row>
    <row r="423" ht="15.75" customHeight="1">
      <c r="B423" s="182"/>
      <c r="C423" s="3"/>
      <c r="H423" s="3"/>
      <c r="AG423" s="91"/>
    </row>
    <row r="424" ht="15.75" customHeight="1">
      <c r="B424" s="182"/>
      <c r="C424" s="3"/>
      <c r="H424" s="3"/>
      <c r="AG424" s="91"/>
    </row>
    <row r="425" ht="15.75" customHeight="1">
      <c r="B425" s="182"/>
      <c r="C425" s="3"/>
      <c r="H425" s="3"/>
      <c r="AG425" s="91"/>
    </row>
    <row r="426" ht="15.75" customHeight="1">
      <c r="B426" s="182"/>
      <c r="C426" s="3"/>
      <c r="H426" s="3"/>
      <c r="AG426" s="91"/>
    </row>
    <row r="427" ht="15.75" customHeight="1">
      <c r="B427" s="182"/>
      <c r="C427" s="3"/>
      <c r="H427" s="3"/>
      <c r="AG427" s="91"/>
    </row>
    <row r="428" ht="15.75" customHeight="1">
      <c r="B428" s="182"/>
      <c r="C428" s="3"/>
      <c r="H428" s="3"/>
      <c r="AG428" s="91"/>
    </row>
    <row r="429" ht="15.75" customHeight="1">
      <c r="B429" s="182"/>
      <c r="C429" s="3"/>
      <c r="H429" s="3"/>
      <c r="AG429" s="91"/>
    </row>
    <row r="430" ht="15.75" customHeight="1">
      <c r="B430" s="182"/>
      <c r="C430" s="3"/>
      <c r="H430" s="3"/>
      <c r="AG430" s="91"/>
    </row>
    <row r="431" ht="15.75" customHeight="1">
      <c r="B431" s="182"/>
      <c r="C431" s="3"/>
      <c r="H431" s="3"/>
      <c r="AG431" s="91"/>
    </row>
    <row r="432" ht="15.75" customHeight="1">
      <c r="B432" s="182"/>
      <c r="C432" s="3"/>
      <c r="H432" s="3"/>
      <c r="AG432" s="91"/>
    </row>
    <row r="433" ht="15.75" customHeight="1">
      <c r="B433" s="182"/>
      <c r="C433" s="3"/>
      <c r="H433" s="3"/>
      <c r="AG433" s="91"/>
    </row>
    <row r="434" ht="15.75" customHeight="1">
      <c r="B434" s="182"/>
      <c r="C434" s="3"/>
      <c r="H434" s="3"/>
      <c r="AG434" s="91"/>
    </row>
    <row r="435" ht="15.75" customHeight="1">
      <c r="B435" s="182"/>
      <c r="C435" s="3"/>
      <c r="H435" s="3"/>
      <c r="AG435" s="91"/>
    </row>
    <row r="436" ht="15.75" customHeight="1">
      <c r="B436" s="182"/>
      <c r="C436" s="3"/>
      <c r="H436" s="3"/>
      <c r="AG436" s="91"/>
    </row>
    <row r="437" ht="15.75" customHeight="1">
      <c r="B437" s="182"/>
      <c r="C437" s="3"/>
      <c r="H437" s="3"/>
      <c r="AG437" s="91"/>
    </row>
    <row r="438" ht="15.75" customHeight="1">
      <c r="B438" s="182"/>
      <c r="C438" s="3"/>
      <c r="H438" s="3"/>
      <c r="AG438" s="91"/>
    </row>
    <row r="439" ht="15.75" customHeight="1">
      <c r="B439" s="182"/>
      <c r="C439" s="3"/>
      <c r="H439" s="3"/>
      <c r="AG439" s="91"/>
    </row>
    <row r="440" ht="15.75" customHeight="1">
      <c r="B440" s="182"/>
      <c r="C440" s="3"/>
      <c r="H440" s="3"/>
      <c r="AG440" s="91"/>
    </row>
    <row r="441" ht="15.75" customHeight="1">
      <c r="B441" s="182"/>
      <c r="C441" s="3"/>
      <c r="H441" s="3"/>
      <c r="AG441" s="91"/>
    </row>
    <row r="442" ht="15.75" customHeight="1">
      <c r="B442" s="182"/>
      <c r="C442" s="3"/>
      <c r="H442" s="3"/>
      <c r="AG442" s="91"/>
    </row>
    <row r="443" ht="15.75" customHeight="1">
      <c r="B443" s="182"/>
      <c r="C443" s="3"/>
      <c r="H443" s="3"/>
      <c r="AG443" s="91"/>
    </row>
    <row r="444" ht="15.75" customHeight="1">
      <c r="B444" s="182"/>
      <c r="C444" s="3"/>
      <c r="H444" s="3"/>
      <c r="AG444" s="91"/>
    </row>
    <row r="445" ht="15.75" customHeight="1">
      <c r="B445" s="182"/>
      <c r="C445" s="3"/>
      <c r="H445" s="3"/>
      <c r="AG445" s="91"/>
    </row>
    <row r="446" ht="15.75" customHeight="1">
      <c r="B446" s="182"/>
      <c r="C446" s="3"/>
      <c r="H446" s="3"/>
      <c r="AG446" s="91"/>
    </row>
    <row r="447" ht="15.75" customHeight="1">
      <c r="B447" s="182"/>
      <c r="C447" s="3"/>
      <c r="H447" s="3"/>
      <c r="AG447" s="91"/>
    </row>
    <row r="448" ht="15.75" customHeight="1">
      <c r="B448" s="182"/>
      <c r="C448" s="3"/>
      <c r="H448" s="3"/>
      <c r="AG448" s="91"/>
    </row>
    <row r="449" ht="15.75" customHeight="1">
      <c r="B449" s="182"/>
      <c r="C449" s="3"/>
      <c r="H449" s="3"/>
      <c r="AG449" s="91"/>
    </row>
    <row r="450" ht="15.75" customHeight="1">
      <c r="B450" s="182"/>
      <c r="C450" s="3"/>
      <c r="H450" s="3"/>
      <c r="AG450" s="91"/>
    </row>
    <row r="451" ht="15.75" customHeight="1">
      <c r="B451" s="182"/>
      <c r="C451" s="3"/>
      <c r="H451" s="3"/>
      <c r="AG451" s="91"/>
    </row>
    <row r="452" ht="15.75" customHeight="1">
      <c r="B452" s="182"/>
      <c r="C452" s="3"/>
      <c r="H452" s="3"/>
      <c r="AG452" s="91"/>
    </row>
    <row r="453" ht="15.75" customHeight="1">
      <c r="B453" s="182"/>
      <c r="C453" s="3"/>
      <c r="H453" s="3"/>
      <c r="AG453" s="91"/>
    </row>
    <row r="454" ht="15.75" customHeight="1">
      <c r="B454" s="182"/>
      <c r="C454" s="3"/>
      <c r="H454" s="3"/>
      <c r="AG454" s="91"/>
    </row>
    <row r="455" ht="15.75" customHeight="1">
      <c r="B455" s="182"/>
      <c r="C455" s="3"/>
      <c r="H455" s="3"/>
      <c r="AG455" s="91"/>
    </row>
    <row r="456" ht="15.75" customHeight="1">
      <c r="B456" s="182"/>
      <c r="C456" s="3"/>
      <c r="H456" s="3"/>
      <c r="AG456" s="91"/>
    </row>
    <row r="457" ht="15.75" customHeight="1">
      <c r="B457" s="182"/>
      <c r="C457" s="3"/>
      <c r="H457" s="3"/>
      <c r="AG457" s="91"/>
    </row>
    <row r="458" ht="15.75" customHeight="1">
      <c r="B458" s="182"/>
      <c r="C458" s="3"/>
      <c r="H458" s="3"/>
      <c r="AG458" s="91"/>
    </row>
    <row r="459" ht="15.75" customHeight="1">
      <c r="B459" s="182"/>
      <c r="C459" s="3"/>
      <c r="H459" s="3"/>
      <c r="AG459" s="91"/>
    </row>
    <row r="460" ht="15.75" customHeight="1">
      <c r="B460" s="182"/>
      <c r="C460" s="3"/>
      <c r="H460" s="3"/>
      <c r="AG460" s="91"/>
    </row>
    <row r="461" ht="15.75" customHeight="1">
      <c r="B461" s="182"/>
      <c r="C461" s="3"/>
      <c r="H461" s="3"/>
      <c r="AG461" s="91"/>
    </row>
    <row r="462" ht="15.75" customHeight="1">
      <c r="B462" s="182"/>
      <c r="C462" s="3"/>
      <c r="H462" s="3"/>
      <c r="AG462" s="91"/>
    </row>
    <row r="463" ht="15.75" customHeight="1">
      <c r="B463" s="182"/>
      <c r="C463" s="3"/>
      <c r="H463" s="3"/>
      <c r="AG463" s="91"/>
    </row>
    <row r="464" ht="15.75" customHeight="1">
      <c r="B464" s="182"/>
      <c r="C464" s="3"/>
      <c r="H464" s="3"/>
      <c r="AG464" s="91"/>
    </row>
    <row r="465" ht="15.75" customHeight="1">
      <c r="B465" s="182"/>
      <c r="C465" s="3"/>
      <c r="H465" s="3"/>
      <c r="AG465" s="91"/>
    </row>
    <row r="466" ht="15.75" customHeight="1">
      <c r="B466" s="182"/>
      <c r="C466" s="3"/>
      <c r="H466" s="3"/>
      <c r="AG466" s="91"/>
    </row>
    <row r="467" ht="15.75" customHeight="1">
      <c r="B467" s="182"/>
      <c r="C467" s="3"/>
      <c r="H467" s="3"/>
      <c r="AG467" s="91"/>
    </row>
    <row r="468" ht="15.75" customHeight="1">
      <c r="B468" s="182"/>
      <c r="C468" s="3"/>
      <c r="H468" s="3"/>
      <c r="AG468" s="91"/>
    </row>
    <row r="469" ht="15.75" customHeight="1">
      <c r="B469" s="182"/>
      <c r="C469" s="3"/>
      <c r="H469" s="3"/>
      <c r="AG469" s="91"/>
    </row>
    <row r="470" ht="15.75" customHeight="1">
      <c r="B470" s="182"/>
      <c r="C470" s="3"/>
      <c r="H470" s="3"/>
      <c r="AG470" s="91"/>
    </row>
    <row r="471" ht="15.75" customHeight="1">
      <c r="B471" s="182"/>
      <c r="C471" s="3"/>
      <c r="H471" s="3"/>
      <c r="AG471" s="91"/>
    </row>
    <row r="472" ht="15.75" customHeight="1">
      <c r="B472" s="182"/>
      <c r="C472" s="3"/>
      <c r="H472" s="3"/>
      <c r="AG472" s="91"/>
    </row>
    <row r="473" ht="15.75" customHeight="1">
      <c r="B473" s="182"/>
      <c r="C473" s="3"/>
      <c r="H473" s="3"/>
      <c r="AG473" s="91"/>
    </row>
    <row r="474" ht="15.75" customHeight="1">
      <c r="B474" s="182"/>
      <c r="C474" s="3"/>
      <c r="H474" s="3"/>
      <c r="AG474" s="91"/>
    </row>
    <row r="475" ht="15.75" customHeight="1">
      <c r="B475" s="182"/>
      <c r="C475" s="3"/>
      <c r="H475" s="3"/>
      <c r="AG475" s="91"/>
    </row>
    <row r="476" ht="15.75" customHeight="1">
      <c r="B476" s="182"/>
      <c r="C476" s="3"/>
      <c r="H476" s="3"/>
      <c r="AG476" s="91"/>
    </row>
    <row r="477" ht="15.75" customHeight="1">
      <c r="B477" s="182"/>
      <c r="C477" s="3"/>
      <c r="H477" s="3"/>
      <c r="AG477" s="91"/>
    </row>
    <row r="478" ht="15.75" customHeight="1">
      <c r="B478" s="182"/>
      <c r="C478" s="3"/>
      <c r="H478" s="3"/>
      <c r="AG478" s="91"/>
    </row>
    <row r="479" ht="15.75" customHeight="1">
      <c r="B479" s="182"/>
      <c r="C479" s="3"/>
      <c r="H479" s="3"/>
      <c r="AG479" s="91"/>
    </row>
    <row r="480" ht="15.75" customHeight="1">
      <c r="B480" s="182"/>
      <c r="C480" s="3"/>
      <c r="H480" s="3"/>
      <c r="AG480" s="91"/>
    </row>
    <row r="481" ht="15.75" customHeight="1">
      <c r="B481" s="182"/>
      <c r="C481" s="3"/>
      <c r="H481" s="3"/>
      <c r="AG481" s="91"/>
    </row>
    <row r="482" ht="15.75" customHeight="1">
      <c r="B482" s="182"/>
      <c r="C482" s="3"/>
      <c r="H482" s="3"/>
      <c r="AG482" s="91"/>
    </row>
    <row r="483" ht="15.75" customHeight="1">
      <c r="B483" s="182"/>
      <c r="C483" s="3"/>
      <c r="H483" s="3"/>
      <c r="AG483" s="91"/>
    </row>
    <row r="484" ht="15.75" customHeight="1">
      <c r="B484" s="182"/>
      <c r="C484" s="3"/>
      <c r="H484" s="3"/>
      <c r="AG484" s="91"/>
    </row>
    <row r="485" ht="15.75" customHeight="1">
      <c r="B485" s="182"/>
      <c r="C485" s="3"/>
      <c r="H485" s="3"/>
      <c r="AG485" s="91"/>
    </row>
    <row r="486" ht="15.75" customHeight="1">
      <c r="B486" s="182"/>
      <c r="C486" s="3"/>
      <c r="H486" s="3"/>
      <c r="AG486" s="91"/>
    </row>
    <row r="487" ht="15.75" customHeight="1">
      <c r="B487" s="182"/>
      <c r="C487" s="3"/>
      <c r="H487" s="3"/>
      <c r="AG487" s="91"/>
    </row>
    <row r="488" ht="15.75" customHeight="1">
      <c r="B488" s="182"/>
      <c r="C488" s="3"/>
      <c r="H488" s="3"/>
      <c r="AG488" s="91"/>
    </row>
    <row r="489" ht="15.75" customHeight="1">
      <c r="B489" s="182"/>
      <c r="C489" s="3"/>
      <c r="H489" s="3"/>
      <c r="AG489" s="91"/>
    </row>
    <row r="490" ht="15.75" customHeight="1">
      <c r="B490" s="182"/>
      <c r="C490" s="3"/>
      <c r="H490" s="3"/>
      <c r="AG490" s="91"/>
    </row>
    <row r="491" ht="15.75" customHeight="1">
      <c r="B491" s="182"/>
      <c r="C491" s="3"/>
      <c r="H491" s="3"/>
      <c r="AG491" s="91"/>
    </row>
    <row r="492" ht="15.75" customHeight="1">
      <c r="B492" s="182"/>
      <c r="C492" s="3"/>
      <c r="H492" s="3"/>
      <c r="AG492" s="91"/>
    </row>
    <row r="493" ht="15.75" customHeight="1">
      <c r="B493" s="182"/>
      <c r="C493" s="3"/>
      <c r="H493" s="3"/>
      <c r="AG493" s="91"/>
    </row>
    <row r="494" ht="15.75" customHeight="1">
      <c r="B494" s="182"/>
      <c r="C494" s="3"/>
      <c r="H494" s="3"/>
      <c r="AG494" s="91"/>
    </row>
    <row r="495" ht="15.75" customHeight="1">
      <c r="B495" s="182"/>
      <c r="C495" s="3"/>
      <c r="H495" s="3"/>
      <c r="AG495" s="91"/>
    </row>
    <row r="496" ht="15.75" customHeight="1">
      <c r="B496" s="182"/>
      <c r="C496" s="3"/>
      <c r="H496" s="3"/>
      <c r="AG496" s="91"/>
    </row>
    <row r="497" ht="15.75" customHeight="1">
      <c r="B497" s="182"/>
      <c r="C497" s="3"/>
      <c r="H497" s="3"/>
      <c r="AG497" s="91"/>
    </row>
    <row r="498" ht="15.75" customHeight="1">
      <c r="B498" s="182"/>
      <c r="C498" s="3"/>
      <c r="H498" s="3"/>
      <c r="AG498" s="91"/>
    </row>
    <row r="499" ht="15.75" customHeight="1">
      <c r="B499" s="182"/>
      <c r="C499" s="3"/>
      <c r="H499" s="3"/>
      <c r="AG499" s="91"/>
    </row>
    <row r="500" ht="15.75" customHeight="1">
      <c r="B500" s="182"/>
      <c r="C500" s="3"/>
      <c r="H500" s="3"/>
      <c r="AG500" s="91"/>
    </row>
    <row r="501" ht="15.75" customHeight="1">
      <c r="B501" s="182"/>
      <c r="C501" s="3"/>
      <c r="H501" s="3"/>
      <c r="AG501" s="91"/>
    </row>
    <row r="502" ht="15.75" customHeight="1">
      <c r="B502" s="182"/>
      <c r="C502" s="3"/>
      <c r="H502" s="3"/>
      <c r="AG502" s="91"/>
    </row>
    <row r="503" ht="15.75" customHeight="1">
      <c r="B503" s="182"/>
      <c r="C503" s="3"/>
      <c r="H503" s="3"/>
      <c r="AG503" s="91"/>
    </row>
    <row r="504" ht="15.75" customHeight="1">
      <c r="B504" s="182"/>
      <c r="C504" s="3"/>
      <c r="H504" s="3"/>
      <c r="AG504" s="91"/>
    </row>
    <row r="505" ht="15.75" customHeight="1">
      <c r="B505" s="182"/>
      <c r="C505" s="3"/>
      <c r="H505" s="3"/>
      <c r="AG505" s="91"/>
    </row>
    <row r="506" ht="15.75" customHeight="1">
      <c r="B506" s="182"/>
      <c r="C506" s="3"/>
      <c r="H506" s="3"/>
      <c r="AG506" s="91"/>
    </row>
    <row r="507" ht="15.75" customHeight="1">
      <c r="B507" s="182"/>
      <c r="C507" s="3"/>
      <c r="H507" s="3"/>
      <c r="AG507" s="91"/>
    </row>
    <row r="508" ht="15.75" customHeight="1">
      <c r="B508" s="182"/>
      <c r="C508" s="3"/>
      <c r="H508" s="3"/>
      <c r="AG508" s="91"/>
    </row>
    <row r="509" ht="15.75" customHeight="1">
      <c r="B509" s="182"/>
      <c r="C509" s="3"/>
      <c r="H509" s="3"/>
      <c r="AG509" s="91"/>
    </row>
    <row r="510" ht="15.75" customHeight="1">
      <c r="B510" s="182"/>
      <c r="C510" s="3"/>
      <c r="H510" s="3"/>
      <c r="AG510" s="91"/>
    </row>
    <row r="511" ht="15.75" customHeight="1">
      <c r="B511" s="182"/>
      <c r="C511" s="3"/>
      <c r="H511" s="3"/>
      <c r="AG511" s="91"/>
    </row>
    <row r="512" ht="15.75" customHeight="1">
      <c r="B512" s="182"/>
      <c r="C512" s="3"/>
      <c r="H512" s="3"/>
      <c r="AG512" s="91"/>
    </row>
    <row r="513" ht="15.75" customHeight="1">
      <c r="B513" s="182"/>
      <c r="C513" s="3"/>
      <c r="H513" s="3"/>
      <c r="AG513" s="91"/>
    </row>
    <row r="514" ht="15.75" customHeight="1">
      <c r="B514" s="182"/>
      <c r="C514" s="3"/>
      <c r="H514" s="3"/>
      <c r="AG514" s="91"/>
    </row>
    <row r="515" ht="15.75" customHeight="1">
      <c r="B515" s="182"/>
      <c r="C515" s="3"/>
      <c r="H515" s="3"/>
      <c r="AG515" s="91"/>
    </row>
    <row r="516" ht="15.75" customHeight="1">
      <c r="B516" s="182"/>
      <c r="C516" s="3"/>
      <c r="H516" s="3"/>
      <c r="AG516" s="91"/>
    </row>
    <row r="517" ht="15.75" customHeight="1">
      <c r="B517" s="182"/>
      <c r="C517" s="3"/>
      <c r="H517" s="3"/>
      <c r="AG517" s="91"/>
    </row>
    <row r="518" ht="15.75" customHeight="1">
      <c r="B518" s="182"/>
      <c r="C518" s="3"/>
      <c r="H518" s="3"/>
      <c r="AG518" s="91"/>
    </row>
    <row r="519" ht="15.75" customHeight="1">
      <c r="B519" s="182"/>
      <c r="C519" s="3"/>
      <c r="H519" s="3"/>
      <c r="AG519" s="91"/>
    </row>
    <row r="520" ht="15.75" customHeight="1">
      <c r="B520" s="182"/>
      <c r="C520" s="3"/>
      <c r="H520" s="3"/>
      <c r="AG520" s="91"/>
    </row>
    <row r="521" ht="15.75" customHeight="1">
      <c r="B521" s="182"/>
      <c r="C521" s="3"/>
      <c r="H521" s="3"/>
      <c r="AG521" s="91"/>
    </row>
    <row r="522" ht="15.75" customHeight="1">
      <c r="B522" s="182"/>
      <c r="C522" s="3"/>
      <c r="H522" s="3"/>
      <c r="AG522" s="91"/>
    </row>
    <row r="523" ht="15.75" customHeight="1">
      <c r="B523" s="182"/>
      <c r="C523" s="3"/>
      <c r="H523" s="3"/>
      <c r="AG523" s="91"/>
    </row>
    <row r="524" ht="15.75" customHeight="1">
      <c r="B524" s="182"/>
      <c r="C524" s="3"/>
      <c r="H524" s="3"/>
      <c r="AG524" s="91"/>
    </row>
    <row r="525" ht="15.75" customHeight="1">
      <c r="B525" s="182"/>
      <c r="C525" s="3"/>
      <c r="H525" s="3"/>
      <c r="AG525" s="91"/>
    </row>
    <row r="526" ht="15.75" customHeight="1">
      <c r="B526" s="182"/>
      <c r="C526" s="3"/>
      <c r="H526" s="3"/>
      <c r="AG526" s="91"/>
    </row>
    <row r="527" ht="15.75" customHeight="1">
      <c r="B527" s="182"/>
      <c r="C527" s="3"/>
      <c r="H527" s="3"/>
      <c r="AG527" s="91"/>
    </row>
    <row r="528" ht="15.75" customHeight="1">
      <c r="B528" s="182"/>
      <c r="C528" s="3"/>
      <c r="H528" s="3"/>
      <c r="AG528" s="91"/>
    </row>
    <row r="529" ht="15.75" customHeight="1">
      <c r="B529" s="182"/>
      <c r="C529" s="3"/>
      <c r="H529" s="3"/>
      <c r="AG529" s="91"/>
    </row>
    <row r="530" ht="15.75" customHeight="1">
      <c r="B530" s="182"/>
      <c r="C530" s="3"/>
      <c r="H530" s="3"/>
      <c r="AG530" s="91"/>
    </row>
    <row r="531" ht="15.75" customHeight="1">
      <c r="B531" s="182"/>
      <c r="C531" s="3"/>
      <c r="H531" s="3"/>
      <c r="AG531" s="91"/>
    </row>
    <row r="532" ht="15.75" customHeight="1">
      <c r="B532" s="182"/>
      <c r="C532" s="3"/>
      <c r="H532" s="3"/>
      <c r="AG532" s="91"/>
    </row>
    <row r="533" ht="15.75" customHeight="1">
      <c r="B533" s="182"/>
      <c r="C533" s="3"/>
      <c r="H533" s="3"/>
      <c r="AG533" s="91"/>
    </row>
    <row r="534" ht="15.75" customHeight="1">
      <c r="B534" s="182"/>
      <c r="C534" s="3"/>
      <c r="H534" s="3"/>
      <c r="AG534" s="91"/>
    </row>
    <row r="535" ht="15.75" customHeight="1">
      <c r="B535" s="182"/>
      <c r="C535" s="3"/>
      <c r="H535" s="3"/>
      <c r="AG535" s="91"/>
    </row>
    <row r="536" ht="15.75" customHeight="1">
      <c r="B536" s="182"/>
      <c r="C536" s="3"/>
      <c r="H536" s="3"/>
      <c r="AG536" s="91"/>
    </row>
    <row r="537" ht="15.75" customHeight="1">
      <c r="B537" s="182"/>
      <c r="C537" s="3"/>
      <c r="H537" s="3"/>
      <c r="AG537" s="91"/>
    </row>
    <row r="538" ht="15.75" customHeight="1">
      <c r="B538" s="182"/>
      <c r="C538" s="3"/>
      <c r="H538" s="3"/>
      <c r="AG538" s="91"/>
    </row>
    <row r="539" ht="15.75" customHeight="1">
      <c r="B539" s="182"/>
      <c r="C539" s="3"/>
      <c r="H539" s="3"/>
      <c r="AG539" s="91"/>
    </row>
    <row r="540" ht="15.75" customHeight="1">
      <c r="B540" s="182"/>
      <c r="C540" s="3"/>
      <c r="H540" s="3"/>
      <c r="AG540" s="91"/>
    </row>
    <row r="541" ht="15.75" customHeight="1">
      <c r="B541" s="182"/>
      <c r="C541" s="3"/>
      <c r="H541" s="3"/>
      <c r="AG541" s="91"/>
    </row>
    <row r="542" ht="15.75" customHeight="1">
      <c r="B542" s="182"/>
      <c r="C542" s="3"/>
      <c r="H542" s="3"/>
      <c r="AG542" s="91"/>
    </row>
    <row r="543" ht="15.75" customHeight="1">
      <c r="B543" s="182"/>
      <c r="C543" s="3"/>
      <c r="H543" s="3"/>
      <c r="AG543" s="91"/>
    </row>
    <row r="544" ht="15.75" customHeight="1">
      <c r="B544" s="182"/>
      <c r="C544" s="3"/>
      <c r="H544" s="3"/>
      <c r="AG544" s="91"/>
    </row>
    <row r="545" ht="15.75" customHeight="1">
      <c r="B545" s="182"/>
      <c r="C545" s="3"/>
      <c r="H545" s="3"/>
      <c r="AG545" s="91"/>
    </row>
    <row r="546" ht="15.75" customHeight="1">
      <c r="B546" s="182"/>
      <c r="C546" s="3"/>
      <c r="H546" s="3"/>
      <c r="AG546" s="91"/>
    </row>
    <row r="547" ht="15.75" customHeight="1">
      <c r="B547" s="182"/>
      <c r="C547" s="3"/>
      <c r="H547" s="3"/>
      <c r="AG547" s="91"/>
    </row>
    <row r="548" ht="15.75" customHeight="1">
      <c r="B548" s="182"/>
      <c r="C548" s="3"/>
      <c r="H548" s="3"/>
      <c r="AG548" s="91"/>
    </row>
    <row r="549" ht="15.75" customHeight="1">
      <c r="B549" s="182"/>
      <c r="C549" s="3"/>
      <c r="H549" s="3"/>
      <c r="AG549" s="91"/>
    </row>
    <row r="550" ht="15.75" customHeight="1">
      <c r="B550" s="182"/>
      <c r="C550" s="3"/>
      <c r="H550" s="3"/>
      <c r="AG550" s="91"/>
    </row>
    <row r="551" ht="15.75" customHeight="1">
      <c r="B551" s="182"/>
      <c r="C551" s="3"/>
      <c r="H551" s="3"/>
      <c r="AG551" s="91"/>
    </row>
    <row r="552" ht="15.75" customHeight="1">
      <c r="B552" s="182"/>
      <c r="C552" s="3"/>
      <c r="H552" s="3"/>
      <c r="AG552" s="91"/>
    </row>
    <row r="553" ht="15.75" customHeight="1">
      <c r="B553" s="182"/>
      <c r="C553" s="3"/>
      <c r="H553" s="3"/>
      <c r="AG553" s="91"/>
    </row>
    <row r="554" ht="15.75" customHeight="1">
      <c r="B554" s="182"/>
      <c r="C554" s="3"/>
      <c r="H554" s="3"/>
      <c r="AG554" s="91"/>
    </row>
    <row r="555" ht="15.75" customHeight="1">
      <c r="B555" s="182"/>
      <c r="C555" s="3"/>
      <c r="H555" s="3"/>
      <c r="AG555" s="91"/>
    </row>
    <row r="556" ht="15.75" customHeight="1">
      <c r="B556" s="182"/>
      <c r="C556" s="3"/>
      <c r="H556" s="3"/>
      <c r="AG556" s="91"/>
    </row>
    <row r="557" ht="15.75" customHeight="1">
      <c r="B557" s="182"/>
      <c r="C557" s="3"/>
      <c r="H557" s="3"/>
      <c r="AG557" s="91"/>
    </row>
    <row r="558" ht="15.75" customHeight="1">
      <c r="B558" s="182"/>
      <c r="C558" s="3"/>
      <c r="H558" s="3"/>
      <c r="AG558" s="91"/>
    </row>
    <row r="559" ht="15.75" customHeight="1">
      <c r="B559" s="182"/>
      <c r="C559" s="3"/>
      <c r="H559" s="3"/>
      <c r="AG559" s="91"/>
    </row>
    <row r="560" ht="15.75" customHeight="1">
      <c r="B560" s="182"/>
      <c r="C560" s="3"/>
      <c r="H560" s="3"/>
      <c r="AG560" s="91"/>
    </row>
    <row r="561" ht="15.75" customHeight="1">
      <c r="B561" s="182"/>
      <c r="C561" s="3"/>
      <c r="H561" s="3"/>
      <c r="AG561" s="91"/>
    </row>
    <row r="562" ht="15.75" customHeight="1">
      <c r="B562" s="182"/>
      <c r="C562" s="3"/>
      <c r="H562" s="3"/>
      <c r="AG562" s="91"/>
    </row>
    <row r="563" ht="15.75" customHeight="1">
      <c r="B563" s="182"/>
      <c r="C563" s="3"/>
      <c r="H563" s="3"/>
      <c r="AG563" s="91"/>
    </row>
    <row r="564" ht="15.75" customHeight="1">
      <c r="B564" s="182"/>
      <c r="C564" s="3"/>
      <c r="H564" s="3"/>
      <c r="AG564" s="91"/>
    </row>
    <row r="565" ht="15.75" customHeight="1">
      <c r="B565" s="182"/>
      <c r="C565" s="3"/>
      <c r="H565" s="3"/>
      <c r="AG565" s="91"/>
    </row>
    <row r="566" ht="15.75" customHeight="1">
      <c r="B566" s="182"/>
      <c r="C566" s="3"/>
      <c r="H566" s="3"/>
      <c r="AG566" s="91"/>
    </row>
    <row r="567" ht="15.75" customHeight="1">
      <c r="B567" s="182"/>
      <c r="C567" s="3"/>
      <c r="H567" s="3"/>
      <c r="AG567" s="91"/>
    </row>
    <row r="568" ht="15.75" customHeight="1">
      <c r="B568" s="182"/>
      <c r="C568" s="3"/>
      <c r="H568" s="3"/>
      <c r="AG568" s="91"/>
    </row>
    <row r="569" ht="15.75" customHeight="1">
      <c r="B569" s="182"/>
      <c r="C569" s="3"/>
      <c r="H569" s="3"/>
      <c r="AG569" s="91"/>
    </row>
    <row r="570" ht="15.75" customHeight="1">
      <c r="B570" s="182"/>
      <c r="C570" s="3"/>
      <c r="H570" s="3"/>
      <c r="AG570" s="91"/>
    </row>
    <row r="571" ht="15.75" customHeight="1">
      <c r="B571" s="182"/>
      <c r="C571" s="3"/>
      <c r="H571" s="3"/>
      <c r="AG571" s="91"/>
    </row>
    <row r="572" ht="15.75" customHeight="1">
      <c r="B572" s="182"/>
      <c r="C572" s="3"/>
      <c r="H572" s="3"/>
      <c r="AG572" s="91"/>
    </row>
    <row r="573" ht="15.75" customHeight="1">
      <c r="B573" s="182"/>
      <c r="C573" s="3"/>
      <c r="H573" s="3"/>
      <c r="AG573" s="91"/>
    </row>
    <row r="574" ht="15.75" customHeight="1">
      <c r="B574" s="182"/>
      <c r="C574" s="3"/>
      <c r="H574" s="3"/>
      <c r="AG574" s="91"/>
    </row>
    <row r="575" ht="15.75" customHeight="1">
      <c r="B575" s="182"/>
      <c r="C575" s="3"/>
      <c r="H575" s="3"/>
      <c r="AG575" s="91"/>
    </row>
    <row r="576" ht="15.75" customHeight="1">
      <c r="B576" s="182"/>
      <c r="C576" s="3"/>
      <c r="H576" s="3"/>
      <c r="AG576" s="91"/>
    </row>
    <row r="577" ht="15.75" customHeight="1">
      <c r="B577" s="182"/>
      <c r="C577" s="3"/>
      <c r="H577" s="3"/>
      <c r="AG577" s="91"/>
    </row>
    <row r="578" ht="15.75" customHeight="1">
      <c r="B578" s="182"/>
      <c r="C578" s="3"/>
      <c r="H578" s="3"/>
      <c r="AG578" s="91"/>
    </row>
    <row r="579" ht="15.75" customHeight="1">
      <c r="B579" s="182"/>
      <c r="C579" s="3"/>
      <c r="H579" s="3"/>
      <c r="AG579" s="91"/>
    </row>
    <row r="580" ht="15.75" customHeight="1">
      <c r="B580" s="182"/>
      <c r="C580" s="3"/>
      <c r="H580" s="3"/>
      <c r="AG580" s="91"/>
    </row>
    <row r="581" ht="15.75" customHeight="1">
      <c r="B581" s="182"/>
      <c r="C581" s="3"/>
      <c r="H581" s="3"/>
      <c r="AG581" s="91"/>
    </row>
    <row r="582" ht="15.75" customHeight="1">
      <c r="B582" s="182"/>
      <c r="C582" s="3"/>
      <c r="H582" s="3"/>
      <c r="AG582" s="91"/>
    </row>
    <row r="583" ht="15.75" customHeight="1">
      <c r="B583" s="182"/>
      <c r="C583" s="3"/>
      <c r="H583" s="3"/>
      <c r="AG583" s="91"/>
    </row>
    <row r="584" ht="15.75" customHeight="1">
      <c r="B584" s="182"/>
      <c r="C584" s="3"/>
      <c r="H584" s="3"/>
      <c r="AG584" s="91"/>
    </row>
    <row r="585" ht="15.75" customHeight="1">
      <c r="B585" s="182"/>
      <c r="C585" s="3"/>
      <c r="H585" s="3"/>
      <c r="AG585" s="91"/>
    </row>
    <row r="586" ht="15.75" customHeight="1">
      <c r="B586" s="182"/>
      <c r="C586" s="3"/>
      <c r="H586" s="3"/>
      <c r="AG586" s="91"/>
    </row>
    <row r="587" ht="15.75" customHeight="1">
      <c r="B587" s="182"/>
      <c r="C587" s="3"/>
      <c r="H587" s="3"/>
      <c r="AG587" s="91"/>
    </row>
    <row r="588" ht="15.75" customHeight="1">
      <c r="B588" s="182"/>
      <c r="C588" s="3"/>
      <c r="H588" s="3"/>
      <c r="AG588" s="91"/>
    </row>
    <row r="589" ht="15.75" customHeight="1">
      <c r="B589" s="182"/>
      <c r="C589" s="3"/>
      <c r="H589" s="3"/>
      <c r="AG589" s="91"/>
    </row>
    <row r="590" ht="15.75" customHeight="1">
      <c r="B590" s="182"/>
      <c r="C590" s="3"/>
      <c r="H590" s="3"/>
      <c r="AG590" s="91"/>
    </row>
    <row r="591" ht="15.75" customHeight="1">
      <c r="B591" s="182"/>
      <c r="C591" s="3"/>
      <c r="H591" s="3"/>
      <c r="AG591" s="91"/>
    </row>
    <row r="592" ht="15.75" customHeight="1">
      <c r="B592" s="182"/>
      <c r="C592" s="3"/>
      <c r="H592" s="3"/>
      <c r="AG592" s="91"/>
    </row>
    <row r="593" ht="15.75" customHeight="1">
      <c r="B593" s="182"/>
      <c r="C593" s="3"/>
      <c r="H593" s="3"/>
      <c r="AG593" s="91"/>
    </row>
    <row r="594" ht="15.75" customHeight="1">
      <c r="B594" s="182"/>
      <c r="C594" s="3"/>
      <c r="H594" s="3"/>
      <c r="AG594" s="91"/>
    </row>
    <row r="595" ht="15.75" customHeight="1">
      <c r="B595" s="182"/>
      <c r="C595" s="3"/>
      <c r="H595" s="3"/>
      <c r="AG595" s="91"/>
    </row>
    <row r="596" ht="15.75" customHeight="1">
      <c r="B596" s="182"/>
      <c r="C596" s="3"/>
      <c r="H596" s="3"/>
      <c r="AG596" s="91"/>
    </row>
    <row r="597" ht="15.75" customHeight="1">
      <c r="B597" s="182"/>
      <c r="C597" s="3"/>
      <c r="H597" s="3"/>
      <c r="AG597" s="91"/>
    </row>
    <row r="598" ht="15.75" customHeight="1">
      <c r="B598" s="182"/>
      <c r="C598" s="3"/>
      <c r="H598" s="3"/>
      <c r="AG598" s="91"/>
    </row>
    <row r="599" ht="15.75" customHeight="1">
      <c r="B599" s="182"/>
      <c r="C599" s="3"/>
      <c r="H599" s="3"/>
      <c r="AG599" s="91"/>
    </row>
    <row r="600" ht="15.75" customHeight="1">
      <c r="B600" s="182"/>
      <c r="C600" s="3"/>
      <c r="H600" s="3"/>
      <c r="AG600" s="91"/>
    </row>
    <row r="601" ht="15.75" customHeight="1">
      <c r="B601" s="182"/>
      <c r="C601" s="3"/>
      <c r="H601" s="3"/>
      <c r="AG601" s="91"/>
    </row>
    <row r="602" ht="15.75" customHeight="1">
      <c r="B602" s="182"/>
      <c r="C602" s="3"/>
      <c r="H602" s="3"/>
      <c r="AG602" s="91"/>
    </row>
    <row r="603" ht="15.75" customHeight="1">
      <c r="B603" s="182"/>
      <c r="C603" s="3"/>
      <c r="H603" s="3"/>
      <c r="AG603" s="91"/>
    </row>
    <row r="604" ht="15.75" customHeight="1">
      <c r="B604" s="182"/>
      <c r="C604" s="3"/>
      <c r="H604" s="3"/>
      <c r="AG604" s="91"/>
    </row>
    <row r="605" ht="15.75" customHeight="1">
      <c r="B605" s="182"/>
      <c r="C605" s="3"/>
      <c r="H605" s="3"/>
      <c r="AG605" s="91"/>
    </row>
    <row r="606" ht="15.75" customHeight="1">
      <c r="B606" s="182"/>
      <c r="C606" s="3"/>
      <c r="H606" s="3"/>
      <c r="AG606" s="91"/>
    </row>
    <row r="607" ht="15.75" customHeight="1">
      <c r="B607" s="182"/>
      <c r="C607" s="3"/>
      <c r="H607" s="3"/>
      <c r="AG607" s="91"/>
    </row>
    <row r="608" ht="15.75" customHeight="1">
      <c r="B608" s="182"/>
      <c r="C608" s="3"/>
      <c r="H608" s="3"/>
      <c r="AG608" s="91"/>
    </row>
    <row r="609" ht="15.75" customHeight="1">
      <c r="B609" s="182"/>
      <c r="C609" s="3"/>
      <c r="H609" s="3"/>
      <c r="AG609" s="91"/>
    </row>
    <row r="610" ht="15.75" customHeight="1">
      <c r="B610" s="182"/>
      <c r="C610" s="3"/>
      <c r="H610" s="3"/>
      <c r="AG610" s="91"/>
    </row>
    <row r="611" ht="15.75" customHeight="1">
      <c r="B611" s="182"/>
      <c r="C611" s="3"/>
      <c r="H611" s="3"/>
      <c r="AG611" s="91"/>
    </row>
    <row r="612" ht="15.75" customHeight="1">
      <c r="B612" s="182"/>
      <c r="C612" s="3"/>
      <c r="H612" s="3"/>
      <c r="AG612" s="91"/>
    </row>
    <row r="613" ht="15.75" customHeight="1">
      <c r="B613" s="182"/>
      <c r="C613" s="3"/>
      <c r="H613" s="3"/>
      <c r="AG613" s="91"/>
    </row>
    <row r="614" ht="15.75" customHeight="1">
      <c r="B614" s="182"/>
      <c r="C614" s="3"/>
      <c r="H614" s="3"/>
      <c r="AG614" s="91"/>
    </row>
    <row r="615" ht="15.75" customHeight="1">
      <c r="B615" s="182"/>
      <c r="C615" s="3"/>
      <c r="H615" s="3"/>
      <c r="AG615" s="91"/>
    </row>
    <row r="616" ht="15.75" customHeight="1">
      <c r="B616" s="182"/>
      <c r="C616" s="3"/>
      <c r="H616" s="3"/>
      <c r="AG616" s="91"/>
    </row>
    <row r="617" ht="15.75" customHeight="1">
      <c r="B617" s="182"/>
      <c r="C617" s="3"/>
      <c r="H617" s="3"/>
      <c r="AG617" s="91"/>
    </row>
    <row r="618" ht="15.75" customHeight="1">
      <c r="B618" s="182"/>
      <c r="C618" s="3"/>
      <c r="H618" s="3"/>
      <c r="AG618" s="91"/>
    </row>
    <row r="619" ht="15.75" customHeight="1">
      <c r="B619" s="182"/>
      <c r="C619" s="3"/>
      <c r="H619" s="3"/>
      <c r="AG619" s="91"/>
    </row>
    <row r="620" ht="15.75" customHeight="1">
      <c r="B620" s="182"/>
      <c r="C620" s="3"/>
      <c r="H620" s="3"/>
      <c r="AG620" s="91"/>
    </row>
    <row r="621" ht="15.75" customHeight="1">
      <c r="B621" s="182"/>
      <c r="C621" s="3"/>
      <c r="H621" s="3"/>
      <c r="AG621" s="91"/>
    </row>
    <row r="622" ht="15.75" customHeight="1">
      <c r="B622" s="182"/>
      <c r="C622" s="3"/>
      <c r="H622" s="3"/>
      <c r="AG622" s="91"/>
    </row>
    <row r="623" ht="15.75" customHeight="1">
      <c r="B623" s="182"/>
      <c r="C623" s="3"/>
      <c r="H623" s="3"/>
      <c r="AG623" s="91"/>
    </row>
    <row r="624" ht="15.75" customHeight="1">
      <c r="B624" s="182"/>
      <c r="C624" s="3"/>
      <c r="H624" s="3"/>
      <c r="AG624" s="91"/>
    </row>
    <row r="625" ht="15.75" customHeight="1">
      <c r="B625" s="182"/>
      <c r="C625" s="3"/>
      <c r="H625" s="3"/>
      <c r="AG625" s="91"/>
    </row>
    <row r="626" ht="15.75" customHeight="1">
      <c r="B626" s="182"/>
      <c r="C626" s="3"/>
      <c r="H626" s="3"/>
      <c r="AG626" s="91"/>
    </row>
    <row r="627" ht="15.75" customHeight="1">
      <c r="B627" s="182"/>
      <c r="C627" s="3"/>
      <c r="H627" s="3"/>
      <c r="AG627" s="91"/>
    </row>
    <row r="628" ht="15.75" customHeight="1">
      <c r="B628" s="182"/>
      <c r="C628" s="3"/>
      <c r="H628" s="3"/>
      <c r="AG628" s="91"/>
    </row>
    <row r="629" ht="15.75" customHeight="1">
      <c r="B629" s="182"/>
      <c r="C629" s="3"/>
      <c r="H629" s="3"/>
      <c r="AG629" s="91"/>
    </row>
    <row r="630" ht="15.75" customHeight="1">
      <c r="B630" s="182"/>
      <c r="C630" s="3"/>
      <c r="H630" s="3"/>
      <c r="AG630" s="91"/>
    </row>
    <row r="631" ht="15.75" customHeight="1">
      <c r="B631" s="182"/>
      <c r="C631" s="3"/>
      <c r="H631" s="3"/>
      <c r="AG631" s="91"/>
    </row>
    <row r="632" ht="15.75" customHeight="1">
      <c r="B632" s="182"/>
      <c r="C632" s="3"/>
      <c r="H632" s="3"/>
      <c r="AG632" s="91"/>
    </row>
    <row r="633" ht="15.75" customHeight="1">
      <c r="B633" s="182"/>
      <c r="C633" s="3"/>
      <c r="H633" s="3"/>
      <c r="AG633" s="91"/>
    </row>
    <row r="634" ht="15.75" customHeight="1">
      <c r="B634" s="182"/>
      <c r="C634" s="3"/>
      <c r="H634" s="3"/>
      <c r="AG634" s="91"/>
    </row>
    <row r="635" ht="15.75" customHeight="1">
      <c r="B635" s="182"/>
      <c r="C635" s="3"/>
      <c r="H635" s="3"/>
      <c r="AG635" s="91"/>
    </row>
    <row r="636" ht="15.75" customHeight="1">
      <c r="B636" s="182"/>
      <c r="C636" s="3"/>
      <c r="H636" s="3"/>
      <c r="AG636" s="91"/>
    </row>
    <row r="637" ht="15.75" customHeight="1">
      <c r="B637" s="182"/>
      <c r="C637" s="3"/>
      <c r="H637" s="3"/>
      <c r="AG637" s="91"/>
    </row>
    <row r="638" ht="15.75" customHeight="1">
      <c r="B638" s="182"/>
      <c r="C638" s="3"/>
      <c r="H638" s="3"/>
      <c r="AG638" s="91"/>
    </row>
    <row r="639" ht="15.75" customHeight="1">
      <c r="B639" s="182"/>
      <c r="C639" s="3"/>
      <c r="H639" s="3"/>
      <c r="AG639" s="91"/>
    </row>
    <row r="640" ht="15.75" customHeight="1">
      <c r="B640" s="182"/>
      <c r="C640" s="3"/>
      <c r="H640" s="3"/>
      <c r="AG640" s="91"/>
    </row>
    <row r="641" ht="15.75" customHeight="1">
      <c r="B641" s="182"/>
      <c r="C641" s="3"/>
      <c r="H641" s="3"/>
      <c r="AG641" s="91"/>
    </row>
    <row r="642" ht="15.75" customHeight="1">
      <c r="B642" s="182"/>
      <c r="C642" s="3"/>
      <c r="H642" s="3"/>
      <c r="AG642" s="91"/>
    </row>
    <row r="643" ht="15.75" customHeight="1">
      <c r="B643" s="182"/>
      <c r="C643" s="3"/>
      <c r="H643" s="3"/>
      <c r="AG643" s="91"/>
    </row>
    <row r="644" ht="15.75" customHeight="1">
      <c r="B644" s="182"/>
      <c r="C644" s="3"/>
      <c r="H644" s="3"/>
      <c r="AG644" s="91"/>
    </row>
    <row r="645" ht="15.75" customHeight="1">
      <c r="B645" s="182"/>
      <c r="C645" s="3"/>
      <c r="H645" s="3"/>
      <c r="AG645" s="91"/>
    </row>
    <row r="646" ht="15.75" customHeight="1">
      <c r="B646" s="182"/>
      <c r="C646" s="3"/>
      <c r="H646" s="3"/>
      <c r="AG646" s="91"/>
    </row>
    <row r="647" ht="15.75" customHeight="1">
      <c r="B647" s="182"/>
      <c r="C647" s="3"/>
      <c r="H647" s="3"/>
      <c r="AG647" s="91"/>
    </row>
    <row r="648" ht="15.75" customHeight="1">
      <c r="B648" s="182"/>
      <c r="C648" s="3"/>
      <c r="H648" s="3"/>
      <c r="AG648" s="91"/>
    </row>
    <row r="649" ht="15.75" customHeight="1">
      <c r="B649" s="182"/>
      <c r="C649" s="3"/>
      <c r="H649" s="3"/>
      <c r="AG649" s="91"/>
    </row>
    <row r="650" ht="15.75" customHeight="1">
      <c r="B650" s="182"/>
      <c r="C650" s="3"/>
      <c r="H650" s="3"/>
      <c r="AG650" s="91"/>
    </row>
    <row r="651" ht="15.75" customHeight="1">
      <c r="B651" s="182"/>
      <c r="C651" s="3"/>
      <c r="H651" s="3"/>
      <c r="AG651" s="91"/>
    </row>
    <row r="652" ht="15.75" customHeight="1">
      <c r="B652" s="182"/>
      <c r="C652" s="3"/>
      <c r="H652" s="3"/>
      <c r="AG652" s="91"/>
    </row>
    <row r="653" ht="15.75" customHeight="1">
      <c r="B653" s="182"/>
      <c r="C653" s="3"/>
      <c r="H653" s="3"/>
      <c r="AG653" s="91"/>
    </row>
    <row r="654" ht="15.75" customHeight="1">
      <c r="B654" s="182"/>
      <c r="C654" s="3"/>
      <c r="H654" s="3"/>
      <c r="AG654" s="91"/>
    </row>
    <row r="655" ht="15.75" customHeight="1">
      <c r="B655" s="182"/>
      <c r="C655" s="3"/>
      <c r="H655" s="3"/>
      <c r="AG655" s="91"/>
    </row>
    <row r="656" ht="15.75" customHeight="1">
      <c r="B656" s="182"/>
      <c r="C656" s="3"/>
      <c r="H656" s="3"/>
      <c r="AG656" s="91"/>
    </row>
    <row r="657" ht="15.75" customHeight="1">
      <c r="B657" s="182"/>
      <c r="C657" s="3"/>
      <c r="H657" s="3"/>
      <c r="AG657" s="91"/>
    </row>
    <row r="658" ht="15.75" customHeight="1">
      <c r="B658" s="182"/>
      <c r="C658" s="3"/>
      <c r="H658" s="3"/>
      <c r="AG658" s="91"/>
    </row>
    <row r="659" ht="15.75" customHeight="1">
      <c r="B659" s="182"/>
      <c r="C659" s="3"/>
      <c r="H659" s="3"/>
      <c r="AG659" s="91"/>
    </row>
    <row r="660" ht="15.75" customHeight="1">
      <c r="B660" s="182"/>
      <c r="C660" s="3"/>
      <c r="H660" s="3"/>
      <c r="AG660" s="91"/>
    </row>
    <row r="661" ht="15.75" customHeight="1">
      <c r="B661" s="182"/>
      <c r="C661" s="3"/>
      <c r="H661" s="3"/>
      <c r="AG661" s="91"/>
    </row>
    <row r="662" ht="15.75" customHeight="1">
      <c r="B662" s="182"/>
      <c r="C662" s="3"/>
      <c r="H662" s="3"/>
      <c r="AG662" s="91"/>
    </row>
    <row r="663" ht="15.75" customHeight="1">
      <c r="B663" s="182"/>
      <c r="C663" s="3"/>
      <c r="H663" s="3"/>
      <c r="AG663" s="91"/>
    </row>
    <row r="664" ht="15.75" customHeight="1">
      <c r="B664" s="182"/>
      <c r="C664" s="3"/>
      <c r="H664" s="3"/>
      <c r="AG664" s="91"/>
    </row>
    <row r="665" ht="15.75" customHeight="1">
      <c r="B665" s="182"/>
      <c r="C665" s="3"/>
      <c r="H665" s="3"/>
      <c r="AG665" s="91"/>
    </row>
    <row r="666" ht="15.75" customHeight="1">
      <c r="B666" s="182"/>
      <c r="C666" s="3"/>
      <c r="H666" s="3"/>
      <c r="AG666" s="91"/>
    </row>
    <row r="667" ht="15.75" customHeight="1">
      <c r="B667" s="182"/>
      <c r="C667" s="3"/>
      <c r="H667" s="3"/>
      <c r="AG667" s="91"/>
    </row>
    <row r="668" ht="15.75" customHeight="1">
      <c r="B668" s="182"/>
      <c r="C668" s="3"/>
      <c r="H668" s="3"/>
      <c r="AG668" s="91"/>
    </row>
    <row r="669" ht="15.75" customHeight="1">
      <c r="B669" s="182"/>
      <c r="C669" s="3"/>
      <c r="H669" s="3"/>
      <c r="AG669" s="91"/>
    </row>
    <row r="670" ht="15.75" customHeight="1">
      <c r="B670" s="182"/>
      <c r="C670" s="3"/>
      <c r="H670" s="3"/>
      <c r="AG670" s="91"/>
    </row>
    <row r="671" ht="15.75" customHeight="1">
      <c r="B671" s="182"/>
      <c r="C671" s="3"/>
      <c r="H671" s="3"/>
      <c r="AG671" s="91"/>
    </row>
    <row r="672" ht="15.75" customHeight="1">
      <c r="B672" s="182"/>
      <c r="C672" s="3"/>
      <c r="H672" s="3"/>
      <c r="AG672" s="91"/>
    </row>
    <row r="673" ht="15.75" customHeight="1">
      <c r="B673" s="182"/>
      <c r="C673" s="3"/>
      <c r="H673" s="3"/>
      <c r="AG673" s="91"/>
    </row>
    <row r="674" ht="15.75" customHeight="1">
      <c r="B674" s="182"/>
      <c r="C674" s="3"/>
      <c r="H674" s="3"/>
      <c r="AG674" s="91"/>
    </row>
    <row r="675" ht="15.75" customHeight="1">
      <c r="B675" s="182"/>
      <c r="C675" s="3"/>
      <c r="H675" s="3"/>
      <c r="AG675" s="91"/>
    </row>
    <row r="676" ht="15.75" customHeight="1">
      <c r="B676" s="182"/>
      <c r="C676" s="3"/>
      <c r="H676" s="3"/>
      <c r="AG676" s="91"/>
    </row>
    <row r="677" ht="15.75" customHeight="1">
      <c r="B677" s="182"/>
      <c r="C677" s="3"/>
      <c r="H677" s="3"/>
      <c r="AG677" s="91"/>
    </row>
    <row r="678" ht="15.75" customHeight="1">
      <c r="B678" s="182"/>
      <c r="C678" s="3"/>
      <c r="H678" s="3"/>
      <c r="AG678" s="91"/>
    </row>
    <row r="679" ht="15.75" customHeight="1">
      <c r="B679" s="182"/>
      <c r="C679" s="3"/>
      <c r="H679" s="3"/>
      <c r="AG679" s="91"/>
    </row>
    <row r="680" ht="15.75" customHeight="1">
      <c r="B680" s="182"/>
      <c r="C680" s="3"/>
      <c r="H680" s="3"/>
      <c r="AG680" s="91"/>
    </row>
    <row r="681" ht="15.75" customHeight="1">
      <c r="B681" s="182"/>
      <c r="C681" s="3"/>
      <c r="H681" s="3"/>
      <c r="AG681" s="91"/>
    </row>
    <row r="682" ht="15.75" customHeight="1">
      <c r="B682" s="182"/>
      <c r="C682" s="3"/>
      <c r="H682" s="3"/>
      <c r="AG682" s="91"/>
    </row>
    <row r="683" ht="15.75" customHeight="1">
      <c r="B683" s="182"/>
      <c r="C683" s="3"/>
      <c r="H683" s="3"/>
      <c r="AG683" s="91"/>
    </row>
    <row r="684" ht="15.75" customHeight="1">
      <c r="B684" s="182"/>
      <c r="C684" s="3"/>
      <c r="H684" s="3"/>
      <c r="AG684" s="91"/>
    </row>
    <row r="685" ht="15.75" customHeight="1">
      <c r="B685" s="182"/>
      <c r="C685" s="3"/>
      <c r="H685" s="3"/>
      <c r="AG685" s="91"/>
    </row>
    <row r="686" ht="15.75" customHeight="1">
      <c r="B686" s="182"/>
      <c r="C686" s="3"/>
      <c r="H686" s="3"/>
      <c r="AG686" s="91"/>
    </row>
    <row r="687" ht="15.75" customHeight="1">
      <c r="B687" s="182"/>
      <c r="C687" s="3"/>
      <c r="H687" s="3"/>
      <c r="AG687" s="91"/>
    </row>
    <row r="688" ht="15.75" customHeight="1">
      <c r="B688" s="182"/>
      <c r="C688" s="3"/>
      <c r="H688" s="3"/>
      <c r="AG688" s="91"/>
    </row>
    <row r="689" ht="15.75" customHeight="1">
      <c r="B689" s="182"/>
      <c r="C689" s="3"/>
      <c r="H689" s="3"/>
      <c r="AG689" s="91"/>
    </row>
    <row r="690" ht="15.75" customHeight="1">
      <c r="B690" s="182"/>
      <c r="C690" s="3"/>
      <c r="H690" s="3"/>
      <c r="AG690" s="91"/>
    </row>
    <row r="691" ht="15.75" customHeight="1">
      <c r="B691" s="182"/>
      <c r="C691" s="3"/>
      <c r="H691" s="3"/>
      <c r="AG691" s="91"/>
    </row>
    <row r="692" ht="15.75" customHeight="1">
      <c r="B692" s="182"/>
      <c r="C692" s="3"/>
      <c r="H692" s="3"/>
      <c r="AG692" s="91"/>
    </row>
    <row r="693" ht="15.75" customHeight="1">
      <c r="B693" s="182"/>
      <c r="C693" s="3"/>
      <c r="H693" s="3"/>
      <c r="AG693" s="91"/>
    </row>
    <row r="694" ht="15.75" customHeight="1">
      <c r="B694" s="182"/>
      <c r="C694" s="3"/>
      <c r="H694" s="3"/>
      <c r="AG694" s="91"/>
    </row>
    <row r="695" ht="15.75" customHeight="1">
      <c r="B695" s="182"/>
      <c r="C695" s="3"/>
      <c r="H695" s="3"/>
      <c r="AG695" s="91"/>
    </row>
    <row r="696" ht="15.75" customHeight="1">
      <c r="B696" s="182"/>
      <c r="C696" s="3"/>
      <c r="H696" s="3"/>
      <c r="AG696" s="91"/>
    </row>
    <row r="697" ht="15.75" customHeight="1">
      <c r="B697" s="182"/>
      <c r="C697" s="3"/>
      <c r="H697" s="3"/>
      <c r="AG697" s="91"/>
    </row>
    <row r="698" ht="15.75" customHeight="1">
      <c r="B698" s="182"/>
      <c r="C698" s="3"/>
      <c r="H698" s="3"/>
      <c r="AG698" s="91"/>
    </row>
    <row r="699" ht="15.75" customHeight="1">
      <c r="B699" s="182"/>
      <c r="C699" s="3"/>
      <c r="H699" s="3"/>
      <c r="AG699" s="91"/>
    </row>
    <row r="700" ht="15.75" customHeight="1">
      <c r="B700" s="182"/>
      <c r="C700" s="3"/>
      <c r="H700" s="3"/>
      <c r="AG700" s="91"/>
    </row>
    <row r="701" ht="15.75" customHeight="1">
      <c r="B701" s="182"/>
      <c r="C701" s="3"/>
      <c r="H701" s="3"/>
      <c r="AG701" s="91"/>
    </row>
    <row r="702" ht="15.75" customHeight="1">
      <c r="B702" s="182"/>
      <c r="C702" s="3"/>
      <c r="H702" s="3"/>
      <c r="AG702" s="91"/>
    </row>
    <row r="703" ht="15.75" customHeight="1">
      <c r="B703" s="182"/>
      <c r="C703" s="3"/>
      <c r="H703" s="3"/>
      <c r="AG703" s="91"/>
    </row>
    <row r="704" ht="15.75" customHeight="1">
      <c r="B704" s="182"/>
      <c r="C704" s="3"/>
      <c r="H704" s="3"/>
      <c r="AG704" s="91"/>
    </row>
    <row r="705" ht="15.75" customHeight="1">
      <c r="B705" s="182"/>
      <c r="C705" s="3"/>
      <c r="H705" s="3"/>
      <c r="AG705" s="91"/>
    </row>
    <row r="706" ht="15.75" customHeight="1">
      <c r="B706" s="182"/>
      <c r="C706" s="3"/>
      <c r="H706" s="3"/>
      <c r="AG706" s="91"/>
    </row>
    <row r="707" ht="15.75" customHeight="1">
      <c r="B707" s="182"/>
      <c r="C707" s="3"/>
      <c r="H707" s="3"/>
      <c r="AG707" s="91"/>
    </row>
    <row r="708" ht="15.75" customHeight="1">
      <c r="B708" s="182"/>
      <c r="C708" s="3"/>
      <c r="H708" s="3"/>
      <c r="AG708" s="91"/>
    </row>
    <row r="709" ht="15.75" customHeight="1">
      <c r="B709" s="182"/>
      <c r="C709" s="3"/>
      <c r="H709" s="3"/>
      <c r="AG709" s="91"/>
    </row>
    <row r="710" ht="15.75" customHeight="1">
      <c r="B710" s="182"/>
      <c r="C710" s="3"/>
      <c r="H710" s="3"/>
      <c r="AG710" s="91"/>
    </row>
    <row r="711" ht="15.75" customHeight="1">
      <c r="B711" s="182"/>
      <c r="C711" s="3"/>
      <c r="H711" s="3"/>
      <c r="AG711" s="91"/>
    </row>
    <row r="712" ht="15.75" customHeight="1">
      <c r="B712" s="182"/>
      <c r="C712" s="3"/>
      <c r="H712" s="3"/>
      <c r="AG712" s="91"/>
    </row>
    <row r="713" ht="15.75" customHeight="1">
      <c r="B713" s="182"/>
      <c r="C713" s="3"/>
      <c r="H713" s="3"/>
      <c r="AG713" s="91"/>
    </row>
    <row r="714" ht="15.75" customHeight="1">
      <c r="B714" s="182"/>
      <c r="C714" s="3"/>
      <c r="H714" s="3"/>
      <c r="AG714" s="91"/>
    </row>
    <row r="715" ht="15.75" customHeight="1">
      <c r="B715" s="182"/>
      <c r="C715" s="3"/>
      <c r="H715" s="3"/>
      <c r="AG715" s="91"/>
    </row>
    <row r="716" ht="15.75" customHeight="1">
      <c r="B716" s="182"/>
      <c r="C716" s="3"/>
      <c r="H716" s="3"/>
      <c r="AG716" s="91"/>
    </row>
    <row r="717" ht="15.75" customHeight="1">
      <c r="B717" s="182"/>
      <c r="C717" s="3"/>
      <c r="H717" s="3"/>
      <c r="AG717" s="91"/>
    </row>
    <row r="718" ht="15.75" customHeight="1">
      <c r="B718" s="182"/>
      <c r="C718" s="3"/>
      <c r="H718" s="3"/>
      <c r="AG718" s="91"/>
    </row>
    <row r="719" ht="15.75" customHeight="1">
      <c r="B719" s="182"/>
      <c r="C719" s="3"/>
      <c r="H719" s="3"/>
      <c r="AG719" s="91"/>
    </row>
    <row r="720" ht="15.75" customHeight="1">
      <c r="B720" s="182"/>
      <c r="C720" s="3"/>
      <c r="H720" s="3"/>
      <c r="AG720" s="91"/>
    </row>
    <row r="721" ht="15.75" customHeight="1">
      <c r="B721" s="182"/>
      <c r="C721" s="3"/>
      <c r="H721" s="3"/>
      <c r="AG721" s="91"/>
    </row>
    <row r="722" ht="15.75" customHeight="1">
      <c r="B722" s="182"/>
      <c r="C722" s="3"/>
      <c r="H722" s="3"/>
      <c r="AG722" s="91"/>
    </row>
    <row r="723" ht="15.75" customHeight="1">
      <c r="B723" s="182"/>
      <c r="C723" s="3"/>
      <c r="H723" s="3"/>
      <c r="AG723" s="91"/>
    </row>
    <row r="724" ht="15.75" customHeight="1">
      <c r="B724" s="182"/>
      <c r="C724" s="3"/>
      <c r="H724" s="3"/>
      <c r="AG724" s="91"/>
    </row>
    <row r="725" ht="15.75" customHeight="1">
      <c r="B725" s="182"/>
      <c r="C725" s="3"/>
      <c r="H725" s="3"/>
      <c r="AG725" s="91"/>
    </row>
    <row r="726" ht="15.75" customHeight="1">
      <c r="B726" s="182"/>
      <c r="C726" s="3"/>
      <c r="H726" s="3"/>
      <c r="AG726" s="91"/>
    </row>
    <row r="727" ht="15.75" customHeight="1">
      <c r="B727" s="182"/>
      <c r="C727" s="3"/>
      <c r="H727" s="3"/>
      <c r="AG727" s="91"/>
    </row>
    <row r="728" ht="15.75" customHeight="1">
      <c r="B728" s="182"/>
      <c r="C728" s="3"/>
      <c r="H728" s="3"/>
      <c r="AG728" s="91"/>
    </row>
    <row r="729" ht="15.75" customHeight="1">
      <c r="B729" s="182"/>
      <c r="C729" s="3"/>
      <c r="H729" s="3"/>
      <c r="AG729" s="91"/>
    </row>
    <row r="730" ht="15.75" customHeight="1">
      <c r="B730" s="182"/>
      <c r="C730" s="3"/>
      <c r="H730" s="3"/>
      <c r="AG730" s="91"/>
    </row>
    <row r="731" ht="15.75" customHeight="1">
      <c r="B731" s="182"/>
      <c r="C731" s="3"/>
      <c r="H731" s="3"/>
      <c r="AG731" s="91"/>
    </row>
    <row r="732" ht="15.75" customHeight="1">
      <c r="B732" s="182"/>
      <c r="C732" s="3"/>
      <c r="H732" s="3"/>
      <c r="AG732" s="91"/>
    </row>
    <row r="733" ht="15.75" customHeight="1">
      <c r="B733" s="182"/>
      <c r="C733" s="3"/>
      <c r="H733" s="3"/>
      <c r="AG733" s="91"/>
    </row>
    <row r="734" ht="15.75" customHeight="1">
      <c r="B734" s="182"/>
      <c r="C734" s="3"/>
      <c r="H734" s="3"/>
      <c r="AG734" s="91"/>
    </row>
    <row r="735" ht="15.75" customHeight="1">
      <c r="B735" s="182"/>
      <c r="C735" s="3"/>
      <c r="H735" s="3"/>
      <c r="AG735" s="91"/>
    </row>
    <row r="736" ht="15.75" customHeight="1">
      <c r="B736" s="182"/>
      <c r="C736" s="3"/>
      <c r="H736" s="3"/>
      <c r="AG736" s="91"/>
    </row>
    <row r="737" ht="15.75" customHeight="1">
      <c r="B737" s="182"/>
      <c r="C737" s="3"/>
      <c r="H737" s="3"/>
      <c r="AG737" s="91"/>
    </row>
    <row r="738" ht="15.75" customHeight="1">
      <c r="B738" s="182"/>
      <c r="C738" s="3"/>
      <c r="H738" s="3"/>
      <c r="AG738" s="91"/>
    </row>
    <row r="739" ht="15.75" customHeight="1">
      <c r="B739" s="182"/>
      <c r="C739" s="3"/>
      <c r="H739" s="3"/>
      <c r="AG739" s="91"/>
    </row>
    <row r="740" ht="15.75" customHeight="1">
      <c r="B740" s="182"/>
      <c r="C740" s="3"/>
      <c r="H740" s="3"/>
      <c r="AG740" s="91"/>
    </row>
    <row r="741" ht="15.75" customHeight="1">
      <c r="B741" s="182"/>
      <c r="C741" s="3"/>
      <c r="H741" s="3"/>
      <c r="AG741" s="91"/>
    </row>
    <row r="742" ht="15.75" customHeight="1">
      <c r="B742" s="182"/>
      <c r="C742" s="3"/>
      <c r="H742" s="3"/>
      <c r="AG742" s="91"/>
    </row>
    <row r="743" ht="15.75" customHeight="1">
      <c r="B743" s="182"/>
      <c r="C743" s="3"/>
      <c r="H743" s="3"/>
      <c r="AG743" s="91"/>
    </row>
    <row r="744" ht="15.75" customHeight="1">
      <c r="B744" s="182"/>
      <c r="C744" s="3"/>
      <c r="H744" s="3"/>
      <c r="AG744" s="91"/>
    </row>
    <row r="745" ht="15.75" customHeight="1">
      <c r="B745" s="182"/>
      <c r="C745" s="3"/>
      <c r="H745" s="3"/>
      <c r="AG745" s="91"/>
    </row>
    <row r="746" ht="15.75" customHeight="1">
      <c r="B746" s="182"/>
      <c r="C746" s="3"/>
      <c r="H746" s="3"/>
      <c r="AG746" s="91"/>
    </row>
    <row r="747" ht="15.75" customHeight="1">
      <c r="B747" s="182"/>
      <c r="C747" s="3"/>
      <c r="H747" s="3"/>
      <c r="AG747" s="91"/>
    </row>
    <row r="748" ht="15.75" customHeight="1">
      <c r="B748" s="182"/>
      <c r="C748" s="3"/>
      <c r="H748" s="3"/>
      <c r="AG748" s="91"/>
    </row>
    <row r="749" ht="15.75" customHeight="1">
      <c r="B749" s="182"/>
      <c r="C749" s="3"/>
      <c r="H749" s="3"/>
      <c r="AG749" s="91"/>
    </row>
    <row r="750" ht="15.75" customHeight="1">
      <c r="B750" s="182"/>
      <c r="C750" s="3"/>
      <c r="H750" s="3"/>
      <c r="AG750" s="91"/>
    </row>
    <row r="751" ht="15.75" customHeight="1">
      <c r="B751" s="182"/>
      <c r="C751" s="3"/>
      <c r="H751" s="3"/>
      <c r="AG751" s="91"/>
    </row>
    <row r="752" ht="15.75" customHeight="1">
      <c r="B752" s="182"/>
      <c r="C752" s="3"/>
      <c r="H752" s="3"/>
      <c r="AG752" s="91"/>
    </row>
    <row r="753" ht="15.75" customHeight="1">
      <c r="B753" s="182"/>
      <c r="C753" s="3"/>
      <c r="H753" s="3"/>
      <c r="AG753" s="91"/>
    </row>
    <row r="754" ht="15.75" customHeight="1">
      <c r="B754" s="182"/>
      <c r="C754" s="3"/>
      <c r="H754" s="3"/>
      <c r="AG754" s="91"/>
    </row>
    <row r="755" ht="15.75" customHeight="1">
      <c r="B755" s="182"/>
      <c r="C755" s="3"/>
      <c r="H755" s="3"/>
      <c r="AG755" s="91"/>
    </row>
    <row r="756" ht="15.75" customHeight="1">
      <c r="B756" s="182"/>
      <c r="C756" s="3"/>
      <c r="H756" s="3"/>
      <c r="AG756" s="91"/>
    </row>
    <row r="757" ht="15.75" customHeight="1">
      <c r="B757" s="182"/>
      <c r="C757" s="3"/>
      <c r="H757" s="3"/>
      <c r="AG757" s="91"/>
    </row>
    <row r="758" ht="15.75" customHeight="1">
      <c r="B758" s="182"/>
      <c r="C758" s="3"/>
      <c r="H758" s="3"/>
      <c r="AG758" s="91"/>
    </row>
    <row r="759" ht="15.75" customHeight="1">
      <c r="B759" s="182"/>
      <c r="C759" s="3"/>
      <c r="H759" s="3"/>
      <c r="AG759" s="91"/>
    </row>
    <row r="760" ht="15.75" customHeight="1">
      <c r="B760" s="182"/>
      <c r="C760" s="3"/>
      <c r="H760" s="3"/>
      <c r="AG760" s="91"/>
    </row>
    <row r="761" ht="15.75" customHeight="1">
      <c r="B761" s="182"/>
      <c r="C761" s="3"/>
      <c r="H761" s="3"/>
      <c r="AG761" s="91"/>
    </row>
    <row r="762" ht="15.75" customHeight="1">
      <c r="B762" s="182"/>
      <c r="C762" s="3"/>
      <c r="H762" s="3"/>
      <c r="AG762" s="91"/>
    </row>
    <row r="763" ht="15.75" customHeight="1">
      <c r="B763" s="182"/>
      <c r="C763" s="3"/>
      <c r="H763" s="3"/>
      <c r="AG763" s="91"/>
    </row>
    <row r="764" ht="15.75" customHeight="1">
      <c r="B764" s="182"/>
      <c r="C764" s="3"/>
      <c r="H764" s="3"/>
      <c r="AG764" s="91"/>
    </row>
    <row r="765" ht="15.75" customHeight="1">
      <c r="B765" s="182"/>
      <c r="C765" s="3"/>
      <c r="H765" s="3"/>
      <c r="AG765" s="91"/>
    </row>
    <row r="766" ht="15.75" customHeight="1">
      <c r="B766" s="182"/>
      <c r="C766" s="3"/>
      <c r="H766" s="3"/>
      <c r="AG766" s="91"/>
    </row>
    <row r="767" ht="15.75" customHeight="1">
      <c r="B767" s="182"/>
      <c r="C767" s="3"/>
      <c r="H767" s="3"/>
      <c r="AG767" s="91"/>
    </row>
    <row r="768" ht="15.75" customHeight="1">
      <c r="B768" s="182"/>
      <c r="C768" s="3"/>
      <c r="H768" s="3"/>
      <c r="AG768" s="91"/>
    </row>
    <row r="769" ht="15.75" customHeight="1">
      <c r="B769" s="182"/>
      <c r="C769" s="3"/>
      <c r="H769" s="3"/>
      <c r="AG769" s="91"/>
    </row>
    <row r="770" ht="15.75" customHeight="1">
      <c r="B770" s="182"/>
      <c r="C770" s="3"/>
      <c r="H770" s="3"/>
      <c r="AG770" s="91"/>
    </row>
    <row r="771" ht="15.75" customHeight="1">
      <c r="B771" s="182"/>
      <c r="C771" s="3"/>
      <c r="H771" s="3"/>
      <c r="AG771" s="91"/>
    </row>
    <row r="772" ht="15.75" customHeight="1">
      <c r="B772" s="182"/>
      <c r="C772" s="3"/>
      <c r="H772" s="3"/>
      <c r="AG772" s="91"/>
    </row>
    <row r="773" ht="15.75" customHeight="1">
      <c r="B773" s="182"/>
      <c r="C773" s="3"/>
      <c r="H773" s="3"/>
      <c r="AG773" s="91"/>
    </row>
    <row r="774" ht="15.75" customHeight="1">
      <c r="B774" s="182"/>
      <c r="C774" s="3"/>
      <c r="H774" s="3"/>
      <c r="AG774" s="91"/>
    </row>
    <row r="775" ht="15.75" customHeight="1">
      <c r="B775" s="182"/>
      <c r="C775" s="3"/>
      <c r="H775" s="3"/>
      <c r="AG775" s="91"/>
    </row>
    <row r="776" ht="15.75" customHeight="1">
      <c r="B776" s="182"/>
      <c r="C776" s="3"/>
      <c r="H776" s="3"/>
      <c r="AG776" s="91"/>
    </row>
    <row r="777" ht="15.75" customHeight="1">
      <c r="B777" s="182"/>
      <c r="C777" s="3"/>
      <c r="H777" s="3"/>
      <c r="AG777" s="91"/>
    </row>
    <row r="778" ht="15.75" customHeight="1">
      <c r="B778" s="182"/>
      <c r="C778" s="3"/>
      <c r="H778" s="3"/>
      <c r="AG778" s="91"/>
    </row>
    <row r="779" ht="15.75" customHeight="1">
      <c r="B779" s="182"/>
      <c r="C779" s="3"/>
      <c r="H779" s="3"/>
      <c r="AG779" s="91"/>
    </row>
    <row r="780" ht="15.75" customHeight="1">
      <c r="B780" s="182"/>
      <c r="C780" s="3"/>
      <c r="H780" s="3"/>
      <c r="AG780" s="91"/>
    </row>
    <row r="781" ht="15.75" customHeight="1">
      <c r="B781" s="182"/>
      <c r="C781" s="3"/>
      <c r="H781" s="3"/>
      <c r="AG781" s="91"/>
    </row>
    <row r="782" ht="15.75" customHeight="1">
      <c r="B782" s="182"/>
      <c r="C782" s="3"/>
      <c r="H782" s="3"/>
      <c r="AG782" s="91"/>
    </row>
    <row r="783" ht="15.75" customHeight="1">
      <c r="B783" s="182"/>
      <c r="C783" s="3"/>
      <c r="H783" s="3"/>
      <c r="AG783" s="91"/>
    </row>
    <row r="784" ht="15.75" customHeight="1">
      <c r="B784" s="182"/>
      <c r="C784" s="3"/>
      <c r="H784" s="3"/>
      <c r="AG784" s="91"/>
    </row>
    <row r="785" ht="15.75" customHeight="1">
      <c r="B785" s="182"/>
      <c r="C785" s="3"/>
      <c r="H785" s="3"/>
      <c r="AG785" s="91"/>
    </row>
    <row r="786" ht="15.75" customHeight="1">
      <c r="B786" s="182"/>
      <c r="C786" s="3"/>
      <c r="H786" s="3"/>
      <c r="AG786" s="91"/>
    </row>
    <row r="787" ht="15.75" customHeight="1">
      <c r="B787" s="182"/>
      <c r="C787" s="3"/>
      <c r="H787" s="3"/>
      <c r="AG787" s="91"/>
    </row>
    <row r="788" ht="15.75" customHeight="1">
      <c r="B788" s="182"/>
      <c r="C788" s="3"/>
      <c r="H788" s="3"/>
      <c r="AG788" s="91"/>
    </row>
    <row r="789" ht="15.75" customHeight="1">
      <c r="B789" s="182"/>
      <c r="C789" s="3"/>
      <c r="H789" s="3"/>
      <c r="AG789" s="91"/>
    </row>
    <row r="790" ht="15.75" customHeight="1">
      <c r="B790" s="182"/>
      <c r="C790" s="3"/>
      <c r="H790" s="3"/>
      <c r="AG790" s="91"/>
    </row>
    <row r="791" ht="15.75" customHeight="1">
      <c r="B791" s="182"/>
      <c r="C791" s="3"/>
      <c r="H791" s="3"/>
      <c r="AG791" s="91"/>
    </row>
    <row r="792" ht="15.75" customHeight="1">
      <c r="B792" s="182"/>
      <c r="C792" s="3"/>
      <c r="H792" s="3"/>
      <c r="AG792" s="91"/>
    </row>
    <row r="793" ht="15.75" customHeight="1">
      <c r="B793" s="182"/>
      <c r="C793" s="3"/>
      <c r="H793" s="3"/>
      <c r="AG793" s="91"/>
    </row>
    <row r="794" ht="15.75" customHeight="1">
      <c r="B794" s="182"/>
      <c r="C794" s="3"/>
      <c r="H794" s="3"/>
      <c r="AG794" s="91"/>
    </row>
    <row r="795" ht="15.75" customHeight="1">
      <c r="B795" s="182"/>
      <c r="C795" s="3"/>
      <c r="H795" s="3"/>
      <c r="AG795" s="91"/>
    </row>
    <row r="796" ht="15.75" customHeight="1">
      <c r="B796" s="182"/>
      <c r="C796" s="3"/>
      <c r="H796" s="3"/>
      <c r="AG796" s="91"/>
    </row>
    <row r="797" ht="15.75" customHeight="1">
      <c r="B797" s="182"/>
      <c r="C797" s="3"/>
      <c r="H797" s="3"/>
      <c r="AG797" s="91"/>
    </row>
    <row r="798" ht="15.75" customHeight="1">
      <c r="B798" s="182"/>
      <c r="C798" s="3"/>
      <c r="H798" s="3"/>
      <c r="AG798" s="91"/>
    </row>
    <row r="799" ht="15.75" customHeight="1">
      <c r="B799" s="182"/>
      <c r="C799" s="3"/>
      <c r="H799" s="3"/>
      <c r="AG799" s="91"/>
    </row>
    <row r="800" ht="15.75" customHeight="1">
      <c r="B800" s="182"/>
      <c r="C800" s="3"/>
      <c r="H800" s="3"/>
      <c r="AG800" s="91"/>
    </row>
    <row r="801" ht="15.75" customHeight="1">
      <c r="B801" s="182"/>
      <c r="C801" s="3"/>
      <c r="H801" s="3"/>
      <c r="AG801" s="91"/>
    </row>
    <row r="802" ht="15.75" customHeight="1">
      <c r="B802" s="182"/>
      <c r="C802" s="3"/>
      <c r="H802" s="3"/>
      <c r="AG802" s="91"/>
    </row>
    <row r="803" ht="15.75" customHeight="1">
      <c r="B803" s="182"/>
      <c r="C803" s="3"/>
      <c r="H803" s="3"/>
      <c r="AG803" s="91"/>
    </row>
    <row r="804" ht="15.75" customHeight="1">
      <c r="B804" s="182"/>
      <c r="C804" s="3"/>
      <c r="H804" s="3"/>
      <c r="AG804" s="91"/>
    </row>
    <row r="805" ht="15.75" customHeight="1">
      <c r="B805" s="182"/>
      <c r="C805" s="3"/>
      <c r="H805" s="3"/>
      <c r="AG805" s="91"/>
    </row>
    <row r="806" ht="15.75" customHeight="1">
      <c r="B806" s="182"/>
      <c r="C806" s="3"/>
      <c r="H806" s="3"/>
      <c r="AG806" s="91"/>
    </row>
    <row r="807" ht="15.75" customHeight="1">
      <c r="B807" s="182"/>
      <c r="C807" s="3"/>
      <c r="H807" s="3"/>
      <c r="AG807" s="91"/>
    </row>
    <row r="808" ht="15.75" customHeight="1">
      <c r="B808" s="182"/>
      <c r="C808" s="3"/>
      <c r="H808" s="3"/>
      <c r="AG808" s="91"/>
    </row>
    <row r="809" ht="15.75" customHeight="1">
      <c r="B809" s="182"/>
      <c r="C809" s="3"/>
      <c r="H809" s="3"/>
      <c r="AG809" s="91"/>
    </row>
    <row r="810" ht="15.75" customHeight="1">
      <c r="B810" s="182"/>
      <c r="C810" s="3"/>
      <c r="H810" s="3"/>
      <c r="AG810" s="91"/>
    </row>
    <row r="811" ht="15.75" customHeight="1">
      <c r="B811" s="182"/>
      <c r="C811" s="3"/>
      <c r="H811" s="3"/>
      <c r="AG811" s="91"/>
    </row>
    <row r="812" ht="15.75" customHeight="1">
      <c r="B812" s="182"/>
      <c r="C812" s="3"/>
      <c r="H812" s="3"/>
      <c r="AG812" s="91"/>
    </row>
    <row r="813" ht="15.75" customHeight="1">
      <c r="B813" s="182"/>
      <c r="C813" s="3"/>
      <c r="H813" s="3"/>
      <c r="AG813" s="91"/>
    </row>
    <row r="814" ht="15.75" customHeight="1">
      <c r="B814" s="182"/>
      <c r="C814" s="3"/>
      <c r="H814" s="3"/>
      <c r="AG814" s="91"/>
    </row>
    <row r="815" ht="15.75" customHeight="1">
      <c r="B815" s="182"/>
      <c r="C815" s="3"/>
      <c r="H815" s="3"/>
      <c r="AG815" s="91"/>
    </row>
    <row r="816" ht="15.75" customHeight="1">
      <c r="B816" s="182"/>
      <c r="C816" s="3"/>
      <c r="H816" s="3"/>
      <c r="AG816" s="91"/>
    </row>
    <row r="817" ht="15.75" customHeight="1">
      <c r="B817" s="182"/>
      <c r="C817" s="3"/>
      <c r="H817" s="3"/>
      <c r="AG817" s="91"/>
    </row>
    <row r="818" ht="15.75" customHeight="1">
      <c r="B818" s="182"/>
      <c r="C818" s="3"/>
      <c r="H818" s="3"/>
      <c r="AG818" s="91"/>
    </row>
    <row r="819" ht="15.75" customHeight="1">
      <c r="B819" s="182"/>
      <c r="C819" s="3"/>
      <c r="H819" s="3"/>
      <c r="AG819" s="91"/>
    </row>
    <row r="820" ht="15.75" customHeight="1">
      <c r="B820" s="182"/>
      <c r="C820" s="3"/>
      <c r="H820" s="3"/>
      <c r="AG820" s="91"/>
    </row>
    <row r="821" ht="15.75" customHeight="1">
      <c r="B821" s="182"/>
      <c r="C821" s="3"/>
      <c r="H821" s="3"/>
      <c r="AG821" s="91"/>
    </row>
    <row r="822" ht="15.75" customHeight="1">
      <c r="B822" s="182"/>
      <c r="C822" s="3"/>
      <c r="H822" s="3"/>
      <c r="AG822" s="91"/>
    </row>
    <row r="823" ht="15.75" customHeight="1">
      <c r="B823" s="182"/>
      <c r="C823" s="3"/>
      <c r="H823" s="3"/>
      <c r="AG823" s="91"/>
    </row>
    <row r="824" ht="15.75" customHeight="1">
      <c r="B824" s="182"/>
      <c r="C824" s="3"/>
      <c r="H824" s="3"/>
      <c r="AG824" s="91"/>
    </row>
    <row r="825" ht="15.75" customHeight="1">
      <c r="B825" s="182"/>
      <c r="C825" s="3"/>
      <c r="H825" s="3"/>
      <c r="AG825" s="91"/>
    </row>
    <row r="826" ht="15.75" customHeight="1">
      <c r="B826" s="182"/>
      <c r="C826" s="3"/>
      <c r="H826" s="3"/>
      <c r="AG826" s="91"/>
    </row>
    <row r="827" ht="15.75" customHeight="1">
      <c r="B827" s="182"/>
      <c r="C827" s="3"/>
      <c r="H827" s="3"/>
      <c r="AG827" s="91"/>
    </row>
    <row r="828" ht="15.75" customHeight="1">
      <c r="B828" s="182"/>
      <c r="C828" s="3"/>
      <c r="H828" s="3"/>
      <c r="AG828" s="91"/>
    </row>
    <row r="829" ht="15.75" customHeight="1">
      <c r="B829" s="182"/>
      <c r="C829" s="3"/>
      <c r="H829" s="3"/>
      <c r="AG829" s="91"/>
    </row>
    <row r="830" ht="15.75" customHeight="1">
      <c r="B830" s="182"/>
      <c r="C830" s="3"/>
      <c r="H830" s="3"/>
      <c r="AG830" s="91"/>
    </row>
    <row r="831" ht="15.75" customHeight="1">
      <c r="B831" s="182"/>
      <c r="C831" s="3"/>
      <c r="H831" s="3"/>
      <c r="AG831" s="91"/>
    </row>
    <row r="832" ht="15.75" customHeight="1">
      <c r="B832" s="182"/>
      <c r="C832" s="3"/>
      <c r="H832" s="3"/>
      <c r="AG832" s="91"/>
    </row>
    <row r="833" ht="15.75" customHeight="1">
      <c r="B833" s="182"/>
      <c r="C833" s="3"/>
      <c r="H833" s="3"/>
      <c r="AG833" s="91"/>
    </row>
    <row r="834" ht="15.75" customHeight="1">
      <c r="B834" s="182"/>
      <c r="C834" s="3"/>
      <c r="H834" s="3"/>
      <c r="AG834" s="91"/>
    </row>
    <row r="835" ht="15.75" customHeight="1">
      <c r="B835" s="182"/>
      <c r="C835" s="3"/>
      <c r="H835" s="3"/>
      <c r="AG835" s="91"/>
    </row>
    <row r="836" ht="15.75" customHeight="1">
      <c r="B836" s="182"/>
      <c r="C836" s="3"/>
      <c r="H836" s="3"/>
      <c r="AG836" s="91"/>
    </row>
    <row r="837" ht="15.75" customHeight="1">
      <c r="B837" s="182"/>
      <c r="C837" s="3"/>
      <c r="H837" s="3"/>
      <c r="AG837" s="91"/>
    </row>
    <row r="838" ht="15.75" customHeight="1">
      <c r="B838" s="182"/>
      <c r="C838" s="3"/>
      <c r="H838" s="3"/>
      <c r="AG838" s="91"/>
    </row>
    <row r="839" ht="15.75" customHeight="1">
      <c r="B839" s="182"/>
      <c r="C839" s="3"/>
      <c r="H839" s="3"/>
      <c r="AG839" s="91"/>
    </row>
    <row r="840" ht="15.75" customHeight="1">
      <c r="B840" s="182"/>
      <c r="C840" s="3"/>
      <c r="H840" s="3"/>
      <c r="AG840" s="91"/>
    </row>
    <row r="841" ht="15.75" customHeight="1">
      <c r="B841" s="182"/>
      <c r="C841" s="3"/>
      <c r="H841" s="3"/>
      <c r="AG841" s="91"/>
    </row>
    <row r="842" ht="15.75" customHeight="1">
      <c r="B842" s="182"/>
      <c r="C842" s="3"/>
      <c r="H842" s="3"/>
      <c r="AG842" s="91"/>
    </row>
    <row r="843" ht="15.75" customHeight="1">
      <c r="B843" s="182"/>
      <c r="C843" s="3"/>
      <c r="H843" s="3"/>
      <c r="AG843" s="91"/>
    </row>
    <row r="844" ht="15.75" customHeight="1">
      <c r="B844" s="182"/>
      <c r="C844" s="3"/>
      <c r="H844" s="3"/>
      <c r="AG844" s="91"/>
    </row>
    <row r="845" ht="15.75" customHeight="1">
      <c r="B845" s="182"/>
      <c r="C845" s="3"/>
      <c r="H845" s="3"/>
      <c r="AG845" s="91"/>
    </row>
    <row r="846" ht="15.75" customHeight="1">
      <c r="B846" s="182"/>
      <c r="C846" s="3"/>
      <c r="H846" s="3"/>
      <c r="AG846" s="91"/>
    </row>
    <row r="847" ht="15.75" customHeight="1">
      <c r="B847" s="182"/>
      <c r="C847" s="3"/>
      <c r="H847" s="3"/>
      <c r="AG847" s="91"/>
    </row>
    <row r="848" ht="15.75" customHeight="1">
      <c r="B848" s="182"/>
      <c r="C848" s="3"/>
      <c r="H848" s="3"/>
      <c r="AG848" s="91"/>
    </row>
    <row r="849" ht="15.75" customHeight="1">
      <c r="B849" s="182"/>
      <c r="C849" s="3"/>
      <c r="H849" s="3"/>
      <c r="AG849" s="91"/>
    </row>
    <row r="850" ht="15.75" customHeight="1">
      <c r="B850" s="182"/>
      <c r="C850" s="3"/>
      <c r="H850" s="3"/>
      <c r="AG850" s="91"/>
    </row>
    <row r="851" ht="15.75" customHeight="1">
      <c r="B851" s="182"/>
      <c r="C851" s="3"/>
      <c r="H851" s="3"/>
      <c r="AG851" s="91"/>
    </row>
    <row r="852" ht="15.75" customHeight="1">
      <c r="B852" s="182"/>
      <c r="C852" s="3"/>
      <c r="H852" s="3"/>
      <c r="AG852" s="91"/>
    </row>
    <row r="853" ht="15.75" customHeight="1">
      <c r="B853" s="182"/>
      <c r="C853" s="3"/>
      <c r="H853" s="3"/>
      <c r="AG853" s="91"/>
    </row>
    <row r="854" ht="15.75" customHeight="1">
      <c r="B854" s="182"/>
      <c r="C854" s="3"/>
      <c r="H854" s="3"/>
      <c r="AG854" s="91"/>
    </row>
    <row r="855" ht="15.75" customHeight="1">
      <c r="B855" s="182"/>
      <c r="C855" s="3"/>
      <c r="H855" s="3"/>
      <c r="AG855" s="91"/>
    </row>
    <row r="856" ht="15.75" customHeight="1">
      <c r="B856" s="182"/>
      <c r="C856" s="3"/>
      <c r="H856" s="3"/>
      <c r="AG856" s="91"/>
    </row>
    <row r="857" ht="15.75" customHeight="1">
      <c r="B857" s="182"/>
      <c r="C857" s="3"/>
      <c r="H857" s="3"/>
      <c r="AG857" s="91"/>
    </row>
    <row r="858" ht="15.75" customHeight="1">
      <c r="B858" s="182"/>
      <c r="C858" s="3"/>
      <c r="H858" s="3"/>
      <c r="AG858" s="91"/>
    </row>
    <row r="859" ht="15.75" customHeight="1">
      <c r="B859" s="182"/>
      <c r="C859" s="3"/>
      <c r="H859" s="3"/>
      <c r="AG859" s="91"/>
    </row>
    <row r="860" ht="15.75" customHeight="1">
      <c r="B860" s="182"/>
      <c r="C860" s="3"/>
      <c r="H860" s="3"/>
      <c r="AG860" s="91"/>
    </row>
    <row r="861" ht="15.75" customHeight="1">
      <c r="B861" s="182"/>
      <c r="C861" s="3"/>
      <c r="H861" s="3"/>
      <c r="AG861" s="91"/>
    </row>
    <row r="862" ht="15.75" customHeight="1">
      <c r="B862" s="182"/>
      <c r="C862" s="3"/>
      <c r="H862" s="3"/>
      <c r="AG862" s="91"/>
    </row>
    <row r="863" ht="15.75" customHeight="1">
      <c r="B863" s="182"/>
      <c r="C863" s="3"/>
      <c r="H863" s="3"/>
      <c r="AG863" s="91"/>
    </row>
    <row r="864" ht="15.75" customHeight="1">
      <c r="B864" s="182"/>
      <c r="C864" s="3"/>
      <c r="H864" s="3"/>
      <c r="AG864" s="91"/>
    </row>
    <row r="865" ht="15.75" customHeight="1">
      <c r="B865" s="182"/>
      <c r="C865" s="3"/>
      <c r="H865" s="3"/>
      <c r="AG865" s="91"/>
    </row>
    <row r="866" ht="15.75" customHeight="1">
      <c r="B866" s="182"/>
      <c r="C866" s="3"/>
      <c r="H866" s="3"/>
      <c r="AG866" s="91"/>
    </row>
    <row r="867" ht="15.75" customHeight="1">
      <c r="B867" s="182"/>
      <c r="C867" s="3"/>
      <c r="H867" s="3"/>
      <c r="AG867" s="91"/>
    </row>
    <row r="868" ht="15.75" customHeight="1">
      <c r="B868" s="182"/>
      <c r="C868" s="3"/>
      <c r="H868" s="3"/>
      <c r="AG868" s="91"/>
    </row>
    <row r="869" ht="15.75" customHeight="1">
      <c r="B869" s="182"/>
      <c r="C869" s="3"/>
      <c r="H869" s="3"/>
      <c r="AG869" s="91"/>
    </row>
    <row r="870" ht="15.75" customHeight="1">
      <c r="B870" s="182"/>
      <c r="C870" s="3"/>
      <c r="H870" s="3"/>
      <c r="AG870" s="91"/>
    </row>
    <row r="871" ht="15.75" customHeight="1">
      <c r="B871" s="182"/>
      <c r="C871" s="3"/>
      <c r="H871" s="3"/>
      <c r="AG871" s="91"/>
    </row>
    <row r="872" ht="15.75" customHeight="1">
      <c r="B872" s="182"/>
      <c r="C872" s="3"/>
      <c r="H872" s="3"/>
      <c r="AG872" s="91"/>
    </row>
    <row r="873" ht="15.75" customHeight="1">
      <c r="B873" s="182"/>
      <c r="C873" s="3"/>
      <c r="H873" s="3"/>
      <c r="AG873" s="91"/>
    </row>
    <row r="874" ht="15.75" customHeight="1">
      <c r="B874" s="182"/>
      <c r="C874" s="3"/>
      <c r="H874" s="3"/>
      <c r="AG874" s="91"/>
    </row>
    <row r="875" ht="15.75" customHeight="1">
      <c r="B875" s="182"/>
      <c r="C875" s="3"/>
      <c r="H875" s="3"/>
      <c r="AG875" s="91"/>
    </row>
    <row r="876" ht="15.75" customHeight="1">
      <c r="B876" s="182"/>
      <c r="C876" s="3"/>
      <c r="H876" s="3"/>
      <c r="AG876" s="91"/>
    </row>
    <row r="877" ht="15.75" customHeight="1">
      <c r="B877" s="182"/>
      <c r="C877" s="3"/>
      <c r="H877" s="3"/>
      <c r="AG877" s="91"/>
    </row>
    <row r="878" ht="15.75" customHeight="1">
      <c r="B878" s="182"/>
      <c r="C878" s="3"/>
      <c r="H878" s="3"/>
      <c r="AG878" s="91"/>
    </row>
    <row r="879" ht="15.75" customHeight="1">
      <c r="B879" s="182"/>
      <c r="C879" s="3"/>
      <c r="H879" s="3"/>
      <c r="AG879" s="91"/>
    </row>
    <row r="880" ht="15.75" customHeight="1">
      <c r="B880" s="182"/>
      <c r="C880" s="3"/>
      <c r="H880" s="3"/>
      <c r="AG880" s="91"/>
    </row>
    <row r="881" ht="15.75" customHeight="1">
      <c r="B881" s="182"/>
      <c r="C881" s="3"/>
      <c r="H881" s="3"/>
      <c r="AG881" s="91"/>
    </row>
    <row r="882" ht="15.75" customHeight="1">
      <c r="B882" s="182"/>
      <c r="C882" s="3"/>
      <c r="H882" s="3"/>
      <c r="AG882" s="91"/>
    </row>
    <row r="883" ht="15.75" customHeight="1">
      <c r="B883" s="182"/>
      <c r="C883" s="3"/>
      <c r="H883" s="3"/>
      <c r="AG883" s="91"/>
    </row>
    <row r="884" ht="15.75" customHeight="1">
      <c r="B884" s="182"/>
      <c r="C884" s="3"/>
      <c r="H884" s="3"/>
      <c r="AG884" s="91"/>
    </row>
    <row r="885" ht="15.75" customHeight="1">
      <c r="B885" s="182"/>
      <c r="C885" s="3"/>
      <c r="H885" s="3"/>
      <c r="AG885" s="91"/>
    </row>
    <row r="886" ht="15.75" customHeight="1">
      <c r="B886" s="182"/>
      <c r="C886" s="3"/>
      <c r="H886" s="3"/>
      <c r="AG886" s="91"/>
    </row>
    <row r="887" ht="15.75" customHeight="1">
      <c r="B887" s="182"/>
      <c r="C887" s="3"/>
      <c r="H887" s="3"/>
      <c r="AG887" s="91"/>
    </row>
    <row r="888" ht="15.75" customHeight="1">
      <c r="B888" s="182"/>
      <c r="C888" s="3"/>
      <c r="H888" s="3"/>
      <c r="AG888" s="91"/>
    </row>
    <row r="889" ht="15.75" customHeight="1">
      <c r="B889" s="182"/>
      <c r="C889" s="3"/>
      <c r="H889" s="3"/>
      <c r="AG889" s="91"/>
    </row>
    <row r="890" ht="15.75" customHeight="1">
      <c r="B890" s="182"/>
      <c r="C890" s="3"/>
      <c r="H890" s="3"/>
      <c r="AG890" s="91"/>
    </row>
    <row r="891" ht="15.75" customHeight="1">
      <c r="B891" s="182"/>
      <c r="C891" s="3"/>
      <c r="H891" s="3"/>
      <c r="AG891" s="91"/>
    </row>
    <row r="892" ht="15.75" customHeight="1">
      <c r="B892" s="182"/>
      <c r="C892" s="3"/>
      <c r="H892" s="3"/>
      <c r="AG892" s="91"/>
    </row>
    <row r="893" ht="15.75" customHeight="1">
      <c r="B893" s="182"/>
      <c r="C893" s="3"/>
      <c r="H893" s="3"/>
      <c r="AG893" s="91"/>
    </row>
    <row r="894" ht="15.75" customHeight="1">
      <c r="B894" s="182"/>
      <c r="C894" s="3"/>
      <c r="H894" s="3"/>
      <c r="AG894" s="91"/>
    </row>
    <row r="895" ht="15.75" customHeight="1">
      <c r="B895" s="182"/>
      <c r="C895" s="3"/>
      <c r="H895" s="3"/>
      <c r="AG895" s="91"/>
    </row>
    <row r="896" ht="15.75" customHeight="1">
      <c r="B896" s="182"/>
      <c r="C896" s="3"/>
      <c r="H896" s="3"/>
      <c r="AG896" s="91"/>
    </row>
    <row r="897" ht="15.75" customHeight="1">
      <c r="B897" s="182"/>
      <c r="C897" s="3"/>
      <c r="H897" s="3"/>
      <c r="AG897" s="91"/>
    </row>
    <row r="898" ht="15.75" customHeight="1">
      <c r="B898" s="182"/>
      <c r="C898" s="3"/>
      <c r="H898" s="3"/>
      <c r="AG898" s="91"/>
    </row>
    <row r="899" ht="15.75" customHeight="1">
      <c r="B899" s="182"/>
      <c r="C899" s="3"/>
      <c r="H899" s="3"/>
      <c r="AG899" s="91"/>
    </row>
    <row r="900" ht="15.75" customHeight="1">
      <c r="B900" s="182"/>
      <c r="C900" s="3"/>
      <c r="H900" s="3"/>
      <c r="AG900" s="91"/>
    </row>
    <row r="901" ht="15.75" customHeight="1">
      <c r="B901" s="182"/>
      <c r="C901" s="3"/>
      <c r="H901" s="3"/>
      <c r="AG901" s="91"/>
    </row>
    <row r="902" ht="15.75" customHeight="1">
      <c r="B902" s="182"/>
      <c r="C902" s="3"/>
      <c r="H902" s="3"/>
      <c r="AG902" s="91"/>
    </row>
    <row r="903" ht="15.75" customHeight="1">
      <c r="B903" s="182"/>
      <c r="C903" s="3"/>
      <c r="H903" s="3"/>
      <c r="AG903" s="91"/>
    </row>
    <row r="904" ht="15.75" customHeight="1">
      <c r="B904" s="182"/>
      <c r="C904" s="3"/>
      <c r="H904" s="3"/>
      <c r="AG904" s="91"/>
    </row>
    <row r="905" ht="15.75" customHeight="1">
      <c r="B905" s="182"/>
      <c r="C905" s="3"/>
      <c r="H905" s="3"/>
      <c r="AG905" s="91"/>
    </row>
    <row r="906" ht="15.75" customHeight="1">
      <c r="B906" s="182"/>
      <c r="C906" s="3"/>
      <c r="H906" s="3"/>
      <c r="AG906" s="91"/>
    </row>
    <row r="907" ht="15.75" customHeight="1">
      <c r="B907" s="182"/>
      <c r="C907" s="3"/>
      <c r="H907" s="3"/>
      <c r="AG907" s="91"/>
    </row>
    <row r="908" ht="15.75" customHeight="1">
      <c r="B908" s="182"/>
      <c r="C908" s="3"/>
      <c r="H908" s="3"/>
      <c r="AG908" s="91"/>
    </row>
    <row r="909" ht="15.75" customHeight="1">
      <c r="B909" s="182"/>
      <c r="C909" s="3"/>
      <c r="H909" s="3"/>
      <c r="AG909" s="91"/>
    </row>
    <row r="910" ht="15.75" customHeight="1">
      <c r="B910" s="182"/>
      <c r="C910" s="3"/>
      <c r="H910" s="3"/>
      <c r="AG910" s="91"/>
    </row>
    <row r="911" ht="15.75" customHeight="1">
      <c r="B911" s="182"/>
      <c r="C911" s="3"/>
      <c r="H911" s="3"/>
      <c r="AG911" s="91"/>
    </row>
    <row r="912" ht="15.75" customHeight="1">
      <c r="B912" s="182"/>
      <c r="C912" s="3"/>
      <c r="H912" s="3"/>
      <c r="AG912" s="91"/>
    </row>
    <row r="913" ht="15.75" customHeight="1">
      <c r="B913" s="182"/>
      <c r="C913" s="3"/>
      <c r="H913" s="3"/>
      <c r="AG913" s="91"/>
    </row>
    <row r="914" ht="15.75" customHeight="1">
      <c r="B914" s="182"/>
      <c r="C914" s="3"/>
      <c r="H914" s="3"/>
      <c r="AG914" s="91"/>
    </row>
    <row r="915" ht="15.75" customHeight="1">
      <c r="B915" s="182"/>
      <c r="C915" s="3"/>
      <c r="H915" s="3"/>
      <c r="AG915" s="91"/>
    </row>
    <row r="916" ht="15.75" customHeight="1">
      <c r="B916" s="182"/>
      <c r="C916" s="3"/>
      <c r="H916" s="3"/>
      <c r="AG916" s="91"/>
    </row>
    <row r="917" ht="15.75" customHeight="1">
      <c r="B917" s="182"/>
      <c r="C917" s="3"/>
      <c r="H917" s="3"/>
      <c r="AG917" s="91"/>
    </row>
    <row r="918" ht="15.75" customHeight="1">
      <c r="B918" s="182"/>
      <c r="C918" s="3"/>
      <c r="H918" s="3"/>
      <c r="AG918" s="91"/>
    </row>
    <row r="919" ht="15.75" customHeight="1">
      <c r="B919" s="182"/>
      <c r="C919" s="3"/>
      <c r="H919" s="3"/>
      <c r="AG919" s="91"/>
    </row>
    <row r="920" ht="15.75" customHeight="1">
      <c r="B920" s="182"/>
      <c r="C920" s="3"/>
      <c r="H920" s="3"/>
      <c r="AG920" s="91"/>
    </row>
    <row r="921" ht="15.75" customHeight="1">
      <c r="B921" s="182"/>
      <c r="C921" s="3"/>
      <c r="H921" s="3"/>
      <c r="AG921" s="91"/>
    </row>
    <row r="922" ht="15.75" customHeight="1">
      <c r="B922" s="182"/>
      <c r="C922" s="3"/>
      <c r="H922" s="3"/>
      <c r="AG922" s="91"/>
    </row>
    <row r="923" ht="15.75" customHeight="1">
      <c r="B923" s="182"/>
      <c r="C923" s="3"/>
      <c r="H923" s="3"/>
      <c r="AG923" s="91"/>
    </row>
    <row r="924" ht="15.75" customHeight="1">
      <c r="B924" s="182"/>
      <c r="C924" s="3"/>
      <c r="H924" s="3"/>
      <c r="AG924" s="91"/>
    </row>
    <row r="925" ht="15.75" customHeight="1">
      <c r="B925" s="182"/>
      <c r="C925" s="3"/>
      <c r="H925" s="3"/>
      <c r="AG925" s="91"/>
    </row>
    <row r="926" ht="15.75" customHeight="1">
      <c r="B926" s="182"/>
      <c r="C926" s="3"/>
      <c r="H926" s="3"/>
      <c r="AG926" s="91"/>
    </row>
    <row r="927" ht="15.75" customHeight="1">
      <c r="B927" s="182"/>
      <c r="C927" s="3"/>
      <c r="H927" s="3"/>
      <c r="AG927" s="91"/>
    </row>
    <row r="928" ht="15.75" customHeight="1">
      <c r="B928" s="182"/>
      <c r="C928" s="3"/>
      <c r="H928" s="3"/>
      <c r="AG928" s="91"/>
    </row>
    <row r="929" ht="15.75" customHeight="1">
      <c r="B929" s="182"/>
      <c r="C929" s="3"/>
      <c r="H929" s="3"/>
      <c r="AG929" s="91"/>
    </row>
    <row r="930" ht="15.75" customHeight="1">
      <c r="B930" s="182"/>
      <c r="C930" s="3"/>
      <c r="H930" s="3"/>
      <c r="AG930" s="91"/>
    </row>
    <row r="931" ht="15.75" customHeight="1">
      <c r="B931" s="182"/>
      <c r="C931" s="3"/>
      <c r="H931" s="3"/>
      <c r="AG931" s="91"/>
    </row>
    <row r="932" ht="15.75" customHeight="1">
      <c r="B932" s="182"/>
      <c r="C932" s="3"/>
      <c r="H932" s="3"/>
      <c r="AG932" s="91"/>
    </row>
    <row r="933" ht="15.75" customHeight="1">
      <c r="B933" s="182"/>
      <c r="C933" s="3"/>
      <c r="H933" s="3"/>
      <c r="AG933" s="91"/>
    </row>
    <row r="934" ht="15.75" customHeight="1">
      <c r="B934" s="182"/>
      <c r="C934" s="3"/>
      <c r="H934" s="3"/>
      <c r="AG934" s="91"/>
    </row>
    <row r="935" ht="15.75" customHeight="1">
      <c r="B935" s="182"/>
      <c r="C935" s="3"/>
      <c r="H935" s="3"/>
      <c r="AG935" s="91"/>
    </row>
    <row r="936" ht="15.75" customHeight="1">
      <c r="B936" s="182"/>
      <c r="C936" s="3"/>
      <c r="H936" s="3"/>
      <c r="AG936" s="91"/>
    </row>
    <row r="937" ht="15.75" customHeight="1">
      <c r="B937" s="182"/>
      <c r="C937" s="3"/>
      <c r="H937" s="3"/>
      <c r="AG937" s="91"/>
    </row>
    <row r="938" ht="15.75" customHeight="1">
      <c r="B938" s="182"/>
      <c r="C938" s="3"/>
      <c r="H938" s="3"/>
      <c r="AG938" s="91"/>
    </row>
    <row r="939" ht="15.75" customHeight="1">
      <c r="B939" s="182"/>
      <c r="C939" s="3"/>
      <c r="H939" s="3"/>
      <c r="AG939" s="91"/>
    </row>
    <row r="940" ht="15.75" customHeight="1">
      <c r="B940" s="182"/>
      <c r="C940" s="3"/>
      <c r="H940" s="3"/>
      <c r="AG940" s="91"/>
    </row>
    <row r="941" ht="15.75" customHeight="1">
      <c r="B941" s="182"/>
      <c r="C941" s="3"/>
      <c r="H941" s="3"/>
      <c r="AG941" s="91"/>
    </row>
    <row r="942" ht="15.75" customHeight="1">
      <c r="B942" s="182"/>
      <c r="C942" s="3"/>
      <c r="H942" s="3"/>
      <c r="AG942" s="91"/>
    </row>
    <row r="943" ht="15.75" customHeight="1">
      <c r="B943" s="182"/>
      <c r="C943" s="3"/>
      <c r="H943" s="3"/>
      <c r="AG943" s="91"/>
    </row>
    <row r="944" ht="15.75" customHeight="1">
      <c r="B944" s="182"/>
      <c r="C944" s="3"/>
      <c r="H944" s="3"/>
      <c r="AG944" s="91"/>
    </row>
    <row r="945" ht="15.75" customHeight="1">
      <c r="B945" s="182"/>
      <c r="C945" s="3"/>
      <c r="H945" s="3"/>
      <c r="AG945" s="91"/>
    </row>
    <row r="946" ht="15.75" customHeight="1">
      <c r="B946" s="182"/>
      <c r="C946" s="3"/>
      <c r="H946" s="3"/>
      <c r="AG946" s="91"/>
    </row>
    <row r="947" ht="15.75" customHeight="1">
      <c r="B947" s="182"/>
      <c r="C947" s="3"/>
      <c r="H947" s="3"/>
      <c r="AG947" s="91"/>
    </row>
    <row r="948" ht="15.75" customHeight="1">
      <c r="B948" s="182"/>
      <c r="C948" s="3"/>
      <c r="H948" s="3"/>
      <c r="AG948" s="91"/>
    </row>
    <row r="949" ht="15.75" customHeight="1">
      <c r="B949" s="182"/>
      <c r="C949" s="3"/>
      <c r="H949" s="3"/>
      <c r="AG949" s="91"/>
    </row>
    <row r="950" ht="15.75" customHeight="1">
      <c r="B950" s="182"/>
      <c r="C950" s="3"/>
      <c r="H950" s="3"/>
      <c r="AG950" s="91"/>
    </row>
    <row r="951" ht="15.75" customHeight="1">
      <c r="B951" s="182"/>
      <c r="C951" s="3"/>
      <c r="H951" s="3"/>
      <c r="AG951" s="91"/>
    </row>
    <row r="952" ht="15.75" customHeight="1">
      <c r="B952" s="182"/>
      <c r="C952" s="3"/>
      <c r="H952" s="3"/>
      <c r="AG952" s="91"/>
    </row>
    <row r="953" ht="15.75" customHeight="1">
      <c r="B953" s="182"/>
      <c r="C953" s="3"/>
      <c r="H953" s="3"/>
      <c r="AG953" s="91"/>
    </row>
    <row r="954" ht="15.75" customHeight="1">
      <c r="B954" s="182"/>
      <c r="C954" s="3"/>
      <c r="H954" s="3"/>
      <c r="AG954" s="91"/>
    </row>
    <row r="955" ht="15.75" customHeight="1">
      <c r="B955" s="182"/>
      <c r="C955" s="3"/>
      <c r="H955" s="3"/>
      <c r="AG955" s="91"/>
    </row>
    <row r="956" ht="15.75" customHeight="1">
      <c r="B956" s="182"/>
      <c r="C956" s="3"/>
      <c r="H956" s="3"/>
      <c r="AG956" s="91"/>
    </row>
    <row r="957" ht="15.75" customHeight="1">
      <c r="B957" s="182"/>
      <c r="C957" s="3"/>
      <c r="H957" s="3"/>
      <c r="AG957" s="91"/>
    </row>
    <row r="958" ht="15.75" customHeight="1">
      <c r="B958" s="182"/>
      <c r="C958" s="3"/>
      <c r="H958" s="3"/>
      <c r="AG958" s="91"/>
    </row>
    <row r="959" ht="15.75" customHeight="1">
      <c r="B959" s="182"/>
      <c r="C959" s="3"/>
      <c r="H959" s="3"/>
      <c r="AG959" s="91"/>
    </row>
    <row r="960" ht="15.75" customHeight="1">
      <c r="B960" s="182"/>
      <c r="C960" s="3"/>
      <c r="H960" s="3"/>
      <c r="AG960" s="91"/>
    </row>
    <row r="961" ht="15.75" customHeight="1">
      <c r="B961" s="182"/>
      <c r="C961" s="3"/>
      <c r="H961" s="3"/>
      <c r="AG961" s="91"/>
    </row>
    <row r="962" ht="15.75" customHeight="1">
      <c r="B962" s="182"/>
      <c r="C962" s="3"/>
      <c r="H962" s="3"/>
      <c r="AG962" s="91"/>
    </row>
    <row r="963" ht="15.75" customHeight="1">
      <c r="B963" s="182"/>
      <c r="C963" s="3"/>
      <c r="H963" s="3"/>
      <c r="AG963" s="91"/>
    </row>
    <row r="964" ht="15.75" customHeight="1">
      <c r="B964" s="182"/>
      <c r="C964" s="3"/>
      <c r="H964" s="3"/>
      <c r="AG964" s="91"/>
    </row>
    <row r="965" ht="15.75" customHeight="1">
      <c r="B965" s="182"/>
      <c r="C965" s="3"/>
      <c r="H965" s="3"/>
      <c r="AG965" s="91"/>
    </row>
    <row r="966" ht="15.75" customHeight="1">
      <c r="B966" s="182"/>
      <c r="C966" s="3"/>
      <c r="H966" s="3"/>
      <c r="AG966" s="91"/>
    </row>
    <row r="967" ht="15.75" customHeight="1">
      <c r="B967" s="182"/>
      <c r="C967" s="3"/>
      <c r="H967" s="3"/>
      <c r="AG967" s="91"/>
    </row>
    <row r="968" ht="15.75" customHeight="1">
      <c r="B968" s="182"/>
      <c r="C968" s="3"/>
      <c r="H968" s="3"/>
      <c r="AG968" s="91"/>
    </row>
    <row r="969" ht="15.75" customHeight="1">
      <c r="B969" s="182"/>
      <c r="C969" s="3"/>
      <c r="H969" s="3"/>
      <c r="AG969" s="91"/>
    </row>
    <row r="970" ht="15.75" customHeight="1">
      <c r="B970" s="182"/>
      <c r="C970" s="3"/>
      <c r="H970" s="3"/>
      <c r="AG970" s="91"/>
    </row>
    <row r="971" ht="15.75" customHeight="1">
      <c r="B971" s="182"/>
      <c r="C971" s="3"/>
      <c r="H971" s="3"/>
      <c r="AG971" s="91"/>
    </row>
    <row r="972" ht="15.75" customHeight="1">
      <c r="B972" s="182"/>
      <c r="C972" s="3"/>
      <c r="H972" s="3"/>
      <c r="AG972" s="91"/>
    </row>
    <row r="973" ht="15.75" customHeight="1">
      <c r="B973" s="182"/>
      <c r="C973" s="3"/>
      <c r="H973" s="3"/>
      <c r="AG973" s="91"/>
    </row>
    <row r="974" ht="15.75" customHeight="1">
      <c r="B974" s="182"/>
      <c r="C974" s="3"/>
      <c r="H974" s="3"/>
      <c r="AG974" s="91"/>
    </row>
    <row r="975" ht="15.75" customHeight="1">
      <c r="B975" s="182"/>
      <c r="C975" s="3"/>
      <c r="H975" s="3"/>
      <c r="AG975" s="91"/>
    </row>
    <row r="976" ht="15.75" customHeight="1">
      <c r="B976" s="182"/>
      <c r="C976" s="3"/>
      <c r="H976" s="3"/>
      <c r="AG976" s="91"/>
    </row>
    <row r="977" ht="15.75" customHeight="1">
      <c r="B977" s="182"/>
      <c r="C977" s="3"/>
      <c r="H977" s="3"/>
      <c r="AG977" s="91"/>
    </row>
    <row r="978" ht="15.75" customHeight="1">
      <c r="B978" s="182"/>
      <c r="C978" s="3"/>
      <c r="H978" s="3"/>
      <c r="AG978" s="91"/>
    </row>
    <row r="979" ht="15.75" customHeight="1">
      <c r="B979" s="182"/>
      <c r="C979" s="3"/>
      <c r="H979" s="3"/>
      <c r="AG979" s="91"/>
    </row>
    <row r="980" ht="15.75" customHeight="1">
      <c r="B980" s="182"/>
      <c r="C980" s="3"/>
      <c r="H980" s="3"/>
      <c r="AG980" s="91"/>
    </row>
    <row r="981" ht="15.75" customHeight="1">
      <c r="B981" s="182"/>
      <c r="C981" s="3"/>
      <c r="H981" s="3"/>
      <c r="AG981" s="91"/>
    </row>
    <row r="982" ht="15.75" customHeight="1">
      <c r="B982" s="182"/>
      <c r="C982" s="3"/>
      <c r="H982" s="3"/>
      <c r="AG982" s="91"/>
    </row>
    <row r="983" ht="15.75" customHeight="1">
      <c r="B983" s="182"/>
      <c r="C983" s="3"/>
      <c r="H983" s="3"/>
      <c r="AG983" s="91"/>
    </row>
    <row r="984" ht="15.75" customHeight="1">
      <c r="B984" s="182"/>
      <c r="C984" s="3"/>
      <c r="H984" s="3"/>
      <c r="AG984" s="91"/>
    </row>
    <row r="985" ht="15.75" customHeight="1">
      <c r="B985" s="182"/>
      <c r="C985" s="3"/>
      <c r="H985" s="3"/>
      <c r="AG985" s="91"/>
    </row>
    <row r="986" ht="15.75" customHeight="1">
      <c r="B986" s="182"/>
      <c r="C986" s="3"/>
      <c r="H986" s="3"/>
      <c r="AG986" s="91"/>
    </row>
    <row r="987" ht="15.75" customHeight="1">
      <c r="B987" s="182"/>
      <c r="C987" s="3"/>
      <c r="H987" s="3"/>
      <c r="AG987" s="91"/>
    </row>
    <row r="988" ht="15.75" customHeight="1">
      <c r="B988" s="182"/>
      <c r="C988" s="3"/>
      <c r="H988" s="3"/>
      <c r="AG988" s="91"/>
    </row>
    <row r="989" ht="15.75" customHeight="1">
      <c r="B989" s="182"/>
      <c r="C989" s="3"/>
      <c r="H989" s="3"/>
      <c r="AG989" s="91"/>
    </row>
    <row r="990" ht="15.75" customHeight="1">
      <c r="B990" s="182"/>
      <c r="C990" s="3"/>
      <c r="H990" s="3"/>
      <c r="AG990" s="91"/>
    </row>
    <row r="991" ht="15.75" customHeight="1">
      <c r="B991" s="182"/>
      <c r="C991" s="3"/>
      <c r="H991" s="3"/>
      <c r="AG991" s="91"/>
    </row>
    <row r="992" ht="15.75" customHeight="1">
      <c r="B992" s="182"/>
      <c r="C992" s="3"/>
      <c r="H992" s="3"/>
      <c r="AG992" s="91"/>
    </row>
    <row r="993" ht="15.75" customHeight="1">
      <c r="B993" s="182"/>
      <c r="C993" s="3"/>
      <c r="H993" s="3"/>
      <c r="AG993" s="91"/>
    </row>
    <row r="994" ht="15.75" customHeight="1">
      <c r="B994" s="182"/>
      <c r="C994" s="3"/>
      <c r="H994" s="3"/>
      <c r="AG994" s="91"/>
    </row>
    <row r="995" ht="15.75" customHeight="1">
      <c r="B995" s="182"/>
      <c r="C995" s="3"/>
      <c r="H995" s="3"/>
      <c r="AG995" s="91"/>
    </row>
    <row r="996" ht="15.75" customHeight="1">
      <c r="B996" s="182"/>
      <c r="C996" s="3"/>
      <c r="H996" s="3"/>
      <c r="AG996" s="91"/>
    </row>
    <row r="997" ht="15.75" customHeight="1">
      <c r="B997" s="182"/>
      <c r="C997" s="3"/>
      <c r="H997" s="3"/>
      <c r="AG997" s="91"/>
    </row>
    <row r="998" ht="15.75" customHeight="1">
      <c r="B998" s="182"/>
      <c r="C998" s="3"/>
      <c r="H998" s="3"/>
      <c r="AG998" s="91"/>
    </row>
    <row r="999" ht="15.75" customHeight="1">
      <c r="B999" s="182"/>
      <c r="C999" s="3"/>
      <c r="H999" s="3"/>
      <c r="AG999" s="91"/>
    </row>
    <row r="1000" ht="15.75" customHeight="1">
      <c r="B1000" s="182"/>
      <c r="C1000" s="3"/>
      <c r="H1000" s="3"/>
      <c r="AG1000" s="91"/>
    </row>
  </sheetData>
  <autoFilter ref="$A$3:$AO$109"/>
  <mergeCells count="2">
    <mergeCell ref="AV5:BD5"/>
    <mergeCell ref="AV26:BA26"/>
  </mergeCells>
  <printOptions/>
  <pageMargins bottom="0.75" footer="0.0" header="0.0" left="0.7" right="0.7" top="0.75"/>
  <pageSetup fitToHeight="0" paperSize="9" orientation="portrait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29"/>
    <col customWidth="1" min="3" max="3" width="11.71"/>
    <col customWidth="1" min="4" max="4" width="42.57"/>
    <col customWidth="1" min="5" max="5" width="15.86"/>
    <col customWidth="1" min="6" max="6" width="15.29"/>
    <col customWidth="1" min="7" max="7" width="12.14"/>
    <col customWidth="1" min="8" max="8" width="11.43"/>
    <col customWidth="1" min="9" max="10" width="10.29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7.71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</cols>
  <sheetData>
    <row r="1" ht="15.0" customHeight="1">
      <c r="A1" s="85"/>
      <c r="B1" s="182"/>
      <c r="C1" s="3"/>
      <c r="D1" s="97" t="s">
        <v>540</v>
      </c>
      <c r="E1" s="98">
        <f>+AI3</f>
        <v>4238.926</v>
      </c>
      <c r="F1" s="97" t="s">
        <v>241</v>
      </c>
      <c r="G1" s="98">
        <f>+$AM3</f>
        <v>451670.3288</v>
      </c>
      <c r="H1" s="183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</row>
    <row r="2" ht="15.0" customHeight="1">
      <c r="B2" s="182"/>
      <c r="C2" s="3"/>
      <c r="D2" s="97" t="s">
        <v>242</v>
      </c>
      <c r="E2" s="98">
        <f>+AH3</f>
        <v>4052.832</v>
      </c>
      <c r="F2" s="99" t="s">
        <v>243</v>
      </c>
      <c r="G2" s="100">
        <f>+Q2</f>
        <v>95.75013523</v>
      </c>
      <c r="H2" s="13"/>
      <c r="I2" s="184">
        <f>SUBTOTAL(9,I4:I359)</f>
        <v>641.72</v>
      </c>
      <c r="J2" s="4"/>
      <c r="K2" s="14">
        <f>SUBTOTAL(9,K4:K359)</f>
        <v>599.894</v>
      </c>
      <c r="L2" s="126">
        <f>+SUMPRODUCT(L5:L359,K5:K359)/K2</f>
        <v>0.2232804412</v>
      </c>
      <c r="M2" s="2"/>
      <c r="O2" s="6"/>
      <c r="P2" s="16">
        <f>+SUMPRODUCT(P4:P359,AH4:AH359)/SUM(AH4:AH359)</f>
        <v>87.55996794</v>
      </c>
      <c r="Q2" s="16">
        <f>+SUMPRODUCT(Q4:Q359,AH4:AH359)/SUM(AH4:AH359)</f>
        <v>95.75013523</v>
      </c>
      <c r="R2" s="12">
        <f>+SUMPRODUCT(R4:R359,AH4:AH359)/SUM(AH4:AH359)</f>
        <v>4930.421293</v>
      </c>
      <c r="S2" s="2"/>
      <c r="AB2" s="7"/>
      <c r="AC2" s="7"/>
      <c r="AD2" s="7"/>
      <c r="AE2" s="7"/>
      <c r="AF2" s="7"/>
      <c r="AG2" s="17">
        <f>SUMPRODUCT($AG4:$AG359,$K4:$K359)/SUM($K4:$K359)</f>
        <v>188.6477893</v>
      </c>
      <c r="AH2" s="18"/>
      <c r="AI2" s="2"/>
      <c r="AJ2" s="19">
        <v>4900.0</v>
      </c>
      <c r="AK2" s="20"/>
      <c r="AL2" s="11"/>
      <c r="AM2" s="21"/>
      <c r="AN2" s="21"/>
      <c r="AO2" s="21"/>
    </row>
    <row r="3" ht="15.0" customHeight="1">
      <c r="A3" s="22" t="s">
        <v>5</v>
      </c>
      <c r="B3" s="185" t="s">
        <v>6</v>
      </c>
      <c r="C3" s="23" t="s">
        <v>7</v>
      </c>
      <c r="D3" s="101" t="s">
        <v>8</v>
      </c>
      <c r="E3" s="102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SUBTOTAL(9,AH4:AH359)</f>
        <v>4052.832</v>
      </c>
      <c r="AI3" s="186">
        <f t="shared" si="1"/>
        <v>4238.926</v>
      </c>
      <c r="AJ3" s="187">
        <f>SUMPRODUCT(K4:K359,AJ4:AJ359)/K2</f>
        <v>18.05320329</v>
      </c>
      <c r="AK3" s="39">
        <f>SUBTOTAL(9,AK4:AK359)</f>
        <v>3524.810936</v>
      </c>
      <c r="AL3" s="11"/>
      <c r="AM3" s="39">
        <f>SUBTOTAL(9,AM4:AM359)</f>
        <v>451670.3288</v>
      </c>
      <c r="AN3" s="127" t="s">
        <v>542</v>
      </c>
      <c r="AO3" s="188" t="s">
        <v>543</v>
      </c>
      <c r="AP3" s="131" t="s">
        <v>544</v>
      </c>
      <c r="AQ3" s="131" t="s">
        <v>545</v>
      </c>
      <c r="AS3" s="129"/>
    </row>
    <row r="4" ht="15.75" customHeight="1">
      <c r="A4" s="41"/>
      <c r="B4" s="190"/>
      <c r="C4" s="190"/>
      <c r="D4" s="42"/>
      <c r="E4" s="43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</row>
    <row r="5" ht="15.0" customHeight="1">
      <c r="A5" s="116" t="s">
        <v>3418</v>
      </c>
      <c r="B5" s="182">
        <v>46050.0</v>
      </c>
      <c r="C5" s="182">
        <v>46045.0</v>
      </c>
      <c r="D5" s="2" t="s">
        <v>806</v>
      </c>
      <c r="E5" s="3">
        <f t="array" ref="E5">XLOOKUP(D5,RUC!$B$3:$B$110,RUC!$D$3:$D$110)</f>
        <v>20614284740</v>
      </c>
      <c r="G5" s="3">
        <v>71.0</v>
      </c>
      <c r="H5" s="3" t="s">
        <v>47</v>
      </c>
      <c r="I5" s="6">
        <v>7.41</v>
      </c>
      <c r="J5" s="58">
        <v>2.85</v>
      </c>
      <c r="K5" s="6">
        <f t="shared" ref="K5:K102" si="2">ROUND(+I5-(I5*(J5/100)),3)</f>
        <v>7.199</v>
      </c>
      <c r="L5" s="139">
        <v>0.138</v>
      </c>
      <c r="M5" s="60">
        <f t="shared" ref="M5:M7" si="3">ROUND(+IF(AN5="Melchor Vera",IF(L5&gt;0.467,L5*0.985,(L5-0.007)),IF(L5&gt;0.3,L5*0.94,(L5-0.019))),3)</f>
        <v>0.119</v>
      </c>
      <c r="N5" s="62">
        <f t="shared" ref="N5:N8" si="4">+M5</f>
        <v>0.119</v>
      </c>
      <c r="O5" s="60">
        <f t="shared" ref="O5:O11" si="5">+ROUND((M5+N5)/2,3)</f>
        <v>0.119</v>
      </c>
      <c r="P5" s="63">
        <v>80.0</v>
      </c>
      <c r="Q5" s="58">
        <v>86.23</v>
      </c>
      <c r="R5" s="65">
        <v>4946.25</v>
      </c>
      <c r="S5" s="66">
        <f t="array" ref="S5">IF((XLOOKUP(D5,RUC!$B$3:$B$106,RUC!$E$3:$E$106)+ROUNDDOWN(O5,1)*100)&lt;95,95,((XLOOKUP(D5,RUC!$B$3:$B$106,RUC!$E$3:$E$106)+ROUNDDOWN(O5,1)*100)))</f>
        <v>100</v>
      </c>
      <c r="U5" s="67">
        <f t="array" ref="U5">XLOOKUP(D5,RUC!$B$3:$B$110,RUC!$F$3:$F$110)</f>
        <v>120</v>
      </c>
      <c r="V5" s="67">
        <v>1.1023</v>
      </c>
      <c r="Y5" s="57">
        <f t="array" ref="Y5">XLOOKUP(D5,RUC!$B$3:$B$110,RUC!$G$3:$G$110)</f>
        <v>20</v>
      </c>
      <c r="Z5" s="69">
        <f t="array" ref="Z5">XLOOKUP(D5,RUC!$B$3:$B$110,RUC!$H$3:$H$110)</f>
        <v>30</v>
      </c>
      <c r="AA5" s="70">
        <f t="shared" ref="AA5:AA80" si="6">+Y5+Z5</f>
        <v>50</v>
      </c>
      <c r="AB5" s="71">
        <f t="shared" ref="AB5:AB65" si="7">+((O5*P5*(R5-U5)/100)-S5-AA5+T5)*V5</f>
        <v>341.1166557</v>
      </c>
      <c r="AC5" s="71">
        <f>+(S5-T5)*V5-'data 1'!$F$4</f>
        <v>30.23</v>
      </c>
      <c r="AD5" s="71">
        <f t="shared" ref="AD5:AD80" si="8">+(Q5-P5)*(R5-U5)*L5*V5/100</f>
        <v>45.73795629</v>
      </c>
      <c r="AE5" s="71">
        <f t="shared" ref="AE5:AE80" si="9">+(Y5*V5-70)+V5*(Z5-IF(D5="UNTUCA",IF(+((W5-3)*2.5+(X5-3)*3.1)&gt;0,+((W5-3)*1.5+(X5-3)*3.1),0),IF(+((W5-3)*1.5+(X5-3)*3.1)&gt;0,+((W5-3)*1.5+(X5-3)*3.1),0)))</f>
        <v>-14.885</v>
      </c>
      <c r="AF5" s="71">
        <f t="shared" ref="AF5:AF80" si="10">(L5-O5)*(R5-U5)*Q5*V5/100</f>
        <v>87.16088055</v>
      </c>
      <c r="AG5" s="72">
        <f>AC5+AD5+AE5+AF5+70</f>
        <v>218.2438368</v>
      </c>
      <c r="AH5" s="193">
        <f t="shared" ref="AH5:AH80" si="11">ROUND((31.1035*L5*Q5*1.1023*K5/100),3)</f>
        <v>29.371</v>
      </c>
      <c r="AI5" s="193">
        <f t="shared" ref="AI5:AI80" si="12">ROUND((31.1035*L5*1.1023*K5),3)</f>
        <v>34.061</v>
      </c>
      <c r="AJ5" s="73">
        <f t="shared" ref="AJ5:AJ80" si="13">+((+$AJ$2-R5+U5)*L5*Q5*V5)/100</f>
        <v>9.673849009</v>
      </c>
      <c r="AK5" s="73">
        <f t="shared" ref="AK5:AK80" si="14">31.1035*1.1023*K5*P5*O5/100</f>
        <v>23.49731242</v>
      </c>
      <c r="AM5" s="51">
        <f t="shared" ref="AM5:AM80" si="15">+IF(AB5*K5&gt;0,AB5*K5,0)</f>
        <v>2455.698804</v>
      </c>
      <c r="AN5" s="51" t="str">
        <f t="array" ref="AN5">XLOOKUP(D5,RUC!$B$3:$B$565,RUC!$M$3:$M$565)</f>
        <v>Dante </v>
      </c>
      <c r="AO5" s="131" t="s">
        <v>551</v>
      </c>
      <c r="AP5" s="57" t="s">
        <v>2564</v>
      </c>
      <c r="AQ5" s="57" t="s">
        <v>3419</v>
      </c>
      <c r="AV5" s="149" t="s">
        <v>3420</v>
      </c>
      <c r="AW5" s="150"/>
      <c r="AX5" s="150"/>
      <c r="AY5" s="150"/>
      <c r="AZ5" s="150"/>
      <c r="BA5" s="150"/>
      <c r="BB5" s="150"/>
      <c r="BC5" s="150"/>
      <c r="BD5" s="151"/>
    </row>
    <row r="6" ht="15.0" customHeight="1">
      <c r="A6" s="116" t="s">
        <v>3421</v>
      </c>
      <c r="B6" s="182">
        <v>46052.0</v>
      </c>
      <c r="C6" s="182">
        <v>46048.0</v>
      </c>
      <c r="D6" s="57" t="s">
        <v>306</v>
      </c>
      <c r="E6" s="3">
        <f t="array" ref="E6">XLOOKUP(D6,RUC!$B$3:$B$110,RUC!$D$3:$D$110)</f>
        <v>20612921866</v>
      </c>
      <c r="G6" s="3">
        <v>28.0</v>
      </c>
      <c r="H6" s="3" t="s">
        <v>47</v>
      </c>
      <c r="I6" s="6">
        <v>2.77</v>
      </c>
      <c r="J6" s="58">
        <v>1.3</v>
      </c>
      <c r="K6" s="6">
        <f t="shared" si="2"/>
        <v>2.734</v>
      </c>
      <c r="L6" s="139">
        <v>0.125</v>
      </c>
      <c r="M6" s="60">
        <f t="shared" si="3"/>
        <v>0.106</v>
      </c>
      <c r="N6" s="62">
        <f t="shared" si="4"/>
        <v>0.106</v>
      </c>
      <c r="O6" s="60">
        <f t="shared" si="5"/>
        <v>0.106</v>
      </c>
      <c r="P6" s="63">
        <v>90.0</v>
      </c>
      <c r="Q6" s="58">
        <v>94.4</v>
      </c>
      <c r="R6" s="65">
        <v>5090.8</v>
      </c>
      <c r="S6" s="66">
        <f t="array" ref="S6">IF((XLOOKUP(D6,RUC!$B$3:$B$106,RUC!$E$3:$E$106)+ROUNDDOWN(O6,1)*100)&lt;95,95,((XLOOKUP(D6,RUC!$B$3:$B$106,RUC!$E$3:$E$106)+ROUNDDOWN(O6,1)*100)))</f>
        <v>95</v>
      </c>
      <c r="U6" s="67">
        <f t="array" ref="U6">XLOOKUP(D6,RUC!$B$3:$B$110,RUC!$F$3:$F$110)</f>
        <v>100</v>
      </c>
      <c r="V6" s="67">
        <v>1.1023</v>
      </c>
      <c r="Y6" s="57" t="str">
        <f t="array" ref="Y6">XLOOKUP(D6,RUC!$B$3:$B$110,RUC!$G$3:$G$110)</f>
        <v/>
      </c>
      <c r="Z6" s="69">
        <f t="array" ref="Z6">XLOOKUP(D6,RUC!$B$3:$B$110,RUC!$H$3:$H$110)</f>
        <v>30</v>
      </c>
      <c r="AA6" s="70">
        <f t="shared" si="6"/>
        <v>30</v>
      </c>
      <c r="AB6" s="71">
        <f t="shared" si="7"/>
        <v>387.0421333</v>
      </c>
      <c r="AC6" s="71">
        <f>+(S6-T6)*V6-'data 1'!$F$4</f>
        <v>24.7185</v>
      </c>
      <c r="AD6" s="71">
        <f t="shared" si="8"/>
        <v>30.25747362</v>
      </c>
      <c r="AE6" s="71">
        <f t="shared" si="9"/>
        <v>-36.931</v>
      </c>
      <c r="AF6" s="71">
        <f t="shared" si="10"/>
        <v>98.67237215</v>
      </c>
      <c r="AG6" s="72">
        <f>AC6+AD6+AE6+AF6+70-10</f>
        <v>176.7173458</v>
      </c>
      <c r="AH6" s="193">
        <f t="shared" si="11"/>
        <v>11.061</v>
      </c>
      <c r="AI6" s="193">
        <f t="shared" si="12"/>
        <v>11.717</v>
      </c>
      <c r="AJ6" s="73">
        <f t="shared" si="13"/>
        <v>-11.81048312</v>
      </c>
      <c r="AK6" s="73">
        <f t="shared" si="14"/>
        <v>8.942438339</v>
      </c>
      <c r="AM6" s="51">
        <f t="shared" si="15"/>
        <v>1058.173193</v>
      </c>
      <c r="AN6" s="51" t="str">
        <f t="array" ref="AN6">XLOOKUP(D6,RUC!$B$3:$B$565,RUC!$M$3:$M$565)</f>
        <v>Ronald Garibay</v>
      </c>
      <c r="AO6" s="131" t="s">
        <v>547</v>
      </c>
      <c r="AP6" s="57" t="s">
        <v>713</v>
      </c>
      <c r="AQ6" s="57" t="s">
        <v>714</v>
      </c>
      <c r="AV6" s="131"/>
      <c r="AW6" s="131"/>
      <c r="AX6" s="131"/>
      <c r="AY6" s="131"/>
      <c r="AZ6" s="131"/>
      <c r="BA6" s="131"/>
      <c r="BB6" s="131"/>
      <c r="BC6" s="131"/>
      <c r="BD6" s="131"/>
    </row>
    <row r="7" ht="15.0" customHeight="1">
      <c r="A7" s="116" t="s">
        <v>3422</v>
      </c>
      <c r="B7" s="182">
        <v>46057.0</v>
      </c>
      <c r="C7" s="182">
        <v>46048.0</v>
      </c>
      <c r="D7" s="57" t="s">
        <v>730</v>
      </c>
      <c r="E7" s="3">
        <f t="array" ref="E7">XLOOKUP(D7,RUC!$B$3:$B$110,RUC!$D$3:$D$110)</f>
        <v>20613935151</v>
      </c>
      <c r="G7" s="3">
        <v>110.0</v>
      </c>
      <c r="H7" s="3" t="s">
        <v>47</v>
      </c>
      <c r="I7" s="6">
        <v>8.67</v>
      </c>
      <c r="J7" s="58">
        <v>3.0</v>
      </c>
      <c r="K7" s="6">
        <f t="shared" si="2"/>
        <v>8.41</v>
      </c>
      <c r="L7" s="139">
        <v>0.122</v>
      </c>
      <c r="M7" s="60">
        <f t="shared" si="3"/>
        <v>0.103</v>
      </c>
      <c r="N7" s="62">
        <f t="shared" si="4"/>
        <v>0.103</v>
      </c>
      <c r="O7" s="60">
        <f t="shared" si="5"/>
        <v>0.103</v>
      </c>
      <c r="P7" s="63">
        <v>80.0</v>
      </c>
      <c r="Q7" s="58">
        <v>97.54</v>
      </c>
      <c r="R7" s="65">
        <v>5090.8</v>
      </c>
      <c r="S7" s="66">
        <f t="array" ref="S7">IF((XLOOKUP(D7,RUC!$B$3:$B$106,RUC!$E$3:$E$106)+ROUNDDOWN(O7,1)*100)&lt;95,95,((XLOOKUP(D7,RUC!$B$3:$B$106,RUC!$E$3:$E$106)+ROUNDDOWN(O7,1)*100)))</f>
        <v>100</v>
      </c>
      <c r="U7" s="67">
        <f t="array" ref="U7">XLOOKUP(D7,RUC!$B$3:$B$110,RUC!$F$3:$F$110)</f>
        <v>120</v>
      </c>
      <c r="V7" s="67">
        <v>1.1023</v>
      </c>
      <c r="Y7" s="57">
        <f t="array" ref="Y7">XLOOKUP(D7,RUC!$B$3:$B$110,RUC!$G$3:$G$110)</f>
        <v>20</v>
      </c>
      <c r="Z7" s="69">
        <f t="array" ref="Z7">XLOOKUP(D7,RUC!$B$3:$B$110,RUC!$H$3:$H$110)</f>
        <v>30</v>
      </c>
      <c r="AA7" s="70">
        <f t="shared" si="6"/>
        <v>50</v>
      </c>
      <c r="AB7" s="71">
        <f t="shared" si="7"/>
        <v>286.150378</v>
      </c>
      <c r="AC7" s="71">
        <f>+(S7-T7)*V7-'data 1'!$F$4</f>
        <v>30.23</v>
      </c>
      <c r="AD7" s="71">
        <f t="shared" si="8"/>
        <v>117.2507196</v>
      </c>
      <c r="AE7" s="71">
        <f t="shared" si="9"/>
        <v>-14.885</v>
      </c>
      <c r="AF7" s="71">
        <f t="shared" si="10"/>
        <v>101.5459131</v>
      </c>
      <c r="AG7" s="72">
        <f>AC7+AD7+AE7+AF7+70</f>
        <v>304.1416327</v>
      </c>
      <c r="AH7" s="193">
        <f t="shared" si="11"/>
        <v>34.312</v>
      </c>
      <c r="AI7" s="193">
        <f t="shared" si="12"/>
        <v>35.177</v>
      </c>
      <c r="AJ7" s="73">
        <f t="shared" si="13"/>
        <v>-9.287004309</v>
      </c>
      <c r="AK7" s="73">
        <f t="shared" si="14"/>
        <v>23.75922535</v>
      </c>
      <c r="AM7" s="51">
        <f t="shared" si="15"/>
        <v>2406.524679</v>
      </c>
      <c r="AN7" s="51" t="str">
        <f t="array" ref="AN7">XLOOKUP(D7,RUC!$B$3:$B$565,RUC!$M$3:$M$565)</f>
        <v>Dante </v>
      </c>
      <c r="AO7" s="131" t="s">
        <v>547</v>
      </c>
      <c r="AP7" s="57" t="s">
        <v>706</v>
      </c>
      <c r="AQ7" s="57" t="s">
        <v>3423</v>
      </c>
      <c r="AW7" s="195">
        <f>SUM(AW9:AW18)</f>
        <v>599.894</v>
      </c>
      <c r="AX7" s="196">
        <f>SUMPRODUCT(AW9:AW18,AX9:AX18)/SUM(AW9:AW18)</f>
        <v>0.2232804412</v>
      </c>
      <c r="AY7" s="197"/>
      <c r="AZ7" s="198">
        <f>SUMPRODUCT(AZ9:AZ18,$BB9:$BB18)/SUM($BB9:$BB18)/100</f>
        <v>0.9575013523</v>
      </c>
      <c r="BA7" s="82">
        <f t="shared" ref="BA7:BB7" si="16">SUM(BA9:BA18)</f>
        <v>4592.342485</v>
      </c>
      <c r="BB7" s="82">
        <f t="shared" si="16"/>
        <v>4052.832</v>
      </c>
    </row>
    <row r="8" ht="15.0" customHeight="1">
      <c r="A8" s="116" t="s">
        <v>3424</v>
      </c>
      <c r="B8" s="182">
        <v>45691.0</v>
      </c>
      <c r="C8" s="182">
        <v>46050.0</v>
      </c>
      <c r="D8" s="57" t="s">
        <v>3122</v>
      </c>
      <c r="E8" s="3">
        <f t="array" ref="E8">XLOOKUP(D8,RUC!$B$3:$B$110,RUC!$D$3:$D$110)</f>
        <v>20614635101</v>
      </c>
      <c r="G8" s="3">
        <v>79.0</v>
      </c>
      <c r="H8" s="3" t="s">
        <v>47</v>
      </c>
      <c r="I8" s="6">
        <v>9.85</v>
      </c>
      <c r="J8" s="58">
        <v>3.25</v>
      </c>
      <c r="K8" s="6">
        <f t="shared" si="2"/>
        <v>9.53</v>
      </c>
      <c r="L8" s="139">
        <v>0.112</v>
      </c>
      <c r="M8" s="61">
        <v>0.1</v>
      </c>
      <c r="N8" s="62">
        <f t="shared" si="4"/>
        <v>0.1</v>
      </c>
      <c r="O8" s="60">
        <f t="shared" si="5"/>
        <v>0.1</v>
      </c>
      <c r="P8" s="63">
        <v>80.0</v>
      </c>
      <c r="Q8" s="58">
        <v>81.2</v>
      </c>
      <c r="R8" s="65">
        <v>5306.95</v>
      </c>
      <c r="S8" s="66">
        <f t="array" ref="S8">IF((XLOOKUP(D8,RUC!$B$3:$B$106,RUC!$E$3:$E$106)+ROUNDDOWN(O8,1)*100)&lt;95,95,((XLOOKUP(D8,RUC!$B$3:$B$106,RUC!$E$3:$E$106)+ROUNDDOWN(O8,1)*100)))</f>
        <v>95</v>
      </c>
      <c r="U8" s="67">
        <f t="array" ref="U8">XLOOKUP(D8,RUC!$B$3:$B$110,RUC!$F$3:$F$110)</f>
        <v>100</v>
      </c>
      <c r="V8" s="67">
        <v>1.1023</v>
      </c>
      <c r="Y8" s="57" t="str">
        <f t="array" ref="Y8">XLOOKUP(D8,RUC!$B$3:$B$110,RUC!$G$3:$G$110)</f>
        <v/>
      </c>
      <c r="Z8" s="69">
        <f t="array" ref="Z8">XLOOKUP(D8,RUC!$B$3:$B$110,RUC!$H$3:$H$110)</f>
        <v>30</v>
      </c>
      <c r="AA8" s="70">
        <f t="shared" si="6"/>
        <v>30</v>
      </c>
      <c r="AB8" s="71">
        <f t="shared" si="7"/>
        <v>321.3821788</v>
      </c>
      <c r="AC8" s="71">
        <f>+(S8-T8)*V8-'data 1'!$F$4</f>
        <v>24.7185</v>
      </c>
      <c r="AD8" s="71">
        <f t="shared" si="8"/>
        <v>7.714050604</v>
      </c>
      <c r="AE8" s="71">
        <f t="shared" si="9"/>
        <v>-36.931</v>
      </c>
      <c r="AF8" s="71">
        <f t="shared" si="10"/>
        <v>55.92686688</v>
      </c>
      <c r="AG8" s="72">
        <f>AC8+AD8+AE8+AF8+70-10</f>
        <v>111.4284175</v>
      </c>
      <c r="AH8" s="193">
        <f t="shared" si="11"/>
        <v>29.715</v>
      </c>
      <c r="AI8" s="193">
        <f t="shared" si="12"/>
        <v>36.595</v>
      </c>
      <c r="AJ8" s="73">
        <f t="shared" si="13"/>
        <v>-30.77099198</v>
      </c>
      <c r="AK8" s="73">
        <f t="shared" si="14"/>
        <v>26.13917985</v>
      </c>
      <c r="AM8" s="51">
        <f t="shared" si="15"/>
        <v>3062.772164</v>
      </c>
      <c r="AN8" s="51" t="str">
        <f t="array" ref="AN8">XLOOKUP(D8,RUC!$B$3:$B$565,RUC!$M$3:$M$565)</f>
        <v>Ronald Garibay</v>
      </c>
      <c r="AO8" s="131" t="s">
        <v>547</v>
      </c>
      <c r="AP8" s="57" t="s">
        <v>3123</v>
      </c>
      <c r="AQ8" s="57" t="s">
        <v>3124</v>
      </c>
      <c r="AV8" s="3"/>
      <c r="AW8" s="3" t="s">
        <v>14</v>
      </c>
      <c r="AX8" s="3" t="s">
        <v>683</v>
      </c>
      <c r="AY8" s="143" t="s">
        <v>683</v>
      </c>
      <c r="AZ8" s="3" t="s">
        <v>685</v>
      </c>
      <c r="BA8" s="3" t="s">
        <v>686</v>
      </c>
      <c r="BB8" s="3" t="s">
        <v>687</v>
      </c>
      <c r="BC8" s="3" t="s">
        <v>698</v>
      </c>
      <c r="BD8" s="65" t="s">
        <v>699</v>
      </c>
    </row>
    <row r="9" ht="15.0" customHeight="1">
      <c r="A9" s="116" t="s">
        <v>3425</v>
      </c>
      <c r="B9" s="182">
        <v>46066.0</v>
      </c>
      <c r="C9" s="182">
        <v>46059.0</v>
      </c>
      <c r="D9" s="57" t="s">
        <v>225</v>
      </c>
      <c r="E9" s="3">
        <f t="array" ref="E9">XLOOKUP(D9,RUC!$B$3:$B$110,RUC!$D$3:$D$110)</f>
        <v>10761932735</v>
      </c>
      <c r="G9" s="3">
        <v>35.0</v>
      </c>
      <c r="H9" s="3" t="s">
        <v>47</v>
      </c>
      <c r="I9" s="6">
        <v>3.34</v>
      </c>
      <c r="J9" s="58">
        <v>11.8</v>
      </c>
      <c r="K9" s="6">
        <f t="shared" si="2"/>
        <v>2.946</v>
      </c>
      <c r="L9" s="139">
        <v>0.141</v>
      </c>
      <c r="M9" s="60">
        <f t="shared" ref="M9:M23" si="17">ROUND(+IF(AN9="Melchor Vera",IF(L9&gt;0.467,L9*0.985,(L9-0.007)),IF(L9&gt;0.3,L9*0.94,(L9-0.019))),3)</f>
        <v>0.122</v>
      </c>
      <c r="N9" s="75">
        <v>0.176</v>
      </c>
      <c r="O9" s="60">
        <f t="shared" si="5"/>
        <v>0.149</v>
      </c>
      <c r="P9" s="63">
        <v>85.0</v>
      </c>
      <c r="Q9" s="58">
        <v>97.87</v>
      </c>
      <c r="R9" s="65">
        <v>4948.0</v>
      </c>
      <c r="S9" s="66">
        <f t="array" ref="S9">IF((XLOOKUP(D9,RUC!$B$3:$B$106,RUC!$E$3:$E$106)+ROUNDDOWN(O9,1)*100)&lt;95,95,((XLOOKUP(D9,RUC!$B$3:$B$106,RUC!$E$3:$E$106)+ROUNDDOWN(O9,1)*100)))</f>
        <v>100</v>
      </c>
      <c r="U9" s="67">
        <f t="array" ref="U9">XLOOKUP(D9,RUC!$B$3:$B$110,RUC!$F$3:$F$110)</f>
        <v>120</v>
      </c>
      <c r="V9" s="67">
        <v>1.1023</v>
      </c>
      <c r="Y9" s="199">
        <v>40.0</v>
      </c>
      <c r="Z9" s="69">
        <f t="array" ref="Z9">XLOOKUP(D9,RUC!$B$3:$B$110,RUC!$H$3:$H$110)</f>
        <v>30</v>
      </c>
      <c r="AA9" s="70">
        <f t="shared" si="6"/>
        <v>70</v>
      </c>
      <c r="AB9" s="71">
        <f t="shared" si="7"/>
        <v>486.6281923</v>
      </c>
      <c r="AC9" s="71">
        <f>+(S9-T9)*V9-'data 1'!$F$4</f>
        <v>30.23</v>
      </c>
      <c r="AD9" s="71">
        <f t="shared" si="8"/>
        <v>96.57500258</v>
      </c>
      <c r="AE9" s="71">
        <f t="shared" si="9"/>
        <v>7.161</v>
      </c>
      <c r="AF9" s="71">
        <f t="shared" si="10"/>
        <v>-41.66838269</v>
      </c>
      <c r="AG9" s="72">
        <f t="shared" ref="AG9:AG17" si="18">AC9+AD9+AE9+AF9+70-53</f>
        <v>109.2976199</v>
      </c>
      <c r="AH9" s="193">
        <f t="shared" si="11"/>
        <v>13.938</v>
      </c>
      <c r="AI9" s="193">
        <f t="shared" si="12"/>
        <v>14.242</v>
      </c>
      <c r="AJ9" s="73">
        <f t="shared" si="13"/>
        <v>10.95219089</v>
      </c>
      <c r="AK9" s="73">
        <f t="shared" si="14"/>
        <v>12.79225199</v>
      </c>
      <c r="AM9" s="51">
        <f t="shared" si="15"/>
        <v>1433.606654</v>
      </c>
      <c r="AN9" s="122" t="str">
        <f t="array" ref="AN9">XLOOKUP(D9,RUC!$B$3:$B$565,RUC!$M$3:$M$565)</f>
        <v>Richard Sapacayo</v>
      </c>
      <c r="AO9" s="131" t="s">
        <v>551</v>
      </c>
      <c r="AP9" s="57" t="s">
        <v>3221</v>
      </c>
      <c r="AQ9" s="57" t="s">
        <v>3222</v>
      </c>
      <c r="AV9" s="152" t="s">
        <v>558</v>
      </c>
      <c r="AW9" s="154">
        <f t="shared" ref="AW9:AW18" si="19">SUMIF($AO$4:$AO$467,AV9,$K$4:$K$467)</f>
        <v>133.283</v>
      </c>
      <c r="AX9" s="154">
        <f t="array" ref="AX9">+SUMPRODUCT(IF($AO$4:$AO$467=AV9,$L$4:$L$467*$K$4:$K$467/AW9))</f>
        <v>0.2129876278</v>
      </c>
      <c r="AY9" s="155">
        <f t="shared" ref="AY9:AY18" si="20">31.1035*1.1023*AX9*(100-AZ9)/100</f>
        <v>0.403141983</v>
      </c>
      <c r="AZ9" s="157">
        <f t="array" ref="AZ9">+SUMPRODUCT(IF($AO$4:$AO$467=AV9,($Q$4:$Q$467*$AH$4:$AH$467)/SUMIF($AO$4:$AO$467,$AV9,$AH$4:$AH$467)))</f>
        <v>94.47929448</v>
      </c>
      <c r="BA9" s="200">
        <f t="shared" ref="BA9:BA18" si="21">+AX9*31.1035*1.1023*AW9</f>
        <v>973.2809104</v>
      </c>
      <c r="BB9" s="156">
        <f t="shared" ref="BB9:BB17" si="22">SUMIF($AO$4:$AO$457,$AV9,$AH$4)</f>
        <v>918.943</v>
      </c>
      <c r="BC9" s="157">
        <f>+BA9-BB9</f>
        <v>54.33791037</v>
      </c>
      <c r="BD9" s="158">
        <f>+AW9</f>
        <v>133.283</v>
      </c>
    </row>
    <row r="10" ht="15.0" customHeight="1">
      <c r="A10" s="116" t="s">
        <v>3426</v>
      </c>
      <c r="B10" s="182">
        <v>46066.0</v>
      </c>
      <c r="C10" s="182">
        <v>46059.0</v>
      </c>
      <c r="D10" s="57" t="s">
        <v>225</v>
      </c>
      <c r="E10" s="3">
        <f t="array" ref="E10">XLOOKUP(D10,RUC!$B$3:$B$110,RUC!$D$3:$D$110)</f>
        <v>10761932735</v>
      </c>
      <c r="G10" s="3">
        <v>124.0</v>
      </c>
      <c r="H10" s="3" t="s">
        <v>47</v>
      </c>
      <c r="I10" s="6">
        <v>10.63</v>
      </c>
      <c r="J10" s="58">
        <v>11.8</v>
      </c>
      <c r="K10" s="6">
        <f t="shared" si="2"/>
        <v>9.376</v>
      </c>
      <c r="L10" s="139">
        <v>0.127</v>
      </c>
      <c r="M10" s="60">
        <f t="shared" si="17"/>
        <v>0.108</v>
      </c>
      <c r="N10" s="62">
        <f t="shared" ref="N10:N12" si="23">+M10</f>
        <v>0.108</v>
      </c>
      <c r="O10" s="60">
        <f t="shared" si="5"/>
        <v>0.108</v>
      </c>
      <c r="P10" s="63">
        <v>80.0</v>
      </c>
      <c r="Q10" s="58">
        <v>90.55</v>
      </c>
      <c r="R10" s="65">
        <v>4948.0</v>
      </c>
      <c r="S10" s="66">
        <f t="array" ref="S10">IF((XLOOKUP(D10,RUC!$B$3:$B$106,RUC!$E$3:$E$106)+ROUNDDOWN(O10,1)*100)&lt;95,95,((XLOOKUP(D10,RUC!$B$3:$B$106,RUC!$E$3:$E$106)+ROUNDDOWN(O10,1)*100)))</f>
        <v>100</v>
      </c>
      <c r="U10" s="67">
        <f t="array" ref="U10">XLOOKUP(D10,RUC!$B$3:$B$110,RUC!$F$3:$F$110)</f>
        <v>120</v>
      </c>
      <c r="V10" s="67">
        <v>1.1023</v>
      </c>
      <c r="Y10" s="57">
        <f t="array" ref="Y10">XLOOKUP(D10,RUC!$B$3:$B$110,RUC!$G$3:$G$110)</f>
        <v>20</v>
      </c>
      <c r="Z10" s="69">
        <f t="array" ref="Z10">XLOOKUP(D10,RUC!$B$3:$B$110,RUC!$H$3:$H$110)</f>
        <v>30</v>
      </c>
      <c r="AA10" s="70">
        <f t="shared" si="6"/>
        <v>50</v>
      </c>
      <c r="AB10" s="71">
        <f t="shared" si="7"/>
        <v>294.4675402</v>
      </c>
      <c r="AC10" s="71">
        <f>+(S10-T10)*V10-'data 1'!$F$4</f>
        <v>30.23</v>
      </c>
      <c r="AD10" s="71">
        <f t="shared" si="8"/>
        <v>71.3055361</v>
      </c>
      <c r="AE10" s="71">
        <f t="shared" si="9"/>
        <v>-14.885</v>
      </c>
      <c r="AF10" s="71">
        <f t="shared" si="10"/>
        <v>91.56070425</v>
      </c>
      <c r="AG10" s="72">
        <f t="shared" si="18"/>
        <v>195.2112404</v>
      </c>
      <c r="AH10" s="193">
        <f t="shared" si="11"/>
        <v>36.967</v>
      </c>
      <c r="AI10" s="193">
        <f t="shared" si="12"/>
        <v>40.825</v>
      </c>
      <c r="AJ10" s="73">
        <f t="shared" si="13"/>
        <v>9.126924952</v>
      </c>
      <c r="AK10" s="73">
        <f t="shared" si="14"/>
        <v>27.77412658</v>
      </c>
      <c r="AM10" s="51">
        <f t="shared" si="15"/>
        <v>2760.927657</v>
      </c>
      <c r="AN10" s="122" t="str">
        <f t="array" ref="AN10">XLOOKUP(D10,RUC!$B$3:$B$565,RUC!$M$3:$M$565)</f>
        <v>Richard Sapacayo</v>
      </c>
      <c r="AO10" s="131" t="s">
        <v>547</v>
      </c>
      <c r="AP10" s="57" t="s">
        <v>1895</v>
      </c>
      <c r="AQ10" s="57" t="s">
        <v>2523</v>
      </c>
      <c r="AV10" s="160" t="s">
        <v>551</v>
      </c>
      <c r="AW10" s="6">
        <f t="shared" si="19"/>
        <v>130.661</v>
      </c>
      <c r="AX10" s="6">
        <f t="array" ref="AX10">+SUMPRODUCT(IF($AO$4:$AO$467=AV10,$L$4:$L$467*$K$4:$K$467/AW10))</f>
        <v>0.2285691063</v>
      </c>
      <c r="AY10" s="145">
        <f t="shared" si="20"/>
        <v>0.2630431394</v>
      </c>
      <c r="AZ10" s="58">
        <f t="array" ref="AZ10">+SUMPRODUCT(IF($AO$4:$AO$467=AV10,($Q$4:$Q$467*$AH$4:$AH$467)/SUMIF($AO$4:$AO$467,$AV10,$AH$4:$AH$467)))</f>
        <v>96.6433939</v>
      </c>
      <c r="BA10" s="5">
        <f t="shared" si="21"/>
        <v>1023.935446</v>
      </c>
      <c r="BB10" s="65">
        <f t="shared" si="22"/>
        <v>988.521</v>
      </c>
      <c r="BC10" s="58">
        <f t="shared" ref="BC10:BC18" si="24">+BC9+BA10-BB10</f>
        <v>89.75235589</v>
      </c>
      <c r="BD10" s="161">
        <f t="shared" ref="BD10:BD18" si="25">+BD9+AW10</f>
        <v>263.944</v>
      </c>
    </row>
    <row r="11" ht="15.0" customHeight="1">
      <c r="A11" s="116" t="s">
        <v>3427</v>
      </c>
      <c r="B11" s="182">
        <v>46071.0</v>
      </c>
      <c r="C11" s="182">
        <v>46059.0</v>
      </c>
      <c r="D11" s="57" t="s">
        <v>225</v>
      </c>
      <c r="E11" s="3">
        <f t="array" ref="E11">XLOOKUP(D11,RUC!$B$3:$B$110,RUC!$D$3:$D$110)</f>
        <v>10761932735</v>
      </c>
      <c r="G11" s="3" t="s">
        <v>735</v>
      </c>
      <c r="H11" s="3" t="s">
        <v>47</v>
      </c>
      <c r="I11" s="6">
        <v>34.48</v>
      </c>
      <c r="J11" s="58">
        <v>5.0</v>
      </c>
      <c r="K11" s="6">
        <f t="shared" si="2"/>
        <v>32.756</v>
      </c>
      <c r="L11" s="139">
        <v>0.12</v>
      </c>
      <c r="M11" s="60">
        <f t="shared" si="17"/>
        <v>0.101</v>
      </c>
      <c r="N11" s="62">
        <f t="shared" si="23"/>
        <v>0.101</v>
      </c>
      <c r="O11" s="60">
        <f t="shared" si="5"/>
        <v>0.101</v>
      </c>
      <c r="P11" s="63">
        <v>80.0</v>
      </c>
      <c r="Q11" s="58">
        <v>97.5</v>
      </c>
      <c r="R11" s="65">
        <v>4948.0</v>
      </c>
      <c r="S11" s="66">
        <f t="array" ref="S11">IF((XLOOKUP(D11,RUC!$B$3:$B$106,RUC!$E$3:$E$106)+ROUNDDOWN(O11,1)*100)&lt;95,95,((XLOOKUP(D11,RUC!$B$3:$B$106,RUC!$E$3:$E$106)+ROUNDDOWN(O11,1)*100)))</f>
        <v>100</v>
      </c>
      <c r="U11" s="67">
        <f t="array" ref="U11">XLOOKUP(D11,RUC!$B$3:$B$110,RUC!$F$3:$F$110)</f>
        <v>120</v>
      </c>
      <c r="V11" s="67">
        <v>1.1023</v>
      </c>
      <c r="Y11" s="57">
        <f t="array" ref="Y11">XLOOKUP(D11,RUC!$B$3:$B$110,RUC!$G$3:$G$110)</f>
        <v>20</v>
      </c>
      <c r="Z11" s="69">
        <f t="array" ref="Z11">XLOOKUP(D11,RUC!$B$3:$B$110,RUC!$H$3:$H$110)</f>
        <v>30</v>
      </c>
      <c r="AA11" s="70">
        <f t="shared" si="6"/>
        <v>50</v>
      </c>
      <c r="AB11" s="71">
        <f t="shared" si="7"/>
        <v>264.6648755</v>
      </c>
      <c r="AC11" s="71">
        <f>+(S11-T11)*V11-'data 1'!$F$4</f>
        <v>30.23</v>
      </c>
      <c r="AD11" s="71">
        <f t="shared" si="8"/>
        <v>111.7599924</v>
      </c>
      <c r="AE11" s="71">
        <f t="shared" si="9"/>
        <v>-14.885</v>
      </c>
      <c r="AF11" s="71">
        <f t="shared" si="10"/>
        <v>98.58827901</v>
      </c>
      <c r="AG11" s="72">
        <f t="shared" si="18"/>
        <v>242.6932714</v>
      </c>
      <c r="AH11" s="193">
        <f t="shared" si="11"/>
        <v>131.397</v>
      </c>
      <c r="AI11" s="193">
        <f t="shared" si="12"/>
        <v>134.766</v>
      </c>
      <c r="AJ11" s="73">
        <f t="shared" si="13"/>
        <v>9.2857752</v>
      </c>
      <c r="AK11" s="73">
        <f t="shared" si="14"/>
        <v>90.74261541</v>
      </c>
      <c r="AM11" s="51">
        <f t="shared" si="15"/>
        <v>8669.362663</v>
      </c>
      <c r="AN11" s="122" t="str">
        <f t="array" ref="AN11">XLOOKUP(D11,RUC!$B$3:$B$565,RUC!$M$3:$M$565)</f>
        <v>Richard Sapacayo</v>
      </c>
      <c r="AO11" s="131" t="s">
        <v>549</v>
      </c>
      <c r="AP11" s="57" t="s">
        <v>1835</v>
      </c>
      <c r="AQ11" s="57" t="s">
        <v>654</v>
      </c>
      <c r="AV11" s="160" t="s">
        <v>547</v>
      </c>
      <c r="AW11" s="6">
        <f t="shared" si="19"/>
        <v>169.754</v>
      </c>
      <c r="AX11" s="6">
        <f t="array" ref="AX11">+SUMPRODUCT(IF($AO$4:$AO$467=AV11,$L$4:$L$467*$K$4:$K$467/AW11))</f>
        <v>0.2105292305</v>
      </c>
      <c r="AY11" s="145">
        <f t="shared" si="20"/>
        <v>0.2841447549</v>
      </c>
      <c r="AZ11" s="58">
        <f t="array" ref="AZ11">+SUMPRODUCT(IF($AO$4:$AO$467=AV11,($Q$4:$Q$467*$AH$4:$AH$467)/SUMIF($AO$4:$AO$467,$AV11,$AH$4:$AH$467)))</f>
        <v>96.06342825</v>
      </c>
      <c r="BA11" s="65">
        <f t="shared" si="21"/>
        <v>1225.297335</v>
      </c>
      <c r="BB11" s="65">
        <f t="shared" si="22"/>
        <v>835.312</v>
      </c>
      <c r="BC11" s="58">
        <f t="shared" si="24"/>
        <v>479.7376911</v>
      </c>
      <c r="BD11" s="161">
        <f t="shared" si="25"/>
        <v>433.698</v>
      </c>
    </row>
    <row r="12" ht="15.0" customHeight="1">
      <c r="A12" s="116" t="s">
        <v>3428</v>
      </c>
      <c r="B12" s="182">
        <v>46071.0</v>
      </c>
      <c r="C12" s="182">
        <v>46060.0</v>
      </c>
      <c r="D12" s="57" t="s">
        <v>756</v>
      </c>
      <c r="E12" s="3" t="str">
        <f t="array" ref="E12">XLOOKUP(D12,RUC!$B$3:$B$110,RUC!$D$3:$D$110)</f>
        <v>20610807004*</v>
      </c>
      <c r="G12" s="3">
        <v>72.0</v>
      </c>
      <c r="H12" s="3" t="s">
        <v>47</v>
      </c>
      <c r="I12" s="6">
        <v>7.06</v>
      </c>
      <c r="J12" s="58">
        <v>2.3</v>
      </c>
      <c r="K12" s="6">
        <f t="shared" si="2"/>
        <v>6.898</v>
      </c>
      <c r="L12" s="139">
        <v>0.138</v>
      </c>
      <c r="M12" s="60">
        <f t="shared" si="17"/>
        <v>0.119</v>
      </c>
      <c r="N12" s="62">
        <f t="shared" si="23"/>
        <v>0.119</v>
      </c>
      <c r="O12" s="75">
        <v>0.123</v>
      </c>
      <c r="P12" s="63">
        <v>80.0</v>
      </c>
      <c r="Q12" s="58">
        <v>88.73</v>
      </c>
      <c r="R12" s="65">
        <v>4948.0</v>
      </c>
      <c r="S12" s="66">
        <f t="array" ref="S12">IF((XLOOKUP(D12,RUC!$B$3:$B$106,RUC!$E$3:$E$106)+ROUNDDOWN(O12,1)*100)&lt;95,95,((XLOOKUP(D12,RUC!$B$3:$B$106,RUC!$E$3:$E$106)+ROUNDDOWN(O12,1)*100)))</f>
        <v>95</v>
      </c>
      <c r="U12" s="67">
        <f t="array" ref="U12">XLOOKUP(D12,RUC!$B$3:$B$110,RUC!$F$3:$F$110)</f>
        <v>120</v>
      </c>
      <c r="V12" s="67">
        <v>1.1023</v>
      </c>
      <c r="Y12" s="199">
        <v>30.0</v>
      </c>
      <c r="Z12" s="140">
        <v>35.0</v>
      </c>
      <c r="AA12" s="70">
        <f t="shared" si="6"/>
        <v>65</v>
      </c>
      <c r="AB12" s="71">
        <f t="shared" si="7"/>
        <v>347.307393</v>
      </c>
      <c r="AC12" s="71">
        <f>+(S12-T12)*V12-'data 1'!$F$4</f>
        <v>24.7185</v>
      </c>
      <c r="AD12" s="71">
        <f t="shared" si="8"/>
        <v>64.11511107</v>
      </c>
      <c r="AE12" s="71">
        <f t="shared" si="9"/>
        <v>1.6495</v>
      </c>
      <c r="AF12" s="71">
        <f t="shared" si="10"/>
        <v>70.83188661</v>
      </c>
      <c r="AG12" s="72">
        <f t="shared" si="18"/>
        <v>178.3149977</v>
      </c>
      <c r="AH12" s="193">
        <f t="shared" si="11"/>
        <v>28.959</v>
      </c>
      <c r="AI12" s="193">
        <f t="shared" si="12"/>
        <v>32.637</v>
      </c>
      <c r="AJ12" s="73">
        <f t="shared" si="13"/>
        <v>9.718111369</v>
      </c>
      <c r="AK12" s="73">
        <f t="shared" si="14"/>
        <v>23.27165971</v>
      </c>
      <c r="AM12" s="51">
        <f t="shared" si="15"/>
        <v>2395.726397</v>
      </c>
      <c r="AN12" s="51" t="str">
        <f t="array" ref="AN12">XLOOKUP(D12,RUC!$B$3:$B$565,RUC!$M$3:$M$565)</f>
        <v>Ronald Miranda</v>
      </c>
      <c r="AO12" s="131" t="s">
        <v>551</v>
      </c>
      <c r="AP12" s="57" t="s">
        <v>3229</v>
      </c>
      <c r="AQ12" s="57" t="s">
        <v>3230</v>
      </c>
      <c r="AR12" s="2" t="s">
        <v>3429</v>
      </c>
      <c r="AV12" s="160" t="s">
        <v>549</v>
      </c>
      <c r="AW12" s="6">
        <f t="shared" si="19"/>
        <v>166.196</v>
      </c>
      <c r="AX12" s="6">
        <f t="array" ref="AX12">+SUMPRODUCT(IF($AO$4:$AO$467=AV12,$L$4:$L$467*$K$4:$K$467/AW12))</f>
        <v>0.240401213</v>
      </c>
      <c r="AY12" s="145">
        <f t="shared" si="20"/>
        <v>0.3488293382</v>
      </c>
      <c r="AZ12" s="58">
        <f t="array" ref="AZ12">+SUMPRODUCT(IF($AO$4:$AO$467=AV12,($Q$4:$Q$467*$AH$4:$AH$467)/SUMIF($AO$4:$AO$467,$AV12,$AH$4:$AH$467)))</f>
        <v>95.76778931</v>
      </c>
      <c r="BA12" s="65">
        <f t="shared" si="21"/>
        <v>1369.828794</v>
      </c>
      <c r="BB12" s="65">
        <f t="shared" si="22"/>
        <v>1310.056</v>
      </c>
      <c r="BC12" s="58">
        <f t="shared" si="24"/>
        <v>539.5104853</v>
      </c>
      <c r="BD12" s="161">
        <f t="shared" si="25"/>
        <v>599.894</v>
      </c>
    </row>
    <row r="13" ht="15.0" customHeight="1">
      <c r="A13" s="116" t="s">
        <v>3430</v>
      </c>
      <c r="B13" s="182">
        <v>46074.0</v>
      </c>
      <c r="C13" s="182">
        <v>46061.0</v>
      </c>
      <c r="D13" s="57" t="s">
        <v>225</v>
      </c>
      <c r="E13" s="3">
        <f t="array" ref="E13">XLOOKUP(D13,RUC!$B$3:$B$110,RUC!$D$3:$D$110)</f>
        <v>10761932735</v>
      </c>
      <c r="G13" s="3" t="s">
        <v>735</v>
      </c>
      <c r="H13" s="3" t="s">
        <v>47</v>
      </c>
      <c r="I13" s="6">
        <v>34.28</v>
      </c>
      <c r="J13" s="58">
        <v>12.8</v>
      </c>
      <c r="K13" s="6">
        <f t="shared" si="2"/>
        <v>29.892</v>
      </c>
      <c r="L13" s="139">
        <v>0.111</v>
      </c>
      <c r="M13" s="60">
        <f t="shared" si="17"/>
        <v>0.092</v>
      </c>
      <c r="N13" s="75">
        <v>0.161</v>
      </c>
      <c r="O13" s="60">
        <f t="shared" ref="O13:O74" si="26">+ROUND((M13+N13)/2,3)</f>
        <v>0.127</v>
      </c>
      <c r="P13" s="63">
        <v>80.0</v>
      </c>
      <c r="Q13" s="58">
        <v>97.25</v>
      </c>
      <c r="R13" s="65">
        <v>5039.55</v>
      </c>
      <c r="S13" s="66">
        <f t="array" ref="S13">IF((XLOOKUP(D13,RUC!$B$3:$B$106,RUC!$E$3:$E$106)+ROUNDDOWN(O13,1)*100)&lt;95,95,((XLOOKUP(D13,RUC!$B$3:$B$106,RUC!$E$3:$E$106)+ROUNDDOWN(O13,1)*100)))</f>
        <v>100</v>
      </c>
      <c r="U13" s="67">
        <f t="array" ref="U13">XLOOKUP(D13,RUC!$B$3:$B$110,RUC!$F$3:$F$110)</f>
        <v>120</v>
      </c>
      <c r="V13" s="67">
        <v>1.1023</v>
      </c>
      <c r="Y13" s="57">
        <f t="array" ref="Y13">XLOOKUP(D13,RUC!$B$3:$B$110,RUC!$G$3:$G$110)</f>
        <v>20</v>
      </c>
      <c r="Z13" s="69">
        <f t="array" ref="Z13">XLOOKUP(D13,RUC!$B$3:$B$110,RUC!$H$3:$H$110)</f>
        <v>30</v>
      </c>
      <c r="AA13" s="70">
        <f t="shared" si="6"/>
        <v>50</v>
      </c>
      <c r="AB13" s="71">
        <f t="shared" si="7"/>
        <v>385.6135084</v>
      </c>
      <c r="AC13" s="71">
        <f>+(S13-T13)*V13-'data 1'!$F$4</f>
        <v>30.23</v>
      </c>
      <c r="AD13" s="71">
        <f t="shared" si="8"/>
        <v>103.8334453</v>
      </c>
      <c r="AE13" s="71">
        <f t="shared" si="9"/>
        <v>-14.885</v>
      </c>
      <c r="AF13" s="71">
        <f t="shared" si="10"/>
        <v>-84.37907866</v>
      </c>
      <c r="AG13" s="72">
        <f t="shared" si="18"/>
        <v>51.79936662</v>
      </c>
      <c r="AH13" s="193">
        <f t="shared" si="11"/>
        <v>110.631</v>
      </c>
      <c r="AI13" s="193">
        <f t="shared" si="12"/>
        <v>113.759</v>
      </c>
      <c r="AJ13" s="73">
        <f t="shared" si="13"/>
        <v>-2.326264847</v>
      </c>
      <c r="AK13" s="73">
        <f t="shared" si="14"/>
        <v>104.1256561</v>
      </c>
      <c r="AM13" s="51">
        <f t="shared" si="15"/>
        <v>11526.75899</v>
      </c>
      <c r="AN13" s="51" t="str">
        <f t="array" ref="AN13">XLOOKUP(D13,RUC!$B$3:$B$565,RUC!$M$3:$M$565)</f>
        <v>Richard Sapacayo</v>
      </c>
      <c r="AO13" s="131" t="s">
        <v>547</v>
      </c>
      <c r="AP13" s="57" t="s">
        <v>3431</v>
      </c>
      <c r="AQ13" s="57" t="s">
        <v>3432</v>
      </c>
      <c r="AV13" s="160" t="s">
        <v>561</v>
      </c>
      <c r="AW13" s="6">
        <f t="shared" si="19"/>
        <v>0</v>
      </c>
      <c r="AX13" s="6">
        <f t="array" ref="AX13">+SUMPRODUCT(IF($AO$4:$AO$467=AV13,$L$4:$L$467*$K$4:$K$467/AW13))</f>
        <v>0</v>
      </c>
      <c r="AY13" s="145">
        <f t="shared" si="20"/>
        <v>0</v>
      </c>
      <c r="AZ13" s="58">
        <f t="array" ref="AZ13">+SUMPRODUCT(IF($AO$4:$AO$467=AV13,($Q$4:$Q$467*$AH$4:$AH$467)/SUMIF($AO$4:$AO$467,$AV13,$AH$4:$AH$467)))</f>
        <v>0</v>
      </c>
      <c r="BA13" s="65">
        <f t="shared" si="21"/>
        <v>0</v>
      </c>
      <c r="BB13" s="65">
        <f t="shared" si="22"/>
        <v>0</v>
      </c>
      <c r="BC13" s="58">
        <f t="shared" si="24"/>
        <v>539.5104853</v>
      </c>
      <c r="BD13" s="161">
        <f t="shared" si="25"/>
        <v>599.894</v>
      </c>
    </row>
    <row r="14" ht="15.0" customHeight="1">
      <c r="A14" s="116" t="s">
        <v>3433</v>
      </c>
      <c r="B14" s="182">
        <v>46068.0</v>
      </c>
      <c r="C14" s="182">
        <v>46061.0</v>
      </c>
      <c r="D14" s="57" t="s">
        <v>806</v>
      </c>
      <c r="E14" s="3">
        <f t="array" ref="E14">XLOOKUP(D14,RUC!$B$3:$B$110,RUC!$D$3:$D$110)</f>
        <v>20614284740</v>
      </c>
      <c r="G14" s="3" t="s">
        <v>735</v>
      </c>
      <c r="H14" s="3" t="s">
        <v>339</v>
      </c>
      <c r="I14" s="6">
        <v>2.28</v>
      </c>
      <c r="J14" s="58">
        <v>2.0</v>
      </c>
      <c r="K14" s="6">
        <f t="shared" si="2"/>
        <v>2.234</v>
      </c>
      <c r="L14" s="139">
        <v>0.136</v>
      </c>
      <c r="M14" s="60">
        <f t="shared" si="17"/>
        <v>0.117</v>
      </c>
      <c r="N14" s="62">
        <f t="shared" ref="N14:N23" si="27">+M14</f>
        <v>0.117</v>
      </c>
      <c r="O14" s="60">
        <f t="shared" si="26"/>
        <v>0.117</v>
      </c>
      <c r="P14" s="63">
        <v>80.0</v>
      </c>
      <c r="Q14" s="58">
        <v>94.85</v>
      </c>
      <c r="R14" s="65">
        <v>5039.55</v>
      </c>
      <c r="S14" s="66">
        <f t="array" ref="S14">IF((XLOOKUP(D14,RUC!$B$3:$B$106,RUC!$E$3:$E$106)+ROUNDDOWN(O14,1)*100)&lt;95,95,((XLOOKUP(D14,RUC!$B$3:$B$106,RUC!$E$3:$E$106)+ROUNDDOWN(O14,1)*100)))</f>
        <v>100</v>
      </c>
      <c r="U14" s="67">
        <f t="array" ref="U14">XLOOKUP(D14,RUC!$B$3:$B$110,RUC!$F$3:$F$110)</f>
        <v>120</v>
      </c>
      <c r="V14" s="67">
        <v>1.1023</v>
      </c>
      <c r="Y14" s="57">
        <f t="array" ref="Y14">XLOOKUP(D14,RUC!$B$3:$B$110,RUC!$G$3:$G$110)</f>
        <v>20</v>
      </c>
      <c r="Z14" s="140">
        <v>40.0</v>
      </c>
      <c r="AA14" s="70">
        <f t="shared" si="6"/>
        <v>60</v>
      </c>
      <c r="AB14" s="71">
        <f t="shared" si="7"/>
        <v>331.2079487</v>
      </c>
      <c r="AC14" s="71">
        <f>+(S14-T14)*V14-'data 1'!$F$4</f>
        <v>30.23</v>
      </c>
      <c r="AD14" s="71">
        <f t="shared" si="8"/>
        <v>109.519272</v>
      </c>
      <c r="AE14" s="71">
        <f t="shared" si="9"/>
        <v>-3.862</v>
      </c>
      <c r="AF14" s="71">
        <f t="shared" si="10"/>
        <v>97.72735</v>
      </c>
      <c r="AG14" s="72">
        <f t="shared" si="18"/>
        <v>250.614622</v>
      </c>
      <c r="AH14" s="193">
        <f t="shared" si="11"/>
        <v>9.88</v>
      </c>
      <c r="AI14" s="193">
        <f t="shared" si="12"/>
        <v>10.417</v>
      </c>
      <c r="AJ14" s="73">
        <f t="shared" si="13"/>
        <v>-2.779859285</v>
      </c>
      <c r="AK14" s="73">
        <f t="shared" si="14"/>
        <v>7.169156926</v>
      </c>
      <c r="AM14" s="51">
        <f t="shared" si="15"/>
        <v>739.9185574</v>
      </c>
      <c r="AN14" s="51" t="str">
        <f t="array" ref="AN14">XLOOKUP(D14,RUC!$B$3:$B$565,RUC!$M$3:$M$565)</f>
        <v>Dante </v>
      </c>
      <c r="AO14" s="131" t="s">
        <v>551</v>
      </c>
      <c r="AP14" s="57" t="s">
        <v>2274</v>
      </c>
      <c r="AQ14" s="57" t="s">
        <v>3434</v>
      </c>
      <c r="AV14" s="160" t="s">
        <v>689</v>
      </c>
      <c r="AW14" s="6">
        <f t="shared" si="19"/>
        <v>0</v>
      </c>
      <c r="AX14" s="6">
        <f t="array" ref="AX14">+SUMPRODUCT(IF($AO$4:$AO$467=AV14,$L$4:$L$467*$K$4:$K$467/AW14))</f>
        <v>0</v>
      </c>
      <c r="AY14" s="145">
        <f t="shared" si="20"/>
        <v>0</v>
      </c>
      <c r="AZ14" s="58">
        <f t="array" ref="AZ14">+SUMPRODUCT(IF('41'!$AO$4:$AO$359=AV14,('41'!$Q$4:$Q$359*'41'!$AH$4:$AH$359)/SUMIF('41'!$AO$4:$AO$359,#REF!,'41'!$AH$4:$AH$359)))</f>
        <v>0</v>
      </c>
      <c r="BA14" s="65">
        <f t="shared" si="21"/>
        <v>0</v>
      </c>
      <c r="BB14" s="65">
        <f t="shared" si="22"/>
        <v>0</v>
      </c>
      <c r="BC14" s="58">
        <f t="shared" si="24"/>
        <v>539.5104853</v>
      </c>
      <c r="BD14" s="161">
        <f t="shared" si="25"/>
        <v>599.894</v>
      </c>
    </row>
    <row r="15" ht="15.0" customHeight="1">
      <c r="A15" s="116" t="s">
        <v>3435</v>
      </c>
      <c r="B15" s="182">
        <v>46068.0</v>
      </c>
      <c r="C15" s="182">
        <v>46061.0</v>
      </c>
      <c r="D15" s="57" t="s">
        <v>806</v>
      </c>
      <c r="E15" s="3">
        <f t="array" ref="E15">XLOOKUP(D15,RUC!$B$3:$B$110,RUC!$D$3:$D$110)</f>
        <v>20614284740</v>
      </c>
      <c r="G15" s="3">
        <v>42.0</v>
      </c>
      <c r="H15" s="3" t="s">
        <v>339</v>
      </c>
      <c r="I15" s="6">
        <v>3.1</v>
      </c>
      <c r="J15" s="58">
        <v>2.0</v>
      </c>
      <c r="K15" s="6">
        <f t="shared" si="2"/>
        <v>3.038</v>
      </c>
      <c r="L15" s="139">
        <v>0.12</v>
      </c>
      <c r="M15" s="60">
        <f t="shared" si="17"/>
        <v>0.101</v>
      </c>
      <c r="N15" s="62">
        <f t="shared" si="27"/>
        <v>0.101</v>
      </c>
      <c r="O15" s="60">
        <f t="shared" si="26"/>
        <v>0.101</v>
      </c>
      <c r="P15" s="63">
        <v>80.0</v>
      </c>
      <c r="Q15" s="58">
        <v>92.5</v>
      </c>
      <c r="R15" s="65">
        <v>5039.55</v>
      </c>
      <c r="S15" s="66">
        <f t="array" ref="S15">IF((XLOOKUP(D15,RUC!$B$3:$B$106,RUC!$E$3:$E$106)+ROUNDDOWN(O15,1)*100)&lt;95,95,((XLOOKUP(D15,RUC!$B$3:$B$106,RUC!$E$3:$E$106)+ROUNDDOWN(O15,1)*100)))</f>
        <v>100</v>
      </c>
      <c r="U15" s="67">
        <f t="array" ref="U15">XLOOKUP(D15,RUC!$B$3:$B$110,RUC!$F$3:$F$110)</f>
        <v>120</v>
      </c>
      <c r="V15" s="67">
        <v>1.1023</v>
      </c>
      <c r="Y15" s="57">
        <f t="array" ref="Y15">XLOOKUP(D15,RUC!$B$3:$B$110,RUC!$G$3:$G$110)</f>
        <v>20</v>
      </c>
      <c r="Z15" s="140">
        <v>40.0</v>
      </c>
      <c r="AA15" s="70">
        <f t="shared" si="6"/>
        <v>60</v>
      </c>
      <c r="AB15" s="71">
        <f t="shared" si="7"/>
        <v>261.7958532</v>
      </c>
      <c r="AC15" s="71">
        <f>+(S15-T15)*V15-'data 1'!$F$4</f>
        <v>30.23</v>
      </c>
      <c r="AD15" s="71">
        <f t="shared" si="8"/>
        <v>81.34229948</v>
      </c>
      <c r="AE15" s="71">
        <f t="shared" si="9"/>
        <v>-3.862</v>
      </c>
      <c r="AF15" s="71">
        <f t="shared" si="10"/>
        <v>95.30606088</v>
      </c>
      <c r="AG15" s="72">
        <f t="shared" si="18"/>
        <v>220.0163604</v>
      </c>
      <c r="AH15" s="193">
        <f t="shared" si="11"/>
        <v>11.562</v>
      </c>
      <c r="AI15" s="193">
        <f t="shared" si="12"/>
        <v>12.499</v>
      </c>
      <c r="AJ15" s="73">
        <f t="shared" si="13"/>
        <v>-2.392046115</v>
      </c>
      <c r="AK15" s="73">
        <f t="shared" si="14"/>
        <v>8.416047919</v>
      </c>
      <c r="AM15" s="51">
        <f t="shared" si="15"/>
        <v>795.3358019</v>
      </c>
      <c r="AN15" s="51" t="str">
        <f t="array" ref="AN15">XLOOKUP(D15,RUC!$B$3:$B$565,RUC!$M$3:$M$565)</f>
        <v>Dante </v>
      </c>
      <c r="AO15" s="131" t="s">
        <v>549</v>
      </c>
      <c r="AP15" s="57" t="s">
        <v>2274</v>
      </c>
      <c r="AQ15" s="57" t="s">
        <v>3434</v>
      </c>
      <c r="AV15" s="160" t="s">
        <v>690</v>
      </c>
      <c r="AW15" s="6">
        <f t="shared" si="19"/>
        <v>0</v>
      </c>
      <c r="AX15" s="6">
        <f t="array" ref="AX15">+SUMPRODUCT(IF($AO$4:$AO$467=AV15,$L$4:$L$467*$K$4:$K$467/AW15))</f>
        <v>0</v>
      </c>
      <c r="AY15" s="145">
        <f t="shared" si="20"/>
        <v>0</v>
      </c>
      <c r="AZ15" s="58">
        <f t="array" ref="AZ15">+SUMPRODUCT(IF('41'!$AO$4:$AO$359=AV15,('41'!$Q$4:$Q$359*'41'!$AH$4:$AH$359)/SUMIF('41'!$AO$4:$AO$359,#REF!,'41'!$AH$4:$AH$359)))</f>
        <v>0</v>
      </c>
      <c r="BA15" s="65">
        <f t="shared" si="21"/>
        <v>0</v>
      </c>
      <c r="BB15" s="65">
        <f t="shared" si="22"/>
        <v>0</v>
      </c>
      <c r="BC15" s="58">
        <f t="shared" si="24"/>
        <v>539.5104853</v>
      </c>
      <c r="BD15" s="161">
        <f t="shared" si="25"/>
        <v>599.894</v>
      </c>
    </row>
    <row r="16" ht="15.0" customHeight="1">
      <c r="A16" s="116" t="s">
        <v>3436</v>
      </c>
      <c r="B16" s="182">
        <v>46068.0</v>
      </c>
      <c r="C16" s="182">
        <v>46061.0</v>
      </c>
      <c r="D16" s="57" t="s">
        <v>806</v>
      </c>
      <c r="E16" s="3">
        <f t="array" ref="E16">XLOOKUP(D16,RUC!$B$3:$B$110,RUC!$D$3:$D$110)</f>
        <v>20614284740</v>
      </c>
      <c r="G16" s="3">
        <v>46.0</v>
      </c>
      <c r="H16" s="3" t="s">
        <v>339</v>
      </c>
      <c r="I16" s="6">
        <v>3.27</v>
      </c>
      <c r="J16" s="58">
        <v>2.0</v>
      </c>
      <c r="K16" s="6">
        <f t="shared" si="2"/>
        <v>3.205</v>
      </c>
      <c r="L16" s="139">
        <v>0.125</v>
      </c>
      <c r="M16" s="60">
        <f t="shared" si="17"/>
        <v>0.106</v>
      </c>
      <c r="N16" s="62">
        <f t="shared" si="27"/>
        <v>0.106</v>
      </c>
      <c r="O16" s="60">
        <f t="shared" si="26"/>
        <v>0.106</v>
      </c>
      <c r="P16" s="63">
        <v>80.0</v>
      </c>
      <c r="Q16" s="58">
        <v>88.8</v>
      </c>
      <c r="R16" s="65">
        <v>5039.55</v>
      </c>
      <c r="S16" s="66">
        <f t="array" ref="S16">IF((XLOOKUP(D16,RUC!$B$3:$B$106,RUC!$E$3:$E$106)+ROUNDDOWN(O16,1)*100)&lt;95,95,((XLOOKUP(D16,RUC!$B$3:$B$106,RUC!$E$3:$E$106)+ROUNDDOWN(O16,1)*100)))</f>
        <v>100</v>
      </c>
      <c r="U16" s="67">
        <f t="array" ref="U16">XLOOKUP(D16,RUC!$B$3:$B$110,RUC!$F$3:$F$110)</f>
        <v>120</v>
      </c>
      <c r="V16" s="67">
        <v>1.1023</v>
      </c>
      <c r="Y16" s="57">
        <f t="array" ref="Y16">XLOOKUP(D16,RUC!$B$3:$B$110,RUC!$G$3:$G$110)</f>
        <v>20</v>
      </c>
      <c r="Z16" s="140">
        <v>40.0</v>
      </c>
      <c r="AA16" s="70">
        <f t="shared" si="6"/>
        <v>60</v>
      </c>
      <c r="AB16" s="71">
        <f t="shared" si="7"/>
        <v>283.487133</v>
      </c>
      <c r="AC16" s="71">
        <f>+(S16-T16)*V16-'data 1'!$F$4</f>
        <v>30.23</v>
      </c>
      <c r="AD16" s="71">
        <f t="shared" si="8"/>
        <v>59.65101962</v>
      </c>
      <c r="AE16" s="71">
        <f t="shared" si="9"/>
        <v>-3.862</v>
      </c>
      <c r="AF16" s="71">
        <f t="shared" si="10"/>
        <v>91.49381845</v>
      </c>
      <c r="AG16" s="72">
        <f t="shared" si="18"/>
        <v>194.5128381</v>
      </c>
      <c r="AH16" s="193">
        <f t="shared" si="11"/>
        <v>12.197</v>
      </c>
      <c r="AI16" s="193">
        <f t="shared" si="12"/>
        <v>13.736</v>
      </c>
      <c r="AJ16" s="73">
        <f t="shared" si="13"/>
        <v>-2.392046115</v>
      </c>
      <c r="AK16" s="73">
        <f t="shared" si="14"/>
        <v>9.318219906</v>
      </c>
      <c r="AM16" s="51">
        <f t="shared" si="15"/>
        <v>908.5762614</v>
      </c>
      <c r="AN16" s="51" t="str">
        <f t="array" ref="AN16">XLOOKUP(D16,RUC!$B$3:$B$565,RUC!$M$3:$M$565)</f>
        <v>Dante </v>
      </c>
      <c r="AO16" s="131" t="s">
        <v>547</v>
      </c>
      <c r="AP16" s="57" t="s">
        <v>2274</v>
      </c>
      <c r="AQ16" s="57" t="s">
        <v>3434</v>
      </c>
      <c r="AV16" s="160" t="s">
        <v>691</v>
      </c>
      <c r="AW16" s="6">
        <f t="shared" si="19"/>
        <v>0</v>
      </c>
      <c r="AX16" s="6">
        <f t="array" ref="AX16">+SUMPRODUCT(IF($AO$4:$AO$467=AV16,$L$4:$L$467*$K$4:$K$467/AW16))</f>
        <v>0</v>
      </c>
      <c r="AY16" s="145">
        <f t="shared" si="20"/>
        <v>0</v>
      </c>
      <c r="AZ16" s="58">
        <f t="array" ref="AZ16">+SUMPRODUCT(IF('41'!$AO$4:$AO$359=AV16,('41'!$Q$4:$Q$359*'41'!$AH$4:$AH$359)/SUMIF('41'!$AO$4:$AO$359,#REF!,'41'!$AH$4:$AH$359)))</f>
        <v>0</v>
      </c>
      <c r="BA16" s="65">
        <f t="shared" si="21"/>
        <v>0</v>
      </c>
      <c r="BB16" s="65">
        <f t="shared" si="22"/>
        <v>0</v>
      </c>
      <c r="BC16" s="58">
        <f t="shared" si="24"/>
        <v>539.5104853</v>
      </c>
      <c r="BD16" s="161">
        <f t="shared" si="25"/>
        <v>599.894</v>
      </c>
    </row>
    <row r="17" ht="15.0" customHeight="1">
      <c r="A17" s="116" t="s">
        <v>3437</v>
      </c>
      <c r="B17" s="182">
        <v>46068.0</v>
      </c>
      <c r="C17" s="182">
        <v>46062.0</v>
      </c>
      <c r="D17" s="57" t="s">
        <v>806</v>
      </c>
      <c r="E17" s="3">
        <f t="array" ref="E17">XLOOKUP(D17,RUC!$B$3:$B$110,RUC!$D$3:$D$110)</f>
        <v>20614284740</v>
      </c>
      <c r="G17" s="3">
        <v>54.0</v>
      </c>
      <c r="H17" s="3" t="s">
        <v>47</v>
      </c>
      <c r="I17" s="6">
        <v>4.42</v>
      </c>
      <c r="J17" s="58">
        <v>2.45</v>
      </c>
      <c r="K17" s="6">
        <f t="shared" si="2"/>
        <v>4.312</v>
      </c>
      <c r="L17" s="139">
        <v>0.122</v>
      </c>
      <c r="M17" s="60">
        <f t="shared" si="17"/>
        <v>0.103</v>
      </c>
      <c r="N17" s="62">
        <f t="shared" si="27"/>
        <v>0.103</v>
      </c>
      <c r="O17" s="60">
        <f t="shared" si="26"/>
        <v>0.103</v>
      </c>
      <c r="P17" s="63">
        <v>80.0</v>
      </c>
      <c r="Q17" s="58">
        <v>92.62</v>
      </c>
      <c r="R17" s="65">
        <v>5039.55</v>
      </c>
      <c r="S17" s="66">
        <f t="array" ref="S17">IF((XLOOKUP(D17,RUC!$B$3:$B$106,RUC!$E$3:$E$106)+ROUNDDOWN(O17,1)*100)&lt;95,95,((XLOOKUP(D17,RUC!$B$3:$B$106,RUC!$E$3:$E$106)+ROUNDDOWN(O17,1)*100)))</f>
        <v>100</v>
      </c>
      <c r="U17" s="67">
        <f t="array" ref="U17">XLOOKUP(D17,RUC!$B$3:$B$110,RUC!$F$3:$F$110)</f>
        <v>120</v>
      </c>
      <c r="V17" s="67">
        <v>1.1023</v>
      </c>
      <c r="Y17" s="57">
        <f t="array" ref="Y17">XLOOKUP(D17,RUC!$B$3:$B$110,RUC!$G$3:$G$110)</f>
        <v>20</v>
      </c>
      <c r="Z17" s="69">
        <f t="array" ref="Z17">XLOOKUP(D17,RUC!$B$3:$B$110,RUC!$H$3:$H$110)</f>
        <v>30</v>
      </c>
      <c r="AA17" s="70">
        <f t="shared" si="6"/>
        <v>50</v>
      </c>
      <c r="AB17" s="71">
        <f t="shared" si="7"/>
        <v>281.4953651</v>
      </c>
      <c r="AC17" s="71">
        <f>+(S17-T17)*V17-'data 1'!$F$4</f>
        <v>30.23</v>
      </c>
      <c r="AD17" s="71">
        <f t="shared" si="8"/>
        <v>83.49190531</v>
      </c>
      <c r="AE17" s="71">
        <f t="shared" si="9"/>
        <v>-14.885</v>
      </c>
      <c r="AF17" s="71">
        <f t="shared" si="10"/>
        <v>95.42970118</v>
      </c>
      <c r="AG17" s="72">
        <f t="shared" si="18"/>
        <v>211.2666065</v>
      </c>
      <c r="AH17" s="193">
        <f t="shared" si="11"/>
        <v>16.705</v>
      </c>
      <c r="AI17" s="193">
        <f t="shared" si="12"/>
        <v>18.036</v>
      </c>
      <c r="AJ17" s="73">
        <f t="shared" si="13"/>
        <v>-2.435068465</v>
      </c>
      <c r="AK17" s="73">
        <f t="shared" si="14"/>
        <v>12.18190009</v>
      </c>
      <c r="AM17" s="51">
        <f t="shared" si="15"/>
        <v>1213.808014</v>
      </c>
      <c r="AN17" s="51" t="str">
        <f t="array" ref="AN17">XLOOKUP(D17,RUC!$B$3:$B$565,RUC!$M$3:$M$565)</f>
        <v>Dante </v>
      </c>
      <c r="AO17" s="131" t="s">
        <v>547</v>
      </c>
      <c r="AP17" s="57" t="s">
        <v>2298</v>
      </c>
      <c r="AQ17" s="57" t="s">
        <v>838</v>
      </c>
      <c r="AV17" s="160" t="s">
        <v>692</v>
      </c>
      <c r="AW17" s="6">
        <f t="shared" si="19"/>
        <v>0</v>
      </c>
      <c r="AX17" s="6">
        <f t="array" ref="AX17">+SUMPRODUCT(IF($AO$4:$AO$467=AV17,$L$4:$L$467*$K$4:$K$467/AW17))</f>
        <v>0</v>
      </c>
      <c r="AY17" s="145">
        <f t="shared" si="20"/>
        <v>0</v>
      </c>
      <c r="AZ17" s="58">
        <f t="array" ref="AZ17">+SUMPRODUCT(IF('41'!$AO$4:$AO$359=AV17,('41'!$Q$4:$Q$359*'41'!$AH$4:$AH$359)/SUMIF('41'!$AO$4:$AO$359,#REF!,'41'!$AH$4:$AH$359)))</f>
        <v>0</v>
      </c>
      <c r="BA17" s="65">
        <f t="shared" si="21"/>
        <v>0</v>
      </c>
      <c r="BB17" s="65">
        <f t="shared" si="22"/>
        <v>0</v>
      </c>
      <c r="BC17" s="58">
        <f t="shared" si="24"/>
        <v>539.5104853</v>
      </c>
      <c r="BD17" s="161">
        <f t="shared" si="25"/>
        <v>599.894</v>
      </c>
    </row>
    <row r="18" ht="15.0" customHeight="1">
      <c r="A18" s="116" t="s">
        <v>3438</v>
      </c>
      <c r="B18" s="182">
        <v>46076.0</v>
      </c>
      <c r="C18" s="182">
        <v>46063.0</v>
      </c>
      <c r="D18" s="57" t="s">
        <v>295</v>
      </c>
      <c r="E18" s="3">
        <f t="array" ref="E18">XLOOKUP(D18,RUC!$B$3:$B$110,RUC!$D$3:$D$110)</f>
        <v>20601769396</v>
      </c>
      <c r="G18" s="3">
        <v>45.0</v>
      </c>
      <c r="H18" s="3" t="s">
        <v>47</v>
      </c>
      <c r="I18" s="6">
        <v>3.56</v>
      </c>
      <c r="J18" s="58">
        <v>15.2</v>
      </c>
      <c r="K18" s="6">
        <f t="shared" si="2"/>
        <v>3.019</v>
      </c>
      <c r="L18" s="139">
        <v>0.125</v>
      </c>
      <c r="M18" s="60">
        <f t="shared" si="17"/>
        <v>0.106</v>
      </c>
      <c r="N18" s="62">
        <f t="shared" si="27"/>
        <v>0.106</v>
      </c>
      <c r="O18" s="60">
        <f t="shared" si="26"/>
        <v>0.106</v>
      </c>
      <c r="P18" s="63">
        <v>68.0</v>
      </c>
      <c r="Q18" s="64">
        <v>69.19999999999999</v>
      </c>
      <c r="R18" s="65">
        <v>5031.4</v>
      </c>
      <c r="S18" s="66">
        <f t="array" ref="S18">IF((XLOOKUP(D18,RUC!$B$3:$B$106,RUC!$E$3:$E$106)+ROUNDDOWN(O18,1)*100)&lt;95,95,((XLOOKUP(D18,RUC!$B$3:$B$106,RUC!$E$3:$E$106)+ROUNDDOWN(O18,1)*100)))</f>
        <v>100</v>
      </c>
      <c r="U18" s="67">
        <f t="array" ref="U18">XLOOKUP(D18,RUC!$B$3:$B$110,RUC!$F$3:$F$110)</f>
        <v>120</v>
      </c>
      <c r="V18" s="67">
        <v>1.1023</v>
      </c>
      <c r="Y18" s="57">
        <f t="array" ref="Y18">XLOOKUP(D18,RUC!$B$3:$B$110,RUC!$G$3:$G$110)</f>
        <v>20</v>
      </c>
      <c r="Z18" s="140">
        <v>80.0</v>
      </c>
      <c r="AA18" s="70">
        <f t="shared" si="6"/>
        <v>100</v>
      </c>
      <c r="AB18" s="71">
        <f t="shared" si="7"/>
        <v>169.7693147</v>
      </c>
      <c r="AC18" s="71">
        <f>+(S18-T18)*V18-'data 1'!$F$4</f>
        <v>30.23</v>
      </c>
      <c r="AD18" s="71">
        <f t="shared" si="8"/>
        <v>8.12075433</v>
      </c>
      <c r="AE18" s="71">
        <f t="shared" si="9"/>
        <v>40.23</v>
      </c>
      <c r="AF18" s="71">
        <f t="shared" si="10"/>
        <v>71.18111862</v>
      </c>
      <c r="AG18" s="72">
        <f t="shared" ref="AG18:AG20" si="28">AC18+AD18+AE18+AF18+70-10</f>
        <v>209.761873</v>
      </c>
      <c r="AH18" s="193">
        <f t="shared" si="11"/>
        <v>8.953</v>
      </c>
      <c r="AI18" s="193">
        <f t="shared" si="12"/>
        <v>12.938</v>
      </c>
      <c r="AJ18" s="73">
        <f t="shared" si="13"/>
        <v>-1.08697803</v>
      </c>
      <c r="AK18" s="73">
        <f t="shared" si="14"/>
        <v>7.460826837</v>
      </c>
      <c r="AM18" s="51">
        <f t="shared" si="15"/>
        <v>512.5335612</v>
      </c>
      <c r="AN18" s="51" t="str">
        <f t="array" ref="AN18">XLOOKUP(D18,RUC!$B$3:$B$565,RUC!$M$3:$M$565)</f>
        <v>Evelyn</v>
      </c>
      <c r="AO18" s="131" t="s">
        <v>547</v>
      </c>
      <c r="AP18" s="57" t="s">
        <v>2458</v>
      </c>
      <c r="AQ18" s="57" t="s">
        <v>3286</v>
      </c>
      <c r="AR18" s="2" t="s">
        <v>3237</v>
      </c>
      <c r="AV18" s="163" t="s">
        <v>693</v>
      </c>
      <c r="AW18" s="165">
        <f t="shared" si="19"/>
        <v>0</v>
      </c>
      <c r="AX18" s="165">
        <f t="array" ref="AX18">+SUMPRODUCT(IF('41'!$AO$4:$AO$359=AV18,'41'!$L$4:$L$359*'41'!$K$4:$K$359/AW18))</f>
        <v>0</v>
      </c>
      <c r="AY18" s="166">
        <f t="shared" si="20"/>
        <v>0</v>
      </c>
      <c r="AZ18" s="168">
        <f t="array" ref="AZ18">+SUMPRODUCT(IF('41'!$AO$4:$AO$359=AV18,('41'!$Q$4:$Q$359*'41'!$AH$4:$AH$359)/SUMIF('41'!$AO$4:$AO$359,#REF!,'41'!$AH$4:$AH$359)))</f>
        <v>0</v>
      </c>
      <c r="BA18" s="167">
        <f t="shared" si="21"/>
        <v>0</v>
      </c>
      <c r="BB18" s="167">
        <f>SUMIF($AO$4,$AV18,$AH$4)</f>
        <v>0</v>
      </c>
      <c r="BC18" s="168">
        <f t="shared" si="24"/>
        <v>539.5104853</v>
      </c>
      <c r="BD18" s="169">
        <f t="shared" si="25"/>
        <v>599.894</v>
      </c>
    </row>
    <row r="19" ht="15.0" customHeight="1">
      <c r="A19" s="116" t="s">
        <v>3439</v>
      </c>
      <c r="B19" s="182">
        <v>46075.0</v>
      </c>
      <c r="C19" s="182">
        <v>46069.0</v>
      </c>
      <c r="D19" s="57" t="s">
        <v>306</v>
      </c>
      <c r="E19" s="3">
        <f t="array" ref="E19">XLOOKUP(D19,RUC!$B$3:$B$110,RUC!$D$3:$D$110)</f>
        <v>20612921866</v>
      </c>
      <c r="G19" s="141">
        <v>50.0</v>
      </c>
      <c r="H19" s="3" t="s">
        <v>47</v>
      </c>
      <c r="I19" s="6">
        <v>5.27</v>
      </c>
      <c r="J19" s="58">
        <v>2.1</v>
      </c>
      <c r="K19" s="6">
        <f t="shared" si="2"/>
        <v>5.159</v>
      </c>
      <c r="L19" s="139">
        <v>0.121</v>
      </c>
      <c r="M19" s="60">
        <f t="shared" si="17"/>
        <v>0.102</v>
      </c>
      <c r="N19" s="62">
        <f t="shared" si="27"/>
        <v>0.102</v>
      </c>
      <c r="O19" s="60">
        <f t="shared" si="26"/>
        <v>0.102</v>
      </c>
      <c r="P19" s="63">
        <v>90.0</v>
      </c>
      <c r="Q19" s="58">
        <v>95.03999999999999</v>
      </c>
      <c r="R19" s="65">
        <v>4972.1</v>
      </c>
      <c r="S19" s="66">
        <f t="array" ref="S19">IF((XLOOKUP(D19,RUC!$B$3:$B$106,RUC!$E$3:$E$106)+ROUNDDOWN(O19,1)*100)&lt;95,95,((XLOOKUP(D19,RUC!$B$3:$B$106,RUC!$E$3:$E$106)+ROUNDDOWN(O19,1)*100)))</f>
        <v>95</v>
      </c>
      <c r="U19" s="67">
        <f t="array" ref="U19">XLOOKUP(D19,RUC!$B$3:$B$110,RUC!$F$3:$F$110)</f>
        <v>100</v>
      </c>
      <c r="V19" s="67">
        <v>1.1023</v>
      </c>
      <c r="Y19" s="57" t="str">
        <f t="array" ref="Y19">XLOOKUP(D19,RUC!$B$3:$B$110,RUC!$G$3:$G$110)</f>
        <v/>
      </c>
      <c r="Z19" s="69">
        <f t="array" ref="Z19">XLOOKUP(D19,RUC!$B$3:$B$110,RUC!$H$3:$H$110)</f>
        <v>30</v>
      </c>
      <c r="AA19" s="70">
        <f t="shared" si="6"/>
        <v>30</v>
      </c>
      <c r="AB19" s="71">
        <f t="shared" si="7"/>
        <v>355.2258532</v>
      </c>
      <c r="AC19" s="71">
        <f>+(S19-T19)*V19-'data 1'!$F$4</f>
        <v>24.7185</v>
      </c>
      <c r="AD19" s="71">
        <f t="shared" si="8"/>
        <v>32.75155374</v>
      </c>
      <c r="AE19" s="71">
        <f t="shared" si="9"/>
        <v>-36.931</v>
      </c>
      <c r="AF19" s="71">
        <f t="shared" si="10"/>
        <v>96.97862665</v>
      </c>
      <c r="AG19" s="72">
        <f t="shared" si="28"/>
        <v>177.5176804</v>
      </c>
      <c r="AH19" s="193">
        <f t="shared" si="11"/>
        <v>20.341</v>
      </c>
      <c r="AI19" s="193">
        <f t="shared" si="12"/>
        <v>21.402</v>
      </c>
      <c r="AJ19" s="73">
        <f t="shared" si="13"/>
        <v>3.536680343</v>
      </c>
      <c r="AK19" s="73">
        <f t="shared" si="14"/>
        <v>16.2374295</v>
      </c>
      <c r="AM19" s="51">
        <f t="shared" si="15"/>
        <v>1832.610177</v>
      </c>
      <c r="AN19" s="51" t="str">
        <f t="array" ref="AN19">XLOOKUP(D19,RUC!$B$3:$B$565,RUC!$M$3:$M$565)</f>
        <v>Ronald Garibay</v>
      </c>
      <c r="AO19" s="131" t="s">
        <v>547</v>
      </c>
      <c r="AP19" s="57" t="s">
        <v>3440</v>
      </c>
      <c r="AQ19" s="57" t="s">
        <v>3441</v>
      </c>
      <c r="AV19" s="2"/>
      <c r="AW19" s="6"/>
      <c r="AX19" s="6"/>
      <c r="AY19" s="145"/>
      <c r="AZ19" s="58"/>
      <c r="BA19" s="65"/>
      <c r="BB19" s="65"/>
      <c r="BC19" s="58"/>
      <c r="BD19" s="65"/>
    </row>
    <row r="20" ht="15.0" customHeight="1">
      <c r="A20" s="116" t="s">
        <v>3442</v>
      </c>
      <c r="B20" s="182">
        <v>46075.0</v>
      </c>
      <c r="C20" s="182">
        <v>46069.0</v>
      </c>
      <c r="D20" s="57" t="s">
        <v>306</v>
      </c>
      <c r="E20" s="3">
        <f t="array" ref="E20">XLOOKUP(D20,RUC!$B$3:$B$110,RUC!$D$3:$D$110)</f>
        <v>20612921866</v>
      </c>
      <c r="G20" s="141">
        <v>50.0</v>
      </c>
      <c r="H20" s="3" t="s">
        <v>47</v>
      </c>
      <c r="I20" s="6">
        <v>5.3</v>
      </c>
      <c r="J20" s="58">
        <v>2.2</v>
      </c>
      <c r="K20" s="6">
        <f t="shared" si="2"/>
        <v>5.183</v>
      </c>
      <c r="L20" s="139">
        <v>0.134</v>
      </c>
      <c r="M20" s="60">
        <f t="shared" si="17"/>
        <v>0.115</v>
      </c>
      <c r="N20" s="62">
        <f t="shared" si="27"/>
        <v>0.115</v>
      </c>
      <c r="O20" s="60">
        <f t="shared" si="26"/>
        <v>0.115</v>
      </c>
      <c r="P20" s="63">
        <v>90.0</v>
      </c>
      <c r="Q20" s="58">
        <v>97.01</v>
      </c>
      <c r="R20" s="65">
        <v>4972.1</v>
      </c>
      <c r="S20" s="66">
        <f t="array" ref="S20">IF((XLOOKUP(D20,RUC!$B$3:$B$106,RUC!$E$3:$E$106)+ROUNDDOWN(O20,1)*100)&lt;95,95,((XLOOKUP(D20,RUC!$B$3:$B$106,RUC!$E$3:$E$106)+ROUNDDOWN(O20,1)*100)))</f>
        <v>95</v>
      </c>
      <c r="U20" s="67">
        <f t="array" ref="U20">XLOOKUP(D20,RUC!$B$3:$B$110,RUC!$F$3:$F$110)</f>
        <v>100</v>
      </c>
      <c r="V20" s="67">
        <v>1.1023</v>
      </c>
      <c r="Y20" s="57" t="str">
        <f t="array" ref="Y20">XLOOKUP(D20,RUC!$B$3:$B$110,RUC!$G$3:$G$110)</f>
        <v/>
      </c>
      <c r="Z20" s="69">
        <f t="array" ref="Z20">XLOOKUP(D20,RUC!$B$3:$B$110,RUC!$H$3:$H$110)</f>
        <v>30</v>
      </c>
      <c r="AA20" s="70">
        <f t="shared" si="6"/>
        <v>30</v>
      </c>
      <c r="AB20" s="71">
        <f t="shared" si="7"/>
        <v>418.0608884</v>
      </c>
      <c r="AC20" s="71">
        <f>+(S20-T20)*V20-'data 1'!$F$4</f>
        <v>24.7185</v>
      </c>
      <c r="AD20" s="71">
        <f t="shared" si="8"/>
        <v>50.4474034</v>
      </c>
      <c r="AE20" s="71">
        <f t="shared" si="9"/>
        <v>-36.931</v>
      </c>
      <c r="AF20" s="71">
        <f t="shared" si="10"/>
        <v>98.98881073</v>
      </c>
      <c r="AG20" s="72">
        <f t="shared" si="28"/>
        <v>197.2237141</v>
      </c>
      <c r="AH20" s="193">
        <f t="shared" si="11"/>
        <v>23.1</v>
      </c>
      <c r="AI20" s="193">
        <f t="shared" si="12"/>
        <v>23.812</v>
      </c>
      <c r="AJ20" s="73">
        <f t="shared" si="13"/>
        <v>3.997839122</v>
      </c>
      <c r="AK20" s="73">
        <f t="shared" si="14"/>
        <v>18.39207071</v>
      </c>
      <c r="AM20" s="51">
        <f t="shared" si="15"/>
        <v>2166.809585</v>
      </c>
      <c r="AN20" s="51" t="str">
        <f t="array" ref="AN20">XLOOKUP(D20,RUC!$B$3:$B$565,RUC!$M$3:$M$565)</f>
        <v>Ronald Garibay</v>
      </c>
      <c r="AO20" s="131" t="s">
        <v>551</v>
      </c>
      <c r="AP20" s="57" t="s">
        <v>3440</v>
      </c>
      <c r="AQ20" s="57" t="s">
        <v>3441</v>
      </c>
    </row>
    <row r="21" ht="15.0" customHeight="1">
      <c r="A21" s="116" t="s">
        <v>3443</v>
      </c>
      <c r="B21" s="182">
        <v>46077.0</v>
      </c>
      <c r="C21" s="182">
        <v>46070.0</v>
      </c>
      <c r="D21" s="2" t="s">
        <v>806</v>
      </c>
      <c r="E21" s="3">
        <f t="array" ref="E21">XLOOKUP(D21,RUC!$B$3:$B$110,RUC!$D$3:$D$110)</f>
        <v>20614284740</v>
      </c>
      <c r="G21" s="141">
        <v>120.0</v>
      </c>
      <c r="H21" s="3" t="s">
        <v>47</v>
      </c>
      <c r="I21" s="6">
        <v>10.3</v>
      </c>
      <c r="J21" s="58">
        <v>4.1</v>
      </c>
      <c r="K21" s="6">
        <f t="shared" si="2"/>
        <v>9.878</v>
      </c>
      <c r="L21" s="139">
        <v>0.125</v>
      </c>
      <c r="M21" s="60">
        <f t="shared" si="17"/>
        <v>0.106</v>
      </c>
      <c r="N21" s="62">
        <f t="shared" si="27"/>
        <v>0.106</v>
      </c>
      <c r="O21" s="60">
        <f t="shared" si="26"/>
        <v>0.106</v>
      </c>
      <c r="P21" s="63">
        <v>80.0</v>
      </c>
      <c r="Q21" s="58">
        <v>96.8</v>
      </c>
      <c r="R21" s="65">
        <v>4861.45</v>
      </c>
      <c r="S21" s="66">
        <f t="array" ref="S21">IF((XLOOKUP(D21,RUC!$B$3:$B$106,RUC!$E$3:$E$106)+ROUNDDOWN(O21,1)*100)&lt;95,95,((XLOOKUP(D21,RUC!$B$3:$B$106,RUC!$E$3:$E$106)+ROUNDDOWN(O21,1)*100)))</f>
        <v>100</v>
      </c>
      <c r="U21" s="67">
        <f t="array" ref="U21">XLOOKUP(D21,RUC!$B$3:$B$110,RUC!$F$3:$F$110)</f>
        <v>120</v>
      </c>
      <c r="V21" s="67">
        <v>1.1023</v>
      </c>
      <c r="Y21" s="57">
        <f t="array" ref="Y21">XLOOKUP(D21,RUC!$B$3:$B$110,RUC!$G$3:$G$110)</f>
        <v>20</v>
      </c>
      <c r="Z21" s="69">
        <f t="array" ref="Z21">XLOOKUP(D21,RUC!$B$3:$B$110,RUC!$H$3:$H$110)</f>
        <v>30</v>
      </c>
      <c r="AA21" s="70">
        <f t="shared" si="6"/>
        <v>50</v>
      </c>
      <c r="AB21" s="71">
        <f t="shared" si="7"/>
        <v>277.8622284</v>
      </c>
      <c r="AC21" s="71">
        <f>+(S21-T21)*V21-'data 1'!$F$4</f>
        <v>30.23</v>
      </c>
      <c r="AD21" s="71">
        <f t="shared" si="8"/>
        <v>109.756507</v>
      </c>
      <c r="AE21" s="71">
        <f t="shared" si="9"/>
        <v>-14.885</v>
      </c>
      <c r="AF21" s="71">
        <f t="shared" si="10"/>
        <v>96.12579416</v>
      </c>
      <c r="AG21" s="72">
        <f t="shared" ref="AG21:AG23" si="29">AC21+AD21+AE21+AF21+70</f>
        <v>291.2273012</v>
      </c>
      <c r="AH21" s="193">
        <f t="shared" si="11"/>
        <v>40.979</v>
      </c>
      <c r="AI21" s="193">
        <f t="shared" si="12"/>
        <v>42.334</v>
      </c>
      <c r="AJ21" s="73">
        <f t="shared" si="13"/>
        <v>21.14712947</v>
      </c>
      <c r="AK21" s="73">
        <f t="shared" si="14"/>
        <v>28.71930616</v>
      </c>
      <c r="AM21" s="51">
        <f t="shared" si="15"/>
        <v>2744.723092</v>
      </c>
      <c r="AN21" s="51" t="str">
        <f t="array" ref="AN21">XLOOKUP(D21,RUC!$B$3:$B$565,RUC!$M$3:$M$565)</f>
        <v>Dante </v>
      </c>
      <c r="AO21" s="131" t="s">
        <v>547</v>
      </c>
      <c r="AP21" s="57" t="s">
        <v>2181</v>
      </c>
      <c r="AQ21" s="57" t="s">
        <v>3227</v>
      </c>
    </row>
    <row r="22" ht="15.0" customHeight="1">
      <c r="A22" s="116" t="s">
        <v>3444</v>
      </c>
      <c r="B22" s="182">
        <v>46077.0</v>
      </c>
      <c r="C22" s="182">
        <v>46070.0</v>
      </c>
      <c r="D22" s="2" t="s">
        <v>806</v>
      </c>
      <c r="E22" s="3">
        <f t="array" ref="E22">XLOOKUP(D22,RUC!$B$3:$B$110,RUC!$D$3:$D$110)</f>
        <v>20614284740</v>
      </c>
      <c r="G22" s="141">
        <v>165.0</v>
      </c>
      <c r="H22" s="3" t="s">
        <v>47</v>
      </c>
      <c r="I22" s="6">
        <v>14.28</v>
      </c>
      <c r="J22" s="58">
        <v>5.0</v>
      </c>
      <c r="K22" s="6">
        <f t="shared" si="2"/>
        <v>13.566</v>
      </c>
      <c r="L22" s="139">
        <v>0.12</v>
      </c>
      <c r="M22" s="60">
        <f t="shared" si="17"/>
        <v>0.101</v>
      </c>
      <c r="N22" s="62">
        <f t="shared" si="27"/>
        <v>0.101</v>
      </c>
      <c r="O22" s="60">
        <f t="shared" si="26"/>
        <v>0.101</v>
      </c>
      <c r="P22" s="63">
        <v>80.0</v>
      </c>
      <c r="Q22" s="58">
        <v>95.83</v>
      </c>
      <c r="R22" s="65">
        <v>4861.45</v>
      </c>
      <c r="S22" s="66">
        <f t="array" ref="S22">IF((XLOOKUP(D22,RUC!$B$3:$B$106,RUC!$E$3:$E$106)+ROUNDDOWN(O22,1)*100)&lt;95,95,((XLOOKUP(D22,RUC!$B$3:$B$106,RUC!$E$3:$E$106)+ROUNDDOWN(O22,1)*100)))</f>
        <v>100</v>
      </c>
      <c r="U22" s="67">
        <f t="array" ref="U22">XLOOKUP(D22,RUC!$B$3:$B$110,RUC!$F$3:$F$110)</f>
        <v>120</v>
      </c>
      <c r="V22" s="67">
        <v>1.1023</v>
      </c>
      <c r="Y22" s="57">
        <f t="array" ref="Y22">XLOOKUP(D22,RUC!$B$3:$B$110,RUC!$G$3:$G$110)</f>
        <v>20</v>
      </c>
      <c r="Z22" s="69">
        <f t="array" ref="Z22">XLOOKUP(D22,RUC!$B$3:$B$110,RUC!$H$3:$H$110)</f>
        <v>30</v>
      </c>
      <c r="AA22" s="70">
        <f t="shared" si="6"/>
        <v>50</v>
      </c>
      <c r="AB22" s="71">
        <f t="shared" si="7"/>
        <v>256.9562271</v>
      </c>
      <c r="AC22" s="71">
        <f>+(S22-T22)*V22-'data 1'!$F$4</f>
        <v>30.23</v>
      </c>
      <c r="AD22" s="71">
        <f t="shared" si="8"/>
        <v>99.28260036</v>
      </c>
      <c r="AE22" s="71">
        <f t="shared" si="9"/>
        <v>-14.885</v>
      </c>
      <c r="AF22" s="71">
        <f t="shared" si="10"/>
        <v>95.16255015</v>
      </c>
      <c r="AG22" s="72">
        <f t="shared" si="29"/>
        <v>279.7901505</v>
      </c>
      <c r="AH22" s="193">
        <f t="shared" si="11"/>
        <v>53.486</v>
      </c>
      <c r="AI22" s="193">
        <f t="shared" si="12"/>
        <v>55.814</v>
      </c>
      <c r="AJ22" s="73">
        <f t="shared" si="13"/>
        <v>20.0978124</v>
      </c>
      <c r="AK22" s="73">
        <f t="shared" si="14"/>
        <v>37.5813384</v>
      </c>
      <c r="AM22" s="51">
        <f t="shared" si="15"/>
        <v>3485.868176</v>
      </c>
      <c r="AN22" s="51" t="str">
        <f t="array" ref="AN22">XLOOKUP(D22,RUC!$B$3:$B$565,RUC!$M$3:$M$565)</f>
        <v>Dante </v>
      </c>
      <c r="AO22" s="131" t="s">
        <v>549</v>
      </c>
      <c r="AP22" s="57" t="s">
        <v>3445</v>
      </c>
      <c r="AQ22" s="57" t="s">
        <v>3446</v>
      </c>
    </row>
    <row r="23" ht="15.0" customHeight="1">
      <c r="A23" s="116" t="s">
        <v>3447</v>
      </c>
      <c r="B23" s="182">
        <v>46077.0</v>
      </c>
      <c r="C23" s="182">
        <v>46073.0</v>
      </c>
      <c r="D23" s="57" t="s">
        <v>74</v>
      </c>
      <c r="E23" s="3">
        <f t="array" ref="E23">XLOOKUP(D23,RUC!$B$3:$B$110,RUC!$D$3:$D$110)</f>
        <v>10082235774</v>
      </c>
      <c r="G23" s="141">
        <v>45.0</v>
      </c>
      <c r="H23" s="3" t="s">
        <v>47</v>
      </c>
      <c r="I23" s="6">
        <v>3.79</v>
      </c>
      <c r="J23" s="58">
        <v>5.65</v>
      </c>
      <c r="K23" s="6">
        <f t="shared" si="2"/>
        <v>3.576</v>
      </c>
      <c r="L23" s="139">
        <v>0.134</v>
      </c>
      <c r="M23" s="60">
        <f t="shared" si="17"/>
        <v>0.127</v>
      </c>
      <c r="N23" s="62">
        <f t="shared" si="27"/>
        <v>0.127</v>
      </c>
      <c r="O23" s="60">
        <f t="shared" si="26"/>
        <v>0.127</v>
      </c>
      <c r="P23" s="63">
        <v>85.0</v>
      </c>
      <c r="Q23" s="58">
        <v>90.3</v>
      </c>
      <c r="R23" s="65">
        <v>5053.2</v>
      </c>
      <c r="S23" s="133">
        <f t="array" ref="S23">IF((XLOOKUP(D23,RUC!$B$3:$B$106,RUC!$E$3:$E$106)+ROUNDDOWN(O23,1)*100)&lt;95,95,((XLOOKUP(D23,RUC!$B$3:$B$106,RUC!$E$3:$E$106)+ROUNDDOWN(O23,1)*100)))</f>
        <v>95</v>
      </c>
      <c r="U23" s="67">
        <f t="array" ref="U23">XLOOKUP(D23,RUC!$B$3:$B$110,RUC!$F$3:$F$110)</f>
        <v>80</v>
      </c>
      <c r="V23" s="67">
        <v>1.1023</v>
      </c>
      <c r="Y23" s="57" t="str">
        <f t="array" ref="Y23">XLOOKUP(D23,RUC!$B$3:$B$110,RUC!$G$3:$G$110)</f>
        <v/>
      </c>
      <c r="Z23" s="69">
        <f t="array" ref="Z23">XLOOKUP(D23,RUC!$B$3:$B$110,RUC!$H$3:$H$110)</f>
        <v>10</v>
      </c>
      <c r="AA23" s="70">
        <f t="shared" si="6"/>
        <v>10</v>
      </c>
      <c r="AB23" s="71">
        <f t="shared" si="7"/>
        <v>476.035905</v>
      </c>
      <c r="AC23" s="71">
        <f>+(S23-T23)*V23-'data 1'!$F$4</f>
        <v>24.7185</v>
      </c>
      <c r="AD23" s="71">
        <f t="shared" si="8"/>
        <v>38.93286827</v>
      </c>
      <c r="AE23" s="71">
        <f t="shared" si="9"/>
        <v>-58.977</v>
      </c>
      <c r="AF23" s="71">
        <f t="shared" si="10"/>
        <v>34.65145879</v>
      </c>
      <c r="AG23" s="72">
        <f t="shared" si="29"/>
        <v>109.3258271</v>
      </c>
      <c r="AH23" s="193">
        <f t="shared" si="11"/>
        <v>14.835</v>
      </c>
      <c r="AI23" s="193">
        <f t="shared" si="12"/>
        <v>16.429</v>
      </c>
      <c r="AJ23" s="73">
        <f t="shared" si="13"/>
        <v>-9.763452937</v>
      </c>
      <c r="AK23" s="73">
        <f t="shared" si="14"/>
        <v>13.23516092</v>
      </c>
      <c r="AM23" s="51">
        <f t="shared" si="15"/>
        <v>1702.304396</v>
      </c>
      <c r="AN23" s="51" t="str">
        <f t="array" ref="AN23">XLOOKUP(D23,RUC!$B$3:$B$565,RUC!$M$3:$M$565)</f>
        <v>Melchor Vera</v>
      </c>
      <c r="AO23" s="131" t="s">
        <v>551</v>
      </c>
      <c r="AP23" s="2" t="s">
        <v>3345</v>
      </c>
      <c r="AQ23" s="2" t="s">
        <v>3346</v>
      </c>
    </row>
    <row r="24" ht="15.0" customHeight="1">
      <c r="A24" s="116" t="s">
        <v>3448</v>
      </c>
      <c r="B24" s="182">
        <v>46080.0</v>
      </c>
      <c r="C24" s="182">
        <v>46075.0</v>
      </c>
      <c r="D24" s="57" t="s">
        <v>225</v>
      </c>
      <c r="E24" s="3">
        <f t="array" ref="E24">XLOOKUP(D24,RUC!$B$3:$B$110,RUC!$D$3:$D$110)</f>
        <v>10761932735</v>
      </c>
      <c r="G24" s="141">
        <v>203.0</v>
      </c>
      <c r="H24" s="3" t="s">
        <v>47</v>
      </c>
      <c r="I24" s="6">
        <v>21.22</v>
      </c>
      <c r="J24" s="58">
        <v>9.3</v>
      </c>
      <c r="K24" s="6">
        <f t="shared" si="2"/>
        <v>19.247</v>
      </c>
      <c r="L24" s="3">
        <v>0.141</v>
      </c>
      <c r="M24" s="60">
        <f t="shared" ref="M24:M25" si="30">+L24-0.035</f>
        <v>0.106</v>
      </c>
      <c r="N24" s="75">
        <v>0.162</v>
      </c>
      <c r="O24" s="60">
        <f t="shared" si="26"/>
        <v>0.134</v>
      </c>
      <c r="P24" s="63">
        <v>85.0</v>
      </c>
      <c r="Q24" s="58">
        <v>97.87</v>
      </c>
      <c r="R24" s="65">
        <v>5191.4</v>
      </c>
      <c r="S24" s="66">
        <f t="array" ref="S24">IF((XLOOKUP(D24,RUC!$B$3:$B$106,RUC!$E$3:$E$106)+ROUNDDOWN(O24,1)*100)&lt;95,95,((XLOOKUP(D24,RUC!$B$3:$B$106,RUC!$E$3:$E$106)+ROUNDDOWN(O24,1)*100)))</f>
        <v>100</v>
      </c>
      <c r="U24" s="67">
        <f t="array" ref="U24">XLOOKUP(D24,RUC!$B$3:$B$110,RUC!$F$3:$F$110)</f>
        <v>120</v>
      </c>
      <c r="V24" s="67">
        <v>1.1023</v>
      </c>
      <c r="Y24" s="57">
        <f t="array" ref="Y24">XLOOKUP(D24,RUC!$B$3:$B$110,RUC!$G$3:$G$110)</f>
        <v>20</v>
      </c>
      <c r="Z24" s="69">
        <f t="array" ref="Z24">XLOOKUP(D24,RUC!$B$3:$B$110,RUC!$H$3:$H$110)</f>
        <v>30</v>
      </c>
      <c r="AA24" s="70">
        <f t="shared" si="6"/>
        <v>50</v>
      </c>
      <c r="AB24" s="71">
        <f t="shared" si="7"/>
        <v>471.3792607</v>
      </c>
      <c r="AC24" s="71">
        <f>+(S24-T24)*V24-'data 1'!$F$4</f>
        <v>30.23</v>
      </c>
      <c r="AD24" s="71">
        <f t="shared" si="8"/>
        <v>101.4437589</v>
      </c>
      <c r="AE24" s="71">
        <f t="shared" si="9"/>
        <v>-14.885</v>
      </c>
      <c r="AF24" s="71">
        <f t="shared" si="10"/>
        <v>38.29793009</v>
      </c>
      <c r="AG24" s="72">
        <f t="shared" ref="AG24:AG26" si="31">AC24+AD24+AE24+AF24+70-53</f>
        <v>172.086689</v>
      </c>
      <c r="AH24" s="193">
        <f t="shared" si="11"/>
        <v>91.063</v>
      </c>
      <c r="AI24" s="193">
        <f t="shared" si="12"/>
        <v>93.045</v>
      </c>
      <c r="AJ24" s="73">
        <f t="shared" si="13"/>
        <v>-26.07229888</v>
      </c>
      <c r="AK24" s="73">
        <f t="shared" si="14"/>
        <v>75.16156939</v>
      </c>
      <c r="AM24" s="51">
        <f t="shared" si="15"/>
        <v>9072.63663</v>
      </c>
      <c r="AN24" s="51" t="str">
        <f t="array" ref="AN24">XLOOKUP(D24,RUC!$B$3:$B$565,RUC!$M$3:$M$565)</f>
        <v>Richard Sapacayo</v>
      </c>
      <c r="AO24" s="131" t="s">
        <v>551</v>
      </c>
      <c r="AP24" s="57" t="s">
        <v>3449</v>
      </c>
      <c r="AQ24" s="57" t="s">
        <v>3450</v>
      </c>
      <c r="BA24" s="203"/>
    </row>
    <row r="25" ht="15.0" customHeight="1">
      <c r="A25" s="116" t="s">
        <v>3451</v>
      </c>
      <c r="B25" s="182">
        <v>46080.0</v>
      </c>
      <c r="C25" s="182">
        <v>46075.0</v>
      </c>
      <c r="D25" s="57" t="s">
        <v>225</v>
      </c>
      <c r="E25" s="3">
        <f t="array" ref="E25">XLOOKUP(D25,RUC!$B$3:$B$110,RUC!$D$3:$D$110)</f>
        <v>10761932735</v>
      </c>
      <c r="G25" s="141">
        <v>64.0</v>
      </c>
      <c r="H25" s="3" t="s">
        <v>47</v>
      </c>
      <c r="I25" s="6">
        <v>6.53</v>
      </c>
      <c r="J25" s="58">
        <v>9.0</v>
      </c>
      <c r="K25" s="6">
        <f t="shared" si="2"/>
        <v>5.942</v>
      </c>
      <c r="L25" s="3">
        <v>0.144</v>
      </c>
      <c r="M25" s="60">
        <f t="shared" si="30"/>
        <v>0.109</v>
      </c>
      <c r="N25" s="62">
        <f>+M25</f>
        <v>0.109</v>
      </c>
      <c r="O25" s="60">
        <f t="shared" si="26"/>
        <v>0.109</v>
      </c>
      <c r="P25" s="63">
        <v>80.0</v>
      </c>
      <c r="Q25" s="58">
        <v>98.61</v>
      </c>
      <c r="R25" s="65">
        <v>5191.4</v>
      </c>
      <c r="S25" s="66">
        <f t="array" ref="S25">IF((XLOOKUP(D25,RUC!$B$3:$B$106,RUC!$E$3:$E$106)+ROUNDDOWN(O25,1)*100)&lt;95,95,((XLOOKUP(D25,RUC!$B$3:$B$106,RUC!$E$3:$E$106)+ROUNDDOWN(O25,1)*100)))</f>
        <v>100</v>
      </c>
      <c r="U25" s="67">
        <f t="array" ref="U25">XLOOKUP(D25,RUC!$B$3:$B$110,RUC!$F$3:$F$110)</f>
        <v>120</v>
      </c>
      <c r="V25" s="67">
        <v>1.1023</v>
      </c>
      <c r="Y25" s="57">
        <f t="array" ref="Y25">XLOOKUP(D25,RUC!$B$3:$B$110,RUC!$G$3:$G$110)</f>
        <v>20</v>
      </c>
      <c r="Z25" s="69">
        <f t="array" ref="Z25">XLOOKUP(D25,RUC!$B$3:$B$110,RUC!$H$3:$H$110)</f>
        <v>30</v>
      </c>
      <c r="AA25" s="70">
        <f t="shared" si="6"/>
        <v>50</v>
      </c>
      <c r="AB25" s="71">
        <f t="shared" si="7"/>
        <v>322.120808</v>
      </c>
      <c r="AC25" s="71">
        <f>+(S25-T25)*V25-'data 1'!$F$4</f>
        <v>30.23</v>
      </c>
      <c r="AD25" s="71">
        <f t="shared" si="8"/>
        <v>149.8085288</v>
      </c>
      <c r="AE25" s="71">
        <f t="shared" si="9"/>
        <v>-14.885</v>
      </c>
      <c r="AF25" s="71">
        <f t="shared" si="10"/>
        <v>192.9375133</v>
      </c>
      <c r="AG25" s="72">
        <f t="shared" si="31"/>
        <v>375.0910421</v>
      </c>
      <c r="AH25" s="193">
        <f t="shared" si="11"/>
        <v>28.928</v>
      </c>
      <c r="AI25" s="193">
        <f t="shared" si="12"/>
        <v>29.336</v>
      </c>
      <c r="AJ25" s="73">
        <f t="shared" si="13"/>
        <v>-26.82835695</v>
      </c>
      <c r="AK25" s="73">
        <f t="shared" si="14"/>
        <v>17.76471325</v>
      </c>
      <c r="AM25" s="51">
        <f t="shared" si="15"/>
        <v>1914.041841</v>
      </c>
      <c r="AN25" s="51" t="str">
        <f t="array" ref="AN25">XLOOKUP(D25,RUC!$B$3:$B$565,RUC!$M$3:$M$565)</f>
        <v>Richard Sapacayo</v>
      </c>
      <c r="AO25" s="131" t="s">
        <v>558</v>
      </c>
      <c r="AP25" s="57" t="s">
        <v>3449</v>
      </c>
      <c r="AQ25" s="57" t="s">
        <v>3450</v>
      </c>
      <c r="BA25" s="203"/>
    </row>
    <row r="26" ht="15.0" customHeight="1">
      <c r="A26" s="116" t="s">
        <v>3452</v>
      </c>
      <c r="B26" s="182">
        <v>46083.0</v>
      </c>
      <c r="C26" s="182">
        <v>46076.0</v>
      </c>
      <c r="D26" s="57" t="s">
        <v>306</v>
      </c>
      <c r="E26" s="3">
        <f t="array" ref="E26">XLOOKUP(D26,RUC!$B$3:$B$110,RUC!$D$3:$D$110)</f>
        <v>20612921866</v>
      </c>
      <c r="G26" s="141" t="s">
        <v>735</v>
      </c>
      <c r="H26" s="3" t="s">
        <v>47</v>
      </c>
      <c r="I26" s="6">
        <v>18.22</v>
      </c>
      <c r="J26" s="58">
        <v>2.1</v>
      </c>
      <c r="K26" s="6">
        <f t="shared" si="2"/>
        <v>17.837</v>
      </c>
      <c r="L26" s="3">
        <v>0.141</v>
      </c>
      <c r="M26" s="60">
        <f t="shared" ref="M26:M69" si="32">ROUND(+IF(AN26="Melchor Vera",IF(L26&gt;0.467,L26*0.985,(L26-0.007)),IF(L26&gt;0.3,L26*0.94,(L26-0.019))),3)</f>
        <v>0.122</v>
      </c>
      <c r="N26" s="75">
        <v>0.213</v>
      </c>
      <c r="O26" s="60">
        <f t="shared" si="26"/>
        <v>0.168</v>
      </c>
      <c r="P26" s="63">
        <v>90.0</v>
      </c>
      <c r="Q26" s="58">
        <v>98.58</v>
      </c>
      <c r="R26" s="65">
        <v>5191.4</v>
      </c>
      <c r="S26" s="66">
        <f t="array" ref="S26">IF((XLOOKUP(D26,RUC!$B$3:$B$106,RUC!$E$3:$E$106)+ROUNDDOWN(O26,1)*100)&lt;95,95,((XLOOKUP(D26,RUC!$B$3:$B$106,RUC!$E$3:$E$106)+ROUNDDOWN(O26,1)*100)))</f>
        <v>95</v>
      </c>
      <c r="U26" s="67">
        <f t="array" ref="U26">XLOOKUP(D26,RUC!$B$3:$B$110,RUC!$F$3:$F$110)</f>
        <v>100</v>
      </c>
      <c r="V26" s="67">
        <v>1.1023</v>
      </c>
      <c r="Y26" s="57" t="str">
        <f t="array" ref="Y26">XLOOKUP(D26,RUC!$B$3:$B$110,RUC!$G$3:$G$110)</f>
        <v/>
      </c>
      <c r="Z26" s="69">
        <f t="array" ref="Z26">XLOOKUP(D26,RUC!$B$3:$B$110,RUC!$H$3:$H$110)</f>
        <v>30</v>
      </c>
      <c r="AA26" s="70">
        <f t="shared" si="6"/>
        <v>30</v>
      </c>
      <c r="AB26" s="71">
        <f t="shared" si="7"/>
        <v>710.7847333</v>
      </c>
      <c r="AC26" s="71">
        <f>+(S26-T26)*V26-'data 1'!$F$4</f>
        <v>24.7185</v>
      </c>
      <c r="AD26" s="71">
        <f t="shared" si="8"/>
        <v>67.89588071</v>
      </c>
      <c r="AE26" s="71">
        <f t="shared" si="9"/>
        <v>-36.931</v>
      </c>
      <c r="AF26" s="71">
        <f t="shared" si="10"/>
        <v>-149.3790192</v>
      </c>
      <c r="AG26" s="72">
        <f t="shared" si="31"/>
        <v>-76.69563849</v>
      </c>
      <c r="AH26" s="193">
        <f t="shared" si="11"/>
        <v>85.004</v>
      </c>
      <c r="AI26" s="193">
        <f t="shared" si="12"/>
        <v>86.228</v>
      </c>
      <c r="AJ26" s="73">
        <f t="shared" si="13"/>
        <v>-29.32578642</v>
      </c>
      <c r="AK26" s="73">
        <f t="shared" si="14"/>
        <v>92.46612816</v>
      </c>
      <c r="AM26" s="51">
        <f t="shared" si="15"/>
        <v>12678.26729</v>
      </c>
      <c r="AN26" s="51" t="str">
        <f t="array" ref="AN26">XLOOKUP(D26,RUC!$B$3:$B$565,RUC!$M$3:$M$565)</f>
        <v>Ronald Garibay</v>
      </c>
      <c r="AO26" s="131" t="s">
        <v>551</v>
      </c>
      <c r="AP26" s="57" t="s">
        <v>3453</v>
      </c>
      <c r="AQ26" s="57" t="s">
        <v>2339</v>
      </c>
      <c r="AV26" s="149" t="s">
        <v>3454</v>
      </c>
      <c r="AW26" s="150"/>
      <c r="AX26" s="150"/>
      <c r="AY26" s="150"/>
      <c r="AZ26" s="150"/>
      <c r="BA26" s="151"/>
    </row>
    <row r="27" ht="15.0" customHeight="1">
      <c r="A27" s="116" t="s">
        <v>3455</v>
      </c>
      <c r="B27" s="182">
        <v>46084.0</v>
      </c>
      <c r="C27" s="182">
        <v>46079.0</v>
      </c>
      <c r="D27" s="57" t="s">
        <v>306</v>
      </c>
      <c r="E27" s="3">
        <f t="array" ref="E27">XLOOKUP(D27,RUC!$B$3:$B$110,RUC!$D$3:$D$110)</f>
        <v>20612921866</v>
      </c>
      <c r="G27" s="141">
        <v>50.0</v>
      </c>
      <c r="H27" s="3" t="s">
        <v>47</v>
      </c>
      <c r="I27" s="6">
        <v>5.26</v>
      </c>
      <c r="J27" s="58">
        <v>2.2</v>
      </c>
      <c r="K27" s="145">
        <f t="shared" si="2"/>
        <v>5.144</v>
      </c>
      <c r="L27" s="3">
        <v>0.161</v>
      </c>
      <c r="M27" s="60">
        <f t="shared" si="32"/>
        <v>0.142</v>
      </c>
      <c r="N27" s="62">
        <f t="shared" ref="N27:N33" si="33">+M27</f>
        <v>0.142</v>
      </c>
      <c r="O27" s="60">
        <f t="shared" si="26"/>
        <v>0.142</v>
      </c>
      <c r="P27" s="63">
        <v>90.0</v>
      </c>
      <c r="Q27" s="58">
        <v>95.65</v>
      </c>
      <c r="R27" s="65">
        <v>5167.35</v>
      </c>
      <c r="S27" s="66">
        <f t="array" ref="S27">IF((XLOOKUP(D27,RUC!$B$3:$B$106,RUC!$E$3:$E$106)+ROUNDDOWN(O27,1)*100)&lt;95,95,((XLOOKUP(D27,RUC!$B$3:$B$106,RUC!$E$3:$E$106)+ROUNDDOWN(O27,1)*100)))</f>
        <v>95</v>
      </c>
      <c r="U27" s="67">
        <f t="array" ref="U27">XLOOKUP(D27,RUC!$B$3:$B$110,RUC!$F$3:$F$110)</f>
        <v>100</v>
      </c>
      <c r="V27" s="67">
        <v>1.1023</v>
      </c>
      <c r="Y27" s="57" t="str">
        <f t="array" ref="Y27">XLOOKUP(D27,RUC!$B$3:$B$110,RUC!$G$3:$G$110)</f>
        <v/>
      </c>
      <c r="Z27" s="69">
        <f t="array" ref="Z27">XLOOKUP(D27,RUC!$B$3:$B$110,RUC!$H$3:$H$110)</f>
        <v>30</v>
      </c>
      <c r="AA27" s="70">
        <f t="shared" si="6"/>
        <v>30</v>
      </c>
      <c r="AB27" s="71">
        <f t="shared" si="7"/>
        <v>576.0700599</v>
      </c>
      <c r="AC27" s="71">
        <f>+(S27-T27)*V27-'data 1'!$F$4</f>
        <v>24.7185</v>
      </c>
      <c r="AD27" s="71">
        <f t="shared" si="8"/>
        <v>50.81068305</v>
      </c>
      <c r="AE27" s="71">
        <f t="shared" si="9"/>
        <v>-36.931</v>
      </c>
      <c r="AF27" s="71">
        <f t="shared" si="10"/>
        <v>101.5124442</v>
      </c>
      <c r="AG27" s="72">
        <f t="shared" ref="AG27:AG29" si="34">AC27+AD27+AE27+AF27+70-10</f>
        <v>200.1106272</v>
      </c>
      <c r="AH27" s="193">
        <f t="shared" si="11"/>
        <v>27.159</v>
      </c>
      <c r="AI27" s="193">
        <f t="shared" si="12"/>
        <v>28.395</v>
      </c>
      <c r="AJ27" s="73">
        <f t="shared" si="13"/>
        <v>-28.40771973</v>
      </c>
      <c r="AK27" s="73">
        <f t="shared" si="14"/>
        <v>22.53932382</v>
      </c>
      <c r="AM27" s="51">
        <f t="shared" si="15"/>
        <v>2963.304388</v>
      </c>
      <c r="AN27" s="51" t="str">
        <f t="array" ref="AN27">XLOOKUP(D27,RUC!$B$3:$B$565,RUC!$M$3:$M$565)</f>
        <v>Ronald Garibay</v>
      </c>
      <c r="AO27" s="131" t="s">
        <v>558</v>
      </c>
      <c r="AP27" s="475" t="s">
        <v>3387</v>
      </c>
      <c r="AQ27" s="57" t="s">
        <v>3388</v>
      </c>
      <c r="BA27" s="203">
        <f>SUM(BA29:BA38)</f>
        <v>0</v>
      </c>
    </row>
    <row r="28" ht="15.0" customHeight="1">
      <c r="A28" s="116" t="s">
        <v>3456</v>
      </c>
      <c r="B28" s="182">
        <v>46087.0</v>
      </c>
      <c r="C28" s="182">
        <v>46083.0</v>
      </c>
      <c r="D28" s="57" t="s">
        <v>306</v>
      </c>
      <c r="E28" s="3">
        <f t="array" ref="E28">XLOOKUP(D28,RUC!$B$3:$B$110,RUC!$D$3:$D$110)</f>
        <v>20612921866</v>
      </c>
      <c r="G28" s="141" t="s">
        <v>735</v>
      </c>
      <c r="H28" s="3" t="s">
        <v>47</v>
      </c>
      <c r="I28" s="6">
        <v>26.5</v>
      </c>
      <c r="J28" s="58">
        <v>2.7</v>
      </c>
      <c r="K28" s="145">
        <f t="shared" si="2"/>
        <v>25.785</v>
      </c>
      <c r="L28" s="3">
        <v>0.173</v>
      </c>
      <c r="M28" s="60">
        <f t="shared" si="32"/>
        <v>0.154</v>
      </c>
      <c r="N28" s="62">
        <f t="shared" si="33"/>
        <v>0.154</v>
      </c>
      <c r="O28" s="60">
        <f t="shared" si="26"/>
        <v>0.154</v>
      </c>
      <c r="P28" s="63">
        <v>90.0</v>
      </c>
      <c r="Q28" s="2">
        <v>93.64</v>
      </c>
      <c r="R28" s="65">
        <v>5313.9</v>
      </c>
      <c r="S28" s="66">
        <f t="array" ref="S28">IF((XLOOKUP(D28,RUC!$B$3:$B$106,RUC!$E$3:$E$106)+ROUNDDOWN(O28,1)*100)&lt;95,95,((XLOOKUP(D28,RUC!$B$3:$B$106,RUC!$E$3:$E$106)+ROUNDDOWN(O28,1)*100)))</f>
        <v>95</v>
      </c>
      <c r="U28" s="67">
        <f t="array" ref="U28">XLOOKUP(D28,RUC!$B$3:$B$110,RUC!$F$3:$F$110)</f>
        <v>100</v>
      </c>
      <c r="V28" s="67">
        <v>1.1023</v>
      </c>
      <c r="Y28" s="57" t="str">
        <f t="array" ref="Y28">XLOOKUP(D28,RUC!$B$3:$B$110,RUC!$G$3:$G$110)</f>
        <v/>
      </c>
      <c r="Z28" s="69">
        <f t="array" ref="Z28">XLOOKUP(D28,RUC!$B$3:$B$110,RUC!$H$3:$H$110)</f>
        <v>30</v>
      </c>
      <c r="AA28" s="70">
        <f t="shared" si="6"/>
        <v>30</v>
      </c>
      <c r="AB28" s="71">
        <f t="shared" si="7"/>
        <v>658.785781</v>
      </c>
      <c r="AC28" s="71">
        <f>+(S28-T28)*V28-'data 1'!$F$4</f>
        <v>24.7185</v>
      </c>
      <c r="AD28" s="71">
        <f t="shared" si="8"/>
        <v>36.19178402</v>
      </c>
      <c r="AE28" s="71">
        <f t="shared" si="9"/>
        <v>-36.931</v>
      </c>
      <c r="AF28" s="71">
        <f t="shared" si="10"/>
        <v>102.2533419</v>
      </c>
      <c r="AG28" s="72">
        <f t="shared" si="34"/>
        <v>186.2326259</v>
      </c>
      <c r="AH28" s="193">
        <f t="shared" si="11"/>
        <v>143.213</v>
      </c>
      <c r="AI28" s="193">
        <f t="shared" si="12"/>
        <v>152.94</v>
      </c>
      <c r="AJ28" s="73">
        <f t="shared" si="13"/>
        <v>-56.05297031</v>
      </c>
      <c r="AK28" s="73">
        <f t="shared" si="14"/>
        <v>122.5291541</v>
      </c>
      <c r="AM28" s="51">
        <f t="shared" si="15"/>
        <v>16986.79136</v>
      </c>
      <c r="AN28" s="51" t="str">
        <f t="array" ref="AN28">XLOOKUP(D28,RUC!$B$3:$B$565,RUC!$M$3:$M$565)</f>
        <v>Ronald Garibay</v>
      </c>
      <c r="AO28" s="131" t="s">
        <v>558</v>
      </c>
      <c r="AP28" s="57" t="s">
        <v>3457</v>
      </c>
      <c r="AQ28" s="57" t="s">
        <v>3458</v>
      </c>
      <c r="AV28" s="3"/>
      <c r="AW28" s="3" t="s">
        <v>14</v>
      </c>
      <c r="AX28" s="3" t="s">
        <v>683</v>
      </c>
      <c r="AY28" s="3" t="s">
        <v>686</v>
      </c>
      <c r="AZ28" s="204" t="s">
        <v>700</v>
      </c>
      <c r="BA28" s="3" t="s">
        <v>687</v>
      </c>
    </row>
    <row r="29" ht="15.0" customHeight="1">
      <c r="A29" s="116" t="s">
        <v>3459</v>
      </c>
      <c r="B29" s="182">
        <v>46087.0</v>
      </c>
      <c r="C29" s="182">
        <v>46083.0</v>
      </c>
      <c r="D29" s="57" t="s">
        <v>306</v>
      </c>
      <c r="E29" s="3">
        <f t="array" ref="E29">XLOOKUP(D29,RUC!$B$3:$B$110,RUC!$D$3:$D$110)</f>
        <v>20612921866</v>
      </c>
      <c r="G29" s="141">
        <v>125.0</v>
      </c>
      <c r="H29" s="3" t="s">
        <v>47</v>
      </c>
      <c r="I29" s="6">
        <v>12.27</v>
      </c>
      <c r="J29" s="58">
        <v>2.3</v>
      </c>
      <c r="K29" s="6">
        <f t="shared" si="2"/>
        <v>11.988</v>
      </c>
      <c r="L29" s="3">
        <v>0.161</v>
      </c>
      <c r="M29" s="60">
        <f t="shared" si="32"/>
        <v>0.142</v>
      </c>
      <c r="N29" s="62">
        <f t="shared" si="33"/>
        <v>0.142</v>
      </c>
      <c r="O29" s="60">
        <f t="shared" si="26"/>
        <v>0.142</v>
      </c>
      <c r="P29" s="63">
        <v>90.0</v>
      </c>
      <c r="Q29" s="2">
        <v>94.41</v>
      </c>
      <c r="R29" s="65">
        <v>5313.9</v>
      </c>
      <c r="S29" s="66">
        <f t="array" ref="S29">IF((XLOOKUP(D29,RUC!$B$3:$B$106,RUC!$E$3:$E$106)+ROUNDDOWN(O29,1)*100)&lt;95,95,((XLOOKUP(D29,RUC!$B$3:$B$106,RUC!$E$3:$E$106)+ROUNDDOWN(O29,1)*100)))</f>
        <v>95</v>
      </c>
      <c r="U29" s="67">
        <f t="array" ref="U29">XLOOKUP(D29,RUC!$B$3:$B$110,RUC!$F$3:$F$110)</f>
        <v>100</v>
      </c>
      <c r="V29" s="67">
        <v>1.1023</v>
      </c>
      <c r="Y29" s="57" t="str">
        <f t="array" ref="Y29">XLOOKUP(D29,RUC!$B$3:$B$110,RUC!$G$3:$G$110)</f>
        <v/>
      </c>
      <c r="Z29" s="69">
        <f t="array" ref="Z29">XLOOKUP(D29,RUC!$B$3:$B$110,RUC!$H$3:$H$110)</f>
        <v>30</v>
      </c>
      <c r="AA29" s="70">
        <f t="shared" si="6"/>
        <v>30</v>
      </c>
      <c r="AB29" s="71">
        <f t="shared" si="7"/>
        <v>596.7151358</v>
      </c>
      <c r="AC29" s="71">
        <f>+(S29-T29)*V29-'data 1'!$F$4</f>
        <v>24.7185</v>
      </c>
      <c r="AD29" s="71">
        <f t="shared" si="8"/>
        <v>40.80627672</v>
      </c>
      <c r="AE29" s="71">
        <f t="shared" si="9"/>
        <v>-36.931</v>
      </c>
      <c r="AF29" s="71">
        <f t="shared" si="10"/>
        <v>103.0941692</v>
      </c>
      <c r="AG29" s="72">
        <f t="shared" si="34"/>
        <v>191.687946</v>
      </c>
      <c r="AH29" s="193">
        <f t="shared" si="11"/>
        <v>62.474</v>
      </c>
      <c r="AI29" s="193">
        <f t="shared" si="12"/>
        <v>66.173</v>
      </c>
      <c r="AJ29" s="73">
        <f t="shared" si="13"/>
        <v>-52.59385404</v>
      </c>
      <c r="AK29" s="73">
        <f t="shared" si="14"/>
        <v>52.52749104</v>
      </c>
      <c r="AM29" s="51">
        <f t="shared" si="15"/>
        <v>7153.421048</v>
      </c>
      <c r="AN29" s="51" t="str">
        <f t="array" ref="AN29">XLOOKUP(D29,RUC!$B$3:$B$565,RUC!$M$3:$M$565)</f>
        <v>Ronald Garibay</v>
      </c>
      <c r="AO29" s="131" t="s">
        <v>558</v>
      </c>
      <c r="AP29" s="57" t="s">
        <v>3460</v>
      </c>
      <c r="AQ29" s="57" t="s">
        <v>3461</v>
      </c>
      <c r="AV29" s="152" t="s">
        <v>558</v>
      </c>
      <c r="AW29" s="154">
        <f t="shared" ref="AW29:AW38" si="35">SUMIF($AO$4:$AO$467,AV29,$K$4:$K$467)</f>
        <v>133.283</v>
      </c>
      <c r="AX29" s="154"/>
      <c r="AY29" s="157">
        <f t="shared" ref="AY29:AY38" si="36">AW29*AX29*31.1035*1.1023</f>
        <v>0</v>
      </c>
      <c r="AZ29" s="58"/>
      <c r="BA29" s="159">
        <f t="shared" ref="BA29:BA38" si="37">AY29*AZ29/100</f>
        <v>0</v>
      </c>
      <c r="BB29" s="449" t="s">
        <v>3462</v>
      </c>
      <c r="BC29" s="450">
        <f>+BB7</f>
        <v>4052.832</v>
      </c>
    </row>
    <row r="30" ht="15.0" customHeight="1">
      <c r="A30" s="116" t="s">
        <v>3463</v>
      </c>
      <c r="B30" s="182">
        <v>46090.0</v>
      </c>
      <c r="C30" s="182">
        <v>46084.0</v>
      </c>
      <c r="D30" s="57" t="s">
        <v>852</v>
      </c>
      <c r="E30" s="3">
        <f t="array" ref="E30">XLOOKUP(D30,RUC!$B$3:$B$110,RUC!$D$3:$D$110)</f>
        <v>20610807004</v>
      </c>
      <c r="G30" s="141">
        <v>25.0</v>
      </c>
      <c r="H30" s="3" t="s">
        <v>47</v>
      </c>
      <c r="I30" s="6">
        <v>2.19</v>
      </c>
      <c r="J30" s="58">
        <v>12.9</v>
      </c>
      <c r="K30" s="6">
        <f t="shared" si="2"/>
        <v>1.907</v>
      </c>
      <c r="L30" s="3">
        <v>0.426</v>
      </c>
      <c r="M30" s="60">
        <f t="shared" si="32"/>
        <v>0.4</v>
      </c>
      <c r="N30" s="62">
        <f t="shared" si="33"/>
        <v>0.4</v>
      </c>
      <c r="O30" s="60">
        <f t="shared" si="26"/>
        <v>0.4</v>
      </c>
      <c r="P30" s="63">
        <v>90.0</v>
      </c>
      <c r="Q30" s="58">
        <v>94.6</v>
      </c>
      <c r="R30" s="65">
        <v>5033.65</v>
      </c>
      <c r="S30" s="66">
        <f t="array" ref="S30">IF((XLOOKUP(D30,RUC!$B$3:$B$106,RUC!$E$3:$E$106)+ROUNDDOWN(O30,1)*100)&lt;95,95,((XLOOKUP(D30,RUC!$B$3:$B$106,RUC!$E$3:$E$106)+ROUNDDOWN(O30,1)*100)))</f>
        <v>125</v>
      </c>
      <c r="U30" s="67">
        <f t="array" ref="U30">XLOOKUP(D30,RUC!$B$3:$B$110,RUC!$F$3:$F$110)</f>
        <v>120</v>
      </c>
      <c r="V30" s="67">
        <v>1.1023</v>
      </c>
      <c r="Y30" s="57">
        <f t="array" ref="Y30">XLOOKUP(D30,RUC!$B$3:$B$110,RUC!$G$3:$G$110)</f>
        <v>20</v>
      </c>
      <c r="Z30" s="69">
        <f t="array" ref="Z30">XLOOKUP(D30,RUC!$B$3:$B$110,RUC!$H$3:$H$110)</f>
        <v>30</v>
      </c>
      <c r="AA30" s="70">
        <f t="shared" si="6"/>
        <v>50</v>
      </c>
      <c r="AB30" s="71">
        <f t="shared" si="7"/>
        <v>1756.971402</v>
      </c>
      <c r="AC30" s="71">
        <f>+(S30-T30)*V30-'data 1'!$F$4</f>
        <v>57.7875</v>
      </c>
      <c r="AD30" s="71">
        <f t="shared" si="8"/>
        <v>106.1381361</v>
      </c>
      <c r="AE30" s="71">
        <f t="shared" si="9"/>
        <v>-14.885</v>
      </c>
      <c r="AF30" s="71">
        <f t="shared" si="10"/>
        <v>133.2197181</v>
      </c>
      <c r="AG30" s="72">
        <f t="shared" ref="AG30:AG32" si="38">AC30+AD30+AE30+AF30+70-53</f>
        <v>299.2603541</v>
      </c>
      <c r="AH30" s="193">
        <f t="shared" si="11"/>
        <v>26.349</v>
      </c>
      <c r="AI30" s="193">
        <f t="shared" si="12"/>
        <v>27.853</v>
      </c>
      <c r="AJ30" s="73">
        <f t="shared" si="13"/>
        <v>-6.063636999</v>
      </c>
      <c r="AK30" s="73">
        <f t="shared" si="14"/>
        <v>23.5376046</v>
      </c>
      <c r="AM30" s="51">
        <f t="shared" si="15"/>
        <v>3350.544464</v>
      </c>
      <c r="AN30" s="51" t="str">
        <f t="array" ref="AN30">XLOOKUP(D30,RUC!$B$3:$B$565,RUC!$M$3:$M$565)</f>
        <v>Renzo</v>
      </c>
      <c r="AO30" s="131" t="s">
        <v>558</v>
      </c>
      <c r="AP30" s="57" t="s">
        <v>3405</v>
      </c>
      <c r="AQ30" s="57" t="s">
        <v>3406</v>
      </c>
      <c r="AV30" s="160" t="s">
        <v>551</v>
      </c>
      <c r="AW30" s="6">
        <f t="shared" si="35"/>
        <v>130.661</v>
      </c>
      <c r="AX30" s="6"/>
      <c r="AY30" s="58">
        <f t="shared" si="36"/>
        <v>0</v>
      </c>
      <c r="AZ30" s="58"/>
      <c r="BA30" s="162">
        <f t="shared" si="37"/>
        <v>0</v>
      </c>
      <c r="BB30" s="451" t="s">
        <v>3464</v>
      </c>
      <c r="BC30" s="452">
        <f>+'40'!BC32+'40'!BC33</f>
        <v>861.358</v>
      </c>
    </row>
    <row r="31" ht="15.0" customHeight="1">
      <c r="A31" s="116" t="s">
        <v>3465</v>
      </c>
      <c r="B31" s="182">
        <v>46090.0</v>
      </c>
      <c r="C31" s="182">
        <v>46084.0</v>
      </c>
      <c r="D31" s="57" t="s">
        <v>852</v>
      </c>
      <c r="E31" s="3">
        <f t="array" ref="E31">XLOOKUP(D31,RUC!$B$3:$B$110,RUC!$D$3:$D$110)</f>
        <v>20610807004</v>
      </c>
      <c r="G31" s="141">
        <v>25.0</v>
      </c>
      <c r="H31" s="3" t="s">
        <v>47</v>
      </c>
      <c r="I31" s="6">
        <v>2.17</v>
      </c>
      <c r="J31" s="58">
        <v>16.0</v>
      </c>
      <c r="K31" s="6">
        <f t="shared" si="2"/>
        <v>1.823</v>
      </c>
      <c r="L31" s="3">
        <v>0.405</v>
      </c>
      <c r="M31" s="60">
        <f t="shared" si="32"/>
        <v>0.381</v>
      </c>
      <c r="N31" s="62">
        <f t="shared" si="33"/>
        <v>0.381</v>
      </c>
      <c r="O31" s="60">
        <f t="shared" si="26"/>
        <v>0.381</v>
      </c>
      <c r="P31" s="63">
        <v>90.0</v>
      </c>
      <c r="Q31" s="58">
        <v>95.06</v>
      </c>
      <c r="R31" s="65">
        <v>5033.65</v>
      </c>
      <c r="S31" s="66">
        <f t="array" ref="S31">IF((XLOOKUP(D31,RUC!$B$3:$B$106,RUC!$E$3:$E$106)+ROUNDDOWN(O31,1)*100)&lt;95,95,((XLOOKUP(D31,RUC!$B$3:$B$106,RUC!$E$3:$E$106)+ROUNDDOWN(O31,1)*100)))</f>
        <v>115</v>
      </c>
      <c r="U31" s="67">
        <f t="array" ref="U31">XLOOKUP(D31,RUC!$B$3:$B$110,RUC!$F$3:$F$110)</f>
        <v>120</v>
      </c>
      <c r="V31" s="67">
        <v>1.1023</v>
      </c>
      <c r="Y31" s="57">
        <f t="array" ref="Y31">XLOOKUP(D31,RUC!$B$3:$B$110,RUC!$G$3:$G$110)</f>
        <v>20</v>
      </c>
      <c r="Z31" s="69">
        <f t="array" ref="Z31">XLOOKUP(D31,RUC!$B$3:$B$110,RUC!$H$3:$H$110)</f>
        <v>30</v>
      </c>
      <c r="AA31" s="70">
        <f t="shared" si="6"/>
        <v>50</v>
      </c>
      <c r="AB31" s="71">
        <f t="shared" si="7"/>
        <v>1675.375392</v>
      </c>
      <c r="AC31" s="71">
        <f>+(S31-T31)*V31-'data 1'!$F$4</f>
        <v>46.7645</v>
      </c>
      <c r="AD31" s="71">
        <f t="shared" si="8"/>
        <v>110.9965719</v>
      </c>
      <c r="AE31" s="71">
        <f t="shared" si="9"/>
        <v>-14.885</v>
      </c>
      <c r="AF31" s="71">
        <f t="shared" si="10"/>
        <v>123.5700088</v>
      </c>
      <c r="AG31" s="72">
        <f t="shared" si="38"/>
        <v>283.4460806</v>
      </c>
      <c r="AH31" s="193">
        <f t="shared" si="11"/>
        <v>24.063</v>
      </c>
      <c r="AI31" s="193">
        <f t="shared" si="12"/>
        <v>25.313</v>
      </c>
      <c r="AJ31" s="73">
        <f t="shared" si="13"/>
        <v>-5.79275675</v>
      </c>
      <c r="AK31" s="73">
        <f t="shared" si="14"/>
        <v>21.43202578</v>
      </c>
      <c r="AM31" s="51">
        <f t="shared" si="15"/>
        <v>3054.209339</v>
      </c>
      <c r="AN31" s="51" t="str">
        <f t="array" ref="AN31">XLOOKUP(D31,RUC!$B$3:$B$565,RUC!$M$3:$M$565)</f>
        <v>Renzo</v>
      </c>
      <c r="AO31" s="131" t="s">
        <v>558</v>
      </c>
      <c r="AP31" s="57" t="s">
        <v>3405</v>
      </c>
      <c r="AQ31" s="57" t="s">
        <v>3406</v>
      </c>
      <c r="AV31" s="160" t="s">
        <v>547</v>
      </c>
      <c r="AW31" s="6">
        <f t="shared" si="35"/>
        <v>169.754</v>
      </c>
      <c r="AX31" s="6"/>
      <c r="AY31" s="58">
        <f t="shared" si="36"/>
        <v>0</v>
      </c>
      <c r="AZ31" s="58"/>
      <c r="BA31" s="162">
        <f t="shared" si="37"/>
        <v>0</v>
      </c>
      <c r="BB31" s="454" t="s">
        <v>3466</v>
      </c>
      <c r="BC31" s="470">
        <v>4305.75</v>
      </c>
    </row>
    <row r="32" ht="15.0" customHeight="1">
      <c r="A32" s="116" t="s">
        <v>3467</v>
      </c>
      <c r="B32" s="182">
        <v>46090.0</v>
      </c>
      <c r="C32" s="182">
        <v>46084.0</v>
      </c>
      <c r="D32" s="57" t="s">
        <v>852</v>
      </c>
      <c r="E32" s="3">
        <f t="array" ref="E32">XLOOKUP(D32,RUC!$B$3:$B$110,RUC!$D$3:$D$110)</f>
        <v>20610807004</v>
      </c>
      <c r="G32" s="141">
        <v>25.0</v>
      </c>
      <c r="H32" s="3" t="s">
        <v>47</v>
      </c>
      <c r="I32" s="6">
        <v>2.17</v>
      </c>
      <c r="J32" s="58">
        <v>13.5</v>
      </c>
      <c r="K32" s="6">
        <f t="shared" si="2"/>
        <v>1.877</v>
      </c>
      <c r="L32" s="60">
        <v>0.28</v>
      </c>
      <c r="M32" s="60">
        <f t="shared" si="32"/>
        <v>0.261</v>
      </c>
      <c r="N32" s="62">
        <f t="shared" si="33"/>
        <v>0.261</v>
      </c>
      <c r="O32" s="60">
        <f t="shared" si="26"/>
        <v>0.261</v>
      </c>
      <c r="P32" s="63">
        <v>86.0</v>
      </c>
      <c r="Q32" s="58">
        <v>86.07</v>
      </c>
      <c r="R32" s="65">
        <v>5033.65</v>
      </c>
      <c r="S32" s="66">
        <f t="array" ref="S32">IF((XLOOKUP(D32,RUC!$B$3:$B$106,RUC!$E$3:$E$106)+ROUNDDOWN(O32,1)*100)&lt;95,95,((XLOOKUP(D32,RUC!$B$3:$B$106,RUC!$E$3:$E$106)+ROUNDDOWN(O32,1)*100)))</f>
        <v>105</v>
      </c>
      <c r="U32" s="67">
        <f t="array" ref="U32">XLOOKUP(D32,RUC!$B$3:$B$110,RUC!$F$3:$F$110)</f>
        <v>120</v>
      </c>
      <c r="V32" s="67">
        <v>1.1023</v>
      </c>
      <c r="Y32" s="57">
        <f t="array" ref="Y32">XLOOKUP(D32,RUC!$B$3:$B$110,RUC!$G$3:$G$110)</f>
        <v>20</v>
      </c>
      <c r="Z32" s="69">
        <f t="array" ref="Z32">XLOOKUP(D32,RUC!$B$3:$B$110,RUC!$H$3:$H$110)</f>
        <v>30</v>
      </c>
      <c r="AA32" s="70">
        <f t="shared" si="6"/>
        <v>50</v>
      </c>
      <c r="AB32" s="71">
        <f t="shared" si="7"/>
        <v>1044.889878</v>
      </c>
      <c r="AC32" s="71">
        <f>+(S32-T32)*V32-'data 1'!$F$4</f>
        <v>35.7415</v>
      </c>
      <c r="AD32" s="71">
        <f t="shared" si="8"/>
        <v>1.061598013</v>
      </c>
      <c r="AE32" s="71">
        <f t="shared" si="9"/>
        <v>-14.885</v>
      </c>
      <c r="AF32" s="71">
        <f t="shared" si="10"/>
        <v>88.5746469</v>
      </c>
      <c r="AG32" s="72">
        <f t="shared" si="38"/>
        <v>127.4927449</v>
      </c>
      <c r="AH32" s="193">
        <f t="shared" si="11"/>
        <v>15.509</v>
      </c>
      <c r="AI32" s="193">
        <f t="shared" si="12"/>
        <v>18.019</v>
      </c>
      <c r="AJ32" s="73">
        <f t="shared" si="13"/>
        <v>-3.626121009</v>
      </c>
      <c r="AK32" s="73">
        <f t="shared" si="14"/>
        <v>14.44482552</v>
      </c>
      <c r="AM32" s="51">
        <f t="shared" si="15"/>
        <v>1961.258301</v>
      </c>
      <c r="AN32" s="51" t="str">
        <f t="array" ref="AN32">XLOOKUP(D32,RUC!$B$3:$B$565,RUC!$M$3:$M$565)</f>
        <v>Renzo</v>
      </c>
      <c r="AO32" s="131" t="s">
        <v>558</v>
      </c>
      <c r="AP32" s="57" t="s">
        <v>3405</v>
      </c>
      <c r="AQ32" s="57" t="s">
        <v>3406</v>
      </c>
      <c r="AV32" s="160" t="s">
        <v>549</v>
      </c>
      <c r="AW32" s="6">
        <f t="shared" si="35"/>
        <v>166.196</v>
      </c>
      <c r="AX32" s="6"/>
      <c r="AY32" s="58">
        <f t="shared" si="36"/>
        <v>0</v>
      </c>
      <c r="AZ32" s="58"/>
      <c r="BA32" s="162">
        <f t="shared" si="37"/>
        <v>0</v>
      </c>
      <c r="BB32" s="454" t="s">
        <v>3468</v>
      </c>
      <c r="BC32" s="459">
        <v>827.2</v>
      </c>
    </row>
    <row r="33" ht="15.0" customHeight="1">
      <c r="A33" s="116" t="s">
        <v>3469</v>
      </c>
      <c r="B33" s="182">
        <v>46088.0</v>
      </c>
      <c r="C33" s="182">
        <v>46084.0</v>
      </c>
      <c r="D33" s="57" t="s">
        <v>306</v>
      </c>
      <c r="E33" s="3">
        <f t="array" ref="E33">XLOOKUP(D33,RUC!$B$3:$B$110,RUC!$D$3:$D$110)</f>
        <v>20612921866</v>
      </c>
      <c r="G33" s="141" t="s">
        <v>735</v>
      </c>
      <c r="H33" s="3" t="s">
        <v>47</v>
      </c>
      <c r="I33" s="6">
        <v>26.45</v>
      </c>
      <c r="J33" s="58">
        <v>2.3</v>
      </c>
      <c r="K33" s="6">
        <f t="shared" si="2"/>
        <v>25.842</v>
      </c>
      <c r="L33" s="3">
        <v>0.175</v>
      </c>
      <c r="M33" s="60">
        <f t="shared" si="32"/>
        <v>0.156</v>
      </c>
      <c r="N33" s="62">
        <f t="shared" si="33"/>
        <v>0.156</v>
      </c>
      <c r="O33" s="60">
        <f t="shared" si="26"/>
        <v>0.156</v>
      </c>
      <c r="P33" s="63">
        <v>90.0</v>
      </c>
      <c r="Q33" s="58">
        <v>93.71</v>
      </c>
      <c r="R33" s="65">
        <v>5033.65</v>
      </c>
      <c r="S33" s="66">
        <f t="array" ref="S33">IF((XLOOKUP(D33,RUC!$B$3:$B$106,RUC!$E$3:$E$106)+ROUNDDOWN(O33,1)*100)&lt;95,95,((XLOOKUP(D33,RUC!$B$3:$B$106,RUC!$E$3:$E$106)+ROUNDDOWN(O33,1)*100)))</f>
        <v>95</v>
      </c>
      <c r="U33" s="67">
        <f t="array" ref="U33">XLOOKUP(D33,RUC!$B$3:$B$110,RUC!$F$3:$F$110)</f>
        <v>100</v>
      </c>
      <c r="V33" s="67">
        <v>1.1023</v>
      </c>
      <c r="Y33" s="57" t="str">
        <f t="array" ref="Y33">XLOOKUP(D33,RUC!$B$3:$B$110,RUC!$G$3:$G$110)</f>
        <v/>
      </c>
      <c r="Z33" s="69">
        <f t="array" ref="Z33">XLOOKUP(D33,RUC!$B$3:$B$110,RUC!$H$3:$H$110)</f>
        <v>30</v>
      </c>
      <c r="AA33" s="70">
        <f t="shared" si="6"/>
        <v>30</v>
      </c>
      <c r="AB33" s="71">
        <f t="shared" si="7"/>
        <v>625.7585803</v>
      </c>
      <c r="AC33" s="71">
        <f>+(S33-T33)*V33-'data 1'!$F$4</f>
        <v>24.7185</v>
      </c>
      <c r="AD33" s="71">
        <f t="shared" si="8"/>
        <v>35.30856785</v>
      </c>
      <c r="AE33" s="71">
        <f t="shared" si="9"/>
        <v>-36.931</v>
      </c>
      <c r="AF33" s="71">
        <f t="shared" si="10"/>
        <v>96.82949861</v>
      </c>
      <c r="AG33" s="72">
        <f>AC33+AD33+AE33+AF33+70-10</f>
        <v>179.9255665</v>
      </c>
      <c r="AH33" s="193">
        <f t="shared" si="11"/>
        <v>145.298</v>
      </c>
      <c r="AI33" s="193">
        <f t="shared" si="12"/>
        <v>155.051</v>
      </c>
      <c r="AJ33" s="73">
        <f t="shared" si="13"/>
        <v>-6.082874587</v>
      </c>
      <c r="AK33" s="73">
        <f t="shared" si="14"/>
        <v>124.3948209</v>
      </c>
      <c r="AM33" s="51">
        <f t="shared" si="15"/>
        <v>16170.85323</v>
      </c>
      <c r="AN33" s="51" t="str">
        <f t="array" ref="AN33">XLOOKUP(D33,RUC!$B$3:$B$565,RUC!$M$3:$M$565)</f>
        <v>Ronald Garibay</v>
      </c>
      <c r="AO33" s="131" t="s">
        <v>558</v>
      </c>
      <c r="AP33" s="57" t="s">
        <v>3470</v>
      </c>
      <c r="AQ33" s="57" t="s">
        <v>3471</v>
      </c>
      <c r="AV33" s="160" t="s">
        <v>561</v>
      </c>
      <c r="AW33" s="6">
        <f t="shared" si="35"/>
        <v>0</v>
      </c>
      <c r="AX33" s="6"/>
      <c r="AY33" s="58">
        <f t="shared" si="36"/>
        <v>0</v>
      </c>
      <c r="AZ33" s="58"/>
      <c r="BA33" s="162">
        <f t="shared" si="37"/>
        <v>0</v>
      </c>
      <c r="BB33" s="454" t="s">
        <v>3472</v>
      </c>
      <c r="BC33" s="459">
        <v>173.69</v>
      </c>
    </row>
    <row r="34" ht="15.0" customHeight="1">
      <c r="A34" s="116" t="s">
        <v>3473</v>
      </c>
      <c r="B34" s="182">
        <v>46091.0</v>
      </c>
      <c r="C34" s="182">
        <v>46086.0</v>
      </c>
      <c r="D34" s="2" t="s">
        <v>806</v>
      </c>
      <c r="E34" s="3">
        <f t="array" ref="E34">XLOOKUP(D34,RUC!$B$3:$B$110,RUC!$D$3:$D$110)</f>
        <v>20614284740</v>
      </c>
      <c r="G34" s="141">
        <v>236.0</v>
      </c>
      <c r="H34" s="3" t="s">
        <v>47</v>
      </c>
      <c r="I34" s="6">
        <v>20.72</v>
      </c>
      <c r="J34" s="58">
        <v>2.8</v>
      </c>
      <c r="K34" s="6">
        <f t="shared" si="2"/>
        <v>20.14</v>
      </c>
      <c r="L34" s="3">
        <v>0.128</v>
      </c>
      <c r="M34" s="60">
        <f t="shared" si="32"/>
        <v>0.109</v>
      </c>
      <c r="N34" s="75">
        <v>0.155</v>
      </c>
      <c r="O34" s="60">
        <f t="shared" si="26"/>
        <v>0.132</v>
      </c>
      <c r="P34" s="63">
        <v>80.0</v>
      </c>
      <c r="Q34" s="58">
        <v>96.88</v>
      </c>
      <c r="R34" s="65">
        <v>5104.05</v>
      </c>
      <c r="S34" s="66">
        <f t="array" ref="S34">IF((XLOOKUP(D34,RUC!$B$3:$B$106,RUC!$E$3:$E$106)+ROUNDDOWN(O34,1)*100)&lt;95,95,((XLOOKUP(D34,RUC!$B$3:$B$106,RUC!$E$3:$E$106)+ROUNDDOWN(O34,1)*100)))</f>
        <v>100</v>
      </c>
      <c r="U34" s="67">
        <f t="array" ref="U34">XLOOKUP(D34,RUC!$B$3:$B$110,RUC!$F$3:$F$110)</f>
        <v>120</v>
      </c>
      <c r="V34" s="67">
        <v>1.1023</v>
      </c>
      <c r="Y34" s="199">
        <v>40.0</v>
      </c>
      <c r="Z34" s="69">
        <f t="array" ref="Z34">XLOOKUP(D34,RUC!$B$3:$B$110,RUC!$H$3:$H$110)</f>
        <v>30</v>
      </c>
      <c r="AA34" s="70">
        <f t="shared" si="6"/>
        <v>70</v>
      </c>
      <c r="AB34" s="71">
        <f t="shared" si="7"/>
        <v>392.7667741</v>
      </c>
      <c r="AC34" s="71">
        <f>+(S34-T34)*V34-'data 1'!$F$4</f>
        <v>30.23</v>
      </c>
      <c r="AD34" s="71">
        <f t="shared" si="8"/>
        <v>118.7037967</v>
      </c>
      <c r="AE34" s="71">
        <f t="shared" si="9"/>
        <v>7.161</v>
      </c>
      <c r="AF34" s="71">
        <f t="shared" si="10"/>
        <v>-21.29003225</v>
      </c>
      <c r="AG34" s="72">
        <f t="shared" ref="AG34:AG36" si="39">AC34+AD34+AE34+AF34+70-53</f>
        <v>151.8047644</v>
      </c>
      <c r="AH34" s="193">
        <f t="shared" si="11"/>
        <v>85.627</v>
      </c>
      <c r="AI34" s="193">
        <f t="shared" si="12"/>
        <v>88.385</v>
      </c>
      <c r="AJ34" s="73">
        <f t="shared" si="13"/>
        <v>-11.48898401</v>
      </c>
      <c r="AK34" s="73">
        <f t="shared" si="14"/>
        <v>72.91761474</v>
      </c>
      <c r="AM34" s="51">
        <f t="shared" si="15"/>
        <v>7910.32283</v>
      </c>
      <c r="AN34" s="51" t="str">
        <f t="array" ref="AN34">XLOOKUP(D34,RUC!$B$3:$B$565,RUC!$M$3:$M$565)</f>
        <v>Dante </v>
      </c>
      <c r="AO34" s="131" t="s">
        <v>547</v>
      </c>
      <c r="AP34" s="57" t="s">
        <v>3474</v>
      </c>
      <c r="AQ34" s="57" t="s">
        <v>3475</v>
      </c>
      <c r="AV34" s="160" t="s">
        <v>689</v>
      </c>
      <c r="AW34" s="6">
        <f t="shared" si="35"/>
        <v>0</v>
      </c>
      <c r="AY34" s="58">
        <f t="shared" si="36"/>
        <v>0</v>
      </c>
      <c r="BA34" s="162">
        <f t="shared" si="37"/>
        <v>0</v>
      </c>
      <c r="BB34" s="456" t="s">
        <v>1206</v>
      </c>
      <c r="BC34" s="457">
        <f>-BC29-BC30+BC31+BC32+BC33</f>
        <v>392.45</v>
      </c>
    </row>
    <row r="35" ht="15.0" customHeight="1">
      <c r="A35" s="116" t="s">
        <v>3476</v>
      </c>
      <c r="B35" s="182">
        <v>46092.0</v>
      </c>
      <c r="C35" s="182">
        <v>46086.0</v>
      </c>
      <c r="D35" s="2" t="s">
        <v>806</v>
      </c>
      <c r="E35" s="3">
        <f t="array" ref="E35">XLOOKUP(D35,RUC!$B$3:$B$110,RUC!$D$3:$D$110)</f>
        <v>20614284740</v>
      </c>
      <c r="G35" s="141">
        <v>37.0</v>
      </c>
      <c r="H35" s="3" t="s">
        <v>47</v>
      </c>
      <c r="I35" s="6">
        <v>2.97</v>
      </c>
      <c r="J35" s="58">
        <v>3.2</v>
      </c>
      <c r="K35" s="6">
        <f t="shared" si="2"/>
        <v>2.875</v>
      </c>
      <c r="L35" s="60">
        <v>0.16</v>
      </c>
      <c r="M35" s="60">
        <f t="shared" si="32"/>
        <v>0.141</v>
      </c>
      <c r="N35" s="62">
        <f t="shared" ref="N35:N64" si="40">+M35</f>
        <v>0.141</v>
      </c>
      <c r="O35" s="60">
        <f t="shared" si="26"/>
        <v>0.141</v>
      </c>
      <c r="P35" s="63">
        <v>85.0</v>
      </c>
      <c r="Q35" s="58">
        <v>95.0</v>
      </c>
      <c r="R35" s="65">
        <v>5104.05</v>
      </c>
      <c r="S35" s="66">
        <f t="array" ref="S35">IF((XLOOKUP(D35,RUC!$B$3:$B$106,RUC!$E$3:$E$106)+ROUNDDOWN(O35,1)*100)&lt;95,95,((XLOOKUP(D35,RUC!$B$3:$B$106,RUC!$E$3:$E$106)+ROUNDDOWN(O35,1)*100)))</f>
        <v>100</v>
      </c>
      <c r="U35" s="67">
        <f t="array" ref="U35">XLOOKUP(D35,RUC!$B$3:$B$110,RUC!$F$3:$F$110)</f>
        <v>120</v>
      </c>
      <c r="V35" s="67">
        <v>1.1023</v>
      </c>
      <c r="Y35" s="199">
        <v>40.0</v>
      </c>
      <c r="Z35" s="69">
        <f t="array" ref="Z35">XLOOKUP(D35,RUC!$B$3:$B$110,RUC!$H$3:$H$110)</f>
        <v>30</v>
      </c>
      <c r="AA35" s="70">
        <f t="shared" si="6"/>
        <v>70</v>
      </c>
      <c r="AB35" s="71">
        <f t="shared" si="7"/>
        <v>471.0551101</v>
      </c>
      <c r="AC35" s="71">
        <f>+(S35-T35)*V35-'data 1'!$F$4</f>
        <v>30.23</v>
      </c>
      <c r="AD35" s="71">
        <f t="shared" si="8"/>
        <v>87.90269304</v>
      </c>
      <c r="AE35" s="71">
        <f t="shared" si="9"/>
        <v>7.161</v>
      </c>
      <c r="AF35" s="71">
        <f t="shared" si="10"/>
        <v>99.16522559</v>
      </c>
      <c r="AG35" s="72">
        <f t="shared" si="39"/>
        <v>241.4589186</v>
      </c>
      <c r="AH35" s="193">
        <f t="shared" si="11"/>
        <v>14.983</v>
      </c>
      <c r="AI35" s="193">
        <f t="shared" si="12"/>
        <v>15.771</v>
      </c>
      <c r="AJ35" s="73">
        <f t="shared" si="13"/>
        <v>-14.08254388</v>
      </c>
      <c r="AK35" s="73">
        <f t="shared" si="14"/>
        <v>11.8136733</v>
      </c>
      <c r="AM35" s="51">
        <f t="shared" si="15"/>
        <v>1354.283441</v>
      </c>
      <c r="AN35" s="51" t="str">
        <f t="array" ref="AN35">XLOOKUP(D35,RUC!$B$3:$B$565,RUC!$M$3:$M$565)</f>
        <v>Dante </v>
      </c>
      <c r="AO35" s="131" t="s">
        <v>551</v>
      </c>
      <c r="AP35" s="57" t="s">
        <v>2916</v>
      </c>
      <c r="AQ35" s="57" t="s">
        <v>1881</v>
      </c>
      <c r="AV35" s="160" t="s">
        <v>690</v>
      </c>
      <c r="AW35" s="6">
        <f t="shared" si="35"/>
        <v>0</v>
      </c>
      <c r="AY35" s="58">
        <f t="shared" si="36"/>
        <v>0</v>
      </c>
      <c r="BA35" s="162">
        <f t="shared" si="37"/>
        <v>0</v>
      </c>
      <c r="BB35" s="2" t="s">
        <v>3477</v>
      </c>
    </row>
    <row r="36" ht="15.0" customHeight="1">
      <c r="A36" s="116" t="s">
        <v>3478</v>
      </c>
      <c r="B36" s="182">
        <v>46092.0</v>
      </c>
      <c r="C36" s="182">
        <v>46086.0</v>
      </c>
      <c r="D36" s="2" t="s">
        <v>806</v>
      </c>
      <c r="E36" s="3">
        <f t="array" ref="E36">XLOOKUP(D36,RUC!$B$3:$B$110,RUC!$D$3:$D$110)</f>
        <v>20614284740</v>
      </c>
      <c r="G36" s="141">
        <v>80.0</v>
      </c>
      <c r="H36" s="3" t="s">
        <v>47</v>
      </c>
      <c r="I36" s="6">
        <v>7.27</v>
      </c>
      <c r="J36" s="58">
        <v>2.2</v>
      </c>
      <c r="K36" s="6">
        <f t="shared" si="2"/>
        <v>7.11</v>
      </c>
      <c r="L36" s="3">
        <v>0.132</v>
      </c>
      <c r="M36" s="60">
        <f t="shared" si="32"/>
        <v>0.113</v>
      </c>
      <c r="N36" s="62">
        <f t="shared" si="40"/>
        <v>0.113</v>
      </c>
      <c r="O36" s="60">
        <f t="shared" si="26"/>
        <v>0.113</v>
      </c>
      <c r="P36" s="63">
        <v>80.0</v>
      </c>
      <c r="Q36" s="58">
        <v>97.73</v>
      </c>
      <c r="R36" s="65">
        <v>5104.05</v>
      </c>
      <c r="S36" s="66">
        <f t="array" ref="S36">IF((XLOOKUP(D36,RUC!$B$3:$B$106,RUC!$E$3:$E$106)+ROUNDDOWN(O36,1)*100)&lt;95,95,((XLOOKUP(D36,RUC!$B$3:$B$106,RUC!$E$3:$E$106)+ROUNDDOWN(O36,1)*100)))</f>
        <v>100</v>
      </c>
      <c r="U36" s="67">
        <f t="array" ref="U36">XLOOKUP(D36,RUC!$B$3:$B$110,RUC!$F$3:$F$110)</f>
        <v>120</v>
      </c>
      <c r="V36" s="67">
        <v>1.1023</v>
      </c>
      <c r="Y36" s="199">
        <v>40.0</v>
      </c>
      <c r="Z36" s="69">
        <f t="array" ref="Z36">XLOOKUP(D36,RUC!$B$3:$B$110,RUC!$H$3:$H$110)</f>
        <v>30</v>
      </c>
      <c r="AA36" s="70">
        <f t="shared" si="6"/>
        <v>70</v>
      </c>
      <c r="AB36" s="71">
        <f t="shared" si="7"/>
        <v>309.2592157</v>
      </c>
      <c r="AC36" s="71">
        <f>+(S36-T36)*V36-'data 1'!$F$4</f>
        <v>30.23</v>
      </c>
      <c r="AD36" s="71">
        <f t="shared" si="8"/>
        <v>128.5774667</v>
      </c>
      <c r="AE36" s="71">
        <f t="shared" si="9"/>
        <v>7.161</v>
      </c>
      <c r="AF36" s="71">
        <f t="shared" si="10"/>
        <v>102.014921</v>
      </c>
      <c r="AG36" s="72">
        <f t="shared" si="39"/>
        <v>284.9833877</v>
      </c>
      <c r="AH36" s="193">
        <f t="shared" si="11"/>
        <v>31.447</v>
      </c>
      <c r="AI36" s="193">
        <f t="shared" si="12"/>
        <v>32.178</v>
      </c>
      <c r="AJ36" s="73">
        <f t="shared" si="13"/>
        <v>-11.95196617</v>
      </c>
      <c r="AK36" s="73">
        <f t="shared" si="14"/>
        <v>22.03672746</v>
      </c>
      <c r="AM36" s="51">
        <f t="shared" si="15"/>
        <v>2198.833023</v>
      </c>
      <c r="AN36" s="51" t="str">
        <f t="array" ref="AN36">XLOOKUP(D36,RUC!$B$3:$B$565,RUC!$M$3:$M$565)</f>
        <v>Dante </v>
      </c>
      <c r="AO36" s="131" t="s">
        <v>551</v>
      </c>
      <c r="AP36" s="57" t="s">
        <v>2916</v>
      </c>
      <c r="AQ36" s="57" t="s">
        <v>1881</v>
      </c>
      <c r="AV36" s="160" t="s">
        <v>691</v>
      </c>
      <c r="AW36" s="6">
        <f t="shared" si="35"/>
        <v>0</v>
      </c>
      <c r="AY36" s="58">
        <f t="shared" si="36"/>
        <v>0</v>
      </c>
      <c r="BA36" s="162">
        <f t="shared" si="37"/>
        <v>0</v>
      </c>
      <c r="BB36" s="476"/>
    </row>
    <row r="37" ht="15.0" customHeight="1">
      <c r="A37" s="116" t="s">
        <v>3479</v>
      </c>
      <c r="B37" s="182">
        <v>46092.0</v>
      </c>
      <c r="C37" s="182">
        <v>46088.0</v>
      </c>
      <c r="D37" s="57" t="s">
        <v>306</v>
      </c>
      <c r="E37" s="3">
        <f t="array" ref="E37">XLOOKUP(D37,RUC!$B$3:$B$110,RUC!$D$3:$D$110)</f>
        <v>20612921866</v>
      </c>
      <c r="G37" s="141">
        <v>10.0</v>
      </c>
      <c r="H37" s="3" t="s">
        <v>47</v>
      </c>
      <c r="I37" s="6">
        <v>1.12</v>
      </c>
      <c r="J37" s="58">
        <v>2.0</v>
      </c>
      <c r="K37" s="6">
        <f t="shared" si="2"/>
        <v>1.098</v>
      </c>
      <c r="L37" s="3">
        <v>0.169</v>
      </c>
      <c r="M37" s="60">
        <f t="shared" si="32"/>
        <v>0.15</v>
      </c>
      <c r="N37" s="62">
        <f t="shared" si="40"/>
        <v>0.15</v>
      </c>
      <c r="O37" s="60">
        <f t="shared" si="26"/>
        <v>0.15</v>
      </c>
      <c r="P37" s="63">
        <v>90.0</v>
      </c>
      <c r="Q37" s="58">
        <v>98.22</v>
      </c>
      <c r="R37" s="65">
        <v>5127.55</v>
      </c>
      <c r="S37" s="66">
        <f t="array" ref="S37">IF((XLOOKUP(D37,RUC!$B$3:$B$106,RUC!$E$3:$E$106)+ROUNDDOWN(O37,1)*100)&lt;95,95,((XLOOKUP(D37,RUC!$B$3:$B$106,RUC!$E$3:$E$106)+ROUNDDOWN(O37,1)*100)))</f>
        <v>95</v>
      </c>
      <c r="U37" s="67">
        <f t="array" ref="U37">XLOOKUP(D37,RUC!$B$3:$B$110,RUC!$F$3:$F$110)</f>
        <v>100</v>
      </c>
      <c r="V37" s="67">
        <v>1.1023</v>
      </c>
      <c r="Y37" s="57" t="str">
        <f t="array" ref="Y37">XLOOKUP(D37,RUC!$B$3:$B$110,RUC!$G$3:$G$110)</f>
        <v/>
      </c>
      <c r="Z37" s="69">
        <f t="array" ref="Z37">XLOOKUP(D37,RUC!$B$3:$B$110,RUC!$H$3:$H$110)</f>
        <v>30</v>
      </c>
      <c r="AA37" s="70">
        <f t="shared" si="6"/>
        <v>30</v>
      </c>
      <c r="AB37" s="71">
        <f t="shared" si="7"/>
        <v>610.3647293</v>
      </c>
      <c r="AC37" s="71">
        <f>+(S37-T37)*V37-'data 1'!$F$4</f>
        <v>24.7185</v>
      </c>
      <c r="AD37" s="71">
        <f t="shared" si="8"/>
        <v>76.98652695</v>
      </c>
      <c r="AE37" s="71">
        <f t="shared" si="9"/>
        <v>-36.931</v>
      </c>
      <c r="AF37" s="71">
        <f t="shared" si="10"/>
        <v>103.4212391</v>
      </c>
      <c r="AG37" s="72">
        <f t="shared" ref="AG37:AG38" si="41">AC37+AD37+AE37+AF37+70-10</f>
        <v>228.195266</v>
      </c>
      <c r="AH37" s="193">
        <f t="shared" si="11"/>
        <v>6.249</v>
      </c>
      <c r="AI37" s="193">
        <f t="shared" si="12"/>
        <v>6.362</v>
      </c>
      <c r="AJ37" s="73">
        <f t="shared" si="13"/>
        <v>-23.33817568</v>
      </c>
      <c r="AK37" s="73">
        <f t="shared" si="14"/>
        <v>5.082123071</v>
      </c>
      <c r="AM37" s="51">
        <f t="shared" si="15"/>
        <v>670.1804727</v>
      </c>
      <c r="AN37" s="51" t="str">
        <f t="array" ref="AN37">XLOOKUP(D37,RUC!$B$3:$B$565,RUC!$M$3:$M$565)</f>
        <v>Ronald Garibay</v>
      </c>
      <c r="AO37" s="131" t="s">
        <v>558</v>
      </c>
      <c r="AP37" s="57" t="s">
        <v>3480</v>
      </c>
      <c r="AQ37" s="57" t="s">
        <v>3481</v>
      </c>
      <c r="AV37" s="160" t="s">
        <v>692</v>
      </c>
      <c r="AW37" s="6">
        <f t="shared" si="35"/>
        <v>0</v>
      </c>
      <c r="AY37" s="58">
        <f t="shared" si="36"/>
        <v>0</v>
      </c>
      <c r="BA37" s="162">
        <f t="shared" si="37"/>
        <v>0</v>
      </c>
      <c r="BB37" s="476" t="s">
        <v>3482</v>
      </c>
      <c r="BC37" s="477">
        <f>+BC34-308</f>
        <v>84.45</v>
      </c>
    </row>
    <row r="38" ht="15.0" customHeight="1">
      <c r="A38" s="116" t="s">
        <v>3483</v>
      </c>
      <c r="B38" s="182">
        <v>46092.0</v>
      </c>
      <c r="C38" s="182">
        <v>46088.0</v>
      </c>
      <c r="D38" s="57" t="s">
        <v>306</v>
      </c>
      <c r="E38" s="3">
        <f t="array" ref="E38">XLOOKUP(D38,RUC!$B$3:$B$110,RUC!$D$3:$D$110)</f>
        <v>20612921866</v>
      </c>
      <c r="G38" s="141">
        <v>87.0</v>
      </c>
      <c r="H38" s="3" t="s">
        <v>47</v>
      </c>
      <c r="I38" s="6">
        <v>10.48</v>
      </c>
      <c r="J38" s="58">
        <v>2.0</v>
      </c>
      <c r="K38" s="6">
        <f t="shared" si="2"/>
        <v>10.27</v>
      </c>
      <c r="L38" s="3">
        <v>0.162</v>
      </c>
      <c r="M38" s="60">
        <f t="shared" si="32"/>
        <v>0.143</v>
      </c>
      <c r="N38" s="62">
        <f t="shared" si="40"/>
        <v>0.143</v>
      </c>
      <c r="O38" s="60">
        <f t="shared" si="26"/>
        <v>0.143</v>
      </c>
      <c r="P38" s="63">
        <v>90.0</v>
      </c>
      <c r="Q38" s="58">
        <v>95.68</v>
      </c>
      <c r="R38" s="65">
        <v>5127.55</v>
      </c>
      <c r="S38" s="66">
        <f t="array" ref="S38">IF((XLOOKUP(D38,RUC!$B$3:$B$106,RUC!$E$3:$E$106)+ROUNDDOWN(O38,1)*100)&lt;95,95,((XLOOKUP(D38,RUC!$B$3:$B$106,RUC!$E$3:$E$106)+ROUNDDOWN(O38,1)*100)))</f>
        <v>95</v>
      </c>
      <c r="U38" s="67">
        <f t="array" ref="U38">XLOOKUP(D38,RUC!$B$3:$B$110,RUC!$F$3:$F$110)</f>
        <v>100</v>
      </c>
      <c r="V38" s="67">
        <v>1.1023</v>
      </c>
      <c r="Y38" s="57" t="str">
        <f t="array" ref="Y38">XLOOKUP(D38,RUC!$B$3:$B$110,RUC!$G$3:$G$110)</f>
        <v/>
      </c>
      <c r="Z38" s="69">
        <f t="array" ref="Z38">XLOOKUP(D38,RUC!$B$3:$B$110,RUC!$H$3:$H$110)</f>
        <v>30</v>
      </c>
      <c r="AA38" s="70">
        <f t="shared" si="6"/>
        <v>30</v>
      </c>
      <c r="AB38" s="71">
        <f t="shared" si="7"/>
        <v>575.4509586</v>
      </c>
      <c r="AC38" s="71">
        <f>+(S38-T38)*V38-'data 1'!$F$4</f>
        <v>24.7185</v>
      </c>
      <c r="AD38" s="71">
        <f t="shared" si="8"/>
        <v>50.99405595</v>
      </c>
      <c r="AE38" s="71">
        <f t="shared" si="9"/>
        <v>-36.931</v>
      </c>
      <c r="AF38" s="71">
        <f t="shared" si="10"/>
        <v>100.7467334</v>
      </c>
      <c r="AG38" s="72">
        <f t="shared" si="41"/>
        <v>199.5282893</v>
      </c>
      <c r="AH38" s="193">
        <f t="shared" si="11"/>
        <v>54.578</v>
      </c>
      <c r="AI38" s="193">
        <f t="shared" si="12"/>
        <v>57.042</v>
      </c>
      <c r="AJ38" s="73">
        <f t="shared" si="13"/>
        <v>-21.79297153</v>
      </c>
      <c r="AK38" s="73">
        <f t="shared" si="14"/>
        <v>45.31667737</v>
      </c>
      <c r="AM38" s="51">
        <f t="shared" si="15"/>
        <v>5909.881345</v>
      </c>
      <c r="AN38" s="51" t="str">
        <f t="array" ref="AN38">XLOOKUP(D38,RUC!$B$3:$B$565,RUC!$M$3:$M$565)</f>
        <v>Ronald Garibay</v>
      </c>
      <c r="AO38" s="131" t="s">
        <v>558</v>
      </c>
      <c r="AP38" s="57" t="s">
        <v>3480</v>
      </c>
      <c r="AQ38" s="57" t="s">
        <v>3481</v>
      </c>
      <c r="AV38" s="163" t="s">
        <v>693</v>
      </c>
      <c r="AW38" s="165">
        <f t="shared" si="35"/>
        <v>0</v>
      </c>
      <c r="AX38" s="170"/>
      <c r="AY38" s="168">
        <f t="shared" si="36"/>
        <v>0</v>
      </c>
      <c r="AZ38" s="170"/>
      <c r="BA38" s="171">
        <f t="shared" si="37"/>
        <v>0</v>
      </c>
    </row>
    <row r="39" ht="14.25" customHeight="1">
      <c r="A39" s="116" t="s">
        <v>3484</v>
      </c>
      <c r="B39" s="182">
        <v>46100.0</v>
      </c>
      <c r="C39" s="182">
        <v>46089.0</v>
      </c>
      <c r="D39" s="57" t="s">
        <v>295</v>
      </c>
      <c r="E39" s="3">
        <f t="array" ref="E39">XLOOKUP(D39,RUC!$B$3:$B$110,RUC!$D$3:$D$110)</f>
        <v>20601769396</v>
      </c>
      <c r="G39" s="141">
        <v>15.0</v>
      </c>
      <c r="H39" s="3" t="s">
        <v>339</v>
      </c>
      <c r="I39" s="6">
        <v>1.16</v>
      </c>
      <c r="J39" s="58">
        <v>6.4</v>
      </c>
      <c r="K39" s="6">
        <f t="shared" si="2"/>
        <v>1.086</v>
      </c>
      <c r="L39" s="60">
        <v>0.271</v>
      </c>
      <c r="M39" s="60">
        <f t="shared" si="32"/>
        <v>0.252</v>
      </c>
      <c r="N39" s="62">
        <f t="shared" si="40"/>
        <v>0.252</v>
      </c>
      <c r="O39" s="60">
        <f t="shared" si="26"/>
        <v>0.252</v>
      </c>
      <c r="P39" s="63">
        <v>85.0</v>
      </c>
      <c r="Q39" s="58">
        <v>85.98</v>
      </c>
      <c r="R39" s="65">
        <v>5086.35</v>
      </c>
      <c r="S39" s="66">
        <f t="array" ref="S39">IF((XLOOKUP(D39,RUC!$B$3:$B$106,RUC!$E$3:$E$106)+ROUNDDOWN(O39,1)*100)&lt;95,95,((XLOOKUP(D39,RUC!$B$3:$B$106,RUC!$E$3:$E$106)+ROUNDDOWN(O39,1)*100)))</f>
        <v>110</v>
      </c>
      <c r="U39" s="67">
        <f t="array" ref="U39">XLOOKUP(D39,RUC!$B$3:$B$110,RUC!$F$3:$F$110)</f>
        <v>120</v>
      </c>
      <c r="V39" s="67">
        <v>1.1023</v>
      </c>
      <c r="Y39" s="57">
        <f t="array" ref="Y39">XLOOKUP(D39,RUC!$B$3:$B$110,RUC!$G$3:$G$110)</f>
        <v>20</v>
      </c>
      <c r="Z39" s="69">
        <f t="array" ref="Z39">XLOOKUP(D39,RUC!$B$3:$B$110,RUC!$H$3:$H$110)</f>
        <v>30</v>
      </c>
      <c r="AA39" s="70">
        <f t="shared" si="6"/>
        <v>50</v>
      </c>
      <c r="AB39" s="71">
        <f t="shared" si="7"/>
        <v>996.250109</v>
      </c>
      <c r="AC39" s="71">
        <f>+(S39-T39)*V39-'data 1'!$F$4</f>
        <v>41.253</v>
      </c>
      <c r="AD39" s="71">
        <f t="shared" si="8"/>
        <v>14.53893172</v>
      </c>
      <c r="AE39" s="71">
        <f t="shared" si="9"/>
        <v>-14.885</v>
      </c>
      <c r="AF39" s="71">
        <f t="shared" si="10"/>
        <v>89.43101752</v>
      </c>
      <c r="AG39" s="72">
        <f t="shared" ref="AG39:AG49" si="42">AC39+AD39+AE39+AF39+70-53</f>
        <v>147.3379492</v>
      </c>
      <c r="AH39" s="193">
        <f t="shared" si="11"/>
        <v>8.676</v>
      </c>
      <c r="AI39" s="193">
        <f t="shared" si="12"/>
        <v>10.09</v>
      </c>
      <c r="AJ39" s="73">
        <f t="shared" si="13"/>
        <v>-17.04148616</v>
      </c>
      <c r="AK39" s="73">
        <f t="shared" si="14"/>
        <v>7.975508111</v>
      </c>
      <c r="AM39" s="51">
        <f t="shared" si="15"/>
        <v>1081.927618</v>
      </c>
      <c r="AN39" s="51" t="str">
        <f t="array" ref="AN39">XLOOKUP(D39,RUC!$B$3:$B$565,RUC!$M$3:$M$565)</f>
        <v>Evelyn</v>
      </c>
      <c r="AO39" s="131" t="s">
        <v>558</v>
      </c>
      <c r="AP39" s="57" t="s">
        <v>2637</v>
      </c>
      <c r="AQ39" s="57" t="s">
        <v>789</v>
      </c>
    </row>
    <row r="40" ht="15.0" customHeight="1">
      <c r="A40" s="116" t="s">
        <v>3485</v>
      </c>
      <c r="B40" s="182">
        <v>46100.0</v>
      </c>
      <c r="C40" s="182">
        <v>46089.0</v>
      </c>
      <c r="D40" s="57" t="s">
        <v>295</v>
      </c>
      <c r="E40" s="3">
        <f t="array" ref="E40">XLOOKUP(D40,RUC!$B$3:$B$110,RUC!$D$3:$D$110)</f>
        <v>20601769396</v>
      </c>
      <c r="G40" s="141">
        <v>15.0</v>
      </c>
      <c r="H40" s="3" t="s">
        <v>339</v>
      </c>
      <c r="I40" s="6">
        <v>1.06</v>
      </c>
      <c r="J40" s="58">
        <v>6.8</v>
      </c>
      <c r="K40" s="6">
        <f t="shared" si="2"/>
        <v>0.988</v>
      </c>
      <c r="L40" s="60">
        <v>0.26</v>
      </c>
      <c r="M40" s="60">
        <f t="shared" si="32"/>
        <v>0.241</v>
      </c>
      <c r="N40" s="62">
        <f t="shared" si="40"/>
        <v>0.241</v>
      </c>
      <c r="O40" s="60">
        <f t="shared" si="26"/>
        <v>0.241</v>
      </c>
      <c r="P40" s="63">
        <v>82.0</v>
      </c>
      <c r="Q40" s="58">
        <v>82.73</v>
      </c>
      <c r="R40" s="65">
        <v>5086.35</v>
      </c>
      <c r="S40" s="66">
        <f t="array" ref="S40">IF((XLOOKUP(D40,RUC!$B$3:$B$106,RUC!$E$3:$E$106)+ROUNDDOWN(O40,1)*100)&lt;95,95,((XLOOKUP(D40,RUC!$B$3:$B$106,RUC!$E$3:$E$106)+ROUNDDOWN(O40,1)*100)))</f>
        <v>110</v>
      </c>
      <c r="U40" s="67">
        <f t="array" ref="U40">XLOOKUP(D40,RUC!$B$3:$B$110,RUC!$F$3:$F$110)</f>
        <v>120</v>
      </c>
      <c r="V40" s="67">
        <v>1.1023</v>
      </c>
      <c r="Y40" s="57">
        <f t="array" ref="Y40">XLOOKUP(D40,RUC!$B$3:$B$110,RUC!$G$3:$G$110)</f>
        <v>20</v>
      </c>
      <c r="Z40" s="69">
        <f t="array" ref="Z40">XLOOKUP(D40,RUC!$B$3:$B$110,RUC!$H$3:$H$110)</f>
        <v>30</v>
      </c>
      <c r="AA40" s="70">
        <f t="shared" si="6"/>
        <v>50</v>
      </c>
      <c r="AB40" s="71">
        <f t="shared" si="7"/>
        <v>905.4844309</v>
      </c>
      <c r="AC40" s="71">
        <f>+(S40-T40)*V40-'data 1'!$F$4</f>
        <v>41.253</v>
      </c>
      <c r="AD40" s="71">
        <f t="shared" si="8"/>
        <v>10.39042563</v>
      </c>
      <c r="AE40" s="71">
        <f t="shared" si="9"/>
        <v>-14.885</v>
      </c>
      <c r="AF40" s="71">
        <f t="shared" si="10"/>
        <v>86.05057082</v>
      </c>
      <c r="AG40" s="72">
        <f t="shared" si="42"/>
        <v>139.8089965</v>
      </c>
      <c r="AH40" s="193">
        <f t="shared" si="11"/>
        <v>7.286</v>
      </c>
      <c r="AI40" s="193">
        <f t="shared" si="12"/>
        <v>8.807</v>
      </c>
      <c r="AJ40" s="73">
        <f t="shared" si="13"/>
        <v>-15.73175256</v>
      </c>
      <c r="AK40" s="73">
        <f t="shared" si="14"/>
        <v>6.694172646</v>
      </c>
      <c r="AM40" s="51">
        <f t="shared" si="15"/>
        <v>894.6186177</v>
      </c>
      <c r="AN40" s="51" t="str">
        <f t="array" ref="AN40">XLOOKUP(D40,RUC!$B$3:$B$565,RUC!$M$3:$M$565)</f>
        <v>Evelyn</v>
      </c>
      <c r="AO40" s="131" t="s">
        <v>558</v>
      </c>
      <c r="AP40" s="57" t="s">
        <v>2637</v>
      </c>
      <c r="AQ40" s="57" t="s">
        <v>789</v>
      </c>
    </row>
    <row r="41" ht="15.0" customHeight="1">
      <c r="A41" s="116" t="s">
        <v>3486</v>
      </c>
      <c r="B41" s="182">
        <v>46100.0</v>
      </c>
      <c r="C41" s="182">
        <v>46089.0</v>
      </c>
      <c r="D41" s="57" t="s">
        <v>295</v>
      </c>
      <c r="E41" s="3">
        <f t="array" ref="E41">XLOOKUP(D41,RUC!$B$3:$B$110,RUC!$D$3:$D$110)</f>
        <v>20601769396</v>
      </c>
      <c r="G41" s="141">
        <v>15.0</v>
      </c>
      <c r="H41" s="3" t="s">
        <v>339</v>
      </c>
      <c r="I41" s="6">
        <v>1.12</v>
      </c>
      <c r="J41" s="58">
        <v>6.0</v>
      </c>
      <c r="K41" s="6">
        <f t="shared" si="2"/>
        <v>1.053</v>
      </c>
      <c r="L41" s="60">
        <v>0.304</v>
      </c>
      <c r="M41" s="60">
        <f t="shared" si="32"/>
        <v>0.286</v>
      </c>
      <c r="N41" s="62">
        <f t="shared" si="40"/>
        <v>0.286</v>
      </c>
      <c r="O41" s="60">
        <f t="shared" si="26"/>
        <v>0.286</v>
      </c>
      <c r="P41" s="63">
        <v>89.0</v>
      </c>
      <c r="Q41" s="58">
        <v>89.7</v>
      </c>
      <c r="R41" s="65">
        <v>5086.35</v>
      </c>
      <c r="S41" s="66">
        <f t="array" ref="S41">IF((XLOOKUP(D41,RUC!$B$3:$B$106,RUC!$E$3:$E$106)+ROUNDDOWN(O41,1)*100)&lt;95,95,((XLOOKUP(D41,RUC!$B$3:$B$106,RUC!$E$3:$E$106)+ROUNDDOWN(O41,1)*100)))</f>
        <v>110</v>
      </c>
      <c r="U41" s="67">
        <f t="array" ref="U41">XLOOKUP(D41,RUC!$B$3:$B$110,RUC!$F$3:$F$110)</f>
        <v>120</v>
      </c>
      <c r="V41" s="67">
        <v>1.1023</v>
      </c>
      <c r="Y41" s="57">
        <f t="array" ref="Y41">XLOOKUP(D41,RUC!$B$3:$B$110,RUC!$G$3:$G$110)</f>
        <v>20</v>
      </c>
      <c r="Z41" s="69">
        <f t="array" ref="Z41">XLOOKUP(D41,RUC!$B$3:$B$110,RUC!$H$3:$H$110)</f>
        <v>30</v>
      </c>
      <c r="AA41" s="70">
        <f t="shared" si="6"/>
        <v>50</v>
      </c>
      <c r="AB41" s="71">
        <f t="shared" si="7"/>
        <v>1217.087712</v>
      </c>
      <c r="AC41" s="71">
        <f>+(S41-T41)*V41-'data 1'!$F$4</f>
        <v>41.253</v>
      </c>
      <c r="AD41" s="71">
        <f t="shared" si="8"/>
        <v>11.64953938</v>
      </c>
      <c r="AE41" s="71">
        <f t="shared" si="9"/>
        <v>-14.885</v>
      </c>
      <c r="AF41" s="71">
        <f t="shared" si="10"/>
        <v>88.38978519</v>
      </c>
      <c r="AG41" s="72">
        <f t="shared" si="42"/>
        <v>143.4073246</v>
      </c>
      <c r="AH41" s="193">
        <f t="shared" si="11"/>
        <v>9.845</v>
      </c>
      <c r="AI41" s="193">
        <f t="shared" si="12"/>
        <v>10.975</v>
      </c>
      <c r="AJ41" s="73">
        <f t="shared" si="13"/>
        <v>-19.94374723</v>
      </c>
      <c r="AK41" s="73">
        <f t="shared" si="14"/>
        <v>9.189533816</v>
      </c>
      <c r="AM41" s="51">
        <f t="shared" si="15"/>
        <v>1281.593361</v>
      </c>
      <c r="AN41" s="51" t="str">
        <f t="array" ref="AN41">XLOOKUP(D41,RUC!$B$3:$B$565,RUC!$M$3:$M$565)</f>
        <v>Evelyn</v>
      </c>
      <c r="AO41" s="131" t="s">
        <v>558</v>
      </c>
      <c r="AP41" s="57" t="s">
        <v>2637</v>
      </c>
      <c r="AQ41" s="57" t="s">
        <v>789</v>
      </c>
    </row>
    <row r="42" ht="15.0" customHeight="1">
      <c r="A42" s="116" t="s">
        <v>3487</v>
      </c>
      <c r="B42" s="182">
        <v>46093.0</v>
      </c>
      <c r="C42" s="182">
        <v>46089.0</v>
      </c>
      <c r="D42" s="57" t="s">
        <v>295</v>
      </c>
      <c r="E42" s="3">
        <f t="array" ref="E42">XLOOKUP(D42,RUC!$B$3:$B$110,RUC!$D$3:$D$110)</f>
        <v>20601769396</v>
      </c>
      <c r="G42" s="141">
        <v>15.0</v>
      </c>
      <c r="H42" s="3" t="s">
        <v>339</v>
      </c>
      <c r="I42" s="6">
        <v>1.24</v>
      </c>
      <c r="J42" s="58">
        <v>12.35</v>
      </c>
      <c r="K42" s="6">
        <f t="shared" si="2"/>
        <v>1.087</v>
      </c>
      <c r="L42" s="3">
        <v>0.667</v>
      </c>
      <c r="M42" s="60">
        <f t="shared" si="32"/>
        <v>0.627</v>
      </c>
      <c r="N42" s="62">
        <f t="shared" si="40"/>
        <v>0.627</v>
      </c>
      <c r="O42" s="60">
        <f t="shared" si="26"/>
        <v>0.627</v>
      </c>
      <c r="P42" s="63">
        <v>90.0</v>
      </c>
      <c r="Q42" s="58">
        <v>91.0</v>
      </c>
      <c r="R42" s="65">
        <v>5086.35</v>
      </c>
      <c r="S42" s="66">
        <f t="array" ref="S42">IF((XLOOKUP(D42,RUC!$B$3:$B$106,RUC!$E$3:$E$106)+ROUNDDOWN(O42,1)*100)&lt;95,95,((XLOOKUP(D42,RUC!$B$3:$B$106,RUC!$E$3:$E$106)+ROUNDDOWN(O42,1)*100)))</f>
        <v>150</v>
      </c>
      <c r="U42" s="67">
        <f t="array" ref="U42">XLOOKUP(D42,RUC!$B$3:$B$110,RUC!$F$3:$F$110)</f>
        <v>120</v>
      </c>
      <c r="V42" s="67">
        <v>1.1023</v>
      </c>
      <c r="Y42" s="57">
        <f t="array" ref="Y42">XLOOKUP(D42,RUC!$B$3:$B$110,RUC!$G$3:$G$110)</f>
        <v>20</v>
      </c>
      <c r="Z42" s="69">
        <f t="array" ref="Z42">XLOOKUP(D42,RUC!$B$3:$B$110,RUC!$H$3:$H$110)</f>
        <v>30</v>
      </c>
      <c r="AA42" s="70">
        <f t="shared" si="6"/>
        <v>50</v>
      </c>
      <c r="AB42" s="71">
        <f t="shared" si="7"/>
        <v>2868.748212</v>
      </c>
      <c r="AC42" s="71">
        <f>+(S42-T42)*V42-'data 1'!$F$4</f>
        <v>85.345</v>
      </c>
      <c r="AD42" s="71">
        <f t="shared" si="8"/>
        <v>36.51429873</v>
      </c>
      <c r="AE42" s="71">
        <f t="shared" si="9"/>
        <v>-14.885</v>
      </c>
      <c r="AF42" s="71">
        <f t="shared" si="10"/>
        <v>199.2684368</v>
      </c>
      <c r="AG42" s="72">
        <f t="shared" si="42"/>
        <v>323.2427355</v>
      </c>
      <c r="AH42" s="193">
        <f t="shared" si="11"/>
        <v>22.621</v>
      </c>
      <c r="AI42" s="193">
        <f t="shared" si="12"/>
        <v>24.858</v>
      </c>
      <c r="AJ42" s="73">
        <f t="shared" si="13"/>
        <v>-44.39233211</v>
      </c>
      <c r="AK42" s="73">
        <f t="shared" si="14"/>
        <v>21.03045475</v>
      </c>
      <c r="AM42" s="51">
        <f t="shared" si="15"/>
        <v>3118.329306</v>
      </c>
      <c r="AN42" s="51" t="str">
        <f t="array" ref="AN42">XLOOKUP(D42,RUC!$B$3:$B$565,RUC!$M$3:$M$565)</f>
        <v>Evelyn</v>
      </c>
      <c r="AO42" s="131" t="s">
        <v>558</v>
      </c>
      <c r="AP42" s="57" t="s">
        <v>2637</v>
      </c>
      <c r="AQ42" s="57" t="s">
        <v>789</v>
      </c>
    </row>
    <row r="43" ht="15.0" customHeight="1">
      <c r="A43" s="116" t="s">
        <v>3488</v>
      </c>
      <c r="B43" s="182">
        <v>46093.0</v>
      </c>
      <c r="C43" s="182">
        <v>46089.0</v>
      </c>
      <c r="D43" s="57" t="s">
        <v>295</v>
      </c>
      <c r="E43" s="3">
        <f t="array" ref="E43">XLOOKUP(D43,RUC!$B$3:$B$110,RUC!$D$3:$D$110)</f>
        <v>20601769396</v>
      </c>
      <c r="G43" s="141">
        <v>16.0</v>
      </c>
      <c r="H43" s="3" t="s">
        <v>339</v>
      </c>
      <c r="I43" s="6">
        <v>1.38</v>
      </c>
      <c r="J43" s="58">
        <v>10.0</v>
      </c>
      <c r="K43" s="6">
        <f t="shared" si="2"/>
        <v>1.242</v>
      </c>
      <c r="L43" s="3">
        <v>0.754</v>
      </c>
      <c r="M43" s="60">
        <f t="shared" si="32"/>
        <v>0.709</v>
      </c>
      <c r="N43" s="62">
        <f t="shared" si="40"/>
        <v>0.709</v>
      </c>
      <c r="O43" s="60">
        <f t="shared" si="26"/>
        <v>0.709</v>
      </c>
      <c r="P43" s="63">
        <v>90.0</v>
      </c>
      <c r="Q43" s="58">
        <v>94.43</v>
      </c>
      <c r="R43" s="65">
        <v>5086.35</v>
      </c>
      <c r="S43" s="66">
        <f t="array" ref="S43">IF((XLOOKUP(D43,RUC!$B$3:$B$106,RUC!$E$3:$E$106)+ROUNDDOWN(O43,1)*100)&lt;95,95,((XLOOKUP(D43,RUC!$B$3:$B$106,RUC!$E$3:$E$106)+ROUNDDOWN(O43,1)*100)))</f>
        <v>160</v>
      </c>
      <c r="U43" s="67">
        <f t="array" ref="U43">XLOOKUP(D43,RUC!$B$3:$B$110,RUC!$F$3:$F$110)</f>
        <v>120</v>
      </c>
      <c r="V43" s="67">
        <v>1.1023</v>
      </c>
      <c r="Y43" s="57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6"/>
        <v>50</v>
      </c>
      <c r="AB43" s="71">
        <f t="shared" si="7"/>
        <v>3261.736493</v>
      </c>
      <c r="AC43" s="71">
        <f>+(S43-T43)*V43-'data 1'!$F$4</f>
        <v>96.368</v>
      </c>
      <c r="AD43" s="71">
        <f t="shared" si="8"/>
        <v>182.8572577</v>
      </c>
      <c r="AE43" s="71">
        <f t="shared" si="9"/>
        <v>-14.885</v>
      </c>
      <c r="AF43" s="71">
        <f t="shared" si="10"/>
        <v>232.6267396</v>
      </c>
      <c r="AG43" s="72">
        <f t="shared" si="42"/>
        <v>513.9669973</v>
      </c>
      <c r="AH43" s="193">
        <f t="shared" si="11"/>
        <v>30.319</v>
      </c>
      <c r="AI43" s="193">
        <f t="shared" si="12"/>
        <v>32.107</v>
      </c>
      <c r="AJ43" s="73">
        <f t="shared" si="13"/>
        <v>-52.07413566</v>
      </c>
      <c r="AK43" s="73">
        <f t="shared" si="14"/>
        <v>27.17186259</v>
      </c>
      <c r="AM43" s="51">
        <f t="shared" si="15"/>
        <v>4051.076724</v>
      </c>
      <c r="AN43" s="51" t="str">
        <f t="array" ref="AN43">XLOOKUP(D43,RUC!$B$3:$B$565,RUC!$M$3:$M$565)</f>
        <v>Evelyn</v>
      </c>
      <c r="AO43" s="131" t="s">
        <v>558</v>
      </c>
      <c r="AP43" s="57" t="s">
        <v>2637</v>
      </c>
      <c r="AQ43" s="57" t="s">
        <v>789</v>
      </c>
    </row>
    <row r="44" ht="15.0" customHeight="1">
      <c r="A44" s="116" t="s">
        <v>3489</v>
      </c>
      <c r="B44" s="182">
        <v>46093.0</v>
      </c>
      <c r="C44" s="182">
        <v>46089.0</v>
      </c>
      <c r="D44" s="57" t="s">
        <v>295</v>
      </c>
      <c r="E44" s="3">
        <f t="array" ref="E44">XLOOKUP(D44,RUC!$B$3:$B$110,RUC!$D$3:$D$110)</f>
        <v>20601769396</v>
      </c>
      <c r="G44" s="141">
        <v>16.0</v>
      </c>
      <c r="H44" s="3" t="s">
        <v>339</v>
      </c>
      <c r="I44" s="6">
        <v>1.31</v>
      </c>
      <c r="J44" s="58">
        <v>11.37</v>
      </c>
      <c r="K44" s="6">
        <f t="shared" si="2"/>
        <v>1.161</v>
      </c>
      <c r="L44" s="60">
        <v>0.709</v>
      </c>
      <c r="M44" s="60">
        <f t="shared" si="32"/>
        <v>0.666</v>
      </c>
      <c r="N44" s="62">
        <f t="shared" si="40"/>
        <v>0.666</v>
      </c>
      <c r="O44" s="60">
        <f t="shared" si="26"/>
        <v>0.666</v>
      </c>
      <c r="P44" s="63">
        <v>90.0</v>
      </c>
      <c r="Q44" s="58">
        <v>95.91</v>
      </c>
      <c r="R44" s="65">
        <v>5086.35</v>
      </c>
      <c r="S44" s="66">
        <f t="array" ref="S44">IF((XLOOKUP(D44,RUC!$B$3:$B$106,RUC!$E$3:$E$106)+ROUNDDOWN(O44,1)*100)&lt;95,95,((XLOOKUP(D44,RUC!$B$3:$B$106,RUC!$E$3:$E$106)+ROUNDDOWN(O44,1)*100)))</f>
        <v>150</v>
      </c>
      <c r="U44" s="67">
        <f t="array" ref="U44">XLOOKUP(D44,RUC!$B$3:$B$110,RUC!$F$3:$F$110)</f>
        <v>120</v>
      </c>
      <c r="V44" s="67">
        <v>1.1023</v>
      </c>
      <c r="Y44" s="57">
        <f t="array" ref="Y44">XLOOKUP(D44,RUC!$B$3:$B$110,RUC!$G$3:$G$110)</f>
        <v>20</v>
      </c>
      <c r="Z44" s="69">
        <f t="array" ref="Z44">XLOOKUP(D44,RUC!$B$3:$B$110,RUC!$H$3:$H$110)</f>
        <v>30</v>
      </c>
      <c r="AA44" s="70">
        <f t="shared" si="6"/>
        <v>50</v>
      </c>
      <c r="AB44" s="71">
        <f t="shared" si="7"/>
        <v>3060.899918</v>
      </c>
      <c r="AC44" s="71">
        <f>+(S44-T44)*V44-'data 1'!$F$4</f>
        <v>85.345</v>
      </c>
      <c r="AD44" s="71">
        <f t="shared" si="8"/>
        <v>229.38808</v>
      </c>
      <c r="AE44" s="71">
        <f t="shared" si="9"/>
        <v>-14.885</v>
      </c>
      <c r="AF44" s="71">
        <f t="shared" si="10"/>
        <v>225.7716864</v>
      </c>
      <c r="AG44" s="72">
        <f t="shared" si="42"/>
        <v>542.6197664</v>
      </c>
      <c r="AH44" s="193">
        <f t="shared" si="11"/>
        <v>27.068</v>
      </c>
      <c r="AI44" s="193">
        <f t="shared" si="12"/>
        <v>28.222</v>
      </c>
      <c r="AJ44" s="73">
        <f t="shared" si="13"/>
        <v>-49.73371036</v>
      </c>
      <c r="AK44" s="73">
        <f t="shared" si="14"/>
        <v>23.85931811</v>
      </c>
      <c r="AM44" s="51">
        <f t="shared" si="15"/>
        <v>3553.704805</v>
      </c>
      <c r="AN44" s="51" t="str">
        <f t="array" ref="AN44">XLOOKUP(D44,RUC!$B$3:$B$565,RUC!$M$3:$M$565)</f>
        <v>Evelyn</v>
      </c>
      <c r="AO44" s="131" t="s">
        <v>558</v>
      </c>
      <c r="AP44" s="57" t="s">
        <v>2637</v>
      </c>
      <c r="AQ44" s="57" t="s">
        <v>789</v>
      </c>
    </row>
    <row r="45" ht="15.0" customHeight="1">
      <c r="A45" s="116" t="s">
        <v>3490</v>
      </c>
      <c r="B45" s="182">
        <v>46094.0</v>
      </c>
      <c r="C45" s="182">
        <v>46089.0</v>
      </c>
      <c r="D45" s="57" t="s">
        <v>295</v>
      </c>
      <c r="E45" s="3">
        <f t="array" ref="E45">XLOOKUP(D45,RUC!$B$3:$B$110,RUC!$D$3:$D$110)</f>
        <v>20601769396</v>
      </c>
      <c r="G45" s="141">
        <v>41.0</v>
      </c>
      <c r="H45" s="3" t="s">
        <v>339</v>
      </c>
      <c r="I45" s="6">
        <v>2.97</v>
      </c>
      <c r="J45" s="58">
        <v>13.7</v>
      </c>
      <c r="K45" s="6">
        <f t="shared" si="2"/>
        <v>2.563</v>
      </c>
      <c r="L45" s="60">
        <v>0.214</v>
      </c>
      <c r="M45" s="60">
        <f t="shared" si="32"/>
        <v>0.195</v>
      </c>
      <c r="N45" s="62">
        <f t="shared" si="40"/>
        <v>0.195</v>
      </c>
      <c r="O45" s="60">
        <f t="shared" si="26"/>
        <v>0.195</v>
      </c>
      <c r="P45" s="63">
        <v>90.0</v>
      </c>
      <c r="Q45" s="58">
        <v>96.26</v>
      </c>
      <c r="R45" s="65">
        <v>5086.35</v>
      </c>
      <c r="S45" s="66">
        <f t="array" ref="S45">IF((XLOOKUP(D45,RUC!$B$3:$B$106,RUC!$E$3:$E$106)+ROUNDDOWN(O45,1)*100)&lt;95,95,((XLOOKUP(D45,RUC!$B$3:$B$106,RUC!$E$3:$E$106)+ROUNDDOWN(O45,1)*100)))</f>
        <v>100</v>
      </c>
      <c r="U45" s="67">
        <f t="array" ref="U45">XLOOKUP(D45,RUC!$B$3:$B$110,RUC!$F$3:$F$110)</f>
        <v>120</v>
      </c>
      <c r="V45" s="67">
        <v>1.1023</v>
      </c>
      <c r="Y45" s="57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si="6"/>
        <v>50</v>
      </c>
      <c r="AB45" s="71">
        <f t="shared" si="7"/>
        <v>795.4135347</v>
      </c>
      <c r="AC45" s="71">
        <f>+(S45-T45)*V45-'data 1'!$F$4</f>
        <v>30.23</v>
      </c>
      <c r="AD45" s="71">
        <f t="shared" si="8"/>
        <v>73.33735404</v>
      </c>
      <c r="AE45" s="71">
        <f t="shared" si="9"/>
        <v>-14.885</v>
      </c>
      <c r="AF45" s="71">
        <f t="shared" si="10"/>
        <v>100.1236305</v>
      </c>
      <c r="AG45" s="72">
        <f t="shared" si="42"/>
        <v>205.8059845</v>
      </c>
      <c r="AH45" s="193">
        <f t="shared" si="11"/>
        <v>18.102</v>
      </c>
      <c r="AI45" s="193">
        <f t="shared" si="12"/>
        <v>18.805</v>
      </c>
      <c r="AJ45" s="73">
        <f t="shared" si="13"/>
        <v>-15.06608333</v>
      </c>
      <c r="AK45" s="73">
        <f t="shared" si="14"/>
        <v>15.4217904</v>
      </c>
      <c r="AM45" s="51">
        <f t="shared" si="15"/>
        <v>2038.644889</v>
      </c>
      <c r="AN45" s="51" t="str">
        <f t="array" ref="AN45">XLOOKUP(D45,RUC!$B$3:$B$565,RUC!$M$3:$M$565)</f>
        <v>Evelyn</v>
      </c>
      <c r="AO45" s="131" t="s">
        <v>558</v>
      </c>
      <c r="AP45" s="57" t="s">
        <v>2637</v>
      </c>
      <c r="AQ45" s="57" t="s">
        <v>789</v>
      </c>
    </row>
    <row r="46" ht="15.0" customHeight="1">
      <c r="A46" s="116" t="s">
        <v>3491</v>
      </c>
      <c r="B46" s="182">
        <v>46094.0</v>
      </c>
      <c r="C46" s="182">
        <v>46089.0</v>
      </c>
      <c r="D46" s="57" t="s">
        <v>295</v>
      </c>
      <c r="E46" s="3">
        <f t="array" ref="E46">XLOOKUP(D46,RUC!$B$3:$B$110,RUC!$D$3:$D$110)</f>
        <v>20601769396</v>
      </c>
      <c r="G46" s="141">
        <v>41.0</v>
      </c>
      <c r="H46" s="3" t="s">
        <v>339</v>
      </c>
      <c r="I46" s="6">
        <v>2.9</v>
      </c>
      <c r="J46" s="58">
        <v>9.65</v>
      </c>
      <c r="K46" s="6">
        <f t="shared" si="2"/>
        <v>2.62</v>
      </c>
      <c r="L46" s="60">
        <v>0.276</v>
      </c>
      <c r="M46" s="60">
        <f t="shared" si="32"/>
        <v>0.257</v>
      </c>
      <c r="N46" s="62">
        <f t="shared" si="40"/>
        <v>0.257</v>
      </c>
      <c r="O46" s="60">
        <f t="shared" si="26"/>
        <v>0.257</v>
      </c>
      <c r="P46" s="63">
        <v>90.0</v>
      </c>
      <c r="Q46" s="58">
        <v>96.01</v>
      </c>
      <c r="R46" s="65">
        <v>5086.35</v>
      </c>
      <c r="S46" s="66">
        <f t="array" ref="S46">IF((XLOOKUP(D46,RUC!$B$3:$B$106,RUC!$E$3:$E$106)+ROUNDDOWN(O46,1)*100)&lt;95,95,((XLOOKUP(D46,RUC!$B$3:$B$106,RUC!$E$3:$E$106)+ROUNDDOWN(O46,1)*100)))</f>
        <v>110</v>
      </c>
      <c r="U46" s="67">
        <f t="array" ref="U46">XLOOKUP(D46,RUC!$B$3:$B$110,RUC!$F$3:$F$110)</f>
        <v>120</v>
      </c>
      <c r="V46" s="67">
        <v>1.1023</v>
      </c>
      <c r="Y46" s="57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6"/>
        <v>50</v>
      </c>
      <c r="AB46" s="71">
        <f t="shared" si="7"/>
        <v>1089.862479</v>
      </c>
      <c r="AC46" s="71">
        <f>+(S46-T46)*V46-'data 1'!$F$4</f>
        <v>41.253</v>
      </c>
      <c r="AD46" s="71">
        <f t="shared" si="8"/>
        <v>90.80728359</v>
      </c>
      <c r="AE46" s="71">
        <f t="shared" si="9"/>
        <v>-14.885</v>
      </c>
      <c r="AF46" s="71">
        <f t="shared" si="10"/>
        <v>99.86359609</v>
      </c>
      <c r="AG46" s="72">
        <f t="shared" si="42"/>
        <v>234.0388797</v>
      </c>
      <c r="AH46" s="193">
        <f t="shared" si="11"/>
        <v>23.803</v>
      </c>
      <c r="AI46" s="193">
        <f t="shared" si="12"/>
        <v>24.792</v>
      </c>
      <c r="AJ46" s="73">
        <f t="shared" si="13"/>
        <v>-19.38055842</v>
      </c>
      <c r="AK46" s="73">
        <f t="shared" si="14"/>
        <v>20.77715087</v>
      </c>
      <c r="AM46" s="51">
        <f t="shared" si="15"/>
        <v>2855.439695</v>
      </c>
      <c r="AN46" s="51" t="str">
        <f t="array" ref="AN46">XLOOKUP(D46,RUC!$B$3:$B$565,RUC!$M$3:$M$565)</f>
        <v>Evelyn</v>
      </c>
      <c r="AO46" s="131" t="s">
        <v>558</v>
      </c>
      <c r="AP46" s="57" t="s">
        <v>2637</v>
      </c>
      <c r="AQ46" s="57" t="s">
        <v>789</v>
      </c>
    </row>
    <row r="47" ht="15.0" customHeight="1">
      <c r="A47" s="116" t="s">
        <v>3492</v>
      </c>
      <c r="B47" s="182">
        <v>46094.0</v>
      </c>
      <c r="C47" s="182">
        <v>46089.0</v>
      </c>
      <c r="D47" s="57" t="s">
        <v>295</v>
      </c>
      <c r="E47" s="3">
        <f t="array" ref="E47">XLOOKUP(D47,RUC!$B$3:$B$110,RUC!$D$3:$D$110)</f>
        <v>20601769396</v>
      </c>
      <c r="G47" s="141">
        <v>40.0</v>
      </c>
      <c r="H47" s="3" t="s">
        <v>339</v>
      </c>
      <c r="I47" s="6">
        <v>2.67</v>
      </c>
      <c r="J47" s="58">
        <v>14.75</v>
      </c>
      <c r="K47" s="6">
        <f t="shared" si="2"/>
        <v>2.276</v>
      </c>
      <c r="L47" s="60">
        <v>0.405</v>
      </c>
      <c r="M47" s="60">
        <f t="shared" si="32"/>
        <v>0.381</v>
      </c>
      <c r="N47" s="62">
        <f t="shared" si="40"/>
        <v>0.381</v>
      </c>
      <c r="O47" s="60">
        <f t="shared" si="26"/>
        <v>0.381</v>
      </c>
      <c r="P47" s="63">
        <v>90.0</v>
      </c>
      <c r="Q47" s="58">
        <v>96.79</v>
      </c>
      <c r="R47" s="65">
        <v>5086.35</v>
      </c>
      <c r="S47" s="66">
        <f t="array" ref="S47">IF((XLOOKUP(D47,RUC!$B$3:$B$106,RUC!$E$3:$E$106)+ROUNDDOWN(O47,1)*100)&lt;95,95,((XLOOKUP(D47,RUC!$B$3:$B$106,RUC!$E$3:$E$106)+ROUNDDOWN(O47,1)*100)))</f>
        <v>120</v>
      </c>
      <c r="U47" s="67">
        <f t="array" ref="U47">XLOOKUP(D47,RUC!$B$3:$B$110,RUC!$F$3:$F$110)</f>
        <v>120</v>
      </c>
      <c r="V47" s="67">
        <v>1.1023</v>
      </c>
      <c r="Y47" s="57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6"/>
        <v>50</v>
      </c>
      <c r="AB47" s="71">
        <f t="shared" si="7"/>
        <v>1689.783368</v>
      </c>
      <c r="AC47" s="71">
        <f>+(S47-T47)*V47-'data 1'!$F$4</f>
        <v>52.276</v>
      </c>
      <c r="AD47" s="71">
        <f t="shared" si="8"/>
        <v>150.5434719</v>
      </c>
      <c r="AE47" s="71">
        <f t="shared" si="9"/>
        <v>-14.885</v>
      </c>
      <c r="AF47" s="71">
        <f t="shared" si="10"/>
        <v>127.1682989</v>
      </c>
      <c r="AG47" s="72">
        <f t="shared" si="42"/>
        <v>332.1027708</v>
      </c>
      <c r="AH47" s="193">
        <f t="shared" si="11"/>
        <v>30.589</v>
      </c>
      <c r="AI47" s="193">
        <f t="shared" si="12"/>
        <v>31.604</v>
      </c>
      <c r="AJ47" s="73">
        <f t="shared" si="13"/>
        <v>-28.66990459</v>
      </c>
      <c r="AK47" s="73">
        <f t="shared" si="14"/>
        <v>26.75770196</v>
      </c>
      <c r="AM47" s="51">
        <f t="shared" si="15"/>
        <v>3845.946945</v>
      </c>
      <c r="AN47" s="51" t="str">
        <f t="array" ref="AN47">XLOOKUP(D47,RUC!$B$3:$B$565,RUC!$M$3:$M$565)</f>
        <v>Evelyn</v>
      </c>
      <c r="AO47" s="131" t="s">
        <v>558</v>
      </c>
      <c r="AP47" s="57" t="s">
        <v>2637</v>
      </c>
      <c r="AQ47" s="57" t="s">
        <v>789</v>
      </c>
    </row>
    <row r="48" ht="15.0" customHeight="1">
      <c r="A48" s="116" t="s">
        <v>3493</v>
      </c>
      <c r="B48" s="182">
        <v>46094.0</v>
      </c>
      <c r="C48" s="182">
        <v>46089.0</v>
      </c>
      <c r="D48" s="57" t="s">
        <v>295</v>
      </c>
      <c r="E48" s="3">
        <f t="array" ref="E48">XLOOKUP(D48,RUC!$B$3:$B$110,RUC!$D$3:$D$110)</f>
        <v>20601769396</v>
      </c>
      <c r="G48" s="141">
        <v>40.0</v>
      </c>
      <c r="H48" s="3" t="s">
        <v>339</v>
      </c>
      <c r="I48" s="6">
        <v>2.78</v>
      </c>
      <c r="J48" s="58">
        <v>13.22</v>
      </c>
      <c r="K48" s="6">
        <f t="shared" si="2"/>
        <v>2.412</v>
      </c>
      <c r="L48" s="60">
        <v>0.31</v>
      </c>
      <c r="M48" s="60">
        <f t="shared" si="32"/>
        <v>0.291</v>
      </c>
      <c r="N48" s="62">
        <f t="shared" si="40"/>
        <v>0.291</v>
      </c>
      <c r="O48" s="60">
        <f t="shared" si="26"/>
        <v>0.291</v>
      </c>
      <c r="P48" s="63">
        <v>90.0</v>
      </c>
      <c r="Q48" s="58">
        <v>96.45</v>
      </c>
      <c r="R48" s="65">
        <v>5086.35</v>
      </c>
      <c r="S48" s="66">
        <f t="array" ref="S48">IF((XLOOKUP(D48,RUC!$B$3:$B$106,RUC!$E$3:$E$106)+ROUNDDOWN(O48,1)*100)&lt;95,95,((XLOOKUP(D48,RUC!$B$3:$B$106,RUC!$E$3:$E$106)+ROUNDDOWN(O48,1)*100)))</f>
        <v>110</v>
      </c>
      <c r="U48" s="67">
        <f t="array" ref="U48">XLOOKUP(D48,RUC!$B$3:$B$110,RUC!$F$3:$F$110)</f>
        <v>120</v>
      </c>
      <c r="V48" s="67">
        <v>1.1023</v>
      </c>
      <c r="Y48" s="57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6"/>
        <v>50</v>
      </c>
      <c r="AB48" s="71">
        <f t="shared" si="7"/>
        <v>1257.379352</v>
      </c>
      <c r="AC48" s="71">
        <f>+(S48-T48)*V48-'data 1'!$F$4</f>
        <v>41.253</v>
      </c>
      <c r="AD48" s="71">
        <f t="shared" si="8"/>
        <v>109.4607801</v>
      </c>
      <c r="AE48" s="71">
        <f t="shared" si="9"/>
        <v>-14.885</v>
      </c>
      <c r="AF48" s="71">
        <f t="shared" si="10"/>
        <v>100.3212566</v>
      </c>
      <c r="AG48" s="72">
        <f t="shared" si="42"/>
        <v>253.1500366</v>
      </c>
      <c r="AH48" s="193">
        <f t="shared" si="11"/>
        <v>24.726</v>
      </c>
      <c r="AI48" s="193">
        <f t="shared" si="12"/>
        <v>25.636</v>
      </c>
      <c r="AJ48" s="73">
        <f t="shared" si="13"/>
        <v>-21.86777821</v>
      </c>
      <c r="AK48" s="73">
        <f t="shared" si="14"/>
        <v>21.65817563</v>
      </c>
      <c r="AM48" s="51">
        <f t="shared" si="15"/>
        <v>3032.798996</v>
      </c>
      <c r="AN48" s="51" t="str">
        <f t="array" ref="AN48">XLOOKUP(D48,RUC!$B$3:$B$565,RUC!$M$3:$M$565)</f>
        <v>Evelyn</v>
      </c>
      <c r="AO48" s="131" t="s">
        <v>558</v>
      </c>
      <c r="AP48" s="57" t="s">
        <v>2637</v>
      </c>
      <c r="AQ48" s="57" t="s">
        <v>789</v>
      </c>
    </row>
    <row r="49" ht="15.0" customHeight="1">
      <c r="A49" s="116" t="s">
        <v>3494</v>
      </c>
      <c r="B49" s="182">
        <v>46094.0</v>
      </c>
      <c r="C49" s="182">
        <v>46089.0</v>
      </c>
      <c r="D49" s="57" t="s">
        <v>295</v>
      </c>
      <c r="E49" s="3">
        <f t="array" ref="E49">XLOOKUP(D49,RUC!$B$3:$B$110,RUC!$D$3:$D$110)</f>
        <v>20601769396</v>
      </c>
      <c r="G49" s="141">
        <v>40.0</v>
      </c>
      <c r="H49" s="3" t="s">
        <v>339</v>
      </c>
      <c r="I49" s="6">
        <v>2.92</v>
      </c>
      <c r="J49" s="58">
        <v>13.95</v>
      </c>
      <c r="K49" s="6">
        <f t="shared" si="2"/>
        <v>2.513</v>
      </c>
      <c r="L49" s="60">
        <v>0.287</v>
      </c>
      <c r="M49" s="60">
        <f t="shared" si="32"/>
        <v>0.268</v>
      </c>
      <c r="N49" s="62">
        <f t="shared" si="40"/>
        <v>0.268</v>
      </c>
      <c r="O49" s="60">
        <f t="shared" si="26"/>
        <v>0.268</v>
      </c>
      <c r="P49" s="63">
        <v>90.0</v>
      </c>
      <c r="Q49" s="58">
        <v>96.52</v>
      </c>
      <c r="R49" s="65">
        <v>5086.35</v>
      </c>
      <c r="S49" s="66">
        <f t="array" ref="S49">IF((XLOOKUP(D49,RUC!$B$3:$B$106,RUC!$E$3:$E$106)+ROUNDDOWN(O49,1)*100)&lt;95,95,((XLOOKUP(D49,RUC!$B$3:$B$106,RUC!$E$3:$E$106)+ROUNDDOWN(O49,1)*100)))</f>
        <v>110</v>
      </c>
      <c r="U49" s="67">
        <f t="array" ref="U49">XLOOKUP(D49,RUC!$B$3:$B$110,RUC!$F$3:$F$110)</f>
        <v>120</v>
      </c>
      <c r="V49" s="67">
        <v>1.1023</v>
      </c>
      <c r="Y49" s="57">
        <f t="array" ref="Y49">XLOOKUP(D49,RUC!$B$3:$B$110,RUC!$G$3:$G$110)</f>
        <v>20</v>
      </c>
      <c r="Z49" s="69">
        <f t="array" ref="Z49">XLOOKUP(D49,RUC!$B$3:$B$110,RUC!$H$3:$H$110)</f>
        <v>30</v>
      </c>
      <c r="AA49" s="70">
        <f t="shared" si="6"/>
        <v>50</v>
      </c>
      <c r="AB49" s="71">
        <f t="shared" si="7"/>
        <v>1144.059114</v>
      </c>
      <c r="AC49" s="71">
        <f>+(S49-T49)*V49-'data 1'!$F$4</f>
        <v>41.253</v>
      </c>
      <c r="AD49" s="71">
        <f t="shared" si="8"/>
        <v>102.4393049</v>
      </c>
      <c r="AE49" s="71">
        <f t="shared" si="9"/>
        <v>-14.885</v>
      </c>
      <c r="AF49" s="71">
        <f t="shared" si="10"/>
        <v>100.3940662</v>
      </c>
      <c r="AG49" s="72">
        <f t="shared" si="42"/>
        <v>246.2013711</v>
      </c>
      <c r="AH49" s="193">
        <f t="shared" si="11"/>
        <v>23.867</v>
      </c>
      <c r="AI49" s="193">
        <f t="shared" si="12"/>
        <v>24.728</v>
      </c>
      <c r="AJ49" s="73">
        <f t="shared" si="13"/>
        <v>-20.26002349</v>
      </c>
      <c r="AK49" s="73">
        <f t="shared" si="14"/>
        <v>20.78159426</v>
      </c>
      <c r="AM49" s="51">
        <f t="shared" si="15"/>
        <v>2875.020554</v>
      </c>
      <c r="AN49" s="51" t="str">
        <f t="array" ref="AN49">XLOOKUP(D49,RUC!$B$3:$B$565,RUC!$M$3:$M$565)</f>
        <v>Evelyn</v>
      </c>
      <c r="AO49" s="131" t="s">
        <v>558</v>
      </c>
      <c r="AP49" s="57" t="s">
        <v>2637</v>
      </c>
      <c r="AQ49" s="57" t="s">
        <v>789</v>
      </c>
    </row>
    <row r="50" ht="15.0" customHeight="1">
      <c r="A50" s="116" t="s">
        <v>3495</v>
      </c>
      <c r="B50" s="182">
        <v>46097.0</v>
      </c>
      <c r="C50" s="182">
        <v>46091.0</v>
      </c>
      <c r="D50" s="57" t="s">
        <v>730</v>
      </c>
      <c r="E50" s="3">
        <f t="array" ref="E50">XLOOKUP(D50,RUC!$B$3:$B$110,RUC!$D$3:$D$110)</f>
        <v>20613935151</v>
      </c>
      <c r="G50" s="141">
        <v>26.0</v>
      </c>
      <c r="H50" s="3" t="s">
        <v>47</v>
      </c>
      <c r="I50" s="6">
        <v>1.99</v>
      </c>
      <c r="J50" s="58">
        <v>2.35</v>
      </c>
      <c r="K50" s="6">
        <f t="shared" si="2"/>
        <v>1.943</v>
      </c>
      <c r="L50" s="60">
        <v>0.237</v>
      </c>
      <c r="M50" s="60">
        <f t="shared" si="32"/>
        <v>0.218</v>
      </c>
      <c r="N50" s="62">
        <f t="shared" si="40"/>
        <v>0.218</v>
      </c>
      <c r="O50" s="60">
        <f t="shared" si="26"/>
        <v>0.218</v>
      </c>
      <c r="P50" s="63">
        <v>90.0</v>
      </c>
      <c r="Q50" s="58">
        <v>97.89</v>
      </c>
      <c r="R50" s="65">
        <v>5209.7</v>
      </c>
      <c r="S50" s="66">
        <f t="array" ref="S50">IF((XLOOKUP(D50,RUC!$B$3:$B$106,RUC!$E$3:$E$106)+ROUNDDOWN(O50,1)*100)&lt;95,95,((XLOOKUP(D50,RUC!$B$3:$B$106,RUC!$E$3:$E$106)+ROUNDDOWN(O50,1)*100)))</f>
        <v>110</v>
      </c>
      <c r="U50" s="67">
        <f t="array" ref="U50">XLOOKUP(D50,RUC!$B$3:$B$110,RUC!$F$3:$F$110)</f>
        <v>120</v>
      </c>
      <c r="V50" s="67">
        <v>1.1023</v>
      </c>
      <c r="Y50" s="57">
        <f t="array" ref="Y50">XLOOKUP(D50,RUC!$B$3:$B$110,RUC!$G$3:$G$110)</f>
        <v>20</v>
      </c>
      <c r="Z50" s="69">
        <f t="array" ref="Z50">XLOOKUP(D50,RUC!$B$3:$B$110,RUC!$H$3:$H$110)</f>
        <v>30</v>
      </c>
      <c r="AA50" s="70">
        <f t="shared" si="6"/>
        <v>50</v>
      </c>
      <c r="AB50" s="71">
        <f t="shared" si="7"/>
        <v>924.387832</v>
      </c>
      <c r="AC50" s="71">
        <f>+(S50-T50)*V50-'data 1'!$F$4</f>
        <v>41.253</v>
      </c>
      <c r="AD50" s="71">
        <f t="shared" si="8"/>
        <v>104.9101097</v>
      </c>
      <c r="AE50" s="71">
        <f t="shared" si="9"/>
        <v>-14.885</v>
      </c>
      <c r="AF50" s="71">
        <f t="shared" si="10"/>
        <v>104.34795</v>
      </c>
      <c r="AG50" s="72">
        <f t="shared" ref="AG50:AG53" si="43">AC50+AD50+AE50+AF50+70-10</f>
        <v>295.6260598</v>
      </c>
      <c r="AH50" s="193">
        <f t="shared" si="11"/>
        <v>15.455</v>
      </c>
      <c r="AI50" s="193">
        <f t="shared" si="12"/>
        <v>15.788</v>
      </c>
      <c r="AJ50" s="73">
        <f t="shared" si="13"/>
        <v>-48.51251755</v>
      </c>
      <c r="AK50" s="73">
        <f t="shared" si="14"/>
        <v>13.07015906</v>
      </c>
      <c r="AM50" s="51">
        <f t="shared" si="15"/>
        <v>1796.085558</v>
      </c>
      <c r="AN50" s="51" t="str">
        <f t="array" ref="AN50">XLOOKUP(D50,RUC!$B$3:$B$565,RUC!$M$3:$M$565)</f>
        <v>Dante </v>
      </c>
      <c r="AO50" s="131" t="s">
        <v>551</v>
      </c>
      <c r="AP50" s="57" t="s">
        <v>3496</v>
      </c>
      <c r="AQ50" s="57" t="s">
        <v>1874</v>
      </c>
    </row>
    <row r="51" ht="15.0" customHeight="1">
      <c r="A51" s="116" t="s">
        <v>3497</v>
      </c>
      <c r="B51" s="182">
        <v>46097.0</v>
      </c>
      <c r="C51" s="182">
        <v>46091.0</v>
      </c>
      <c r="D51" s="57" t="s">
        <v>730</v>
      </c>
      <c r="E51" s="3">
        <f t="array" ref="E51">XLOOKUP(D51,RUC!$B$3:$B$110,RUC!$D$3:$D$110)</f>
        <v>20613935151</v>
      </c>
      <c r="G51" s="141">
        <v>63.0</v>
      </c>
      <c r="H51" s="3" t="s">
        <v>47</v>
      </c>
      <c r="I51" s="6">
        <v>4.85</v>
      </c>
      <c r="J51" s="58">
        <v>2.85</v>
      </c>
      <c r="K51" s="6">
        <f t="shared" si="2"/>
        <v>4.712</v>
      </c>
      <c r="L51" s="60">
        <v>0.296</v>
      </c>
      <c r="M51" s="60">
        <f t="shared" si="32"/>
        <v>0.277</v>
      </c>
      <c r="N51" s="62">
        <f t="shared" si="40"/>
        <v>0.277</v>
      </c>
      <c r="O51" s="60">
        <f t="shared" si="26"/>
        <v>0.277</v>
      </c>
      <c r="P51" s="63">
        <v>90.0</v>
      </c>
      <c r="Q51" s="58">
        <v>98.31</v>
      </c>
      <c r="R51" s="65">
        <v>5209.7</v>
      </c>
      <c r="S51" s="66">
        <f t="array" ref="S51">IF((XLOOKUP(D51,RUC!$B$3:$B$106,RUC!$E$3:$E$106)+ROUNDDOWN(O51,1)*100)&lt;95,95,((XLOOKUP(D51,RUC!$B$3:$B$106,RUC!$E$3:$E$106)+ROUNDDOWN(O51,1)*100)))</f>
        <v>110</v>
      </c>
      <c r="U51" s="67">
        <f t="array" ref="U51">XLOOKUP(D51,RUC!$B$3:$B$110,RUC!$F$3:$F$110)</f>
        <v>120</v>
      </c>
      <c r="V51" s="67">
        <v>1.1023</v>
      </c>
      <c r="Y51" s="57">
        <f t="array" ref="Y51">XLOOKUP(D51,RUC!$B$3:$B$110,RUC!$G$3:$G$110)</f>
        <v>20</v>
      </c>
      <c r="Z51" s="69">
        <f t="array" ref="Z51">XLOOKUP(D51,RUC!$B$3:$B$110,RUC!$H$3:$H$110)</f>
        <v>30</v>
      </c>
      <c r="AA51" s="70">
        <f t="shared" si="6"/>
        <v>50</v>
      </c>
      <c r="AB51" s="71">
        <f t="shared" si="7"/>
        <v>1222.298814</v>
      </c>
      <c r="AC51" s="71">
        <f>+(S51-T51)*V51-'data 1'!$F$4</f>
        <v>41.253</v>
      </c>
      <c r="AD51" s="71">
        <f t="shared" si="8"/>
        <v>138.0017923</v>
      </c>
      <c r="AE51" s="71">
        <f t="shared" si="9"/>
        <v>-14.885</v>
      </c>
      <c r="AF51" s="71">
        <f t="shared" si="10"/>
        <v>104.7956581</v>
      </c>
      <c r="AG51" s="72">
        <f t="shared" si="43"/>
        <v>329.1654504</v>
      </c>
      <c r="AH51" s="193">
        <f t="shared" si="11"/>
        <v>47.011</v>
      </c>
      <c r="AI51" s="193">
        <f t="shared" si="12"/>
        <v>47.82</v>
      </c>
      <c r="AJ51" s="73">
        <f t="shared" si="13"/>
        <v>-60.84943435</v>
      </c>
      <c r="AK51" s="73">
        <f t="shared" si="14"/>
        <v>40.2751002</v>
      </c>
      <c r="AM51" s="51">
        <f t="shared" si="15"/>
        <v>5759.472012</v>
      </c>
      <c r="AN51" s="51" t="str">
        <f t="array" ref="AN51">XLOOKUP(D51,RUC!$B$3:$B$565,RUC!$M$3:$M$565)</f>
        <v>Dante </v>
      </c>
      <c r="AO51" s="131" t="s">
        <v>551</v>
      </c>
      <c r="AP51" s="57" t="s">
        <v>3496</v>
      </c>
      <c r="AQ51" s="57" t="s">
        <v>1874</v>
      </c>
    </row>
    <row r="52" ht="15.0" customHeight="1">
      <c r="A52" s="116" t="s">
        <v>3498</v>
      </c>
      <c r="B52" s="182">
        <v>46094.0</v>
      </c>
      <c r="C52" s="182">
        <v>46091.0</v>
      </c>
      <c r="D52" s="57" t="s">
        <v>3122</v>
      </c>
      <c r="E52" s="3">
        <f t="array" ref="E52">XLOOKUP(D52,RUC!$B$3:$B$110,RUC!$D$3:$D$110)</f>
        <v>20614635101</v>
      </c>
      <c r="G52" s="141">
        <v>52.0</v>
      </c>
      <c r="H52" s="3" t="s">
        <v>47</v>
      </c>
      <c r="I52" s="6">
        <v>5.95</v>
      </c>
      <c r="J52" s="58">
        <v>2.0</v>
      </c>
      <c r="K52" s="6">
        <f t="shared" si="2"/>
        <v>5.831</v>
      </c>
      <c r="L52" s="60">
        <v>0.18</v>
      </c>
      <c r="M52" s="60">
        <f t="shared" si="32"/>
        <v>0.161</v>
      </c>
      <c r="N52" s="62">
        <f t="shared" si="40"/>
        <v>0.161</v>
      </c>
      <c r="O52" s="60">
        <f t="shared" si="26"/>
        <v>0.161</v>
      </c>
      <c r="P52" s="63">
        <v>90.0</v>
      </c>
      <c r="Q52" s="58">
        <v>92.78</v>
      </c>
      <c r="R52" s="65">
        <v>5209.7</v>
      </c>
      <c r="S52" s="66">
        <f t="array" ref="S52">IF((XLOOKUP(D52,RUC!$B$3:$B$106,RUC!$E$3:$E$106)+ROUNDDOWN(O52,1)*100)&lt;95,95,((XLOOKUP(D52,RUC!$B$3:$B$106,RUC!$E$3:$E$106)+ROUNDDOWN(O52,1)*100)))</f>
        <v>95</v>
      </c>
      <c r="U52" s="67">
        <f t="array" ref="U52">XLOOKUP(D52,RUC!$B$3:$B$110,RUC!$F$3:$F$110)</f>
        <v>100</v>
      </c>
      <c r="V52" s="67">
        <v>1.1023</v>
      </c>
      <c r="Y52" s="57" t="str">
        <f t="array" ref="Y52">XLOOKUP(D52,RUC!$B$3:$B$110,RUC!$G$3:$G$110)</f>
        <v/>
      </c>
      <c r="Z52" s="69">
        <f t="array" ref="Z52">XLOOKUP(D52,RUC!$B$3:$B$110,RUC!$H$3:$H$110)</f>
        <v>30</v>
      </c>
      <c r="AA52" s="70">
        <f t="shared" si="6"/>
        <v>30</v>
      </c>
      <c r="AB52" s="71">
        <f t="shared" si="7"/>
        <v>678.3504927</v>
      </c>
      <c r="AC52" s="71">
        <f>+(S52-T52)*V52-'data 1'!$F$4</f>
        <v>24.7185</v>
      </c>
      <c r="AD52" s="71">
        <f t="shared" si="8"/>
        <v>28.18464124</v>
      </c>
      <c r="AE52" s="71">
        <f t="shared" si="9"/>
        <v>-36.931</v>
      </c>
      <c r="AF52" s="71">
        <f t="shared" si="10"/>
        <v>99.28946697</v>
      </c>
      <c r="AG52" s="72">
        <f t="shared" si="43"/>
        <v>175.2616082</v>
      </c>
      <c r="AH52" s="193">
        <f t="shared" si="11"/>
        <v>33.387</v>
      </c>
      <c r="AI52" s="193">
        <f t="shared" si="12"/>
        <v>35.985</v>
      </c>
      <c r="AJ52" s="73">
        <f t="shared" si="13"/>
        <v>-38.60336038</v>
      </c>
      <c r="AK52" s="73">
        <f t="shared" si="14"/>
        <v>28.96813236</v>
      </c>
      <c r="AM52" s="51">
        <f t="shared" si="15"/>
        <v>3955.461723</v>
      </c>
      <c r="AN52" s="51" t="str">
        <f t="array" ref="AN52">XLOOKUP(D52,RUC!$B$3:$B$565,RUC!$M$3:$M$565)</f>
        <v>Ronald Garibay</v>
      </c>
      <c r="AO52" s="131" t="s">
        <v>551</v>
      </c>
      <c r="AP52" s="57" t="s">
        <v>3499</v>
      </c>
      <c r="AQ52" s="57" t="s">
        <v>3500</v>
      </c>
    </row>
    <row r="53" ht="15.0" customHeight="1">
      <c r="A53" s="116" t="s">
        <v>3501</v>
      </c>
      <c r="B53" s="182">
        <v>46094.0</v>
      </c>
      <c r="C53" s="182">
        <v>46091.0</v>
      </c>
      <c r="D53" s="57" t="s">
        <v>3122</v>
      </c>
      <c r="E53" s="3">
        <f t="array" ref="E53">XLOOKUP(D53,RUC!$B$3:$B$110,RUC!$D$3:$D$110)</f>
        <v>20614635101</v>
      </c>
      <c r="G53" s="141">
        <v>30.0</v>
      </c>
      <c r="H53" s="3" t="s">
        <v>47</v>
      </c>
      <c r="I53" s="6">
        <v>3.8</v>
      </c>
      <c r="J53" s="58">
        <v>3.15</v>
      </c>
      <c r="K53" s="6">
        <f t="shared" si="2"/>
        <v>3.68</v>
      </c>
      <c r="L53" s="60">
        <v>0.135</v>
      </c>
      <c r="M53" s="60">
        <f t="shared" si="32"/>
        <v>0.116</v>
      </c>
      <c r="N53" s="62">
        <f t="shared" si="40"/>
        <v>0.116</v>
      </c>
      <c r="O53" s="60">
        <f t="shared" si="26"/>
        <v>0.116</v>
      </c>
      <c r="P53" s="63">
        <v>89.0</v>
      </c>
      <c r="Q53" s="58">
        <v>89.63</v>
      </c>
      <c r="R53" s="65">
        <v>5209.7</v>
      </c>
      <c r="S53" s="66">
        <f t="array" ref="S53">IF((XLOOKUP(D53,RUC!$B$3:$B$106,RUC!$E$3:$E$106)+ROUNDDOWN(O53,1)*100)&lt;95,95,((XLOOKUP(D53,RUC!$B$3:$B$106,RUC!$E$3:$E$106)+ROUNDDOWN(O53,1)*100)))</f>
        <v>95</v>
      </c>
      <c r="U53" s="67">
        <f t="array" ref="U53">XLOOKUP(D53,RUC!$B$3:$B$110,RUC!$F$3:$F$110)</f>
        <v>100</v>
      </c>
      <c r="V53" s="67">
        <v>1.1023</v>
      </c>
      <c r="Y53" s="57" t="str">
        <f t="array" ref="Y53">XLOOKUP(D53,RUC!$B$3:$B$110,RUC!$G$3:$G$110)</f>
        <v/>
      </c>
      <c r="Z53" s="69">
        <f t="array" ref="Z53">XLOOKUP(D53,RUC!$B$3:$B$110,RUC!$H$3:$H$110)</f>
        <v>30</v>
      </c>
      <c r="AA53" s="70">
        <f t="shared" si="6"/>
        <v>30</v>
      </c>
      <c r="AB53" s="71">
        <f t="shared" si="7"/>
        <v>443.7037793</v>
      </c>
      <c r="AC53" s="71">
        <f>+(S53-T53)*V53-'data 1'!$F$4</f>
        <v>24.7185</v>
      </c>
      <c r="AD53" s="71">
        <f t="shared" si="8"/>
        <v>4.790375175</v>
      </c>
      <c r="AE53" s="71">
        <f t="shared" si="9"/>
        <v>-36.931</v>
      </c>
      <c r="AF53" s="71">
        <f t="shared" si="10"/>
        <v>95.91846221</v>
      </c>
      <c r="AG53" s="72">
        <f t="shared" si="43"/>
        <v>148.4963374</v>
      </c>
      <c r="AH53" s="193">
        <f t="shared" si="11"/>
        <v>15.267</v>
      </c>
      <c r="AI53" s="193">
        <f t="shared" si="12"/>
        <v>17.033</v>
      </c>
      <c r="AJ53" s="73">
        <f t="shared" si="13"/>
        <v>-27.96954509</v>
      </c>
      <c r="AK53" s="73">
        <f t="shared" si="14"/>
        <v>13.02581434</v>
      </c>
      <c r="AM53" s="51">
        <f t="shared" si="15"/>
        <v>1632.829908</v>
      </c>
      <c r="AN53" s="51" t="str">
        <f t="array" ref="AN53">XLOOKUP(D53,RUC!$B$3:$B$565,RUC!$M$3:$M$565)</f>
        <v>Ronald Garibay</v>
      </c>
      <c r="AO53" s="131" t="s">
        <v>551</v>
      </c>
      <c r="AP53" s="57" t="s">
        <v>3499</v>
      </c>
      <c r="AQ53" s="57" t="s">
        <v>3500</v>
      </c>
    </row>
    <row r="54" ht="15.0" customHeight="1">
      <c r="A54" s="116" t="s">
        <v>3502</v>
      </c>
      <c r="B54" s="182">
        <v>46095.0</v>
      </c>
      <c r="C54" s="182">
        <v>46091.0</v>
      </c>
      <c r="D54" s="57" t="s">
        <v>602</v>
      </c>
      <c r="E54" s="3">
        <f t="array" ref="E54">XLOOKUP(D54,RUC!$B$3:$B$110,RUC!$D$3:$D$110)</f>
        <v>20169040231</v>
      </c>
      <c r="G54" s="141">
        <v>59.0</v>
      </c>
      <c r="H54" s="3" t="s">
        <v>47</v>
      </c>
      <c r="I54" s="6">
        <v>6.06</v>
      </c>
      <c r="J54" s="58">
        <v>4.45</v>
      </c>
      <c r="K54" s="6">
        <f t="shared" si="2"/>
        <v>5.79</v>
      </c>
      <c r="L54" s="60">
        <v>0.235</v>
      </c>
      <c r="M54" s="60">
        <f t="shared" si="32"/>
        <v>0.216</v>
      </c>
      <c r="N54" s="62">
        <f t="shared" si="40"/>
        <v>0.216</v>
      </c>
      <c r="O54" s="60">
        <f t="shared" si="26"/>
        <v>0.216</v>
      </c>
      <c r="P54" s="63">
        <v>90.0</v>
      </c>
      <c r="Q54" s="58">
        <v>96.6</v>
      </c>
      <c r="R54" s="65">
        <v>5209.7</v>
      </c>
      <c r="S54" s="66">
        <f t="array" ref="S54">IF((XLOOKUP(D54,RUC!$B$3:$B$106,RUC!$E$3:$E$106)+ROUNDDOWN(O54,1)*100)&lt;95,95,((XLOOKUP(D54,RUC!$B$3:$B$106,RUC!$E$3:$E$106)+ROUNDDOWN(O54,1)*100)))</f>
        <v>105</v>
      </c>
      <c r="U54" s="67">
        <f t="array" ref="U54">XLOOKUP(D54,RUC!$B$3:$B$110,RUC!$F$3:$F$110)</f>
        <v>120</v>
      </c>
      <c r="V54" s="67">
        <v>1.1023</v>
      </c>
      <c r="Y54" s="57">
        <f t="array" ref="Y54">XLOOKUP(D54,RUC!$B$3:$B$110,RUC!$G$3:$G$110)</f>
        <v>20</v>
      </c>
      <c r="Z54" s="140">
        <v>35.0</v>
      </c>
      <c r="AA54" s="70">
        <f t="shared" si="6"/>
        <v>55</v>
      </c>
      <c r="AB54" s="71">
        <f t="shared" si="7"/>
        <v>914.2891547</v>
      </c>
      <c r="AC54" s="71">
        <f>+(S54-T54)*V54-'data 1'!$F$4</f>
        <v>35.7415</v>
      </c>
      <c r="AD54" s="71">
        <f t="shared" si="8"/>
        <v>87.01693657</v>
      </c>
      <c r="AE54" s="71">
        <f t="shared" si="9"/>
        <v>-9.3735</v>
      </c>
      <c r="AF54" s="71">
        <f t="shared" si="10"/>
        <v>102.9728468</v>
      </c>
      <c r="AG54" s="72">
        <f t="shared" ref="AG54:AG65" si="44">AC54+AD54+AE54+AF54+70-53</f>
        <v>233.3577834</v>
      </c>
      <c r="AH54" s="193">
        <f t="shared" si="11"/>
        <v>45.064</v>
      </c>
      <c r="AI54" s="193">
        <f t="shared" si="12"/>
        <v>46.65</v>
      </c>
      <c r="AJ54" s="73">
        <f t="shared" si="13"/>
        <v>-47.46922343</v>
      </c>
      <c r="AK54" s="73">
        <f t="shared" si="14"/>
        <v>38.59080994</v>
      </c>
      <c r="AM54" s="51">
        <f t="shared" si="15"/>
        <v>5293.734206</v>
      </c>
      <c r="AN54" s="51" t="str">
        <f t="array" ref="AN54">XLOOKUP(D54,RUC!$B$3:$B$565,RUC!$M$3:$M$565)</f>
        <v>Ronald Miranda</v>
      </c>
      <c r="AO54" s="131" t="s">
        <v>558</v>
      </c>
      <c r="AP54" s="57" t="s">
        <v>3503</v>
      </c>
      <c r="AQ54" s="57" t="s">
        <v>3504</v>
      </c>
    </row>
    <row r="55" ht="15.0" customHeight="1">
      <c r="A55" s="116" t="s">
        <v>3505</v>
      </c>
      <c r="B55" s="182">
        <v>46095.0</v>
      </c>
      <c r="C55" s="182">
        <v>46091.0</v>
      </c>
      <c r="D55" s="57" t="s">
        <v>602</v>
      </c>
      <c r="E55" s="3">
        <f t="array" ref="E55">XLOOKUP(D55,RUC!$B$3:$B$110,RUC!$D$3:$D$110)</f>
        <v>20169040231</v>
      </c>
      <c r="G55" s="141">
        <v>60.0</v>
      </c>
      <c r="H55" s="3" t="s">
        <v>47</v>
      </c>
      <c r="I55" s="6">
        <v>6.2</v>
      </c>
      <c r="J55" s="58">
        <v>5.0</v>
      </c>
      <c r="K55" s="6">
        <f t="shared" si="2"/>
        <v>5.89</v>
      </c>
      <c r="L55" s="60">
        <v>0.16</v>
      </c>
      <c r="M55" s="60">
        <f t="shared" si="32"/>
        <v>0.141</v>
      </c>
      <c r="N55" s="62">
        <f t="shared" si="40"/>
        <v>0.141</v>
      </c>
      <c r="O55" s="60">
        <f t="shared" si="26"/>
        <v>0.141</v>
      </c>
      <c r="P55" s="63">
        <v>80.0</v>
      </c>
      <c r="Q55" s="58">
        <v>96.25</v>
      </c>
      <c r="R55" s="65">
        <v>5209.7</v>
      </c>
      <c r="S55" s="66">
        <f t="array" ref="S55">IF((XLOOKUP(D55,RUC!$B$3:$B$106,RUC!$E$3:$E$106)+ROUNDDOWN(O55,1)*100)&lt;95,95,((XLOOKUP(D55,RUC!$B$3:$B$106,RUC!$E$3:$E$106)+ROUNDDOWN(O55,1)*100)))</f>
        <v>95</v>
      </c>
      <c r="U55" s="67">
        <f t="array" ref="U55">XLOOKUP(D55,RUC!$B$3:$B$110,RUC!$F$3:$F$110)</f>
        <v>120</v>
      </c>
      <c r="V55" s="67">
        <v>1.1023</v>
      </c>
      <c r="Y55" s="57">
        <f t="array" ref="Y55">XLOOKUP(D55,RUC!$B$3:$B$110,RUC!$G$3:$G$110)</f>
        <v>20</v>
      </c>
      <c r="Z55" s="140">
        <v>35.0</v>
      </c>
      <c r="AA55" s="70">
        <f t="shared" si="6"/>
        <v>55</v>
      </c>
      <c r="AB55" s="71">
        <f t="shared" si="7"/>
        <v>467.5054478</v>
      </c>
      <c r="AC55" s="71">
        <f>+(S55-T55)*V55-'data 1'!$F$4</f>
        <v>24.7185</v>
      </c>
      <c r="AD55" s="71">
        <f t="shared" si="8"/>
        <v>145.8697841</v>
      </c>
      <c r="AE55" s="71">
        <f t="shared" si="9"/>
        <v>-9.3735</v>
      </c>
      <c r="AF55" s="71">
        <f t="shared" si="10"/>
        <v>102.5997568</v>
      </c>
      <c r="AG55" s="72">
        <f t="shared" si="44"/>
        <v>280.8145408</v>
      </c>
      <c r="AH55" s="193">
        <f t="shared" si="11"/>
        <v>31.099</v>
      </c>
      <c r="AI55" s="193">
        <f t="shared" si="12"/>
        <v>32.311</v>
      </c>
      <c r="AJ55" s="73">
        <f t="shared" si="13"/>
        <v>-32.20237174</v>
      </c>
      <c r="AK55" s="73">
        <f t="shared" si="14"/>
        <v>22.77893754</v>
      </c>
      <c r="AM55" s="51">
        <f t="shared" si="15"/>
        <v>2753.607087</v>
      </c>
      <c r="AN55" s="51" t="str">
        <f t="array" ref="AN55">XLOOKUP(D55,RUC!$B$3:$B$565,RUC!$M$3:$M$565)</f>
        <v>Ronald Miranda</v>
      </c>
      <c r="AO55" s="131" t="s">
        <v>558</v>
      </c>
      <c r="AP55" s="57" t="s">
        <v>3503</v>
      </c>
      <c r="AQ55" s="57" t="s">
        <v>3504</v>
      </c>
    </row>
    <row r="56" ht="15.0" customHeight="1">
      <c r="A56" s="116" t="s">
        <v>3506</v>
      </c>
      <c r="B56" s="182">
        <v>46095.0</v>
      </c>
      <c r="C56" s="182">
        <v>46091.0</v>
      </c>
      <c r="D56" s="57" t="s">
        <v>602</v>
      </c>
      <c r="E56" s="3">
        <f t="array" ref="E56">XLOOKUP(D56,RUC!$B$3:$B$110,RUC!$D$3:$D$110)</f>
        <v>20169040231</v>
      </c>
      <c r="G56" s="141">
        <v>19.0</v>
      </c>
      <c r="H56" s="3" t="s">
        <v>47</v>
      </c>
      <c r="I56" s="6">
        <v>1.67</v>
      </c>
      <c r="J56" s="58">
        <v>2.0</v>
      </c>
      <c r="K56" s="6">
        <f t="shared" si="2"/>
        <v>1.637</v>
      </c>
      <c r="L56" s="60">
        <v>0.157</v>
      </c>
      <c r="M56" s="60">
        <f t="shared" si="32"/>
        <v>0.138</v>
      </c>
      <c r="N56" s="62">
        <f t="shared" si="40"/>
        <v>0.138</v>
      </c>
      <c r="O56" s="60">
        <f t="shared" si="26"/>
        <v>0.138</v>
      </c>
      <c r="P56" s="63">
        <v>80.0</v>
      </c>
      <c r="Q56" s="58">
        <v>96.18</v>
      </c>
      <c r="R56" s="65">
        <v>5209.7</v>
      </c>
      <c r="S56" s="66">
        <f t="array" ref="S56">IF((XLOOKUP(D56,RUC!$B$3:$B$106,RUC!$E$3:$E$106)+ROUNDDOWN(O56,1)*100)&lt;95,95,((XLOOKUP(D56,RUC!$B$3:$B$106,RUC!$E$3:$E$106)+ROUNDDOWN(O56,1)*100)))</f>
        <v>95</v>
      </c>
      <c r="U56" s="67">
        <f t="array" ref="U56">XLOOKUP(D56,RUC!$B$3:$B$110,RUC!$F$3:$F$110)</f>
        <v>120</v>
      </c>
      <c r="V56" s="67">
        <v>1.1023</v>
      </c>
      <c r="Y56" s="57">
        <f t="array" ref="Y56">XLOOKUP(D56,RUC!$B$3:$B$110,RUC!$G$3:$G$110)</f>
        <v>20</v>
      </c>
      <c r="Z56" s="140">
        <v>35.0</v>
      </c>
      <c r="AA56" s="70">
        <f t="shared" si="6"/>
        <v>55</v>
      </c>
      <c r="AB56" s="71">
        <f t="shared" si="7"/>
        <v>454.0405446</v>
      </c>
      <c r="AC56" s="71">
        <f>+(S56-T56)*V56-'data 1'!$F$4</f>
        <v>24.7185</v>
      </c>
      <c r="AD56" s="71">
        <f t="shared" si="8"/>
        <v>142.5181453</v>
      </c>
      <c r="AE56" s="71">
        <f t="shared" si="9"/>
        <v>-9.3735</v>
      </c>
      <c r="AF56" s="71">
        <f t="shared" si="10"/>
        <v>102.5251388</v>
      </c>
      <c r="AG56" s="72">
        <f t="shared" si="44"/>
        <v>277.388284</v>
      </c>
      <c r="AH56" s="193">
        <f t="shared" si="11"/>
        <v>8.475</v>
      </c>
      <c r="AI56" s="193">
        <f t="shared" si="12"/>
        <v>8.812</v>
      </c>
      <c r="AJ56" s="73">
        <f t="shared" si="13"/>
        <v>-31.57559649</v>
      </c>
      <c r="AK56" s="73">
        <f t="shared" si="14"/>
        <v>6.196219898</v>
      </c>
      <c r="AM56" s="51">
        <f t="shared" si="15"/>
        <v>743.2643715</v>
      </c>
      <c r="AN56" s="51" t="str">
        <f t="array" ref="AN56">XLOOKUP(D56,RUC!$B$3:$B$565,RUC!$M$3:$M$565)</f>
        <v>Ronald Miranda</v>
      </c>
      <c r="AO56" s="131" t="s">
        <v>558</v>
      </c>
      <c r="AP56" s="57" t="s">
        <v>3503</v>
      </c>
      <c r="AQ56" s="57" t="s">
        <v>3504</v>
      </c>
    </row>
    <row r="57" ht="15.0" customHeight="1">
      <c r="A57" s="116" t="s">
        <v>3507</v>
      </c>
      <c r="B57" s="182">
        <v>46095.0</v>
      </c>
      <c r="C57" s="182">
        <v>46091.0</v>
      </c>
      <c r="D57" s="57" t="s">
        <v>602</v>
      </c>
      <c r="E57" s="3">
        <f t="array" ref="E57">XLOOKUP(D57,RUC!$B$3:$B$110,RUC!$D$3:$D$110)</f>
        <v>20169040231</v>
      </c>
      <c r="G57" s="141">
        <v>12.0</v>
      </c>
      <c r="H57" s="3" t="s">
        <v>47</v>
      </c>
      <c r="I57" s="6">
        <v>1.02</v>
      </c>
      <c r="J57" s="58">
        <v>2.0</v>
      </c>
      <c r="K57" s="6">
        <f t="shared" si="2"/>
        <v>1</v>
      </c>
      <c r="L57" s="60">
        <v>0.177</v>
      </c>
      <c r="M57" s="60">
        <f t="shared" si="32"/>
        <v>0.158</v>
      </c>
      <c r="N57" s="62">
        <f t="shared" si="40"/>
        <v>0.158</v>
      </c>
      <c r="O57" s="60">
        <f t="shared" si="26"/>
        <v>0.158</v>
      </c>
      <c r="P57" s="63">
        <v>85.0</v>
      </c>
      <c r="Q57" s="58">
        <v>97.18</v>
      </c>
      <c r="R57" s="65">
        <v>5209.7</v>
      </c>
      <c r="S57" s="66">
        <f t="array" ref="S57">IF((XLOOKUP(D57,RUC!$B$3:$B$106,RUC!$E$3:$E$106)+ROUNDDOWN(O57,1)*100)&lt;95,95,((XLOOKUP(D57,RUC!$B$3:$B$106,RUC!$E$3:$E$106)+ROUNDDOWN(O57,1)*100)))</f>
        <v>95</v>
      </c>
      <c r="U57" s="67">
        <f t="array" ref="U57">XLOOKUP(D57,RUC!$B$3:$B$110,RUC!$F$3:$F$110)</f>
        <v>120</v>
      </c>
      <c r="V57" s="67">
        <v>1.1023</v>
      </c>
      <c r="Y57" s="57">
        <f t="array" ref="Y57">XLOOKUP(D57,RUC!$B$3:$B$110,RUC!$G$3:$G$110)</f>
        <v>20</v>
      </c>
      <c r="Z57" s="140">
        <v>35.0</v>
      </c>
      <c r="AA57" s="70">
        <f t="shared" si="6"/>
        <v>55</v>
      </c>
      <c r="AB57" s="71">
        <f t="shared" si="7"/>
        <v>588.1285384</v>
      </c>
      <c r="AC57" s="71">
        <f>+(S57-T57)*V57-'data 1'!$F$4</f>
        <v>24.7185</v>
      </c>
      <c r="AD57" s="71">
        <f t="shared" si="8"/>
        <v>120.9518587</v>
      </c>
      <c r="AE57" s="71">
        <f t="shared" si="9"/>
        <v>-9.3735</v>
      </c>
      <c r="AF57" s="71">
        <f t="shared" si="10"/>
        <v>103.5911103</v>
      </c>
      <c r="AG57" s="72">
        <f t="shared" si="44"/>
        <v>256.887969</v>
      </c>
      <c r="AH57" s="193">
        <f t="shared" si="11"/>
        <v>5.897</v>
      </c>
      <c r="AI57" s="193">
        <f t="shared" si="12"/>
        <v>6.069</v>
      </c>
      <c r="AJ57" s="73">
        <f t="shared" si="13"/>
        <v>-35.96808363</v>
      </c>
      <c r="AK57" s="73">
        <f t="shared" si="14"/>
        <v>4.604527615</v>
      </c>
      <c r="AM57" s="51">
        <f t="shared" si="15"/>
        <v>588.1285384</v>
      </c>
      <c r="AN57" s="51" t="str">
        <f t="array" ref="AN57">XLOOKUP(D57,RUC!$B$3:$B$565,RUC!$M$3:$M$565)</f>
        <v>Ronald Miranda</v>
      </c>
      <c r="AO57" s="131" t="s">
        <v>558</v>
      </c>
      <c r="AP57" s="57" t="s">
        <v>3503</v>
      </c>
      <c r="AQ57" s="57" t="s">
        <v>3504</v>
      </c>
    </row>
    <row r="58" ht="15.0" customHeight="1">
      <c r="A58" s="116" t="s">
        <v>3508</v>
      </c>
      <c r="B58" s="182">
        <v>46095.0</v>
      </c>
      <c r="C58" s="182">
        <v>46091.0</v>
      </c>
      <c r="D58" s="57" t="s">
        <v>756</v>
      </c>
      <c r="E58" s="3" t="str">
        <f t="array" ref="E58">XLOOKUP(D58,RUC!$B$3:$B$110,RUC!$D$3:$D$110)</f>
        <v>20610807004*</v>
      </c>
      <c r="G58" s="141">
        <v>50.0</v>
      </c>
      <c r="H58" s="3" t="s">
        <v>339</v>
      </c>
      <c r="I58" s="6">
        <v>3.51</v>
      </c>
      <c r="J58" s="58">
        <v>20.87</v>
      </c>
      <c r="K58" s="6">
        <f t="shared" si="2"/>
        <v>2.777</v>
      </c>
      <c r="L58" s="60">
        <v>0.229</v>
      </c>
      <c r="M58" s="60">
        <f t="shared" si="32"/>
        <v>0.21</v>
      </c>
      <c r="N58" s="62">
        <f t="shared" si="40"/>
        <v>0.21</v>
      </c>
      <c r="O58" s="60">
        <f t="shared" si="26"/>
        <v>0.21</v>
      </c>
      <c r="P58" s="63">
        <v>90.0</v>
      </c>
      <c r="Q58" s="58">
        <v>93.45</v>
      </c>
      <c r="R58" s="65">
        <v>5209.7</v>
      </c>
      <c r="S58" s="66">
        <f t="array" ref="S58">IF((XLOOKUP(D58,RUC!$B$3:$B$106,RUC!$E$3:$E$106)+ROUNDDOWN(O58,1)*100)&lt;95,95,((XLOOKUP(D58,RUC!$B$3:$B$106,RUC!$E$3:$E$106)+ROUNDDOWN(O58,1)*100)))</f>
        <v>105</v>
      </c>
      <c r="U58" s="67">
        <f t="array" ref="U58">XLOOKUP(D58,RUC!$B$3:$B$110,RUC!$F$3:$F$110)</f>
        <v>120</v>
      </c>
      <c r="V58" s="67">
        <v>1.1023</v>
      </c>
      <c r="Y58" s="57">
        <f t="array" ref="Y58">XLOOKUP(D58,RUC!$B$3:$B$110,RUC!$G$3:$G$110)</f>
        <v>20</v>
      </c>
      <c r="Z58" s="140">
        <v>35.0</v>
      </c>
      <c r="AA58" s="70">
        <f t="shared" si="6"/>
        <v>55</v>
      </c>
      <c r="AB58" s="71">
        <f t="shared" si="7"/>
        <v>883.9931226</v>
      </c>
      <c r="AC58" s="71">
        <f>+(S58-T58)*V58-'data 1'!$F$4</f>
        <v>35.7415</v>
      </c>
      <c r="AD58" s="71">
        <f t="shared" si="8"/>
        <v>44.32477804</v>
      </c>
      <c r="AE58" s="71">
        <f t="shared" si="9"/>
        <v>-9.3735</v>
      </c>
      <c r="AF58" s="71">
        <f t="shared" si="10"/>
        <v>99.61503657</v>
      </c>
      <c r="AG58" s="72">
        <f t="shared" si="44"/>
        <v>187.3078146</v>
      </c>
      <c r="AH58" s="193">
        <f t="shared" si="11"/>
        <v>20.375</v>
      </c>
      <c r="AI58" s="193">
        <f t="shared" si="12"/>
        <v>21.803</v>
      </c>
      <c r="AJ58" s="73">
        <f t="shared" si="13"/>
        <v>-44.74885489</v>
      </c>
      <c r="AK58" s="73">
        <f t="shared" si="14"/>
        <v>17.99478877</v>
      </c>
      <c r="AM58" s="51">
        <f t="shared" si="15"/>
        <v>2454.848901</v>
      </c>
      <c r="AN58" s="51" t="str">
        <f t="array" ref="AN58">XLOOKUP(D58,RUC!$B$3:$B$565,RUC!$M$3:$M$565)</f>
        <v>Ronald Miranda</v>
      </c>
      <c r="AO58" s="131" t="s">
        <v>558</v>
      </c>
      <c r="AP58" s="57" t="s">
        <v>2123</v>
      </c>
      <c r="AQ58" s="57" t="s">
        <v>1334</v>
      </c>
    </row>
    <row r="59" ht="15.0" customHeight="1">
      <c r="A59" s="116" t="s">
        <v>3509</v>
      </c>
      <c r="B59" s="182">
        <v>46095.0</v>
      </c>
      <c r="C59" s="182">
        <v>46091.0</v>
      </c>
      <c r="D59" s="57" t="s">
        <v>756</v>
      </c>
      <c r="E59" s="3" t="str">
        <f t="array" ref="E59">XLOOKUP(D59,RUC!$B$3:$B$110,RUC!$D$3:$D$110)</f>
        <v>20610807004*</v>
      </c>
      <c r="G59" s="141">
        <v>50.0</v>
      </c>
      <c r="H59" s="3" t="s">
        <v>339</v>
      </c>
      <c r="I59" s="6">
        <v>3.47</v>
      </c>
      <c r="J59" s="58">
        <v>19.67</v>
      </c>
      <c r="K59" s="6">
        <f t="shared" si="2"/>
        <v>2.787</v>
      </c>
      <c r="L59" s="60">
        <v>0.256</v>
      </c>
      <c r="M59" s="60">
        <f t="shared" si="32"/>
        <v>0.237</v>
      </c>
      <c r="N59" s="62">
        <f t="shared" si="40"/>
        <v>0.237</v>
      </c>
      <c r="O59" s="60">
        <f t="shared" si="26"/>
        <v>0.237</v>
      </c>
      <c r="P59" s="63">
        <v>90.0</v>
      </c>
      <c r="Q59" s="58">
        <v>92.58</v>
      </c>
      <c r="R59" s="65">
        <v>5209.7</v>
      </c>
      <c r="S59" s="66">
        <f t="array" ref="S59">IF((XLOOKUP(D59,RUC!$B$3:$B$106,RUC!$E$3:$E$106)+ROUNDDOWN(O59,1)*100)&lt;95,95,((XLOOKUP(D59,RUC!$B$3:$B$106,RUC!$E$3:$E$106)+ROUNDDOWN(O59,1)*100)))</f>
        <v>105</v>
      </c>
      <c r="U59" s="67">
        <f t="array" ref="U59">XLOOKUP(D59,RUC!$B$3:$B$110,RUC!$F$3:$F$110)</f>
        <v>120</v>
      </c>
      <c r="V59" s="67">
        <v>1.1023</v>
      </c>
      <c r="Y59" s="57">
        <f t="array" ref="Y59">XLOOKUP(D59,RUC!$B$3:$B$110,RUC!$G$3:$G$110)</f>
        <v>20</v>
      </c>
      <c r="Z59" s="140">
        <v>35.0</v>
      </c>
      <c r="AA59" s="70">
        <f t="shared" si="6"/>
        <v>55</v>
      </c>
      <c r="AB59" s="71">
        <f t="shared" si="7"/>
        <v>1020.325267</v>
      </c>
      <c r="AC59" s="71">
        <f>+(S59-T59)*V59-'data 1'!$F$4</f>
        <v>35.7415</v>
      </c>
      <c r="AD59" s="71">
        <f t="shared" si="8"/>
        <v>37.05541345</v>
      </c>
      <c r="AE59" s="71">
        <f t="shared" si="9"/>
        <v>-9.3735</v>
      </c>
      <c r="AF59" s="71">
        <f t="shared" si="10"/>
        <v>98.68764137</v>
      </c>
      <c r="AG59" s="72">
        <f t="shared" si="44"/>
        <v>179.1110548</v>
      </c>
      <c r="AH59" s="193">
        <f t="shared" si="11"/>
        <v>22.647</v>
      </c>
      <c r="AI59" s="193">
        <f t="shared" si="12"/>
        <v>24.462</v>
      </c>
      <c r="AJ59" s="73">
        <f t="shared" si="13"/>
        <v>-49.55919918</v>
      </c>
      <c r="AK59" s="73">
        <f t="shared" si="14"/>
        <v>20.38153521</v>
      </c>
      <c r="AM59" s="51">
        <f t="shared" si="15"/>
        <v>2843.646519</v>
      </c>
      <c r="AN59" s="51" t="str">
        <f t="array" ref="AN59">XLOOKUP(D59,RUC!$B$3:$B$565,RUC!$M$3:$M$565)</f>
        <v>Ronald Miranda</v>
      </c>
      <c r="AO59" s="131" t="s">
        <v>558</v>
      </c>
      <c r="AP59" s="57" t="s">
        <v>2123</v>
      </c>
      <c r="AQ59" s="57" t="s">
        <v>1334</v>
      </c>
    </row>
    <row r="60" ht="15.0" customHeight="1">
      <c r="A60" s="116" t="s">
        <v>3510</v>
      </c>
      <c r="B60" s="182">
        <v>46095.0</v>
      </c>
      <c r="C60" s="182">
        <v>46091.0</v>
      </c>
      <c r="D60" s="57" t="s">
        <v>756</v>
      </c>
      <c r="E60" s="3" t="str">
        <f t="array" ref="E60">XLOOKUP(D60,RUC!$B$3:$B$110,RUC!$D$3:$D$110)</f>
        <v>20610807004*</v>
      </c>
      <c r="G60" s="141">
        <v>50.0</v>
      </c>
      <c r="H60" s="3" t="s">
        <v>339</v>
      </c>
      <c r="I60" s="6">
        <v>3.47</v>
      </c>
      <c r="J60" s="58">
        <v>21.47</v>
      </c>
      <c r="K60" s="6">
        <f t="shared" si="2"/>
        <v>2.725</v>
      </c>
      <c r="L60" s="60">
        <v>0.279</v>
      </c>
      <c r="M60" s="60">
        <f t="shared" si="32"/>
        <v>0.26</v>
      </c>
      <c r="N60" s="62">
        <f t="shared" si="40"/>
        <v>0.26</v>
      </c>
      <c r="O60" s="60">
        <f t="shared" si="26"/>
        <v>0.26</v>
      </c>
      <c r="P60" s="63">
        <v>90.0</v>
      </c>
      <c r="Q60" s="58">
        <v>94.62</v>
      </c>
      <c r="R60" s="65">
        <v>5209.7</v>
      </c>
      <c r="S60" s="66">
        <f t="array" ref="S60">IF((XLOOKUP(D60,RUC!$B$3:$B$106,RUC!$E$3:$E$106)+ROUNDDOWN(O60,1)*100)&lt;95,95,((XLOOKUP(D60,RUC!$B$3:$B$106,RUC!$E$3:$E$106)+ROUNDDOWN(O60,1)*100)))</f>
        <v>105</v>
      </c>
      <c r="U60" s="67">
        <f t="array" ref="U60">XLOOKUP(D60,RUC!$B$3:$B$110,RUC!$F$3:$F$110)</f>
        <v>120</v>
      </c>
      <c r="V60" s="67">
        <v>1.1023</v>
      </c>
      <c r="Y60" s="57">
        <f t="array" ref="Y60">XLOOKUP(D60,RUC!$B$3:$B$110,RUC!$G$3:$G$110)</f>
        <v>20</v>
      </c>
      <c r="Z60" s="140">
        <v>35.0</v>
      </c>
      <c r="AA60" s="70">
        <f t="shared" si="6"/>
        <v>55</v>
      </c>
      <c r="AB60" s="71">
        <f t="shared" si="7"/>
        <v>1136.460057</v>
      </c>
      <c r="AC60" s="71">
        <f>+(S60-T60)*V60-'data 1'!$F$4</f>
        <v>35.7415</v>
      </c>
      <c r="AD60" s="71">
        <f t="shared" si="8"/>
        <v>72.31662856</v>
      </c>
      <c r="AE60" s="71">
        <f t="shared" si="9"/>
        <v>-9.3735</v>
      </c>
      <c r="AF60" s="71">
        <f t="shared" si="10"/>
        <v>100.8622232</v>
      </c>
      <c r="AG60" s="72">
        <f t="shared" si="44"/>
        <v>216.5468518</v>
      </c>
      <c r="AH60" s="193">
        <f t="shared" si="11"/>
        <v>24.664</v>
      </c>
      <c r="AI60" s="193">
        <f t="shared" si="12"/>
        <v>26.066</v>
      </c>
      <c r="AJ60" s="73">
        <f t="shared" si="13"/>
        <v>-55.20193296</v>
      </c>
      <c r="AK60" s="73">
        <f t="shared" si="14"/>
        <v>21.86207769</v>
      </c>
      <c r="AM60" s="51">
        <f t="shared" si="15"/>
        <v>3096.853654</v>
      </c>
      <c r="AN60" s="51" t="str">
        <f t="array" ref="AN60">XLOOKUP(D60,RUC!$B$3:$B$565,RUC!$M$3:$M$565)</f>
        <v>Ronald Miranda</v>
      </c>
      <c r="AO60" s="131" t="s">
        <v>558</v>
      </c>
      <c r="AP60" s="57" t="s">
        <v>2123</v>
      </c>
      <c r="AQ60" s="57" t="s">
        <v>1334</v>
      </c>
    </row>
    <row r="61" ht="15.0" customHeight="1">
      <c r="A61" s="116" t="s">
        <v>3511</v>
      </c>
      <c r="B61" s="182">
        <v>46095.0</v>
      </c>
      <c r="C61" s="182">
        <v>46092.0</v>
      </c>
      <c r="D61" s="57" t="s">
        <v>806</v>
      </c>
      <c r="E61" s="3">
        <f t="array" ref="E61">XLOOKUP(D61,RUC!$B$3:$B$110,RUC!$D$3:$D$110)</f>
        <v>20614284740</v>
      </c>
      <c r="G61" s="141">
        <v>72.0</v>
      </c>
      <c r="H61" s="3" t="s">
        <v>47</v>
      </c>
      <c r="I61" s="6">
        <v>5.95</v>
      </c>
      <c r="J61" s="58">
        <v>2.0</v>
      </c>
      <c r="K61" s="6">
        <f t="shared" si="2"/>
        <v>5.831</v>
      </c>
      <c r="L61" s="60">
        <v>0.413</v>
      </c>
      <c r="M61" s="60">
        <f t="shared" si="32"/>
        <v>0.388</v>
      </c>
      <c r="N61" s="62">
        <f t="shared" si="40"/>
        <v>0.388</v>
      </c>
      <c r="O61" s="60">
        <f t="shared" si="26"/>
        <v>0.388</v>
      </c>
      <c r="P61" s="63">
        <v>90.0</v>
      </c>
      <c r="Q61" s="58">
        <v>98.79</v>
      </c>
      <c r="R61" s="65">
        <v>5182.4</v>
      </c>
      <c r="S61" s="66">
        <f t="array" ref="S61">IF((XLOOKUP(D61,RUC!$B$3:$B$106,RUC!$E$3:$E$106)+ROUNDDOWN(O61,1)*100)&lt;95,95,((XLOOKUP(D61,RUC!$B$3:$B$106,RUC!$E$3:$E$106)+ROUNDDOWN(O61,1)*100)))</f>
        <v>120</v>
      </c>
      <c r="U61" s="67">
        <f t="array" ref="U61">XLOOKUP(D61,RUC!$B$3:$B$110,RUC!$F$3:$F$110)</f>
        <v>120</v>
      </c>
      <c r="V61" s="67">
        <v>1.1023</v>
      </c>
      <c r="Y61" s="57">
        <f t="array" ref="Y61">XLOOKUP(D61,RUC!$B$3:$B$110,RUC!$G$3:$G$110)</f>
        <v>20</v>
      </c>
      <c r="Z61" s="69">
        <f t="array" ref="Z61">XLOOKUP(D61,RUC!$B$3:$B$110,RUC!$H$3:$H$110)</f>
        <v>30</v>
      </c>
      <c r="AA61" s="70">
        <f t="shared" si="6"/>
        <v>50</v>
      </c>
      <c r="AB61" s="71">
        <f t="shared" si="7"/>
        <v>1761.244005</v>
      </c>
      <c r="AC61" s="71">
        <f>+(S61-T61)*V61-'data 1'!$F$4</f>
        <v>52.276</v>
      </c>
      <c r="AD61" s="71">
        <f t="shared" si="8"/>
        <v>202.5793585</v>
      </c>
      <c r="AE61" s="71">
        <f t="shared" si="9"/>
        <v>-14.885</v>
      </c>
      <c r="AF61" s="71">
        <f t="shared" si="10"/>
        <v>137.8190522</v>
      </c>
      <c r="AG61" s="72">
        <f t="shared" si="44"/>
        <v>394.7894108</v>
      </c>
      <c r="AH61" s="193">
        <f t="shared" si="11"/>
        <v>81.567</v>
      </c>
      <c r="AI61" s="193">
        <f t="shared" si="12"/>
        <v>82.566</v>
      </c>
      <c r="AJ61" s="73">
        <f t="shared" si="13"/>
        <v>-73.0379995</v>
      </c>
      <c r="AK61" s="73">
        <f t="shared" si="14"/>
        <v>69.81139972</v>
      </c>
      <c r="AM61" s="51">
        <f t="shared" si="15"/>
        <v>10269.81379</v>
      </c>
      <c r="AN61" s="51" t="str">
        <f t="array" ref="AN61">XLOOKUP(D61,RUC!$B$3:$B$565,RUC!$M$3:$M$565)</f>
        <v>Dante </v>
      </c>
      <c r="AO61" s="131" t="s">
        <v>551</v>
      </c>
      <c r="AP61" s="57" t="s">
        <v>3512</v>
      </c>
      <c r="AQ61" s="57" t="s">
        <v>3513</v>
      </c>
    </row>
    <row r="62" ht="15.0" customHeight="1">
      <c r="A62" s="116" t="s">
        <v>3514</v>
      </c>
      <c r="B62" s="182">
        <v>46097.0</v>
      </c>
      <c r="C62" s="182">
        <v>46093.0</v>
      </c>
      <c r="D62" s="57" t="s">
        <v>756</v>
      </c>
      <c r="E62" s="3" t="str">
        <f t="array" ref="E62">XLOOKUP(D62,RUC!$B$3:$B$110,RUC!$D$3:$D$110)</f>
        <v>20610807004*</v>
      </c>
      <c r="G62" s="141">
        <v>50.0</v>
      </c>
      <c r="H62" s="3" t="s">
        <v>339</v>
      </c>
      <c r="I62" s="6">
        <v>3.17</v>
      </c>
      <c r="J62" s="58">
        <v>21.25</v>
      </c>
      <c r="K62" s="6">
        <f t="shared" si="2"/>
        <v>2.496</v>
      </c>
      <c r="L62" s="60">
        <v>0.273</v>
      </c>
      <c r="M62" s="60">
        <f t="shared" si="32"/>
        <v>0.254</v>
      </c>
      <c r="N62" s="62">
        <f t="shared" si="40"/>
        <v>0.254</v>
      </c>
      <c r="O62" s="60">
        <f t="shared" si="26"/>
        <v>0.254</v>
      </c>
      <c r="P62" s="63">
        <v>90.0</v>
      </c>
      <c r="Q62" s="58">
        <v>95.97</v>
      </c>
      <c r="R62" s="65">
        <v>5130.1</v>
      </c>
      <c r="S62" s="66">
        <f t="array" ref="S62">IF((XLOOKUP(D62,RUC!$B$3:$B$106,RUC!$E$3:$E$106)+ROUNDDOWN(O62,1)*100)&lt;95,95,((XLOOKUP(D62,RUC!$B$3:$B$106,RUC!$E$3:$E$106)+ROUNDDOWN(O62,1)*100)))</f>
        <v>105</v>
      </c>
      <c r="U62" s="67">
        <f t="array" ref="U62">XLOOKUP(D62,RUC!$B$3:$B$110,RUC!$F$3:$F$110)</f>
        <v>120</v>
      </c>
      <c r="V62" s="67">
        <v>1.1023</v>
      </c>
      <c r="Y62" s="57">
        <f t="array" ref="Y62">XLOOKUP(D62,RUC!$B$3:$B$110,RUC!$G$3:$G$110)</f>
        <v>20</v>
      </c>
      <c r="Z62" s="140">
        <v>35.0</v>
      </c>
      <c r="AA62" s="70">
        <f t="shared" si="6"/>
        <v>55</v>
      </c>
      <c r="AB62" s="71">
        <f t="shared" si="7"/>
        <v>1086.105956</v>
      </c>
      <c r="AC62" s="71">
        <f>+(S62-T62)*V62-'data 1'!$F$4</f>
        <v>35.7415</v>
      </c>
      <c r="AD62" s="71">
        <f t="shared" si="8"/>
        <v>90.00842865</v>
      </c>
      <c r="AE62" s="71">
        <f t="shared" si="9"/>
        <v>-9.3735</v>
      </c>
      <c r="AF62" s="71">
        <f t="shared" si="10"/>
        <v>100.7013511</v>
      </c>
      <c r="AG62" s="72">
        <f t="shared" si="44"/>
        <v>234.0777798</v>
      </c>
      <c r="AH62" s="193">
        <f t="shared" si="11"/>
        <v>22.421</v>
      </c>
      <c r="AI62" s="193">
        <f t="shared" si="12"/>
        <v>23.362</v>
      </c>
      <c r="AJ62" s="73">
        <f t="shared" si="13"/>
        <v>-31.79693567</v>
      </c>
      <c r="AK62" s="73">
        <f t="shared" si="14"/>
        <v>19.56274871</v>
      </c>
      <c r="AM62" s="51">
        <f t="shared" si="15"/>
        <v>2710.920467</v>
      </c>
      <c r="AN62" s="51" t="str">
        <f t="array" ref="AN62">XLOOKUP(D62,RUC!$B$3:$B$565,RUC!$M$3:$M$565)</f>
        <v>Ronald Miranda</v>
      </c>
      <c r="AO62" s="131" t="s">
        <v>551</v>
      </c>
      <c r="AP62" s="57" t="s">
        <v>2309</v>
      </c>
      <c r="AQ62" s="57" t="s">
        <v>3515</v>
      </c>
    </row>
    <row r="63" ht="15.0" customHeight="1">
      <c r="A63" s="116" t="s">
        <v>3516</v>
      </c>
      <c r="B63" s="182">
        <v>46097.0</v>
      </c>
      <c r="C63" s="182">
        <v>46093.0</v>
      </c>
      <c r="D63" s="57" t="s">
        <v>756</v>
      </c>
      <c r="E63" s="3" t="str">
        <f t="array" ref="E63">XLOOKUP(D63,RUC!$B$3:$B$110,RUC!$D$3:$D$110)</f>
        <v>20610807004*</v>
      </c>
      <c r="G63" s="141">
        <v>50.0</v>
      </c>
      <c r="H63" s="3" t="s">
        <v>339</v>
      </c>
      <c r="I63" s="6">
        <v>3.08</v>
      </c>
      <c r="J63" s="58">
        <v>21.32</v>
      </c>
      <c r="K63" s="6">
        <f t="shared" si="2"/>
        <v>2.423</v>
      </c>
      <c r="L63" s="60">
        <v>0.289</v>
      </c>
      <c r="M63" s="60">
        <f t="shared" si="32"/>
        <v>0.27</v>
      </c>
      <c r="N63" s="62">
        <f t="shared" si="40"/>
        <v>0.27</v>
      </c>
      <c r="O63" s="60">
        <f t="shared" si="26"/>
        <v>0.27</v>
      </c>
      <c r="P63" s="63">
        <v>90.0</v>
      </c>
      <c r="Q63" s="58">
        <v>96.19</v>
      </c>
      <c r="R63" s="65">
        <v>5130.1</v>
      </c>
      <c r="S63" s="66">
        <f t="array" ref="S63">IF((XLOOKUP(D63,RUC!$B$3:$B$106,RUC!$E$3:$E$106)+ROUNDDOWN(O63,1)*100)&lt;95,95,((XLOOKUP(D63,RUC!$B$3:$B$106,RUC!$E$3:$E$106)+ROUNDDOWN(O63,1)*100)))</f>
        <v>105</v>
      </c>
      <c r="U63" s="67">
        <f t="array" ref="U63">XLOOKUP(D63,RUC!$B$3:$B$110,RUC!$F$3:$F$110)</f>
        <v>120</v>
      </c>
      <c r="V63" s="67">
        <v>1.1023</v>
      </c>
      <c r="Y63" s="57">
        <f t="array" ref="Y63">XLOOKUP(D63,RUC!$B$3:$B$110,RUC!$G$3:$G$110)</f>
        <v>20</v>
      </c>
      <c r="Z63" s="140">
        <v>35.0</v>
      </c>
      <c r="AA63" s="70">
        <f t="shared" si="6"/>
        <v>55</v>
      </c>
      <c r="AB63" s="71">
        <f t="shared" si="7"/>
        <v>1165.631875</v>
      </c>
      <c r="AC63" s="71">
        <f>+(S63-T63)*V63-'data 1'!$F$4</f>
        <v>35.7415</v>
      </c>
      <c r="AD63" s="71">
        <f t="shared" si="8"/>
        <v>98.79493811</v>
      </c>
      <c r="AE63" s="71">
        <f t="shared" si="9"/>
        <v>-9.3735</v>
      </c>
      <c r="AF63" s="71">
        <f t="shared" si="10"/>
        <v>100.9321972</v>
      </c>
      <c r="AG63" s="72">
        <f t="shared" si="44"/>
        <v>243.0951353</v>
      </c>
      <c r="AH63" s="193">
        <f t="shared" si="11"/>
        <v>23.094</v>
      </c>
      <c r="AI63" s="193">
        <f t="shared" si="12"/>
        <v>24.008</v>
      </c>
      <c r="AJ63" s="73">
        <f t="shared" si="13"/>
        <v>-33.73765508</v>
      </c>
      <c r="AK63" s="73">
        <f t="shared" si="14"/>
        <v>20.18685934</v>
      </c>
      <c r="AM63" s="51">
        <f t="shared" si="15"/>
        <v>2824.326033</v>
      </c>
      <c r="AN63" s="51" t="str">
        <f t="array" ref="AN63">XLOOKUP(D63,RUC!$B$3:$B$565,RUC!$M$3:$M$565)</f>
        <v>Ronald Miranda</v>
      </c>
      <c r="AO63" s="131" t="s">
        <v>551</v>
      </c>
      <c r="AP63" s="57" t="s">
        <v>2309</v>
      </c>
      <c r="AQ63" s="57" t="s">
        <v>3515</v>
      </c>
    </row>
    <row r="64" ht="15.0" customHeight="1">
      <c r="A64" s="116" t="s">
        <v>3517</v>
      </c>
      <c r="B64" s="182">
        <v>46097.0</v>
      </c>
      <c r="C64" s="182">
        <v>46093.0</v>
      </c>
      <c r="D64" s="57" t="s">
        <v>756</v>
      </c>
      <c r="E64" s="3" t="str">
        <f t="array" ref="E64">XLOOKUP(D64,RUC!$B$3:$B$110,RUC!$D$3:$D$110)</f>
        <v>20610807004*</v>
      </c>
      <c r="G64" s="141">
        <v>50.0</v>
      </c>
      <c r="H64" s="3" t="s">
        <v>339</v>
      </c>
      <c r="I64" s="6">
        <v>3.15</v>
      </c>
      <c r="J64" s="58">
        <v>20.02</v>
      </c>
      <c r="K64" s="6">
        <f t="shared" si="2"/>
        <v>2.519</v>
      </c>
      <c r="L64" s="60">
        <v>0.28</v>
      </c>
      <c r="M64" s="60">
        <f t="shared" si="32"/>
        <v>0.261</v>
      </c>
      <c r="N64" s="62">
        <f t="shared" si="40"/>
        <v>0.261</v>
      </c>
      <c r="O64" s="60">
        <f t="shared" si="26"/>
        <v>0.261</v>
      </c>
      <c r="P64" s="63">
        <v>90.0</v>
      </c>
      <c r="Q64" s="58">
        <v>96.07</v>
      </c>
      <c r="R64" s="65">
        <v>5130.1</v>
      </c>
      <c r="S64" s="66">
        <f t="array" ref="S64">IF((XLOOKUP(D64,RUC!$B$3:$B$106,RUC!$E$3:$E$106)+ROUNDDOWN(O64,1)*100)&lt;95,95,((XLOOKUP(D64,RUC!$B$3:$B$106,RUC!$E$3:$E$106)+ROUNDDOWN(O64,1)*100)))</f>
        <v>105</v>
      </c>
      <c r="U64" s="67">
        <f t="array" ref="U64">XLOOKUP(D64,RUC!$B$3:$B$110,RUC!$F$3:$F$110)</f>
        <v>120</v>
      </c>
      <c r="V64" s="67">
        <v>1.1023</v>
      </c>
      <c r="Y64" s="57">
        <f t="array" ref="Y64">XLOOKUP(D64,RUC!$B$3:$B$110,RUC!$G$3:$G$110)</f>
        <v>20</v>
      </c>
      <c r="Z64" s="140">
        <v>35.0</v>
      </c>
      <c r="AA64" s="70">
        <f t="shared" si="6"/>
        <v>55</v>
      </c>
      <c r="AB64" s="71">
        <f t="shared" si="7"/>
        <v>1120.898546</v>
      </c>
      <c r="AC64" s="71">
        <f>+(S64-T64)*V64-'data 1'!$F$4</f>
        <v>35.7415</v>
      </c>
      <c r="AD64" s="71">
        <f t="shared" si="8"/>
        <v>93.86267438</v>
      </c>
      <c r="AE64" s="71">
        <f t="shared" si="9"/>
        <v>-9.3735</v>
      </c>
      <c r="AF64" s="71">
        <f t="shared" si="10"/>
        <v>100.8062811</v>
      </c>
      <c r="AG64" s="72">
        <f t="shared" si="44"/>
        <v>238.0369555</v>
      </c>
      <c r="AH64" s="193">
        <f t="shared" si="11"/>
        <v>23.232</v>
      </c>
      <c r="AI64" s="193">
        <f t="shared" si="12"/>
        <v>24.182</v>
      </c>
      <c r="AJ64" s="73">
        <f t="shared" si="13"/>
        <v>-32.64622342</v>
      </c>
      <c r="AK64" s="73">
        <f t="shared" si="14"/>
        <v>20.28711325</v>
      </c>
      <c r="AM64" s="51">
        <f t="shared" si="15"/>
        <v>2823.543437</v>
      </c>
      <c r="AN64" s="51" t="str">
        <f t="array" ref="AN64">XLOOKUP(D64,RUC!$B$3:$B$565,RUC!$M$3:$M$565)</f>
        <v>Ronald Miranda</v>
      </c>
      <c r="AO64" s="131" t="s">
        <v>551</v>
      </c>
      <c r="AP64" s="57" t="s">
        <v>2309</v>
      </c>
      <c r="AQ64" s="57" t="s">
        <v>3515</v>
      </c>
    </row>
    <row r="65" ht="15.0" customHeight="1">
      <c r="A65" s="116" t="s">
        <v>3518</v>
      </c>
      <c r="B65" s="182">
        <v>46098.0</v>
      </c>
      <c r="C65" s="182">
        <v>46094.0</v>
      </c>
      <c r="D65" s="57" t="s">
        <v>225</v>
      </c>
      <c r="E65" s="3">
        <f t="array" ref="E65">XLOOKUP(D65,RUC!$B$3:$B$110,RUC!$D$3:$D$110)</f>
        <v>10761932735</v>
      </c>
      <c r="G65" s="141">
        <v>68.0</v>
      </c>
      <c r="H65" s="3" t="s">
        <v>47</v>
      </c>
      <c r="I65" s="6">
        <v>5.37</v>
      </c>
      <c r="J65" s="58">
        <v>7.65</v>
      </c>
      <c r="K65" s="6">
        <f t="shared" si="2"/>
        <v>4.959</v>
      </c>
      <c r="L65" s="60">
        <v>0.363</v>
      </c>
      <c r="M65" s="60">
        <f t="shared" si="32"/>
        <v>0.341</v>
      </c>
      <c r="N65" s="75">
        <v>0.401</v>
      </c>
      <c r="O65" s="60">
        <f t="shared" si="26"/>
        <v>0.371</v>
      </c>
      <c r="P65" s="63">
        <v>90.0</v>
      </c>
      <c r="Q65" s="58">
        <v>98.07</v>
      </c>
      <c r="R65" s="65">
        <v>5044.6</v>
      </c>
      <c r="S65" s="66">
        <f t="array" ref="S65">IF((XLOOKUP(D65,RUC!$B$3:$B$106,RUC!$E$3:$E$106)+ROUNDDOWN(O65,1)*100)&lt;95,95,((XLOOKUP(D65,RUC!$B$3:$B$106,RUC!$E$3:$E$106)+ROUNDDOWN(O65,1)*100)))</f>
        <v>120</v>
      </c>
      <c r="U65" s="67">
        <f t="array" ref="U65">XLOOKUP(D65,RUC!$B$3:$B$110,RUC!$F$3:$F$110)</f>
        <v>120</v>
      </c>
      <c r="V65" s="67">
        <v>1.1023</v>
      </c>
      <c r="Y65" s="57">
        <f t="array" ref="Y65">XLOOKUP(D65,RUC!$B$3:$B$110,RUC!$G$3:$G$110)</f>
        <v>20</v>
      </c>
      <c r="Z65" s="69">
        <f t="array" ref="Z65">XLOOKUP(D65,RUC!$B$3:$B$110,RUC!$H$3:$H$110)</f>
        <v>30</v>
      </c>
      <c r="AA65" s="70">
        <f t="shared" si="6"/>
        <v>50</v>
      </c>
      <c r="AB65" s="71">
        <f t="shared" si="7"/>
        <v>1625.147279</v>
      </c>
      <c r="AC65" s="71">
        <f>+(S65-T65)*V65-'data 1'!$F$4</f>
        <v>52.276</v>
      </c>
      <c r="AD65" s="71">
        <f t="shared" si="8"/>
        <v>159.0196993</v>
      </c>
      <c r="AE65" s="71">
        <f t="shared" si="9"/>
        <v>-14.885</v>
      </c>
      <c r="AF65" s="71">
        <f t="shared" si="10"/>
        <v>-42.58894975</v>
      </c>
      <c r="AG65" s="72">
        <f t="shared" si="44"/>
        <v>170.8217496</v>
      </c>
      <c r="AH65" s="193">
        <f t="shared" si="11"/>
        <v>60.527</v>
      </c>
      <c r="AI65" s="193">
        <f t="shared" si="12"/>
        <v>61.718</v>
      </c>
      <c r="AJ65" s="73">
        <f t="shared" si="13"/>
        <v>-9.653342492</v>
      </c>
      <c r="AK65" s="73">
        <f t="shared" si="14"/>
        <v>56.77009182</v>
      </c>
      <c r="AM65" s="51">
        <f t="shared" si="15"/>
        <v>8059.105357</v>
      </c>
      <c r="AN65" s="51" t="str">
        <f t="array" ref="AN65">XLOOKUP(D65,RUC!$B$3:$B$565,RUC!$M$3:$M$565)</f>
        <v>Richard Sapacayo</v>
      </c>
      <c r="AO65" s="131" t="s">
        <v>551</v>
      </c>
      <c r="AP65" s="57" t="s">
        <v>2971</v>
      </c>
      <c r="AQ65" s="57" t="s">
        <v>3519</v>
      </c>
    </row>
    <row r="66" ht="15.0" customHeight="1">
      <c r="A66" s="192" t="s">
        <v>3520</v>
      </c>
      <c r="B66" s="182">
        <v>46098.0</v>
      </c>
      <c r="C66" s="182">
        <v>46094.0</v>
      </c>
      <c r="D66" s="57" t="s">
        <v>225</v>
      </c>
      <c r="E66" s="3">
        <f t="array" ref="E66">XLOOKUP(D66,RUC!$B$3:$B$110,RUC!$D$3:$D$110)</f>
        <v>10761932735</v>
      </c>
      <c r="G66" s="3">
        <v>19.0</v>
      </c>
      <c r="H66" s="3" t="s">
        <v>40</v>
      </c>
      <c r="I66" s="6">
        <v>1.6</v>
      </c>
      <c r="J66" s="58">
        <v>17.45</v>
      </c>
      <c r="K66" s="6">
        <f t="shared" si="2"/>
        <v>1.321</v>
      </c>
      <c r="L66" s="60">
        <v>0.116</v>
      </c>
      <c r="M66" s="60">
        <f t="shared" si="32"/>
        <v>0.097</v>
      </c>
      <c r="N66" s="62">
        <f t="shared" ref="N66:N71" si="45">+M66</f>
        <v>0.097</v>
      </c>
      <c r="O66" s="60">
        <f t="shared" si="26"/>
        <v>0.097</v>
      </c>
      <c r="P66" s="63">
        <v>80.0</v>
      </c>
      <c r="Q66" s="58">
        <v>96.55</v>
      </c>
      <c r="R66" s="65">
        <v>5044.6</v>
      </c>
      <c r="S66" s="66">
        <f t="array" ref="S66">IF((XLOOKUP(D66,RUC!$B$3:$B$106,RUC!$E$3:$E$106)+ROUNDDOWN(O66,1)*100)&lt;95,95,((XLOOKUP(D66,RUC!$B$3:$B$106,RUC!$E$3:$E$106)+ROUNDDOWN(O66,1)*100)))</f>
        <v>95</v>
      </c>
      <c r="U66" s="67">
        <f t="array" ref="U66">XLOOKUP(D66,RUC!$B$3:$B$110,RUC!$F$3:$F$110)</f>
        <v>120</v>
      </c>
      <c r="V66" s="67">
        <v>1.1023</v>
      </c>
      <c r="Y66" s="57">
        <f t="array" ref="Y66">XLOOKUP(D66,RUC!$B$3:$B$110,RUC!$G$3:$G$110)</f>
        <v>20</v>
      </c>
      <c r="Z66" s="69">
        <f t="array" ref="Z66">XLOOKUP(D66,RUC!$B$3:$B$110,RUC!$H$3:$H$110)</f>
        <v>30</v>
      </c>
      <c r="AA66" s="70">
        <f t="shared" si="6"/>
        <v>50</v>
      </c>
      <c r="AB66" s="71">
        <v>0.001</v>
      </c>
      <c r="AC66" s="71">
        <f>+(S66-T66)*V66-'data 1'!$F$4</f>
        <v>24.7185</v>
      </c>
      <c r="AD66" s="71">
        <f t="shared" si="8"/>
        <v>104.2141656</v>
      </c>
      <c r="AE66" s="71">
        <f t="shared" si="9"/>
        <v>-14.885</v>
      </c>
      <c r="AF66" s="71">
        <f t="shared" si="10"/>
        <v>99.58103762</v>
      </c>
      <c r="AG66" s="72">
        <f>AC66+AD66+AE66+AF66+70-53+261.41</f>
        <v>492.0387032</v>
      </c>
      <c r="AH66" s="193">
        <f t="shared" si="11"/>
        <v>5.073</v>
      </c>
      <c r="AI66" s="193">
        <f t="shared" si="12"/>
        <v>5.254</v>
      </c>
      <c r="AJ66" s="73">
        <f t="shared" si="13"/>
        <v>-3.037002727</v>
      </c>
      <c r="AK66" s="73">
        <f t="shared" si="14"/>
        <v>3.514581415</v>
      </c>
      <c r="AM66" s="51">
        <f t="shared" si="15"/>
        <v>0.001321</v>
      </c>
      <c r="AN66" s="51" t="str">
        <f t="array" ref="AN66">XLOOKUP(D66,RUC!$B$3:$B$565,RUC!$M$3:$M$565)</f>
        <v>Richard Sapacayo</v>
      </c>
      <c r="AO66" s="131" t="s">
        <v>547</v>
      </c>
      <c r="AP66" s="57" t="s">
        <v>2971</v>
      </c>
      <c r="AQ66" s="57" t="s">
        <v>3519</v>
      </c>
    </row>
    <row r="67" ht="15.0" customHeight="1">
      <c r="A67" s="116" t="s">
        <v>3521</v>
      </c>
      <c r="B67" s="182">
        <v>46098.0</v>
      </c>
      <c r="C67" s="182">
        <v>46094.0</v>
      </c>
      <c r="D67" s="57" t="s">
        <v>225</v>
      </c>
      <c r="E67" s="3">
        <f t="array" ref="E67">XLOOKUP(D67,RUC!$B$3:$B$110,RUC!$D$3:$D$110)</f>
        <v>10761932735</v>
      </c>
      <c r="G67" s="3">
        <v>7.0</v>
      </c>
      <c r="H67" s="3" t="s">
        <v>40</v>
      </c>
      <c r="I67" s="6">
        <v>0.5</v>
      </c>
      <c r="J67" s="58">
        <v>21.1</v>
      </c>
      <c r="K67" s="6">
        <f t="shared" si="2"/>
        <v>0.395</v>
      </c>
      <c r="L67" s="60">
        <v>2.456</v>
      </c>
      <c r="M67" s="60">
        <f t="shared" si="32"/>
        <v>2.309</v>
      </c>
      <c r="N67" s="62">
        <f t="shared" si="45"/>
        <v>2.309</v>
      </c>
      <c r="O67" s="60">
        <f t="shared" si="26"/>
        <v>2.309</v>
      </c>
      <c r="P67" s="63">
        <v>90.0</v>
      </c>
      <c r="Q67" s="58">
        <v>96.13</v>
      </c>
      <c r="R67" s="65">
        <v>5044.6</v>
      </c>
      <c r="S67" s="66">
        <f t="array" ref="S67">IF((XLOOKUP(D67,RUC!$B$3:$B$106,RUC!$E$3:$E$106)+ROUNDDOWN(O67,1)*100)&lt;95,95,((XLOOKUP(D67,RUC!$B$3:$B$106,RUC!$E$3:$E$106)+ROUNDDOWN(O67,1)*100)))</f>
        <v>320</v>
      </c>
      <c r="U67" s="67">
        <f t="array" ref="U67">XLOOKUP(D67,RUC!$B$3:$B$110,RUC!$F$3:$F$110)</f>
        <v>120</v>
      </c>
      <c r="V67" s="67">
        <v>1.1023</v>
      </c>
      <c r="Y67" s="57">
        <f t="array" ref="Y67">XLOOKUP(D67,RUC!$B$3:$B$110,RUC!$G$3:$G$110)</f>
        <v>20</v>
      </c>
      <c r="Z67" s="69">
        <f t="array" ref="Z67">XLOOKUP(D67,RUC!$B$3:$B$110,RUC!$H$3:$H$110)</f>
        <v>30</v>
      </c>
      <c r="AA67" s="70">
        <f t="shared" si="6"/>
        <v>50</v>
      </c>
      <c r="AB67" s="71">
        <f t="shared" ref="AB67:AB80" si="46">+((O67*P67*(R67-U67)/100)-S67-AA67+T67)*V67</f>
        <v>10872.87915</v>
      </c>
      <c r="AC67" s="71">
        <f>+(S67-T67)*V67-'data 1'!$F$4</f>
        <v>272.736</v>
      </c>
      <c r="AD67" s="71">
        <f t="shared" si="8"/>
        <v>817.2587991</v>
      </c>
      <c r="AE67" s="71">
        <f t="shared" si="9"/>
        <v>-14.885</v>
      </c>
      <c r="AF67" s="71">
        <f t="shared" si="10"/>
        <v>767.0912788</v>
      </c>
      <c r="AG67" s="72">
        <f t="shared" ref="AG67:AG80" si="47">AC67+AD67+AE67+AF67+70-53</f>
        <v>1859.201078</v>
      </c>
      <c r="AH67" s="193">
        <f t="shared" si="11"/>
        <v>31.974</v>
      </c>
      <c r="AI67" s="193">
        <f t="shared" si="12"/>
        <v>33.261</v>
      </c>
      <c r="AJ67" s="73">
        <f t="shared" si="13"/>
        <v>-64.02096548</v>
      </c>
      <c r="AK67" s="73">
        <f t="shared" si="14"/>
        <v>28.14314364</v>
      </c>
      <c r="AM67" s="51">
        <f t="shared" si="15"/>
        <v>4294.787265</v>
      </c>
      <c r="AN67" s="51" t="str">
        <f t="array" ref="AN67">XLOOKUP(D67,RUC!$B$3:$B$565,RUC!$M$3:$M$565)</f>
        <v>Richard Sapacayo</v>
      </c>
      <c r="AO67" s="131" t="s">
        <v>551</v>
      </c>
      <c r="AP67" s="57" t="s">
        <v>2971</v>
      </c>
      <c r="AQ67" s="57" t="s">
        <v>3519</v>
      </c>
    </row>
    <row r="68" ht="15.0" customHeight="1">
      <c r="A68" s="116" t="s">
        <v>3522</v>
      </c>
      <c r="B68" s="182">
        <v>46098.0</v>
      </c>
      <c r="C68" s="182">
        <v>46094.0</v>
      </c>
      <c r="D68" s="57" t="s">
        <v>225</v>
      </c>
      <c r="E68" s="3">
        <f t="array" ref="E68">XLOOKUP(D68,RUC!$B$3:$B$110,RUC!$D$3:$D$110)</f>
        <v>10761932735</v>
      </c>
      <c r="G68" s="3">
        <v>68.0</v>
      </c>
      <c r="H68" s="3" t="s">
        <v>47</v>
      </c>
      <c r="I68" s="6">
        <v>5.86</v>
      </c>
      <c r="J68" s="58">
        <v>11.55</v>
      </c>
      <c r="K68" s="6">
        <f t="shared" si="2"/>
        <v>5.183</v>
      </c>
      <c r="L68" s="60">
        <v>0.27</v>
      </c>
      <c r="M68" s="60">
        <f t="shared" si="32"/>
        <v>0.251</v>
      </c>
      <c r="N68" s="62">
        <f t="shared" si="45"/>
        <v>0.251</v>
      </c>
      <c r="O68" s="60">
        <f t="shared" si="26"/>
        <v>0.251</v>
      </c>
      <c r="P68" s="63">
        <v>90.0</v>
      </c>
      <c r="Q68" s="58">
        <v>98.45</v>
      </c>
      <c r="R68" s="65">
        <v>5044.6</v>
      </c>
      <c r="S68" s="66">
        <f t="array" ref="S68">IF((XLOOKUP(D68,RUC!$B$3:$B$106,RUC!$E$3:$E$106)+ROUNDDOWN(O68,1)*100)&lt;95,95,((XLOOKUP(D68,RUC!$B$3:$B$106,RUC!$E$3:$E$106)+ROUNDDOWN(O68,1)*100)))</f>
        <v>110</v>
      </c>
      <c r="U68" s="67">
        <f t="array" ref="U68">XLOOKUP(D68,RUC!$B$3:$B$110,RUC!$F$3:$F$110)</f>
        <v>120</v>
      </c>
      <c r="V68" s="67">
        <v>1.1023</v>
      </c>
      <c r="Y68" s="57">
        <f t="array" ref="Y68">XLOOKUP(D68,RUC!$B$3:$B$110,RUC!$G$3:$G$110)</f>
        <v>20</v>
      </c>
      <c r="Z68" s="69">
        <f t="array" ref="Z68">XLOOKUP(D68,RUC!$B$3:$B$110,RUC!$H$3:$H$110)</f>
        <v>30</v>
      </c>
      <c r="AA68" s="70">
        <f t="shared" si="6"/>
        <v>50</v>
      </c>
      <c r="AB68" s="71">
        <f t="shared" si="46"/>
        <v>1049.904528</v>
      </c>
      <c r="AC68" s="71">
        <f>+(S68-T68)*V68-'data 1'!$F$4</f>
        <v>41.253</v>
      </c>
      <c r="AD68" s="71">
        <f t="shared" si="8"/>
        <v>123.8486398</v>
      </c>
      <c r="AE68" s="71">
        <f t="shared" si="9"/>
        <v>-14.885</v>
      </c>
      <c r="AF68" s="71">
        <f t="shared" si="10"/>
        <v>101.5406852</v>
      </c>
      <c r="AG68" s="72">
        <f t="shared" si="47"/>
        <v>268.757325</v>
      </c>
      <c r="AH68" s="193">
        <f t="shared" si="11"/>
        <v>47.236</v>
      </c>
      <c r="AI68" s="193">
        <f t="shared" si="12"/>
        <v>47.979</v>
      </c>
      <c r="AJ68" s="73">
        <f t="shared" si="13"/>
        <v>-7.207993713</v>
      </c>
      <c r="AK68" s="73">
        <f t="shared" si="14"/>
        <v>40.14269346</v>
      </c>
      <c r="AM68" s="51">
        <f t="shared" si="15"/>
        <v>5441.655171</v>
      </c>
      <c r="AN68" s="51" t="str">
        <f t="array" ref="AN68">XLOOKUP(D68,RUC!$B$3:$B$565,RUC!$M$3:$M$565)</f>
        <v>Richard Sapacayo</v>
      </c>
      <c r="AO68" s="131" t="s">
        <v>551</v>
      </c>
      <c r="AP68" s="57" t="s">
        <v>2971</v>
      </c>
      <c r="AQ68" s="57" t="s">
        <v>3519</v>
      </c>
    </row>
    <row r="69" ht="15.0" customHeight="1">
      <c r="A69" s="116" t="s">
        <v>3523</v>
      </c>
      <c r="B69" s="182">
        <v>46098.0</v>
      </c>
      <c r="C69" s="182">
        <v>46095.0</v>
      </c>
      <c r="D69" s="57" t="s">
        <v>806</v>
      </c>
      <c r="E69" s="3">
        <f t="array" ref="E69">XLOOKUP(D69,RUC!$B$3:$B$110,RUC!$D$3:$D$110)</f>
        <v>20614284740</v>
      </c>
      <c r="G69" s="141">
        <v>39.0</v>
      </c>
      <c r="H69" s="3" t="s">
        <v>47</v>
      </c>
      <c r="I69" s="6">
        <v>4.33</v>
      </c>
      <c r="J69" s="58">
        <v>3.35</v>
      </c>
      <c r="K69" s="6">
        <f t="shared" si="2"/>
        <v>4.185</v>
      </c>
      <c r="L69" s="60">
        <v>0.12</v>
      </c>
      <c r="M69" s="60">
        <f t="shared" si="32"/>
        <v>0.101</v>
      </c>
      <c r="N69" s="62">
        <f t="shared" si="45"/>
        <v>0.101</v>
      </c>
      <c r="O69" s="60">
        <f t="shared" si="26"/>
        <v>0.101</v>
      </c>
      <c r="P69" s="63">
        <v>80.0</v>
      </c>
      <c r="Q69" s="58">
        <v>95.83</v>
      </c>
      <c r="R69" s="65">
        <v>5044.6</v>
      </c>
      <c r="S69" s="66">
        <f t="array" ref="S69">IF((XLOOKUP(D69,RUC!$B$3:$B$106,RUC!$E$3:$E$106)+ROUNDDOWN(O69,1)*100)&lt;95,95,((XLOOKUP(D69,RUC!$B$3:$B$106,RUC!$E$3:$E$106)+ROUNDDOWN(O69,1)*100)))</f>
        <v>100</v>
      </c>
      <c r="U69" s="67">
        <f t="array" ref="U69">XLOOKUP(D69,RUC!$B$3:$B$110,RUC!$F$3:$F$110)</f>
        <v>120</v>
      </c>
      <c r="V69" s="67">
        <v>1.1023</v>
      </c>
      <c r="Y69" s="57">
        <f t="array" ref="Y69">XLOOKUP(D69,RUC!$B$3:$B$110,RUC!$G$3:$G$110)</f>
        <v>20</v>
      </c>
      <c r="Z69" s="69">
        <f t="array" ref="Z69">XLOOKUP(D69,RUC!$B$3:$B$110,RUC!$H$3:$H$110)</f>
        <v>30</v>
      </c>
      <c r="AA69" s="70">
        <f t="shared" si="6"/>
        <v>50</v>
      </c>
      <c r="AB69" s="71">
        <f t="shared" si="46"/>
        <v>273.2686357</v>
      </c>
      <c r="AC69" s="71">
        <f>+(S69-T69)*V69-'data 1'!$F$4</f>
        <v>30.23</v>
      </c>
      <c r="AD69" s="71">
        <f t="shared" si="8"/>
        <v>103.1176315</v>
      </c>
      <c r="AE69" s="71">
        <f t="shared" si="9"/>
        <v>-14.885</v>
      </c>
      <c r="AF69" s="71">
        <f t="shared" si="10"/>
        <v>98.83843433</v>
      </c>
      <c r="AG69" s="72">
        <f t="shared" si="47"/>
        <v>234.3010658</v>
      </c>
      <c r="AH69" s="193">
        <f t="shared" si="11"/>
        <v>16.5</v>
      </c>
      <c r="AI69" s="193">
        <f t="shared" si="12"/>
        <v>17.218</v>
      </c>
      <c r="AJ69" s="73">
        <f t="shared" si="13"/>
        <v>-3.118298234</v>
      </c>
      <c r="AK69" s="73">
        <f t="shared" si="14"/>
        <v>11.5935354</v>
      </c>
      <c r="AM69" s="51">
        <f t="shared" si="15"/>
        <v>1143.62924</v>
      </c>
      <c r="AN69" s="51" t="str">
        <f t="array" ref="AN69">XLOOKUP(D69,RUC!$B$3:$B$565,RUC!$M$3:$M$565)</f>
        <v>Dante </v>
      </c>
      <c r="AO69" s="131" t="s">
        <v>549</v>
      </c>
      <c r="AP69" s="57" t="s">
        <v>3524</v>
      </c>
      <c r="AQ69" s="57" t="s">
        <v>1454</v>
      </c>
    </row>
    <row r="70" ht="15.0" customHeight="1">
      <c r="A70" s="116" t="s">
        <v>3525</v>
      </c>
      <c r="B70" s="182">
        <v>46107.0</v>
      </c>
      <c r="C70" s="182">
        <v>46095.0</v>
      </c>
      <c r="D70" s="57" t="s">
        <v>806</v>
      </c>
      <c r="E70" s="3">
        <f t="array" ref="E70">XLOOKUP(D70,RUC!$B$3:$B$110,RUC!$D$3:$D$110)</f>
        <v>20614284740</v>
      </c>
      <c r="G70" s="141">
        <v>97.0</v>
      </c>
      <c r="H70" s="3" t="s">
        <v>47</v>
      </c>
      <c r="I70" s="6">
        <v>7.82</v>
      </c>
      <c r="J70" s="58">
        <v>3.1</v>
      </c>
      <c r="K70" s="6">
        <f t="shared" si="2"/>
        <v>7.578</v>
      </c>
      <c r="L70" s="141">
        <v>0.283</v>
      </c>
      <c r="M70" s="60">
        <f>ROUND(+IF(AN70="Melchor Vera",IF(L70&gt;0.467,L70*0.985,(L70-0.007)),IF(L70&gt;0.3,L70*0.94,(L70-0.019))),3)+0.002</f>
        <v>0.266</v>
      </c>
      <c r="N70" s="62">
        <f t="shared" si="45"/>
        <v>0.266</v>
      </c>
      <c r="O70" s="60">
        <f t="shared" si="26"/>
        <v>0.266</v>
      </c>
      <c r="P70" s="63">
        <v>90.0</v>
      </c>
      <c r="Q70" s="58">
        <v>95.76</v>
      </c>
      <c r="R70" s="65">
        <v>5044.6</v>
      </c>
      <c r="S70" s="66">
        <f t="array" ref="S70">IF((XLOOKUP(D70,RUC!$B$3:$B$106,RUC!$E$3:$E$106)+ROUNDDOWN(O70,1)*100)&lt;95,95,((XLOOKUP(D70,RUC!$B$3:$B$106,RUC!$E$3:$E$106)+ROUNDDOWN(O70,1)*100)))</f>
        <v>110</v>
      </c>
      <c r="U70" s="67">
        <f t="array" ref="U70">XLOOKUP(D70,RUC!$B$3:$B$110,RUC!$F$3:$F$110)</f>
        <v>120</v>
      </c>
      <c r="V70" s="67">
        <v>1.1023</v>
      </c>
      <c r="Y70" s="57">
        <f t="array" ref="Y70">XLOOKUP(D70,RUC!$B$3:$B$110,RUC!$G$3:$G$110)</f>
        <v>20</v>
      </c>
      <c r="Z70" s="69">
        <f t="array" ref="Z70">XLOOKUP(D70,RUC!$B$3:$B$110,RUC!$H$3:$H$110)</f>
        <v>30</v>
      </c>
      <c r="AA70" s="70">
        <f t="shared" si="6"/>
        <v>50</v>
      </c>
      <c r="AB70" s="71">
        <f t="shared" si="46"/>
        <v>1123.187747</v>
      </c>
      <c r="AC70" s="71">
        <f>+(S70-T70)*V70-'data 1'!$F$4</f>
        <v>41.253</v>
      </c>
      <c r="AD70" s="71">
        <f t="shared" si="8"/>
        <v>88.48704396</v>
      </c>
      <c r="AE70" s="71">
        <f t="shared" si="9"/>
        <v>-14.885</v>
      </c>
      <c r="AF70" s="71">
        <f t="shared" si="10"/>
        <v>88.36979081</v>
      </c>
      <c r="AG70" s="72">
        <f t="shared" si="47"/>
        <v>220.2248348</v>
      </c>
      <c r="AH70" s="193">
        <f t="shared" si="11"/>
        <v>70.41</v>
      </c>
      <c r="AI70" s="193">
        <f t="shared" si="12"/>
        <v>73.528</v>
      </c>
      <c r="AJ70" s="73">
        <f t="shared" si="13"/>
        <v>-7.348614873</v>
      </c>
      <c r="AK70" s="73">
        <f t="shared" si="14"/>
        <v>62.19963215</v>
      </c>
      <c r="AM70" s="51">
        <f t="shared" si="15"/>
        <v>8511.516749</v>
      </c>
      <c r="AN70" s="51" t="str">
        <f t="array" ref="AN70">XLOOKUP(D70,RUC!$B$3:$B$565,RUC!$M$3:$M$565)</f>
        <v>Dante </v>
      </c>
      <c r="AO70" s="131" t="s">
        <v>551</v>
      </c>
      <c r="AP70" s="57" t="s">
        <v>3524</v>
      </c>
      <c r="AQ70" s="57" t="s">
        <v>1454</v>
      </c>
    </row>
    <row r="71" ht="15.0" customHeight="1">
      <c r="A71" s="116" t="s">
        <v>3526</v>
      </c>
      <c r="B71" s="182">
        <v>46099.0</v>
      </c>
      <c r="C71" s="182">
        <v>46096.0</v>
      </c>
      <c r="D71" s="57" t="s">
        <v>3527</v>
      </c>
      <c r="E71" s="3">
        <f t="array" ref="E71">XLOOKUP(D71,RUC!$B$3:$B$110,RUC!$D$3:$D$110)</f>
        <v>20603162812</v>
      </c>
      <c r="G71" s="141">
        <v>34.0</v>
      </c>
      <c r="H71" s="3" t="s">
        <v>47</v>
      </c>
      <c r="I71" s="6">
        <v>3.13</v>
      </c>
      <c r="J71" s="58">
        <v>2.0</v>
      </c>
      <c r="K71" s="6">
        <f t="shared" si="2"/>
        <v>3.067</v>
      </c>
      <c r="L71" s="141">
        <v>0.996</v>
      </c>
      <c r="M71" s="60">
        <f t="shared" ref="M71:M76" si="48">ROUND(+IF(AN71="Melchor Vera",IF(L71&gt;0.467,L71*0.985,(L71-0.007)),IF(L71&gt;0.3,L71*0.94,(L71-0.019))),3)</f>
        <v>0.936</v>
      </c>
      <c r="N71" s="62">
        <f t="shared" si="45"/>
        <v>0.936</v>
      </c>
      <c r="O71" s="60">
        <f t="shared" si="26"/>
        <v>0.936</v>
      </c>
      <c r="P71" s="63">
        <v>90.0</v>
      </c>
      <c r="Q71" s="58">
        <v>99.4</v>
      </c>
      <c r="R71" s="65">
        <v>4994.85</v>
      </c>
      <c r="S71" s="66">
        <f t="array" ref="S71">IF((XLOOKUP(D71,RUC!$B$3:$B$106,RUC!$E$3:$E$106)+ROUNDDOWN(O71,1)*100)&lt;95,95,((XLOOKUP(D71,RUC!$B$3:$B$106,RUC!$E$3:$E$106)+ROUNDDOWN(O71,1)*100)))</f>
        <v>170</v>
      </c>
      <c r="U71" s="67">
        <f t="array" ref="U71">XLOOKUP(D71,RUC!$B$3:$B$110,RUC!$F$3:$F$110)</f>
        <v>110</v>
      </c>
      <c r="V71" s="67">
        <v>1.1023</v>
      </c>
      <c r="Y71" s="57">
        <f t="array" ref="Y71">XLOOKUP(D71,RUC!$B$3:$B$110,RUC!$G$3:$G$110)</f>
        <v>0</v>
      </c>
      <c r="Z71" s="69">
        <f t="array" ref="Z71">XLOOKUP(D71,RUC!$B$3:$B$110,RUC!$H$3:$H$110)</f>
        <v>35</v>
      </c>
      <c r="AA71" s="70">
        <f t="shared" si="6"/>
        <v>35</v>
      </c>
      <c r="AB71" s="71">
        <f t="shared" si="46"/>
        <v>4309.990399</v>
      </c>
      <c r="AC71" s="71">
        <f>+(S71-T71)*V71-'data 1'!$F$4</f>
        <v>107.391</v>
      </c>
      <c r="AD71" s="71">
        <f t="shared" si="8"/>
        <v>504.1249962</v>
      </c>
      <c r="AE71" s="71">
        <f t="shared" si="9"/>
        <v>-31.4195</v>
      </c>
      <c r="AF71" s="71">
        <f t="shared" si="10"/>
        <v>321.135764</v>
      </c>
      <c r="AG71" s="72">
        <f t="shared" si="47"/>
        <v>918.2322602</v>
      </c>
      <c r="AH71" s="193">
        <f t="shared" si="11"/>
        <v>104.104</v>
      </c>
      <c r="AI71" s="193">
        <f t="shared" si="12"/>
        <v>104.733</v>
      </c>
      <c r="AJ71" s="73">
        <f t="shared" si="13"/>
        <v>16.53324735</v>
      </c>
      <c r="AK71" s="73">
        <f t="shared" si="14"/>
        <v>88.58112741</v>
      </c>
      <c r="AM71" s="51">
        <f t="shared" si="15"/>
        <v>13218.74055</v>
      </c>
      <c r="AN71" s="51" t="str">
        <f t="array" ref="AN71">XLOOKUP(D71,RUC!$B$3:$B$565,RUC!$M$3:$M$565)</f>
        <v>Robinson Tuya</v>
      </c>
      <c r="AO71" s="131" t="s">
        <v>551</v>
      </c>
      <c r="AP71" s="57" t="s">
        <v>2540</v>
      </c>
      <c r="AQ71" s="57" t="s">
        <v>667</v>
      </c>
    </row>
    <row r="72" ht="15.0" customHeight="1">
      <c r="A72" s="116" t="s">
        <v>3528</v>
      </c>
      <c r="B72" s="182">
        <v>46099.0</v>
      </c>
      <c r="C72" s="182">
        <v>46096.0</v>
      </c>
      <c r="D72" s="57" t="s">
        <v>3527</v>
      </c>
      <c r="E72" s="3">
        <f t="array" ref="E72">XLOOKUP(D72,RUC!$B$3:$B$110,RUC!$D$3:$D$110)</f>
        <v>20603162812</v>
      </c>
      <c r="G72" s="141">
        <v>48.0</v>
      </c>
      <c r="H72" s="3" t="s">
        <v>47</v>
      </c>
      <c r="I72" s="6">
        <v>5.04</v>
      </c>
      <c r="J72" s="58">
        <v>2.0</v>
      </c>
      <c r="K72" s="6">
        <f t="shared" si="2"/>
        <v>4.939</v>
      </c>
      <c r="L72" s="141">
        <v>0.432</v>
      </c>
      <c r="M72" s="60">
        <f t="shared" si="48"/>
        <v>0.406</v>
      </c>
      <c r="N72" s="75">
        <v>0.447</v>
      </c>
      <c r="O72" s="60">
        <f t="shared" si="26"/>
        <v>0.427</v>
      </c>
      <c r="P72" s="63">
        <v>90.0</v>
      </c>
      <c r="Q72" s="58">
        <v>96.04</v>
      </c>
      <c r="R72" s="65">
        <v>4994.85</v>
      </c>
      <c r="S72" s="66">
        <f t="array" ref="S72">IF((XLOOKUP(D72,RUC!$B$3:$B$106,RUC!$E$3:$E$106)+ROUNDDOWN(O72,1)*100)&lt;95,95,((XLOOKUP(D72,RUC!$B$3:$B$106,RUC!$E$3:$E$106)+ROUNDDOWN(O72,1)*100)))</f>
        <v>120</v>
      </c>
      <c r="U72" s="67">
        <f t="array" ref="U72">XLOOKUP(D72,RUC!$B$3:$B$110,RUC!$F$3:$F$110)</f>
        <v>110</v>
      </c>
      <c r="V72" s="67">
        <v>1.1023</v>
      </c>
      <c r="Y72" s="57">
        <f t="array" ref="Y72">XLOOKUP(D72,RUC!$B$3:$B$110,RUC!$G$3:$G$110)</f>
        <v>0</v>
      </c>
      <c r="Z72" s="69">
        <f t="array" ref="Z72">XLOOKUP(D72,RUC!$B$3:$B$110,RUC!$H$3:$H$110)</f>
        <v>35</v>
      </c>
      <c r="AA72" s="70">
        <f t="shared" si="6"/>
        <v>35</v>
      </c>
      <c r="AB72" s="71">
        <f t="shared" si="46"/>
        <v>1898.433811</v>
      </c>
      <c r="AC72" s="71">
        <f>+(S72-T72)*V72-'data 1'!$F$4</f>
        <v>52.276</v>
      </c>
      <c r="AD72" s="71">
        <f t="shared" si="8"/>
        <v>140.4985121</v>
      </c>
      <c r="AE72" s="71">
        <f t="shared" si="9"/>
        <v>-31.4195</v>
      </c>
      <c r="AF72" s="71">
        <f t="shared" si="10"/>
        <v>25.85670588</v>
      </c>
      <c r="AG72" s="72">
        <f t="shared" si="47"/>
        <v>204.211718</v>
      </c>
      <c r="AH72" s="193">
        <f t="shared" si="11"/>
        <v>70.256</v>
      </c>
      <c r="AI72" s="193">
        <f t="shared" si="12"/>
        <v>73.153</v>
      </c>
      <c r="AJ72" s="73">
        <f t="shared" si="13"/>
        <v>6.928645452</v>
      </c>
      <c r="AK72" s="73">
        <f t="shared" si="14"/>
        <v>65.07564479</v>
      </c>
      <c r="AM72" s="51">
        <f t="shared" si="15"/>
        <v>9376.36459</v>
      </c>
      <c r="AN72" s="51" t="str">
        <f t="array" ref="AN72">XLOOKUP(D72,RUC!$B$3:$B$565,RUC!$M$3:$M$565)</f>
        <v>Robinson Tuya</v>
      </c>
      <c r="AO72" s="131" t="s">
        <v>551</v>
      </c>
      <c r="AP72" s="57" t="s">
        <v>2540</v>
      </c>
      <c r="AQ72" s="57" t="s">
        <v>667</v>
      </c>
    </row>
    <row r="73" ht="15.0" customHeight="1">
      <c r="A73" s="116" t="s">
        <v>3529</v>
      </c>
      <c r="B73" s="182">
        <v>46101.0</v>
      </c>
      <c r="C73" s="182">
        <v>46097.0</v>
      </c>
      <c r="D73" s="57" t="s">
        <v>806</v>
      </c>
      <c r="E73" s="3">
        <f t="array" ref="E73">XLOOKUP(D73,RUC!$B$3:$B$110,RUC!$D$3:$D$110)</f>
        <v>20614284740</v>
      </c>
      <c r="G73" s="141">
        <v>17.0</v>
      </c>
      <c r="H73" s="3" t="s">
        <v>40</v>
      </c>
      <c r="I73" s="6">
        <v>1.33</v>
      </c>
      <c r="J73" s="58">
        <v>2.2</v>
      </c>
      <c r="K73" s="6">
        <f t="shared" si="2"/>
        <v>1.301</v>
      </c>
      <c r="L73" s="141">
        <v>0.252</v>
      </c>
      <c r="M73" s="60">
        <f t="shared" si="48"/>
        <v>0.233</v>
      </c>
      <c r="N73" s="62">
        <f t="shared" ref="N73:N76" si="49">+M73</f>
        <v>0.233</v>
      </c>
      <c r="O73" s="60">
        <f t="shared" si="26"/>
        <v>0.233</v>
      </c>
      <c r="P73" s="63">
        <v>90.0</v>
      </c>
      <c r="Q73" s="58">
        <v>98.02</v>
      </c>
      <c r="R73" s="65">
        <v>4994.85</v>
      </c>
      <c r="S73" s="66">
        <f t="array" ref="S73">IF((XLOOKUP(D73,RUC!$B$3:$B$106,RUC!$E$3:$E$106)+ROUNDDOWN(O73,1)*100)&lt;95,95,((XLOOKUP(D73,RUC!$B$3:$B$106,RUC!$E$3:$E$106)+ROUNDDOWN(O73,1)*100)))</f>
        <v>110</v>
      </c>
      <c r="U73" s="67">
        <f t="array" ref="U73">XLOOKUP(D73,RUC!$B$3:$B$110,RUC!$F$3:$F$110)</f>
        <v>120</v>
      </c>
      <c r="V73" s="67">
        <v>1.1023</v>
      </c>
      <c r="Y73" s="57">
        <f t="array" ref="Y73">XLOOKUP(D73,RUC!$B$3:$B$110,RUC!$G$3:$G$110)</f>
        <v>20</v>
      </c>
      <c r="Z73" s="140">
        <v>70.0</v>
      </c>
      <c r="AA73" s="70">
        <f t="shared" si="6"/>
        <v>90</v>
      </c>
      <c r="AB73" s="71">
        <f t="shared" si="46"/>
        <v>906.3728384</v>
      </c>
      <c r="AC73" s="71">
        <f>+(S73-T73)*V73-'data 1'!$F$4</f>
        <v>41.253</v>
      </c>
      <c r="AD73" s="71">
        <f t="shared" si="8"/>
        <v>108.6015374</v>
      </c>
      <c r="AE73" s="71">
        <f t="shared" si="9"/>
        <v>29.207</v>
      </c>
      <c r="AF73" s="71">
        <f t="shared" si="10"/>
        <v>100.0758675</v>
      </c>
      <c r="AG73" s="72">
        <f t="shared" si="47"/>
        <v>296.1374049</v>
      </c>
      <c r="AH73" s="193">
        <f t="shared" si="11"/>
        <v>11.018</v>
      </c>
      <c r="AI73" s="193">
        <f t="shared" si="12"/>
        <v>11.241</v>
      </c>
      <c r="AJ73" s="73">
        <f t="shared" si="13"/>
        <v>6.847831033</v>
      </c>
      <c r="AK73" s="73">
        <f t="shared" si="14"/>
        <v>9.353729282</v>
      </c>
      <c r="AM73" s="51">
        <f t="shared" si="15"/>
        <v>1179.191063</v>
      </c>
      <c r="AN73" s="51" t="str">
        <f t="array" ref="AN73">XLOOKUP(D73,RUC!$B$3:$B$565,RUC!$M$3:$M$565)</f>
        <v>Dante </v>
      </c>
      <c r="AO73" s="131" t="s">
        <v>547</v>
      </c>
      <c r="AP73" s="57" t="s">
        <v>3530</v>
      </c>
      <c r="AQ73" s="57" t="s">
        <v>850</v>
      </c>
    </row>
    <row r="74" ht="15.0" customHeight="1">
      <c r="A74" s="116" t="s">
        <v>3531</v>
      </c>
      <c r="B74" s="182">
        <v>46101.0</v>
      </c>
      <c r="C74" s="182">
        <v>46097.0</v>
      </c>
      <c r="D74" s="57" t="s">
        <v>806</v>
      </c>
      <c r="E74" s="3">
        <f t="array" ref="E74">XLOOKUP(D74,RUC!$B$3:$B$110,RUC!$D$3:$D$110)</f>
        <v>20614284740</v>
      </c>
      <c r="G74" s="141">
        <v>15.0</v>
      </c>
      <c r="H74" s="3" t="s">
        <v>40</v>
      </c>
      <c r="I74" s="6">
        <v>1.19</v>
      </c>
      <c r="J74" s="58">
        <v>2.1</v>
      </c>
      <c r="K74" s="6">
        <f t="shared" si="2"/>
        <v>1.165</v>
      </c>
      <c r="L74" s="141">
        <v>0.248</v>
      </c>
      <c r="M74" s="60">
        <f t="shared" si="48"/>
        <v>0.229</v>
      </c>
      <c r="N74" s="62">
        <f t="shared" si="49"/>
        <v>0.229</v>
      </c>
      <c r="O74" s="60">
        <f t="shared" si="26"/>
        <v>0.229</v>
      </c>
      <c r="P74" s="63">
        <v>90.0</v>
      </c>
      <c r="Q74" s="58">
        <v>97.98</v>
      </c>
      <c r="R74" s="65">
        <v>4994.85</v>
      </c>
      <c r="S74" s="66">
        <f t="array" ref="S74">IF((XLOOKUP(D74,RUC!$B$3:$B$106,RUC!$E$3:$E$106)+ROUNDDOWN(O74,1)*100)&lt;95,95,((XLOOKUP(D74,RUC!$B$3:$B$106,RUC!$E$3:$E$106)+ROUNDDOWN(O74,1)*100)))</f>
        <v>110</v>
      </c>
      <c r="U74" s="67">
        <f t="array" ref="U74">XLOOKUP(D74,RUC!$B$3:$B$110,RUC!$F$3:$F$110)</f>
        <v>120</v>
      </c>
      <c r="V74" s="67">
        <v>1.1023</v>
      </c>
      <c r="Y74" s="57">
        <f t="array" ref="Y74">XLOOKUP(D74,RUC!$B$3:$B$110,RUC!$G$3:$G$110)</f>
        <v>20</v>
      </c>
      <c r="Z74" s="140">
        <v>70.0</v>
      </c>
      <c r="AA74" s="70">
        <f t="shared" si="6"/>
        <v>90</v>
      </c>
      <c r="AB74" s="71">
        <f t="shared" si="46"/>
        <v>887.0280686</v>
      </c>
      <c r="AC74" s="71">
        <f>+(S74-T74)*V74-'data 1'!$F$4</f>
        <v>41.253</v>
      </c>
      <c r="AD74" s="71">
        <f t="shared" si="8"/>
        <v>106.3446476</v>
      </c>
      <c r="AE74" s="71">
        <f t="shared" si="9"/>
        <v>29.207</v>
      </c>
      <c r="AF74" s="71">
        <f t="shared" si="10"/>
        <v>100.0350285</v>
      </c>
      <c r="AG74" s="72">
        <f t="shared" si="47"/>
        <v>293.8396762</v>
      </c>
      <c r="AH74" s="193">
        <f t="shared" si="11"/>
        <v>9.706</v>
      </c>
      <c r="AI74" s="193">
        <f t="shared" si="12"/>
        <v>9.906</v>
      </c>
      <c r="AJ74" s="73">
        <f t="shared" si="13"/>
        <v>6.736385196</v>
      </c>
      <c r="AK74" s="73">
        <f t="shared" si="14"/>
        <v>8.232144526</v>
      </c>
      <c r="AM74" s="51">
        <f t="shared" si="15"/>
        <v>1033.3877</v>
      </c>
      <c r="AN74" s="51" t="str">
        <f t="array" ref="AN74">XLOOKUP(D74,RUC!$B$3:$B$565,RUC!$M$3:$M$565)</f>
        <v>Dante </v>
      </c>
      <c r="AO74" s="131" t="s">
        <v>547</v>
      </c>
      <c r="AP74" s="57" t="s">
        <v>3530</v>
      </c>
      <c r="AQ74" s="57" t="s">
        <v>850</v>
      </c>
    </row>
    <row r="75" ht="15.0" customHeight="1">
      <c r="A75" s="116" t="s">
        <v>3532</v>
      </c>
      <c r="B75" s="182">
        <v>46107.0</v>
      </c>
      <c r="C75" s="182">
        <v>46097.0</v>
      </c>
      <c r="D75" s="57" t="s">
        <v>806</v>
      </c>
      <c r="E75" s="3">
        <f t="array" ref="E75">XLOOKUP(D75,RUC!$B$3:$B$110,RUC!$D$3:$D$110)</f>
        <v>20614284740</v>
      </c>
      <c r="G75" s="141">
        <v>97.0</v>
      </c>
      <c r="H75" s="3" t="s">
        <v>339</v>
      </c>
      <c r="I75" s="6">
        <v>9.2</v>
      </c>
      <c r="J75" s="58">
        <v>3.6</v>
      </c>
      <c r="K75" s="6">
        <f t="shared" si="2"/>
        <v>8.869</v>
      </c>
      <c r="L75" s="478">
        <v>0.132</v>
      </c>
      <c r="M75" s="60">
        <f t="shared" si="48"/>
        <v>0.113</v>
      </c>
      <c r="N75" s="62">
        <f t="shared" si="49"/>
        <v>0.113</v>
      </c>
      <c r="O75" s="60">
        <v>0.115</v>
      </c>
      <c r="P75" s="63">
        <v>80.0</v>
      </c>
      <c r="Q75" s="58">
        <v>98.51</v>
      </c>
      <c r="R75" s="65">
        <v>4994.85</v>
      </c>
      <c r="S75" s="66">
        <f t="array" ref="S75">IF((XLOOKUP(D75,RUC!$B$3:$B$106,RUC!$E$3:$E$106)+ROUNDDOWN(O75,1)*100)&lt;95,95,((XLOOKUP(D75,RUC!$B$3:$B$106,RUC!$E$3:$E$106)+ROUNDDOWN(O75,1)*100)))</f>
        <v>100</v>
      </c>
      <c r="U75" s="67">
        <f t="array" ref="U75">XLOOKUP(D75,RUC!$B$3:$B$110,RUC!$F$3:$F$110)</f>
        <v>120</v>
      </c>
      <c r="V75" s="67">
        <v>1.1023</v>
      </c>
      <c r="Y75" s="57">
        <f t="array" ref="Y75">XLOOKUP(D75,RUC!$B$3:$B$110,RUC!$G$3:$G$110)</f>
        <v>20</v>
      </c>
      <c r="Z75" s="69">
        <f t="array" ref="Z75">XLOOKUP(D75,RUC!$B$3:$B$110,RUC!$H$3:$H$110)</f>
        <v>30</v>
      </c>
      <c r="AA75" s="70">
        <f t="shared" si="6"/>
        <v>50</v>
      </c>
      <c r="AB75" s="71">
        <f t="shared" si="46"/>
        <v>329.0213383</v>
      </c>
      <c r="AC75" s="71">
        <f>+(S75-T75)*V75-'data 1'!$F$4</f>
        <v>30.23</v>
      </c>
      <c r="AD75" s="71">
        <f t="shared" si="8"/>
        <v>131.2929523</v>
      </c>
      <c r="AE75" s="71">
        <f t="shared" si="9"/>
        <v>-14.885</v>
      </c>
      <c r="AF75" s="71">
        <f t="shared" si="10"/>
        <v>89.98918214</v>
      </c>
      <c r="AG75" s="72">
        <f t="shared" si="47"/>
        <v>253.6271345</v>
      </c>
      <c r="AH75" s="193">
        <f t="shared" si="11"/>
        <v>39.54</v>
      </c>
      <c r="AI75" s="193">
        <f t="shared" si="12"/>
        <v>40.138</v>
      </c>
      <c r="AJ75" s="73">
        <f t="shared" si="13"/>
        <v>3.604890248</v>
      </c>
      <c r="AK75" s="73">
        <f t="shared" si="14"/>
        <v>27.97509381</v>
      </c>
      <c r="AM75" s="51">
        <f t="shared" si="15"/>
        <v>2918.090249</v>
      </c>
      <c r="AN75" s="51" t="str">
        <f t="array" ref="AN75">XLOOKUP(D75,RUC!$B$3:$B$565,RUC!$M$3:$M$565)</f>
        <v>Dante </v>
      </c>
      <c r="AO75" s="131" t="s">
        <v>547</v>
      </c>
      <c r="AP75" s="57" t="s">
        <v>3530</v>
      </c>
      <c r="AQ75" s="57" t="s">
        <v>850</v>
      </c>
      <c r="AR75" s="2" t="s">
        <v>3533</v>
      </c>
    </row>
    <row r="76" ht="15.0" customHeight="1">
      <c r="A76" s="116" t="s">
        <v>3534</v>
      </c>
      <c r="B76" s="182">
        <v>46104.0</v>
      </c>
      <c r="C76" s="182">
        <v>46099.0</v>
      </c>
      <c r="D76" s="57" t="s">
        <v>3527</v>
      </c>
      <c r="E76" s="3">
        <f t="array" ref="E76">XLOOKUP(D76,RUC!$B$3:$B$110,RUC!$D$3:$D$110)</f>
        <v>20603162812</v>
      </c>
      <c r="G76" s="141">
        <v>40.0</v>
      </c>
      <c r="H76" s="3" t="s">
        <v>47</v>
      </c>
      <c r="I76" s="6">
        <v>4.47</v>
      </c>
      <c r="J76" s="58">
        <v>4.55</v>
      </c>
      <c r="K76" s="6">
        <f t="shared" si="2"/>
        <v>4.267</v>
      </c>
      <c r="L76" s="139">
        <v>2.096</v>
      </c>
      <c r="M76" s="60">
        <f t="shared" si="48"/>
        <v>1.97</v>
      </c>
      <c r="N76" s="62">
        <f t="shared" si="49"/>
        <v>1.97</v>
      </c>
      <c r="O76" s="123">
        <v>2.156</v>
      </c>
      <c r="P76" s="63">
        <v>90.0</v>
      </c>
      <c r="Q76" s="58">
        <v>97.63</v>
      </c>
      <c r="R76" s="65">
        <v>4869.95</v>
      </c>
      <c r="S76" s="66">
        <f t="array" ref="S76">IF((XLOOKUP(D76,RUC!$B$3:$B$106,RUC!$E$3:$E$106)+ROUNDDOWN(O76,1)*100)&lt;95,95,((XLOOKUP(D76,RUC!$B$3:$B$106,RUC!$E$3:$E$106)+ROUNDDOWN(O76,1)*100)))</f>
        <v>290</v>
      </c>
      <c r="U76" s="67">
        <f t="array" ref="U76">XLOOKUP(D76,RUC!$B$3:$B$110,RUC!$F$3:$F$110)</f>
        <v>110</v>
      </c>
      <c r="V76" s="67">
        <v>1.1023</v>
      </c>
      <c r="Y76" s="199">
        <v>20.0</v>
      </c>
      <c r="Z76" s="69">
        <f t="array" ref="Z76">XLOOKUP(D76,RUC!$B$3:$B$110,RUC!$H$3:$H$110)</f>
        <v>35</v>
      </c>
      <c r="AA76" s="70">
        <f t="shared" si="6"/>
        <v>55</v>
      </c>
      <c r="AB76" s="71">
        <f t="shared" si="46"/>
        <v>9800.777454</v>
      </c>
      <c r="AC76" s="71">
        <f>+(S76-T76)*V76-'data 1'!$F$4</f>
        <v>239.667</v>
      </c>
      <c r="AD76" s="71">
        <f t="shared" si="8"/>
        <v>839.1082953</v>
      </c>
      <c r="AE76" s="71">
        <f t="shared" si="9"/>
        <v>-9.3735</v>
      </c>
      <c r="AF76" s="71">
        <f t="shared" si="10"/>
        <v>-307.3524914</v>
      </c>
      <c r="AG76" s="72">
        <f t="shared" si="47"/>
        <v>779.0493038</v>
      </c>
      <c r="AH76" s="193">
        <f t="shared" si="11"/>
        <v>299.369</v>
      </c>
      <c r="AI76" s="193">
        <f t="shared" si="12"/>
        <v>306.636</v>
      </c>
      <c r="AJ76" s="73">
        <f t="shared" si="13"/>
        <v>315.905719</v>
      </c>
      <c r="AK76" s="73">
        <f t="shared" si="14"/>
        <v>283.8722749</v>
      </c>
      <c r="AM76" s="51">
        <f t="shared" si="15"/>
        <v>41819.9174</v>
      </c>
      <c r="AN76" s="51" t="str">
        <f t="array" ref="AN76">XLOOKUP(D76,RUC!$B$3:$B$565,RUC!$M$3:$M$565)</f>
        <v>Robinson Tuya</v>
      </c>
      <c r="AO76" s="131" t="s">
        <v>547</v>
      </c>
      <c r="AP76" s="57" t="s">
        <v>2594</v>
      </c>
      <c r="AQ76" s="57" t="s">
        <v>624</v>
      </c>
    </row>
    <row r="77" ht="15.0" customHeight="1">
      <c r="A77" s="116" t="s">
        <v>3535</v>
      </c>
      <c r="B77" s="182">
        <v>46103.0</v>
      </c>
      <c r="C77" s="182">
        <v>46099.0</v>
      </c>
      <c r="D77" s="57" t="s">
        <v>225</v>
      </c>
      <c r="E77" s="3">
        <f t="array" ref="E77">XLOOKUP(D77,RUC!$B$3:$B$110,RUC!$D$3:$D$110)</f>
        <v>10761932735</v>
      </c>
      <c r="G77" s="141">
        <v>215.0</v>
      </c>
      <c r="H77" s="3" t="s">
        <v>47</v>
      </c>
      <c r="I77" s="6">
        <v>17.81</v>
      </c>
      <c r="J77" s="58">
        <v>14.05</v>
      </c>
      <c r="K77" s="6">
        <f t="shared" si="2"/>
        <v>15.308</v>
      </c>
      <c r="L77" s="60">
        <v>0.163</v>
      </c>
      <c r="M77" s="60">
        <f>+L77-0.035</f>
        <v>0.128</v>
      </c>
      <c r="N77" s="75">
        <v>0.179</v>
      </c>
      <c r="O77" s="60">
        <f t="shared" ref="O77:O80" si="50">+ROUND((M77+N77)/2,3)</f>
        <v>0.154</v>
      </c>
      <c r="P77" s="63">
        <v>90.0</v>
      </c>
      <c r="Q77" s="58">
        <v>96.93</v>
      </c>
      <c r="R77" s="65">
        <v>4869.95</v>
      </c>
      <c r="S77" s="66">
        <f t="array" ref="S77">IF((XLOOKUP(D77,RUC!$B$3:$B$106,RUC!$E$3:$E$106)+ROUNDDOWN(O77,1)*100)&lt;95,95,((XLOOKUP(D77,RUC!$B$3:$B$106,RUC!$E$3:$E$106)+ROUNDDOWN(O77,1)*100)))</f>
        <v>100</v>
      </c>
      <c r="U77" s="67">
        <f t="array" ref="U77">XLOOKUP(D77,RUC!$B$3:$B$110,RUC!$F$3:$F$110)</f>
        <v>120</v>
      </c>
      <c r="V77" s="67">
        <v>1.1023</v>
      </c>
      <c r="Y77" s="57">
        <f t="array" ref="Y77">XLOOKUP(D77,RUC!$B$3:$B$110,RUC!$G$3:$G$110)</f>
        <v>20</v>
      </c>
      <c r="Z77" s="69">
        <f t="array" ref="Z77">XLOOKUP(D77,RUC!$B$3:$B$110,RUC!$H$3:$H$110)</f>
        <v>30</v>
      </c>
      <c r="AA77" s="70">
        <f t="shared" si="6"/>
        <v>50</v>
      </c>
      <c r="AB77" s="71">
        <f t="shared" si="46"/>
        <v>560.3465661</v>
      </c>
      <c r="AC77" s="71">
        <f>+(S77-T77)*V77-'data 1'!$F$4</f>
        <v>30.23</v>
      </c>
      <c r="AD77" s="71">
        <f t="shared" si="8"/>
        <v>59.14386263</v>
      </c>
      <c r="AE77" s="71">
        <f t="shared" si="9"/>
        <v>-14.885</v>
      </c>
      <c r="AF77" s="71">
        <f t="shared" si="10"/>
        <v>45.67615812</v>
      </c>
      <c r="AG77" s="72">
        <f t="shared" si="47"/>
        <v>137.1650207</v>
      </c>
      <c r="AH77" s="193">
        <f t="shared" si="11"/>
        <v>82.923</v>
      </c>
      <c r="AI77" s="193">
        <f t="shared" si="12"/>
        <v>85.549</v>
      </c>
      <c r="AJ77" s="73">
        <f t="shared" si="13"/>
        <v>26.13254003</v>
      </c>
      <c r="AK77" s="73">
        <f t="shared" si="14"/>
        <v>72.74292383</v>
      </c>
      <c r="AM77" s="51">
        <f t="shared" si="15"/>
        <v>8577.785233</v>
      </c>
      <c r="AN77" s="51" t="str">
        <f t="array" ref="AN77">XLOOKUP(D77,RUC!$B$3:$B$565,RUC!$M$3:$M$565)</f>
        <v>Richard Sapacayo</v>
      </c>
      <c r="AO77" s="131" t="s">
        <v>549</v>
      </c>
      <c r="AP77" s="57" t="s">
        <v>2223</v>
      </c>
      <c r="AQ77" s="57" t="s">
        <v>624</v>
      </c>
    </row>
    <row r="78" ht="15.0" customHeight="1">
      <c r="A78" s="116" t="s">
        <v>3536</v>
      </c>
      <c r="B78" s="182">
        <v>46103.0</v>
      </c>
      <c r="C78" s="182">
        <v>46099.0</v>
      </c>
      <c r="D78" s="57" t="s">
        <v>225</v>
      </c>
      <c r="E78" s="3">
        <f t="array" ref="E78">XLOOKUP(D78,RUC!$B$3:$B$110,RUC!$D$3:$D$110)</f>
        <v>10761932735</v>
      </c>
      <c r="G78" s="141">
        <v>75.0</v>
      </c>
      <c r="H78" s="3" t="s">
        <v>47</v>
      </c>
      <c r="I78" s="6">
        <v>6.65</v>
      </c>
      <c r="J78" s="58">
        <v>13.83</v>
      </c>
      <c r="K78" s="6">
        <f t="shared" si="2"/>
        <v>5.73</v>
      </c>
      <c r="L78" s="60">
        <v>0.683</v>
      </c>
      <c r="M78" s="60">
        <f>L78*0.94</f>
        <v>0.64202</v>
      </c>
      <c r="N78" s="62">
        <f>+M78</f>
        <v>0.64202</v>
      </c>
      <c r="O78" s="60">
        <f t="shared" si="50"/>
        <v>0.642</v>
      </c>
      <c r="P78" s="63">
        <v>90.0</v>
      </c>
      <c r="Q78" s="58">
        <v>98.68</v>
      </c>
      <c r="R78" s="65">
        <v>4869.95</v>
      </c>
      <c r="S78" s="66">
        <f t="array" ref="S78">IF((XLOOKUP(D78,RUC!$B$3:$B$106,RUC!$E$3:$E$106)+ROUNDDOWN(O78,1)*100)&lt;95,95,((XLOOKUP(D78,RUC!$B$3:$B$106,RUC!$E$3:$E$106)+ROUNDDOWN(O78,1)*100)))</f>
        <v>150</v>
      </c>
      <c r="U78" s="67">
        <f t="array" ref="U78">XLOOKUP(D78,RUC!$B$3:$B$110,RUC!$F$3:$F$110)</f>
        <v>120</v>
      </c>
      <c r="V78" s="67">
        <v>1.1023</v>
      </c>
      <c r="Y78" s="57">
        <f t="array" ref="Y78">XLOOKUP(D78,RUC!$B$3:$B$110,RUC!$G$3:$G$110)</f>
        <v>20</v>
      </c>
      <c r="Z78" s="69">
        <f t="array" ref="Z78">XLOOKUP(D78,RUC!$B$3:$B$110,RUC!$H$3:$H$110)</f>
        <v>30</v>
      </c>
      <c r="AA78" s="70">
        <f t="shared" si="6"/>
        <v>50</v>
      </c>
      <c r="AB78" s="71">
        <f t="shared" si="46"/>
        <v>2804.82562</v>
      </c>
      <c r="AC78" s="71">
        <f>+(S78-T78)*V78-'data 1'!$F$4</f>
        <v>85.345</v>
      </c>
      <c r="AD78" s="71">
        <f t="shared" si="8"/>
        <v>310.4054046</v>
      </c>
      <c r="AE78" s="71">
        <f t="shared" si="9"/>
        <v>-14.885</v>
      </c>
      <c r="AF78" s="71">
        <f t="shared" si="10"/>
        <v>211.8370125</v>
      </c>
      <c r="AG78" s="72">
        <f t="shared" si="47"/>
        <v>609.7024171</v>
      </c>
      <c r="AH78" s="193">
        <f t="shared" si="11"/>
        <v>132.408</v>
      </c>
      <c r="AI78" s="193">
        <f t="shared" si="12"/>
        <v>134.179</v>
      </c>
      <c r="AJ78" s="73">
        <f t="shared" si="13"/>
        <v>111.4770973</v>
      </c>
      <c r="AK78" s="73">
        <f t="shared" si="14"/>
        <v>113.511857</v>
      </c>
      <c r="AM78" s="51">
        <f t="shared" si="15"/>
        <v>16071.6508</v>
      </c>
      <c r="AN78" s="51" t="str">
        <f t="array" ref="AN78">XLOOKUP(D78,RUC!$B$3:$B$565,RUC!$M$3:$M$565)</f>
        <v>Richard Sapacayo</v>
      </c>
      <c r="AO78" s="131" t="s">
        <v>549</v>
      </c>
      <c r="AP78" s="57" t="s">
        <v>2223</v>
      </c>
      <c r="AQ78" s="57" t="s">
        <v>624</v>
      </c>
    </row>
    <row r="79" ht="15.0" customHeight="1">
      <c r="A79" s="116" t="s">
        <v>3537</v>
      </c>
      <c r="B79" s="182">
        <v>46103.0</v>
      </c>
      <c r="C79" s="182">
        <v>46099.0</v>
      </c>
      <c r="D79" s="57" t="s">
        <v>225</v>
      </c>
      <c r="E79" s="3">
        <f t="array" ref="E79">XLOOKUP(D79,RUC!$B$3:$B$110,RUC!$D$3:$D$110)</f>
        <v>10761932735</v>
      </c>
      <c r="G79" s="141">
        <v>61.0</v>
      </c>
      <c r="H79" s="3" t="s">
        <v>47</v>
      </c>
      <c r="I79" s="6">
        <v>5.38</v>
      </c>
      <c r="J79" s="58">
        <v>12.73</v>
      </c>
      <c r="K79" s="6">
        <f t="shared" si="2"/>
        <v>4.695</v>
      </c>
      <c r="L79" s="60">
        <v>0.37</v>
      </c>
      <c r="M79" s="60">
        <f>+L79-0.035</f>
        <v>0.335</v>
      </c>
      <c r="N79" s="75">
        <v>0.427</v>
      </c>
      <c r="O79" s="60">
        <f t="shared" si="50"/>
        <v>0.381</v>
      </c>
      <c r="P79" s="63">
        <v>90.0</v>
      </c>
      <c r="Q79" s="58">
        <v>96.22</v>
      </c>
      <c r="R79" s="65">
        <v>4869.95</v>
      </c>
      <c r="S79" s="66">
        <f t="array" ref="S79">IF((XLOOKUP(D79,RUC!$B$3:$B$106,RUC!$E$3:$E$106)+ROUNDDOWN(O79,1)*100)&lt;95,95,((XLOOKUP(D79,RUC!$B$3:$B$106,RUC!$E$3:$E$106)+ROUNDDOWN(O79,1)*100)))</f>
        <v>120</v>
      </c>
      <c r="U79" s="67">
        <f t="array" ref="U79">XLOOKUP(D79,RUC!$B$3:$B$110,RUC!$F$3:$F$110)</f>
        <v>120</v>
      </c>
      <c r="V79" s="67">
        <v>1.1023</v>
      </c>
      <c r="Y79" s="57">
        <f t="array" ref="Y79">XLOOKUP(D79,RUC!$B$3:$B$110,RUC!$G$3:$G$110)</f>
        <v>20</v>
      </c>
      <c r="Z79" s="69">
        <f t="array" ref="Z79">XLOOKUP(D79,RUC!$B$3:$B$110,RUC!$H$3:$H$110)</f>
        <v>30</v>
      </c>
      <c r="AA79" s="70">
        <f t="shared" si="6"/>
        <v>50</v>
      </c>
      <c r="AB79" s="71">
        <f t="shared" si="46"/>
        <v>1607.988784</v>
      </c>
      <c r="AC79" s="71">
        <f>+(S79-T79)*V79-'data 1'!$F$4</f>
        <v>52.276</v>
      </c>
      <c r="AD79" s="71">
        <f t="shared" si="8"/>
        <v>120.4983095</v>
      </c>
      <c r="AE79" s="71">
        <f t="shared" si="9"/>
        <v>-14.885</v>
      </c>
      <c r="AF79" s="71">
        <f t="shared" si="10"/>
        <v>-55.41749404</v>
      </c>
      <c r="AG79" s="72">
        <f t="shared" si="47"/>
        <v>119.4718155</v>
      </c>
      <c r="AH79" s="193">
        <f t="shared" si="11"/>
        <v>57.308</v>
      </c>
      <c r="AI79" s="193">
        <f t="shared" si="12"/>
        <v>59.559</v>
      </c>
      <c r="AJ79" s="73">
        <f t="shared" si="13"/>
        <v>58.88475654</v>
      </c>
      <c r="AK79" s="73">
        <f t="shared" si="14"/>
        <v>55.19657765</v>
      </c>
      <c r="AM79" s="51">
        <f t="shared" si="15"/>
        <v>7549.507339</v>
      </c>
      <c r="AN79" s="51" t="str">
        <f t="array" ref="AN79">XLOOKUP(D79,RUC!$B$3:$B$565,RUC!$M$3:$M$565)</f>
        <v>Richard Sapacayo</v>
      </c>
      <c r="AO79" s="131" t="s">
        <v>549</v>
      </c>
      <c r="AP79" s="57" t="s">
        <v>2223</v>
      </c>
      <c r="AQ79" s="57" t="s">
        <v>624</v>
      </c>
    </row>
    <row r="80" ht="15.0" customHeight="1">
      <c r="A80" s="116" t="s">
        <v>3538</v>
      </c>
      <c r="B80" s="182">
        <v>46106.0</v>
      </c>
      <c r="C80" s="182">
        <v>46099.0</v>
      </c>
      <c r="D80" s="57" t="s">
        <v>806</v>
      </c>
      <c r="E80" s="3">
        <f t="array" ref="E80">XLOOKUP(D80,RUC!$B$3:$B$110,RUC!$D$3:$D$110)</f>
        <v>20614284740</v>
      </c>
      <c r="G80" s="141">
        <v>106.0</v>
      </c>
      <c r="H80" s="3" t="s">
        <v>47</v>
      </c>
      <c r="I80" s="6">
        <v>9.89</v>
      </c>
      <c r="J80" s="58">
        <v>2.0</v>
      </c>
      <c r="K80" s="6">
        <f t="shared" si="2"/>
        <v>9.692</v>
      </c>
      <c r="L80" s="60">
        <v>0.192</v>
      </c>
      <c r="M80" s="60">
        <f>ROUND(+IF(AN80="Melchor Vera",IF(L80&gt;0.467,L80*0.985,(L80-0.007)),IF(L80&gt;0.3,L80*0.94,(L80-0.019))),3)</f>
        <v>0.173</v>
      </c>
      <c r="N80" s="62">
        <f>+M80</f>
        <v>0.173</v>
      </c>
      <c r="O80" s="60">
        <f t="shared" si="50"/>
        <v>0.173</v>
      </c>
      <c r="P80" s="63">
        <v>90.0</v>
      </c>
      <c r="Q80" s="58">
        <v>98.93</v>
      </c>
      <c r="R80" s="65">
        <v>4869.95</v>
      </c>
      <c r="S80" s="66">
        <f t="array" ref="S80">IF((XLOOKUP(D80,RUC!$B$3:$B$106,RUC!$E$3:$E$106)+ROUNDDOWN(O80,1)*100)&lt;95,95,((XLOOKUP(D80,RUC!$B$3:$B$106,RUC!$E$3:$E$106)+ROUNDDOWN(O80,1)*100)))</f>
        <v>100</v>
      </c>
      <c r="U80" s="67">
        <f t="array" ref="U80">XLOOKUP(D80,RUC!$B$3:$B$110,RUC!$F$3:$F$110)</f>
        <v>120</v>
      </c>
      <c r="V80" s="67">
        <v>1.1023</v>
      </c>
      <c r="Y80" s="57">
        <f t="array" ref="Y80">XLOOKUP(D80,RUC!$B$3:$B$110,RUC!$G$3:$G$110)</f>
        <v>20</v>
      </c>
      <c r="Z80" s="69">
        <f t="array" ref="Z80">XLOOKUP(D80,RUC!$B$3:$B$110,RUC!$H$3:$H$110)</f>
        <v>30</v>
      </c>
      <c r="AA80" s="70">
        <f t="shared" si="6"/>
        <v>50</v>
      </c>
      <c r="AB80" s="71">
        <f t="shared" si="46"/>
        <v>649.8799411</v>
      </c>
      <c r="AC80" s="71">
        <f>+(S80-T80)*V80-'data 1'!$F$4</f>
        <v>30.23</v>
      </c>
      <c r="AD80" s="71">
        <f t="shared" si="8"/>
        <v>89.7721307</v>
      </c>
      <c r="AE80" s="71">
        <f t="shared" si="9"/>
        <v>-14.885</v>
      </c>
      <c r="AF80" s="71">
        <f t="shared" si="10"/>
        <v>98.41707547</v>
      </c>
      <c r="AG80" s="72">
        <f t="shared" si="47"/>
        <v>220.5342062</v>
      </c>
      <c r="AH80" s="193">
        <f t="shared" si="11"/>
        <v>63.118</v>
      </c>
      <c r="AI80" s="193">
        <f t="shared" si="12"/>
        <v>63.8</v>
      </c>
      <c r="AJ80" s="73">
        <f t="shared" si="13"/>
        <v>31.41702408</v>
      </c>
      <c r="AK80" s="73">
        <f t="shared" si="14"/>
        <v>51.73817284</v>
      </c>
      <c r="AM80" s="51">
        <f t="shared" si="15"/>
        <v>6298.636389</v>
      </c>
      <c r="AN80" s="51" t="str">
        <f t="array" ref="AN80">XLOOKUP(D80,RUC!$B$3:$B$565,RUC!$M$3:$M$565)</f>
        <v>Dante </v>
      </c>
      <c r="AO80" s="131" t="s">
        <v>547</v>
      </c>
      <c r="AP80" s="57" t="s">
        <v>3539</v>
      </c>
      <c r="AQ80" s="57" t="s">
        <v>737</v>
      </c>
    </row>
    <row r="81" ht="15.0" customHeight="1">
      <c r="A81" s="116" t="s">
        <v>3540</v>
      </c>
      <c r="B81" s="182"/>
      <c r="C81" s="182"/>
      <c r="D81" s="197" t="s">
        <v>3541</v>
      </c>
      <c r="E81" s="3"/>
      <c r="G81" s="141" t="s">
        <v>735</v>
      </c>
      <c r="H81" s="3" t="s">
        <v>47</v>
      </c>
      <c r="I81" s="6">
        <v>38.21</v>
      </c>
      <c r="J81" s="58">
        <v>1.9</v>
      </c>
      <c r="K81" s="6">
        <f t="shared" si="2"/>
        <v>37.484</v>
      </c>
      <c r="L81" s="60">
        <v>0.275</v>
      </c>
      <c r="M81" s="3"/>
      <c r="N81" s="3"/>
      <c r="O81" s="60">
        <f>+L81</f>
        <v>0.275</v>
      </c>
      <c r="P81" s="63"/>
      <c r="Q81" s="58">
        <v>87.27</v>
      </c>
      <c r="R81" s="65"/>
      <c r="S81" s="66"/>
      <c r="U81" s="67"/>
      <c r="V81" s="67"/>
      <c r="Z81" s="69"/>
      <c r="AA81" s="70"/>
      <c r="AB81" s="71"/>
      <c r="AC81" s="71"/>
      <c r="AD81" s="71"/>
      <c r="AE81" s="71"/>
      <c r="AF81" s="71"/>
      <c r="AG81" s="72"/>
      <c r="AH81" s="193"/>
      <c r="AI81" s="193"/>
      <c r="AJ81" s="73"/>
      <c r="AK81" s="73"/>
      <c r="AM81" s="51"/>
      <c r="AN81" s="51"/>
      <c r="AO81" s="131" t="s">
        <v>547</v>
      </c>
      <c r="AP81" s="57">
        <v>0.0</v>
      </c>
      <c r="AQ81" s="57">
        <v>0.0</v>
      </c>
    </row>
    <row r="82" ht="15.0" customHeight="1">
      <c r="A82" s="116" t="s">
        <v>3542</v>
      </c>
      <c r="B82" s="182">
        <v>46107.0</v>
      </c>
      <c r="C82" s="182">
        <v>46100.0</v>
      </c>
      <c r="D82" s="57" t="s">
        <v>806</v>
      </c>
      <c r="E82" s="3">
        <f t="array" ref="E82">XLOOKUP(D82,RUC!$B$3:$B$110,RUC!$D$3:$D$110)</f>
        <v>20614284740</v>
      </c>
      <c r="G82" s="141" t="s">
        <v>735</v>
      </c>
      <c r="H82" s="3" t="s">
        <v>47</v>
      </c>
      <c r="I82" s="6">
        <v>4.29</v>
      </c>
      <c r="J82" s="58">
        <v>3.4</v>
      </c>
      <c r="K82" s="6">
        <f t="shared" si="2"/>
        <v>4.144</v>
      </c>
      <c r="L82" s="60">
        <v>0.223</v>
      </c>
      <c r="M82" s="60">
        <f t="shared" ref="M82:M99" si="51">ROUND(+IF(AN82="Melchor Vera",IF(L82&gt;0.467,L82*0.985,(L82-0.007)),IF(L82&gt;0.3,L82*0.94,(L82-0.019))),3)</f>
        <v>0.204</v>
      </c>
      <c r="N82" s="62">
        <f t="shared" ref="N82:N83" si="52">+M82</f>
        <v>0.204</v>
      </c>
      <c r="O82" s="60">
        <f t="shared" ref="O82:O90" si="53">+ROUND((M82+N82)/2,3)</f>
        <v>0.204</v>
      </c>
      <c r="P82" s="63">
        <v>90.0</v>
      </c>
      <c r="Q82" s="58">
        <v>96.86</v>
      </c>
      <c r="R82" s="65">
        <v>4600.35</v>
      </c>
      <c r="S82" s="66">
        <f t="array" ref="S82">IF((XLOOKUP(D82,RUC!$B$3:$B$106,RUC!$E$3:$E$106)+ROUNDDOWN(O82,1)*100)&lt;95,95,((XLOOKUP(D82,RUC!$B$3:$B$106,RUC!$E$3:$E$106)+ROUNDDOWN(O82,1)*100)))</f>
        <v>110</v>
      </c>
      <c r="U82" s="67">
        <f t="array" ref="U82">XLOOKUP(D82,RUC!$B$3:$B$110,RUC!$F$3:$F$110)</f>
        <v>120</v>
      </c>
      <c r="V82" s="67">
        <v>1.1023</v>
      </c>
      <c r="Y82" s="57">
        <f t="array" ref="Y82">XLOOKUP(D82,RUC!$B$3:$B$110,RUC!$G$3:$G$110)</f>
        <v>20</v>
      </c>
      <c r="Z82" s="69">
        <f t="array" ref="Z82">XLOOKUP(D82,RUC!$B$3:$B$110,RUC!$H$3:$H$110)</f>
        <v>30</v>
      </c>
      <c r="AA82" s="70">
        <f t="shared" ref="AA82:AA102" si="54">+Y82+Z82</f>
        <v>50</v>
      </c>
      <c r="AB82" s="71">
        <f t="shared" ref="AB82:AB102" si="55">+((O82*P82*(R82-U82)/100)-S82-AA82+T82)*V82</f>
        <v>730.3754482</v>
      </c>
      <c r="AC82" s="71">
        <f>+(S82-T82)*V82-'data 1'!$F$4</f>
        <v>41.253</v>
      </c>
      <c r="AD82" s="71">
        <f t="shared" ref="AD82:AD102" si="56">+(Q82-P82)*(R82-U82)*L82*V82/100</f>
        <v>75.5510889</v>
      </c>
      <c r="AE82" s="71">
        <f t="shared" ref="AE82:AE102" si="57">+(Y82*V82-70)+V82*(Z82-IF(D82="UNTUCA",IF(+((W82-3)*2.5+(X82-3)*3.1)&gt;0,+((W82-3)*1.5+(X82-3)*3.1),0),IF(+((W82-3)*1.5+(X82-3)*3.1)&gt;0,+((W82-3)*1.5+(X82-3)*3.1),0)))</f>
        <v>-14.885</v>
      </c>
      <c r="AF82" s="71">
        <f t="shared" ref="AF82:AF102" si="58">(L82-O82)*(R82-U82)*Q82*V82/100</f>
        <v>90.88868396</v>
      </c>
      <c r="AG82" s="72">
        <f t="shared" ref="AG82:AG84" si="59">AC82+AD82+AE82+AF82+70-53</f>
        <v>209.8077729</v>
      </c>
      <c r="AH82" s="193">
        <f t="shared" ref="AH82:AH102" si="60">ROUND((31.1035*L82*Q82*1.1023*K82/100),3)</f>
        <v>30.689</v>
      </c>
      <c r="AI82" s="193">
        <f t="shared" ref="AI82:AI102" si="61">ROUND((31.1035*L82*1.1023*K82),3)</f>
        <v>31.684</v>
      </c>
      <c r="AJ82" s="73">
        <f t="shared" ref="AJ82:AJ102" si="62">+((+$AJ$2-R82+U82)*L82*Q82*V82)/100</f>
        <v>99.91630444</v>
      </c>
      <c r="AK82" s="73">
        <f t="shared" ref="AK82:AK102" si="63">31.1035*1.1023*K82*P82*O82/100</f>
        <v>26.08563979</v>
      </c>
      <c r="AM82" s="51">
        <f t="shared" ref="AM82:AM102" si="64">+IF(AB82*K82&gt;0,AB82*K82,0)</f>
        <v>3026.675857</v>
      </c>
      <c r="AN82" s="51" t="str">
        <f t="array" ref="AN82">XLOOKUP(D82,RUC!$B$3:$B$565,RUC!$M$3:$M$565)</f>
        <v>Dante </v>
      </c>
      <c r="AO82" s="131" t="s">
        <v>549</v>
      </c>
      <c r="AP82" s="57" t="s">
        <v>3543</v>
      </c>
      <c r="AQ82" s="57" t="s">
        <v>3544</v>
      </c>
    </row>
    <row r="83" ht="15.0" customHeight="1">
      <c r="A83" s="116" t="s">
        <v>3545</v>
      </c>
      <c r="B83" s="182">
        <v>46110.0</v>
      </c>
      <c r="C83" s="182">
        <v>46100.0</v>
      </c>
      <c r="D83" s="57" t="s">
        <v>295</v>
      </c>
      <c r="E83" s="3">
        <f t="array" ref="E83">XLOOKUP(D83,RUC!$B$3:$B$110,RUC!$D$3:$D$110)</f>
        <v>20601769396</v>
      </c>
      <c r="G83" s="141">
        <v>19.0</v>
      </c>
      <c r="H83" s="3" t="s">
        <v>339</v>
      </c>
      <c r="I83" s="6">
        <v>1.55</v>
      </c>
      <c r="J83" s="58">
        <v>12.85</v>
      </c>
      <c r="K83" s="6">
        <f t="shared" si="2"/>
        <v>1.351</v>
      </c>
      <c r="L83" s="60">
        <v>0.284</v>
      </c>
      <c r="M83" s="60">
        <f t="shared" si="51"/>
        <v>0.265</v>
      </c>
      <c r="N83" s="62">
        <f t="shared" si="52"/>
        <v>0.265</v>
      </c>
      <c r="O83" s="60">
        <f t="shared" si="53"/>
        <v>0.265</v>
      </c>
      <c r="P83" s="63">
        <v>90.0</v>
      </c>
      <c r="Q83" s="58">
        <v>96.17</v>
      </c>
      <c r="R83" s="65">
        <v>4600.35</v>
      </c>
      <c r="S83" s="66">
        <f t="array" ref="S83">IF((XLOOKUP(D83,RUC!$B$3:$B$106,RUC!$E$3:$E$106)+ROUNDDOWN(O83,1)*100)&lt;95,95,((XLOOKUP(D83,RUC!$B$3:$B$106,RUC!$E$3:$E$106)+ROUNDDOWN(O83,1)*100)))</f>
        <v>110</v>
      </c>
      <c r="U83" s="67">
        <f t="array" ref="U83">XLOOKUP(D83,RUC!$B$3:$B$110,RUC!$F$3:$F$110)</f>
        <v>120</v>
      </c>
      <c r="V83" s="67">
        <v>1.1023</v>
      </c>
      <c r="Y83" s="57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54"/>
        <v>50</v>
      </c>
      <c r="AB83" s="71">
        <f t="shared" si="55"/>
        <v>1001.509518</v>
      </c>
      <c r="AC83" s="71">
        <f>+(S83-T83)*V83-'data 1'!$F$4</f>
        <v>41.253</v>
      </c>
      <c r="AD83" s="71">
        <f t="shared" si="56"/>
        <v>86.53967372</v>
      </c>
      <c r="AE83" s="71">
        <f t="shared" si="57"/>
        <v>-14.885</v>
      </c>
      <c r="AF83" s="71">
        <f t="shared" si="58"/>
        <v>90.24122172</v>
      </c>
      <c r="AG83" s="72">
        <f t="shared" si="59"/>
        <v>220.1488954</v>
      </c>
      <c r="AH83" s="193">
        <f t="shared" si="60"/>
        <v>12.651</v>
      </c>
      <c r="AI83" s="193">
        <f t="shared" si="61"/>
        <v>13.155</v>
      </c>
      <c r="AJ83" s="73">
        <f t="shared" si="62"/>
        <v>126.3411981</v>
      </c>
      <c r="AK83" s="73">
        <f t="shared" si="63"/>
        <v>11.04721488</v>
      </c>
      <c r="AM83" s="51">
        <f t="shared" si="64"/>
        <v>1353.039359</v>
      </c>
      <c r="AN83" s="51" t="str">
        <f t="array" ref="AN83">XLOOKUP(D83,RUC!$B$3:$B$565,RUC!$M$3:$M$565)</f>
        <v>Evelyn</v>
      </c>
      <c r="AO83" s="131" t="s">
        <v>549</v>
      </c>
      <c r="AP83" s="57" t="s">
        <v>3546</v>
      </c>
      <c r="AQ83" s="57" t="s">
        <v>1989</v>
      </c>
    </row>
    <row r="84" ht="15.0" customHeight="1">
      <c r="A84" s="116" t="s">
        <v>3547</v>
      </c>
      <c r="B84" s="182">
        <v>46108.0</v>
      </c>
      <c r="C84" s="182">
        <v>46103.0</v>
      </c>
      <c r="D84" s="57" t="s">
        <v>3548</v>
      </c>
      <c r="E84" s="3">
        <f t="array" ref="E84">XLOOKUP(D84,RUC!$B$3:$B$110,RUC!$D$3:$D$110)</f>
        <v>20613105621</v>
      </c>
      <c r="G84" s="141">
        <v>220.0</v>
      </c>
      <c r="H84" s="3" t="s">
        <v>47</v>
      </c>
      <c r="I84" s="6">
        <v>9.42</v>
      </c>
      <c r="J84" s="58">
        <v>17.13</v>
      </c>
      <c r="K84" s="6">
        <f t="shared" si="2"/>
        <v>7.806</v>
      </c>
      <c r="L84" s="60">
        <v>0.328</v>
      </c>
      <c r="M84" s="60">
        <f t="shared" si="51"/>
        <v>0.308</v>
      </c>
      <c r="N84" s="75">
        <v>0.354</v>
      </c>
      <c r="O84" s="60">
        <f t="shared" si="53"/>
        <v>0.331</v>
      </c>
      <c r="P84" s="63">
        <v>90.0</v>
      </c>
      <c r="Q84" s="58">
        <v>98.48</v>
      </c>
      <c r="R84" s="65">
        <v>4466.25</v>
      </c>
      <c r="S84" s="66">
        <f t="array" ref="S84">IF((XLOOKUP(D84,RUC!$B$3:$B$106,RUC!$E$3:$E$106)+ROUNDDOWN(O84,1)*100)&lt;95,95,((XLOOKUP(D84,RUC!$B$3:$B$106,RUC!$E$3:$E$106)+ROUNDDOWN(O84,1)*100)))</f>
        <v>120</v>
      </c>
      <c r="U84" s="67">
        <f t="array" ref="U84">XLOOKUP(D84,RUC!$B$3:$B$110,RUC!$F$3:$F$110)</f>
        <v>120</v>
      </c>
      <c r="V84" s="67">
        <v>1.1023</v>
      </c>
      <c r="Y84" s="57">
        <f t="array" ref="Y84">XLOOKUP(D84,RUC!$B$3:$B$110,RUC!$G$3:$G$110)</f>
        <v>20</v>
      </c>
      <c r="Z84" s="69">
        <f t="array" ref="Z84">XLOOKUP(D84,RUC!$B$3:$B$110,RUC!$H$3:$H$110)</f>
        <v>30</v>
      </c>
      <c r="AA84" s="70">
        <f t="shared" si="54"/>
        <v>50</v>
      </c>
      <c r="AB84" s="71">
        <f t="shared" si="55"/>
        <v>1239.809583</v>
      </c>
      <c r="AC84" s="71">
        <f>+(S84-T84)*V84-'data 1'!$F$4</f>
        <v>52.276</v>
      </c>
      <c r="AD84" s="71">
        <f t="shared" si="56"/>
        <v>133.2552128</v>
      </c>
      <c r="AE84" s="71">
        <f t="shared" si="57"/>
        <v>-14.885</v>
      </c>
      <c r="AF84" s="71">
        <f t="shared" si="58"/>
        <v>-14.15415039</v>
      </c>
      <c r="AG84" s="72">
        <f t="shared" si="59"/>
        <v>173.4920624</v>
      </c>
      <c r="AH84" s="193">
        <f t="shared" si="60"/>
        <v>86.449</v>
      </c>
      <c r="AI84" s="193">
        <f t="shared" si="61"/>
        <v>87.783</v>
      </c>
      <c r="AJ84" s="73">
        <f t="shared" si="62"/>
        <v>197.1675456</v>
      </c>
      <c r="AK84" s="73">
        <f t="shared" si="63"/>
        <v>79.72749508</v>
      </c>
      <c r="AM84" s="51">
        <f t="shared" si="64"/>
        <v>9677.953602</v>
      </c>
      <c r="AN84" s="51" t="str">
        <f t="array" ref="AN84">XLOOKUP(D84,RUC!$B$3:$B$565,RUC!$M$3:$M$565)</f>
        <v>Richard Sapacayo</v>
      </c>
      <c r="AO84" s="131" t="s">
        <v>549</v>
      </c>
      <c r="AP84" s="57" t="s">
        <v>2167</v>
      </c>
      <c r="AQ84" s="57" t="s">
        <v>737</v>
      </c>
    </row>
    <row r="85" ht="15.0" customHeight="1">
      <c r="A85" s="116" t="s">
        <v>3549</v>
      </c>
      <c r="B85" s="182">
        <v>46107.0</v>
      </c>
      <c r="C85" s="182">
        <v>46103.0</v>
      </c>
      <c r="D85" s="57" t="s">
        <v>74</v>
      </c>
      <c r="E85" s="3">
        <f t="array" ref="E85">XLOOKUP(D85,RUC!$B$3:$B$110,RUC!$D$3:$D$110)</f>
        <v>10082235774</v>
      </c>
      <c r="G85" s="141">
        <v>79.0</v>
      </c>
      <c r="H85" s="3" t="s">
        <v>47</v>
      </c>
      <c r="I85" s="6">
        <v>7.61</v>
      </c>
      <c r="J85" s="58">
        <v>2.35</v>
      </c>
      <c r="K85" s="6">
        <f t="shared" si="2"/>
        <v>7.431</v>
      </c>
      <c r="L85" s="60">
        <v>0.19</v>
      </c>
      <c r="M85" s="60">
        <f t="shared" si="51"/>
        <v>0.183</v>
      </c>
      <c r="N85" s="75">
        <v>0.207</v>
      </c>
      <c r="O85" s="60">
        <f t="shared" si="53"/>
        <v>0.195</v>
      </c>
      <c r="P85" s="63">
        <v>85.0</v>
      </c>
      <c r="Q85" s="58">
        <v>88.42</v>
      </c>
      <c r="R85" s="65">
        <v>4466.25</v>
      </c>
      <c r="S85" s="133">
        <f t="array" ref="S85">IF((XLOOKUP(D85,RUC!$B$3:$B$106,RUC!$E$3:$E$106)+ROUNDDOWN(O85,1)*100)&lt;95,95,((XLOOKUP(D85,RUC!$B$3:$B$106,RUC!$E$3:$E$106)+ROUNDDOWN(O85,1)*100)))</f>
        <v>95</v>
      </c>
      <c r="U85" s="67">
        <f t="array" ref="U85">XLOOKUP(D85,RUC!$B$3:$B$110,RUC!$F$3:$F$110)</f>
        <v>80</v>
      </c>
      <c r="V85" s="67">
        <v>1.1023</v>
      </c>
      <c r="Y85" s="57" t="str">
        <f t="array" ref="Y85">XLOOKUP(D85,RUC!$B$3:$B$110,RUC!$G$3:$G$110)</f>
        <v/>
      </c>
      <c r="Z85" s="69">
        <f t="array" ref="Z85">XLOOKUP(D85,RUC!$B$3:$B$110,RUC!$H$3:$H$110)</f>
        <v>10</v>
      </c>
      <c r="AA85" s="70">
        <f t="shared" si="54"/>
        <v>10</v>
      </c>
      <c r="AB85" s="71">
        <f t="shared" si="55"/>
        <v>685.6536794</v>
      </c>
      <c r="AC85" s="71">
        <f>+(S85-T85)*V85-'data 1'!$F$4</f>
        <v>24.7185</v>
      </c>
      <c r="AD85" s="71">
        <f t="shared" si="56"/>
        <v>31.41759201</v>
      </c>
      <c r="AE85" s="71">
        <f t="shared" si="57"/>
        <v>-58.977</v>
      </c>
      <c r="AF85" s="71">
        <f t="shared" si="58"/>
        <v>-21.37537308</v>
      </c>
      <c r="AG85" s="72">
        <f t="shared" ref="AG85:AG90" si="65">AC85+AD85+AE85+AF85+70</f>
        <v>45.78371893</v>
      </c>
      <c r="AH85" s="193">
        <f t="shared" si="60"/>
        <v>42.802</v>
      </c>
      <c r="AI85" s="193">
        <f t="shared" si="61"/>
        <v>48.407</v>
      </c>
      <c r="AJ85" s="73">
        <f t="shared" si="62"/>
        <v>95.13838039</v>
      </c>
      <c r="AK85" s="73">
        <f t="shared" si="63"/>
        <v>42.22890961</v>
      </c>
      <c r="AM85" s="51">
        <f t="shared" si="64"/>
        <v>5095.092492</v>
      </c>
      <c r="AN85" s="51" t="str">
        <f t="array" ref="AN85">XLOOKUP(D85,RUC!$B$3:$B$565,RUC!$M$3:$M$565)</f>
        <v>Melchor Vera</v>
      </c>
      <c r="AO85" s="131" t="s">
        <v>549</v>
      </c>
      <c r="AP85" s="57" t="s">
        <v>742</v>
      </c>
      <c r="AQ85" s="57" t="s">
        <v>743</v>
      </c>
    </row>
    <row r="86" ht="15.0" customHeight="1">
      <c r="A86" s="116" t="s">
        <v>3550</v>
      </c>
      <c r="B86" s="182">
        <v>46107.0</v>
      </c>
      <c r="C86" s="182">
        <v>46103.0</v>
      </c>
      <c r="D86" s="57" t="s">
        <v>74</v>
      </c>
      <c r="E86" s="3">
        <f t="array" ref="E86">XLOOKUP(D86,RUC!$B$3:$B$110,RUC!$D$3:$D$110)</f>
        <v>10082235774</v>
      </c>
      <c r="G86" s="141">
        <v>76.0</v>
      </c>
      <c r="H86" s="3" t="s">
        <v>47</v>
      </c>
      <c r="I86" s="6">
        <v>7.06</v>
      </c>
      <c r="J86" s="58">
        <v>2.3</v>
      </c>
      <c r="K86" s="6">
        <f t="shared" si="2"/>
        <v>6.898</v>
      </c>
      <c r="L86" s="60">
        <v>0.191</v>
      </c>
      <c r="M86" s="60">
        <f t="shared" si="51"/>
        <v>0.184</v>
      </c>
      <c r="N86" s="62">
        <f t="shared" ref="N86:N87" si="66">+M86</f>
        <v>0.184</v>
      </c>
      <c r="O86" s="60">
        <f t="shared" si="53"/>
        <v>0.184</v>
      </c>
      <c r="P86" s="63">
        <v>85.0</v>
      </c>
      <c r="Q86" s="58">
        <v>90.58</v>
      </c>
      <c r="R86" s="65">
        <v>4466.25</v>
      </c>
      <c r="S86" s="133">
        <f t="array" ref="S86">IF((XLOOKUP(D86,RUC!$B$3:$B$106,RUC!$E$3:$E$106)+ROUNDDOWN(O86,1)*100)&lt;95,95,((XLOOKUP(D86,RUC!$B$3:$B$106,RUC!$E$3:$E$106)+ROUNDDOWN(O86,1)*100)))</f>
        <v>95</v>
      </c>
      <c r="U86" s="67">
        <f t="array" ref="U86">XLOOKUP(D86,RUC!$B$3:$B$110,RUC!$F$3:$F$110)</f>
        <v>80</v>
      </c>
      <c r="V86" s="67">
        <v>1.1023</v>
      </c>
      <c r="Y86" s="57" t="str">
        <f t="array" ref="Y86">XLOOKUP(D86,RUC!$B$3:$B$110,RUC!$G$3:$G$110)</f>
        <v/>
      </c>
      <c r="Z86" s="69">
        <f t="array" ref="Z86">XLOOKUP(D86,RUC!$B$3:$B$110,RUC!$H$3:$H$110)</f>
        <v>10</v>
      </c>
      <c r="AA86" s="70">
        <f t="shared" si="54"/>
        <v>10</v>
      </c>
      <c r="AB86" s="71">
        <f t="shared" si="55"/>
        <v>640.4467719</v>
      </c>
      <c r="AC86" s="71">
        <f>+(S86-T86)*V86-'data 1'!$F$4</f>
        <v>24.7185</v>
      </c>
      <c r="AD86" s="71">
        <f t="shared" si="56"/>
        <v>51.53007266</v>
      </c>
      <c r="AE86" s="71">
        <f t="shared" si="57"/>
        <v>-58.977</v>
      </c>
      <c r="AF86" s="71">
        <f t="shared" si="58"/>
        <v>30.65656878</v>
      </c>
      <c r="AG86" s="72">
        <f t="shared" si="65"/>
        <v>117.9281414</v>
      </c>
      <c r="AH86" s="193">
        <f t="shared" si="60"/>
        <v>40.916</v>
      </c>
      <c r="AI86" s="193">
        <f t="shared" si="61"/>
        <v>45.172</v>
      </c>
      <c r="AJ86" s="73">
        <f t="shared" si="62"/>
        <v>97.97546332</v>
      </c>
      <c r="AK86" s="73">
        <f t="shared" si="63"/>
        <v>36.9886949</v>
      </c>
      <c r="AM86" s="51">
        <f t="shared" si="64"/>
        <v>4417.801832</v>
      </c>
      <c r="AN86" s="51" t="str">
        <f t="array" ref="AN86">XLOOKUP(D86,RUC!$B$3:$B$565,RUC!$M$3:$M$565)</f>
        <v>Melchor Vera</v>
      </c>
      <c r="AO86" s="131" t="s">
        <v>549</v>
      </c>
      <c r="AP86" s="57" t="s">
        <v>742</v>
      </c>
      <c r="AQ86" s="57" t="s">
        <v>743</v>
      </c>
    </row>
    <row r="87" ht="15.0" customHeight="1">
      <c r="A87" s="116" t="s">
        <v>3551</v>
      </c>
      <c r="B87" s="182">
        <v>46107.0</v>
      </c>
      <c r="C87" s="182">
        <v>46103.0</v>
      </c>
      <c r="D87" s="57" t="s">
        <v>74</v>
      </c>
      <c r="E87" s="3">
        <f t="array" ref="E87">XLOOKUP(D87,RUC!$B$3:$B$110,RUC!$D$3:$D$110)</f>
        <v>10082235774</v>
      </c>
      <c r="G87" s="141">
        <v>36.0</v>
      </c>
      <c r="H87" s="3" t="s">
        <v>47</v>
      </c>
      <c r="I87" s="6">
        <v>3.33</v>
      </c>
      <c r="J87" s="58">
        <v>2.4</v>
      </c>
      <c r="K87" s="6">
        <f t="shared" si="2"/>
        <v>3.25</v>
      </c>
      <c r="L87" s="60">
        <v>0.318</v>
      </c>
      <c r="M87" s="60">
        <f t="shared" si="51"/>
        <v>0.311</v>
      </c>
      <c r="N87" s="62">
        <f t="shared" si="66"/>
        <v>0.311</v>
      </c>
      <c r="O87" s="60">
        <f t="shared" si="53"/>
        <v>0.311</v>
      </c>
      <c r="P87" s="201">
        <v>89.0</v>
      </c>
      <c r="Q87" s="58">
        <v>89.62</v>
      </c>
      <c r="R87" s="65">
        <v>4466.25</v>
      </c>
      <c r="S87" s="133">
        <v>110.0</v>
      </c>
      <c r="U87" s="67">
        <f t="array" ref="U87">XLOOKUP(D87,RUC!$B$3:$B$110,RUC!$F$3:$F$110)</f>
        <v>80</v>
      </c>
      <c r="V87" s="67">
        <v>1.1023</v>
      </c>
      <c r="Y87" s="57" t="str">
        <f t="array" ref="Y87">XLOOKUP(D87,RUC!$B$3:$B$110,RUC!$G$3:$G$110)</f>
        <v/>
      </c>
      <c r="Z87" s="69">
        <f t="array" ref="Z87">XLOOKUP(D87,RUC!$B$3:$B$110,RUC!$H$3:$H$110)</f>
        <v>10</v>
      </c>
      <c r="AA87" s="70">
        <f t="shared" si="54"/>
        <v>10</v>
      </c>
      <c r="AB87" s="71">
        <f t="shared" si="55"/>
        <v>1205.993513</v>
      </c>
      <c r="AC87" s="71">
        <f>+(S87-T87)*V87-'data 1'!$F$4</f>
        <v>41.253</v>
      </c>
      <c r="AD87" s="71">
        <f t="shared" si="56"/>
        <v>9.53261379</v>
      </c>
      <c r="AE87" s="71">
        <f t="shared" si="57"/>
        <v>-58.977</v>
      </c>
      <c r="AF87" s="71">
        <f t="shared" si="58"/>
        <v>30.33165924</v>
      </c>
      <c r="AG87" s="72">
        <f t="shared" si="65"/>
        <v>92.14027303</v>
      </c>
      <c r="AH87" s="193">
        <f t="shared" si="60"/>
        <v>31.756</v>
      </c>
      <c r="AI87" s="193">
        <f t="shared" si="61"/>
        <v>35.434</v>
      </c>
      <c r="AJ87" s="73">
        <f t="shared" si="62"/>
        <v>161.3926311</v>
      </c>
      <c r="AK87" s="73">
        <f t="shared" si="63"/>
        <v>30.84202081</v>
      </c>
      <c r="AM87" s="51">
        <f t="shared" si="64"/>
        <v>3919.478916</v>
      </c>
      <c r="AN87" s="51" t="str">
        <f t="array" ref="AN87">XLOOKUP(D87,RUC!$B$3:$B$565,RUC!$M$3:$M$565)</f>
        <v>Melchor Vera</v>
      </c>
      <c r="AO87" s="131" t="s">
        <v>549</v>
      </c>
      <c r="AP87" s="57" t="s">
        <v>742</v>
      </c>
      <c r="AQ87" s="57" t="s">
        <v>743</v>
      </c>
    </row>
    <row r="88" ht="15.0" customHeight="1">
      <c r="A88" s="116" t="s">
        <v>3552</v>
      </c>
      <c r="B88" s="182">
        <v>46107.0</v>
      </c>
      <c r="C88" s="182">
        <v>46103.0</v>
      </c>
      <c r="D88" s="57" t="s">
        <v>74</v>
      </c>
      <c r="E88" s="3">
        <f t="array" ref="E88">XLOOKUP(D88,RUC!$B$3:$B$110,RUC!$D$3:$D$110)</f>
        <v>10082235774</v>
      </c>
      <c r="G88" s="141">
        <v>109.0</v>
      </c>
      <c r="H88" s="3" t="s">
        <v>47</v>
      </c>
      <c r="I88" s="6">
        <v>9.82</v>
      </c>
      <c r="J88" s="58">
        <v>2.5</v>
      </c>
      <c r="K88" s="6">
        <f t="shared" si="2"/>
        <v>9.575</v>
      </c>
      <c r="L88" s="60">
        <v>0.145</v>
      </c>
      <c r="M88" s="60">
        <f t="shared" si="51"/>
        <v>0.138</v>
      </c>
      <c r="N88" s="75">
        <v>0.158</v>
      </c>
      <c r="O88" s="60">
        <f t="shared" si="53"/>
        <v>0.148</v>
      </c>
      <c r="P88" s="63">
        <v>85.0</v>
      </c>
      <c r="Q88" s="58">
        <v>94.48</v>
      </c>
      <c r="R88" s="65">
        <v>4466.25</v>
      </c>
      <c r="S88" s="133">
        <f t="array" ref="S88">IF((XLOOKUP(D88,RUC!$B$3:$B$106,RUC!$E$3:$E$106)+ROUNDDOWN(O88,1)*100)&lt;95,95,((XLOOKUP(D88,RUC!$B$3:$B$106,RUC!$E$3:$E$106)+ROUNDDOWN(O88,1)*100)))</f>
        <v>95</v>
      </c>
      <c r="U88" s="67">
        <f t="array" ref="U88">XLOOKUP(D88,RUC!$B$3:$B$110,RUC!$F$3:$F$110)</f>
        <v>80</v>
      </c>
      <c r="V88" s="67">
        <v>1.1023</v>
      </c>
      <c r="Y88" s="57" t="str">
        <f t="array" ref="Y88">XLOOKUP(D88,RUC!$B$3:$B$110,RUC!$G$3:$G$110)</f>
        <v/>
      </c>
      <c r="Z88" s="69">
        <f t="array" ref="Z88">XLOOKUP(D88,RUC!$B$3:$B$110,RUC!$H$3:$H$110)</f>
        <v>10</v>
      </c>
      <c r="AA88" s="70">
        <f t="shared" si="54"/>
        <v>10</v>
      </c>
      <c r="AB88" s="71">
        <f t="shared" si="55"/>
        <v>492.4968926</v>
      </c>
      <c r="AC88" s="71">
        <f>+(S88-T88)*V88-'data 1'!$F$4</f>
        <v>24.7185</v>
      </c>
      <c r="AD88" s="71">
        <f t="shared" si="56"/>
        <v>66.46140655</v>
      </c>
      <c r="AE88" s="71">
        <f t="shared" si="57"/>
        <v>-58.977</v>
      </c>
      <c r="AF88" s="71">
        <f t="shared" si="58"/>
        <v>-13.70422019</v>
      </c>
      <c r="AG88" s="72">
        <f t="shared" si="65"/>
        <v>88.49868636</v>
      </c>
      <c r="AH88" s="193">
        <f t="shared" si="60"/>
        <v>44.973</v>
      </c>
      <c r="AI88" s="193">
        <f t="shared" si="61"/>
        <v>47.601</v>
      </c>
      <c r="AJ88" s="73">
        <f t="shared" si="62"/>
        <v>77.5817424</v>
      </c>
      <c r="AK88" s="73">
        <f t="shared" si="63"/>
        <v>41.29794989</v>
      </c>
      <c r="AM88" s="51">
        <f t="shared" si="64"/>
        <v>4715.657746</v>
      </c>
      <c r="AN88" s="51" t="str">
        <f t="array" ref="AN88">XLOOKUP(D88,RUC!$B$3:$B$565,RUC!$M$3:$M$565)</f>
        <v>Melchor Vera</v>
      </c>
      <c r="AO88" s="131" t="s">
        <v>549</v>
      </c>
      <c r="AP88" s="57" t="s">
        <v>742</v>
      </c>
      <c r="AQ88" s="57" t="s">
        <v>743</v>
      </c>
    </row>
    <row r="89" ht="15.0" customHeight="1">
      <c r="A89" s="116" t="s">
        <v>3553</v>
      </c>
      <c r="B89" s="182">
        <v>46107.0</v>
      </c>
      <c r="C89" s="182">
        <v>46103.0</v>
      </c>
      <c r="D89" s="57" t="s">
        <v>74</v>
      </c>
      <c r="E89" s="3">
        <f t="array" ref="E89">XLOOKUP(D89,RUC!$B$3:$B$110,RUC!$D$3:$D$110)</f>
        <v>10082235774</v>
      </c>
      <c r="G89" s="141">
        <v>17.0</v>
      </c>
      <c r="H89" s="3" t="s">
        <v>47</v>
      </c>
      <c r="I89" s="6">
        <v>1.46</v>
      </c>
      <c r="J89" s="58">
        <v>2.0</v>
      </c>
      <c r="K89" s="6">
        <f t="shared" si="2"/>
        <v>1.431</v>
      </c>
      <c r="L89" s="60">
        <v>0.287</v>
      </c>
      <c r="M89" s="60">
        <f t="shared" si="51"/>
        <v>0.28</v>
      </c>
      <c r="N89" s="62">
        <f t="shared" ref="N89:N91" si="67">+M89</f>
        <v>0.28</v>
      </c>
      <c r="O89" s="60">
        <f t="shared" si="53"/>
        <v>0.28</v>
      </c>
      <c r="P89" s="63">
        <v>90.0</v>
      </c>
      <c r="Q89" s="58">
        <v>98.26</v>
      </c>
      <c r="R89" s="65">
        <v>4466.25</v>
      </c>
      <c r="S89" s="133">
        <v>105.0</v>
      </c>
      <c r="U89" s="67">
        <f t="array" ref="U89">XLOOKUP(D89,RUC!$B$3:$B$110,RUC!$F$3:$F$110)</f>
        <v>80</v>
      </c>
      <c r="V89" s="67">
        <v>1.1023</v>
      </c>
      <c r="Y89" s="57" t="str">
        <f t="array" ref="Y89">XLOOKUP(D89,RUC!$B$3:$B$110,RUC!$G$3:$G$110)</f>
        <v/>
      </c>
      <c r="Z89" s="69">
        <f t="array" ref="Z89">XLOOKUP(D89,RUC!$B$3:$B$110,RUC!$H$3:$H$110)</f>
        <v>10</v>
      </c>
      <c r="AA89" s="70">
        <f t="shared" si="54"/>
        <v>10</v>
      </c>
      <c r="AB89" s="71">
        <f t="shared" si="55"/>
        <v>1091.646271</v>
      </c>
      <c r="AC89" s="71">
        <f>+(S89-T89)*V89-'data 1'!$F$4</f>
        <v>35.7415</v>
      </c>
      <c r="AD89" s="71">
        <f t="shared" si="56"/>
        <v>114.6186088</v>
      </c>
      <c r="AE89" s="71">
        <f t="shared" si="57"/>
        <v>-58.977</v>
      </c>
      <c r="AF89" s="71">
        <f t="shared" si="58"/>
        <v>33.25584509</v>
      </c>
      <c r="AG89" s="72">
        <f t="shared" si="65"/>
        <v>194.6389538</v>
      </c>
      <c r="AH89" s="193">
        <f t="shared" si="60"/>
        <v>13.836</v>
      </c>
      <c r="AI89" s="193">
        <f t="shared" si="61"/>
        <v>14.081</v>
      </c>
      <c r="AJ89" s="73">
        <f t="shared" si="62"/>
        <v>159.7019794</v>
      </c>
      <c r="AK89" s="73">
        <f t="shared" si="63"/>
        <v>12.36372236</v>
      </c>
      <c r="AM89" s="51">
        <f t="shared" si="64"/>
        <v>1562.145813</v>
      </c>
      <c r="AN89" s="51" t="str">
        <f t="array" ref="AN89">XLOOKUP(D89,RUC!$B$3:$B$565,RUC!$M$3:$M$565)</f>
        <v>Melchor Vera</v>
      </c>
      <c r="AO89" s="131" t="s">
        <v>549</v>
      </c>
      <c r="AP89" s="57" t="s">
        <v>742</v>
      </c>
      <c r="AQ89" s="57" t="s">
        <v>743</v>
      </c>
    </row>
    <row r="90" ht="15.0" customHeight="1">
      <c r="A90" s="116" t="s">
        <v>3554</v>
      </c>
      <c r="B90" s="182">
        <v>46107.0</v>
      </c>
      <c r="C90" s="182">
        <v>46103.0</v>
      </c>
      <c r="D90" s="57" t="s">
        <v>74</v>
      </c>
      <c r="E90" s="3">
        <f t="array" ref="E90">XLOOKUP(D90,RUC!$B$3:$B$110,RUC!$D$3:$D$110)</f>
        <v>10082235774</v>
      </c>
      <c r="G90" s="141">
        <v>35.0</v>
      </c>
      <c r="H90" s="3" t="s">
        <v>47</v>
      </c>
      <c r="I90" s="6">
        <v>2.97</v>
      </c>
      <c r="J90" s="58">
        <v>4.1</v>
      </c>
      <c r="K90" s="6">
        <f t="shared" si="2"/>
        <v>2.848</v>
      </c>
      <c r="L90" s="60">
        <v>0.213</v>
      </c>
      <c r="M90" s="60">
        <f t="shared" si="51"/>
        <v>0.206</v>
      </c>
      <c r="N90" s="62">
        <f t="shared" si="67"/>
        <v>0.206</v>
      </c>
      <c r="O90" s="60">
        <f t="shared" si="53"/>
        <v>0.206</v>
      </c>
      <c r="P90" s="63">
        <v>85.0</v>
      </c>
      <c r="Q90" s="58">
        <v>91.08</v>
      </c>
      <c r="R90" s="65">
        <v>4466.25</v>
      </c>
      <c r="S90" s="133">
        <v>105.0</v>
      </c>
      <c r="U90" s="67">
        <f t="array" ref="U90">XLOOKUP(D90,RUC!$B$3:$B$110,RUC!$F$3:$F$110)</f>
        <v>80</v>
      </c>
      <c r="V90" s="67">
        <v>1.1023</v>
      </c>
      <c r="Y90" s="57" t="str">
        <f t="array" ref="Y90">XLOOKUP(D90,RUC!$B$3:$B$110,RUC!$G$3:$G$110)</f>
        <v/>
      </c>
      <c r="Z90" s="69">
        <f t="array" ref="Z90">XLOOKUP(D90,RUC!$B$3:$B$110,RUC!$H$3:$H$110)</f>
        <v>10</v>
      </c>
      <c r="AA90" s="70">
        <f t="shared" si="54"/>
        <v>10</v>
      </c>
      <c r="AB90" s="71">
        <f t="shared" si="55"/>
        <v>719.837587</v>
      </c>
      <c r="AC90" s="71">
        <f>+(S90-T90)*V90-'data 1'!$F$4</f>
        <v>35.7415</v>
      </c>
      <c r="AD90" s="71">
        <f t="shared" si="56"/>
        <v>62.61470969</v>
      </c>
      <c r="AE90" s="71">
        <f t="shared" si="57"/>
        <v>-58.977</v>
      </c>
      <c r="AF90" s="71">
        <f t="shared" si="58"/>
        <v>30.82579249</v>
      </c>
      <c r="AG90" s="72">
        <f t="shared" si="65"/>
        <v>140.2050022</v>
      </c>
      <c r="AH90" s="193">
        <f t="shared" si="60"/>
        <v>18.943</v>
      </c>
      <c r="AI90" s="193">
        <f t="shared" si="61"/>
        <v>20.798</v>
      </c>
      <c r="AJ90" s="73">
        <f t="shared" si="62"/>
        <v>109.8637118</v>
      </c>
      <c r="AK90" s="73">
        <f t="shared" si="63"/>
        <v>17.09760188</v>
      </c>
      <c r="AM90" s="51">
        <f t="shared" si="64"/>
        <v>2050.097448</v>
      </c>
      <c r="AN90" s="51" t="str">
        <f t="array" ref="AN90">XLOOKUP(D90,RUC!$B$3:$B$565,RUC!$M$3:$M$565)</f>
        <v>Melchor Vera</v>
      </c>
      <c r="AO90" s="131" t="s">
        <v>549</v>
      </c>
      <c r="AP90" s="57" t="s">
        <v>742</v>
      </c>
      <c r="AQ90" s="57" t="s">
        <v>743</v>
      </c>
    </row>
    <row r="91" ht="15.0" customHeight="1">
      <c r="A91" s="116" t="s">
        <v>3555</v>
      </c>
      <c r="B91" s="182">
        <v>46110.0</v>
      </c>
      <c r="C91" s="182">
        <v>46103.0</v>
      </c>
      <c r="D91" s="57" t="s">
        <v>756</v>
      </c>
      <c r="E91" s="3" t="str">
        <f t="array" ref="E91">XLOOKUP(D91,RUC!$B$3:$B$110,RUC!$D$3:$D$110)</f>
        <v>20610807004*</v>
      </c>
      <c r="G91" s="141">
        <v>25.0</v>
      </c>
      <c r="H91" s="3" t="s">
        <v>339</v>
      </c>
      <c r="I91" s="6">
        <v>2.35</v>
      </c>
      <c r="J91" s="58">
        <v>12.85</v>
      </c>
      <c r="K91" s="6">
        <f t="shared" si="2"/>
        <v>2.048</v>
      </c>
      <c r="L91" s="60">
        <v>0.418</v>
      </c>
      <c r="M91" s="60">
        <f t="shared" si="51"/>
        <v>0.393</v>
      </c>
      <c r="N91" s="62">
        <f t="shared" si="67"/>
        <v>0.393</v>
      </c>
      <c r="O91" s="123">
        <v>0.438</v>
      </c>
      <c r="P91" s="63">
        <v>90.0</v>
      </c>
      <c r="Q91" s="58">
        <v>96.17</v>
      </c>
      <c r="R91" s="65">
        <v>4466.25</v>
      </c>
      <c r="S91" s="66">
        <f t="array" ref="S91">IF((XLOOKUP(D91,RUC!$B$3:$B$106,RUC!$E$3:$E$106)+ROUNDDOWN(O91,1)*100)&lt;95,95,((XLOOKUP(D91,RUC!$B$3:$B$106,RUC!$E$3:$E$106)+ROUNDDOWN(O91,1)*100)))</f>
        <v>125</v>
      </c>
      <c r="U91" s="67">
        <f t="array" ref="U91">XLOOKUP(D91,RUC!$B$3:$B$110,RUC!$F$3:$F$110)</f>
        <v>120</v>
      </c>
      <c r="V91" s="67">
        <v>1.1023</v>
      </c>
      <c r="Y91" s="57">
        <f t="array" ref="Y91">XLOOKUP(D91,RUC!$B$3:$B$110,RUC!$G$3:$G$110)</f>
        <v>20</v>
      </c>
      <c r="Z91" s="140">
        <v>35.0</v>
      </c>
      <c r="AA91" s="70">
        <f t="shared" si="54"/>
        <v>55</v>
      </c>
      <c r="AB91" s="71">
        <f t="shared" si="55"/>
        <v>1690.147496</v>
      </c>
      <c r="AC91" s="71">
        <f>+(S91-T91)*V91-'data 1'!$F$4</f>
        <v>57.7875</v>
      </c>
      <c r="AD91" s="71">
        <f t="shared" si="56"/>
        <v>123.5594473</v>
      </c>
      <c r="AE91" s="71">
        <f t="shared" si="57"/>
        <v>-9.3735</v>
      </c>
      <c r="AF91" s="71">
        <f t="shared" si="58"/>
        <v>-92.14762003</v>
      </c>
      <c r="AG91" s="72">
        <f t="shared" ref="AG91:AG102" si="68">AC91+AD91+AE91+AF91+70-53</f>
        <v>96.82582726</v>
      </c>
      <c r="AH91" s="193">
        <f t="shared" si="60"/>
        <v>28.226</v>
      </c>
      <c r="AI91" s="193">
        <f t="shared" si="61"/>
        <v>29.35</v>
      </c>
      <c r="AJ91" s="73">
        <f t="shared" si="62"/>
        <v>245.3745095</v>
      </c>
      <c r="AK91" s="73">
        <f t="shared" si="63"/>
        <v>27.67933434</v>
      </c>
      <c r="AM91" s="51">
        <f t="shared" si="64"/>
        <v>3461.422072</v>
      </c>
      <c r="AN91" s="122" t="str">
        <f t="array" ref="AN91">XLOOKUP(D91,RUC!$B$3:$B$565,RUC!$M$3:$M$565)</f>
        <v>Ronald Miranda</v>
      </c>
      <c r="AO91" s="131" t="s">
        <v>549</v>
      </c>
      <c r="AP91" s="57" t="s">
        <v>2143</v>
      </c>
      <c r="AQ91" s="57" t="s">
        <v>3556</v>
      </c>
    </row>
    <row r="92" ht="15.0" customHeight="1">
      <c r="A92" s="116" t="s">
        <v>3557</v>
      </c>
      <c r="B92" s="182">
        <v>46110.0</v>
      </c>
      <c r="C92" s="182">
        <v>46103.0</v>
      </c>
      <c r="D92" s="57" t="s">
        <v>756</v>
      </c>
      <c r="E92" s="3" t="str">
        <f t="array" ref="E92">XLOOKUP(D92,RUC!$B$3:$B$110,RUC!$D$3:$D$110)</f>
        <v>20610807004*</v>
      </c>
      <c r="G92" s="141">
        <v>25.0</v>
      </c>
      <c r="H92" s="3" t="s">
        <v>339</v>
      </c>
      <c r="I92" s="6">
        <v>2.33</v>
      </c>
      <c r="J92" s="58">
        <v>13.1</v>
      </c>
      <c r="K92" s="6">
        <f t="shared" si="2"/>
        <v>2.025</v>
      </c>
      <c r="L92" s="60">
        <v>0.303</v>
      </c>
      <c r="M92" s="60">
        <f t="shared" si="51"/>
        <v>0.285</v>
      </c>
      <c r="N92" s="75">
        <v>0.33</v>
      </c>
      <c r="O92" s="60">
        <f t="shared" ref="O92:O101" si="69">+ROUND((M92+N92)/2,3)</f>
        <v>0.308</v>
      </c>
      <c r="P92" s="63">
        <v>90.0</v>
      </c>
      <c r="Q92" s="58">
        <v>95.71</v>
      </c>
      <c r="R92" s="65">
        <v>4466.25</v>
      </c>
      <c r="S92" s="66">
        <f t="array" ref="S92">IF((XLOOKUP(D92,RUC!$B$3:$B$106,RUC!$E$3:$E$106)+ROUNDDOWN(O92,1)*100)&lt;95,95,((XLOOKUP(D92,RUC!$B$3:$B$106,RUC!$E$3:$E$106)+ROUNDDOWN(O92,1)*100)))</f>
        <v>115</v>
      </c>
      <c r="U92" s="67">
        <f t="array" ref="U92">XLOOKUP(D92,RUC!$B$3:$B$110,RUC!$F$3:$F$110)</f>
        <v>120</v>
      </c>
      <c r="V92" s="67">
        <v>1.1023</v>
      </c>
      <c r="Y92" s="57">
        <f t="array" ref="Y92">XLOOKUP(D92,RUC!$B$3:$B$110,RUC!$G$3:$G$110)</f>
        <v>20</v>
      </c>
      <c r="Z92" s="140">
        <v>35.0</v>
      </c>
      <c r="AA92" s="70">
        <f t="shared" si="54"/>
        <v>55</v>
      </c>
      <c r="AB92" s="71">
        <f t="shared" si="55"/>
        <v>1140.638545</v>
      </c>
      <c r="AC92" s="71">
        <f>+(S92-T92)*V92-'data 1'!$F$4</f>
        <v>46.7645</v>
      </c>
      <c r="AD92" s="71">
        <f t="shared" si="56"/>
        <v>82.88830292</v>
      </c>
      <c r="AE92" s="71">
        <f t="shared" si="57"/>
        <v>-9.3735</v>
      </c>
      <c r="AF92" s="71">
        <f t="shared" si="58"/>
        <v>-22.92671497</v>
      </c>
      <c r="AG92" s="72">
        <f t="shared" si="68"/>
        <v>114.352588</v>
      </c>
      <c r="AH92" s="193">
        <f t="shared" si="60"/>
        <v>20.134</v>
      </c>
      <c r="AI92" s="193">
        <f t="shared" si="61"/>
        <v>21.037</v>
      </c>
      <c r="AJ92" s="73">
        <f t="shared" si="62"/>
        <v>177.0163948</v>
      </c>
      <c r="AK92" s="73">
        <f t="shared" si="63"/>
        <v>19.24541687</v>
      </c>
      <c r="AM92" s="51">
        <f t="shared" si="64"/>
        <v>2309.793054</v>
      </c>
      <c r="AN92" s="122" t="str">
        <f t="array" ref="AN92">XLOOKUP(D92,RUC!$B$3:$B$565,RUC!$M$3:$M$565)</f>
        <v>Ronald Miranda</v>
      </c>
      <c r="AO92" s="131" t="s">
        <v>549</v>
      </c>
      <c r="AP92" s="57" t="s">
        <v>2143</v>
      </c>
      <c r="AQ92" s="57" t="s">
        <v>3556</v>
      </c>
    </row>
    <row r="93" ht="15.0" customHeight="1">
      <c r="A93" s="116" t="s">
        <v>3558</v>
      </c>
      <c r="B93" s="182">
        <v>46110.0</v>
      </c>
      <c r="C93" s="182">
        <v>46103.0</v>
      </c>
      <c r="D93" s="57" t="s">
        <v>756</v>
      </c>
      <c r="E93" s="3" t="str">
        <f t="array" ref="E93">XLOOKUP(D93,RUC!$B$3:$B$110,RUC!$D$3:$D$110)</f>
        <v>20610807004*</v>
      </c>
      <c r="G93" s="141">
        <v>25.0</v>
      </c>
      <c r="H93" s="3" t="s">
        <v>47</v>
      </c>
      <c r="I93" s="6">
        <v>1.8</v>
      </c>
      <c r="J93" s="58">
        <v>6.25</v>
      </c>
      <c r="K93" s="6">
        <f t="shared" si="2"/>
        <v>1.688</v>
      </c>
      <c r="L93" s="60">
        <v>0.2</v>
      </c>
      <c r="M93" s="60">
        <f t="shared" si="51"/>
        <v>0.181</v>
      </c>
      <c r="N93" s="62">
        <f t="shared" ref="N93:N99" si="70">+M93</f>
        <v>0.181</v>
      </c>
      <c r="O93" s="60">
        <f t="shared" si="69"/>
        <v>0.181</v>
      </c>
      <c r="P93" s="63">
        <v>85.0</v>
      </c>
      <c r="Q93" s="58">
        <v>90.0</v>
      </c>
      <c r="R93" s="65">
        <v>4466.25</v>
      </c>
      <c r="S93" s="66">
        <f t="array" ref="S93">IF((XLOOKUP(D93,RUC!$B$3:$B$106,RUC!$E$3:$E$106)+ROUNDDOWN(O93,1)*100)&lt;95,95,((XLOOKUP(D93,RUC!$B$3:$B$106,RUC!$E$3:$E$106)+ROUNDDOWN(O93,1)*100)))</f>
        <v>95</v>
      </c>
      <c r="U93" s="67">
        <f t="array" ref="U93">XLOOKUP(D93,RUC!$B$3:$B$110,RUC!$F$3:$F$110)</f>
        <v>120</v>
      </c>
      <c r="V93" s="67">
        <v>1.1023</v>
      </c>
      <c r="Y93" s="57">
        <f t="array" ref="Y93">XLOOKUP(D93,RUC!$B$3:$B$110,RUC!$G$3:$G$110)</f>
        <v>20</v>
      </c>
      <c r="Z93" s="140">
        <v>35.0</v>
      </c>
      <c r="AA93" s="70">
        <f t="shared" si="54"/>
        <v>55</v>
      </c>
      <c r="AB93" s="71">
        <f t="shared" si="55"/>
        <v>571.730561</v>
      </c>
      <c r="AC93" s="71">
        <f>+(S93-T93)*V93-'data 1'!$F$4</f>
        <v>24.7185</v>
      </c>
      <c r="AD93" s="71">
        <f t="shared" si="56"/>
        <v>47.90871375</v>
      </c>
      <c r="AE93" s="71">
        <f t="shared" si="57"/>
        <v>-9.3735</v>
      </c>
      <c r="AF93" s="71">
        <f t="shared" si="58"/>
        <v>81.92390051</v>
      </c>
      <c r="AG93" s="72">
        <f t="shared" si="68"/>
        <v>162.1776143</v>
      </c>
      <c r="AH93" s="193">
        <f t="shared" si="60"/>
        <v>10.417</v>
      </c>
      <c r="AI93" s="193">
        <f t="shared" si="61"/>
        <v>11.575</v>
      </c>
      <c r="AJ93" s="73">
        <f t="shared" si="62"/>
        <v>109.8717525</v>
      </c>
      <c r="AK93" s="73">
        <f t="shared" si="63"/>
        <v>8.903874134</v>
      </c>
      <c r="AM93" s="51">
        <f t="shared" si="64"/>
        <v>965.081187</v>
      </c>
      <c r="AN93" s="122" t="str">
        <f t="array" ref="AN93">XLOOKUP(D93,RUC!$B$3:$B$565,RUC!$M$3:$M$565)</f>
        <v>Ronald Miranda</v>
      </c>
      <c r="AO93" s="131" t="s">
        <v>549</v>
      </c>
      <c r="AP93" s="57" t="s">
        <v>2143</v>
      </c>
      <c r="AQ93" s="57" t="s">
        <v>3556</v>
      </c>
    </row>
    <row r="94" ht="15.0" customHeight="1">
      <c r="A94" s="116" t="s">
        <v>3559</v>
      </c>
      <c r="B94" s="182">
        <v>46110.0</v>
      </c>
      <c r="C94" s="182">
        <v>46103.0</v>
      </c>
      <c r="D94" s="57" t="s">
        <v>756</v>
      </c>
      <c r="E94" s="3" t="str">
        <f t="array" ref="E94">XLOOKUP(D94,RUC!$B$3:$B$110,RUC!$D$3:$D$110)</f>
        <v>20610807004*</v>
      </c>
      <c r="G94" s="141">
        <v>25.0</v>
      </c>
      <c r="H94" s="3" t="s">
        <v>339</v>
      </c>
      <c r="I94" s="6">
        <v>1.8</v>
      </c>
      <c r="J94" s="58">
        <v>12.05</v>
      </c>
      <c r="K94" s="6">
        <f t="shared" si="2"/>
        <v>1.583</v>
      </c>
      <c r="L94" s="60">
        <v>0.427</v>
      </c>
      <c r="M94" s="60">
        <f t="shared" si="51"/>
        <v>0.401</v>
      </c>
      <c r="N94" s="62">
        <f t="shared" si="70"/>
        <v>0.401</v>
      </c>
      <c r="O94" s="60">
        <f t="shared" si="69"/>
        <v>0.401</v>
      </c>
      <c r="P94" s="63">
        <v>90.0</v>
      </c>
      <c r="Q94" s="58">
        <v>93.68</v>
      </c>
      <c r="R94" s="65">
        <v>4466.25</v>
      </c>
      <c r="S94" s="66">
        <f t="array" ref="S94">IF((XLOOKUP(D94,RUC!$B$3:$B$106,RUC!$E$3:$E$106)+ROUNDDOWN(O94,1)*100)&lt;95,95,((XLOOKUP(D94,RUC!$B$3:$B$106,RUC!$E$3:$E$106)+ROUNDDOWN(O94,1)*100)))</f>
        <v>125</v>
      </c>
      <c r="U94" s="67">
        <f t="array" ref="U94">XLOOKUP(D94,RUC!$B$3:$B$110,RUC!$F$3:$F$110)</f>
        <v>120</v>
      </c>
      <c r="V94" s="67">
        <v>1.1023</v>
      </c>
      <c r="Y94" s="57">
        <f t="array" ref="Y94">XLOOKUP(D94,RUC!$B$3:$B$110,RUC!$G$3:$G$110)</f>
        <v>20</v>
      </c>
      <c r="Z94" s="140">
        <v>35.0</v>
      </c>
      <c r="AA94" s="70">
        <f t="shared" si="54"/>
        <v>55</v>
      </c>
      <c r="AB94" s="71">
        <f t="shared" si="55"/>
        <v>1530.611479</v>
      </c>
      <c r="AC94" s="71">
        <f>+(S94-T94)*V94-'data 1'!$F$4</f>
        <v>57.7875</v>
      </c>
      <c r="AD94" s="71">
        <f t="shared" si="56"/>
        <v>75.28183644</v>
      </c>
      <c r="AE94" s="71">
        <f t="shared" si="57"/>
        <v>-9.3735</v>
      </c>
      <c r="AF94" s="71">
        <f t="shared" si="58"/>
        <v>116.6902959</v>
      </c>
      <c r="AG94" s="72">
        <f t="shared" si="68"/>
        <v>257.3861323</v>
      </c>
      <c r="AH94" s="193">
        <f t="shared" si="60"/>
        <v>21.71</v>
      </c>
      <c r="AI94" s="193">
        <f t="shared" si="61"/>
        <v>23.175</v>
      </c>
      <c r="AJ94" s="73">
        <f t="shared" si="62"/>
        <v>244.1677514</v>
      </c>
      <c r="AK94" s="73">
        <f t="shared" si="63"/>
        <v>19.58740333</v>
      </c>
      <c r="AM94" s="51">
        <f t="shared" si="64"/>
        <v>2422.957972</v>
      </c>
      <c r="AN94" s="122" t="str">
        <f t="array" ref="AN94">XLOOKUP(D94,RUC!$B$3:$B$565,RUC!$M$3:$M$565)</f>
        <v>Ronald Miranda</v>
      </c>
      <c r="AO94" s="131" t="s">
        <v>549</v>
      </c>
      <c r="AP94" s="57" t="s">
        <v>2143</v>
      </c>
      <c r="AQ94" s="57" t="s">
        <v>3556</v>
      </c>
    </row>
    <row r="95" ht="15.0" customHeight="1">
      <c r="A95" s="116" t="s">
        <v>3560</v>
      </c>
      <c r="B95" s="182">
        <v>46110.0</v>
      </c>
      <c r="C95" s="182">
        <v>46103.0</v>
      </c>
      <c r="D95" s="57" t="s">
        <v>756</v>
      </c>
      <c r="E95" s="3" t="str">
        <f t="array" ref="E95">XLOOKUP(D95,RUC!$B$3:$B$110,RUC!$D$3:$D$110)</f>
        <v>20610807004*</v>
      </c>
      <c r="G95" s="141">
        <v>25.0</v>
      </c>
      <c r="H95" s="3" t="s">
        <v>339</v>
      </c>
      <c r="I95" s="6">
        <v>1.75</v>
      </c>
      <c r="J95" s="58">
        <v>13.75</v>
      </c>
      <c r="K95" s="6">
        <f t="shared" si="2"/>
        <v>1.509</v>
      </c>
      <c r="L95" s="60">
        <v>0.341</v>
      </c>
      <c r="M95" s="60">
        <f t="shared" si="51"/>
        <v>0.321</v>
      </c>
      <c r="N95" s="62">
        <f t="shared" si="70"/>
        <v>0.321</v>
      </c>
      <c r="O95" s="60">
        <f t="shared" si="69"/>
        <v>0.321</v>
      </c>
      <c r="P95" s="63">
        <v>88.0</v>
      </c>
      <c r="Q95" s="58">
        <v>88.27</v>
      </c>
      <c r="R95" s="65">
        <v>4466.25</v>
      </c>
      <c r="S95" s="66">
        <f t="array" ref="S95">IF((XLOOKUP(D95,RUC!$B$3:$B$106,RUC!$E$3:$E$106)+ROUNDDOWN(O95,1)*100)&lt;95,95,((XLOOKUP(D95,RUC!$B$3:$B$106,RUC!$E$3:$E$106)+ROUNDDOWN(O95,1)*100)))</f>
        <v>115</v>
      </c>
      <c r="U95" s="67">
        <f t="array" ref="U95">XLOOKUP(D95,RUC!$B$3:$B$110,RUC!$F$3:$F$110)</f>
        <v>120</v>
      </c>
      <c r="V95" s="67">
        <v>1.1023</v>
      </c>
      <c r="Y95" s="57">
        <f t="array" ref="Y95">XLOOKUP(D95,RUC!$B$3:$B$110,RUC!$G$3:$G$110)</f>
        <v>20</v>
      </c>
      <c r="Z95" s="140">
        <v>35.0</v>
      </c>
      <c r="AA95" s="70">
        <f t="shared" si="54"/>
        <v>55</v>
      </c>
      <c r="AB95" s="71">
        <f t="shared" si="55"/>
        <v>1165.934346</v>
      </c>
      <c r="AC95" s="71">
        <f>+(S95-T95)*V95-'data 1'!$F$4</f>
        <v>46.7645</v>
      </c>
      <c r="AD95" s="71">
        <f t="shared" si="56"/>
        <v>4.410955275</v>
      </c>
      <c r="AE95" s="71">
        <f t="shared" si="57"/>
        <v>-9.3735</v>
      </c>
      <c r="AF95" s="71">
        <f t="shared" si="58"/>
        <v>84.57804325</v>
      </c>
      <c r="AG95" s="72">
        <f t="shared" si="68"/>
        <v>143.3799985</v>
      </c>
      <c r="AH95" s="193">
        <f t="shared" si="60"/>
        <v>15.573</v>
      </c>
      <c r="AI95" s="193">
        <f t="shared" si="61"/>
        <v>17.642</v>
      </c>
      <c r="AJ95" s="73">
        <f t="shared" si="62"/>
        <v>183.7304134</v>
      </c>
      <c r="AK95" s="73">
        <f t="shared" si="63"/>
        <v>14.61456905</v>
      </c>
      <c r="AM95" s="51">
        <f t="shared" si="64"/>
        <v>1759.394928</v>
      </c>
      <c r="AN95" s="122" t="str">
        <f t="array" ref="AN95">XLOOKUP(D95,RUC!$B$3:$B$565,RUC!$M$3:$M$565)</f>
        <v>Ronald Miranda</v>
      </c>
      <c r="AO95" s="131" t="s">
        <v>549</v>
      </c>
      <c r="AP95" s="57" t="s">
        <v>2143</v>
      </c>
      <c r="AQ95" s="57" t="s">
        <v>3556</v>
      </c>
    </row>
    <row r="96" ht="15.0" customHeight="1">
      <c r="A96" s="116" t="s">
        <v>3561</v>
      </c>
      <c r="B96" s="182">
        <v>46110.0</v>
      </c>
      <c r="C96" s="182">
        <v>46103.0</v>
      </c>
      <c r="D96" s="57" t="s">
        <v>756</v>
      </c>
      <c r="E96" s="3" t="str">
        <f t="array" ref="E96">XLOOKUP(D96,RUC!$B$3:$B$110,RUC!$D$3:$D$110)</f>
        <v>20610807004*</v>
      </c>
      <c r="G96" s="141">
        <v>25.0</v>
      </c>
      <c r="H96" s="3" t="s">
        <v>339</v>
      </c>
      <c r="I96" s="6">
        <v>1.68</v>
      </c>
      <c r="J96" s="58">
        <v>13.33</v>
      </c>
      <c r="K96" s="6">
        <f t="shared" si="2"/>
        <v>1.456</v>
      </c>
      <c r="L96" s="60">
        <v>0.402</v>
      </c>
      <c r="M96" s="60">
        <f t="shared" si="51"/>
        <v>0.378</v>
      </c>
      <c r="N96" s="62">
        <f t="shared" si="70"/>
        <v>0.378</v>
      </c>
      <c r="O96" s="60">
        <f t="shared" si="69"/>
        <v>0.378</v>
      </c>
      <c r="P96" s="63">
        <v>89.0</v>
      </c>
      <c r="Q96" s="58">
        <v>89.8</v>
      </c>
      <c r="R96" s="65">
        <v>4466.25</v>
      </c>
      <c r="S96" s="66">
        <f t="array" ref="S96">IF((XLOOKUP(D96,RUC!$B$3:$B$106,RUC!$E$3:$E$106)+ROUNDDOWN(O96,1)*100)&lt;95,95,((XLOOKUP(D96,RUC!$B$3:$B$106,RUC!$E$3:$E$106)+ROUNDDOWN(O96,1)*100)))</f>
        <v>115</v>
      </c>
      <c r="U96" s="67">
        <f t="array" ref="U96">XLOOKUP(D96,RUC!$B$3:$B$110,RUC!$F$3:$F$110)</f>
        <v>120</v>
      </c>
      <c r="V96" s="67">
        <v>1.1023</v>
      </c>
      <c r="Y96" s="57">
        <f t="array" ref="Y96">XLOOKUP(D96,RUC!$B$3:$B$110,RUC!$G$3:$G$110)</f>
        <v>20</v>
      </c>
      <c r="Z96" s="140">
        <v>35.0</v>
      </c>
      <c r="AA96" s="70">
        <f t="shared" si="54"/>
        <v>55</v>
      </c>
      <c r="AB96" s="71">
        <f t="shared" si="55"/>
        <v>1424.353948</v>
      </c>
      <c r="AC96" s="71">
        <f>+(S96-T96)*V96-'data 1'!$F$4</f>
        <v>46.7645</v>
      </c>
      <c r="AD96" s="71">
        <f t="shared" si="56"/>
        <v>15.40744234</v>
      </c>
      <c r="AE96" s="71">
        <f t="shared" si="57"/>
        <v>-9.3735</v>
      </c>
      <c r="AF96" s="71">
        <f t="shared" si="58"/>
        <v>103.2528599</v>
      </c>
      <c r="AG96" s="72">
        <f t="shared" si="68"/>
        <v>173.0513022</v>
      </c>
      <c r="AH96" s="193">
        <f t="shared" si="60"/>
        <v>18.021</v>
      </c>
      <c r="AI96" s="193">
        <f t="shared" si="61"/>
        <v>20.068</v>
      </c>
      <c r="AJ96" s="73">
        <f t="shared" si="62"/>
        <v>220.351462</v>
      </c>
      <c r="AK96" s="73">
        <f t="shared" si="63"/>
        <v>16.7939266</v>
      </c>
      <c r="AM96" s="51">
        <f t="shared" si="64"/>
        <v>2073.859348</v>
      </c>
      <c r="AN96" s="122" t="str">
        <f t="array" ref="AN96">XLOOKUP(D96,RUC!$B$3:$B$565,RUC!$M$3:$M$565)</f>
        <v>Ronald Miranda</v>
      </c>
      <c r="AO96" s="131" t="s">
        <v>549</v>
      </c>
      <c r="AP96" s="57" t="s">
        <v>2143</v>
      </c>
      <c r="AQ96" s="57" t="s">
        <v>3556</v>
      </c>
    </row>
    <row r="97" ht="15.0" customHeight="1">
      <c r="A97" s="116" t="s">
        <v>3562</v>
      </c>
      <c r="B97" s="182">
        <v>46110.0</v>
      </c>
      <c r="C97" s="182">
        <v>46103.0</v>
      </c>
      <c r="D97" s="57" t="s">
        <v>756</v>
      </c>
      <c r="E97" s="3" t="str">
        <f t="array" ref="E97">XLOOKUP(D97,RUC!$B$3:$B$110,RUC!$D$3:$D$110)</f>
        <v>20610807004*</v>
      </c>
      <c r="G97" s="141">
        <v>25.0</v>
      </c>
      <c r="H97" s="3" t="s">
        <v>339</v>
      </c>
      <c r="I97" s="6">
        <v>1.75</v>
      </c>
      <c r="J97" s="58">
        <v>13.75</v>
      </c>
      <c r="K97" s="6">
        <f t="shared" si="2"/>
        <v>1.509</v>
      </c>
      <c r="L97" s="60">
        <v>0.362</v>
      </c>
      <c r="M97" s="60">
        <f t="shared" si="51"/>
        <v>0.34</v>
      </c>
      <c r="N97" s="62">
        <f t="shared" si="70"/>
        <v>0.34</v>
      </c>
      <c r="O97" s="60">
        <f t="shared" si="69"/>
        <v>0.34</v>
      </c>
      <c r="P97" s="63">
        <v>90.0</v>
      </c>
      <c r="Q97" s="58">
        <v>92.82</v>
      </c>
      <c r="R97" s="65">
        <v>4466.25</v>
      </c>
      <c r="S97" s="66">
        <f t="array" ref="S97">IF((XLOOKUP(D97,RUC!$B$3:$B$106,RUC!$E$3:$E$106)+ROUNDDOWN(O97,1)*100)&lt;95,95,((XLOOKUP(D97,RUC!$B$3:$B$106,RUC!$E$3:$E$106)+ROUNDDOWN(O97,1)*100)))</f>
        <v>115</v>
      </c>
      <c r="U97" s="67">
        <f t="array" ref="U97">XLOOKUP(D97,RUC!$B$3:$B$110,RUC!$F$3:$F$110)</f>
        <v>120</v>
      </c>
      <c r="V97" s="67">
        <v>1.1023</v>
      </c>
      <c r="Y97" s="57">
        <f t="array" ref="Y97">XLOOKUP(D97,RUC!$B$3:$B$110,RUC!$G$3:$G$110)</f>
        <v>20</v>
      </c>
      <c r="Z97" s="140">
        <v>35.0</v>
      </c>
      <c r="AA97" s="70">
        <f t="shared" si="54"/>
        <v>55</v>
      </c>
      <c r="AB97" s="71">
        <f t="shared" si="55"/>
        <v>1278.615641</v>
      </c>
      <c r="AC97" s="71">
        <f>+(S97-T97)*V97-'data 1'!$F$4</f>
        <v>46.7645</v>
      </c>
      <c r="AD97" s="71">
        <f t="shared" si="56"/>
        <v>48.90713134</v>
      </c>
      <c r="AE97" s="71">
        <f t="shared" si="57"/>
        <v>-9.3735</v>
      </c>
      <c r="AF97" s="71">
        <f t="shared" si="58"/>
        <v>97.83150983</v>
      </c>
      <c r="AG97" s="72">
        <f t="shared" si="68"/>
        <v>201.1296412</v>
      </c>
      <c r="AH97" s="193">
        <f t="shared" si="60"/>
        <v>17.384</v>
      </c>
      <c r="AI97" s="193">
        <f t="shared" si="61"/>
        <v>18.729</v>
      </c>
      <c r="AJ97" s="73">
        <f t="shared" si="62"/>
        <v>205.0990653</v>
      </c>
      <c r="AK97" s="73">
        <f t="shared" si="63"/>
        <v>15.83141507</v>
      </c>
      <c r="AM97" s="51">
        <f t="shared" si="64"/>
        <v>1929.431002</v>
      </c>
      <c r="AN97" s="122" t="str">
        <f t="array" ref="AN97">XLOOKUP(D97,RUC!$B$3:$B$565,RUC!$M$3:$M$565)</f>
        <v>Ronald Miranda</v>
      </c>
      <c r="AO97" s="131" t="s">
        <v>549</v>
      </c>
      <c r="AP97" s="57" t="s">
        <v>2143</v>
      </c>
      <c r="AQ97" s="57" t="s">
        <v>3556</v>
      </c>
    </row>
    <row r="98" ht="15.0" customHeight="1">
      <c r="A98" s="116" t="s">
        <v>3563</v>
      </c>
      <c r="B98" s="182">
        <v>46110.0</v>
      </c>
      <c r="C98" s="182">
        <v>46103.0</v>
      </c>
      <c r="D98" s="57" t="s">
        <v>756</v>
      </c>
      <c r="E98" s="3" t="str">
        <f t="array" ref="E98">XLOOKUP(D98,RUC!$B$3:$B$110,RUC!$D$3:$D$110)</f>
        <v>20610807004*</v>
      </c>
      <c r="G98" s="141">
        <v>25.0</v>
      </c>
      <c r="H98" s="3" t="s">
        <v>339</v>
      </c>
      <c r="I98" s="6">
        <v>1.7</v>
      </c>
      <c r="J98" s="58">
        <v>15.03</v>
      </c>
      <c r="K98" s="6">
        <f t="shared" si="2"/>
        <v>1.444</v>
      </c>
      <c r="L98" s="60">
        <v>0.366</v>
      </c>
      <c r="M98" s="60">
        <f t="shared" si="51"/>
        <v>0.344</v>
      </c>
      <c r="N98" s="62">
        <f t="shared" si="70"/>
        <v>0.344</v>
      </c>
      <c r="O98" s="60">
        <f t="shared" si="69"/>
        <v>0.344</v>
      </c>
      <c r="P98" s="63">
        <v>90.0</v>
      </c>
      <c r="Q98" s="58">
        <v>91.26</v>
      </c>
      <c r="R98" s="65">
        <v>4466.25</v>
      </c>
      <c r="S98" s="66">
        <f t="array" ref="S98">IF((XLOOKUP(D98,RUC!$B$3:$B$106,RUC!$E$3:$E$106)+ROUNDDOWN(O98,1)*100)&lt;95,95,((XLOOKUP(D98,RUC!$B$3:$B$106,RUC!$E$3:$E$106)+ROUNDDOWN(O98,1)*100)))</f>
        <v>115</v>
      </c>
      <c r="U98" s="67">
        <f t="array" ref="U98">XLOOKUP(D98,RUC!$B$3:$B$110,RUC!$F$3:$F$110)</f>
        <v>120</v>
      </c>
      <c r="V98" s="67">
        <v>1.1023</v>
      </c>
      <c r="Y98" s="57">
        <f t="array" ref="Y98">XLOOKUP(D98,RUC!$B$3:$B$110,RUC!$G$3:$G$110)</f>
        <v>20</v>
      </c>
      <c r="Z98" s="140">
        <v>35.0</v>
      </c>
      <c r="AA98" s="70">
        <f t="shared" si="54"/>
        <v>55</v>
      </c>
      <c r="AB98" s="71">
        <f t="shared" si="55"/>
        <v>1295.862778</v>
      </c>
      <c r="AC98" s="71">
        <f>+(S98-T98)*V98-'data 1'!$F$4</f>
        <v>46.7645</v>
      </c>
      <c r="AD98" s="71">
        <f t="shared" si="56"/>
        <v>22.09358243</v>
      </c>
      <c r="AE98" s="71">
        <f t="shared" si="57"/>
        <v>-9.3735</v>
      </c>
      <c r="AF98" s="71">
        <f t="shared" si="58"/>
        <v>96.18728277</v>
      </c>
      <c r="AG98" s="72">
        <f t="shared" si="68"/>
        <v>172.6718652</v>
      </c>
      <c r="AH98" s="193">
        <f t="shared" si="60"/>
        <v>16.536</v>
      </c>
      <c r="AI98" s="193">
        <f t="shared" si="61"/>
        <v>18.12</v>
      </c>
      <c r="AJ98" s="73">
        <f t="shared" si="62"/>
        <v>203.8802214</v>
      </c>
      <c r="AK98" s="73">
        <f t="shared" si="63"/>
        <v>15.32770787</v>
      </c>
      <c r="AM98" s="51">
        <f t="shared" si="64"/>
        <v>1871.225851</v>
      </c>
      <c r="AN98" s="122" t="str">
        <f t="array" ref="AN98">XLOOKUP(D98,RUC!$B$3:$B$565,RUC!$M$3:$M$565)</f>
        <v>Ronald Miranda</v>
      </c>
      <c r="AO98" s="131" t="s">
        <v>549</v>
      </c>
      <c r="AP98" s="57" t="s">
        <v>2143</v>
      </c>
      <c r="AQ98" s="57" t="s">
        <v>3556</v>
      </c>
    </row>
    <row r="99" ht="15.0" customHeight="1">
      <c r="A99" s="116" t="s">
        <v>3564</v>
      </c>
      <c r="B99" s="182">
        <v>46110.0</v>
      </c>
      <c r="C99" s="182">
        <v>46103.0</v>
      </c>
      <c r="D99" s="57" t="s">
        <v>756</v>
      </c>
      <c r="E99" s="3" t="str">
        <f t="array" ref="E99">XLOOKUP(D99,RUC!$B$3:$B$110,RUC!$D$3:$D$110)</f>
        <v>20610807004*</v>
      </c>
      <c r="G99" s="141">
        <v>27.0</v>
      </c>
      <c r="H99" s="3" t="s">
        <v>339</v>
      </c>
      <c r="I99" s="6">
        <v>1.74</v>
      </c>
      <c r="J99" s="58">
        <v>20.4</v>
      </c>
      <c r="K99" s="6">
        <f t="shared" si="2"/>
        <v>1.385</v>
      </c>
      <c r="L99" s="60">
        <v>0.225</v>
      </c>
      <c r="M99" s="60">
        <f t="shared" si="51"/>
        <v>0.206</v>
      </c>
      <c r="N99" s="62">
        <f t="shared" si="70"/>
        <v>0.206</v>
      </c>
      <c r="O99" s="60">
        <f t="shared" si="69"/>
        <v>0.206</v>
      </c>
      <c r="P99" s="63">
        <v>90.0</v>
      </c>
      <c r="Q99" s="58">
        <v>90.22</v>
      </c>
      <c r="R99" s="65">
        <v>4466.25</v>
      </c>
      <c r="S99" s="66">
        <f t="array" ref="S99">IF((XLOOKUP(D99,RUC!$B$3:$B$106,RUC!$E$3:$E$106)+ROUNDDOWN(O99,1)*100)&lt;95,95,((XLOOKUP(D99,RUC!$B$3:$B$106,RUC!$E$3:$E$106)+ROUNDDOWN(O99,1)*100)))</f>
        <v>105</v>
      </c>
      <c r="U99" s="67">
        <f t="array" ref="U99">XLOOKUP(D99,RUC!$B$3:$B$110,RUC!$F$3:$F$110)</f>
        <v>120</v>
      </c>
      <c r="V99" s="67">
        <v>1.1023</v>
      </c>
      <c r="Y99" s="57">
        <f t="array" ref="Y99">XLOOKUP(D99,RUC!$B$3:$B$110,RUC!$G$3:$G$110)</f>
        <v>20</v>
      </c>
      <c r="Z99" s="140">
        <v>35.0</v>
      </c>
      <c r="AA99" s="70">
        <f t="shared" si="54"/>
        <v>55</v>
      </c>
      <c r="AB99" s="71">
        <f t="shared" si="55"/>
        <v>711.8595529</v>
      </c>
      <c r="AC99" s="71">
        <f>+(S99-T99)*V99-'data 1'!$F$4</f>
        <v>35.7415</v>
      </c>
      <c r="AD99" s="71">
        <f t="shared" si="56"/>
        <v>2.371481331</v>
      </c>
      <c r="AE99" s="71">
        <f t="shared" si="57"/>
        <v>-9.3735</v>
      </c>
      <c r="AF99" s="71">
        <f t="shared" si="58"/>
        <v>82.12415894</v>
      </c>
      <c r="AG99" s="72">
        <f t="shared" si="68"/>
        <v>127.8636403</v>
      </c>
      <c r="AH99" s="193">
        <f t="shared" si="60"/>
        <v>9.639</v>
      </c>
      <c r="AI99" s="193">
        <f t="shared" si="61"/>
        <v>10.684</v>
      </c>
      <c r="AJ99" s="73">
        <f t="shared" si="62"/>
        <v>123.9078689</v>
      </c>
      <c r="AK99" s="73">
        <f t="shared" si="63"/>
        <v>8.803767658</v>
      </c>
      <c r="AM99" s="51">
        <f t="shared" si="64"/>
        <v>985.9254808</v>
      </c>
      <c r="AN99" s="122" t="str">
        <f t="array" ref="AN99">XLOOKUP(D99,RUC!$B$3:$B$565,RUC!$M$3:$M$565)</f>
        <v>Ronald Miranda</v>
      </c>
      <c r="AO99" s="131" t="s">
        <v>549</v>
      </c>
      <c r="AP99" s="57" t="s">
        <v>2143</v>
      </c>
      <c r="AQ99" s="57" t="s">
        <v>3556</v>
      </c>
    </row>
    <row r="100" ht="15.0" customHeight="1">
      <c r="A100" s="116" t="s">
        <v>3565</v>
      </c>
      <c r="B100" s="182">
        <v>46110.0</v>
      </c>
      <c r="C100" s="182">
        <v>46104.0</v>
      </c>
      <c r="D100" s="57" t="s">
        <v>225</v>
      </c>
      <c r="E100" s="3">
        <f t="array" ref="E100">XLOOKUP(D100,RUC!$B$3:$B$110,RUC!$D$3:$D$110)</f>
        <v>10761932735</v>
      </c>
      <c r="G100" s="141">
        <v>95.0</v>
      </c>
      <c r="H100" s="3" t="s">
        <v>47</v>
      </c>
      <c r="I100" s="6">
        <v>8.51</v>
      </c>
      <c r="J100" s="58">
        <v>12.25</v>
      </c>
      <c r="K100" s="6">
        <f t="shared" si="2"/>
        <v>7.468</v>
      </c>
      <c r="L100" s="60">
        <v>0.452</v>
      </c>
      <c r="M100" s="60">
        <f t="shared" ref="M100:M101" si="71">+L100-0.035</f>
        <v>0.417</v>
      </c>
      <c r="N100" s="75">
        <v>0.464</v>
      </c>
      <c r="O100" s="60">
        <f t="shared" si="69"/>
        <v>0.441</v>
      </c>
      <c r="P100" s="63">
        <v>90.0</v>
      </c>
      <c r="Q100" s="58">
        <v>99.56</v>
      </c>
      <c r="R100" s="65">
        <v>4466.25</v>
      </c>
      <c r="S100" s="66">
        <f t="array" ref="S100">IF((XLOOKUP(D100,RUC!$B$3:$B$106,RUC!$E$3:$E$106)+ROUNDDOWN(O100,1)*100)&lt;95,95,((XLOOKUP(D100,RUC!$B$3:$B$106,RUC!$E$3:$E$106)+ROUNDDOWN(O100,1)*100)))</f>
        <v>130</v>
      </c>
      <c r="U100" s="67">
        <f t="array" ref="U100">XLOOKUP(D100,RUC!$B$3:$B$110,RUC!$F$3:$F$110)</f>
        <v>120</v>
      </c>
      <c r="V100" s="67">
        <v>1.1023</v>
      </c>
      <c r="Y100" s="57">
        <f t="array" ref="Y100">XLOOKUP(D100,RUC!$B$3:$B$110,RUC!$G$3:$G$110)</f>
        <v>20</v>
      </c>
      <c r="Z100" s="69">
        <f t="array" ref="Z100">XLOOKUP(D100,RUC!$B$3:$B$110,RUC!$H$3:$H$110)</f>
        <v>30</v>
      </c>
      <c r="AA100" s="70">
        <f t="shared" si="54"/>
        <v>50</v>
      </c>
      <c r="AB100" s="71">
        <f t="shared" si="55"/>
        <v>1703.082849</v>
      </c>
      <c r="AC100" s="71">
        <f>+(S100-T100)*V100-'data 1'!$F$4</f>
        <v>63.299</v>
      </c>
      <c r="AD100" s="71">
        <f t="shared" si="56"/>
        <v>207.0193012</v>
      </c>
      <c r="AE100" s="71">
        <f t="shared" si="57"/>
        <v>-14.885</v>
      </c>
      <c r="AF100" s="71">
        <f t="shared" si="58"/>
        <v>52.46770695</v>
      </c>
      <c r="AG100" s="72">
        <f t="shared" si="68"/>
        <v>324.9010081</v>
      </c>
      <c r="AH100" s="193">
        <f t="shared" si="60"/>
        <v>115.222</v>
      </c>
      <c r="AI100" s="193">
        <f t="shared" si="61"/>
        <v>115.732</v>
      </c>
      <c r="AJ100" s="73">
        <f t="shared" si="62"/>
        <v>274.6862177</v>
      </c>
      <c r="AK100" s="73">
        <f t="shared" si="63"/>
        <v>101.623577</v>
      </c>
      <c r="AM100" s="51">
        <f t="shared" si="64"/>
        <v>12718.62271</v>
      </c>
      <c r="AN100" s="122" t="str">
        <f t="array" ref="AN100">XLOOKUP(D100,RUC!$B$3:$B$565,RUC!$M$3:$M$565)</f>
        <v>Richard Sapacayo</v>
      </c>
      <c r="AO100" s="131" t="s">
        <v>549</v>
      </c>
      <c r="AP100" s="57" t="s">
        <v>2387</v>
      </c>
      <c r="AQ100" s="57" t="s">
        <v>1989</v>
      </c>
    </row>
    <row r="101" ht="15.0" customHeight="1">
      <c r="A101" s="116" t="s">
        <v>3566</v>
      </c>
      <c r="B101" s="182">
        <v>46110.0</v>
      </c>
      <c r="C101" s="182">
        <v>46104.0</v>
      </c>
      <c r="D101" s="57" t="s">
        <v>225</v>
      </c>
      <c r="E101" s="3">
        <f t="array" ref="E101">XLOOKUP(D101,RUC!$B$3:$B$110,RUC!$D$3:$D$110)</f>
        <v>10761932735</v>
      </c>
      <c r="G101" s="141">
        <v>150.0</v>
      </c>
      <c r="H101" s="3" t="s">
        <v>47</v>
      </c>
      <c r="I101" s="6">
        <v>13.44</v>
      </c>
      <c r="J101" s="58">
        <v>15.55</v>
      </c>
      <c r="K101" s="6">
        <f t="shared" si="2"/>
        <v>11.35</v>
      </c>
      <c r="L101" s="60">
        <v>0.351</v>
      </c>
      <c r="M101" s="60">
        <f t="shared" si="71"/>
        <v>0.316</v>
      </c>
      <c r="N101" s="75">
        <v>0.387</v>
      </c>
      <c r="O101" s="60">
        <f t="shared" si="69"/>
        <v>0.352</v>
      </c>
      <c r="P101" s="63">
        <v>90.0</v>
      </c>
      <c r="Q101" s="58">
        <v>98.86</v>
      </c>
      <c r="R101" s="65">
        <v>4466.25</v>
      </c>
      <c r="S101" s="66">
        <f t="array" ref="S101">IF((XLOOKUP(D101,RUC!$B$3:$B$106,RUC!$E$3:$E$106)+ROUNDDOWN(O101,1)*100)&lt;95,95,((XLOOKUP(D101,RUC!$B$3:$B$106,RUC!$E$3:$E$106)+ROUNDDOWN(O101,1)*100)))</f>
        <v>120</v>
      </c>
      <c r="U101" s="67">
        <f t="array" ref="U101">XLOOKUP(D101,RUC!$B$3:$B$110,RUC!$F$3:$F$110)</f>
        <v>120</v>
      </c>
      <c r="V101" s="67">
        <v>1.1023</v>
      </c>
      <c r="Y101" s="57">
        <f t="array" ref="Y101">XLOOKUP(D101,RUC!$B$3:$B$110,RUC!$G$3:$G$110)</f>
        <v>20</v>
      </c>
      <c r="Z101" s="69">
        <f t="array" ref="Z101">XLOOKUP(D101,RUC!$B$3:$B$110,RUC!$H$3:$H$110)</f>
        <v>30</v>
      </c>
      <c r="AA101" s="70">
        <f t="shared" si="54"/>
        <v>50</v>
      </c>
      <c r="AB101" s="71">
        <f t="shared" si="55"/>
        <v>1330.357052</v>
      </c>
      <c r="AC101" s="71">
        <f>+(S101-T101)*V101-'data 1'!$F$4</f>
        <v>52.276</v>
      </c>
      <c r="AD101" s="71">
        <f t="shared" si="56"/>
        <v>148.9893925</v>
      </c>
      <c r="AE101" s="71">
        <f t="shared" si="57"/>
        <v>-14.885</v>
      </c>
      <c r="AF101" s="71">
        <f t="shared" si="58"/>
        <v>-4.736255441</v>
      </c>
      <c r="AG101" s="72">
        <f t="shared" si="68"/>
        <v>198.6441371</v>
      </c>
      <c r="AH101" s="193">
        <f t="shared" si="60"/>
        <v>135.031</v>
      </c>
      <c r="AI101" s="193">
        <f t="shared" si="61"/>
        <v>136.588</v>
      </c>
      <c r="AJ101" s="73">
        <f t="shared" si="62"/>
        <v>211.8074683</v>
      </c>
      <c r="AK101" s="73">
        <f t="shared" si="63"/>
        <v>123.2792841</v>
      </c>
      <c r="AM101" s="51">
        <f t="shared" si="64"/>
        <v>15099.55254</v>
      </c>
      <c r="AN101" s="51" t="str">
        <f t="array" ref="AN101">XLOOKUP(D101,RUC!$B$3:$B$565,RUC!$M$3:$M$565)</f>
        <v>Richard Sapacayo</v>
      </c>
      <c r="AO101" s="131" t="s">
        <v>549</v>
      </c>
      <c r="AP101" s="57" t="s">
        <v>2387</v>
      </c>
      <c r="AQ101" s="57" t="s">
        <v>1989</v>
      </c>
    </row>
    <row r="102" ht="15.0" customHeight="1">
      <c r="A102" s="116" t="s">
        <v>3567</v>
      </c>
      <c r="B102" s="182">
        <v>46110.0</v>
      </c>
      <c r="C102" s="182">
        <v>46105.0</v>
      </c>
      <c r="D102" s="57" t="s">
        <v>806</v>
      </c>
      <c r="E102" s="3">
        <f t="array" ref="E102">XLOOKUP(D102,RUC!$B$3:$B$110,RUC!$D$3:$D$110)</f>
        <v>20614284740</v>
      </c>
      <c r="G102" s="141">
        <v>95.0</v>
      </c>
      <c r="H102" s="3" t="s">
        <v>47</v>
      </c>
      <c r="I102" s="6">
        <v>9.13</v>
      </c>
      <c r="J102" s="58">
        <v>4.5</v>
      </c>
      <c r="K102" s="6">
        <f t="shared" si="2"/>
        <v>8.719</v>
      </c>
      <c r="L102" s="60">
        <v>0.346</v>
      </c>
      <c r="M102" s="60">
        <f>ROUND(+IF(AN102="Melchor Vera",IF(L102&gt;0.467,L102*0.985,(L102-0.007)),IF(L102&gt;0.3,L102*0.94,(L102-0.019))),3)</f>
        <v>0.325</v>
      </c>
      <c r="N102" s="75">
        <v>0.418</v>
      </c>
      <c r="O102" s="123">
        <v>0.35</v>
      </c>
      <c r="P102" s="63">
        <v>90.0</v>
      </c>
      <c r="Q102" s="58">
        <v>90.46</v>
      </c>
      <c r="R102" s="65">
        <v>4413.55</v>
      </c>
      <c r="S102" s="66">
        <f t="array" ref="S102">IF((XLOOKUP(D102,RUC!$B$3:$B$106,RUC!$E$3:$E$106)+ROUNDDOWN(O102,1)*100)&lt;95,95,((XLOOKUP(D102,RUC!$B$3:$B$106,RUC!$E$3:$E$106)+ROUNDDOWN(O102,1)*100)))</f>
        <v>120</v>
      </c>
      <c r="U102" s="67">
        <f t="array" ref="U102">XLOOKUP(D102,RUC!$B$3:$B$110,RUC!$F$3:$F$110)</f>
        <v>120</v>
      </c>
      <c r="V102" s="67">
        <v>1.1023</v>
      </c>
      <c r="Y102" s="57">
        <f t="array" ref="Y102">XLOOKUP(D102,RUC!$B$3:$B$110,RUC!$G$3:$G$110)</f>
        <v>20</v>
      </c>
      <c r="Z102" s="69">
        <f t="array" ref="Z102">XLOOKUP(D102,RUC!$B$3:$B$110,RUC!$H$3:$H$110)</f>
        <v>30</v>
      </c>
      <c r="AA102" s="70">
        <f t="shared" si="54"/>
        <v>50</v>
      </c>
      <c r="AB102" s="71">
        <f t="shared" si="55"/>
        <v>1303.434752</v>
      </c>
      <c r="AC102" s="71">
        <f>+(S102-T102)*V102-'data 1'!$F$4</f>
        <v>52.276</v>
      </c>
      <c r="AD102" s="71">
        <f t="shared" si="56"/>
        <v>7.532692911</v>
      </c>
      <c r="AE102" s="71">
        <f t="shared" si="57"/>
        <v>-14.885</v>
      </c>
      <c r="AF102" s="71">
        <f t="shared" si="58"/>
        <v>-17.12509175</v>
      </c>
      <c r="AG102" s="72">
        <f t="shared" si="68"/>
        <v>44.79860116</v>
      </c>
      <c r="AH102" s="193">
        <f t="shared" si="60"/>
        <v>93.564</v>
      </c>
      <c r="AI102" s="193">
        <f t="shared" si="61"/>
        <v>103.431</v>
      </c>
      <c r="AJ102" s="73">
        <f t="shared" si="62"/>
        <v>209.231703</v>
      </c>
      <c r="AK102" s="73">
        <f t="shared" si="63"/>
        <v>94.164304</v>
      </c>
      <c r="AM102" s="51">
        <f t="shared" si="64"/>
        <v>11364.6476</v>
      </c>
      <c r="AN102" s="51" t="str">
        <f t="array" ref="AN102">XLOOKUP(D102,RUC!$B$3:$B$565,RUC!$M$3:$M$565)</f>
        <v>Dante </v>
      </c>
      <c r="AO102" s="131" t="s">
        <v>549</v>
      </c>
      <c r="AP102" s="57" t="s">
        <v>3092</v>
      </c>
      <c r="AQ102" s="57" t="s">
        <v>2459</v>
      </c>
      <c r="AR102" s="2" t="s">
        <v>3568</v>
      </c>
    </row>
    <row r="103" ht="15.0" customHeight="1">
      <c r="B103" s="182"/>
      <c r="C103" s="3"/>
      <c r="E103" s="3"/>
      <c r="H103" s="3"/>
      <c r="I103" s="6"/>
      <c r="AG103" s="91"/>
    </row>
    <row r="104" ht="15.0" customHeight="1">
      <c r="B104" s="182"/>
      <c r="C104" s="3"/>
      <c r="E104" s="3"/>
      <c r="H104" s="3"/>
      <c r="O104" s="65"/>
      <c r="AG104" s="91"/>
    </row>
    <row r="105" ht="15.75" customHeight="1">
      <c r="B105" s="182"/>
      <c r="C105" s="3"/>
      <c r="E105" s="3"/>
      <c r="H105" s="3"/>
      <c r="AG105" s="91"/>
    </row>
    <row r="106" ht="15.75" customHeight="1">
      <c r="B106" s="182"/>
      <c r="C106" s="3"/>
      <c r="E106" s="3"/>
      <c r="H106" s="3"/>
      <c r="AG106" s="91"/>
    </row>
    <row r="107" ht="15.75" customHeight="1">
      <c r="B107" s="182"/>
      <c r="C107" s="3"/>
      <c r="E107" s="3"/>
      <c r="H107" s="3"/>
      <c r="AG107" s="91"/>
    </row>
    <row r="108" ht="15.75" customHeight="1">
      <c r="B108" s="182"/>
      <c r="C108" s="3"/>
      <c r="E108" s="3"/>
      <c r="H108" s="3"/>
      <c r="AG108" s="91"/>
    </row>
    <row r="109" ht="15.75" customHeight="1">
      <c r="B109" s="182"/>
      <c r="C109" s="3"/>
      <c r="E109" s="3"/>
      <c r="H109" s="3"/>
      <c r="AG109" s="91"/>
    </row>
    <row r="110" ht="15.75" customHeight="1">
      <c r="B110" s="182"/>
      <c r="C110" s="3"/>
      <c r="E110" s="3"/>
      <c r="H110" s="3"/>
      <c r="AG110" s="91"/>
    </row>
    <row r="111" ht="15.75" customHeight="1">
      <c r="B111" s="182"/>
      <c r="C111" s="3"/>
      <c r="E111" s="3"/>
      <c r="H111" s="3"/>
      <c r="AG111" s="91"/>
    </row>
    <row r="112" ht="15.75" customHeight="1">
      <c r="B112" s="182"/>
      <c r="C112" s="3"/>
      <c r="E112" s="3"/>
      <c r="H112" s="3"/>
      <c r="AG112" s="91"/>
    </row>
    <row r="113" ht="15.75" customHeight="1">
      <c r="B113" s="182"/>
      <c r="C113" s="3"/>
      <c r="E113" s="3"/>
      <c r="H113" s="3"/>
      <c r="AG113" s="91"/>
    </row>
    <row r="114" ht="15.75" customHeight="1">
      <c r="B114" s="182"/>
      <c r="C114" s="3"/>
      <c r="E114" s="3"/>
      <c r="H114" s="3"/>
      <c r="AG114" s="91"/>
    </row>
    <row r="115" ht="15.75" customHeight="1">
      <c r="B115" s="182"/>
      <c r="C115" s="3"/>
      <c r="E115" s="3"/>
      <c r="H115" s="3"/>
      <c r="AG115" s="91"/>
    </row>
    <row r="116" ht="15.75" customHeight="1">
      <c r="B116" s="182"/>
      <c r="C116" s="3"/>
      <c r="E116" s="3"/>
      <c r="H116" s="3"/>
      <c r="AG116" s="91"/>
    </row>
    <row r="117" ht="15.75" customHeight="1">
      <c r="B117" s="182"/>
      <c r="C117" s="3"/>
      <c r="E117" s="3"/>
      <c r="H117" s="3"/>
      <c r="AG117" s="91"/>
    </row>
    <row r="118" ht="15.75" customHeight="1">
      <c r="B118" s="182"/>
      <c r="C118" s="3"/>
      <c r="E118" s="3"/>
      <c r="H118" s="3"/>
      <c r="AG118" s="91"/>
    </row>
    <row r="119" ht="15.75" customHeight="1">
      <c r="B119" s="182"/>
      <c r="C119" s="3"/>
      <c r="E119" s="3"/>
      <c r="H119" s="3"/>
      <c r="AG119" s="91"/>
    </row>
    <row r="120" ht="15.75" customHeight="1">
      <c r="B120" s="182"/>
      <c r="C120" s="3"/>
      <c r="E120" s="3"/>
      <c r="H120" s="3"/>
      <c r="AG120" s="91"/>
    </row>
    <row r="121" ht="15.75" customHeight="1">
      <c r="B121" s="182"/>
      <c r="C121" s="3"/>
      <c r="E121" s="3"/>
      <c r="H121" s="3"/>
      <c r="AG121" s="91"/>
    </row>
    <row r="122" ht="15.75" customHeight="1">
      <c r="B122" s="182"/>
      <c r="C122" s="3"/>
      <c r="E122" s="3"/>
      <c r="H122" s="3"/>
      <c r="AG122" s="91"/>
    </row>
    <row r="123" ht="15.75" customHeight="1">
      <c r="B123" s="182"/>
      <c r="C123" s="3"/>
      <c r="E123" s="3"/>
      <c r="H123" s="3"/>
      <c r="AG123" s="91"/>
    </row>
    <row r="124" ht="15.75" customHeight="1">
      <c r="B124" s="182"/>
      <c r="C124" s="3"/>
      <c r="E124" s="3"/>
      <c r="H124" s="3"/>
      <c r="AG124" s="91"/>
    </row>
    <row r="125" ht="15.75" customHeight="1">
      <c r="B125" s="182"/>
      <c r="C125" s="3"/>
      <c r="E125" s="3"/>
      <c r="H125" s="3"/>
      <c r="AG125" s="91"/>
    </row>
    <row r="126" ht="15.75" customHeight="1">
      <c r="B126" s="182"/>
      <c r="C126" s="3"/>
      <c r="E126" s="3"/>
      <c r="H126" s="3"/>
      <c r="AG126" s="91"/>
    </row>
    <row r="127" ht="15.75" customHeight="1">
      <c r="B127" s="182"/>
      <c r="C127" s="3"/>
      <c r="E127" s="3"/>
      <c r="H127" s="3"/>
      <c r="AG127" s="91"/>
    </row>
    <row r="128" ht="15.75" customHeight="1">
      <c r="B128" s="182"/>
      <c r="C128" s="3"/>
      <c r="E128" s="3"/>
      <c r="H128" s="3"/>
      <c r="AG128" s="91"/>
    </row>
    <row r="129" ht="15.75" customHeight="1">
      <c r="B129" s="182"/>
      <c r="C129" s="3"/>
      <c r="E129" s="3"/>
      <c r="H129" s="3"/>
      <c r="AG129" s="91"/>
    </row>
    <row r="130" ht="15.75" customHeight="1">
      <c r="B130" s="182"/>
      <c r="C130" s="3"/>
      <c r="E130" s="3"/>
      <c r="H130" s="3"/>
      <c r="AG130" s="91"/>
    </row>
    <row r="131" ht="15.75" customHeight="1">
      <c r="B131" s="182"/>
      <c r="C131" s="3"/>
      <c r="E131" s="3"/>
      <c r="H131" s="3"/>
      <c r="AG131" s="91"/>
    </row>
    <row r="132" ht="15.75" customHeight="1">
      <c r="B132" s="182"/>
      <c r="C132" s="3"/>
      <c r="E132" s="3"/>
      <c r="H132" s="3"/>
      <c r="AG132" s="91"/>
    </row>
    <row r="133" ht="15.75" customHeight="1">
      <c r="B133" s="182"/>
      <c r="C133" s="3"/>
      <c r="E133" s="3"/>
      <c r="H133" s="3"/>
      <c r="AG133" s="91"/>
    </row>
    <row r="134" ht="15.75" customHeight="1">
      <c r="B134" s="182"/>
      <c r="C134" s="3"/>
      <c r="E134" s="3"/>
      <c r="H134" s="3"/>
      <c r="AG134" s="91"/>
    </row>
    <row r="135" ht="15.75" customHeight="1">
      <c r="B135" s="182"/>
      <c r="C135" s="3"/>
      <c r="E135" s="3"/>
      <c r="H135" s="3"/>
      <c r="AG135" s="91"/>
    </row>
    <row r="136" ht="15.75" customHeight="1">
      <c r="B136" s="182"/>
      <c r="C136" s="3"/>
      <c r="E136" s="3"/>
      <c r="H136" s="3"/>
      <c r="AG136" s="91"/>
    </row>
    <row r="137" ht="15.75" customHeight="1">
      <c r="B137" s="182"/>
      <c r="C137" s="3"/>
      <c r="E137" s="3"/>
      <c r="H137" s="3"/>
      <c r="AG137" s="91"/>
    </row>
    <row r="138" ht="15.75" customHeight="1">
      <c r="B138" s="182"/>
      <c r="C138" s="3"/>
      <c r="E138" s="3"/>
      <c r="H138" s="3"/>
      <c r="AG138" s="91"/>
    </row>
    <row r="139" ht="15.75" customHeight="1">
      <c r="B139" s="182"/>
      <c r="C139" s="3"/>
      <c r="E139" s="3"/>
      <c r="H139" s="3"/>
      <c r="AG139" s="91"/>
    </row>
    <row r="140" ht="15.75" customHeight="1">
      <c r="B140" s="182"/>
      <c r="C140" s="3"/>
      <c r="E140" s="3"/>
      <c r="H140" s="3"/>
      <c r="AG140" s="91"/>
    </row>
    <row r="141" ht="15.75" customHeight="1">
      <c r="B141" s="182"/>
      <c r="C141" s="3"/>
      <c r="E141" s="3"/>
      <c r="H141" s="3"/>
      <c r="AG141" s="91"/>
    </row>
    <row r="142" ht="15.75" customHeight="1">
      <c r="B142" s="182"/>
      <c r="C142" s="3"/>
      <c r="E142" s="3"/>
      <c r="H142" s="3"/>
      <c r="AG142" s="91"/>
    </row>
    <row r="143" ht="15.75" customHeight="1">
      <c r="B143" s="182"/>
      <c r="C143" s="3"/>
      <c r="E143" s="3"/>
      <c r="H143" s="3"/>
      <c r="AG143" s="91"/>
    </row>
    <row r="144" ht="15.75" customHeight="1">
      <c r="B144" s="182"/>
      <c r="C144" s="3"/>
      <c r="E144" s="3"/>
      <c r="H144" s="3"/>
      <c r="AG144" s="91"/>
    </row>
    <row r="145" ht="15.75" customHeight="1">
      <c r="B145" s="182"/>
      <c r="C145" s="3"/>
      <c r="E145" s="3"/>
      <c r="H145" s="3"/>
      <c r="AG145" s="91"/>
    </row>
    <row r="146" ht="15.75" customHeight="1">
      <c r="B146" s="182"/>
      <c r="C146" s="3"/>
      <c r="E146" s="3"/>
      <c r="H146" s="3"/>
      <c r="AG146" s="91"/>
    </row>
    <row r="147" ht="15.75" customHeight="1">
      <c r="B147" s="182"/>
      <c r="C147" s="3"/>
      <c r="E147" s="3"/>
      <c r="H147" s="3"/>
      <c r="AG147" s="91"/>
    </row>
    <row r="148" ht="15.75" customHeight="1">
      <c r="B148" s="182"/>
      <c r="C148" s="3"/>
      <c r="E148" s="3"/>
      <c r="H148" s="3"/>
      <c r="AG148" s="91"/>
    </row>
    <row r="149" ht="15.75" customHeight="1">
      <c r="B149" s="182"/>
      <c r="C149" s="3"/>
      <c r="E149" s="3"/>
      <c r="H149" s="3"/>
      <c r="AG149" s="91"/>
    </row>
    <row r="150" ht="15.75" customHeight="1">
      <c r="B150" s="182"/>
      <c r="C150" s="3"/>
      <c r="E150" s="3"/>
      <c r="H150" s="3"/>
      <c r="AG150" s="91"/>
    </row>
    <row r="151" ht="15.75" customHeight="1">
      <c r="B151" s="182"/>
      <c r="C151" s="3"/>
      <c r="E151" s="3"/>
      <c r="H151" s="3"/>
      <c r="AG151" s="91"/>
    </row>
    <row r="152" ht="15.75" customHeight="1">
      <c r="B152" s="182"/>
      <c r="C152" s="3"/>
      <c r="E152" s="3"/>
      <c r="H152" s="3"/>
      <c r="AG152" s="91"/>
    </row>
    <row r="153" ht="15.75" customHeight="1">
      <c r="B153" s="182"/>
      <c r="C153" s="3"/>
      <c r="E153" s="3"/>
      <c r="H153" s="3"/>
      <c r="AG153" s="91"/>
    </row>
    <row r="154" ht="15.75" customHeight="1">
      <c r="B154" s="182"/>
      <c r="C154" s="3"/>
      <c r="E154" s="3"/>
      <c r="H154" s="3"/>
      <c r="AG154" s="91"/>
    </row>
    <row r="155" ht="15.75" customHeight="1">
      <c r="B155" s="182"/>
      <c r="C155" s="3"/>
      <c r="E155" s="3"/>
      <c r="H155" s="3"/>
      <c r="AG155" s="91"/>
    </row>
    <row r="156" ht="15.75" customHeight="1">
      <c r="B156" s="182"/>
      <c r="C156" s="3"/>
      <c r="E156" s="3"/>
      <c r="H156" s="3"/>
      <c r="AG156" s="91"/>
    </row>
    <row r="157" ht="15.75" customHeight="1">
      <c r="B157" s="182"/>
      <c r="C157" s="3"/>
      <c r="E157" s="3"/>
      <c r="H157" s="3"/>
      <c r="AG157" s="91"/>
    </row>
    <row r="158" ht="15.75" customHeight="1">
      <c r="B158" s="182"/>
      <c r="C158" s="3"/>
      <c r="E158" s="3"/>
      <c r="H158" s="3"/>
      <c r="AG158" s="91"/>
    </row>
    <row r="159" ht="15.75" customHeight="1">
      <c r="B159" s="182"/>
      <c r="C159" s="3"/>
      <c r="E159" s="3"/>
      <c r="H159" s="3"/>
      <c r="AG159" s="91"/>
    </row>
    <row r="160" ht="15.75" customHeight="1">
      <c r="B160" s="182"/>
      <c r="C160" s="3"/>
      <c r="E160" s="3"/>
      <c r="H160" s="3"/>
      <c r="AG160" s="91"/>
    </row>
    <row r="161" ht="15.75" customHeight="1">
      <c r="B161" s="182"/>
      <c r="C161" s="3"/>
      <c r="E161" s="3"/>
      <c r="H161" s="3"/>
      <c r="AG161" s="91"/>
    </row>
    <row r="162" ht="15.75" customHeight="1">
      <c r="B162" s="182"/>
      <c r="C162" s="3"/>
      <c r="E162" s="3"/>
      <c r="H162" s="3"/>
      <c r="AG162" s="91"/>
    </row>
    <row r="163" ht="15.75" customHeight="1">
      <c r="B163" s="182"/>
      <c r="C163" s="3"/>
      <c r="E163" s="3"/>
      <c r="H163" s="3"/>
      <c r="AG163" s="91"/>
    </row>
    <row r="164" ht="15.75" customHeight="1">
      <c r="B164" s="182"/>
      <c r="C164" s="3"/>
      <c r="E164" s="3"/>
      <c r="H164" s="3"/>
      <c r="AG164" s="91"/>
    </row>
    <row r="165" ht="15.75" customHeight="1">
      <c r="B165" s="182"/>
      <c r="C165" s="3"/>
      <c r="E165" s="3"/>
      <c r="H165" s="3"/>
      <c r="AG165" s="91"/>
    </row>
    <row r="166" ht="15.75" customHeight="1">
      <c r="B166" s="182"/>
      <c r="C166" s="3"/>
      <c r="E166" s="3"/>
      <c r="H166" s="3"/>
      <c r="AG166" s="91"/>
    </row>
    <row r="167" ht="15.75" customHeight="1">
      <c r="B167" s="182"/>
      <c r="C167" s="3"/>
      <c r="E167" s="3"/>
      <c r="H167" s="3"/>
      <c r="AG167" s="91"/>
    </row>
    <row r="168" ht="15.75" customHeight="1">
      <c r="B168" s="182"/>
      <c r="C168" s="3"/>
      <c r="E168" s="3"/>
      <c r="H168" s="3"/>
      <c r="AG168" s="91"/>
    </row>
    <row r="169" ht="15.75" customHeight="1">
      <c r="B169" s="182"/>
      <c r="C169" s="3"/>
      <c r="E169" s="3"/>
      <c r="H169" s="3"/>
      <c r="AG169" s="91"/>
    </row>
    <row r="170" ht="15.75" customHeight="1">
      <c r="B170" s="182"/>
      <c r="C170" s="3"/>
      <c r="E170" s="3"/>
      <c r="H170" s="3"/>
      <c r="AG170" s="91"/>
    </row>
    <row r="171" ht="15.75" customHeight="1">
      <c r="B171" s="182"/>
      <c r="C171" s="3"/>
      <c r="E171" s="3"/>
      <c r="H171" s="3"/>
      <c r="AG171" s="91"/>
    </row>
    <row r="172" ht="15.75" customHeight="1">
      <c r="B172" s="182"/>
      <c r="C172" s="3"/>
      <c r="E172" s="3"/>
      <c r="H172" s="3"/>
      <c r="AG172" s="91"/>
    </row>
    <row r="173" ht="15.75" customHeight="1">
      <c r="B173" s="182"/>
      <c r="C173" s="3"/>
      <c r="E173" s="3"/>
      <c r="H173" s="3"/>
      <c r="AG173" s="91"/>
    </row>
    <row r="174" ht="15.75" customHeight="1">
      <c r="B174" s="182"/>
      <c r="C174" s="3"/>
      <c r="E174" s="3"/>
      <c r="H174" s="3"/>
      <c r="AG174" s="91"/>
    </row>
    <row r="175" ht="15.75" customHeight="1">
      <c r="B175" s="182"/>
      <c r="C175" s="3"/>
      <c r="E175" s="3"/>
      <c r="H175" s="3"/>
      <c r="AG175" s="91"/>
    </row>
    <row r="176" ht="15.75" customHeight="1">
      <c r="B176" s="182"/>
      <c r="C176" s="3"/>
      <c r="E176" s="3"/>
      <c r="H176" s="3"/>
      <c r="AG176" s="91"/>
    </row>
    <row r="177" ht="15.75" customHeight="1">
      <c r="B177" s="182"/>
      <c r="C177" s="3"/>
      <c r="E177" s="3"/>
      <c r="H177" s="3"/>
      <c r="AG177" s="91"/>
    </row>
    <row r="178" ht="15.75" customHeight="1">
      <c r="B178" s="182"/>
      <c r="C178" s="3"/>
      <c r="E178" s="3"/>
      <c r="H178" s="3"/>
      <c r="AG178" s="91"/>
    </row>
    <row r="179" ht="15.75" customHeight="1">
      <c r="B179" s="182"/>
      <c r="C179" s="3"/>
      <c r="E179" s="3"/>
      <c r="H179" s="3"/>
      <c r="AG179" s="91"/>
    </row>
    <row r="180" ht="15.75" customHeight="1">
      <c r="B180" s="182"/>
      <c r="C180" s="3"/>
      <c r="E180" s="3"/>
      <c r="H180" s="3"/>
      <c r="AG180" s="91"/>
    </row>
    <row r="181" ht="15.75" customHeight="1">
      <c r="B181" s="182"/>
      <c r="C181" s="3"/>
      <c r="E181" s="3"/>
      <c r="H181" s="3"/>
      <c r="AG181" s="91"/>
    </row>
    <row r="182" ht="15.75" customHeight="1">
      <c r="B182" s="182"/>
      <c r="C182" s="3"/>
      <c r="E182" s="3"/>
      <c r="H182" s="3"/>
      <c r="AG182" s="91"/>
    </row>
    <row r="183" ht="15.75" customHeight="1">
      <c r="B183" s="182"/>
      <c r="C183" s="3"/>
      <c r="E183" s="3"/>
      <c r="H183" s="3"/>
      <c r="AG183" s="91"/>
    </row>
    <row r="184" ht="15.75" customHeight="1">
      <c r="B184" s="182"/>
      <c r="C184" s="3"/>
      <c r="E184" s="3"/>
      <c r="H184" s="3"/>
      <c r="AG184" s="91"/>
    </row>
    <row r="185" ht="15.75" customHeight="1">
      <c r="B185" s="182"/>
      <c r="C185" s="3"/>
      <c r="E185" s="3"/>
      <c r="H185" s="3"/>
      <c r="AG185" s="91"/>
    </row>
    <row r="186" ht="15.75" customHeight="1">
      <c r="B186" s="182"/>
      <c r="C186" s="3"/>
      <c r="E186" s="3"/>
      <c r="H186" s="3"/>
      <c r="AG186" s="91"/>
    </row>
    <row r="187" ht="15.75" customHeight="1">
      <c r="B187" s="182"/>
      <c r="C187" s="3"/>
      <c r="E187" s="3"/>
      <c r="H187" s="3"/>
      <c r="AG187" s="91"/>
    </row>
    <row r="188" ht="15.75" customHeight="1">
      <c r="B188" s="182"/>
      <c r="C188" s="3"/>
      <c r="E188" s="3"/>
      <c r="H188" s="3"/>
      <c r="AG188" s="91"/>
    </row>
    <row r="189" ht="15.75" customHeight="1">
      <c r="B189" s="182"/>
      <c r="C189" s="3"/>
      <c r="E189" s="3"/>
      <c r="H189" s="3"/>
      <c r="AG189" s="91"/>
    </row>
    <row r="190" ht="15.75" customHeight="1">
      <c r="B190" s="182"/>
      <c r="C190" s="3"/>
      <c r="E190" s="3"/>
      <c r="H190" s="3"/>
      <c r="AG190" s="91"/>
    </row>
    <row r="191" ht="15.75" customHeight="1">
      <c r="B191" s="182"/>
      <c r="C191" s="3"/>
      <c r="E191" s="3"/>
      <c r="H191" s="3"/>
      <c r="AG191" s="91"/>
    </row>
    <row r="192" ht="15.75" customHeight="1">
      <c r="B192" s="182"/>
      <c r="C192" s="3"/>
      <c r="E192" s="3"/>
      <c r="H192" s="3"/>
      <c r="AG192" s="91"/>
    </row>
    <row r="193" ht="15.75" customHeight="1">
      <c r="B193" s="182"/>
      <c r="C193" s="3"/>
      <c r="E193" s="3"/>
      <c r="H193" s="3"/>
      <c r="AG193" s="91"/>
    </row>
    <row r="194" ht="15.75" customHeight="1">
      <c r="B194" s="182"/>
      <c r="C194" s="3"/>
      <c r="E194" s="3"/>
      <c r="H194" s="3"/>
      <c r="AG194" s="91"/>
    </row>
    <row r="195" ht="15.75" customHeight="1">
      <c r="B195" s="182"/>
      <c r="C195" s="3"/>
      <c r="E195" s="3"/>
      <c r="H195" s="3"/>
      <c r="AG195" s="91"/>
    </row>
    <row r="196" ht="15.75" customHeight="1">
      <c r="B196" s="182"/>
      <c r="C196" s="3"/>
      <c r="E196" s="3"/>
      <c r="H196" s="3"/>
      <c r="AG196" s="91"/>
    </row>
    <row r="197" ht="15.75" customHeight="1">
      <c r="B197" s="182"/>
      <c r="C197" s="3"/>
      <c r="E197" s="3"/>
      <c r="H197" s="3"/>
      <c r="AG197" s="91"/>
    </row>
    <row r="198" ht="15.75" customHeight="1">
      <c r="B198" s="182"/>
      <c r="C198" s="3"/>
      <c r="E198" s="3"/>
      <c r="H198" s="3"/>
      <c r="AG198" s="91"/>
    </row>
    <row r="199" ht="15.75" customHeight="1">
      <c r="B199" s="182"/>
      <c r="C199" s="3"/>
      <c r="E199" s="3"/>
      <c r="H199" s="3"/>
      <c r="AG199" s="91"/>
    </row>
    <row r="200" ht="15.75" customHeight="1">
      <c r="B200" s="182"/>
      <c r="C200" s="3"/>
      <c r="E200" s="3"/>
      <c r="H200" s="3"/>
      <c r="AG200" s="91"/>
    </row>
    <row r="201" ht="15.75" customHeight="1">
      <c r="B201" s="182"/>
      <c r="C201" s="3"/>
      <c r="E201" s="3"/>
      <c r="H201" s="3"/>
      <c r="AG201" s="91"/>
    </row>
    <row r="202" ht="15.75" customHeight="1">
      <c r="B202" s="182"/>
      <c r="C202" s="3"/>
      <c r="E202" s="3"/>
      <c r="H202" s="3"/>
      <c r="AG202" s="91"/>
    </row>
    <row r="203" ht="15.75" customHeight="1">
      <c r="B203" s="182"/>
      <c r="C203" s="3"/>
      <c r="E203" s="3"/>
      <c r="H203" s="3"/>
      <c r="AG203" s="91"/>
    </row>
    <row r="204" ht="15.75" customHeight="1">
      <c r="B204" s="182"/>
      <c r="C204" s="3"/>
      <c r="E204" s="3"/>
      <c r="H204" s="3"/>
      <c r="AG204" s="91"/>
    </row>
    <row r="205" ht="15.75" customHeight="1">
      <c r="B205" s="182"/>
      <c r="C205" s="3"/>
      <c r="E205" s="3"/>
      <c r="H205" s="3"/>
      <c r="AG205" s="91"/>
    </row>
    <row r="206" ht="15.75" customHeight="1">
      <c r="B206" s="182"/>
      <c r="C206" s="3"/>
      <c r="E206" s="3"/>
      <c r="H206" s="3"/>
      <c r="AG206" s="91"/>
    </row>
    <row r="207" ht="15.75" customHeight="1">
      <c r="B207" s="182"/>
      <c r="C207" s="3"/>
      <c r="E207" s="3"/>
      <c r="H207" s="3"/>
      <c r="AG207" s="91"/>
    </row>
    <row r="208" ht="15.75" customHeight="1">
      <c r="B208" s="182"/>
      <c r="C208" s="3"/>
      <c r="E208" s="3"/>
      <c r="H208" s="3"/>
      <c r="AG208" s="91"/>
    </row>
    <row r="209" ht="15.75" customHeight="1">
      <c r="B209" s="182"/>
      <c r="C209" s="3"/>
      <c r="E209" s="3"/>
      <c r="H209" s="3"/>
      <c r="AG209" s="91"/>
    </row>
    <row r="210" ht="15.75" customHeight="1">
      <c r="B210" s="182"/>
      <c r="C210" s="3"/>
      <c r="E210" s="3"/>
      <c r="H210" s="3"/>
      <c r="AG210" s="91"/>
    </row>
    <row r="211" ht="15.75" customHeight="1">
      <c r="B211" s="182"/>
      <c r="C211" s="3"/>
      <c r="E211" s="3"/>
      <c r="H211" s="3"/>
      <c r="AG211" s="91"/>
    </row>
    <row r="212" ht="15.75" customHeight="1">
      <c r="B212" s="182"/>
      <c r="C212" s="3"/>
      <c r="E212" s="3"/>
      <c r="H212" s="3"/>
      <c r="AG212" s="91"/>
    </row>
    <row r="213" ht="15.75" customHeight="1">
      <c r="B213" s="182"/>
      <c r="C213" s="3"/>
      <c r="E213" s="3"/>
      <c r="H213" s="3"/>
      <c r="AG213" s="91"/>
    </row>
    <row r="214" ht="15.75" customHeight="1">
      <c r="B214" s="182"/>
      <c r="C214" s="3"/>
      <c r="E214" s="3"/>
      <c r="H214" s="3"/>
      <c r="AG214" s="91"/>
    </row>
    <row r="215" ht="15.75" customHeight="1">
      <c r="B215" s="182"/>
      <c r="C215" s="3"/>
      <c r="E215" s="3"/>
      <c r="H215" s="3"/>
      <c r="AG215" s="91"/>
    </row>
    <row r="216" ht="15.75" customHeight="1">
      <c r="B216" s="182"/>
      <c r="C216" s="3"/>
      <c r="E216" s="3"/>
      <c r="H216" s="3"/>
      <c r="AG216" s="91"/>
    </row>
    <row r="217" ht="15.75" customHeight="1">
      <c r="B217" s="182"/>
      <c r="C217" s="3"/>
      <c r="E217" s="3"/>
      <c r="H217" s="3"/>
      <c r="AG217" s="91"/>
    </row>
    <row r="218" ht="15.75" customHeight="1">
      <c r="B218" s="182"/>
      <c r="C218" s="3"/>
      <c r="E218" s="3"/>
      <c r="H218" s="3"/>
      <c r="AG218" s="91"/>
    </row>
    <row r="219" ht="15.75" customHeight="1">
      <c r="B219" s="182"/>
      <c r="C219" s="3"/>
      <c r="E219" s="3"/>
      <c r="H219" s="3"/>
      <c r="AG219" s="91"/>
    </row>
    <row r="220" ht="15.75" customHeight="1">
      <c r="B220" s="182"/>
      <c r="C220" s="3"/>
      <c r="E220" s="3"/>
      <c r="H220" s="3"/>
      <c r="AG220" s="91"/>
    </row>
    <row r="221" ht="15.75" customHeight="1">
      <c r="B221" s="182"/>
      <c r="C221" s="3"/>
      <c r="E221" s="3"/>
      <c r="H221" s="3"/>
      <c r="AG221" s="91"/>
    </row>
    <row r="222" ht="15.75" customHeight="1">
      <c r="B222" s="182"/>
      <c r="C222" s="3"/>
      <c r="E222" s="3"/>
      <c r="H222" s="3"/>
      <c r="AG222" s="91"/>
    </row>
    <row r="223" ht="15.75" customHeight="1">
      <c r="B223" s="182"/>
      <c r="C223" s="3"/>
      <c r="E223" s="3"/>
      <c r="H223" s="3"/>
      <c r="AG223" s="91"/>
    </row>
    <row r="224" ht="15.75" customHeight="1">
      <c r="B224" s="182"/>
      <c r="C224" s="3"/>
      <c r="E224" s="3"/>
      <c r="H224" s="3"/>
      <c r="AG224" s="91"/>
    </row>
    <row r="225" ht="15.75" customHeight="1">
      <c r="B225" s="182"/>
      <c r="C225" s="3"/>
      <c r="E225" s="3"/>
      <c r="H225" s="3"/>
      <c r="AG225" s="91"/>
    </row>
    <row r="226" ht="15.75" customHeight="1">
      <c r="B226" s="182"/>
      <c r="C226" s="3"/>
      <c r="E226" s="3"/>
      <c r="H226" s="3"/>
      <c r="AG226" s="91"/>
    </row>
    <row r="227" ht="15.75" customHeight="1">
      <c r="B227" s="182"/>
      <c r="C227" s="3"/>
      <c r="E227" s="3"/>
      <c r="H227" s="3"/>
      <c r="AG227" s="91"/>
    </row>
    <row r="228" ht="15.75" customHeight="1">
      <c r="B228" s="182"/>
      <c r="C228" s="3"/>
      <c r="E228" s="3"/>
      <c r="H228" s="3"/>
      <c r="AG228" s="91"/>
    </row>
    <row r="229" ht="15.75" customHeight="1">
      <c r="B229" s="182"/>
      <c r="C229" s="3"/>
      <c r="E229" s="3"/>
      <c r="H229" s="3"/>
      <c r="AG229" s="91"/>
    </row>
    <row r="230" ht="15.75" customHeight="1">
      <c r="B230" s="182"/>
      <c r="C230" s="3"/>
      <c r="E230" s="3"/>
      <c r="H230" s="3"/>
      <c r="AG230" s="91"/>
    </row>
    <row r="231" ht="15.75" customHeight="1">
      <c r="B231" s="182"/>
      <c r="C231" s="3"/>
      <c r="E231" s="3"/>
      <c r="H231" s="3"/>
      <c r="AG231" s="91"/>
    </row>
    <row r="232" ht="15.75" customHeight="1">
      <c r="B232" s="182"/>
      <c r="C232" s="3"/>
      <c r="E232" s="3"/>
      <c r="H232" s="3"/>
      <c r="AG232" s="91"/>
    </row>
    <row r="233" ht="15.75" customHeight="1">
      <c r="B233" s="182"/>
      <c r="C233" s="3"/>
      <c r="E233" s="3"/>
      <c r="H233" s="3"/>
      <c r="AG233" s="91"/>
    </row>
    <row r="234" ht="15.75" customHeight="1">
      <c r="B234" s="182"/>
      <c r="C234" s="3"/>
      <c r="E234" s="3"/>
      <c r="H234" s="3"/>
      <c r="AG234" s="91"/>
    </row>
    <row r="235" ht="15.75" customHeight="1">
      <c r="B235" s="182"/>
      <c r="C235" s="3"/>
      <c r="E235" s="3"/>
      <c r="H235" s="3"/>
      <c r="AG235" s="91"/>
    </row>
    <row r="236" ht="15.75" customHeight="1">
      <c r="B236" s="182"/>
      <c r="C236" s="3"/>
      <c r="E236" s="3"/>
      <c r="H236" s="3"/>
      <c r="AG236" s="91"/>
    </row>
    <row r="237" ht="15.75" customHeight="1">
      <c r="B237" s="182"/>
      <c r="C237" s="3"/>
      <c r="E237" s="3"/>
      <c r="H237" s="3"/>
      <c r="AG237" s="91"/>
    </row>
    <row r="238" ht="15.75" customHeight="1">
      <c r="B238" s="182"/>
      <c r="C238" s="3"/>
      <c r="E238" s="3"/>
      <c r="H238" s="3"/>
      <c r="AG238" s="91"/>
    </row>
    <row r="239" ht="15.75" customHeight="1">
      <c r="B239" s="182"/>
      <c r="C239" s="3"/>
      <c r="E239" s="3"/>
      <c r="H239" s="3"/>
      <c r="AG239" s="91"/>
    </row>
    <row r="240" ht="15.75" customHeight="1">
      <c r="B240" s="182"/>
      <c r="C240" s="3"/>
      <c r="E240" s="3"/>
      <c r="H240" s="3"/>
      <c r="AG240" s="91"/>
    </row>
    <row r="241" ht="15.75" customHeight="1">
      <c r="B241" s="182"/>
      <c r="C241" s="3"/>
      <c r="E241" s="3"/>
      <c r="H241" s="3"/>
      <c r="AG241" s="91"/>
    </row>
    <row r="242" ht="15.75" customHeight="1">
      <c r="B242" s="182"/>
      <c r="C242" s="3"/>
      <c r="E242" s="3"/>
      <c r="H242" s="3"/>
      <c r="AG242" s="91"/>
    </row>
    <row r="243" ht="15.75" customHeight="1">
      <c r="B243" s="182"/>
      <c r="C243" s="3"/>
      <c r="E243" s="3"/>
      <c r="H243" s="3"/>
      <c r="AG243" s="91"/>
    </row>
    <row r="244" ht="15.75" customHeight="1">
      <c r="B244" s="182"/>
      <c r="C244" s="3"/>
      <c r="E244" s="3"/>
      <c r="H244" s="3"/>
      <c r="AG244" s="91"/>
    </row>
    <row r="245" ht="15.75" customHeight="1">
      <c r="B245" s="182"/>
      <c r="C245" s="3"/>
      <c r="E245" s="3"/>
      <c r="H245" s="3"/>
      <c r="AG245" s="91"/>
    </row>
    <row r="246" ht="15.75" customHeight="1">
      <c r="B246" s="182"/>
      <c r="C246" s="3"/>
      <c r="E246" s="3"/>
      <c r="H246" s="3"/>
      <c r="AG246" s="91"/>
    </row>
    <row r="247" ht="15.75" customHeight="1">
      <c r="B247" s="182"/>
      <c r="C247" s="3"/>
      <c r="E247" s="3"/>
      <c r="H247" s="3"/>
      <c r="AG247" s="91"/>
    </row>
    <row r="248" ht="15.75" customHeight="1">
      <c r="B248" s="182"/>
      <c r="C248" s="3"/>
      <c r="E248" s="3"/>
      <c r="H248" s="3"/>
      <c r="AG248" s="91"/>
    </row>
    <row r="249" ht="15.75" customHeight="1">
      <c r="B249" s="182"/>
      <c r="C249" s="3"/>
      <c r="E249" s="3"/>
      <c r="H249" s="3"/>
      <c r="AG249" s="91"/>
    </row>
    <row r="250" ht="15.75" customHeight="1">
      <c r="B250" s="182"/>
      <c r="C250" s="3"/>
      <c r="E250" s="3"/>
      <c r="H250" s="3"/>
      <c r="AG250" s="91"/>
    </row>
    <row r="251" ht="15.75" customHeight="1">
      <c r="B251" s="182"/>
      <c r="C251" s="3"/>
      <c r="E251" s="3"/>
      <c r="H251" s="3"/>
      <c r="AG251" s="91"/>
    </row>
    <row r="252" ht="15.75" customHeight="1">
      <c r="B252" s="182"/>
      <c r="C252" s="3"/>
      <c r="E252" s="3"/>
      <c r="H252" s="3"/>
      <c r="AG252" s="91"/>
    </row>
    <row r="253" ht="15.75" customHeight="1">
      <c r="B253" s="182"/>
      <c r="C253" s="3"/>
      <c r="E253" s="3"/>
      <c r="H253" s="3"/>
      <c r="AG253" s="91"/>
    </row>
    <row r="254" ht="15.75" customHeight="1">
      <c r="B254" s="182"/>
      <c r="C254" s="3"/>
      <c r="E254" s="3"/>
      <c r="H254" s="3"/>
      <c r="AG254" s="91"/>
    </row>
    <row r="255" ht="15.75" customHeight="1">
      <c r="B255" s="182"/>
      <c r="C255" s="3"/>
      <c r="E255" s="3"/>
      <c r="H255" s="3"/>
      <c r="AG255" s="91"/>
    </row>
    <row r="256" ht="15.75" customHeight="1">
      <c r="B256" s="182"/>
      <c r="C256" s="3"/>
      <c r="E256" s="3"/>
      <c r="H256" s="3"/>
      <c r="AG256" s="91"/>
    </row>
    <row r="257" ht="15.75" customHeight="1">
      <c r="B257" s="182"/>
      <c r="C257" s="3"/>
      <c r="E257" s="3"/>
      <c r="H257" s="3"/>
      <c r="AG257" s="91"/>
    </row>
    <row r="258" ht="15.75" customHeight="1">
      <c r="B258" s="182"/>
      <c r="C258" s="3"/>
      <c r="E258" s="3"/>
      <c r="H258" s="3"/>
      <c r="AG258" s="91"/>
    </row>
    <row r="259" ht="15.75" customHeight="1">
      <c r="B259" s="182"/>
      <c r="C259" s="3"/>
      <c r="E259" s="3"/>
      <c r="H259" s="3"/>
      <c r="AG259" s="91"/>
    </row>
    <row r="260" ht="15.75" customHeight="1">
      <c r="B260" s="182"/>
      <c r="C260" s="3"/>
      <c r="E260" s="3"/>
      <c r="H260" s="3"/>
      <c r="AG260" s="91"/>
    </row>
    <row r="261" ht="15.75" customHeight="1">
      <c r="B261" s="182"/>
      <c r="C261" s="3"/>
      <c r="E261" s="3"/>
      <c r="H261" s="3"/>
      <c r="AG261" s="91"/>
    </row>
    <row r="262" ht="15.75" customHeight="1">
      <c r="B262" s="182"/>
      <c r="C262" s="3"/>
      <c r="E262" s="3"/>
      <c r="H262" s="3"/>
      <c r="AG262" s="91"/>
    </row>
    <row r="263" ht="15.75" customHeight="1">
      <c r="B263" s="182"/>
      <c r="C263" s="3"/>
      <c r="E263" s="3"/>
      <c r="H263" s="3"/>
      <c r="AG263" s="91"/>
    </row>
    <row r="264" ht="15.75" customHeight="1">
      <c r="B264" s="182"/>
      <c r="C264" s="3"/>
      <c r="E264" s="3"/>
      <c r="H264" s="3"/>
      <c r="AG264" s="91"/>
    </row>
    <row r="265" ht="15.75" customHeight="1">
      <c r="B265" s="182"/>
      <c r="C265" s="3"/>
      <c r="E265" s="3"/>
      <c r="H265" s="3"/>
      <c r="AG265" s="91"/>
    </row>
    <row r="266" ht="15.75" customHeight="1">
      <c r="B266" s="182"/>
      <c r="C266" s="3"/>
      <c r="E266" s="3"/>
      <c r="H266" s="3"/>
      <c r="AG266" s="91"/>
    </row>
    <row r="267" ht="15.75" customHeight="1">
      <c r="B267" s="182"/>
      <c r="C267" s="3"/>
      <c r="E267" s="3"/>
      <c r="H267" s="3"/>
      <c r="AG267" s="91"/>
    </row>
    <row r="268" ht="15.75" customHeight="1">
      <c r="B268" s="182"/>
      <c r="C268" s="3"/>
      <c r="E268" s="3"/>
      <c r="H268" s="3"/>
      <c r="AG268" s="91"/>
    </row>
    <row r="269" ht="15.75" customHeight="1">
      <c r="B269" s="182"/>
      <c r="C269" s="3"/>
      <c r="E269" s="3"/>
      <c r="H269" s="3"/>
      <c r="AG269" s="91"/>
    </row>
    <row r="270" ht="15.75" customHeight="1">
      <c r="B270" s="182"/>
      <c r="C270" s="3"/>
      <c r="E270" s="3"/>
      <c r="H270" s="3"/>
      <c r="AG270" s="91"/>
    </row>
    <row r="271" ht="15.75" customHeight="1">
      <c r="B271" s="182"/>
      <c r="C271" s="3"/>
      <c r="E271" s="3"/>
      <c r="H271" s="3"/>
      <c r="AG271" s="91"/>
    </row>
    <row r="272" ht="15.75" customHeight="1">
      <c r="B272" s="182"/>
      <c r="C272" s="3"/>
      <c r="E272" s="3"/>
      <c r="H272" s="3"/>
      <c r="AG272" s="91"/>
    </row>
    <row r="273" ht="15.75" customHeight="1">
      <c r="B273" s="182"/>
      <c r="C273" s="3"/>
      <c r="E273" s="3"/>
      <c r="H273" s="3"/>
      <c r="AG273" s="91"/>
    </row>
    <row r="274" ht="15.75" customHeight="1">
      <c r="B274" s="182"/>
      <c r="C274" s="3"/>
      <c r="E274" s="3"/>
      <c r="H274" s="3"/>
      <c r="AG274" s="91"/>
    </row>
    <row r="275" ht="15.75" customHeight="1">
      <c r="B275" s="182"/>
      <c r="C275" s="3"/>
      <c r="E275" s="3"/>
      <c r="H275" s="3"/>
      <c r="AG275" s="91"/>
    </row>
    <row r="276" ht="15.75" customHeight="1">
      <c r="B276" s="182"/>
      <c r="C276" s="3"/>
      <c r="E276" s="3"/>
      <c r="H276" s="3"/>
      <c r="AG276" s="91"/>
    </row>
    <row r="277" ht="15.75" customHeight="1">
      <c r="B277" s="182"/>
      <c r="C277" s="3"/>
      <c r="E277" s="3"/>
      <c r="H277" s="3"/>
      <c r="AG277" s="91"/>
    </row>
    <row r="278" ht="15.75" customHeight="1">
      <c r="B278" s="182"/>
      <c r="C278" s="3"/>
      <c r="E278" s="3"/>
      <c r="H278" s="3"/>
      <c r="AG278" s="91"/>
    </row>
    <row r="279" ht="15.75" customHeight="1">
      <c r="B279" s="182"/>
      <c r="C279" s="3"/>
      <c r="E279" s="3"/>
      <c r="H279" s="3"/>
      <c r="AG279" s="91"/>
    </row>
    <row r="280" ht="15.75" customHeight="1">
      <c r="B280" s="182"/>
      <c r="C280" s="3"/>
      <c r="E280" s="3"/>
      <c r="H280" s="3"/>
      <c r="AG280" s="91"/>
    </row>
    <row r="281" ht="15.75" customHeight="1">
      <c r="B281" s="182"/>
      <c r="C281" s="3"/>
      <c r="E281" s="3"/>
      <c r="H281" s="3"/>
      <c r="AG281" s="91"/>
    </row>
    <row r="282" ht="15.75" customHeight="1">
      <c r="B282" s="182"/>
      <c r="C282" s="3"/>
      <c r="E282" s="3"/>
      <c r="H282" s="3"/>
      <c r="AG282" s="91"/>
    </row>
    <row r="283" ht="15.75" customHeight="1">
      <c r="B283" s="182"/>
      <c r="C283" s="3"/>
      <c r="E283" s="3"/>
      <c r="H283" s="3"/>
      <c r="AG283" s="91"/>
    </row>
    <row r="284" ht="15.75" customHeight="1">
      <c r="B284" s="182"/>
      <c r="C284" s="3"/>
      <c r="E284" s="3"/>
      <c r="H284" s="3"/>
      <c r="AG284" s="91"/>
    </row>
    <row r="285" ht="15.75" customHeight="1">
      <c r="B285" s="182"/>
      <c r="C285" s="3"/>
      <c r="E285" s="3"/>
      <c r="H285" s="3"/>
      <c r="AG285" s="91"/>
    </row>
    <row r="286" ht="15.75" customHeight="1">
      <c r="B286" s="182"/>
      <c r="C286" s="3"/>
      <c r="E286" s="3"/>
      <c r="H286" s="3"/>
      <c r="AG286" s="91"/>
    </row>
    <row r="287" ht="15.75" customHeight="1">
      <c r="B287" s="182"/>
      <c r="C287" s="3"/>
      <c r="E287" s="3"/>
      <c r="H287" s="3"/>
      <c r="AG287" s="91"/>
    </row>
    <row r="288" ht="15.75" customHeight="1">
      <c r="B288" s="182"/>
      <c r="C288" s="3"/>
      <c r="E288" s="3"/>
      <c r="H288" s="3"/>
      <c r="AG288" s="91"/>
    </row>
    <row r="289" ht="15.75" customHeight="1">
      <c r="B289" s="182"/>
      <c r="C289" s="3"/>
      <c r="E289" s="3"/>
      <c r="H289" s="3"/>
      <c r="AG289" s="91"/>
    </row>
    <row r="290" ht="15.75" customHeight="1">
      <c r="B290" s="182"/>
      <c r="C290" s="3"/>
      <c r="E290" s="3"/>
      <c r="H290" s="3"/>
      <c r="AG290" s="91"/>
    </row>
    <row r="291" ht="15.75" customHeight="1">
      <c r="B291" s="182"/>
      <c r="C291" s="3"/>
      <c r="E291" s="3"/>
      <c r="H291" s="3"/>
      <c r="AG291" s="91"/>
    </row>
    <row r="292" ht="15.75" customHeight="1">
      <c r="B292" s="182"/>
      <c r="C292" s="3"/>
      <c r="E292" s="3"/>
      <c r="H292" s="3"/>
      <c r="AG292" s="91"/>
    </row>
    <row r="293" ht="15.75" customHeight="1">
      <c r="B293" s="182"/>
      <c r="C293" s="3"/>
      <c r="E293" s="3"/>
      <c r="H293" s="3"/>
      <c r="AG293" s="91"/>
    </row>
    <row r="294" ht="15.75" customHeight="1">
      <c r="B294" s="182"/>
      <c r="C294" s="3"/>
      <c r="E294" s="3"/>
      <c r="H294" s="3"/>
      <c r="AG294" s="91"/>
    </row>
    <row r="295" ht="15.75" customHeight="1">
      <c r="B295" s="182"/>
      <c r="C295" s="3"/>
      <c r="E295" s="3"/>
      <c r="H295" s="3"/>
      <c r="AG295" s="91"/>
    </row>
    <row r="296" ht="15.75" customHeight="1">
      <c r="B296" s="182"/>
      <c r="C296" s="3"/>
      <c r="E296" s="3"/>
      <c r="H296" s="3"/>
      <c r="AG296" s="91"/>
    </row>
    <row r="297" ht="15.75" customHeight="1">
      <c r="B297" s="182"/>
      <c r="C297" s="3"/>
      <c r="E297" s="3"/>
      <c r="H297" s="3"/>
      <c r="AG297" s="91"/>
    </row>
    <row r="298" ht="15.75" customHeight="1">
      <c r="B298" s="182"/>
      <c r="C298" s="3"/>
      <c r="E298" s="3"/>
      <c r="H298" s="3"/>
      <c r="AG298" s="91"/>
    </row>
    <row r="299" ht="15.75" customHeight="1">
      <c r="B299" s="182"/>
      <c r="C299" s="3"/>
      <c r="E299" s="3"/>
      <c r="H299" s="3"/>
      <c r="AG299" s="91"/>
    </row>
    <row r="300" ht="15.75" customHeight="1">
      <c r="B300" s="182"/>
      <c r="C300" s="3"/>
      <c r="E300" s="3"/>
      <c r="H300" s="3"/>
      <c r="AG300" s="91"/>
    </row>
    <row r="301" ht="15.75" customHeight="1">
      <c r="B301" s="182"/>
      <c r="C301" s="3"/>
      <c r="E301" s="3"/>
      <c r="H301" s="3"/>
      <c r="AG301" s="91"/>
    </row>
    <row r="302" ht="15.75" customHeight="1">
      <c r="B302" s="182"/>
      <c r="C302" s="3"/>
      <c r="E302" s="3"/>
      <c r="H302" s="3"/>
      <c r="AG302" s="91"/>
    </row>
    <row r="303" ht="15.75" customHeight="1">
      <c r="B303" s="182"/>
      <c r="C303" s="3"/>
      <c r="E303" s="3"/>
      <c r="H303" s="3"/>
      <c r="AG303" s="91"/>
    </row>
    <row r="304" ht="15.75" customHeight="1">
      <c r="B304" s="182"/>
      <c r="C304" s="3"/>
      <c r="E304" s="3"/>
      <c r="H304" s="3"/>
      <c r="AG304" s="91"/>
    </row>
    <row r="305" ht="15.75" customHeight="1">
      <c r="B305" s="182"/>
      <c r="C305" s="3"/>
      <c r="E305" s="3"/>
      <c r="H305" s="3"/>
      <c r="AG305" s="91"/>
    </row>
    <row r="306" ht="15.75" customHeight="1">
      <c r="B306" s="182"/>
      <c r="C306" s="3"/>
      <c r="E306" s="3"/>
      <c r="H306" s="3"/>
      <c r="AG306" s="91"/>
    </row>
    <row r="307" ht="15.75" customHeight="1">
      <c r="B307" s="182"/>
      <c r="C307" s="3"/>
      <c r="E307" s="3"/>
      <c r="H307" s="3"/>
      <c r="AG307" s="91"/>
    </row>
    <row r="308" ht="15.75" customHeight="1">
      <c r="B308" s="182"/>
      <c r="C308" s="3"/>
      <c r="E308" s="3"/>
      <c r="H308" s="3"/>
      <c r="AG308" s="91"/>
    </row>
    <row r="309" ht="15.75" customHeight="1">
      <c r="B309" s="182"/>
      <c r="C309" s="3"/>
      <c r="E309" s="3"/>
      <c r="H309" s="3"/>
      <c r="AG309" s="91"/>
    </row>
    <row r="310" ht="15.75" customHeight="1">
      <c r="B310" s="182"/>
      <c r="C310" s="3"/>
      <c r="E310" s="3"/>
      <c r="H310" s="3"/>
      <c r="AG310" s="91"/>
    </row>
    <row r="311" ht="15.75" customHeight="1">
      <c r="B311" s="182"/>
      <c r="C311" s="3"/>
      <c r="E311" s="3"/>
      <c r="H311" s="3"/>
      <c r="AG311" s="91"/>
    </row>
    <row r="312" ht="15.75" customHeight="1">
      <c r="B312" s="182"/>
      <c r="C312" s="3"/>
      <c r="E312" s="3"/>
      <c r="H312" s="3"/>
      <c r="AG312" s="91"/>
    </row>
    <row r="313" ht="15.75" customHeight="1">
      <c r="B313" s="182"/>
      <c r="C313" s="3"/>
      <c r="E313" s="3"/>
      <c r="H313" s="3"/>
      <c r="AG313" s="91"/>
    </row>
    <row r="314" ht="15.75" customHeight="1">
      <c r="B314" s="182"/>
      <c r="C314" s="3"/>
      <c r="E314" s="3"/>
      <c r="H314" s="3"/>
      <c r="AG314" s="91"/>
    </row>
    <row r="315" ht="15.75" customHeight="1">
      <c r="B315" s="182"/>
      <c r="C315" s="3"/>
      <c r="E315" s="3"/>
      <c r="H315" s="3"/>
      <c r="AG315" s="91"/>
    </row>
    <row r="316" ht="15.75" customHeight="1">
      <c r="B316" s="182"/>
      <c r="C316" s="3"/>
      <c r="E316" s="3"/>
      <c r="H316" s="3"/>
      <c r="AG316" s="91"/>
    </row>
    <row r="317" ht="15.75" customHeight="1">
      <c r="B317" s="182"/>
      <c r="C317" s="3"/>
      <c r="E317" s="3"/>
      <c r="H317" s="3"/>
      <c r="AG317" s="91"/>
    </row>
    <row r="318" ht="15.75" customHeight="1">
      <c r="B318" s="182"/>
      <c r="C318" s="3"/>
      <c r="E318" s="3"/>
      <c r="H318" s="3"/>
      <c r="AG318" s="91"/>
    </row>
    <row r="319" ht="15.75" customHeight="1">
      <c r="B319" s="182"/>
      <c r="C319" s="3"/>
      <c r="E319" s="3"/>
      <c r="H319" s="3"/>
      <c r="AG319" s="91"/>
    </row>
    <row r="320" ht="15.75" customHeight="1">
      <c r="B320" s="182"/>
      <c r="C320" s="3"/>
      <c r="E320" s="3"/>
      <c r="H320" s="3"/>
      <c r="AG320" s="91"/>
    </row>
    <row r="321" ht="15.75" customHeight="1">
      <c r="B321" s="182"/>
      <c r="C321" s="3"/>
      <c r="E321" s="3"/>
      <c r="H321" s="3"/>
      <c r="AG321" s="91"/>
    </row>
    <row r="322" ht="15.75" customHeight="1">
      <c r="B322" s="182"/>
      <c r="C322" s="3"/>
      <c r="E322" s="3"/>
      <c r="H322" s="3"/>
      <c r="AG322" s="91"/>
    </row>
    <row r="323" ht="15.75" customHeight="1">
      <c r="B323" s="182"/>
      <c r="C323" s="3"/>
      <c r="E323" s="3"/>
      <c r="H323" s="3"/>
      <c r="AG323" s="91"/>
    </row>
    <row r="324" ht="15.75" customHeight="1">
      <c r="B324" s="182"/>
      <c r="C324" s="3"/>
      <c r="E324" s="3"/>
      <c r="H324" s="3"/>
      <c r="AG324" s="91"/>
    </row>
    <row r="325" ht="15.75" customHeight="1">
      <c r="B325" s="182"/>
      <c r="C325" s="3"/>
      <c r="E325" s="3"/>
      <c r="H325" s="3"/>
      <c r="AG325" s="91"/>
    </row>
    <row r="326" ht="15.75" customHeight="1">
      <c r="B326" s="182"/>
      <c r="C326" s="3"/>
      <c r="E326" s="3"/>
      <c r="H326" s="3"/>
      <c r="AG326" s="91"/>
    </row>
    <row r="327" ht="15.75" customHeight="1">
      <c r="B327" s="182"/>
      <c r="C327" s="3"/>
      <c r="E327" s="3"/>
      <c r="H327" s="3"/>
      <c r="AG327" s="91"/>
    </row>
    <row r="328" ht="15.75" customHeight="1">
      <c r="B328" s="182"/>
      <c r="C328" s="3"/>
      <c r="E328" s="3"/>
      <c r="H328" s="3"/>
      <c r="AG328" s="91"/>
    </row>
    <row r="329" ht="15.75" customHeight="1">
      <c r="B329" s="182"/>
      <c r="C329" s="3"/>
      <c r="E329" s="3"/>
      <c r="H329" s="3"/>
      <c r="AG329" s="91"/>
    </row>
    <row r="330" ht="15.75" customHeight="1">
      <c r="B330" s="182"/>
      <c r="C330" s="3"/>
      <c r="E330" s="3"/>
      <c r="H330" s="3"/>
      <c r="AG330" s="91"/>
    </row>
    <row r="331" ht="15.75" customHeight="1">
      <c r="B331" s="182"/>
      <c r="C331" s="3"/>
      <c r="E331" s="3"/>
      <c r="H331" s="3"/>
      <c r="AG331" s="91"/>
    </row>
    <row r="332" ht="15.75" customHeight="1">
      <c r="B332" s="182"/>
      <c r="C332" s="3"/>
      <c r="E332" s="3"/>
      <c r="H332" s="3"/>
      <c r="AG332" s="91"/>
    </row>
    <row r="333" ht="15.75" customHeight="1">
      <c r="B333" s="182"/>
      <c r="C333" s="3"/>
      <c r="E333" s="3"/>
      <c r="H333" s="3"/>
      <c r="AG333" s="91"/>
    </row>
    <row r="334" ht="15.75" customHeight="1">
      <c r="B334" s="182"/>
      <c r="C334" s="3"/>
      <c r="E334" s="3"/>
      <c r="H334" s="3"/>
      <c r="AG334" s="91"/>
    </row>
    <row r="335" ht="15.75" customHeight="1">
      <c r="B335" s="182"/>
      <c r="C335" s="3"/>
      <c r="E335" s="3"/>
      <c r="H335" s="3"/>
      <c r="AG335" s="91"/>
    </row>
    <row r="336" ht="15.75" customHeight="1">
      <c r="B336" s="182"/>
      <c r="C336" s="3"/>
      <c r="E336" s="3"/>
      <c r="H336" s="3"/>
      <c r="AG336" s="91"/>
    </row>
    <row r="337" ht="15.75" customHeight="1">
      <c r="B337" s="182"/>
      <c r="C337" s="3"/>
      <c r="E337" s="3"/>
      <c r="H337" s="3"/>
      <c r="AG337" s="91"/>
    </row>
    <row r="338" ht="15.75" customHeight="1">
      <c r="B338" s="182"/>
      <c r="C338" s="3"/>
      <c r="E338" s="3"/>
      <c r="H338" s="3"/>
      <c r="AG338" s="91"/>
    </row>
    <row r="339" ht="15.75" customHeight="1">
      <c r="B339" s="182"/>
      <c r="C339" s="3"/>
      <c r="E339" s="3"/>
      <c r="H339" s="3"/>
      <c r="AG339" s="91"/>
    </row>
    <row r="340" ht="15.75" customHeight="1">
      <c r="B340" s="182"/>
      <c r="C340" s="3"/>
      <c r="E340" s="3"/>
      <c r="H340" s="3"/>
      <c r="AG340" s="91"/>
    </row>
    <row r="341" ht="15.75" customHeight="1">
      <c r="B341" s="182"/>
      <c r="C341" s="3"/>
      <c r="E341" s="3"/>
      <c r="H341" s="3"/>
      <c r="AG341" s="91"/>
    </row>
    <row r="342" ht="15.75" customHeight="1">
      <c r="B342" s="182"/>
      <c r="C342" s="3"/>
      <c r="E342" s="3"/>
      <c r="H342" s="3"/>
      <c r="AG342" s="91"/>
    </row>
    <row r="343" ht="15.75" customHeight="1">
      <c r="B343" s="182"/>
      <c r="C343" s="3"/>
      <c r="E343" s="3"/>
      <c r="H343" s="3"/>
      <c r="AG343" s="91"/>
    </row>
    <row r="344" ht="15.75" customHeight="1">
      <c r="B344" s="182"/>
      <c r="C344" s="3"/>
      <c r="E344" s="3"/>
      <c r="H344" s="3"/>
      <c r="AG344" s="91"/>
    </row>
    <row r="345" ht="15.75" customHeight="1">
      <c r="B345" s="182"/>
      <c r="C345" s="3"/>
      <c r="E345" s="3"/>
      <c r="H345" s="3"/>
      <c r="AG345" s="91"/>
    </row>
    <row r="346" ht="15.75" customHeight="1">
      <c r="B346" s="182"/>
      <c r="C346" s="3"/>
      <c r="E346" s="3"/>
      <c r="H346" s="3"/>
      <c r="AG346" s="91"/>
    </row>
    <row r="347" ht="15.75" customHeight="1">
      <c r="B347" s="182"/>
      <c r="C347" s="3"/>
      <c r="E347" s="3"/>
      <c r="H347" s="3"/>
      <c r="AG347" s="91"/>
    </row>
    <row r="348" ht="15.75" customHeight="1">
      <c r="B348" s="182"/>
      <c r="C348" s="3"/>
      <c r="E348" s="3"/>
      <c r="H348" s="3"/>
      <c r="AG348" s="91"/>
    </row>
    <row r="349" ht="15.75" customHeight="1">
      <c r="B349" s="182"/>
      <c r="C349" s="3"/>
      <c r="E349" s="3"/>
      <c r="H349" s="3"/>
      <c r="AG349" s="91"/>
    </row>
    <row r="350" ht="15.75" customHeight="1">
      <c r="B350" s="182"/>
      <c r="C350" s="3"/>
      <c r="E350" s="3"/>
      <c r="H350" s="3"/>
      <c r="AG350" s="91"/>
    </row>
    <row r="351" ht="15.75" customHeight="1">
      <c r="B351" s="182"/>
      <c r="C351" s="3"/>
      <c r="E351" s="3"/>
      <c r="H351" s="3"/>
      <c r="AG351" s="91"/>
    </row>
    <row r="352" ht="15.75" customHeight="1">
      <c r="B352" s="182"/>
      <c r="C352" s="3"/>
      <c r="E352" s="3"/>
      <c r="H352" s="3"/>
      <c r="AG352" s="91"/>
    </row>
    <row r="353" ht="15.75" customHeight="1">
      <c r="B353" s="182"/>
      <c r="C353" s="3"/>
      <c r="E353" s="3"/>
      <c r="H353" s="3"/>
      <c r="AG353" s="91"/>
    </row>
    <row r="354" ht="15.75" customHeight="1">
      <c r="B354" s="182"/>
      <c r="C354" s="3"/>
      <c r="E354" s="3"/>
      <c r="H354" s="3"/>
      <c r="AG354" s="91"/>
    </row>
    <row r="355" ht="15.75" customHeight="1">
      <c r="B355" s="182"/>
      <c r="C355" s="3"/>
      <c r="E355" s="3"/>
      <c r="H355" s="3"/>
      <c r="AG355" s="91"/>
    </row>
    <row r="356" ht="15.75" customHeight="1">
      <c r="B356" s="182"/>
      <c r="C356" s="3"/>
      <c r="E356" s="3"/>
      <c r="H356" s="3"/>
      <c r="AG356" s="91"/>
    </row>
    <row r="357" ht="15.75" customHeight="1">
      <c r="B357" s="182"/>
      <c r="C357" s="3"/>
      <c r="E357" s="3"/>
      <c r="H357" s="3"/>
      <c r="AG357" s="91"/>
    </row>
    <row r="358" ht="15.75" customHeight="1">
      <c r="B358" s="182"/>
      <c r="C358" s="3"/>
      <c r="E358" s="3"/>
      <c r="H358" s="3"/>
      <c r="AG358" s="91"/>
    </row>
    <row r="359" ht="15.75" customHeight="1">
      <c r="B359" s="182"/>
      <c r="C359" s="3"/>
      <c r="E359" s="3"/>
      <c r="H359" s="3"/>
      <c r="AG359" s="91"/>
    </row>
    <row r="360" ht="15.75" customHeight="1">
      <c r="B360" s="182"/>
      <c r="C360" s="3"/>
      <c r="E360" s="3"/>
      <c r="H360" s="3"/>
      <c r="AG360" s="91"/>
    </row>
    <row r="361" ht="15.75" customHeight="1">
      <c r="B361" s="182"/>
      <c r="C361" s="3"/>
      <c r="E361" s="3"/>
      <c r="H361" s="3"/>
      <c r="AG361" s="91"/>
    </row>
    <row r="362" ht="15.75" customHeight="1">
      <c r="B362" s="182"/>
      <c r="C362" s="3"/>
      <c r="E362" s="3"/>
      <c r="H362" s="3"/>
      <c r="AG362" s="91"/>
    </row>
    <row r="363" ht="15.75" customHeight="1">
      <c r="B363" s="182"/>
      <c r="C363" s="3"/>
      <c r="E363" s="3"/>
      <c r="H363" s="3"/>
      <c r="AG363" s="91"/>
    </row>
    <row r="364" ht="15.75" customHeight="1">
      <c r="B364" s="182"/>
      <c r="C364" s="3"/>
      <c r="E364" s="3"/>
      <c r="H364" s="3"/>
      <c r="AG364" s="91"/>
    </row>
    <row r="365" ht="15.75" customHeight="1">
      <c r="B365" s="182"/>
      <c r="C365" s="3"/>
      <c r="E365" s="3"/>
      <c r="H365" s="3"/>
      <c r="AG365" s="91"/>
    </row>
    <row r="366" ht="15.75" customHeight="1">
      <c r="B366" s="182"/>
      <c r="C366" s="3"/>
      <c r="E366" s="3"/>
      <c r="H366" s="3"/>
      <c r="AG366" s="91"/>
    </row>
    <row r="367" ht="15.75" customHeight="1">
      <c r="B367" s="182"/>
      <c r="C367" s="3"/>
      <c r="E367" s="3"/>
      <c r="H367" s="3"/>
      <c r="AG367" s="91"/>
    </row>
    <row r="368" ht="15.75" customHeight="1">
      <c r="B368" s="182"/>
      <c r="C368" s="3"/>
      <c r="E368" s="3"/>
      <c r="H368" s="3"/>
      <c r="AG368" s="91"/>
    </row>
    <row r="369" ht="15.75" customHeight="1">
      <c r="B369" s="182"/>
      <c r="C369" s="3"/>
      <c r="E369" s="3"/>
      <c r="H369" s="3"/>
      <c r="AG369" s="91"/>
    </row>
    <row r="370" ht="15.75" customHeight="1">
      <c r="B370" s="182"/>
      <c r="C370" s="3"/>
      <c r="E370" s="3"/>
      <c r="H370" s="3"/>
      <c r="AG370" s="91"/>
    </row>
    <row r="371" ht="15.75" customHeight="1">
      <c r="B371" s="182"/>
      <c r="C371" s="3"/>
      <c r="E371" s="3"/>
      <c r="H371" s="3"/>
      <c r="AG371" s="91"/>
    </row>
    <row r="372" ht="15.75" customHeight="1">
      <c r="B372" s="182"/>
      <c r="C372" s="3"/>
      <c r="E372" s="3"/>
      <c r="H372" s="3"/>
      <c r="AG372" s="91"/>
    </row>
    <row r="373" ht="15.75" customHeight="1">
      <c r="B373" s="182"/>
      <c r="C373" s="3"/>
      <c r="E373" s="3"/>
      <c r="H373" s="3"/>
      <c r="AG373" s="91"/>
    </row>
    <row r="374" ht="15.75" customHeight="1">
      <c r="B374" s="182"/>
      <c r="C374" s="3"/>
      <c r="E374" s="3"/>
      <c r="H374" s="3"/>
      <c r="AG374" s="91"/>
    </row>
    <row r="375" ht="15.75" customHeight="1">
      <c r="B375" s="182"/>
      <c r="C375" s="3"/>
      <c r="E375" s="3"/>
      <c r="H375" s="3"/>
      <c r="AG375" s="91"/>
    </row>
    <row r="376" ht="15.75" customHeight="1">
      <c r="B376" s="182"/>
      <c r="C376" s="3"/>
      <c r="E376" s="3"/>
      <c r="H376" s="3"/>
      <c r="AG376" s="91"/>
    </row>
    <row r="377" ht="15.75" customHeight="1">
      <c r="B377" s="182"/>
      <c r="C377" s="3"/>
      <c r="E377" s="3"/>
      <c r="H377" s="3"/>
      <c r="AG377" s="91"/>
    </row>
    <row r="378" ht="15.75" customHeight="1">
      <c r="B378" s="182"/>
      <c r="C378" s="3"/>
      <c r="E378" s="3"/>
      <c r="H378" s="3"/>
      <c r="AG378" s="91"/>
    </row>
    <row r="379" ht="15.75" customHeight="1">
      <c r="B379" s="182"/>
      <c r="C379" s="3"/>
      <c r="E379" s="3"/>
      <c r="H379" s="3"/>
      <c r="AG379" s="91"/>
    </row>
    <row r="380" ht="15.75" customHeight="1">
      <c r="B380" s="182"/>
      <c r="C380" s="3"/>
      <c r="E380" s="3"/>
      <c r="H380" s="3"/>
      <c r="AG380" s="91"/>
    </row>
    <row r="381" ht="15.75" customHeight="1">
      <c r="B381" s="182"/>
      <c r="C381" s="3"/>
      <c r="E381" s="3"/>
      <c r="H381" s="3"/>
      <c r="AG381" s="91"/>
    </row>
    <row r="382" ht="15.75" customHeight="1">
      <c r="B382" s="182"/>
      <c r="C382" s="3"/>
      <c r="E382" s="3"/>
      <c r="H382" s="3"/>
      <c r="AG382" s="91"/>
    </row>
    <row r="383" ht="15.75" customHeight="1">
      <c r="B383" s="182"/>
      <c r="C383" s="3"/>
      <c r="E383" s="3"/>
      <c r="H383" s="3"/>
      <c r="AG383" s="91"/>
    </row>
    <row r="384" ht="15.75" customHeight="1">
      <c r="B384" s="182"/>
      <c r="C384" s="3"/>
      <c r="E384" s="3"/>
      <c r="H384" s="3"/>
      <c r="AG384" s="91"/>
    </row>
    <row r="385" ht="15.75" customHeight="1">
      <c r="B385" s="182"/>
      <c r="C385" s="3"/>
      <c r="E385" s="3"/>
      <c r="H385" s="3"/>
      <c r="AG385" s="91"/>
    </row>
    <row r="386" ht="15.75" customHeight="1">
      <c r="B386" s="182"/>
      <c r="C386" s="3"/>
      <c r="E386" s="3"/>
      <c r="H386" s="3"/>
      <c r="AG386" s="91"/>
    </row>
    <row r="387" ht="15.75" customHeight="1">
      <c r="B387" s="182"/>
      <c r="C387" s="3"/>
      <c r="E387" s="3"/>
      <c r="H387" s="3"/>
      <c r="AG387" s="91"/>
    </row>
    <row r="388" ht="15.75" customHeight="1">
      <c r="B388" s="182"/>
      <c r="C388" s="3"/>
      <c r="E388" s="3"/>
      <c r="H388" s="3"/>
      <c r="AG388" s="91"/>
    </row>
    <row r="389" ht="15.75" customHeight="1">
      <c r="B389" s="182"/>
      <c r="C389" s="3"/>
      <c r="E389" s="3"/>
      <c r="H389" s="3"/>
      <c r="AG389" s="91"/>
    </row>
    <row r="390" ht="15.75" customHeight="1">
      <c r="B390" s="182"/>
      <c r="C390" s="3"/>
      <c r="E390" s="3"/>
      <c r="H390" s="3"/>
      <c r="AG390" s="91"/>
    </row>
    <row r="391" ht="15.75" customHeight="1">
      <c r="B391" s="182"/>
      <c r="C391" s="3"/>
      <c r="E391" s="3"/>
      <c r="H391" s="3"/>
      <c r="AG391" s="91"/>
    </row>
    <row r="392" ht="15.75" customHeight="1">
      <c r="B392" s="182"/>
      <c r="C392" s="3"/>
      <c r="E392" s="3"/>
      <c r="H392" s="3"/>
      <c r="AG392" s="91"/>
    </row>
    <row r="393" ht="15.75" customHeight="1">
      <c r="B393" s="182"/>
      <c r="C393" s="3"/>
      <c r="E393" s="3"/>
      <c r="H393" s="3"/>
      <c r="AG393" s="91"/>
    </row>
    <row r="394" ht="15.75" customHeight="1">
      <c r="B394" s="182"/>
      <c r="C394" s="3"/>
      <c r="E394" s="3"/>
      <c r="H394" s="3"/>
      <c r="AG394" s="91"/>
    </row>
    <row r="395" ht="15.75" customHeight="1">
      <c r="B395" s="182"/>
      <c r="C395" s="3"/>
      <c r="E395" s="3"/>
      <c r="H395" s="3"/>
      <c r="AG395" s="91"/>
    </row>
    <row r="396" ht="15.75" customHeight="1">
      <c r="B396" s="182"/>
      <c r="C396" s="3"/>
      <c r="E396" s="3"/>
      <c r="H396" s="3"/>
      <c r="AG396" s="91"/>
    </row>
    <row r="397" ht="15.75" customHeight="1">
      <c r="B397" s="182"/>
      <c r="C397" s="3"/>
      <c r="E397" s="3"/>
      <c r="H397" s="3"/>
      <c r="AG397" s="91"/>
    </row>
    <row r="398" ht="15.75" customHeight="1">
      <c r="B398" s="182"/>
      <c r="C398" s="3"/>
      <c r="E398" s="3"/>
      <c r="H398" s="3"/>
      <c r="AG398" s="91"/>
    </row>
    <row r="399" ht="15.75" customHeight="1">
      <c r="B399" s="182"/>
      <c r="C399" s="3"/>
      <c r="E399" s="3"/>
      <c r="H399" s="3"/>
      <c r="AG399" s="91"/>
    </row>
    <row r="400" ht="15.75" customHeight="1">
      <c r="B400" s="182"/>
      <c r="C400" s="3"/>
      <c r="E400" s="3"/>
      <c r="H400" s="3"/>
      <c r="AG400" s="91"/>
    </row>
    <row r="401" ht="15.75" customHeight="1">
      <c r="B401" s="182"/>
      <c r="C401" s="3"/>
      <c r="E401" s="3"/>
      <c r="H401" s="3"/>
      <c r="AG401" s="91"/>
    </row>
    <row r="402" ht="15.75" customHeight="1">
      <c r="B402" s="182"/>
      <c r="C402" s="3"/>
      <c r="E402" s="3"/>
      <c r="H402" s="3"/>
      <c r="AG402" s="91"/>
    </row>
    <row r="403" ht="15.75" customHeight="1">
      <c r="B403" s="182"/>
      <c r="C403" s="3"/>
      <c r="E403" s="3"/>
      <c r="H403" s="3"/>
      <c r="AG403" s="91"/>
    </row>
    <row r="404" ht="15.75" customHeight="1">
      <c r="B404" s="182"/>
      <c r="C404" s="3"/>
      <c r="E404" s="3"/>
      <c r="H404" s="3"/>
      <c r="AG404" s="91"/>
    </row>
    <row r="405" ht="15.75" customHeight="1">
      <c r="B405" s="182"/>
      <c r="C405" s="3"/>
      <c r="E405" s="3"/>
      <c r="H405" s="3"/>
      <c r="AG405" s="91"/>
    </row>
    <row r="406" ht="15.75" customHeight="1">
      <c r="B406" s="182"/>
      <c r="C406" s="3"/>
      <c r="E406" s="3"/>
      <c r="H406" s="3"/>
      <c r="AG406" s="91"/>
    </row>
    <row r="407" ht="15.75" customHeight="1">
      <c r="B407" s="182"/>
      <c r="C407" s="3"/>
      <c r="E407" s="3"/>
      <c r="H407" s="3"/>
      <c r="AG407" s="91"/>
    </row>
    <row r="408" ht="15.75" customHeight="1">
      <c r="B408" s="182"/>
      <c r="C408" s="3"/>
      <c r="E408" s="3"/>
      <c r="H408" s="3"/>
      <c r="AG408" s="91"/>
    </row>
    <row r="409" ht="15.75" customHeight="1">
      <c r="B409" s="182"/>
      <c r="C409" s="3"/>
      <c r="E409" s="3"/>
      <c r="H409" s="3"/>
      <c r="AG409" s="91"/>
    </row>
    <row r="410" ht="15.75" customHeight="1">
      <c r="B410" s="182"/>
      <c r="C410" s="3"/>
      <c r="E410" s="3"/>
      <c r="H410" s="3"/>
      <c r="AG410" s="91"/>
    </row>
    <row r="411" ht="15.75" customHeight="1">
      <c r="B411" s="182"/>
      <c r="C411" s="3"/>
      <c r="E411" s="3"/>
      <c r="H411" s="3"/>
      <c r="AG411" s="91"/>
    </row>
    <row r="412" ht="15.75" customHeight="1">
      <c r="B412" s="182"/>
      <c r="C412" s="3"/>
      <c r="E412" s="3"/>
      <c r="H412" s="3"/>
      <c r="AG412" s="91"/>
    </row>
    <row r="413" ht="15.75" customHeight="1">
      <c r="B413" s="182"/>
      <c r="C413" s="3"/>
      <c r="E413" s="3"/>
      <c r="H413" s="3"/>
      <c r="AG413" s="91"/>
    </row>
    <row r="414" ht="15.75" customHeight="1">
      <c r="B414" s="182"/>
      <c r="C414" s="3"/>
      <c r="E414" s="3"/>
      <c r="H414" s="3"/>
      <c r="AG414" s="91"/>
    </row>
    <row r="415" ht="15.75" customHeight="1">
      <c r="B415" s="182"/>
      <c r="C415" s="3"/>
      <c r="E415" s="3"/>
      <c r="H415" s="3"/>
      <c r="AG415" s="91"/>
    </row>
    <row r="416" ht="15.75" customHeight="1">
      <c r="B416" s="182"/>
      <c r="C416" s="3"/>
      <c r="E416" s="3"/>
      <c r="H416" s="3"/>
      <c r="AG416" s="91"/>
    </row>
    <row r="417" ht="15.75" customHeight="1">
      <c r="B417" s="182"/>
      <c r="C417" s="3"/>
      <c r="E417" s="3"/>
      <c r="H417" s="3"/>
      <c r="AG417" s="91"/>
    </row>
    <row r="418" ht="15.75" customHeight="1">
      <c r="B418" s="182"/>
      <c r="C418" s="3"/>
      <c r="E418" s="3"/>
      <c r="H418" s="3"/>
      <c r="AG418" s="91"/>
    </row>
    <row r="419" ht="15.75" customHeight="1">
      <c r="B419" s="182"/>
      <c r="C419" s="3"/>
      <c r="E419" s="3"/>
      <c r="H419" s="3"/>
      <c r="AG419" s="91"/>
    </row>
    <row r="420" ht="15.75" customHeight="1">
      <c r="B420" s="182"/>
      <c r="C420" s="3"/>
      <c r="E420" s="3"/>
      <c r="H420" s="3"/>
      <c r="AG420" s="91"/>
    </row>
    <row r="421" ht="15.75" customHeight="1">
      <c r="B421" s="182"/>
      <c r="C421" s="3"/>
      <c r="E421" s="3"/>
      <c r="H421" s="3"/>
      <c r="AG421" s="91"/>
    </row>
    <row r="422" ht="15.75" customHeight="1">
      <c r="B422" s="182"/>
      <c r="C422" s="3"/>
      <c r="E422" s="3"/>
      <c r="H422" s="3"/>
      <c r="AG422" s="91"/>
    </row>
    <row r="423" ht="15.75" customHeight="1">
      <c r="B423" s="182"/>
      <c r="C423" s="3"/>
      <c r="E423" s="3"/>
      <c r="H423" s="3"/>
      <c r="AG423" s="91"/>
    </row>
    <row r="424" ht="15.75" customHeight="1">
      <c r="B424" s="182"/>
      <c r="C424" s="3"/>
      <c r="E424" s="3"/>
      <c r="H424" s="3"/>
      <c r="AG424" s="91"/>
    </row>
    <row r="425" ht="15.75" customHeight="1">
      <c r="B425" s="182"/>
      <c r="C425" s="3"/>
      <c r="E425" s="3"/>
      <c r="H425" s="3"/>
      <c r="AG425" s="91"/>
    </row>
    <row r="426" ht="15.75" customHeight="1">
      <c r="B426" s="182"/>
      <c r="C426" s="3"/>
      <c r="E426" s="3"/>
      <c r="H426" s="3"/>
      <c r="AG426" s="91"/>
    </row>
    <row r="427" ht="15.75" customHeight="1">
      <c r="B427" s="182"/>
      <c r="C427" s="3"/>
      <c r="E427" s="3"/>
      <c r="H427" s="3"/>
      <c r="AG427" s="91"/>
    </row>
    <row r="428" ht="15.75" customHeight="1">
      <c r="B428" s="182"/>
      <c r="C428" s="3"/>
      <c r="E428" s="3"/>
      <c r="H428" s="3"/>
      <c r="AG428" s="91"/>
    </row>
    <row r="429" ht="15.75" customHeight="1">
      <c r="B429" s="182"/>
      <c r="C429" s="3"/>
      <c r="E429" s="3"/>
      <c r="H429" s="3"/>
      <c r="AG429" s="91"/>
    </row>
    <row r="430" ht="15.75" customHeight="1">
      <c r="B430" s="182"/>
      <c r="C430" s="3"/>
      <c r="E430" s="3"/>
      <c r="H430" s="3"/>
      <c r="AG430" s="91"/>
    </row>
    <row r="431" ht="15.75" customHeight="1">
      <c r="B431" s="182"/>
      <c r="C431" s="3"/>
      <c r="E431" s="3"/>
      <c r="H431" s="3"/>
      <c r="AG431" s="91"/>
    </row>
    <row r="432" ht="15.75" customHeight="1">
      <c r="B432" s="182"/>
      <c r="C432" s="3"/>
      <c r="E432" s="3"/>
      <c r="H432" s="3"/>
      <c r="AG432" s="91"/>
    </row>
    <row r="433" ht="15.75" customHeight="1">
      <c r="B433" s="182"/>
      <c r="C433" s="3"/>
      <c r="E433" s="3"/>
      <c r="H433" s="3"/>
      <c r="AG433" s="91"/>
    </row>
    <row r="434" ht="15.75" customHeight="1">
      <c r="B434" s="182"/>
      <c r="C434" s="3"/>
      <c r="E434" s="3"/>
      <c r="H434" s="3"/>
      <c r="AG434" s="91"/>
    </row>
    <row r="435" ht="15.75" customHeight="1">
      <c r="B435" s="182"/>
      <c r="C435" s="3"/>
      <c r="E435" s="3"/>
      <c r="H435" s="3"/>
      <c r="AG435" s="91"/>
    </row>
    <row r="436" ht="15.75" customHeight="1">
      <c r="B436" s="182"/>
      <c r="C436" s="3"/>
      <c r="E436" s="3"/>
      <c r="H436" s="3"/>
      <c r="AG436" s="91"/>
    </row>
    <row r="437" ht="15.75" customHeight="1">
      <c r="B437" s="182"/>
      <c r="C437" s="3"/>
      <c r="E437" s="3"/>
      <c r="H437" s="3"/>
      <c r="AG437" s="91"/>
    </row>
    <row r="438" ht="15.75" customHeight="1">
      <c r="B438" s="182"/>
      <c r="C438" s="3"/>
      <c r="E438" s="3"/>
      <c r="H438" s="3"/>
      <c r="AG438" s="91"/>
    </row>
    <row r="439" ht="15.75" customHeight="1">
      <c r="B439" s="182"/>
      <c r="C439" s="3"/>
      <c r="E439" s="3"/>
      <c r="H439" s="3"/>
      <c r="AG439" s="91"/>
    </row>
    <row r="440" ht="15.75" customHeight="1">
      <c r="B440" s="182"/>
      <c r="C440" s="3"/>
      <c r="E440" s="3"/>
      <c r="H440" s="3"/>
      <c r="AG440" s="91"/>
    </row>
    <row r="441" ht="15.75" customHeight="1">
      <c r="B441" s="182"/>
      <c r="C441" s="3"/>
      <c r="E441" s="3"/>
      <c r="H441" s="3"/>
      <c r="AG441" s="91"/>
    </row>
    <row r="442" ht="15.75" customHeight="1">
      <c r="B442" s="182"/>
      <c r="C442" s="3"/>
      <c r="E442" s="3"/>
      <c r="H442" s="3"/>
      <c r="AG442" s="91"/>
    </row>
    <row r="443" ht="15.75" customHeight="1">
      <c r="B443" s="182"/>
      <c r="C443" s="3"/>
      <c r="E443" s="3"/>
      <c r="H443" s="3"/>
      <c r="AG443" s="91"/>
    </row>
    <row r="444" ht="15.75" customHeight="1">
      <c r="B444" s="182"/>
      <c r="C444" s="3"/>
      <c r="E444" s="3"/>
      <c r="H444" s="3"/>
      <c r="AG444" s="91"/>
    </row>
    <row r="445" ht="15.75" customHeight="1">
      <c r="B445" s="182"/>
      <c r="C445" s="3"/>
      <c r="E445" s="3"/>
      <c r="H445" s="3"/>
      <c r="AG445" s="91"/>
    </row>
    <row r="446" ht="15.75" customHeight="1">
      <c r="B446" s="182"/>
      <c r="C446" s="3"/>
      <c r="E446" s="3"/>
      <c r="H446" s="3"/>
      <c r="AG446" s="91"/>
    </row>
    <row r="447" ht="15.75" customHeight="1">
      <c r="B447" s="182"/>
      <c r="C447" s="3"/>
      <c r="E447" s="3"/>
      <c r="H447" s="3"/>
      <c r="AG447" s="91"/>
    </row>
    <row r="448" ht="15.75" customHeight="1">
      <c r="B448" s="182"/>
      <c r="C448" s="3"/>
      <c r="E448" s="3"/>
      <c r="H448" s="3"/>
      <c r="AG448" s="91"/>
    </row>
    <row r="449" ht="15.75" customHeight="1">
      <c r="B449" s="182"/>
      <c r="C449" s="3"/>
      <c r="E449" s="3"/>
      <c r="H449" s="3"/>
      <c r="AG449" s="91"/>
    </row>
    <row r="450" ht="15.75" customHeight="1">
      <c r="B450" s="182"/>
      <c r="C450" s="3"/>
      <c r="E450" s="3"/>
      <c r="H450" s="3"/>
      <c r="AG450" s="91"/>
    </row>
    <row r="451" ht="15.75" customHeight="1">
      <c r="B451" s="182"/>
      <c r="C451" s="3"/>
      <c r="E451" s="3"/>
      <c r="H451" s="3"/>
      <c r="AG451" s="91"/>
    </row>
    <row r="452" ht="15.75" customHeight="1">
      <c r="B452" s="182"/>
      <c r="C452" s="3"/>
      <c r="E452" s="3"/>
      <c r="H452" s="3"/>
      <c r="AG452" s="91"/>
    </row>
    <row r="453" ht="15.75" customHeight="1">
      <c r="B453" s="182"/>
      <c r="C453" s="3"/>
      <c r="E453" s="3"/>
      <c r="H453" s="3"/>
      <c r="AG453" s="91"/>
    </row>
    <row r="454" ht="15.75" customHeight="1">
      <c r="B454" s="182"/>
      <c r="C454" s="3"/>
      <c r="E454" s="3"/>
      <c r="H454" s="3"/>
      <c r="AG454" s="91"/>
    </row>
    <row r="455" ht="15.75" customHeight="1">
      <c r="B455" s="182"/>
      <c r="C455" s="3"/>
      <c r="E455" s="3"/>
      <c r="H455" s="3"/>
      <c r="AG455" s="91"/>
    </row>
    <row r="456" ht="15.75" customHeight="1">
      <c r="B456" s="182"/>
      <c r="C456" s="3"/>
      <c r="E456" s="3"/>
      <c r="H456" s="3"/>
      <c r="AG456" s="91"/>
    </row>
    <row r="457" ht="15.75" customHeight="1">
      <c r="B457" s="182"/>
      <c r="C457" s="3"/>
      <c r="E457" s="3"/>
      <c r="H457" s="3"/>
      <c r="AG457" s="91"/>
    </row>
    <row r="458" ht="15.75" customHeight="1">
      <c r="B458" s="182"/>
      <c r="C458" s="3"/>
      <c r="E458" s="3"/>
      <c r="H458" s="3"/>
      <c r="AG458" s="91"/>
    </row>
    <row r="459" ht="15.75" customHeight="1">
      <c r="B459" s="182"/>
      <c r="C459" s="3"/>
      <c r="E459" s="3"/>
      <c r="H459" s="3"/>
      <c r="AG459" s="91"/>
    </row>
    <row r="460" ht="15.75" customHeight="1">
      <c r="B460" s="182"/>
      <c r="C460" s="3"/>
      <c r="E460" s="3"/>
      <c r="H460" s="3"/>
      <c r="AG460" s="91"/>
    </row>
    <row r="461" ht="15.75" customHeight="1">
      <c r="B461" s="182"/>
      <c r="C461" s="3"/>
      <c r="E461" s="3"/>
      <c r="H461" s="3"/>
      <c r="AG461" s="91"/>
    </row>
    <row r="462" ht="15.75" customHeight="1">
      <c r="B462" s="182"/>
      <c r="C462" s="3"/>
      <c r="E462" s="3"/>
      <c r="H462" s="3"/>
      <c r="AG462" s="91"/>
    </row>
    <row r="463" ht="15.75" customHeight="1">
      <c r="B463" s="182"/>
      <c r="C463" s="3"/>
      <c r="E463" s="3"/>
      <c r="H463" s="3"/>
      <c r="AG463" s="91"/>
    </row>
    <row r="464" ht="15.75" customHeight="1">
      <c r="B464" s="182"/>
      <c r="C464" s="3"/>
      <c r="E464" s="3"/>
      <c r="H464" s="3"/>
      <c r="AG464" s="91"/>
    </row>
    <row r="465" ht="15.75" customHeight="1">
      <c r="B465" s="182"/>
      <c r="C465" s="3"/>
      <c r="E465" s="3"/>
      <c r="H465" s="3"/>
      <c r="AG465" s="91"/>
    </row>
    <row r="466" ht="15.75" customHeight="1">
      <c r="B466" s="182"/>
      <c r="C466" s="3"/>
      <c r="E466" s="3"/>
      <c r="H466" s="3"/>
      <c r="AG466" s="91"/>
    </row>
    <row r="467" ht="15.75" customHeight="1">
      <c r="B467" s="182"/>
      <c r="C467" s="3"/>
      <c r="E467" s="3"/>
      <c r="H467" s="3"/>
      <c r="AG467" s="91"/>
    </row>
    <row r="468" ht="15.75" customHeight="1">
      <c r="B468" s="182"/>
      <c r="C468" s="3"/>
      <c r="E468" s="3"/>
      <c r="H468" s="3"/>
      <c r="AG468" s="91"/>
    </row>
    <row r="469" ht="15.75" customHeight="1">
      <c r="B469" s="182"/>
      <c r="C469" s="3"/>
      <c r="E469" s="3"/>
      <c r="H469" s="3"/>
      <c r="AG469" s="91"/>
    </row>
    <row r="470" ht="15.75" customHeight="1">
      <c r="B470" s="182"/>
      <c r="C470" s="3"/>
      <c r="E470" s="3"/>
      <c r="H470" s="3"/>
      <c r="AG470" s="91"/>
    </row>
    <row r="471" ht="15.75" customHeight="1">
      <c r="B471" s="182"/>
      <c r="C471" s="3"/>
      <c r="E471" s="3"/>
      <c r="H471" s="3"/>
      <c r="AG471" s="91"/>
    </row>
    <row r="472" ht="15.75" customHeight="1">
      <c r="B472" s="182"/>
      <c r="C472" s="3"/>
      <c r="E472" s="3"/>
      <c r="H472" s="3"/>
      <c r="AG472" s="91"/>
    </row>
    <row r="473" ht="15.75" customHeight="1">
      <c r="B473" s="182"/>
      <c r="C473" s="3"/>
      <c r="E473" s="3"/>
      <c r="H473" s="3"/>
      <c r="AG473" s="91"/>
    </row>
    <row r="474" ht="15.75" customHeight="1">
      <c r="B474" s="182"/>
      <c r="C474" s="3"/>
      <c r="E474" s="3"/>
      <c r="H474" s="3"/>
      <c r="AG474" s="91"/>
    </row>
    <row r="475" ht="15.75" customHeight="1">
      <c r="B475" s="182"/>
      <c r="C475" s="3"/>
      <c r="E475" s="3"/>
      <c r="H475" s="3"/>
      <c r="AG475" s="91"/>
    </row>
    <row r="476" ht="15.75" customHeight="1">
      <c r="B476" s="182"/>
      <c r="C476" s="3"/>
      <c r="E476" s="3"/>
      <c r="H476" s="3"/>
      <c r="AG476" s="91"/>
    </row>
    <row r="477" ht="15.75" customHeight="1">
      <c r="B477" s="182"/>
      <c r="C477" s="3"/>
      <c r="E477" s="3"/>
      <c r="H477" s="3"/>
      <c r="AG477" s="91"/>
    </row>
    <row r="478" ht="15.75" customHeight="1">
      <c r="B478" s="182"/>
      <c r="C478" s="3"/>
      <c r="E478" s="3"/>
      <c r="H478" s="3"/>
      <c r="AG478" s="91"/>
    </row>
    <row r="479" ht="15.75" customHeight="1">
      <c r="B479" s="182"/>
      <c r="C479" s="3"/>
      <c r="E479" s="3"/>
      <c r="H479" s="3"/>
      <c r="AG479" s="91"/>
    </row>
    <row r="480" ht="15.75" customHeight="1">
      <c r="B480" s="182"/>
      <c r="C480" s="3"/>
      <c r="E480" s="3"/>
      <c r="H480" s="3"/>
      <c r="AG480" s="91"/>
    </row>
    <row r="481" ht="15.75" customHeight="1">
      <c r="B481" s="182"/>
      <c r="C481" s="3"/>
      <c r="E481" s="3"/>
      <c r="H481" s="3"/>
      <c r="AG481" s="91"/>
    </row>
    <row r="482" ht="15.75" customHeight="1">
      <c r="B482" s="182"/>
      <c r="C482" s="3"/>
      <c r="E482" s="3"/>
      <c r="H482" s="3"/>
      <c r="AG482" s="91"/>
    </row>
    <row r="483" ht="15.75" customHeight="1">
      <c r="B483" s="182"/>
      <c r="C483" s="3"/>
      <c r="E483" s="3"/>
      <c r="H483" s="3"/>
      <c r="AG483" s="91"/>
    </row>
    <row r="484" ht="15.75" customHeight="1">
      <c r="B484" s="182"/>
      <c r="C484" s="3"/>
      <c r="E484" s="3"/>
      <c r="H484" s="3"/>
      <c r="AG484" s="91"/>
    </row>
    <row r="485" ht="15.75" customHeight="1">
      <c r="B485" s="182"/>
      <c r="C485" s="3"/>
      <c r="E485" s="3"/>
      <c r="H485" s="3"/>
      <c r="AG485" s="91"/>
    </row>
    <row r="486" ht="15.75" customHeight="1">
      <c r="B486" s="182"/>
      <c r="C486" s="3"/>
      <c r="E486" s="3"/>
      <c r="H486" s="3"/>
      <c r="AG486" s="91"/>
    </row>
    <row r="487" ht="15.75" customHeight="1">
      <c r="B487" s="182"/>
      <c r="C487" s="3"/>
      <c r="E487" s="3"/>
      <c r="H487" s="3"/>
      <c r="AG487" s="91"/>
    </row>
    <row r="488" ht="15.75" customHeight="1">
      <c r="B488" s="182"/>
      <c r="C488" s="3"/>
      <c r="E488" s="3"/>
      <c r="H488" s="3"/>
      <c r="AG488" s="91"/>
    </row>
    <row r="489" ht="15.75" customHeight="1">
      <c r="B489" s="182"/>
      <c r="C489" s="3"/>
      <c r="E489" s="3"/>
      <c r="H489" s="3"/>
      <c r="AG489" s="91"/>
    </row>
    <row r="490" ht="15.75" customHeight="1">
      <c r="B490" s="182"/>
      <c r="C490" s="3"/>
      <c r="E490" s="3"/>
      <c r="H490" s="3"/>
      <c r="AG490" s="91"/>
    </row>
    <row r="491" ht="15.75" customHeight="1">
      <c r="B491" s="182"/>
      <c r="C491" s="3"/>
      <c r="E491" s="3"/>
      <c r="H491" s="3"/>
      <c r="AG491" s="91"/>
    </row>
    <row r="492" ht="15.75" customHeight="1">
      <c r="B492" s="182"/>
      <c r="C492" s="3"/>
      <c r="E492" s="3"/>
      <c r="H492" s="3"/>
      <c r="AG492" s="91"/>
    </row>
    <row r="493" ht="15.75" customHeight="1">
      <c r="B493" s="182"/>
      <c r="C493" s="3"/>
      <c r="E493" s="3"/>
      <c r="H493" s="3"/>
      <c r="AG493" s="91"/>
    </row>
    <row r="494" ht="15.75" customHeight="1">
      <c r="B494" s="182"/>
      <c r="C494" s="3"/>
      <c r="E494" s="3"/>
      <c r="H494" s="3"/>
      <c r="AG494" s="91"/>
    </row>
    <row r="495" ht="15.75" customHeight="1">
      <c r="B495" s="182"/>
      <c r="C495" s="3"/>
      <c r="E495" s="3"/>
      <c r="H495" s="3"/>
      <c r="AG495" s="91"/>
    </row>
    <row r="496" ht="15.75" customHeight="1">
      <c r="B496" s="182"/>
      <c r="C496" s="3"/>
      <c r="E496" s="3"/>
      <c r="H496" s="3"/>
      <c r="AG496" s="91"/>
    </row>
    <row r="497" ht="15.75" customHeight="1">
      <c r="B497" s="182"/>
      <c r="C497" s="3"/>
      <c r="E497" s="3"/>
      <c r="H497" s="3"/>
      <c r="AG497" s="91"/>
    </row>
    <row r="498" ht="15.75" customHeight="1">
      <c r="B498" s="182"/>
      <c r="C498" s="3"/>
      <c r="E498" s="3"/>
      <c r="H498" s="3"/>
      <c r="AG498" s="91"/>
    </row>
    <row r="499" ht="15.75" customHeight="1">
      <c r="B499" s="182"/>
      <c r="C499" s="3"/>
      <c r="E499" s="3"/>
      <c r="H499" s="3"/>
      <c r="AG499" s="91"/>
    </row>
    <row r="500" ht="15.75" customHeight="1">
      <c r="B500" s="182"/>
      <c r="C500" s="3"/>
      <c r="E500" s="3"/>
      <c r="H500" s="3"/>
      <c r="AG500" s="91"/>
    </row>
    <row r="501" ht="15.75" customHeight="1">
      <c r="B501" s="182"/>
      <c r="C501" s="3"/>
      <c r="E501" s="3"/>
      <c r="H501" s="3"/>
      <c r="AG501" s="91"/>
    </row>
    <row r="502" ht="15.75" customHeight="1">
      <c r="B502" s="182"/>
      <c r="C502" s="3"/>
      <c r="E502" s="3"/>
      <c r="H502" s="3"/>
      <c r="AG502" s="91"/>
    </row>
    <row r="503" ht="15.75" customHeight="1">
      <c r="B503" s="182"/>
      <c r="C503" s="3"/>
      <c r="E503" s="3"/>
      <c r="H503" s="3"/>
      <c r="AG503" s="91"/>
    </row>
    <row r="504" ht="15.75" customHeight="1">
      <c r="B504" s="182"/>
      <c r="C504" s="3"/>
      <c r="E504" s="3"/>
      <c r="H504" s="3"/>
      <c r="AG504" s="91"/>
    </row>
    <row r="505" ht="15.75" customHeight="1">
      <c r="B505" s="182"/>
      <c r="C505" s="3"/>
      <c r="E505" s="3"/>
      <c r="H505" s="3"/>
      <c r="AG505" s="91"/>
    </row>
    <row r="506" ht="15.75" customHeight="1">
      <c r="B506" s="182"/>
      <c r="C506" s="3"/>
      <c r="E506" s="3"/>
      <c r="H506" s="3"/>
      <c r="AG506" s="91"/>
    </row>
    <row r="507" ht="15.75" customHeight="1">
      <c r="B507" s="182"/>
      <c r="C507" s="3"/>
      <c r="E507" s="3"/>
      <c r="H507" s="3"/>
      <c r="AG507" s="91"/>
    </row>
    <row r="508" ht="15.75" customHeight="1">
      <c r="B508" s="182"/>
      <c r="C508" s="3"/>
      <c r="E508" s="3"/>
      <c r="H508" s="3"/>
      <c r="AG508" s="91"/>
    </row>
    <row r="509" ht="15.75" customHeight="1">
      <c r="B509" s="182"/>
      <c r="C509" s="3"/>
      <c r="E509" s="3"/>
      <c r="H509" s="3"/>
      <c r="AG509" s="91"/>
    </row>
    <row r="510" ht="15.75" customHeight="1">
      <c r="B510" s="182"/>
      <c r="C510" s="3"/>
      <c r="E510" s="3"/>
      <c r="H510" s="3"/>
      <c r="AG510" s="91"/>
    </row>
    <row r="511" ht="15.75" customHeight="1">
      <c r="B511" s="182"/>
      <c r="C511" s="3"/>
      <c r="E511" s="3"/>
      <c r="H511" s="3"/>
      <c r="AG511" s="91"/>
    </row>
    <row r="512" ht="15.75" customHeight="1">
      <c r="B512" s="182"/>
      <c r="C512" s="3"/>
      <c r="E512" s="3"/>
      <c r="H512" s="3"/>
      <c r="AG512" s="91"/>
    </row>
    <row r="513" ht="15.75" customHeight="1">
      <c r="B513" s="182"/>
      <c r="C513" s="3"/>
      <c r="E513" s="3"/>
      <c r="H513" s="3"/>
      <c r="AG513" s="91"/>
    </row>
    <row r="514" ht="15.75" customHeight="1">
      <c r="B514" s="182"/>
      <c r="C514" s="3"/>
      <c r="E514" s="3"/>
      <c r="H514" s="3"/>
      <c r="AG514" s="91"/>
    </row>
    <row r="515" ht="15.75" customHeight="1">
      <c r="B515" s="182"/>
      <c r="C515" s="3"/>
      <c r="E515" s="3"/>
      <c r="H515" s="3"/>
      <c r="AG515" s="91"/>
    </row>
    <row r="516" ht="15.75" customHeight="1">
      <c r="B516" s="182"/>
      <c r="C516" s="3"/>
      <c r="E516" s="3"/>
      <c r="H516" s="3"/>
      <c r="AG516" s="91"/>
    </row>
    <row r="517" ht="15.75" customHeight="1">
      <c r="B517" s="182"/>
      <c r="C517" s="3"/>
      <c r="E517" s="3"/>
      <c r="H517" s="3"/>
      <c r="AG517" s="91"/>
    </row>
    <row r="518" ht="15.75" customHeight="1">
      <c r="B518" s="182"/>
      <c r="C518" s="3"/>
      <c r="E518" s="3"/>
      <c r="H518" s="3"/>
      <c r="AG518" s="91"/>
    </row>
    <row r="519" ht="15.75" customHeight="1">
      <c r="B519" s="182"/>
      <c r="C519" s="3"/>
      <c r="E519" s="3"/>
      <c r="H519" s="3"/>
      <c r="AG519" s="91"/>
    </row>
    <row r="520" ht="15.75" customHeight="1">
      <c r="B520" s="182"/>
      <c r="C520" s="3"/>
      <c r="E520" s="3"/>
      <c r="H520" s="3"/>
      <c r="AG520" s="91"/>
    </row>
    <row r="521" ht="15.75" customHeight="1">
      <c r="B521" s="182"/>
      <c r="C521" s="3"/>
      <c r="E521" s="3"/>
      <c r="H521" s="3"/>
      <c r="AG521" s="91"/>
    </row>
    <row r="522" ht="15.75" customHeight="1">
      <c r="B522" s="182"/>
      <c r="C522" s="3"/>
      <c r="E522" s="3"/>
      <c r="H522" s="3"/>
      <c r="AG522" s="91"/>
    </row>
    <row r="523" ht="15.75" customHeight="1">
      <c r="B523" s="182"/>
      <c r="C523" s="3"/>
      <c r="E523" s="3"/>
      <c r="H523" s="3"/>
      <c r="AG523" s="91"/>
    </row>
    <row r="524" ht="15.75" customHeight="1">
      <c r="B524" s="182"/>
      <c r="C524" s="3"/>
      <c r="E524" s="3"/>
      <c r="H524" s="3"/>
      <c r="AG524" s="91"/>
    </row>
    <row r="525" ht="15.75" customHeight="1">
      <c r="B525" s="182"/>
      <c r="C525" s="3"/>
      <c r="E525" s="3"/>
      <c r="H525" s="3"/>
      <c r="AG525" s="91"/>
    </row>
    <row r="526" ht="15.75" customHeight="1">
      <c r="B526" s="182"/>
      <c r="C526" s="3"/>
      <c r="E526" s="3"/>
      <c r="H526" s="3"/>
      <c r="AG526" s="91"/>
    </row>
    <row r="527" ht="15.75" customHeight="1">
      <c r="B527" s="182"/>
      <c r="C527" s="3"/>
      <c r="E527" s="3"/>
      <c r="H527" s="3"/>
      <c r="AG527" s="91"/>
    </row>
    <row r="528" ht="15.75" customHeight="1">
      <c r="B528" s="182"/>
      <c r="C528" s="3"/>
      <c r="E528" s="3"/>
      <c r="H528" s="3"/>
      <c r="AG528" s="91"/>
    </row>
    <row r="529" ht="15.75" customHeight="1">
      <c r="B529" s="182"/>
      <c r="C529" s="3"/>
      <c r="E529" s="3"/>
      <c r="H529" s="3"/>
      <c r="AG529" s="91"/>
    </row>
    <row r="530" ht="15.75" customHeight="1">
      <c r="B530" s="182"/>
      <c r="C530" s="3"/>
      <c r="E530" s="3"/>
      <c r="H530" s="3"/>
      <c r="AG530" s="91"/>
    </row>
    <row r="531" ht="15.75" customHeight="1">
      <c r="B531" s="182"/>
      <c r="C531" s="3"/>
      <c r="E531" s="3"/>
      <c r="H531" s="3"/>
      <c r="AG531" s="91"/>
    </row>
    <row r="532" ht="15.75" customHeight="1">
      <c r="B532" s="182"/>
      <c r="C532" s="3"/>
      <c r="E532" s="3"/>
      <c r="H532" s="3"/>
      <c r="AG532" s="91"/>
    </row>
    <row r="533" ht="15.75" customHeight="1">
      <c r="B533" s="182"/>
      <c r="C533" s="3"/>
      <c r="E533" s="3"/>
      <c r="H533" s="3"/>
      <c r="AG533" s="91"/>
    </row>
    <row r="534" ht="15.75" customHeight="1">
      <c r="B534" s="182"/>
      <c r="C534" s="3"/>
      <c r="E534" s="3"/>
      <c r="H534" s="3"/>
      <c r="AG534" s="91"/>
    </row>
    <row r="535" ht="15.75" customHeight="1">
      <c r="B535" s="182"/>
      <c r="C535" s="3"/>
      <c r="E535" s="3"/>
      <c r="H535" s="3"/>
      <c r="AG535" s="91"/>
    </row>
    <row r="536" ht="15.75" customHeight="1">
      <c r="B536" s="182"/>
      <c r="C536" s="3"/>
      <c r="E536" s="3"/>
      <c r="H536" s="3"/>
      <c r="AG536" s="91"/>
    </row>
    <row r="537" ht="15.75" customHeight="1">
      <c r="B537" s="182"/>
      <c r="C537" s="3"/>
      <c r="E537" s="3"/>
      <c r="H537" s="3"/>
      <c r="AG537" s="91"/>
    </row>
    <row r="538" ht="15.75" customHeight="1">
      <c r="B538" s="182"/>
      <c r="C538" s="3"/>
      <c r="E538" s="3"/>
      <c r="H538" s="3"/>
      <c r="AG538" s="91"/>
    </row>
    <row r="539" ht="15.75" customHeight="1">
      <c r="B539" s="182"/>
      <c r="C539" s="3"/>
      <c r="E539" s="3"/>
      <c r="H539" s="3"/>
      <c r="AG539" s="91"/>
    </row>
    <row r="540" ht="15.75" customHeight="1">
      <c r="B540" s="182"/>
      <c r="C540" s="3"/>
      <c r="E540" s="3"/>
      <c r="H540" s="3"/>
      <c r="AG540" s="91"/>
    </row>
    <row r="541" ht="15.75" customHeight="1">
      <c r="B541" s="182"/>
      <c r="C541" s="3"/>
      <c r="E541" s="3"/>
      <c r="H541" s="3"/>
      <c r="AG541" s="91"/>
    </row>
    <row r="542" ht="15.75" customHeight="1">
      <c r="B542" s="182"/>
      <c r="C542" s="3"/>
      <c r="E542" s="3"/>
      <c r="H542" s="3"/>
      <c r="AG542" s="91"/>
    </row>
    <row r="543" ht="15.75" customHeight="1">
      <c r="B543" s="182"/>
      <c r="C543" s="3"/>
      <c r="E543" s="3"/>
      <c r="H543" s="3"/>
      <c r="AG543" s="91"/>
    </row>
    <row r="544" ht="15.75" customHeight="1">
      <c r="B544" s="182"/>
      <c r="C544" s="3"/>
      <c r="E544" s="3"/>
      <c r="H544" s="3"/>
      <c r="AG544" s="91"/>
    </row>
    <row r="545" ht="15.75" customHeight="1">
      <c r="B545" s="182"/>
      <c r="C545" s="3"/>
      <c r="E545" s="3"/>
      <c r="H545" s="3"/>
      <c r="AG545" s="91"/>
    </row>
    <row r="546" ht="15.75" customHeight="1">
      <c r="B546" s="182"/>
      <c r="C546" s="3"/>
      <c r="E546" s="3"/>
      <c r="H546" s="3"/>
      <c r="AG546" s="91"/>
    </row>
    <row r="547" ht="15.75" customHeight="1">
      <c r="B547" s="182"/>
      <c r="C547" s="3"/>
      <c r="E547" s="3"/>
      <c r="H547" s="3"/>
      <c r="AG547" s="91"/>
    </row>
    <row r="548" ht="15.75" customHeight="1">
      <c r="B548" s="182"/>
      <c r="C548" s="3"/>
      <c r="E548" s="3"/>
      <c r="H548" s="3"/>
      <c r="AG548" s="91"/>
    </row>
    <row r="549" ht="15.75" customHeight="1">
      <c r="B549" s="182"/>
      <c r="C549" s="3"/>
      <c r="E549" s="3"/>
      <c r="H549" s="3"/>
      <c r="AG549" s="91"/>
    </row>
    <row r="550" ht="15.75" customHeight="1">
      <c r="B550" s="182"/>
      <c r="C550" s="3"/>
      <c r="E550" s="3"/>
      <c r="H550" s="3"/>
      <c r="AG550" s="91"/>
    </row>
    <row r="551" ht="15.75" customHeight="1">
      <c r="B551" s="182"/>
      <c r="C551" s="3"/>
      <c r="E551" s="3"/>
      <c r="H551" s="3"/>
      <c r="AG551" s="91"/>
    </row>
    <row r="552" ht="15.75" customHeight="1">
      <c r="B552" s="182"/>
      <c r="C552" s="3"/>
      <c r="E552" s="3"/>
      <c r="H552" s="3"/>
      <c r="AG552" s="91"/>
    </row>
    <row r="553" ht="15.75" customHeight="1">
      <c r="B553" s="182"/>
      <c r="C553" s="3"/>
      <c r="E553" s="3"/>
      <c r="H553" s="3"/>
      <c r="AG553" s="91"/>
    </row>
    <row r="554" ht="15.75" customHeight="1">
      <c r="B554" s="182"/>
      <c r="C554" s="3"/>
      <c r="E554" s="3"/>
      <c r="H554" s="3"/>
      <c r="AG554" s="91"/>
    </row>
    <row r="555" ht="15.75" customHeight="1">
      <c r="B555" s="182"/>
      <c r="C555" s="3"/>
      <c r="E555" s="3"/>
      <c r="H555" s="3"/>
      <c r="AG555" s="91"/>
    </row>
    <row r="556" ht="15.75" customHeight="1">
      <c r="B556" s="182"/>
      <c r="C556" s="3"/>
      <c r="E556" s="3"/>
      <c r="H556" s="3"/>
      <c r="AG556" s="91"/>
    </row>
    <row r="557" ht="15.75" customHeight="1">
      <c r="B557" s="182"/>
      <c r="C557" s="3"/>
      <c r="E557" s="3"/>
      <c r="H557" s="3"/>
      <c r="AG557" s="91"/>
    </row>
    <row r="558" ht="15.75" customHeight="1">
      <c r="B558" s="182"/>
      <c r="C558" s="3"/>
      <c r="E558" s="3"/>
      <c r="H558" s="3"/>
      <c r="AG558" s="91"/>
    </row>
    <row r="559" ht="15.75" customHeight="1">
      <c r="B559" s="182"/>
      <c r="C559" s="3"/>
      <c r="E559" s="3"/>
      <c r="H559" s="3"/>
      <c r="AG559" s="91"/>
    </row>
    <row r="560" ht="15.75" customHeight="1">
      <c r="B560" s="182"/>
      <c r="C560" s="3"/>
      <c r="E560" s="3"/>
      <c r="H560" s="3"/>
      <c r="AG560" s="91"/>
    </row>
    <row r="561" ht="15.75" customHeight="1">
      <c r="B561" s="182"/>
      <c r="C561" s="3"/>
      <c r="E561" s="3"/>
      <c r="H561" s="3"/>
      <c r="AG561" s="91"/>
    </row>
    <row r="562" ht="15.75" customHeight="1">
      <c r="B562" s="182"/>
      <c r="C562" s="3"/>
      <c r="E562" s="3"/>
      <c r="H562" s="3"/>
      <c r="AG562" s="91"/>
    </row>
    <row r="563" ht="15.75" customHeight="1">
      <c r="B563" s="182"/>
      <c r="C563" s="3"/>
      <c r="E563" s="3"/>
      <c r="H563" s="3"/>
      <c r="AG563" s="91"/>
    </row>
    <row r="564" ht="15.75" customHeight="1">
      <c r="B564" s="182"/>
      <c r="C564" s="3"/>
      <c r="E564" s="3"/>
      <c r="H564" s="3"/>
      <c r="AG564" s="91"/>
    </row>
    <row r="565" ht="15.75" customHeight="1">
      <c r="B565" s="182"/>
      <c r="C565" s="3"/>
      <c r="E565" s="3"/>
      <c r="H565" s="3"/>
      <c r="AG565" s="91"/>
    </row>
    <row r="566" ht="15.75" customHeight="1">
      <c r="B566" s="182"/>
      <c r="C566" s="3"/>
      <c r="E566" s="3"/>
      <c r="H566" s="3"/>
      <c r="AG566" s="91"/>
    </row>
    <row r="567" ht="15.75" customHeight="1">
      <c r="B567" s="182"/>
      <c r="C567" s="3"/>
      <c r="E567" s="3"/>
      <c r="H567" s="3"/>
      <c r="AG567" s="91"/>
    </row>
    <row r="568" ht="15.75" customHeight="1">
      <c r="B568" s="182"/>
      <c r="C568" s="3"/>
      <c r="E568" s="3"/>
      <c r="H568" s="3"/>
      <c r="AG568" s="91"/>
    </row>
    <row r="569" ht="15.75" customHeight="1">
      <c r="B569" s="182"/>
      <c r="C569" s="3"/>
      <c r="E569" s="3"/>
      <c r="H569" s="3"/>
      <c r="AG569" s="91"/>
    </row>
    <row r="570" ht="15.75" customHeight="1">
      <c r="B570" s="182"/>
      <c r="C570" s="3"/>
      <c r="E570" s="3"/>
      <c r="H570" s="3"/>
      <c r="AG570" s="91"/>
    </row>
    <row r="571" ht="15.75" customHeight="1">
      <c r="B571" s="182"/>
      <c r="C571" s="3"/>
      <c r="E571" s="3"/>
      <c r="H571" s="3"/>
      <c r="AG571" s="91"/>
    </row>
    <row r="572" ht="15.75" customHeight="1">
      <c r="B572" s="182"/>
      <c r="C572" s="3"/>
      <c r="E572" s="3"/>
      <c r="H572" s="3"/>
      <c r="AG572" s="91"/>
    </row>
    <row r="573" ht="15.75" customHeight="1">
      <c r="B573" s="182"/>
      <c r="C573" s="3"/>
      <c r="E573" s="3"/>
      <c r="H573" s="3"/>
      <c r="AG573" s="91"/>
    </row>
    <row r="574" ht="15.75" customHeight="1">
      <c r="B574" s="182"/>
      <c r="C574" s="3"/>
      <c r="E574" s="3"/>
      <c r="H574" s="3"/>
      <c r="AG574" s="91"/>
    </row>
    <row r="575" ht="15.75" customHeight="1">
      <c r="B575" s="182"/>
      <c r="C575" s="3"/>
      <c r="E575" s="3"/>
      <c r="H575" s="3"/>
      <c r="AG575" s="91"/>
    </row>
    <row r="576" ht="15.75" customHeight="1">
      <c r="B576" s="182"/>
      <c r="C576" s="3"/>
      <c r="E576" s="3"/>
      <c r="H576" s="3"/>
      <c r="AG576" s="91"/>
    </row>
    <row r="577" ht="15.75" customHeight="1">
      <c r="B577" s="182"/>
      <c r="C577" s="3"/>
      <c r="E577" s="3"/>
      <c r="H577" s="3"/>
      <c r="AG577" s="91"/>
    </row>
    <row r="578" ht="15.75" customHeight="1">
      <c r="B578" s="182"/>
      <c r="C578" s="3"/>
      <c r="E578" s="3"/>
      <c r="H578" s="3"/>
      <c r="AG578" s="91"/>
    </row>
    <row r="579" ht="15.75" customHeight="1">
      <c r="B579" s="182"/>
      <c r="C579" s="3"/>
      <c r="E579" s="3"/>
      <c r="H579" s="3"/>
      <c r="AG579" s="91"/>
    </row>
    <row r="580" ht="15.75" customHeight="1">
      <c r="B580" s="182"/>
      <c r="C580" s="3"/>
      <c r="E580" s="3"/>
      <c r="H580" s="3"/>
      <c r="AG580" s="91"/>
    </row>
    <row r="581" ht="15.75" customHeight="1">
      <c r="B581" s="182"/>
      <c r="C581" s="3"/>
      <c r="E581" s="3"/>
      <c r="H581" s="3"/>
      <c r="AG581" s="91"/>
    </row>
    <row r="582" ht="15.75" customHeight="1">
      <c r="B582" s="182"/>
      <c r="C582" s="3"/>
      <c r="E582" s="3"/>
      <c r="H582" s="3"/>
      <c r="AG582" s="91"/>
    </row>
    <row r="583" ht="15.75" customHeight="1">
      <c r="B583" s="182"/>
      <c r="C583" s="3"/>
      <c r="E583" s="3"/>
      <c r="H583" s="3"/>
      <c r="AG583" s="91"/>
    </row>
    <row r="584" ht="15.75" customHeight="1">
      <c r="B584" s="182"/>
      <c r="C584" s="3"/>
      <c r="E584" s="3"/>
      <c r="H584" s="3"/>
      <c r="AG584" s="91"/>
    </row>
    <row r="585" ht="15.75" customHeight="1">
      <c r="B585" s="182"/>
      <c r="C585" s="3"/>
      <c r="E585" s="3"/>
      <c r="H585" s="3"/>
      <c r="AG585" s="91"/>
    </row>
    <row r="586" ht="15.75" customHeight="1">
      <c r="B586" s="182"/>
      <c r="C586" s="3"/>
      <c r="E586" s="3"/>
      <c r="H586" s="3"/>
      <c r="AG586" s="91"/>
    </row>
    <row r="587" ht="15.75" customHeight="1">
      <c r="B587" s="182"/>
      <c r="C587" s="3"/>
      <c r="E587" s="3"/>
      <c r="H587" s="3"/>
      <c r="AG587" s="91"/>
    </row>
    <row r="588" ht="15.75" customHeight="1">
      <c r="B588" s="182"/>
      <c r="C588" s="3"/>
      <c r="E588" s="3"/>
      <c r="H588" s="3"/>
      <c r="AG588" s="91"/>
    </row>
    <row r="589" ht="15.75" customHeight="1">
      <c r="B589" s="182"/>
      <c r="C589" s="3"/>
      <c r="E589" s="3"/>
      <c r="H589" s="3"/>
      <c r="AG589" s="91"/>
    </row>
    <row r="590" ht="15.75" customHeight="1">
      <c r="B590" s="182"/>
      <c r="C590" s="3"/>
      <c r="E590" s="3"/>
      <c r="H590" s="3"/>
      <c r="AG590" s="91"/>
    </row>
    <row r="591" ht="15.75" customHeight="1">
      <c r="B591" s="182"/>
      <c r="C591" s="3"/>
      <c r="E591" s="3"/>
      <c r="H591" s="3"/>
      <c r="AG591" s="91"/>
    </row>
    <row r="592" ht="15.75" customHeight="1">
      <c r="B592" s="182"/>
      <c r="C592" s="3"/>
      <c r="E592" s="3"/>
      <c r="H592" s="3"/>
      <c r="AG592" s="91"/>
    </row>
    <row r="593" ht="15.75" customHeight="1">
      <c r="B593" s="182"/>
      <c r="C593" s="3"/>
      <c r="E593" s="3"/>
      <c r="H593" s="3"/>
      <c r="AG593" s="91"/>
    </row>
    <row r="594" ht="15.75" customHeight="1">
      <c r="B594" s="182"/>
      <c r="C594" s="3"/>
      <c r="E594" s="3"/>
      <c r="H594" s="3"/>
      <c r="AG594" s="91"/>
    </row>
    <row r="595" ht="15.75" customHeight="1">
      <c r="B595" s="182"/>
      <c r="C595" s="3"/>
      <c r="E595" s="3"/>
      <c r="H595" s="3"/>
      <c r="AG595" s="91"/>
    </row>
    <row r="596" ht="15.75" customHeight="1">
      <c r="B596" s="182"/>
      <c r="C596" s="3"/>
      <c r="E596" s="3"/>
      <c r="H596" s="3"/>
      <c r="AG596" s="91"/>
    </row>
    <row r="597" ht="15.75" customHeight="1">
      <c r="B597" s="182"/>
      <c r="C597" s="3"/>
      <c r="E597" s="3"/>
      <c r="H597" s="3"/>
      <c r="AG597" s="91"/>
    </row>
    <row r="598" ht="15.75" customHeight="1">
      <c r="B598" s="182"/>
      <c r="C598" s="3"/>
      <c r="E598" s="3"/>
      <c r="H598" s="3"/>
      <c r="AG598" s="91"/>
    </row>
    <row r="599" ht="15.75" customHeight="1">
      <c r="B599" s="182"/>
      <c r="C599" s="3"/>
      <c r="E599" s="3"/>
      <c r="H599" s="3"/>
      <c r="AG599" s="91"/>
    </row>
    <row r="600" ht="15.75" customHeight="1">
      <c r="B600" s="182"/>
      <c r="C600" s="3"/>
      <c r="E600" s="3"/>
      <c r="H600" s="3"/>
      <c r="AG600" s="91"/>
    </row>
    <row r="601" ht="15.75" customHeight="1">
      <c r="B601" s="182"/>
      <c r="C601" s="3"/>
      <c r="E601" s="3"/>
      <c r="H601" s="3"/>
      <c r="AG601" s="91"/>
    </row>
    <row r="602" ht="15.75" customHeight="1">
      <c r="B602" s="182"/>
      <c r="C602" s="3"/>
      <c r="E602" s="3"/>
      <c r="H602" s="3"/>
      <c r="AG602" s="91"/>
    </row>
    <row r="603" ht="15.75" customHeight="1">
      <c r="B603" s="182"/>
      <c r="C603" s="3"/>
      <c r="E603" s="3"/>
      <c r="H603" s="3"/>
      <c r="AG603" s="91"/>
    </row>
    <row r="604" ht="15.75" customHeight="1">
      <c r="B604" s="182"/>
      <c r="C604" s="3"/>
      <c r="E604" s="3"/>
      <c r="H604" s="3"/>
      <c r="AG604" s="91"/>
    </row>
    <row r="605" ht="15.75" customHeight="1">
      <c r="B605" s="182"/>
      <c r="C605" s="3"/>
      <c r="E605" s="3"/>
      <c r="H605" s="3"/>
      <c r="AG605" s="91"/>
    </row>
    <row r="606" ht="15.75" customHeight="1">
      <c r="B606" s="182"/>
      <c r="C606" s="3"/>
      <c r="E606" s="3"/>
      <c r="H606" s="3"/>
      <c r="AG606" s="91"/>
    </row>
    <row r="607" ht="15.75" customHeight="1">
      <c r="B607" s="182"/>
      <c r="C607" s="3"/>
      <c r="E607" s="3"/>
      <c r="H607" s="3"/>
      <c r="AG607" s="91"/>
    </row>
    <row r="608" ht="15.75" customHeight="1">
      <c r="B608" s="182"/>
      <c r="C608" s="3"/>
      <c r="E608" s="3"/>
      <c r="H608" s="3"/>
      <c r="AG608" s="91"/>
    </row>
    <row r="609" ht="15.75" customHeight="1">
      <c r="B609" s="182"/>
      <c r="C609" s="3"/>
      <c r="E609" s="3"/>
      <c r="H609" s="3"/>
      <c r="AG609" s="91"/>
    </row>
    <row r="610" ht="15.75" customHeight="1">
      <c r="B610" s="182"/>
      <c r="C610" s="3"/>
      <c r="E610" s="3"/>
      <c r="H610" s="3"/>
      <c r="AG610" s="91"/>
    </row>
    <row r="611" ht="15.75" customHeight="1">
      <c r="B611" s="182"/>
      <c r="C611" s="3"/>
      <c r="E611" s="3"/>
      <c r="H611" s="3"/>
      <c r="AG611" s="91"/>
    </row>
    <row r="612" ht="15.75" customHeight="1">
      <c r="B612" s="182"/>
      <c r="C612" s="3"/>
      <c r="E612" s="3"/>
      <c r="H612" s="3"/>
      <c r="AG612" s="91"/>
    </row>
    <row r="613" ht="15.75" customHeight="1">
      <c r="B613" s="182"/>
      <c r="C613" s="3"/>
      <c r="E613" s="3"/>
      <c r="H613" s="3"/>
      <c r="AG613" s="91"/>
    </row>
    <row r="614" ht="15.75" customHeight="1">
      <c r="B614" s="182"/>
      <c r="C614" s="3"/>
      <c r="E614" s="3"/>
      <c r="H614" s="3"/>
      <c r="AG614" s="91"/>
    </row>
    <row r="615" ht="15.75" customHeight="1">
      <c r="B615" s="182"/>
      <c r="C615" s="3"/>
      <c r="E615" s="3"/>
      <c r="H615" s="3"/>
      <c r="AG615" s="91"/>
    </row>
    <row r="616" ht="15.75" customHeight="1">
      <c r="B616" s="182"/>
      <c r="C616" s="3"/>
      <c r="E616" s="3"/>
      <c r="H616" s="3"/>
      <c r="AG616" s="91"/>
    </row>
    <row r="617" ht="15.75" customHeight="1">
      <c r="B617" s="182"/>
      <c r="C617" s="3"/>
      <c r="E617" s="3"/>
      <c r="H617" s="3"/>
      <c r="AG617" s="91"/>
    </row>
    <row r="618" ht="15.75" customHeight="1">
      <c r="B618" s="182"/>
      <c r="C618" s="3"/>
      <c r="E618" s="3"/>
      <c r="H618" s="3"/>
      <c r="AG618" s="91"/>
    </row>
    <row r="619" ht="15.75" customHeight="1">
      <c r="B619" s="182"/>
      <c r="C619" s="3"/>
      <c r="E619" s="3"/>
      <c r="H619" s="3"/>
      <c r="AG619" s="91"/>
    </row>
    <row r="620" ht="15.75" customHeight="1">
      <c r="B620" s="182"/>
      <c r="C620" s="3"/>
      <c r="E620" s="3"/>
      <c r="H620" s="3"/>
      <c r="AG620" s="91"/>
    </row>
    <row r="621" ht="15.75" customHeight="1">
      <c r="B621" s="182"/>
      <c r="C621" s="3"/>
      <c r="E621" s="3"/>
      <c r="H621" s="3"/>
      <c r="AG621" s="91"/>
    </row>
    <row r="622" ht="15.75" customHeight="1">
      <c r="B622" s="182"/>
      <c r="C622" s="3"/>
      <c r="E622" s="3"/>
      <c r="H622" s="3"/>
      <c r="AG622" s="91"/>
    </row>
    <row r="623" ht="15.75" customHeight="1">
      <c r="B623" s="182"/>
      <c r="C623" s="3"/>
      <c r="E623" s="3"/>
      <c r="H623" s="3"/>
      <c r="AG623" s="91"/>
    </row>
    <row r="624" ht="15.75" customHeight="1">
      <c r="B624" s="182"/>
      <c r="C624" s="3"/>
      <c r="E624" s="3"/>
      <c r="H624" s="3"/>
      <c r="AG624" s="91"/>
    </row>
    <row r="625" ht="15.75" customHeight="1">
      <c r="B625" s="182"/>
      <c r="C625" s="3"/>
      <c r="E625" s="3"/>
      <c r="H625" s="3"/>
      <c r="AG625" s="91"/>
    </row>
    <row r="626" ht="15.75" customHeight="1">
      <c r="B626" s="182"/>
      <c r="C626" s="3"/>
      <c r="E626" s="3"/>
      <c r="H626" s="3"/>
      <c r="AG626" s="91"/>
    </row>
    <row r="627" ht="15.75" customHeight="1">
      <c r="B627" s="182"/>
      <c r="C627" s="3"/>
      <c r="E627" s="3"/>
      <c r="H627" s="3"/>
      <c r="AG627" s="91"/>
    </row>
    <row r="628" ht="15.75" customHeight="1">
      <c r="B628" s="182"/>
      <c r="C628" s="3"/>
      <c r="E628" s="3"/>
      <c r="H628" s="3"/>
      <c r="AG628" s="91"/>
    </row>
    <row r="629" ht="15.75" customHeight="1">
      <c r="B629" s="182"/>
      <c r="C629" s="3"/>
      <c r="E629" s="3"/>
      <c r="H629" s="3"/>
      <c r="AG629" s="91"/>
    </row>
    <row r="630" ht="15.75" customHeight="1">
      <c r="B630" s="182"/>
      <c r="C630" s="3"/>
      <c r="E630" s="3"/>
      <c r="H630" s="3"/>
      <c r="AG630" s="91"/>
    </row>
    <row r="631" ht="15.75" customHeight="1">
      <c r="B631" s="182"/>
      <c r="C631" s="3"/>
      <c r="E631" s="3"/>
      <c r="H631" s="3"/>
      <c r="AG631" s="91"/>
    </row>
    <row r="632" ht="15.75" customHeight="1">
      <c r="B632" s="182"/>
      <c r="C632" s="3"/>
      <c r="E632" s="3"/>
      <c r="H632" s="3"/>
      <c r="AG632" s="91"/>
    </row>
    <row r="633" ht="15.75" customHeight="1">
      <c r="B633" s="182"/>
      <c r="C633" s="3"/>
      <c r="E633" s="3"/>
      <c r="H633" s="3"/>
      <c r="AG633" s="91"/>
    </row>
    <row r="634" ht="15.75" customHeight="1">
      <c r="B634" s="182"/>
      <c r="C634" s="3"/>
      <c r="E634" s="3"/>
      <c r="H634" s="3"/>
      <c r="AG634" s="91"/>
    </row>
    <row r="635" ht="15.75" customHeight="1">
      <c r="B635" s="182"/>
      <c r="C635" s="3"/>
      <c r="E635" s="3"/>
      <c r="H635" s="3"/>
      <c r="AG635" s="91"/>
    </row>
    <row r="636" ht="15.75" customHeight="1">
      <c r="B636" s="182"/>
      <c r="C636" s="3"/>
      <c r="E636" s="3"/>
      <c r="H636" s="3"/>
      <c r="AG636" s="91"/>
    </row>
    <row r="637" ht="15.75" customHeight="1">
      <c r="B637" s="182"/>
      <c r="C637" s="3"/>
      <c r="E637" s="3"/>
      <c r="H637" s="3"/>
      <c r="AG637" s="91"/>
    </row>
    <row r="638" ht="15.75" customHeight="1">
      <c r="B638" s="182"/>
      <c r="C638" s="3"/>
      <c r="E638" s="3"/>
      <c r="H638" s="3"/>
      <c r="AG638" s="91"/>
    </row>
    <row r="639" ht="15.75" customHeight="1">
      <c r="B639" s="182"/>
      <c r="C639" s="3"/>
      <c r="E639" s="3"/>
      <c r="H639" s="3"/>
      <c r="AG639" s="91"/>
    </row>
    <row r="640" ht="15.75" customHeight="1">
      <c r="B640" s="182"/>
      <c r="C640" s="3"/>
      <c r="E640" s="3"/>
      <c r="H640" s="3"/>
      <c r="AG640" s="91"/>
    </row>
    <row r="641" ht="15.75" customHeight="1">
      <c r="B641" s="182"/>
      <c r="C641" s="3"/>
      <c r="E641" s="3"/>
      <c r="H641" s="3"/>
      <c r="AG641" s="91"/>
    </row>
    <row r="642" ht="15.75" customHeight="1">
      <c r="B642" s="182"/>
      <c r="C642" s="3"/>
      <c r="E642" s="3"/>
      <c r="H642" s="3"/>
      <c r="AG642" s="91"/>
    </row>
    <row r="643" ht="15.75" customHeight="1">
      <c r="B643" s="182"/>
      <c r="C643" s="3"/>
      <c r="E643" s="3"/>
      <c r="H643" s="3"/>
      <c r="AG643" s="91"/>
    </row>
    <row r="644" ht="15.75" customHeight="1">
      <c r="B644" s="182"/>
      <c r="C644" s="3"/>
      <c r="E644" s="3"/>
      <c r="H644" s="3"/>
      <c r="AG644" s="91"/>
    </row>
    <row r="645" ht="15.75" customHeight="1">
      <c r="B645" s="182"/>
      <c r="C645" s="3"/>
      <c r="E645" s="3"/>
      <c r="H645" s="3"/>
      <c r="AG645" s="91"/>
    </row>
    <row r="646" ht="15.75" customHeight="1">
      <c r="B646" s="182"/>
      <c r="C646" s="3"/>
      <c r="E646" s="3"/>
      <c r="H646" s="3"/>
      <c r="AG646" s="91"/>
    </row>
    <row r="647" ht="15.75" customHeight="1">
      <c r="B647" s="182"/>
      <c r="C647" s="3"/>
      <c r="E647" s="3"/>
      <c r="H647" s="3"/>
      <c r="AG647" s="91"/>
    </row>
    <row r="648" ht="15.75" customHeight="1">
      <c r="B648" s="182"/>
      <c r="C648" s="3"/>
      <c r="E648" s="3"/>
      <c r="H648" s="3"/>
      <c r="AG648" s="91"/>
    </row>
    <row r="649" ht="15.75" customHeight="1">
      <c r="B649" s="182"/>
      <c r="C649" s="3"/>
      <c r="E649" s="3"/>
      <c r="H649" s="3"/>
      <c r="AG649" s="91"/>
    </row>
    <row r="650" ht="15.75" customHeight="1">
      <c r="B650" s="182"/>
      <c r="C650" s="3"/>
      <c r="E650" s="3"/>
      <c r="H650" s="3"/>
      <c r="AG650" s="91"/>
    </row>
    <row r="651" ht="15.75" customHeight="1">
      <c r="B651" s="182"/>
      <c r="C651" s="3"/>
      <c r="E651" s="3"/>
      <c r="H651" s="3"/>
      <c r="AG651" s="91"/>
    </row>
    <row r="652" ht="15.75" customHeight="1">
      <c r="B652" s="182"/>
      <c r="C652" s="3"/>
      <c r="E652" s="3"/>
      <c r="H652" s="3"/>
      <c r="AG652" s="91"/>
    </row>
    <row r="653" ht="15.75" customHeight="1">
      <c r="B653" s="182"/>
      <c r="C653" s="3"/>
      <c r="E653" s="3"/>
      <c r="H653" s="3"/>
      <c r="AG653" s="91"/>
    </row>
    <row r="654" ht="15.75" customHeight="1">
      <c r="B654" s="182"/>
      <c r="C654" s="3"/>
      <c r="E654" s="3"/>
      <c r="H654" s="3"/>
      <c r="AG654" s="91"/>
    </row>
    <row r="655" ht="15.75" customHeight="1">
      <c r="B655" s="182"/>
      <c r="C655" s="3"/>
      <c r="E655" s="3"/>
      <c r="H655" s="3"/>
      <c r="AG655" s="91"/>
    </row>
    <row r="656" ht="15.75" customHeight="1">
      <c r="B656" s="182"/>
      <c r="C656" s="3"/>
      <c r="E656" s="3"/>
      <c r="H656" s="3"/>
      <c r="AG656" s="91"/>
    </row>
    <row r="657" ht="15.75" customHeight="1">
      <c r="B657" s="182"/>
      <c r="C657" s="3"/>
      <c r="E657" s="3"/>
      <c r="H657" s="3"/>
      <c r="AG657" s="91"/>
    </row>
    <row r="658" ht="15.75" customHeight="1">
      <c r="B658" s="182"/>
      <c r="C658" s="3"/>
      <c r="E658" s="3"/>
      <c r="H658" s="3"/>
      <c r="AG658" s="91"/>
    </row>
    <row r="659" ht="15.75" customHeight="1">
      <c r="B659" s="182"/>
      <c r="C659" s="3"/>
      <c r="E659" s="3"/>
      <c r="H659" s="3"/>
      <c r="AG659" s="91"/>
    </row>
    <row r="660" ht="15.75" customHeight="1">
      <c r="B660" s="182"/>
      <c r="C660" s="3"/>
      <c r="E660" s="3"/>
      <c r="H660" s="3"/>
      <c r="AG660" s="91"/>
    </row>
    <row r="661" ht="15.75" customHeight="1">
      <c r="B661" s="182"/>
      <c r="C661" s="3"/>
      <c r="E661" s="3"/>
      <c r="H661" s="3"/>
      <c r="AG661" s="91"/>
    </row>
    <row r="662" ht="15.75" customHeight="1">
      <c r="B662" s="182"/>
      <c r="C662" s="3"/>
      <c r="E662" s="3"/>
      <c r="H662" s="3"/>
      <c r="AG662" s="91"/>
    </row>
    <row r="663" ht="15.75" customHeight="1">
      <c r="B663" s="182"/>
      <c r="C663" s="3"/>
      <c r="E663" s="3"/>
      <c r="H663" s="3"/>
      <c r="AG663" s="91"/>
    </row>
    <row r="664" ht="15.75" customHeight="1">
      <c r="B664" s="182"/>
      <c r="C664" s="3"/>
      <c r="E664" s="3"/>
      <c r="H664" s="3"/>
      <c r="AG664" s="91"/>
    </row>
    <row r="665" ht="15.75" customHeight="1">
      <c r="B665" s="182"/>
      <c r="C665" s="3"/>
      <c r="E665" s="3"/>
      <c r="H665" s="3"/>
      <c r="AG665" s="91"/>
    </row>
    <row r="666" ht="15.75" customHeight="1">
      <c r="B666" s="182"/>
      <c r="C666" s="3"/>
      <c r="E666" s="3"/>
      <c r="H666" s="3"/>
      <c r="AG666" s="91"/>
    </row>
    <row r="667" ht="15.75" customHeight="1">
      <c r="B667" s="182"/>
      <c r="C667" s="3"/>
      <c r="E667" s="3"/>
      <c r="H667" s="3"/>
      <c r="AG667" s="91"/>
    </row>
    <row r="668" ht="15.75" customHeight="1">
      <c r="B668" s="182"/>
      <c r="C668" s="3"/>
      <c r="E668" s="3"/>
      <c r="H668" s="3"/>
      <c r="AG668" s="91"/>
    </row>
    <row r="669" ht="15.75" customHeight="1">
      <c r="B669" s="182"/>
      <c r="C669" s="3"/>
      <c r="E669" s="3"/>
      <c r="H669" s="3"/>
      <c r="AG669" s="91"/>
    </row>
    <row r="670" ht="15.75" customHeight="1">
      <c r="B670" s="182"/>
      <c r="C670" s="3"/>
      <c r="E670" s="3"/>
      <c r="H670" s="3"/>
      <c r="AG670" s="91"/>
    </row>
    <row r="671" ht="15.75" customHeight="1">
      <c r="B671" s="182"/>
      <c r="C671" s="3"/>
      <c r="E671" s="3"/>
      <c r="H671" s="3"/>
      <c r="AG671" s="91"/>
    </row>
    <row r="672" ht="15.75" customHeight="1">
      <c r="B672" s="182"/>
      <c r="C672" s="3"/>
      <c r="E672" s="3"/>
      <c r="H672" s="3"/>
      <c r="AG672" s="91"/>
    </row>
    <row r="673" ht="15.75" customHeight="1">
      <c r="B673" s="182"/>
      <c r="C673" s="3"/>
      <c r="E673" s="3"/>
      <c r="H673" s="3"/>
      <c r="AG673" s="91"/>
    </row>
    <row r="674" ht="15.75" customHeight="1">
      <c r="B674" s="182"/>
      <c r="C674" s="3"/>
      <c r="E674" s="3"/>
      <c r="H674" s="3"/>
      <c r="AG674" s="91"/>
    </row>
    <row r="675" ht="15.75" customHeight="1">
      <c r="B675" s="182"/>
      <c r="C675" s="3"/>
      <c r="E675" s="3"/>
      <c r="H675" s="3"/>
      <c r="AG675" s="91"/>
    </row>
    <row r="676" ht="15.75" customHeight="1">
      <c r="B676" s="182"/>
      <c r="C676" s="3"/>
      <c r="E676" s="3"/>
      <c r="H676" s="3"/>
      <c r="AG676" s="91"/>
    </row>
    <row r="677" ht="15.75" customHeight="1">
      <c r="B677" s="182"/>
      <c r="C677" s="3"/>
      <c r="E677" s="3"/>
      <c r="H677" s="3"/>
      <c r="AG677" s="91"/>
    </row>
    <row r="678" ht="15.75" customHeight="1">
      <c r="B678" s="182"/>
      <c r="C678" s="3"/>
      <c r="E678" s="3"/>
      <c r="H678" s="3"/>
      <c r="AG678" s="91"/>
    </row>
    <row r="679" ht="15.75" customHeight="1">
      <c r="B679" s="182"/>
      <c r="C679" s="3"/>
      <c r="E679" s="3"/>
      <c r="H679" s="3"/>
      <c r="AG679" s="91"/>
    </row>
    <row r="680" ht="15.75" customHeight="1">
      <c r="B680" s="182"/>
      <c r="C680" s="3"/>
      <c r="E680" s="3"/>
      <c r="H680" s="3"/>
      <c r="AG680" s="91"/>
    </row>
    <row r="681" ht="15.75" customHeight="1">
      <c r="B681" s="182"/>
      <c r="C681" s="3"/>
      <c r="E681" s="3"/>
      <c r="H681" s="3"/>
      <c r="AG681" s="91"/>
    </row>
    <row r="682" ht="15.75" customHeight="1">
      <c r="B682" s="182"/>
      <c r="C682" s="3"/>
      <c r="E682" s="3"/>
      <c r="H682" s="3"/>
      <c r="AG682" s="91"/>
    </row>
    <row r="683" ht="15.75" customHeight="1">
      <c r="B683" s="182"/>
      <c r="C683" s="3"/>
      <c r="E683" s="3"/>
      <c r="H683" s="3"/>
      <c r="AG683" s="91"/>
    </row>
    <row r="684" ht="15.75" customHeight="1">
      <c r="B684" s="182"/>
      <c r="C684" s="3"/>
      <c r="E684" s="3"/>
      <c r="H684" s="3"/>
      <c r="AG684" s="91"/>
    </row>
    <row r="685" ht="15.75" customHeight="1">
      <c r="B685" s="182"/>
      <c r="C685" s="3"/>
      <c r="E685" s="3"/>
      <c r="H685" s="3"/>
      <c r="AG685" s="91"/>
    </row>
    <row r="686" ht="15.75" customHeight="1">
      <c r="B686" s="182"/>
      <c r="C686" s="3"/>
      <c r="E686" s="3"/>
      <c r="H686" s="3"/>
      <c r="AG686" s="91"/>
    </row>
    <row r="687" ht="15.75" customHeight="1">
      <c r="B687" s="182"/>
      <c r="C687" s="3"/>
      <c r="E687" s="3"/>
      <c r="H687" s="3"/>
      <c r="AG687" s="91"/>
    </row>
    <row r="688" ht="15.75" customHeight="1">
      <c r="B688" s="182"/>
      <c r="C688" s="3"/>
      <c r="E688" s="3"/>
      <c r="H688" s="3"/>
      <c r="AG688" s="91"/>
    </row>
    <row r="689" ht="15.75" customHeight="1">
      <c r="B689" s="182"/>
      <c r="C689" s="3"/>
      <c r="E689" s="3"/>
      <c r="H689" s="3"/>
      <c r="AG689" s="91"/>
    </row>
    <row r="690" ht="15.75" customHeight="1">
      <c r="B690" s="182"/>
      <c r="C690" s="3"/>
      <c r="E690" s="3"/>
      <c r="H690" s="3"/>
      <c r="AG690" s="91"/>
    </row>
    <row r="691" ht="15.75" customHeight="1">
      <c r="B691" s="182"/>
      <c r="C691" s="3"/>
      <c r="E691" s="3"/>
      <c r="H691" s="3"/>
      <c r="AG691" s="91"/>
    </row>
    <row r="692" ht="15.75" customHeight="1">
      <c r="B692" s="182"/>
      <c r="C692" s="3"/>
      <c r="E692" s="3"/>
      <c r="H692" s="3"/>
      <c r="AG692" s="91"/>
    </row>
    <row r="693" ht="15.75" customHeight="1">
      <c r="B693" s="182"/>
      <c r="C693" s="3"/>
      <c r="E693" s="3"/>
      <c r="H693" s="3"/>
      <c r="AG693" s="91"/>
    </row>
    <row r="694" ht="15.75" customHeight="1">
      <c r="B694" s="182"/>
      <c r="C694" s="3"/>
      <c r="E694" s="3"/>
      <c r="H694" s="3"/>
      <c r="AG694" s="91"/>
    </row>
    <row r="695" ht="15.75" customHeight="1">
      <c r="B695" s="182"/>
      <c r="C695" s="3"/>
      <c r="E695" s="3"/>
      <c r="H695" s="3"/>
      <c r="AG695" s="91"/>
    </row>
    <row r="696" ht="15.75" customHeight="1">
      <c r="B696" s="182"/>
      <c r="C696" s="3"/>
      <c r="E696" s="3"/>
      <c r="H696" s="3"/>
      <c r="AG696" s="91"/>
    </row>
    <row r="697" ht="15.75" customHeight="1">
      <c r="B697" s="182"/>
      <c r="C697" s="3"/>
      <c r="E697" s="3"/>
      <c r="H697" s="3"/>
      <c r="AG697" s="91"/>
    </row>
    <row r="698" ht="15.75" customHeight="1">
      <c r="B698" s="182"/>
      <c r="C698" s="3"/>
      <c r="E698" s="3"/>
      <c r="H698" s="3"/>
      <c r="AG698" s="91"/>
    </row>
    <row r="699" ht="15.75" customHeight="1">
      <c r="B699" s="182"/>
      <c r="C699" s="3"/>
      <c r="E699" s="3"/>
      <c r="H699" s="3"/>
      <c r="AG699" s="91"/>
    </row>
    <row r="700" ht="15.75" customHeight="1">
      <c r="B700" s="182"/>
      <c r="C700" s="3"/>
      <c r="E700" s="3"/>
      <c r="H700" s="3"/>
      <c r="AG700" s="91"/>
    </row>
    <row r="701" ht="15.75" customHeight="1">
      <c r="B701" s="182"/>
      <c r="C701" s="3"/>
      <c r="E701" s="3"/>
      <c r="H701" s="3"/>
      <c r="AG701" s="91"/>
    </row>
    <row r="702" ht="15.75" customHeight="1">
      <c r="B702" s="182"/>
      <c r="C702" s="3"/>
      <c r="E702" s="3"/>
      <c r="H702" s="3"/>
      <c r="AG702" s="91"/>
    </row>
    <row r="703" ht="15.75" customHeight="1">
      <c r="B703" s="182"/>
      <c r="C703" s="3"/>
      <c r="E703" s="3"/>
      <c r="H703" s="3"/>
      <c r="AG703" s="91"/>
    </row>
    <row r="704" ht="15.75" customHeight="1">
      <c r="B704" s="182"/>
      <c r="C704" s="3"/>
      <c r="E704" s="3"/>
      <c r="H704" s="3"/>
      <c r="AG704" s="91"/>
    </row>
    <row r="705" ht="15.75" customHeight="1">
      <c r="B705" s="182"/>
      <c r="C705" s="3"/>
      <c r="E705" s="3"/>
      <c r="H705" s="3"/>
      <c r="AG705" s="91"/>
    </row>
    <row r="706" ht="15.75" customHeight="1">
      <c r="B706" s="182"/>
      <c r="C706" s="3"/>
      <c r="E706" s="3"/>
      <c r="H706" s="3"/>
      <c r="AG706" s="91"/>
    </row>
    <row r="707" ht="15.75" customHeight="1">
      <c r="B707" s="182"/>
      <c r="C707" s="3"/>
      <c r="E707" s="3"/>
      <c r="H707" s="3"/>
      <c r="AG707" s="91"/>
    </row>
    <row r="708" ht="15.75" customHeight="1">
      <c r="B708" s="182"/>
      <c r="C708" s="3"/>
      <c r="E708" s="3"/>
      <c r="H708" s="3"/>
      <c r="AG708" s="91"/>
    </row>
    <row r="709" ht="15.75" customHeight="1">
      <c r="B709" s="182"/>
      <c r="C709" s="3"/>
      <c r="E709" s="3"/>
      <c r="H709" s="3"/>
      <c r="AG709" s="91"/>
    </row>
    <row r="710" ht="15.75" customHeight="1">
      <c r="B710" s="182"/>
      <c r="C710" s="3"/>
      <c r="E710" s="3"/>
      <c r="H710" s="3"/>
      <c r="AG710" s="91"/>
    </row>
    <row r="711" ht="15.75" customHeight="1">
      <c r="B711" s="182"/>
      <c r="C711" s="3"/>
      <c r="E711" s="3"/>
      <c r="H711" s="3"/>
      <c r="AG711" s="91"/>
    </row>
    <row r="712" ht="15.75" customHeight="1">
      <c r="B712" s="182"/>
      <c r="C712" s="3"/>
      <c r="E712" s="3"/>
      <c r="H712" s="3"/>
      <c r="AG712" s="91"/>
    </row>
    <row r="713" ht="15.75" customHeight="1">
      <c r="B713" s="182"/>
      <c r="C713" s="3"/>
      <c r="E713" s="3"/>
      <c r="H713" s="3"/>
      <c r="AG713" s="91"/>
    </row>
    <row r="714" ht="15.75" customHeight="1">
      <c r="B714" s="182"/>
      <c r="C714" s="3"/>
      <c r="E714" s="3"/>
      <c r="H714" s="3"/>
      <c r="AG714" s="91"/>
    </row>
    <row r="715" ht="15.75" customHeight="1">
      <c r="B715" s="182"/>
      <c r="C715" s="3"/>
      <c r="E715" s="3"/>
      <c r="H715" s="3"/>
      <c r="AG715" s="91"/>
    </row>
    <row r="716" ht="15.75" customHeight="1">
      <c r="B716" s="182"/>
      <c r="C716" s="3"/>
      <c r="E716" s="3"/>
      <c r="H716" s="3"/>
      <c r="AG716" s="91"/>
    </row>
    <row r="717" ht="15.75" customHeight="1">
      <c r="B717" s="182"/>
      <c r="C717" s="3"/>
      <c r="E717" s="3"/>
      <c r="H717" s="3"/>
      <c r="AG717" s="91"/>
    </row>
    <row r="718" ht="15.75" customHeight="1">
      <c r="B718" s="182"/>
      <c r="C718" s="3"/>
      <c r="E718" s="3"/>
      <c r="H718" s="3"/>
      <c r="AG718" s="91"/>
    </row>
    <row r="719" ht="15.75" customHeight="1">
      <c r="B719" s="182"/>
      <c r="C719" s="3"/>
      <c r="E719" s="3"/>
      <c r="H719" s="3"/>
      <c r="AG719" s="91"/>
    </row>
    <row r="720" ht="15.75" customHeight="1">
      <c r="B720" s="182"/>
      <c r="C720" s="3"/>
      <c r="E720" s="3"/>
      <c r="H720" s="3"/>
      <c r="AG720" s="91"/>
    </row>
    <row r="721" ht="15.75" customHeight="1">
      <c r="B721" s="182"/>
      <c r="C721" s="3"/>
      <c r="E721" s="3"/>
      <c r="H721" s="3"/>
      <c r="AG721" s="91"/>
    </row>
    <row r="722" ht="15.75" customHeight="1">
      <c r="B722" s="182"/>
      <c r="C722" s="3"/>
      <c r="E722" s="3"/>
      <c r="H722" s="3"/>
      <c r="AG722" s="91"/>
    </row>
    <row r="723" ht="15.75" customHeight="1">
      <c r="B723" s="182"/>
      <c r="C723" s="3"/>
      <c r="E723" s="3"/>
      <c r="H723" s="3"/>
      <c r="AG723" s="91"/>
    </row>
    <row r="724" ht="15.75" customHeight="1">
      <c r="B724" s="182"/>
      <c r="C724" s="3"/>
      <c r="E724" s="3"/>
      <c r="H724" s="3"/>
      <c r="AG724" s="91"/>
    </row>
    <row r="725" ht="15.75" customHeight="1">
      <c r="B725" s="182"/>
      <c r="C725" s="3"/>
      <c r="E725" s="3"/>
      <c r="H725" s="3"/>
      <c r="AG725" s="91"/>
    </row>
    <row r="726" ht="15.75" customHeight="1">
      <c r="B726" s="182"/>
      <c r="C726" s="3"/>
      <c r="E726" s="3"/>
      <c r="H726" s="3"/>
      <c r="AG726" s="91"/>
    </row>
    <row r="727" ht="15.75" customHeight="1">
      <c r="B727" s="182"/>
      <c r="C727" s="3"/>
      <c r="E727" s="3"/>
      <c r="H727" s="3"/>
      <c r="AG727" s="91"/>
    </row>
    <row r="728" ht="15.75" customHeight="1">
      <c r="B728" s="182"/>
      <c r="C728" s="3"/>
      <c r="E728" s="3"/>
      <c r="H728" s="3"/>
      <c r="AG728" s="91"/>
    </row>
    <row r="729" ht="15.75" customHeight="1">
      <c r="B729" s="182"/>
      <c r="C729" s="3"/>
      <c r="E729" s="3"/>
      <c r="H729" s="3"/>
      <c r="AG729" s="91"/>
    </row>
    <row r="730" ht="15.75" customHeight="1">
      <c r="B730" s="182"/>
      <c r="C730" s="3"/>
      <c r="E730" s="3"/>
      <c r="H730" s="3"/>
      <c r="AG730" s="91"/>
    </row>
    <row r="731" ht="15.75" customHeight="1">
      <c r="B731" s="182"/>
      <c r="C731" s="3"/>
      <c r="E731" s="3"/>
      <c r="H731" s="3"/>
      <c r="AG731" s="91"/>
    </row>
    <row r="732" ht="15.75" customHeight="1">
      <c r="B732" s="182"/>
      <c r="C732" s="3"/>
      <c r="E732" s="3"/>
      <c r="H732" s="3"/>
      <c r="AG732" s="91"/>
    </row>
    <row r="733" ht="15.75" customHeight="1">
      <c r="B733" s="182"/>
      <c r="C733" s="3"/>
      <c r="E733" s="3"/>
      <c r="H733" s="3"/>
      <c r="AG733" s="91"/>
    </row>
    <row r="734" ht="15.75" customHeight="1">
      <c r="B734" s="182"/>
      <c r="C734" s="3"/>
      <c r="E734" s="3"/>
      <c r="H734" s="3"/>
      <c r="AG734" s="91"/>
    </row>
    <row r="735" ht="15.75" customHeight="1">
      <c r="B735" s="182"/>
      <c r="C735" s="3"/>
      <c r="E735" s="3"/>
      <c r="H735" s="3"/>
      <c r="AG735" s="91"/>
    </row>
    <row r="736" ht="15.75" customHeight="1">
      <c r="B736" s="182"/>
      <c r="C736" s="3"/>
      <c r="E736" s="3"/>
      <c r="H736" s="3"/>
      <c r="AG736" s="91"/>
    </row>
    <row r="737" ht="15.75" customHeight="1">
      <c r="B737" s="182"/>
      <c r="C737" s="3"/>
      <c r="E737" s="3"/>
      <c r="H737" s="3"/>
      <c r="AG737" s="91"/>
    </row>
    <row r="738" ht="15.75" customHeight="1">
      <c r="B738" s="182"/>
      <c r="C738" s="3"/>
      <c r="E738" s="3"/>
      <c r="H738" s="3"/>
      <c r="AG738" s="91"/>
    </row>
    <row r="739" ht="15.75" customHeight="1">
      <c r="B739" s="182"/>
      <c r="C739" s="3"/>
      <c r="E739" s="3"/>
      <c r="H739" s="3"/>
      <c r="AG739" s="91"/>
    </row>
    <row r="740" ht="15.75" customHeight="1">
      <c r="B740" s="182"/>
      <c r="C740" s="3"/>
      <c r="E740" s="3"/>
      <c r="H740" s="3"/>
      <c r="AG740" s="91"/>
    </row>
    <row r="741" ht="15.75" customHeight="1">
      <c r="B741" s="182"/>
      <c r="C741" s="3"/>
      <c r="E741" s="3"/>
      <c r="H741" s="3"/>
      <c r="AG741" s="91"/>
    </row>
    <row r="742" ht="15.75" customHeight="1">
      <c r="B742" s="182"/>
      <c r="C742" s="3"/>
      <c r="E742" s="3"/>
      <c r="H742" s="3"/>
      <c r="AG742" s="91"/>
    </row>
    <row r="743" ht="15.75" customHeight="1">
      <c r="B743" s="182"/>
      <c r="C743" s="3"/>
      <c r="E743" s="3"/>
      <c r="H743" s="3"/>
      <c r="AG743" s="91"/>
    </row>
    <row r="744" ht="15.75" customHeight="1">
      <c r="B744" s="182"/>
      <c r="C744" s="3"/>
      <c r="E744" s="3"/>
      <c r="H744" s="3"/>
      <c r="AG744" s="91"/>
    </row>
    <row r="745" ht="15.75" customHeight="1">
      <c r="B745" s="182"/>
      <c r="C745" s="3"/>
      <c r="E745" s="3"/>
      <c r="H745" s="3"/>
      <c r="AG745" s="91"/>
    </row>
    <row r="746" ht="15.75" customHeight="1">
      <c r="B746" s="182"/>
      <c r="C746" s="3"/>
      <c r="E746" s="3"/>
      <c r="H746" s="3"/>
      <c r="AG746" s="91"/>
    </row>
    <row r="747" ht="15.75" customHeight="1">
      <c r="B747" s="182"/>
      <c r="C747" s="3"/>
      <c r="E747" s="3"/>
      <c r="H747" s="3"/>
      <c r="AG747" s="91"/>
    </row>
    <row r="748" ht="15.75" customHeight="1">
      <c r="B748" s="182"/>
      <c r="C748" s="3"/>
      <c r="E748" s="3"/>
      <c r="H748" s="3"/>
      <c r="AG748" s="91"/>
    </row>
    <row r="749" ht="15.75" customHeight="1">
      <c r="B749" s="182"/>
      <c r="C749" s="3"/>
      <c r="E749" s="3"/>
      <c r="H749" s="3"/>
      <c r="AG749" s="91"/>
    </row>
    <row r="750" ht="15.75" customHeight="1">
      <c r="B750" s="182"/>
      <c r="C750" s="3"/>
      <c r="E750" s="3"/>
      <c r="H750" s="3"/>
      <c r="AG750" s="91"/>
    </row>
    <row r="751" ht="15.75" customHeight="1">
      <c r="B751" s="182"/>
      <c r="C751" s="3"/>
      <c r="E751" s="3"/>
      <c r="H751" s="3"/>
      <c r="AG751" s="91"/>
    </row>
    <row r="752" ht="15.75" customHeight="1">
      <c r="B752" s="182"/>
      <c r="C752" s="3"/>
      <c r="E752" s="3"/>
      <c r="H752" s="3"/>
      <c r="AG752" s="91"/>
    </row>
    <row r="753" ht="15.75" customHeight="1">
      <c r="B753" s="182"/>
      <c r="C753" s="3"/>
      <c r="E753" s="3"/>
      <c r="H753" s="3"/>
      <c r="AG753" s="91"/>
    </row>
    <row r="754" ht="15.75" customHeight="1">
      <c r="B754" s="182"/>
      <c r="C754" s="3"/>
      <c r="E754" s="3"/>
      <c r="H754" s="3"/>
      <c r="AG754" s="91"/>
    </row>
    <row r="755" ht="15.75" customHeight="1">
      <c r="B755" s="182"/>
      <c r="C755" s="3"/>
      <c r="E755" s="3"/>
      <c r="H755" s="3"/>
      <c r="AG755" s="91"/>
    </row>
    <row r="756" ht="15.75" customHeight="1">
      <c r="B756" s="182"/>
      <c r="C756" s="3"/>
      <c r="E756" s="3"/>
      <c r="H756" s="3"/>
      <c r="AG756" s="91"/>
    </row>
    <row r="757" ht="15.75" customHeight="1">
      <c r="B757" s="182"/>
      <c r="C757" s="3"/>
      <c r="E757" s="3"/>
      <c r="H757" s="3"/>
      <c r="AG757" s="91"/>
    </row>
    <row r="758" ht="15.75" customHeight="1">
      <c r="B758" s="182"/>
      <c r="C758" s="3"/>
      <c r="E758" s="3"/>
      <c r="H758" s="3"/>
      <c r="AG758" s="91"/>
    </row>
    <row r="759" ht="15.75" customHeight="1">
      <c r="B759" s="182"/>
      <c r="C759" s="3"/>
      <c r="E759" s="3"/>
      <c r="H759" s="3"/>
      <c r="AG759" s="91"/>
    </row>
    <row r="760" ht="15.75" customHeight="1">
      <c r="B760" s="182"/>
      <c r="C760" s="3"/>
      <c r="E760" s="3"/>
      <c r="H760" s="3"/>
      <c r="AG760" s="91"/>
    </row>
    <row r="761" ht="15.75" customHeight="1">
      <c r="B761" s="182"/>
      <c r="C761" s="3"/>
      <c r="E761" s="3"/>
      <c r="H761" s="3"/>
      <c r="AG761" s="91"/>
    </row>
    <row r="762" ht="15.75" customHeight="1">
      <c r="B762" s="182"/>
      <c r="C762" s="3"/>
      <c r="E762" s="3"/>
      <c r="H762" s="3"/>
      <c r="AG762" s="91"/>
    </row>
    <row r="763" ht="15.75" customHeight="1">
      <c r="B763" s="182"/>
      <c r="C763" s="3"/>
      <c r="E763" s="3"/>
      <c r="H763" s="3"/>
      <c r="AG763" s="91"/>
    </row>
    <row r="764" ht="15.75" customHeight="1">
      <c r="B764" s="182"/>
      <c r="C764" s="3"/>
      <c r="E764" s="3"/>
      <c r="H764" s="3"/>
      <c r="AG764" s="91"/>
    </row>
    <row r="765" ht="15.75" customHeight="1">
      <c r="B765" s="182"/>
      <c r="C765" s="3"/>
      <c r="E765" s="3"/>
      <c r="H765" s="3"/>
      <c r="AG765" s="91"/>
    </row>
    <row r="766" ht="15.75" customHeight="1">
      <c r="B766" s="182"/>
      <c r="C766" s="3"/>
      <c r="E766" s="3"/>
      <c r="H766" s="3"/>
      <c r="AG766" s="91"/>
    </row>
    <row r="767" ht="15.75" customHeight="1">
      <c r="B767" s="182"/>
      <c r="C767" s="3"/>
      <c r="E767" s="3"/>
      <c r="H767" s="3"/>
      <c r="AG767" s="91"/>
    </row>
    <row r="768" ht="15.75" customHeight="1">
      <c r="B768" s="182"/>
      <c r="C768" s="3"/>
      <c r="E768" s="3"/>
      <c r="H768" s="3"/>
      <c r="AG768" s="91"/>
    </row>
    <row r="769" ht="15.75" customHeight="1">
      <c r="B769" s="182"/>
      <c r="C769" s="3"/>
      <c r="E769" s="3"/>
      <c r="H769" s="3"/>
      <c r="AG769" s="91"/>
    </row>
    <row r="770" ht="15.75" customHeight="1">
      <c r="B770" s="182"/>
      <c r="C770" s="3"/>
      <c r="E770" s="3"/>
      <c r="H770" s="3"/>
      <c r="AG770" s="91"/>
    </row>
    <row r="771" ht="15.75" customHeight="1">
      <c r="B771" s="182"/>
      <c r="C771" s="3"/>
      <c r="E771" s="3"/>
      <c r="H771" s="3"/>
      <c r="AG771" s="91"/>
    </row>
    <row r="772" ht="15.75" customHeight="1">
      <c r="B772" s="182"/>
      <c r="C772" s="3"/>
      <c r="E772" s="3"/>
      <c r="H772" s="3"/>
      <c r="AG772" s="91"/>
    </row>
    <row r="773" ht="15.75" customHeight="1">
      <c r="B773" s="182"/>
      <c r="C773" s="3"/>
      <c r="E773" s="3"/>
      <c r="H773" s="3"/>
      <c r="AG773" s="91"/>
    </row>
    <row r="774" ht="15.75" customHeight="1">
      <c r="B774" s="182"/>
      <c r="C774" s="3"/>
      <c r="E774" s="3"/>
      <c r="H774" s="3"/>
      <c r="AG774" s="91"/>
    </row>
    <row r="775" ht="15.75" customHeight="1">
      <c r="B775" s="182"/>
      <c r="C775" s="3"/>
      <c r="E775" s="3"/>
      <c r="H775" s="3"/>
      <c r="AG775" s="91"/>
    </row>
    <row r="776" ht="15.75" customHeight="1">
      <c r="B776" s="182"/>
      <c r="C776" s="3"/>
      <c r="E776" s="3"/>
      <c r="H776" s="3"/>
      <c r="AG776" s="91"/>
    </row>
    <row r="777" ht="15.75" customHeight="1">
      <c r="B777" s="182"/>
      <c r="C777" s="3"/>
      <c r="E777" s="3"/>
      <c r="H777" s="3"/>
      <c r="AG777" s="91"/>
    </row>
    <row r="778" ht="15.75" customHeight="1">
      <c r="B778" s="182"/>
      <c r="C778" s="3"/>
      <c r="E778" s="3"/>
      <c r="H778" s="3"/>
      <c r="AG778" s="91"/>
    </row>
    <row r="779" ht="15.75" customHeight="1">
      <c r="B779" s="182"/>
      <c r="C779" s="3"/>
      <c r="E779" s="3"/>
      <c r="H779" s="3"/>
      <c r="AG779" s="91"/>
    </row>
    <row r="780" ht="15.75" customHeight="1">
      <c r="B780" s="182"/>
      <c r="C780" s="3"/>
      <c r="E780" s="3"/>
      <c r="H780" s="3"/>
      <c r="AG780" s="91"/>
    </row>
    <row r="781" ht="15.75" customHeight="1">
      <c r="B781" s="182"/>
      <c r="C781" s="3"/>
      <c r="E781" s="3"/>
      <c r="H781" s="3"/>
      <c r="AG781" s="91"/>
    </row>
    <row r="782" ht="15.75" customHeight="1">
      <c r="B782" s="182"/>
      <c r="C782" s="3"/>
      <c r="E782" s="3"/>
      <c r="H782" s="3"/>
      <c r="AG782" s="91"/>
    </row>
    <row r="783" ht="15.75" customHeight="1">
      <c r="B783" s="182"/>
      <c r="C783" s="3"/>
      <c r="E783" s="3"/>
      <c r="H783" s="3"/>
      <c r="AG783" s="91"/>
    </row>
    <row r="784" ht="15.75" customHeight="1">
      <c r="B784" s="182"/>
      <c r="C784" s="3"/>
      <c r="E784" s="3"/>
      <c r="H784" s="3"/>
      <c r="AG784" s="91"/>
    </row>
    <row r="785" ht="15.75" customHeight="1">
      <c r="B785" s="182"/>
      <c r="C785" s="3"/>
      <c r="E785" s="3"/>
      <c r="H785" s="3"/>
      <c r="AG785" s="91"/>
    </row>
    <row r="786" ht="15.75" customHeight="1">
      <c r="B786" s="182"/>
      <c r="C786" s="3"/>
      <c r="E786" s="3"/>
      <c r="H786" s="3"/>
      <c r="AG786" s="91"/>
    </row>
    <row r="787" ht="15.75" customHeight="1">
      <c r="B787" s="182"/>
      <c r="C787" s="3"/>
      <c r="E787" s="3"/>
      <c r="H787" s="3"/>
      <c r="AG787" s="91"/>
    </row>
    <row r="788" ht="15.75" customHeight="1">
      <c r="B788" s="182"/>
      <c r="C788" s="3"/>
      <c r="E788" s="3"/>
      <c r="H788" s="3"/>
      <c r="AG788" s="91"/>
    </row>
    <row r="789" ht="15.75" customHeight="1">
      <c r="B789" s="182"/>
      <c r="C789" s="3"/>
      <c r="E789" s="3"/>
      <c r="H789" s="3"/>
      <c r="AG789" s="91"/>
    </row>
    <row r="790" ht="15.75" customHeight="1">
      <c r="B790" s="182"/>
      <c r="C790" s="3"/>
      <c r="E790" s="3"/>
      <c r="H790" s="3"/>
      <c r="AG790" s="91"/>
    </row>
    <row r="791" ht="15.75" customHeight="1">
      <c r="B791" s="182"/>
      <c r="C791" s="3"/>
      <c r="E791" s="3"/>
      <c r="H791" s="3"/>
      <c r="AG791" s="91"/>
    </row>
    <row r="792" ht="15.75" customHeight="1">
      <c r="B792" s="182"/>
      <c r="C792" s="3"/>
      <c r="E792" s="3"/>
      <c r="H792" s="3"/>
      <c r="AG792" s="91"/>
    </row>
    <row r="793" ht="15.75" customHeight="1">
      <c r="B793" s="182"/>
      <c r="C793" s="3"/>
      <c r="E793" s="3"/>
      <c r="H793" s="3"/>
      <c r="AG793" s="91"/>
    </row>
    <row r="794" ht="15.75" customHeight="1">
      <c r="B794" s="182"/>
      <c r="C794" s="3"/>
      <c r="E794" s="3"/>
      <c r="H794" s="3"/>
      <c r="AG794" s="91"/>
    </row>
    <row r="795" ht="15.75" customHeight="1">
      <c r="B795" s="182"/>
      <c r="C795" s="3"/>
      <c r="E795" s="3"/>
      <c r="H795" s="3"/>
      <c r="AG795" s="91"/>
    </row>
    <row r="796" ht="15.75" customHeight="1">
      <c r="B796" s="182"/>
      <c r="C796" s="3"/>
      <c r="E796" s="3"/>
      <c r="H796" s="3"/>
      <c r="AG796" s="91"/>
    </row>
    <row r="797" ht="15.75" customHeight="1">
      <c r="B797" s="182"/>
      <c r="C797" s="3"/>
      <c r="E797" s="3"/>
      <c r="H797" s="3"/>
      <c r="AG797" s="91"/>
    </row>
    <row r="798" ht="15.75" customHeight="1">
      <c r="B798" s="182"/>
      <c r="C798" s="3"/>
      <c r="E798" s="3"/>
      <c r="H798" s="3"/>
      <c r="AG798" s="91"/>
    </row>
    <row r="799" ht="15.75" customHeight="1">
      <c r="B799" s="182"/>
      <c r="C799" s="3"/>
      <c r="E799" s="3"/>
      <c r="H799" s="3"/>
      <c r="AG799" s="91"/>
    </row>
    <row r="800" ht="15.75" customHeight="1">
      <c r="B800" s="182"/>
      <c r="C800" s="3"/>
      <c r="E800" s="3"/>
      <c r="H800" s="3"/>
      <c r="AG800" s="91"/>
    </row>
    <row r="801" ht="15.75" customHeight="1">
      <c r="B801" s="182"/>
      <c r="C801" s="3"/>
      <c r="E801" s="3"/>
      <c r="H801" s="3"/>
      <c r="AG801" s="91"/>
    </row>
    <row r="802" ht="15.75" customHeight="1">
      <c r="B802" s="182"/>
      <c r="C802" s="3"/>
      <c r="E802" s="3"/>
      <c r="H802" s="3"/>
      <c r="AG802" s="91"/>
    </row>
    <row r="803" ht="15.75" customHeight="1">
      <c r="B803" s="182"/>
      <c r="C803" s="3"/>
      <c r="E803" s="3"/>
      <c r="H803" s="3"/>
      <c r="AG803" s="91"/>
    </row>
    <row r="804" ht="15.75" customHeight="1">
      <c r="B804" s="182"/>
      <c r="C804" s="3"/>
      <c r="E804" s="3"/>
      <c r="H804" s="3"/>
      <c r="AG804" s="91"/>
    </row>
    <row r="805" ht="15.75" customHeight="1">
      <c r="B805" s="182"/>
      <c r="C805" s="3"/>
      <c r="E805" s="3"/>
      <c r="H805" s="3"/>
      <c r="AG805" s="91"/>
    </row>
    <row r="806" ht="15.75" customHeight="1">
      <c r="B806" s="182"/>
      <c r="C806" s="3"/>
      <c r="E806" s="3"/>
      <c r="H806" s="3"/>
      <c r="AG806" s="91"/>
    </row>
    <row r="807" ht="15.75" customHeight="1">
      <c r="B807" s="182"/>
      <c r="C807" s="3"/>
      <c r="E807" s="3"/>
      <c r="H807" s="3"/>
      <c r="AG807" s="91"/>
    </row>
    <row r="808" ht="15.75" customHeight="1">
      <c r="B808" s="182"/>
      <c r="C808" s="3"/>
      <c r="E808" s="3"/>
      <c r="H808" s="3"/>
      <c r="AG808" s="91"/>
    </row>
    <row r="809" ht="15.75" customHeight="1">
      <c r="B809" s="182"/>
      <c r="C809" s="3"/>
      <c r="E809" s="3"/>
      <c r="H809" s="3"/>
      <c r="AG809" s="91"/>
    </row>
    <row r="810" ht="15.75" customHeight="1">
      <c r="B810" s="182"/>
      <c r="C810" s="3"/>
      <c r="E810" s="3"/>
      <c r="H810" s="3"/>
      <c r="AG810" s="91"/>
    </row>
    <row r="811" ht="15.75" customHeight="1">
      <c r="B811" s="182"/>
      <c r="C811" s="3"/>
      <c r="E811" s="3"/>
      <c r="H811" s="3"/>
      <c r="AG811" s="91"/>
    </row>
    <row r="812" ht="15.75" customHeight="1">
      <c r="B812" s="182"/>
      <c r="C812" s="3"/>
      <c r="E812" s="3"/>
      <c r="H812" s="3"/>
      <c r="AG812" s="91"/>
    </row>
    <row r="813" ht="15.75" customHeight="1">
      <c r="B813" s="182"/>
      <c r="C813" s="3"/>
      <c r="E813" s="3"/>
      <c r="H813" s="3"/>
      <c r="AG813" s="91"/>
    </row>
    <row r="814" ht="15.75" customHeight="1">
      <c r="B814" s="182"/>
      <c r="C814" s="3"/>
      <c r="E814" s="3"/>
      <c r="H814" s="3"/>
      <c r="AG814" s="91"/>
    </row>
    <row r="815" ht="15.75" customHeight="1">
      <c r="B815" s="182"/>
      <c r="C815" s="3"/>
      <c r="E815" s="3"/>
      <c r="H815" s="3"/>
      <c r="AG815" s="91"/>
    </row>
    <row r="816" ht="15.75" customHeight="1">
      <c r="B816" s="182"/>
      <c r="C816" s="3"/>
      <c r="E816" s="3"/>
      <c r="H816" s="3"/>
      <c r="AG816" s="91"/>
    </row>
    <row r="817" ht="15.75" customHeight="1">
      <c r="B817" s="182"/>
      <c r="C817" s="3"/>
      <c r="E817" s="3"/>
      <c r="H817" s="3"/>
      <c r="AG817" s="91"/>
    </row>
    <row r="818" ht="15.75" customHeight="1">
      <c r="B818" s="182"/>
      <c r="C818" s="3"/>
      <c r="E818" s="3"/>
      <c r="H818" s="3"/>
      <c r="AG818" s="91"/>
    </row>
    <row r="819" ht="15.75" customHeight="1">
      <c r="B819" s="182"/>
      <c r="C819" s="3"/>
      <c r="E819" s="3"/>
      <c r="H819" s="3"/>
      <c r="AG819" s="91"/>
    </row>
    <row r="820" ht="15.75" customHeight="1">
      <c r="B820" s="182"/>
      <c r="C820" s="3"/>
      <c r="E820" s="3"/>
      <c r="H820" s="3"/>
      <c r="AG820" s="91"/>
    </row>
    <row r="821" ht="15.75" customHeight="1">
      <c r="B821" s="182"/>
      <c r="C821" s="3"/>
      <c r="E821" s="3"/>
      <c r="H821" s="3"/>
      <c r="AG821" s="91"/>
    </row>
    <row r="822" ht="15.75" customHeight="1">
      <c r="B822" s="182"/>
      <c r="C822" s="3"/>
      <c r="E822" s="3"/>
      <c r="H822" s="3"/>
      <c r="AG822" s="91"/>
    </row>
    <row r="823" ht="15.75" customHeight="1">
      <c r="B823" s="182"/>
      <c r="C823" s="3"/>
      <c r="E823" s="3"/>
      <c r="H823" s="3"/>
      <c r="AG823" s="91"/>
    </row>
    <row r="824" ht="15.75" customHeight="1">
      <c r="B824" s="182"/>
      <c r="C824" s="3"/>
      <c r="E824" s="3"/>
      <c r="H824" s="3"/>
      <c r="AG824" s="91"/>
    </row>
    <row r="825" ht="15.75" customHeight="1">
      <c r="B825" s="182"/>
      <c r="C825" s="3"/>
      <c r="E825" s="3"/>
      <c r="H825" s="3"/>
      <c r="AG825" s="91"/>
    </row>
    <row r="826" ht="15.75" customHeight="1">
      <c r="B826" s="182"/>
      <c r="C826" s="3"/>
      <c r="E826" s="3"/>
      <c r="H826" s="3"/>
      <c r="AG826" s="91"/>
    </row>
    <row r="827" ht="15.75" customHeight="1">
      <c r="B827" s="182"/>
      <c r="C827" s="3"/>
      <c r="E827" s="3"/>
      <c r="H827" s="3"/>
      <c r="AG827" s="91"/>
    </row>
    <row r="828" ht="15.75" customHeight="1">
      <c r="B828" s="182"/>
      <c r="C828" s="3"/>
      <c r="E828" s="3"/>
      <c r="H828" s="3"/>
      <c r="AG828" s="91"/>
    </row>
    <row r="829" ht="15.75" customHeight="1">
      <c r="B829" s="182"/>
      <c r="C829" s="3"/>
      <c r="E829" s="3"/>
      <c r="H829" s="3"/>
      <c r="AG829" s="91"/>
    </row>
    <row r="830" ht="15.75" customHeight="1">
      <c r="B830" s="182"/>
      <c r="C830" s="3"/>
      <c r="E830" s="3"/>
      <c r="H830" s="3"/>
      <c r="AG830" s="91"/>
    </row>
    <row r="831" ht="15.75" customHeight="1">
      <c r="B831" s="182"/>
      <c r="C831" s="3"/>
      <c r="E831" s="3"/>
      <c r="H831" s="3"/>
      <c r="AG831" s="91"/>
    </row>
    <row r="832" ht="15.75" customHeight="1">
      <c r="B832" s="182"/>
      <c r="C832" s="3"/>
      <c r="E832" s="3"/>
      <c r="H832" s="3"/>
      <c r="AG832" s="91"/>
    </row>
    <row r="833" ht="15.75" customHeight="1">
      <c r="B833" s="182"/>
      <c r="C833" s="3"/>
      <c r="E833" s="3"/>
      <c r="H833" s="3"/>
      <c r="AG833" s="91"/>
    </row>
    <row r="834" ht="15.75" customHeight="1">
      <c r="B834" s="182"/>
      <c r="C834" s="3"/>
      <c r="E834" s="3"/>
      <c r="H834" s="3"/>
      <c r="AG834" s="91"/>
    </row>
    <row r="835" ht="15.75" customHeight="1">
      <c r="B835" s="182"/>
      <c r="C835" s="3"/>
      <c r="E835" s="3"/>
      <c r="H835" s="3"/>
      <c r="AG835" s="91"/>
    </row>
    <row r="836" ht="15.75" customHeight="1">
      <c r="B836" s="182"/>
      <c r="C836" s="3"/>
      <c r="E836" s="3"/>
      <c r="H836" s="3"/>
      <c r="AG836" s="91"/>
    </row>
    <row r="837" ht="15.75" customHeight="1">
      <c r="B837" s="182"/>
      <c r="C837" s="3"/>
      <c r="E837" s="3"/>
      <c r="H837" s="3"/>
      <c r="AG837" s="91"/>
    </row>
    <row r="838" ht="15.75" customHeight="1">
      <c r="B838" s="182"/>
      <c r="C838" s="3"/>
      <c r="E838" s="3"/>
      <c r="H838" s="3"/>
      <c r="AG838" s="91"/>
    </row>
    <row r="839" ht="15.75" customHeight="1">
      <c r="B839" s="182"/>
      <c r="C839" s="3"/>
      <c r="E839" s="3"/>
      <c r="H839" s="3"/>
      <c r="AG839" s="91"/>
    </row>
    <row r="840" ht="15.75" customHeight="1">
      <c r="B840" s="182"/>
      <c r="C840" s="3"/>
      <c r="E840" s="3"/>
      <c r="H840" s="3"/>
      <c r="AG840" s="91"/>
    </row>
    <row r="841" ht="15.75" customHeight="1">
      <c r="B841" s="182"/>
      <c r="C841" s="3"/>
      <c r="E841" s="3"/>
      <c r="H841" s="3"/>
      <c r="AG841" s="91"/>
    </row>
    <row r="842" ht="15.75" customHeight="1">
      <c r="B842" s="182"/>
      <c r="C842" s="3"/>
      <c r="E842" s="3"/>
      <c r="H842" s="3"/>
      <c r="AG842" s="91"/>
    </row>
    <row r="843" ht="15.75" customHeight="1">
      <c r="B843" s="182"/>
      <c r="C843" s="3"/>
      <c r="E843" s="3"/>
      <c r="H843" s="3"/>
      <c r="AG843" s="91"/>
    </row>
    <row r="844" ht="15.75" customHeight="1">
      <c r="B844" s="182"/>
      <c r="C844" s="3"/>
      <c r="E844" s="3"/>
      <c r="H844" s="3"/>
      <c r="AG844" s="91"/>
    </row>
    <row r="845" ht="15.75" customHeight="1">
      <c r="B845" s="182"/>
      <c r="C845" s="3"/>
      <c r="E845" s="3"/>
      <c r="H845" s="3"/>
      <c r="AG845" s="91"/>
    </row>
    <row r="846" ht="15.75" customHeight="1">
      <c r="B846" s="182"/>
      <c r="C846" s="3"/>
      <c r="E846" s="3"/>
      <c r="H846" s="3"/>
      <c r="AG846" s="91"/>
    </row>
    <row r="847" ht="15.75" customHeight="1">
      <c r="B847" s="182"/>
      <c r="C847" s="3"/>
      <c r="E847" s="3"/>
      <c r="H847" s="3"/>
      <c r="AG847" s="91"/>
    </row>
    <row r="848" ht="15.75" customHeight="1">
      <c r="B848" s="182"/>
      <c r="C848" s="3"/>
      <c r="E848" s="3"/>
      <c r="H848" s="3"/>
      <c r="AG848" s="91"/>
    </row>
    <row r="849" ht="15.75" customHeight="1">
      <c r="B849" s="182"/>
      <c r="C849" s="3"/>
      <c r="E849" s="3"/>
      <c r="H849" s="3"/>
      <c r="AG849" s="91"/>
    </row>
    <row r="850" ht="15.75" customHeight="1">
      <c r="B850" s="182"/>
      <c r="C850" s="3"/>
      <c r="E850" s="3"/>
      <c r="H850" s="3"/>
      <c r="AG850" s="91"/>
    </row>
    <row r="851" ht="15.75" customHeight="1">
      <c r="B851" s="182"/>
      <c r="C851" s="3"/>
      <c r="E851" s="3"/>
      <c r="H851" s="3"/>
      <c r="AG851" s="91"/>
    </row>
    <row r="852" ht="15.75" customHeight="1">
      <c r="B852" s="182"/>
      <c r="C852" s="3"/>
      <c r="E852" s="3"/>
      <c r="H852" s="3"/>
      <c r="AG852" s="91"/>
    </row>
    <row r="853" ht="15.75" customHeight="1">
      <c r="B853" s="182"/>
      <c r="C853" s="3"/>
      <c r="E853" s="3"/>
      <c r="H853" s="3"/>
      <c r="AG853" s="91"/>
    </row>
    <row r="854" ht="15.75" customHeight="1">
      <c r="B854" s="182"/>
      <c r="C854" s="3"/>
      <c r="E854" s="3"/>
      <c r="H854" s="3"/>
      <c r="AG854" s="91"/>
    </row>
    <row r="855" ht="15.75" customHeight="1">
      <c r="B855" s="182"/>
      <c r="C855" s="3"/>
      <c r="E855" s="3"/>
      <c r="H855" s="3"/>
      <c r="AG855" s="91"/>
    </row>
    <row r="856" ht="15.75" customHeight="1">
      <c r="B856" s="182"/>
      <c r="C856" s="3"/>
      <c r="E856" s="3"/>
      <c r="H856" s="3"/>
      <c r="AG856" s="91"/>
    </row>
    <row r="857" ht="15.75" customHeight="1">
      <c r="B857" s="182"/>
      <c r="C857" s="3"/>
      <c r="E857" s="3"/>
      <c r="H857" s="3"/>
      <c r="AG857" s="91"/>
    </row>
    <row r="858" ht="15.75" customHeight="1">
      <c r="B858" s="182"/>
      <c r="C858" s="3"/>
      <c r="E858" s="3"/>
      <c r="H858" s="3"/>
      <c r="AG858" s="91"/>
    </row>
    <row r="859" ht="15.75" customHeight="1">
      <c r="B859" s="182"/>
      <c r="C859" s="3"/>
      <c r="E859" s="3"/>
      <c r="H859" s="3"/>
      <c r="AG859" s="91"/>
    </row>
    <row r="860" ht="15.75" customHeight="1">
      <c r="B860" s="182"/>
      <c r="C860" s="3"/>
      <c r="E860" s="3"/>
      <c r="H860" s="3"/>
      <c r="AG860" s="91"/>
    </row>
    <row r="861" ht="15.75" customHeight="1">
      <c r="B861" s="182"/>
      <c r="C861" s="3"/>
      <c r="E861" s="3"/>
      <c r="H861" s="3"/>
      <c r="AG861" s="91"/>
    </row>
    <row r="862" ht="15.75" customHeight="1">
      <c r="B862" s="182"/>
      <c r="C862" s="3"/>
      <c r="E862" s="3"/>
      <c r="H862" s="3"/>
      <c r="AG862" s="91"/>
    </row>
    <row r="863" ht="15.75" customHeight="1">
      <c r="B863" s="182"/>
      <c r="C863" s="3"/>
      <c r="E863" s="3"/>
      <c r="H863" s="3"/>
      <c r="AG863" s="91"/>
    </row>
    <row r="864" ht="15.75" customHeight="1">
      <c r="B864" s="182"/>
      <c r="C864" s="3"/>
      <c r="E864" s="3"/>
      <c r="H864" s="3"/>
      <c r="AG864" s="91"/>
    </row>
    <row r="865" ht="15.75" customHeight="1">
      <c r="B865" s="182"/>
      <c r="C865" s="3"/>
      <c r="E865" s="3"/>
      <c r="H865" s="3"/>
      <c r="AG865" s="91"/>
    </row>
    <row r="866" ht="15.75" customHeight="1">
      <c r="B866" s="182"/>
      <c r="C866" s="3"/>
      <c r="E866" s="3"/>
      <c r="H866" s="3"/>
      <c r="AG866" s="91"/>
    </row>
    <row r="867" ht="15.75" customHeight="1">
      <c r="B867" s="182"/>
      <c r="C867" s="3"/>
      <c r="E867" s="3"/>
      <c r="H867" s="3"/>
      <c r="AG867" s="91"/>
    </row>
    <row r="868" ht="15.75" customHeight="1">
      <c r="B868" s="182"/>
      <c r="C868" s="3"/>
      <c r="E868" s="3"/>
      <c r="H868" s="3"/>
      <c r="AG868" s="91"/>
    </row>
    <row r="869" ht="15.75" customHeight="1">
      <c r="B869" s="182"/>
      <c r="C869" s="3"/>
      <c r="E869" s="3"/>
      <c r="H869" s="3"/>
      <c r="AG869" s="91"/>
    </row>
    <row r="870" ht="15.75" customHeight="1">
      <c r="B870" s="182"/>
      <c r="C870" s="3"/>
      <c r="E870" s="3"/>
      <c r="H870" s="3"/>
      <c r="AG870" s="91"/>
    </row>
    <row r="871" ht="15.75" customHeight="1">
      <c r="B871" s="182"/>
      <c r="C871" s="3"/>
      <c r="E871" s="3"/>
      <c r="H871" s="3"/>
      <c r="AG871" s="91"/>
    </row>
    <row r="872" ht="15.75" customHeight="1">
      <c r="B872" s="182"/>
      <c r="C872" s="3"/>
      <c r="E872" s="3"/>
      <c r="H872" s="3"/>
      <c r="AG872" s="91"/>
    </row>
    <row r="873" ht="15.75" customHeight="1">
      <c r="B873" s="182"/>
      <c r="C873" s="3"/>
      <c r="E873" s="3"/>
      <c r="H873" s="3"/>
      <c r="AG873" s="91"/>
    </row>
    <row r="874" ht="15.75" customHeight="1">
      <c r="B874" s="182"/>
      <c r="C874" s="3"/>
      <c r="E874" s="3"/>
      <c r="H874" s="3"/>
      <c r="AG874" s="91"/>
    </row>
    <row r="875" ht="15.75" customHeight="1">
      <c r="B875" s="182"/>
      <c r="C875" s="3"/>
      <c r="E875" s="3"/>
      <c r="H875" s="3"/>
      <c r="AG875" s="91"/>
    </row>
    <row r="876" ht="15.75" customHeight="1">
      <c r="B876" s="182"/>
      <c r="C876" s="3"/>
      <c r="E876" s="3"/>
      <c r="H876" s="3"/>
      <c r="AG876" s="91"/>
    </row>
    <row r="877" ht="15.75" customHeight="1">
      <c r="B877" s="182"/>
      <c r="C877" s="3"/>
      <c r="E877" s="3"/>
      <c r="H877" s="3"/>
      <c r="AG877" s="91"/>
    </row>
    <row r="878" ht="15.75" customHeight="1">
      <c r="B878" s="182"/>
      <c r="C878" s="3"/>
      <c r="E878" s="3"/>
      <c r="H878" s="3"/>
      <c r="AG878" s="91"/>
    </row>
    <row r="879" ht="15.75" customHeight="1">
      <c r="B879" s="182"/>
      <c r="C879" s="3"/>
      <c r="E879" s="3"/>
      <c r="H879" s="3"/>
      <c r="AG879" s="91"/>
    </row>
    <row r="880" ht="15.75" customHeight="1">
      <c r="B880" s="182"/>
      <c r="C880" s="3"/>
      <c r="E880" s="3"/>
      <c r="H880" s="3"/>
      <c r="AG880" s="91"/>
    </row>
    <row r="881" ht="15.75" customHeight="1">
      <c r="B881" s="182"/>
      <c r="C881" s="3"/>
      <c r="E881" s="3"/>
      <c r="H881" s="3"/>
      <c r="AG881" s="91"/>
    </row>
    <row r="882" ht="15.75" customHeight="1">
      <c r="B882" s="182"/>
      <c r="C882" s="3"/>
      <c r="E882" s="3"/>
      <c r="H882" s="3"/>
      <c r="AG882" s="91"/>
    </row>
    <row r="883" ht="15.75" customHeight="1">
      <c r="B883" s="182"/>
      <c r="C883" s="3"/>
      <c r="E883" s="3"/>
      <c r="H883" s="3"/>
      <c r="AG883" s="91"/>
    </row>
    <row r="884" ht="15.75" customHeight="1">
      <c r="B884" s="182"/>
      <c r="C884" s="3"/>
      <c r="E884" s="3"/>
      <c r="H884" s="3"/>
      <c r="AG884" s="91"/>
    </row>
    <row r="885" ht="15.75" customHeight="1">
      <c r="B885" s="182"/>
      <c r="C885" s="3"/>
      <c r="E885" s="3"/>
      <c r="H885" s="3"/>
      <c r="AG885" s="91"/>
    </row>
    <row r="886" ht="15.75" customHeight="1">
      <c r="B886" s="182"/>
      <c r="C886" s="3"/>
      <c r="E886" s="3"/>
      <c r="H886" s="3"/>
      <c r="AG886" s="91"/>
    </row>
    <row r="887" ht="15.75" customHeight="1">
      <c r="B887" s="182"/>
      <c r="C887" s="3"/>
      <c r="E887" s="3"/>
      <c r="H887" s="3"/>
      <c r="AG887" s="91"/>
    </row>
    <row r="888" ht="15.75" customHeight="1">
      <c r="B888" s="182"/>
      <c r="C888" s="3"/>
      <c r="E888" s="3"/>
      <c r="H888" s="3"/>
      <c r="AG888" s="91"/>
    </row>
    <row r="889" ht="15.75" customHeight="1">
      <c r="B889" s="182"/>
      <c r="C889" s="3"/>
      <c r="E889" s="3"/>
      <c r="H889" s="3"/>
      <c r="AG889" s="91"/>
    </row>
    <row r="890" ht="15.75" customHeight="1">
      <c r="B890" s="182"/>
      <c r="C890" s="3"/>
      <c r="E890" s="3"/>
      <c r="H890" s="3"/>
      <c r="AG890" s="91"/>
    </row>
    <row r="891" ht="15.75" customHeight="1">
      <c r="B891" s="182"/>
      <c r="C891" s="3"/>
      <c r="E891" s="3"/>
      <c r="H891" s="3"/>
      <c r="AG891" s="91"/>
    </row>
    <row r="892" ht="15.75" customHeight="1">
      <c r="B892" s="182"/>
      <c r="C892" s="3"/>
      <c r="E892" s="3"/>
      <c r="H892" s="3"/>
      <c r="AG892" s="91"/>
    </row>
    <row r="893" ht="15.75" customHeight="1">
      <c r="B893" s="182"/>
      <c r="C893" s="3"/>
      <c r="E893" s="3"/>
      <c r="H893" s="3"/>
      <c r="AG893" s="91"/>
    </row>
    <row r="894" ht="15.75" customHeight="1">
      <c r="B894" s="182"/>
      <c r="C894" s="3"/>
      <c r="E894" s="3"/>
      <c r="H894" s="3"/>
      <c r="AG894" s="91"/>
    </row>
    <row r="895" ht="15.75" customHeight="1">
      <c r="B895" s="182"/>
      <c r="C895" s="3"/>
      <c r="E895" s="3"/>
      <c r="H895" s="3"/>
      <c r="AG895" s="91"/>
    </row>
    <row r="896" ht="15.75" customHeight="1">
      <c r="B896" s="182"/>
      <c r="C896" s="3"/>
      <c r="E896" s="3"/>
      <c r="H896" s="3"/>
      <c r="AG896" s="91"/>
    </row>
    <row r="897" ht="15.75" customHeight="1">
      <c r="B897" s="182"/>
      <c r="C897" s="3"/>
      <c r="E897" s="3"/>
      <c r="H897" s="3"/>
      <c r="AG897" s="91"/>
    </row>
    <row r="898" ht="15.75" customHeight="1">
      <c r="B898" s="182"/>
      <c r="C898" s="3"/>
      <c r="E898" s="3"/>
      <c r="H898" s="3"/>
      <c r="AG898" s="91"/>
    </row>
    <row r="899" ht="15.75" customHeight="1">
      <c r="B899" s="182"/>
      <c r="C899" s="3"/>
      <c r="E899" s="3"/>
      <c r="H899" s="3"/>
      <c r="AG899" s="91"/>
    </row>
    <row r="900" ht="15.75" customHeight="1">
      <c r="B900" s="182"/>
      <c r="C900" s="3"/>
      <c r="E900" s="3"/>
      <c r="H900" s="3"/>
      <c r="AG900" s="91"/>
    </row>
    <row r="901" ht="15.75" customHeight="1">
      <c r="B901" s="182"/>
      <c r="C901" s="3"/>
      <c r="E901" s="3"/>
      <c r="H901" s="3"/>
      <c r="AG901" s="91"/>
    </row>
    <row r="902" ht="15.75" customHeight="1">
      <c r="B902" s="182"/>
      <c r="C902" s="3"/>
      <c r="E902" s="3"/>
      <c r="H902" s="3"/>
      <c r="AG902" s="91"/>
    </row>
    <row r="903" ht="15.75" customHeight="1">
      <c r="B903" s="182"/>
      <c r="C903" s="3"/>
      <c r="E903" s="3"/>
      <c r="H903" s="3"/>
      <c r="AG903" s="91"/>
    </row>
    <row r="904" ht="15.75" customHeight="1">
      <c r="B904" s="182"/>
      <c r="C904" s="3"/>
      <c r="E904" s="3"/>
      <c r="H904" s="3"/>
      <c r="AG904" s="91"/>
    </row>
    <row r="905" ht="15.75" customHeight="1">
      <c r="B905" s="182"/>
      <c r="C905" s="3"/>
      <c r="E905" s="3"/>
      <c r="H905" s="3"/>
      <c r="AG905" s="91"/>
    </row>
    <row r="906" ht="15.75" customHeight="1">
      <c r="B906" s="182"/>
      <c r="C906" s="3"/>
      <c r="E906" s="3"/>
      <c r="H906" s="3"/>
      <c r="AG906" s="91"/>
    </row>
    <row r="907" ht="15.75" customHeight="1">
      <c r="B907" s="182"/>
      <c r="C907" s="3"/>
      <c r="E907" s="3"/>
      <c r="H907" s="3"/>
      <c r="AG907" s="91"/>
    </row>
    <row r="908" ht="15.75" customHeight="1">
      <c r="B908" s="182"/>
      <c r="C908" s="3"/>
      <c r="E908" s="3"/>
      <c r="H908" s="3"/>
      <c r="AG908" s="91"/>
    </row>
    <row r="909" ht="15.75" customHeight="1">
      <c r="B909" s="182"/>
      <c r="C909" s="3"/>
      <c r="E909" s="3"/>
      <c r="H909" s="3"/>
      <c r="AG909" s="91"/>
    </row>
    <row r="910" ht="15.75" customHeight="1">
      <c r="B910" s="182"/>
      <c r="C910" s="3"/>
      <c r="E910" s="3"/>
      <c r="H910" s="3"/>
      <c r="AG910" s="91"/>
    </row>
    <row r="911" ht="15.75" customHeight="1">
      <c r="B911" s="182"/>
      <c r="C911" s="3"/>
      <c r="E911" s="3"/>
      <c r="H911" s="3"/>
      <c r="AG911" s="91"/>
    </row>
    <row r="912" ht="15.75" customHeight="1">
      <c r="B912" s="182"/>
      <c r="C912" s="3"/>
      <c r="E912" s="3"/>
      <c r="H912" s="3"/>
      <c r="AG912" s="91"/>
    </row>
    <row r="913" ht="15.75" customHeight="1">
      <c r="B913" s="182"/>
      <c r="C913" s="3"/>
      <c r="E913" s="3"/>
      <c r="H913" s="3"/>
      <c r="AG913" s="91"/>
    </row>
    <row r="914" ht="15.75" customHeight="1">
      <c r="B914" s="182"/>
      <c r="C914" s="3"/>
      <c r="E914" s="3"/>
      <c r="H914" s="3"/>
      <c r="AG914" s="91"/>
    </row>
    <row r="915" ht="15.75" customHeight="1">
      <c r="B915" s="182"/>
      <c r="C915" s="3"/>
      <c r="E915" s="3"/>
      <c r="H915" s="3"/>
      <c r="AG915" s="91"/>
    </row>
    <row r="916" ht="15.75" customHeight="1">
      <c r="B916" s="182"/>
      <c r="C916" s="3"/>
      <c r="E916" s="3"/>
      <c r="H916" s="3"/>
      <c r="AG916" s="91"/>
    </row>
    <row r="917" ht="15.75" customHeight="1">
      <c r="B917" s="182"/>
      <c r="C917" s="3"/>
      <c r="E917" s="3"/>
      <c r="H917" s="3"/>
      <c r="AG917" s="91"/>
    </row>
    <row r="918" ht="15.75" customHeight="1">
      <c r="B918" s="182"/>
      <c r="C918" s="3"/>
      <c r="E918" s="3"/>
      <c r="H918" s="3"/>
      <c r="AG918" s="91"/>
    </row>
    <row r="919" ht="15.75" customHeight="1">
      <c r="B919" s="182"/>
      <c r="C919" s="3"/>
      <c r="E919" s="3"/>
      <c r="H919" s="3"/>
      <c r="AG919" s="91"/>
    </row>
    <row r="920" ht="15.75" customHeight="1">
      <c r="B920" s="182"/>
      <c r="C920" s="3"/>
      <c r="E920" s="3"/>
      <c r="H920" s="3"/>
      <c r="AG920" s="91"/>
    </row>
    <row r="921" ht="15.75" customHeight="1">
      <c r="B921" s="182"/>
      <c r="C921" s="3"/>
      <c r="E921" s="3"/>
      <c r="H921" s="3"/>
      <c r="AG921" s="91"/>
    </row>
    <row r="922" ht="15.75" customHeight="1">
      <c r="B922" s="182"/>
      <c r="C922" s="3"/>
      <c r="E922" s="3"/>
      <c r="H922" s="3"/>
      <c r="AG922" s="91"/>
    </row>
    <row r="923" ht="15.75" customHeight="1">
      <c r="B923" s="182"/>
      <c r="C923" s="3"/>
      <c r="E923" s="3"/>
      <c r="H923" s="3"/>
      <c r="AG923" s="91"/>
    </row>
    <row r="924" ht="15.75" customHeight="1">
      <c r="B924" s="182"/>
      <c r="C924" s="3"/>
      <c r="E924" s="3"/>
      <c r="H924" s="3"/>
      <c r="AG924" s="91"/>
    </row>
    <row r="925" ht="15.75" customHeight="1">
      <c r="B925" s="182"/>
      <c r="C925" s="3"/>
      <c r="E925" s="3"/>
      <c r="H925" s="3"/>
      <c r="AG925" s="91"/>
    </row>
    <row r="926" ht="15.75" customHeight="1">
      <c r="B926" s="182"/>
      <c r="C926" s="3"/>
      <c r="E926" s="3"/>
      <c r="H926" s="3"/>
      <c r="AG926" s="91"/>
    </row>
    <row r="927" ht="15.75" customHeight="1">
      <c r="B927" s="182"/>
      <c r="C927" s="3"/>
      <c r="E927" s="3"/>
      <c r="H927" s="3"/>
      <c r="AG927" s="91"/>
    </row>
    <row r="928" ht="15.75" customHeight="1">
      <c r="B928" s="182"/>
      <c r="C928" s="3"/>
      <c r="E928" s="3"/>
      <c r="H928" s="3"/>
      <c r="AG928" s="91"/>
    </row>
    <row r="929" ht="15.75" customHeight="1">
      <c r="B929" s="182"/>
      <c r="C929" s="3"/>
      <c r="E929" s="3"/>
      <c r="H929" s="3"/>
      <c r="AG929" s="91"/>
    </row>
    <row r="930" ht="15.75" customHeight="1">
      <c r="B930" s="182"/>
      <c r="C930" s="3"/>
      <c r="E930" s="3"/>
      <c r="H930" s="3"/>
      <c r="AG930" s="91"/>
    </row>
    <row r="931" ht="15.75" customHeight="1">
      <c r="B931" s="182"/>
      <c r="C931" s="3"/>
      <c r="E931" s="3"/>
      <c r="H931" s="3"/>
      <c r="AG931" s="91"/>
    </row>
    <row r="932" ht="15.75" customHeight="1">
      <c r="B932" s="182"/>
      <c r="C932" s="3"/>
      <c r="E932" s="3"/>
      <c r="H932" s="3"/>
      <c r="AG932" s="91"/>
    </row>
    <row r="933" ht="15.75" customHeight="1">
      <c r="B933" s="182"/>
      <c r="C933" s="3"/>
      <c r="E933" s="3"/>
      <c r="H933" s="3"/>
      <c r="AG933" s="91"/>
    </row>
    <row r="934" ht="15.75" customHeight="1">
      <c r="B934" s="182"/>
      <c r="C934" s="3"/>
      <c r="E934" s="3"/>
      <c r="H934" s="3"/>
      <c r="AG934" s="91"/>
    </row>
    <row r="935" ht="15.75" customHeight="1">
      <c r="B935" s="182"/>
      <c r="C935" s="3"/>
      <c r="E935" s="3"/>
      <c r="H935" s="3"/>
      <c r="AG935" s="91"/>
    </row>
    <row r="936" ht="15.75" customHeight="1">
      <c r="B936" s="182"/>
      <c r="C936" s="3"/>
      <c r="E936" s="3"/>
      <c r="H936" s="3"/>
      <c r="AG936" s="91"/>
    </row>
    <row r="937" ht="15.75" customHeight="1">
      <c r="B937" s="182"/>
      <c r="C937" s="3"/>
      <c r="E937" s="3"/>
      <c r="H937" s="3"/>
      <c r="AG937" s="91"/>
    </row>
    <row r="938" ht="15.75" customHeight="1">
      <c r="B938" s="182"/>
      <c r="C938" s="3"/>
      <c r="E938" s="3"/>
      <c r="H938" s="3"/>
      <c r="AG938" s="91"/>
    </row>
    <row r="939" ht="15.75" customHeight="1">
      <c r="B939" s="182"/>
      <c r="C939" s="3"/>
      <c r="E939" s="3"/>
      <c r="H939" s="3"/>
      <c r="AG939" s="91"/>
    </row>
    <row r="940" ht="15.75" customHeight="1">
      <c r="B940" s="182"/>
      <c r="C940" s="3"/>
      <c r="E940" s="3"/>
      <c r="H940" s="3"/>
      <c r="AG940" s="91"/>
    </row>
    <row r="941" ht="15.75" customHeight="1">
      <c r="B941" s="182"/>
      <c r="C941" s="3"/>
      <c r="E941" s="3"/>
      <c r="H941" s="3"/>
      <c r="AG941" s="91"/>
    </row>
    <row r="942" ht="15.75" customHeight="1">
      <c r="B942" s="182"/>
      <c r="C942" s="3"/>
      <c r="E942" s="3"/>
      <c r="H942" s="3"/>
      <c r="AG942" s="91"/>
    </row>
    <row r="943" ht="15.75" customHeight="1">
      <c r="B943" s="182"/>
      <c r="C943" s="3"/>
      <c r="E943" s="3"/>
      <c r="H943" s="3"/>
      <c r="AG943" s="91"/>
    </row>
    <row r="944" ht="15.75" customHeight="1">
      <c r="B944" s="182"/>
      <c r="C944" s="3"/>
      <c r="E944" s="3"/>
      <c r="H944" s="3"/>
      <c r="AG944" s="91"/>
    </row>
    <row r="945" ht="15.75" customHeight="1">
      <c r="B945" s="182"/>
      <c r="C945" s="3"/>
      <c r="E945" s="3"/>
      <c r="H945" s="3"/>
      <c r="AG945" s="91"/>
    </row>
    <row r="946" ht="15.75" customHeight="1">
      <c r="B946" s="182"/>
      <c r="C946" s="3"/>
      <c r="E946" s="3"/>
      <c r="H946" s="3"/>
      <c r="AG946" s="91"/>
    </row>
    <row r="947" ht="15.75" customHeight="1">
      <c r="B947" s="182"/>
      <c r="C947" s="3"/>
      <c r="E947" s="3"/>
      <c r="H947" s="3"/>
      <c r="AG947" s="91"/>
    </row>
    <row r="948" ht="15.75" customHeight="1">
      <c r="B948" s="182"/>
      <c r="C948" s="3"/>
      <c r="E948" s="3"/>
      <c r="H948" s="3"/>
      <c r="AG948" s="91"/>
    </row>
    <row r="949" ht="15.75" customHeight="1">
      <c r="B949" s="182"/>
      <c r="C949" s="3"/>
      <c r="E949" s="3"/>
      <c r="H949" s="3"/>
      <c r="AG949" s="91"/>
    </row>
    <row r="950" ht="15.75" customHeight="1">
      <c r="B950" s="182"/>
      <c r="C950" s="3"/>
      <c r="E950" s="3"/>
      <c r="H950" s="3"/>
      <c r="AG950" s="91"/>
    </row>
    <row r="951" ht="15.75" customHeight="1">
      <c r="B951" s="182"/>
      <c r="C951" s="3"/>
      <c r="E951" s="3"/>
      <c r="H951" s="3"/>
      <c r="AG951" s="91"/>
    </row>
    <row r="952" ht="15.75" customHeight="1">
      <c r="B952" s="182"/>
      <c r="C952" s="3"/>
      <c r="E952" s="3"/>
      <c r="H952" s="3"/>
      <c r="AG952" s="91"/>
    </row>
    <row r="953" ht="15.75" customHeight="1">
      <c r="B953" s="182"/>
      <c r="C953" s="3"/>
      <c r="E953" s="3"/>
      <c r="H953" s="3"/>
      <c r="AG953" s="91"/>
    </row>
    <row r="954" ht="15.75" customHeight="1">
      <c r="B954" s="182"/>
      <c r="C954" s="3"/>
      <c r="E954" s="3"/>
      <c r="H954" s="3"/>
      <c r="AG954" s="91"/>
    </row>
    <row r="955" ht="15.75" customHeight="1">
      <c r="B955" s="182"/>
      <c r="C955" s="3"/>
      <c r="E955" s="3"/>
      <c r="H955" s="3"/>
      <c r="AG955" s="91"/>
    </row>
    <row r="956" ht="15.75" customHeight="1">
      <c r="B956" s="182"/>
      <c r="C956" s="3"/>
      <c r="E956" s="3"/>
      <c r="H956" s="3"/>
      <c r="AG956" s="91"/>
    </row>
    <row r="957" ht="15.75" customHeight="1">
      <c r="B957" s="182"/>
      <c r="C957" s="3"/>
      <c r="E957" s="3"/>
      <c r="H957" s="3"/>
      <c r="AG957" s="91"/>
    </row>
    <row r="958" ht="15.75" customHeight="1">
      <c r="B958" s="182"/>
      <c r="C958" s="3"/>
      <c r="E958" s="3"/>
      <c r="H958" s="3"/>
      <c r="AG958" s="91"/>
    </row>
    <row r="959" ht="15.75" customHeight="1">
      <c r="B959" s="182"/>
      <c r="C959" s="3"/>
      <c r="E959" s="3"/>
      <c r="H959" s="3"/>
      <c r="AG959" s="91"/>
    </row>
    <row r="960" ht="15.75" customHeight="1">
      <c r="B960" s="182"/>
      <c r="C960" s="3"/>
      <c r="E960" s="3"/>
      <c r="H960" s="3"/>
      <c r="AG960" s="91"/>
    </row>
    <row r="961" ht="15.75" customHeight="1">
      <c r="B961" s="182"/>
      <c r="C961" s="3"/>
      <c r="E961" s="3"/>
      <c r="H961" s="3"/>
      <c r="AG961" s="91"/>
    </row>
    <row r="962" ht="15.75" customHeight="1">
      <c r="B962" s="182"/>
      <c r="C962" s="3"/>
      <c r="E962" s="3"/>
      <c r="H962" s="3"/>
      <c r="AG962" s="91"/>
    </row>
    <row r="963" ht="15.75" customHeight="1">
      <c r="B963" s="182"/>
      <c r="C963" s="3"/>
      <c r="E963" s="3"/>
      <c r="H963" s="3"/>
      <c r="AG963" s="91"/>
    </row>
    <row r="964" ht="15.75" customHeight="1">
      <c r="B964" s="182"/>
      <c r="C964" s="3"/>
      <c r="E964" s="3"/>
      <c r="H964" s="3"/>
      <c r="AG964" s="91"/>
    </row>
    <row r="965" ht="15.75" customHeight="1">
      <c r="B965" s="182"/>
      <c r="C965" s="3"/>
      <c r="E965" s="3"/>
      <c r="H965" s="3"/>
      <c r="AG965" s="91"/>
    </row>
    <row r="966" ht="15.75" customHeight="1">
      <c r="B966" s="182"/>
      <c r="C966" s="3"/>
      <c r="E966" s="3"/>
      <c r="H966" s="3"/>
      <c r="AG966" s="91"/>
    </row>
    <row r="967" ht="15.75" customHeight="1">
      <c r="B967" s="182"/>
      <c r="C967" s="3"/>
      <c r="E967" s="3"/>
      <c r="H967" s="3"/>
      <c r="AG967" s="91"/>
    </row>
    <row r="968" ht="15.75" customHeight="1">
      <c r="B968" s="182"/>
      <c r="C968" s="3"/>
      <c r="E968" s="3"/>
      <c r="H968" s="3"/>
      <c r="AG968" s="91"/>
    </row>
    <row r="969" ht="15.75" customHeight="1">
      <c r="B969" s="182"/>
      <c r="C969" s="3"/>
      <c r="E969" s="3"/>
      <c r="H969" s="3"/>
      <c r="AG969" s="91"/>
    </row>
    <row r="970" ht="15.75" customHeight="1">
      <c r="B970" s="182"/>
      <c r="C970" s="3"/>
      <c r="E970" s="3"/>
      <c r="H970" s="3"/>
      <c r="AG970" s="91"/>
    </row>
    <row r="971" ht="15.75" customHeight="1">
      <c r="B971" s="182"/>
      <c r="C971" s="3"/>
      <c r="E971" s="3"/>
      <c r="H971" s="3"/>
      <c r="AG971" s="91"/>
    </row>
    <row r="972" ht="15.75" customHeight="1">
      <c r="B972" s="182"/>
      <c r="C972" s="3"/>
      <c r="E972" s="3"/>
      <c r="H972" s="3"/>
      <c r="AG972" s="91"/>
    </row>
    <row r="973" ht="15.75" customHeight="1">
      <c r="B973" s="182"/>
      <c r="C973" s="3"/>
      <c r="E973" s="3"/>
      <c r="H973" s="3"/>
      <c r="AG973" s="91"/>
    </row>
    <row r="974" ht="15.75" customHeight="1">
      <c r="B974" s="182"/>
      <c r="C974" s="3"/>
      <c r="E974" s="3"/>
      <c r="H974" s="3"/>
      <c r="AG974" s="91"/>
    </row>
    <row r="975" ht="15.75" customHeight="1">
      <c r="B975" s="182"/>
      <c r="C975" s="3"/>
      <c r="E975" s="3"/>
      <c r="H975" s="3"/>
      <c r="AG975" s="91"/>
    </row>
    <row r="976" ht="15.75" customHeight="1">
      <c r="B976" s="182"/>
      <c r="C976" s="3"/>
      <c r="E976" s="3"/>
      <c r="H976" s="3"/>
      <c r="AG976" s="91"/>
    </row>
    <row r="977" ht="15.75" customHeight="1">
      <c r="B977" s="182"/>
      <c r="C977" s="3"/>
      <c r="E977" s="3"/>
      <c r="H977" s="3"/>
      <c r="AG977" s="91"/>
    </row>
    <row r="978" ht="15.75" customHeight="1">
      <c r="B978" s="182"/>
      <c r="C978" s="3"/>
      <c r="E978" s="3"/>
      <c r="H978" s="3"/>
      <c r="AG978" s="91"/>
    </row>
    <row r="979" ht="15.75" customHeight="1">
      <c r="B979" s="182"/>
      <c r="C979" s="3"/>
      <c r="E979" s="3"/>
      <c r="H979" s="3"/>
      <c r="AG979" s="91"/>
    </row>
    <row r="980" ht="15.75" customHeight="1">
      <c r="B980" s="182"/>
      <c r="C980" s="3"/>
      <c r="E980" s="3"/>
      <c r="H980" s="3"/>
      <c r="AG980" s="91"/>
    </row>
    <row r="981" ht="15.75" customHeight="1">
      <c r="B981" s="182"/>
      <c r="C981" s="3"/>
      <c r="E981" s="3"/>
      <c r="H981" s="3"/>
      <c r="AG981" s="91"/>
    </row>
    <row r="982" ht="15.75" customHeight="1">
      <c r="B982" s="182"/>
      <c r="C982" s="3"/>
      <c r="E982" s="3"/>
      <c r="H982" s="3"/>
      <c r="AG982" s="91"/>
    </row>
    <row r="983" ht="15.75" customHeight="1">
      <c r="B983" s="182"/>
      <c r="C983" s="3"/>
      <c r="E983" s="3"/>
      <c r="H983" s="3"/>
      <c r="AG983" s="91"/>
    </row>
    <row r="984" ht="15.75" customHeight="1">
      <c r="B984" s="182"/>
      <c r="C984" s="3"/>
      <c r="E984" s="3"/>
      <c r="H984" s="3"/>
      <c r="AG984" s="91"/>
    </row>
    <row r="985" ht="15.75" customHeight="1">
      <c r="B985" s="182"/>
      <c r="C985" s="3"/>
      <c r="E985" s="3"/>
      <c r="H985" s="3"/>
      <c r="AG985" s="91"/>
    </row>
    <row r="986" ht="15.75" customHeight="1">
      <c r="B986" s="182"/>
      <c r="C986" s="3"/>
      <c r="E986" s="3"/>
      <c r="H986" s="3"/>
      <c r="AG986" s="91"/>
    </row>
    <row r="987" ht="15.75" customHeight="1">
      <c r="B987" s="182"/>
      <c r="C987" s="3"/>
      <c r="E987" s="3"/>
      <c r="H987" s="3"/>
      <c r="AG987" s="91"/>
    </row>
    <row r="988" ht="15.75" customHeight="1">
      <c r="B988" s="182"/>
      <c r="C988" s="3"/>
      <c r="E988" s="3"/>
      <c r="H988" s="3"/>
      <c r="AG988" s="91"/>
    </row>
    <row r="989" ht="15.75" customHeight="1">
      <c r="B989" s="182"/>
      <c r="C989" s="3"/>
      <c r="E989" s="3"/>
      <c r="H989" s="3"/>
      <c r="AG989" s="91"/>
    </row>
    <row r="990" ht="15.75" customHeight="1">
      <c r="B990" s="182"/>
      <c r="C990" s="3"/>
      <c r="E990" s="3"/>
      <c r="H990" s="3"/>
      <c r="AG990" s="91"/>
    </row>
    <row r="991" ht="15.75" customHeight="1">
      <c r="B991" s="182"/>
      <c r="C991" s="3"/>
      <c r="E991" s="3"/>
      <c r="H991" s="3"/>
      <c r="AG991" s="91"/>
    </row>
    <row r="992" ht="15.75" customHeight="1">
      <c r="B992" s="182"/>
      <c r="C992" s="3"/>
      <c r="E992" s="3"/>
      <c r="H992" s="3"/>
      <c r="AG992" s="91"/>
    </row>
    <row r="993" ht="15.75" customHeight="1">
      <c r="B993" s="182"/>
      <c r="C993" s="3"/>
      <c r="E993" s="3"/>
      <c r="H993" s="3"/>
      <c r="AG993" s="91"/>
    </row>
    <row r="994" ht="15.75" customHeight="1">
      <c r="B994" s="182"/>
      <c r="C994" s="3"/>
      <c r="E994" s="3"/>
      <c r="H994" s="3"/>
      <c r="AG994" s="91"/>
    </row>
    <row r="995" ht="15.75" customHeight="1">
      <c r="B995" s="182"/>
      <c r="C995" s="3"/>
      <c r="E995" s="3"/>
      <c r="H995" s="3"/>
      <c r="AG995" s="91"/>
    </row>
    <row r="996" ht="15.75" customHeight="1">
      <c r="B996" s="182"/>
      <c r="C996" s="3"/>
      <c r="E996" s="3"/>
      <c r="H996" s="3"/>
      <c r="AG996" s="91"/>
    </row>
    <row r="997" ht="15.75" customHeight="1">
      <c r="B997" s="182"/>
      <c r="C997" s="3"/>
      <c r="E997" s="3"/>
      <c r="H997" s="3"/>
      <c r="AG997" s="91"/>
    </row>
    <row r="998" ht="15.75" customHeight="1">
      <c r="B998" s="182"/>
      <c r="C998" s="3"/>
      <c r="E998" s="3"/>
      <c r="H998" s="3"/>
      <c r="AG998" s="91"/>
    </row>
    <row r="999" ht="15.75" customHeight="1">
      <c r="B999" s="182"/>
      <c r="C999" s="3"/>
      <c r="E999" s="3"/>
      <c r="H999" s="3"/>
      <c r="AG999" s="91"/>
    </row>
    <row r="1000" ht="15.75" customHeight="1">
      <c r="B1000" s="182"/>
      <c r="C1000" s="3"/>
      <c r="E1000" s="3"/>
      <c r="H1000" s="3"/>
      <c r="AG1000" s="91"/>
    </row>
  </sheetData>
  <autoFilter ref="$A$3:$AO$102"/>
  <mergeCells count="2">
    <mergeCell ref="AV5:BD5"/>
    <mergeCell ref="AV26:BA26"/>
  </mergeCells>
  <printOptions/>
  <pageMargins bottom="0.75" footer="0.0" header="0.0" left="0.7" right="0.7" top="0.75"/>
  <pageSetup fitToHeight="0"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14.57"/>
    <col customWidth="1" min="2" max="2" width="12.29"/>
    <col customWidth="1" min="3" max="3" width="11.71"/>
    <col customWidth="1" min="4" max="4" width="42.57"/>
    <col customWidth="1" min="5" max="5" width="15.86"/>
    <col customWidth="1" min="6" max="6" width="15.29"/>
    <col customWidth="1" min="7" max="7" width="12.14"/>
    <col customWidth="1" min="8" max="8" width="11.43"/>
    <col customWidth="1" min="9" max="10" width="10.29"/>
    <col customWidth="1" min="11" max="12" width="11.43"/>
    <col customWidth="1" min="13" max="13" width="13.71"/>
    <col customWidth="1" min="14" max="14" width="11.71"/>
    <col customWidth="1" min="15" max="16" width="13.14"/>
    <col customWidth="1" min="17" max="17" width="12.0"/>
    <col customWidth="1" min="18" max="18" width="11.0"/>
    <col customWidth="1" min="19" max="19" width="11.71"/>
    <col customWidth="1" min="20" max="20" width="7.71"/>
    <col customWidth="1" min="21" max="21" width="7.57"/>
    <col customWidth="1" min="22" max="23" width="10.71"/>
    <col customWidth="1" min="24" max="24" width="10.57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2.29"/>
    <col customWidth="1" min="31" max="31" width="15.57"/>
    <col customWidth="1" min="32" max="32" width="12.43"/>
    <col customWidth="1" min="33" max="33" width="15.86"/>
    <col customWidth="1" min="34" max="35" width="20.29"/>
    <col customWidth="1" min="36" max="36" width="14.43"/>
    <col customWidth="1" min="37" max="37" width="17.57"/>
    <col customWidth="1" min="38" max="38" width="5.14"/>
    <col customWidth="1" min="39" max="39" width="14.43"/>
    <col customWidth="1" min="40" max="40" width="16.57"/>
    <col customWidth="1" min="41" max="41" width="14.43"/>
    <col customWidth="1" min="42" max="42" width="10.86"/>
    <col customWidth="1" min="43" max="43" width="12.71"/>
    <col customWidth="1" min="44" max="44" width="62.71"/>
    <col customWidth="1" min="45" max="57" width="14.43"/>
  </cols>
  <sheetData>
    <row r="1" ht="15.0" customHeight="1">
      <c r="A1" s="85"/>
      <c r="B1" s="182"/>
      <c r="C1" s="3"/>
      <c r="D1" s="97" t="s">
        <v>540</v>
      </c>
      <c r="E1" s="98">
        <f>+AI3</f>
        <v>5108.778</v>
      </c>
      <c r="F1" s="97" t="s">
        <v>241</v>
      </c>
      <c r="G1" s="98">
        <f>+$AM3</f>
        <v>497664.9943</v>
      </c>
      <c r="H1" s="18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7"/>
      <c r="AC1" s="7"/>
      <c r="AD1" s="7"/>
      <c r="AE1" s="7"/>
      <c r="AF1" s="7"/>
      <c r="AG1" s="8" t="s">
        <v>0</v>
      </c>
      <c r="AH1" s="9" t="s">
        <v>1</v>
      </c>
      <c r="AI1" s="125" t="s">
        <v>541</v>
      </c>
      <c r="AJ1" s="10" t="s">
        <v>2</v>
      </c>
      <c r="AK1" s="9" t="s">
        <v>3</v>
      </c>
      <c r="AL1" s="11"/>
      <c r="AM1" s="12" t="s">
        <v>4</v>
      </c>
      <c r="AN1" s="12"/>
      <c r="AO1" s="1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15.0" customHeight="1">
      <c r="A2" s="2"/>
      <c r="B2" s="182"/>
      <c r="C2" s="3"/>
      <c r="D2" s="97" t="s">
        <v>242</v>
      </c>
      <c r="E2" s="98">
        <f>+AH3</f>
        <v>4725.859</v>
      </c>
      <c r="F2" s="99" t="s">
        <v>243</v>
      </c>
      <c r="G2" s="100">
        <f>+Q2</f>
        <v>92.94563339</v>
      </c>
      <c r="H2" s="13"/>
      <c r="I2" s="184">
        <f>SUBTOTAL(9,I4:I309)</f>
        <v>671.58</v>
      </c>
      <c r="J2" s="4"/>
      <c r="K2" s="14">
        <f>SUBTOTAL(9,K4:K309)</f>
        <v>626.411</v>
      </c>
      <c r="L2" s="126">
        <f>+SUMPRODUCT(L5:L309,K5:K309)/K2</f>
        <v>0.237874908</v>
      </c>
      <c r="M2" s="2"/>
      <c r="N2" s="2"/>
      <c r="O2" s="6"/>
      <c r="P2" s="16">
        <f>+SUMPRODUCT(P4:P309,AH4:AH309)/SUM(AH4:AH309)</f>
        <v>86.3825531</v>
      </c>
      <c r="Q2" s="16">
        <f>+SUMPRODUCT(Q4:Q309,AH4:AH309)/SUM(AH4:AH309)</f>
        <v>92.94563339</v>
      </c>
      <c r="R2" s="12">
        <f>+SUMPRODUCT(R4:R309,AH4:AH309)/SUM(AH4:AH309)</f>
        <v>4634.607704</v>
      </c>
      <c r="S2" s="2"/>
      <c r="T2" s="2"/>
      <c r="U2" s="2"/>
      <c r="V2" s="2"/>
      <c r="W2" s="2"/>
      <c r="X2" s="2"/>
      <c r="Y2" s="2"/>
      <c r="Z2" s="2"/>
      <c r="AA2" s="2"/>
      <c r="AB2" s="7"/>
      <c r="AC2" s="7"/>
      <c r="AD2" s="7"/>
      <c r="AE2" s="7"/>
      <c r="AF2" s="7"/>
      <c r="AG2" s="17">
        <f>SUMPRODUCT($AG4:$AG309,$K4:$K309)/SUM($K4:$K309)</f>
        <v>178.8319167</v>
      </c>
      <c r="AH2" s="18"/>
      <c r="AI2" s="2"/>
      <c r="AJ2" s="19">
        <v>4900.0</v>
      </c>
      <c r="AK2" s="20"/>
      <c r="AL2" s="11"/>
      <c r="AM2" s="21"/>
      <c r="AN2" s="21"/>
      <c r="AO2" s="21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ht="15.0" customHeight="1">
      <c r="A3" s="22" t="s">
        <v>5</v>
      </c>
      <c r="B3" s="185" t="s">
        <v>6</v>
      </c>
      <c r="C3" s="23" t="s">
        <v>7</v>
      </c>
      <c r="D3" s="101" t="s">
        <v>8</v>
      </c>
      <c r="E3" s="102" t="s">
        <v>9</v>
      </c>
      <c r="F3" s="101" t="s">
        <v>10</v>
      </c>
      <c r="G3" s="102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186">
        <f t="shared" ref="AH3:AI3" si="1">SUBTOTAL(9,AH4:AH309)</f>
        <v>4725.859</v>
      </c>
      <c r="AI3" s="186">
        <f t="shared" si="1"/>
        <v>5108.778</v>
      </c>
      <c r="AJ3" s="187">
        <f>SUMPRODUCT(K4:K309,AJ4:AJ309)/K2</f>
        <v>92.03247099</v>
      </c>
      <c r="AK3" s="39">
        <f>SUBTOTAL(9,AK4:AK309)</f>
        <v>4212.243513</v>
      </c>
      <c r="AL3" s="11"/>
      <c r="AM3" s="39">
        <f>SUBTOTAL(9,AM4:AM309)</f>
        <v>497664.9943</v>
      </c>
      <c r="AN3" s="127" t="s">
        <v>542</v>
      </c>
      <c r="AO3" s="188" t="s">
        <v>543</v>
      </c>
      <c r="AP3" s="131" t="s">
        <v>544</v>
      </c>
      <c r="AQ3" s="131" t="s">
        <v>545</v>
      </c>
      <c r="AR3" s="2"/>
      <c r="AS3" s="129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ht="15.75" customHeight="1">
      <c r="A4" s="41"/>
      <c r="B4" s="190"/>
      <c r="C4" s="190"/>
      <c r="D4" s="42"/>
      <c r="E4" s="43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0"/>
      <c r="AJ4" s="51"/>
      <c r="AK4" s="52"/>
      <c r="AL4" s="53"/>
      <c r="AM4" s="52"/>
      <c r="AN4" s="52"/>
      <c r="AO4" s="52"/>
      <c r="AP4" s="67"/>
      <c r="AQ4" s="67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67"/>
    </row>
    <row r="5" ht="15.0" customHeight="1">
      <c r="A5" s="192" t="s">
        <v>3569</v>
      </c>
      <c r="B5" s="182"/>
      <c r="C5" s="182">
        <v>46032.0</v>
      </c>
      <c r="D5" s="2" t="s">
        <v>705</v>
      </c>
      <c r="E5" s="3">
        <f t="array" ref="E5">XLOOKUP(D5,RUC!$B$3:$B$110,RUC!$D$3:$D$110)</f>
        <v>20614031698</v>
      </c>
      <c r="F5" s="2"/>
      <c r="G5" s="141">
        <v>18.0</v>
      </c>
      <c r="H5" s="3" t="s">
        <v>47</v>
      </c>
      <c r="I5" s="6">
        <v>2.01</v>
      </c>
      <c r="J5" s="58">
        <v>2.9</v>
      </c>
      <c r="K5" s="6">
        <f t="shared" ref="K5:K117" si="2">ROUND(+I5-(I5*(J5/100)),3)</f>
        <v>1.952</v>
      </c>
      <c r="L5" s="139">
        <v>0.083</v>
      </c>
      <c r="M5" s="60">
        <f t="shared" ref="M5:M23" si="3">ROUND(+IF(AN5="Melchor Vera",IF(L5&gt;0.467,L5*0.985,(L5-0.007)),IF(L5&gt;0.3,L5*0.94,(L5-0.019))),3)</f>
        <v>0.064</v>
      </c>
      <c r="N5" s="62">
        <f t="shared" ref="N5:N10" si="4">+M5</f>
        <v>0.064</v>
      </c>
      <c r="O5" s="60">
        <f t="shared" ref="O5:O117" si="5">+ROUND((M5+N5)/2,3)</f>
        <v>0.064</v>
      </c>
      <c r="P5" s="63">
        <v>90.0</v>
      </c>
      <c r="Q5" s="58">
        <v>96.39</v>
      </c>
      <c r="R5" s="65">
        <v>4493.85</v>
      </c>
      <c r="S5" s="66">
        <f t="array" ref="S5">IF((XLOOKUP(D5,RUC!$B$3:$B$106,RUC!$E$3:$E$106)+ROUNDDOWN(O5,1)*100)&lt;95,95,((XLOOKUP(D5,RUC!$B$3:$B$106,RUC!$E$3:$E$106)+ROUNDDOWN(O5,1)*100)))</f>
        <v>95</v>
      </c>
      <c r="T5" s="2"/>
      <c r="U5" s="67">
        <f t="array" ref="U5">XLOOKUP(D5,RUC!$B$3:$B$110,RUC!$F$3:$F$110)</f>
        <v>110</v>
      </c>
      <c r="V5" s="67">
        <v>1.1023</v>
      </c>
      <c r="W5" s="2"/>
      <c r="X5" s="2"/>
      <c r="Y5" s="2">
        <f t="array" ref="Y5">XLOOKUP(D5,RUC!$B$3:$B$110,RUC!$G$3:$G$110)</f>
        <v>0</v>
      </c>
      <c r="Z5" s="69">
        <f t="array" ref="Z5">XLOOKUP(D5,RUC!$B$3:$B$110,RUC!$H$3:$H$110)</f>
        <v>35</v>
      </c>
      <c r="AA5" s="70">
        <f t="shared" ref="AA5:AA117" si="6">+Y5+Z5</f>
        <v>35</v>
      </c>
      <c r="AB5" s="71">
        <f t="shared" ref="AB5:AB6" si="7">+((O5*P5*(R5-U5)/100)-S5-AA5+T5)*V5</f>
        <v>135.0425084</v>
      </c>
      <c r="AC5" s="71">
        <f>+(S5-T5)*V5-'data 1'!$F$4</f>
        <v>24.7185</v>
      </c>
      <c r="AD5" s="71">
        <f t="shared" ref="AD5:AD117" si="8">+(Q5-P5)*(R5-U5)*L5*V5/100</f>
        <v>25.62916421</v>
      </c>
      <c r="AE5" s="71">
        <f t="shared" ref="AE5:AE117" si="9">+(Y5*V5-70)+V5*(Z5-IF(D5="UNTUCA",IF(+((W5-3)*2.5+(X5-3)*3.1)&gt;0,+((W5-3)*1.5+(X5-3)*3.1),0),IF(+((W5-3)*1.5+(X5-3)*3.1)&gt;0,+((W5-3)*1.5+(X5-3)*3.1),0)))</f>
        <v>-31.4195</v>
      </c>
      <c r="AF5" s="71">
        <f t="shared" ref="AF5:AF117" si="10">(L5-O5)*(R5-U5)*Q5*V5/100</f>
        <v>88.49955243</v>
      </c>
      <c r="AG5" s="72">
        <f t="shared" ref="AG5:AG6" si="11">AC5+AD5+AE5+AF5+70</f>
        <v>177.4277166</v>
      </c>
      <c r="AH5" s="193">
        <f t="shared" ref="AH5:AH117" si="12">ROUND((31.1035*L5*Q5*1.1023*K5/100),3)</f>
        <v>5.354</v>
      </c>
      <c r="AI5" s="193">
        <f t="shared" ref="AI5:AI117" si="13">ROUND((31.1035*L5*1.1023*K5),3)</f>
        <v>5.555</v>
      </c>
      <c r="AJ5" s="73">
        <f t="shared" ref="AJ5:AJ117" si="14">+((+$AJ$2-R5+U5)*L5*Q5*V5)/100</f>
        <v>45.51827672</v>
      </c>
      <c r="AK5" s="73">
        <f t="shared" ref="AK5:AK117" si="15">31.1035*1.1023*K5*P5*O5/100</f>
        <v>3.854884462</v>
      </c>
      <c r="AL5" s="2"/>
      <c r="AM5" s="51">
        <f t="shared" ref="AM5:AM117" si="16">+IF(AB5*K5&gt;0,AB5*K5,0)</f>
        <v>263.6029765</v>
      </c>
      <c r="AN5" s="51" t="str">
        <f t="array" ref="AN5">XLOOKUP(D5,RUC!$B$3:$B$565,RUC!$M$3:$M$565)</f>
        <v>Robinson Tuya</v>
      </c>
      <c r="AO5" s="131" t="s">
        <v>549</v>
      </c>
      <c r="AP5" s="2" t="s">
        <v>706</v>
      </c>
      <c r="AQ5" s="2" t="s">
        <v>707</v>
      </c>
      <c r="AR5" s="2"/>
      <c r="AS5" s="2"/>
      <c r="AT5" s="2"/>
      <c r="AU5" s="6"/>
      <c r="AV5" s="149" t="s">
        <v>3570</v>
      </c>
      <c r="AW5" s="150"/>
      <c r="AX5" s="150"/>
      <c r="AY5" s="150"/>
      <c r="AZ5" s="150"/>
      <c r="BA5" s="150"/>
      <c r="BB5" s="150"/>
      <c r="BC5" s="150"/>
      <c r="BD5" s="151"/>
      <c r="BE5" s="2"/>
    </row>
    <row r="6" ht="15.0" customHeight="1">
      <c r="A6" s="192" t="s">
        <v>3571</v>
      </c>
      <c r="B6" s="182"/>
      <c r="C6" s="182">
        <v>46032.0</v>
      </c>
      <c r="D6" s="2" t="s">
        <v>705</v>
      </c>
      <c r="E6" s="3">
        <f t="array" ref="E6">XLOOKUP(D6,RUC!$B$3:$B$110,RUC!$D$3:$D$110)</f>
        <v>20614031698</v>
      </c>
      <c r="F6" s="2"/>
      <c r="G6" s="141">
        <v>20.0</v>
      </c>
      <c r="H6" s="3" t="s">
        <v>47</v>
      </c>
      <c r="I6" s="6">
        <v>2.32</v>
      </c>
      <c r="J6" s="58">
        <v>2.0</v>
      </c>
      <c r="K6" s="6">
        <f t="shared" si="2"/>
        <v>2.274</v>
      </c>
      <c r="L6" s="139">
        <v>0.078</v>
      </c>
      <c r="M6" s="60">
        <f t="shared" si="3"/>
        <v>0.059</v>
      </c>
      <c r="N6" s="62">
        <f t="shared" si="4"/>
        <v>0.059</v>
      </c>
      <c r="O6" s="60">
        <f t="shared" si="5"/>
        <v>0.059</v>
      </c>
      <c r="P6" s="63">
        <v>90.0</v>
      </c>
      <c r="Q6" s="58">
        <v>92.31</v>
      </c>
      <c r="R6" s="65">
        <v>4493.85</v>
      </c>
      <c r="S6" s="66">
        <f t="array" ref="S6">IF((XLOOKUP(D6,RUC!$B$3:$B$106,RUC!$E$3:$E$106)+ROUNDDOWN(O6,1)*100)&lt;95,95,((XLOOKUP(D6,RUC!$B$3:$B$106,RUC!$E$3:$E$106)+ROUNDDOWN(O6,1)*100)))</f>
        <v>95</v>
      </c>
      <c r="T6" s="2"/>
      <c r="U6" s="67">
        <f t="array" ref="U6">XLOOKUP(D6,RUC!$B$3:$B$110,RUC!$F$3:$F$110)</f>
        <v>110</v>
      </c>
      <c r="V6" s="67">
        <v>1.1023</v>
      </c>
      <c r="W6" s="2"/>
      <c r="X6" s="2"/>
      <c r="Y6" s="2">
        <f t="array" ref="Y6">XLOOKUP(D6,RUC!$B$3:$B$110,RUC!$G$3:$G$110)</f>
        <v>0</v>
      </c>
      <c r="Z6" s="69">
        <f t="array" ref="Z6">XLOOKUP(D6,RUC!$B$3:$B$110,RUC!$H$3:$H$110)</f>
        <v>35</v>
      </c>
      <c r="AA6" s="70">
        <f t="shared" si="6"/>
        <v>35</v>
      </c>
      <c r="AB6" s="71">
        <f t="shared" si="7"/>
        <v>113.2970781</v>
      </c>
      <c r="AC6" s="71">
        <f>+(S6-T6)*V6-'data 1'!$F$4</f>
        <v>24.7185</v>
      </c>
      <c r="AD6" s="71">
        <f t="shared" si="8"/>
        <v>8.706870311</v>
      </c>
      <c r="AE6" s="71">
        <f t="shared" si="9"/>
        <v>-31.4195</v>
      </c>
      <c r="AF6" s="71">
        <f t="shared" si="10"/>
        <v>84.75353963</v>
      </c>
      <c r="AG6" s="72">
        <f t="shared" si="11"/>
        <v>156.7594099</v>
      </c>
      <c r="AH6" s="193">
        <f t="shared" si="12"/>
        <v>5.614</v>
      </c>
      <c r="AI6" s="193">
        <f t="shared" si="13"/>
        <v>6.081</v>
      </c>
      <c r="AJ6" s="73">
        <f t="shared" si="14"/>
        <v>40.96557855</v>
      </c>
      <c r="AK6" s="73">
        <f t="shared" si="15"/>
        <v>4.139940036</v>
      </c>
      <c r="AL6" s="2"/>
      <c r="AM6" s="51">
        <f t="shared" si="16"/>
        <v>257.6375556</v>
      </c>
      <c r="AN6" s="51" t="str">
        <f t="array" ref="AN6">XLOOKUP(D6,RUC!$B$3:$B$565,RUC!$M$3:$M$565)</f>
        <v>Robinson Tuya</v>
      </c>
      <c r="AO6" s="131" t="s">
        <v>549</v>
      </c>
      <c r="AP6" s="2" t="s">
        <v>706</v>
      </c>
      <c r="AQ6" s="2" t="s">
        <v>707</v>
      </c>
      <c r="AR6" s="2"/>
      <c r="AS6" s="2"/>
      <c r="AT6" s="2"/>
      <c r="AU6" s="2"/>
      <c r="AV6" s="131"/>
      <c r="AW6" s="131"/>
      <c r="AX6" s="131"/>
      <c r="AY6" s="131"/>
      <c r="AZ6" s="131"/>
      <c r="BA6" s="131"/>
      <c r="BB6" s="131"/>
      <c r="BC6" s="131"/>
      <c r="BD6" s="131"/>
      <c r="BE6" s="2"/>
    </row>
    <row r="7" ht="15.0" customHeight="1">
      <c r="A7" s="192" t="s">
        <v>3572</v>
      </c>
      <c r="B7" s="182">
        <v>46057.0</v>
      </c>
      <c r="C7" s="182">
        <v>46052.0</v>
      </c>
      <c r="D7" s="2" t="s">
        <v>723</v>
      </c>
      <c r="E7" s="3">
        <f t="array" ref="E7">XLOOKUP(D7,RUC!$B$3:$B$110,RUC!$D$3:$D$110)</f>
        <v>20606480840</v>
      </c>
      <c r="F7" s="2"/>
      <c r="G7" s="3">
        <v>8.0</v>
      </c>
      <c r="H7" s="3" t="s">
        <v>47</v>
      </c>
      <c r="I7" s="6">
        <v>0.59</v>
      </c>
      <c r="J7" s="58">
        <v>1.1</v>
      </c>
      <c r="K7" s="6">
        <f t="shared" si="2"/>
        <v>0.584</v>
      </c>
      <c r="L7" s="139">
        <v>0.084</v>
      </c>
      <c r="M7" s="60">
        <f t="shared" si="3"/>
        <v>0.065</v>
      </c>
      <c r="N7" s="62">
        <f t="shared" si="4"/>
        <v>0.065</v>
      </c>
      <c r="O7" s="60">
        <f t="shared" si="5"/>
        <v>0.065</v>
      </c>
      <c r="P7" s="63">
        <v>80.0</v>
      </c>
      <c r="Q7" s="58">
        <v>96.43</v>
      </c>
      <c r="R7" s="65">
        <v>4981.85</v>
      </c>
      <c r="S7" s="66">
        <f t="array" ref="S7">IF((XLOOKUP(D7,RUC!$B$3:$B$106,RUC!$E$3:$E$106)+ROUNDDOWN(O7,1)*100)&lt;95,95,((XLOOKUP(D7,RUC!$B$3:$B$106,RUC!$E$3:$E$106)+ROUNDDOWN(O7,1)*100)))</f>
        <v>95</v>
      </c>
      <c r="T7" s="2"/>
      <c r="U7" s="67">
        <f t="array" ref="U7">XLOOKUP(D7,RUC!$B$3:$B$110,RUC!$F$3:$F$110)</f>
        <v>110</v>
      </c>
      <c r="V7" s="67">
        <v>1.1023</v>
      </c>
      <c r="W7" s="2"/>
      <c r="X7" s="2"/>
      <c r="Y7" s="2">
        <f t="array" ref="Y7">XLOOKUP(D7,RUC!$B$3:$B$110,RUC!$G$3:$G$110)</f>
        <v>0</v>
      </c>
      <c r="Z7" s="69">
        <f t="array" ref="Z7">XLOOKUP(D7,RUC!$B$3:$B$110,RUC!$H$3:$H$110)</f>
        <v>35</v>
      </c>
      <c r="AA7" s="70">
        <f t="shared" si="6"/>
        <v>35</v>
      </c>
      <c r="AB7" s="71">
        <v>0.001</v>
      </c>
      <c r="AC7" s="71">
        <f>+(S7-T7)*V7-'data 1'!$F$4</f>
        <v>24.7185</v>
      </c>
      <c r="AD7" s="71">
        <f t="shared" si="8"/>
        <v>74.11575981</v>
      </c>
      <c r="AE7" s="71">
        <f t="shared" si="9"/>
        <v>-31.4195</v>
      </c>
      <c r="AF7" s="71">
        <f t="shared" si="10"/>
        <v>98.39193088</v>
      </c>
      <c r="AG7" s="72">
        <f>AC7+AD7+AE7+AF7+70-53+135.95</f>
        <v>318.7566907</v>
      </c>
      <c r="AH7" s="193">
        <f t="shared" si="12"/>
        <v>1.622</v>
      </c>
      <c r="AI7" s="193">
        <f t="shared" si="13"/>
        <v>1.682</v>
      </c>
      <c r="AJ7" s="73">
        <f t="shared" si="14"/>
        <v>2.513446581</v>
      </c>
      <c r="AK7" s="73">
        <f t="shared" si="15"/>
        <v>1.041178664</v>
      </c>
      <c r="AL7" s="2"/>
      <c r="AM7" s="51">
        <f t="shared" si="16"/>
        <v>0.000584</v>
      </c>
      <c r="AN7" s="51" t="str">
        <f t="array" ref="AN7">XLOOKUP(D7,RUC!$B$3:$B$565,RUC!$M$3:$M$565)</f>
        <v>Robinson Tuya</v>
      </c>
      <c r="AO7" s="131" t="s">
        <v>551</v>
      </c>
      <c r="AP7" s="2" t="s">
        <v>1237</v>
      </c>
      <c r="AQ7" s="2" t="s">
        <v>2026</v>
      </c>
      <c r="AR7" s="2"/>
      <c r="AS7" s="2"/>
      <c r="AT7" s="2"/>
      <c r="AU7" s="2"/>
      <c r="AV7" s="2"/>
      <c r="AW7" s="195">
        <f>SUM(AW9:AW18)</f>
        <v>626.411</v>
      </c>
      <c r="AX7" s="196">
        <f>SUMPRODUCT(AW9:AW18,AX9:AX18)/SUM(AW9:AW18)</f>
        <v>0.237874908</v>
      </c>
      <c r="AY7" s="197"/>
      <c r="AZ7" s="198">
        <f>SUMPRODUCT(AZ9:AZ18,$BB9:$BB18)/SUM($BB9:$BB18)/100</f>
        <v>0.9294563339</v>
      </c>
      <c r="BA7" s="82">
        <f t="shared" ref="BA7:BB7" si="17">SUM(BA9:BA18)</f>
        <v>5108.778554</v>
      </c>
      <c r="BB7" s="82">
        <f t="shared" si="17"/>
        <v>4725.859</v>
      </c>
      <c r="BC7" s="2"/>
      <c r="BD7" s="2"/>
      <c r="BE7" s="2"/>
    </row>
    <row r="8" ht="15.0" customHeight="1">
      <c r="A8" s="192" t="s">
        <v>3573</v>
      </c>
      <c r="B8" s="182"/>
      <c r="C8" s="182">
        <v>46058.0</v>
      </c>
      <c r="D8" s="2" t="s">
        <v>723</v>
      </c>
      <c r="E8" s="3">
        <f t="array" ref="E8">XLOOKUP(D8,RUC!$B$3:$B$110,RUC!$D$3:$D$110)</f>
        <v>20606480840</v>
      </c>
      <c r="F8" s="2"/>
      <c r="G8" s="3">
        <v>160.0</v>
      </c>
      <c r="H8" s="3" t="s">
        <v>47</v>
      </c>
      <c r="I8" s="6">
        <v>13.69</v>
      </c>
      <c r="J8" s="58">
        <v>2.05</v>
      </c>
      <c r="K8" s="6">
        <f t="shared" si="2"/>
        <v>13.409</v>
      </c>
      <c r="L8" s="139">
        <v>0.091</v>
      </c>
      <c r="M8" s="60">
        <f t="shared" si="3"/>
        <v>0.072</v>
      </c>
      <c r="N8" s="62">
        <f t="shared" si="4"/>
        <v>0.072</v>
      </c>
      <c r="O8" s="60">
        <f t="shared" si="5"/>
        <v>0.072</v>
      </c>
      <c r="P8" s="63">
        <v>90.0</v>
      </c>
      <c r="Q8" s="58">
        <v>96.7</v>
      </c>
      <c r="R8" s="65">
        <v>4847.25</v>
      </c>
      <c r="S8" s="66">
        <f t="array" ref="S8">IF((XLOOKUP(D8,RUC!$B$3:$B$106,RUC!$E$3:$E$106)+ROUNDDOWN(O8,1)*100)&lt;95,95,((XLOOKUP(D8,RUC!$B$3:$B$106,RUC!$E$3:$E$106)+ROUNDDOWN(O8,1)*100)))</f>
        <v>95</v>
      </c>
      <c r="T8" s="2"/>
      <c r="U8" s="67">
        <f t="array" ref="U8">XLOOKUP(D8,RUC!$B$3:$B$110,RUC!$F$3:$F$110)</f>
        <v>110</v>
      </c>
      <c r="V8" s="67">
        <v>1.1023</v>
      </c>
      <c r="W8" s="2"/>
      <c r="X8" s="2"/>
      <c r="Y8" s="2">
        <f t="array" ref="Y8">XLOOKUP(D8,RUC!$B$3:$B$110,RUC!$G$3:$G$110)</f>
        <v>0</v>
      </c>
      <c r="Z8" s="69">
        <f t="array" ref="Z8">XLOOKUP(D8,RUC!$B$3:$B$110,RUC!$H$3:$H$110)</f>
        <v>35</v>
      </c>
      <c r="AA8" s="70">
        <f t="shared" si="6"/>
        <v>35</v>
      </c>
      <c r="AB8" s="71">
        <f t="shared" ref="AB8:AB9" si="18">+((O8*P8*(R8-U8)/100)-S8-AA8+T8)*V8</f>
        <v>195.0782197</v>
      </c>
      <c r="AC8" s="71">
        <f>+(S8-T8)*V8-'data 1'!$F$4</f>
        <v>24.7185</v>
      </c>
      <c r="AD8" s="71">
        <f t="shared" si="8"/>
        <v>31.83774551</v>
      </c>
      <c r="AE8" s="71">
        <f t="shared" si="9"/>
        <v>-31.4195</v>
      </c>
      <c r="AF8" s="71">
        <f t="shared" si="10"/>
        <v>95.94142991</v>
      </c>
      <c r="AG8" s="72">
        <f t="shared" ref="AG8:AG9" si="19">AC8+AD8+AE8+AF8+70-10</f>
        <v>181.0781754</v>
      </c>
      <c r="AH8" s="193">
        <f t="shared" si="12"/>
        <v>40.455</v>
      </c>
      <c r="AI8" s="193">
        <f t="shared" si="13"/>
        <v>41.836</v>
      </c>
      <c r="AJ8" s="73">
        <f t="shared" si="14"/>
        <v>15.7866024</v>
      </c>
      <c r="AK8" s="73">
        <f t="shared" si="15"/>
        <v>29.79068339</v>
      </c>
      <c r="AL8" s="2"/>
      <c r="AM8" s="51">
        <f t="shared" si="16"/>
        <v>2615.803848</v>
      </c>
      <c r="AN8" s="51" t="str">
        <f t="array" ref="AN8">XLOOKUP(D8,RUC!$B$3:$B$565,RUC!$M$3:$M$565)</f>
        <v>Robinson Tuya</v>
      </c>
      <c r="AO8" s="131" t="s">
        <v>547</v>
      </c>
      <c r="AP8" s="2" t="s">
        <v>724</v>
      </c>
      <c r="AQ8" s="2" t="s">
        <v>725</v>
      </c>
      <c r="AR8" s="2"/>
      <c r="AS8" s="2"/>
      <c r="AT8" s="2"/>
      <c r="AU8" s="2"/>
      <c r="AV8" s="3"/>
      <c r="AW8" s="3" t="s">
        <v>14</v>
      </c>
      <c r="AX8" s="3" t="s">
        <v>683</v>
      </c>
      <c r="AY8" s="143" t="s">
        <v>683</v>
      </c>
      <c r="AZ8" s="3" t="s">
        <v>685</v>
      </c>
      <c r="BA8" s="3" t="s">
        <v>686</v>
      </c>
      <c r="BB8" s="3" t="s">
        <v>687</v>
      </c>
      <c r="BC8" s="3" t="s">
        <v>698</v>
      </c>
      <c r="BD8" s="65" t="s">
        <v>699</v>
      </c>
      <c r="BE8" s="2"/>
    </row>
    <row r="9" ht="15.0" customHeight="1">
      <c r="A9" s="192" t="s">
        <v>3574</v>
      </c>
      <c r="B9" s="182"/>
      <c r="C9" s="182">
        <v>46058.0</v>
      </c>
      <c r="D9" s="2" t="s">
        <v>723</v>
      </c>
      <c r="E9" s="3">
        <f t="array" ref="E9">XLOOKUP(D9,RUC!$B$3:$B$110,RUC!$D$3:$D$110)</f>
        <v>20606480840</v>
      </c>
      <c r="F9" s="2"/>
      <c r="G9" s="3">
        <v>150.0</v>
      </c>
      <c r="H9" s="3" t="s">
        <v>47</v>
      </c>
      <c r="I9" s="6">
        <v>13.63</v>
      </c>
      <c r="J9" s="58">
        <v>2.0</v>
      </c>
      <c r="K9" s="6">
        <f t="shared" si="2"/>
        <v>13.357</v>
      </c>
      <c r="L9" s="139">
        <v>0.086</v>
      </c>
      <c r="M9" s="60">
        <f t="shared" si="3"/>
        <v>0.067</v>
      </c>
      <c r="N9" s="62">
        <f t="shared" si="4"/>
        <v>0.067</v>
      </c>
      <c r="O9" s="60">
        <f t="shared" si="5"/>
        <v>0.067</v>
      </c>
      <c r="P9" s="63">
        <v>90.0</v>
      </c>
      <c r="Q9" s="58">
        <v>93.02</v>
      </c>
      <c r="R9" s="65">
        <v>4847.25</v>
      </c>
      <c r="S9" s="66">
        <f t="array" ref="S9">IF((XLOOKUP(D9,RUC!$B$3:$B$106,RUC!$E$3:$E$106)+ROUNDDOWN(O9,1)*100)&lt;95,95,((XLOOKUP(D9,RUC!$B$3:$B$106,RUC!$E$3:$E$106)+ROUNDDOWN(O9,1)*100)))</f>
        <v>95</v>
      </c>
      <c r="T9" s="2"/>
      <c r="U9" s="67">
        <f t="array" ref="U9">XLOOKUP(D9,RUC!$B$3:$B$110,RUC!$F$3:$F$110)</f>
        <v>110</v>
      </c>
      <c r="V9" s="67">
        <v>1.1023</v>
      </c>
      <c r="W9" s="2"/>
      <c r="X9" s="2"/>
      <c r="Y9" s="2">
        <f t="array" ref="Y9">XLOOKUP(D9,RUC!$B$3:$B$110,RUC!$G$3:$G$110)</f>
        <v>0</v>
      </c>
      <c r="Z9" s="69">
        <f t="array" ref="Z9">XLOOKUP(D9,RUC!$B$3:$B$110,RUC!$H$3:$H$110)</f>
        <v>35</v>
      </c>
      <c r="AA9" s="70">
        <f t="shared" si="6"/>
        <v>35</v>
      </c>
      <c r="AB9" s="71">
        <f t="shared" si="18"/>
        <v>171.5798017</v>
      </c>
      <c r="AC9" s="71">
        <f>+(S9-T9)*V9-'data 1'!$F$4</f>
        <v>24.7185</v>
      </c>
      <c r="AD9" s="71">
        <f t="shared" si="8"/>
        <v>13.56224252</v>
      </c>
      <c r="AE9" s="71">
        <f t="shared" si="9"/>
        <v>-31.4195</v>
      </c>
      <c r="AF9" s="71">
        <f t="shared" si="10"/>
        <v>92.29029794</v>
      </c>
      <c r="AG9" s="72">
        <f t="shared" si="19"/>
        <v>159.1515405</v>
      </c>
      <c r="AH9" s="193">
        <f t="shared" si="12"/>
        <v>36.635</v>
      </c>
      <c r="AI9" s="193">
        <f t="shared" si="13"/>
        <v>39.384</v>
      </c>
      <c r="AJ9" s="73">
        <f t="shared" si="14"/>
        <v>14.35144368</v>
      </c>
      <c r="AK9" s="73">
        <f t="shared" si="15"/>
        <v>27.61438067</v>
      </c>
      <c r="AL9" s="2"/>
      <c r="AM9" s="51">
        <f t="shared" si="16"/>
        <v>2291.791411</v>
      </c>
      <c r="AN9" s="51" t="str">
        <f t="array" ref="AN9">XLOOKUP(D9,RUC!$B$3:$B$565,RUC!$M$3:$M$565)</f>
        <v>Robinson Tuya</v>
      </c>
      <c r="AO9" s="131" t="s">
        <v>547</v>
      </c>
      <c r="AP9" s="2" t="s">
        <v>724</v>
      </c>
      <c r="AQ9" s="2" t="s">
        <v>725</v>
      </c>
      <c r="AR9" s="2"/>
      <c r="AS9" s="2"/>
      <c r="AT9" s="2"/>
      <c r="AU9" s="2"/>
      <c r="AV9" s="152" t="s">
        <v>558</v>
      </c>
      <c r="AW9" s="154">
        <f t="shared" ref="AW9:AW18" si="20">SUMIF($AO$4:$AO$417,AV9,$K$4:$K$417)</f>
        <v>164.97</v>
      </c>
      <c r="AX9" s="154">
        <f t="array" ref="AX9">+SUMPRODUCT(IF($AO$4:$AO$417=AV9,$L$4:$L$417*$K$4:$K$417/AW9))</f>
        <v>0.2328840335</v>
      </c>
      <c r="AY9" s="155">
        <f t="shared" ref="AY9:AY18" si="21">31.1035*1.1023*AX9*(100-AZ9)/100</f>
        <v>0.4489192209</v>
      </c>
      <c r="AZ9" s="157">
        <f t="array" ref="AZ9">+SUMPRODUCT(IF($AO$4:$AO$417=AV9,($Q$4:$Q$417*$AH$4:$AH$417)/SUMIF($AO$4:$AO$417,$AV9,$AH$4:$AH$417)))</f>
        <v>94.37763007</v>
      </c>
      <c r="BA9" s="200">
        <f t="shared" ref="BA9:BA18" si="22">+AX9*31.1035*1.1023*AW9</f>
        <v>1317.206175</v>
      </c>
      <c r="BB9" s="156">
        <f t="shared" ref="BB9:BB17" si="23">SUMIF($AO$4:$AO$407,$AV9,$AH$4:$AH$6)</f>
        <v>1240.97</v>
      </c>
      <c r="BC9" s="157">
        <f>+BA9-BB9</f>
        <v>76.23617496</v>
      </c>
      <c r="BD9" s="158">
        <f>+AW9</f>
        <v>164.97</v>
      </c>
      <c r="BE9" s="2"/>
    </row>
    <row r="10" ht="15.0" customHeight="1">
      <c r="A10" s="192" t="s">
        <v>3575</v>
      </c>
      <c r="B10" s="194">
        <v>46066.0</v>
      </c>
      <c r="C10" s="182">
        <v>46058.0</v>
      </c>
      <c r="D10" s="2" t="s">
        <v>602</v>
      </c>
      <c r="E10" s="3">
        <f t="array" ref="E10">XLOOKUP(D10,RUC!$B$3:$B$110,RUC!$D$3:$D$110)</f>
        <v>20169040231</v>
      </c>
      <c r="F10" s="2"/>
      <c r="G10" s="3">
        <v>54.0</v>
      </c>
      <c r="H10" s="3" t="s">
        <v>47</v>
      </c>
      <c r="I10" s="6">
        <v>4.87</v>
      </c>
      <c r="J10" s="58">
        <v>2.04</v>
      </c>
      <c r="K10" s="6">
        <f t="shared" si="2"/>
        <v>4.771</v>
      </c>
      <c r="L10" s="139">
        <v>0.104</v>
      </c>
      <c r="M10" s="60">
        <f t="shared" si="3"/>
        <v>0.085</v>
      </c>
      <c r="N10" s="62">
        <f t="shared" si="4"/>
        <v>0.085</v>
      </c>
      <c r="O10" s="60">
        <f t="shared" si="5"/>
        <v>0.085</v>
      </c>
      <c r="P10" s="63">
        <v>80.0</v>
      </c>
      <c r="Q10" s="58">
        <v>85.58</v>
      </c>
      <c r="R10" s="65">
        <v>4847.25</v>
      </c>
      <c r="S10" s="66">
        <f t="array" ref="S10">IF((XLOOKUP(D10,RUC!$B$3:$B$106,RUC!$E$3:$E$106)+ROUNDDOWN(O10,1)*100)&lt;95,95,((XLOOKUP(D10,RUC!$B$3:$B$106,RUC!$E$3:$E$106)+ROUNDDOWN(O10,1)*100)))</f>
        <v>95</v>
      </c>
      <c r="T10" s="2"/>
      <c r="U10" s="67">
        <f t="array" ref="U10">XLOOKUP(D10,RUC!$B$3:$B$110,RUC!$F$3:$F$110)</f>
        <v>120</v>
      </c>
      <c r="V10" s="67">
        <v>1.1023</v>
      </c>
      <c r="W10" s="2"/>
      <c r="X10" s="2"/>
      <c r="Y10" s="199">
        <v>25.0</v>
      </c>
      <c r="Z10" s="140">
        <v>35.0</v>
      </c>
      <c r="AA10" s="70">
        <f t="shared" si="6"/>
        <v>60</v>
      </c>
      <c r="AB10" s="71">
        <v>0.001</v>
      </c>
      <c r="AC10" s="71">
        <f>+(S10-T10)*V10-'data 1'!$F$4</f>
        <v>24.7185</v>
      </c>
      <c r="AD10" s="71">
        <f t="shared" si="8"/>
        <v>30.23959123</v>
      </c>
      <c r="AE10" s="71">
        <f t="shared" si="9"/>
        <v>-3.862</v>
      </c>
      <c r="AF10" s="71">
        <f t="shared" si="10"/>
        <v>84.72942537</v>
      </c>
      <c r="AG10" s="72">
        <f>AC10+AD10+AE10+AF10+70-53+183.48</f>
        <v>336.3055166</v>
      </c>
      <c r="AH10" s="193">
        <f t="shared" si="12"/>
        <v>14.559</v>
      </c>
      <c r="AI10" s="193">
        <f t="shared" si="13"/>
        <v>17.012</v>
      </c>
      <c r="AJ10" s="73">
        <f t="shared" si="14"/>
        <v>16.94819628</v>
      </c>
      <c r="AK10" s="73">
        <f t="shared" si="15"/>
        <v>11.12313987</v>
      </c>
      <c r="AL10" s="2"/>
      <c r="AM10" s="51">
        <f t="shared" si="16"/>
        <v>0.004771</v>
      </c>
      <c r="AN10" s="51" t="str">
        <f t="array" ref="AN10">XLOOKUP(D10,RUC!$B$3:$B$565,RUC!$M$3:$M$565)</f>
        <v>Ronald Miranda</v>
      </c>
      <c r="AO10" s="131" t="s">
        <v>549</v>
      </c>
      <c r="AP10" s="2" t="s">
        <v>3210</v>
      </c>
      <c r="AQ10" s="2" t="s">
        <v>3211</v>
      </c>
      <c r="AR10" s="2"/>
      <c r="AS10" s="2"/>
      <c r="AT10" s="2"/>
      <c r="AU10" s="2"/>
      <c r="AV10" s="160" t="s">
        <v>551</v>
      </c>
      <c r="AW10" s="6">
        <f t="shared" si="20"/>
        <v>166.702</v>
      </c>
      <c r="AX10" s="6">
        <f t="array" ref="AX10">+SUMPRODUCT(IF($AO$4:$AO$417=AV10,$L$4:$L$417*$K$4:$K$417/AW10))</f>
        <v>0.2333176087</v>
      </c>
      <c r="AY10" s="145">
        <f t="shared" si="21"/>
        <v>0.6263966478</v>
      </c>
      <c r="AZ10" s="58">
        <f t="array" ref="AZ10">+SUMPRODUCT(IF($AO$4:$AO$417=AV10,($Q$4:$Q$417*$AH$4:$AH$417)/SUMIF($AO$4:$AO$417,$AV10,$AH$4:$AH$417)))</f>
        <v>92.16943968</v>
      </c>
      <c r="BA10" s="5">
        <f t="shared" si="22"/>
        <v>1333.513437</v>
      </c>
      <c r="BB10" s="65">
        <f t="shared" si="23"/>
        <v>1219.296</v>
      </c>
      <c r="BC10" s="58">
        <f t="shared" ref="BC10:BC18" si="24">+BC9+BA10-BB10</f>
        <v>190.4536119</v>
      </c>
      <c r="BD10" s="161">
        <f t="shared" ref="BD10:BD18" si="25">+BD9+AW10</f>
        <v>331.672</v>
      </c>
      <c r="BE10" s="2"/>
    </row>
    <row r="11" ht="15.0" customHeight="1">
      <c r="A11" s="116" t="s">
        <v>3576</v>
      </c>
      <c r="B11" s="182">
        <v>46071.0</v>
      </c>
      <c r="C11" s="182">
        <v>46058.0</v>
      </c>
      <c r="D11" s="2" t="s">
        <v>225</v>
      </c>
      <c r="E11" s="3">
        <f t="array" ref="E11">XLOOKUP(D11,RUC!$B$3:$B$110,RUC!$D$3:$D$110)</f>
        <v>10761932735</v>
      </c>
      <c r="F11" s="2"/>
      <c r="G11" s="3" t="s">
        <v>735</v>
      </c>
      <c r="H11" s="3" t="s">
        <v>47</v>
      </c>
      <c r="I11" s="6">
        <v>36.0</v>
      </c>
      <c r="J11" s="58">
        <v>7.45</v>
      </c>
      <c r="K11" s="6">
        <f t="shared" si="2"/>
        <v>33.318</v>
      </c>
      <c r="L11" s="139">
        <v>0.131</v>
      </c>
      <c r="M11" s="60">
        <f t="shared" si="3"/>
        <v>0.112</v>
      </c>
      <c r="N11" s="75">
        <v>0.166</v>
      </c>
      <c r="O11" s="60">
        <f t="shared" si="5"/>
        <v>0.139</v>
      </c>
      <c r="P11" s="63">
        <v>80.0</v>
      </c>
      <c r="Q11" s="58">
        <v>99.24</v>
      </c>
      <c r="R11" s="65">
        <v>4847.25</v>
      </c>
      <c r="S11" s="66">
        <f t="array" ref="S11">IF((XLOOKUP(D11,RUC!$B$3:$B$106,RUC!$E$3:$E$106)+ROUNDDOWN(O11,1)*100)&lt;95,95,((XLOOKUP(D11,RUC!$B$3:$B$106,RUC!$E$3:$E$106)+ROUNDDOWN(O11,1)*100)))</f>
        <v>100</v>
      </c>
      <c r="T11" s="2"/>
      <c r="U11" s="67">
        <f t="array" ref="U11">XLOOKUP(D11,RUC!$B$3:$B$110,RUC!$F$3:$F$110)</f>
        <v>120</v>
      </c>
      <c r="V11" s="67">
        <v>1.1023</v>
      </c>
      <c r="W11" s="2"/>
      <c r="X11" s="2"/>
      <c r="Y11" s="199">
        <v>40.0</v>
      </c>
      <c r="Z11" s="69">
        <f t="array" ref="Z11">XLOOKUP(D11,RUC!$B$3:$B$110,RUC!$H$3:$H$110)</f>
        <v>30</v>
      </c>
      <c r="AA11" s="70">
        <f t="shared" si="6"/>
        <v>70</v>
      </c>
      <c r="AB11" s="71">
        <f t="shared" ref="AB11:AB15" si="26">+((O11*P11*(R11-U11)/100)-S11-AA11+T11)*V11</f>
        <v>392.0552615</v>
      </c>
      <c r="AC11" s="71">
        <f>+(S11-T11)*V11-'data 1'!$F$4</f>
        <v>30.23</v>
      </c>
      <c r="AD11" s="71">
        <f t="shared" si="8"/>
        <v>131.3362891</v>
      </c>
      <c r="AE11" s="71">
        <f t="shared" si="9"/>
        <v>7.161</v>
      </c>
      <c r="AF11" s="71">
        <f t="shared" si="10"/>
        <v>-41.36996186</v>
      </c>
      <c r="AG11" s="72">
        <f t="shared" ref="AG11:AG15" si="27">AC11+AD11+AE11+AF11+70-53</f>
        <v>144.3573273</v>
      </c>
      <c r="AH11" s="193">
        <f t="shared" si="12"/>
        <v>148.507</v>
      </c>
      <c r="AI11" s="193">
        <f t="shared" si="13"/>
        <v>149.644</v>
      </c>
      <c r="AJ11" s="73">
        <f t="shared" si="14"/>
        <v>24.75574011</v>
      </c>
      <c r="AK11" s="73">
        <f t="shared" si="15"/>
        <v>127.0260462</v>
      </c>
      <c r="AL11" s="2"/>
      <c r="AM11" s="51">
        <f t="shared" si="16"/>
        <v>13062.4972</v>
      </c>
      <c r="AN11" s="51" t="str">
        <f t="array" ref="AN11">XLOOKUP(D11,RUC!$B$3:$B$565,RUC!$M$3:$M$565)</f>
        <v>Richard Sapacayo</v>
      </c>
      <c r="AO11" s="131" t="s">
        <v>558</v>
      </c>
      <c r="AP11" s="2" t="s">
        <v>3577</v>
      </c>
      <c r="AQ11" s="2" t="s">
        <v>3578</v>
      </c>
      <c r="AR11" s="2"/>
      <c r="AS11" s="2"/>
      <c r="AT11" s="2"/>
      <c r="AU11" s="2"/>
      <c r="AV11" s="160" t="s">
        <v>547</v>
      </c>
      <c r="AW11" s="6">
        <f t="shared" si="20"/>
        <v>153.843</v>
      </c>
      <c r="AX11" s="6">
        <f t="array" ref="AX11">+SUMPRODUCT(IF($AO$4:$AO$417=AV11,$L$4:$L$417*$K$4:$K$417/AW11))</f>
        <v>0.2426759489</v>
      </c>
      <c r="AY11" s="145">
        <f t="shared" si="21"/>
        <v>0.5127359226</v>
      </c>
      <c r="AZ11" s="58">
        <f t="array" ref="AZ11">+SUMPRODUCT(IF($AO$4:$AO$417=AV11,($Q$4:$Q$417*$AH$4:$AH$417)/SUMIF($AO$4:$AO$417,$AV11,$AH$4:$AH$417)))</f>
        <v>93.8374857</v>
      </c>
      <c r="BA11" s="65">
        <f t="shared" si="22"/>
        <v>1280.01054</v>
      </c>
      <c r="BB11" s="65">
        <f t="shared" si="23"/>
        <v>1194.593</v>
      </c>
      <c r="BC11" s="58">
        <f t="shared" si="24"/>
        <v>275.8711522</v>
      </c>
      <c r="BD11" s="161">
        <f t="shared" si="25"/>
        <v>485.515</v>
      </c>
      <c r="BE11" s="2"/>
    </row>
    <row r="12" ht="15.0" customHeight="1">
      <c r="A12" s="116" t="s">
        <v>3579</v>
      </c>
      <c r="B12" s="182">
        <v>46066.0</v>
      </c>
      <c r="C12" s="182">
        <v>46058.0</v>
      </c>
      <c r="D12" s="2" t="s">
        <v>225</v>
      </c>
      <c r="E12" s="3">
        <f t="array" ref="E12">XLOOKUP(D12,RUC!$B$3:$B$110,RUC!$D$3:$D$110)</f>
        <v>10761932735</v>
      </c>
      <c r="F12" s="2"/>
      <c r="G12" s="3">
        <v>150.0</v>
      </c>
      <c r="H12" s="3" t="s">
        <v>47</v>
      </c>
      <c r="I12" s="6">
        <v>10.29</v>
      </c>
      <c r="J12" s="58">
        <v>5.0</v>
      </c>
      <c r="K12" s="6">
        <f t="shared" si="2"/>
        <v>9.776</v>
      </c>
      <c r="L12" s="139">
        <v>0.103</v>
      </c>
      <c r="M12" s="60">
        <f t="shared" si="3"/>
        <v>0.084</v>
      </c>
      <c r="N12" s="75">
        <v>0.142</v>
      </c>
      <c r="O12" s="60">
        <f t="shared" si="5"/>
        <v>0.113</v>
      </c>
      <c r="P12" s="63">
        <v>80.0</v>
      </c>
      <c r="Q12" s="58">
        <v>96.12</v>
      </c>
      <c r="R12" s="65">
        <v>4847.25</v>
      </c>
      <c r="S12" s="66">
        <f t="array" ref="S12">IF((XLOOKUP(D12,RUC!$B$3:$B$106,RUC!$E$3:$E$106)+ROUNDDOWN(O12,1)*100)&lt;95,95,((XLOOKUP(D12,RUC!$B$3:$B$106,RUC!$E$3:$E$106)+ROUNDDOWN(O12,1)*100)))</f>
        <v>100</v>
      </c>
      <c r="T12" s="2"/>
      <c r="U12" s="67">
        <f t="array" ref="U12">XLOOKUP(D12,RUC!$B$3:$B$110,RUC!$F$3:$F$110)</f>
        <v>120</v>
      </c>
      <c r="V12" s="67">
        <v>1.1023</v>
      </c>
      <c r="W12" s="2"/>
      <c r="X12" s="2"/>
      <c r="Y12" s="199">
        <v>40.0</v>
      </c>
      <c r="Z12" s="69">
        <f t="array" ref="Z12">XLOOKUP(D12,RUC!$B$3:$B$110,RUC!$H$3:$H$110)</f>
        <v>30</v>
      </c>
      <c r="AA12" s="70">
        <f t="shared" si="6"/>
        <v>70</v>
      </c>
      <c r="AB12" s="71">
        <f t="shared" si="26"/>
        <v>283.6696298</v>
      </c>
      <c r="AC12" s="71">
        <f>+(S12-T12)*V12-'data 1'!$F$4</f>
        <v>30.23</v>
      </c>
      <c r="AD12" s="71">
        <f t="shared" si="8"/>
        <v>86.51883046</v>
      </c>
      <c r="AE12" s="71">
        <f t="shared" si="9"/>
        <v>7.161</v>
      </c>
      <c r="AF12" s="71">
        <f t="shared" si="10"/>
        <v>-50.08666785</v>
      </c>
      <c r="AG12" s="72">
        <f t="shared" si="27"/>
        <v>90.8231626</v>
      </c>
      <c r="AH12" s="193">
        <f t="shared" si="12"/>
        <v>33.183</v>
      </c>
      <c r="AI12" s="193">
        <f t="shared" si="13"/>
        <v>34.523</v>
      </c>
      <c r="AJ12" s="73">
        <f t="shared" si="14"/>
        <v>18.8524957</v>
      </c>
      <c r="AK12" s="73">
        <f t="shared" si="15"/>
        <v>30.2997254</v>
      </c>
      <c r="AL12" s="2"/>
      <c r="AM12" s="51">
        <f t="shared" si="16"/>
        <v>2773.154301</v>
      </c>
      <c r="AN12" s="51" t="str">
        <f t="array" ref="AN12">XLOOKUP(D12,RUC!$B$3:$B$565,RUC!$M$3:$M$565)</f>
        <v>Richard Sapacayo</v>
      </c>
      <c r="AO12" s="131" t="s">
        <v>547</v>
      </c>
      <c r="AP12" s="2" t="s">
        <v>727</v>
      </c>
      <c r="AQ12" s="2" t="s">
        <v>728</v>
      </c>
      <c r="AR12" s="2"/>
      <c r="AS12" s="2"/>
      <c r="AT12" s="2"/>
      <c r="AU12" s="2"/>
      <c r="AV12" s="160" t="s">
        <v>549</v>
      </c>
      <c r="AW12" s="6">
        <f t="shared" si="20"/>
        <v>140.896</v>
      </c>
      <c r="AX12" s="6">
        <f t="array" ref="AX12">+SUMPRODUCT(IF($AO$4:$AO$417=AV12,$L$4:$L$417*$K$4:$K$417/AW12))</f>
        <v>0.2438683284</v>
      </c>
      <c r="AY12" s="145">
        <f t="shared" si="21"/>
        <v>0.7378460068</v>
      </c>
      <c r="AZ12" s="58">
        <f t="array" ref="AZ12">+SUMPRODUCT(IF($AO$4:$AO$417=AV12,($Q$4:$Q$417*$AH$4:$AH$417)/SUMIF($AO$4:$AO$417,$AV12,$AH$4:$AH$417)))</f>
        <v>91.17527338</v>
      </c>
      <c r="BA12" s="65">
        <f t="shared" si="22"/>
        <v>1178.048402</v>
      </c>
      <c r="BB12" s="65">
        <f t="shared" si="23"/>
        <v>1071</v>
      </c>
      <c r="BC12" s="58">
        <f t="shared" si="24"/>
        <v>382.9195542</v>
      </c>
      <c r="BD12" s="161">
        <f t="shared" si="25"/>
        <v>626.411</v>
      </c>
      <c r="BE12" s="2"/>
    </row>
    <row r="13" ht="15.0" customHeight="1">
      <c r="A13" s="192" t="s">
        <v>3580</v>
      </c>
      <c r="B13" s="182"/>
      <c r="C13" s="182">
        <v>46061.0</v>
      </c>
      <c r="D13" s="2" t="s">
        <v>225</v>
      </c>
      <c r="E13" s="3">
        <f t="array" ref="E13">XLOOKUP(D13,RUC!$B$3:$B$110,RUC!$D$3:$D$110)</f>
        <v>10761932735</v>
      </c>
      <c r="F13" s="2"/>
      <c r="G13" s="3">
        <v>57.0</v>
      </c>
      <c r="H13" s="3" t="s">
        <v>339</v>
      </c>
      <c r="I13" s="6">
        <v>5.11</v>
      </c>
      <c r="J13" s="58">
        <v>19.45</v>
      </c>
      <c r="K13" s="6">
        <f t="shared" si="2"/>
        <v>4.116</v>
      </c>
      <c r="L13" s="139">
        <v>0.104</v>
      </c>
      <c r="M13" s="60">
        <f t="shared" si="3"/>
        <v>0.085</v>
      </c>
      <c r="N13" s="62">
        <f>+M13</f>
        <v>0.085</v>
      </c>
      <c r="O13" s="60">
        <f t="shared" si="5"/>
        <v>0.085</v>
      </c>
      <c r="P13" s="63">
        <v>90.0</v>
      </c>
      <c r="Q13" s="58">
        <v>98.06</v>
      </c>
      <c r="R13" s="65">
        <v>5039.55</v>
      </c>
      <c r="S13" s="66">
        <f t="array" ref="S13">IF((XLOOKUP(D13,RUC!$B$3:$B$106,RUC!$E$3:$E$106)+ROUNDDOWN(O13,1)*100)&lt;95,95,((XLOOKUP(D13,RUC!$B$3:$B$106,RUC!$E$3:$E$106)+ROUNDDOWN(O13,1)*100)))</f>
        <v>95</v>
      </c>
      <c r="T13" s="2"/>
      <c r="U13" s="67">
        <f t="array" ref="U13">XLOOKUP(D13,RUC!$B$3:$B$110,RUC!$F$3:$F$110)</f>
        <v>120</v>
      </c>
      <c r="V13" s="67">
        <v>1.1023</v>
      </c>
      <c r="W13" s="2"/>
      <c r="X13" s="2"/>
      <c r="Y13" s="2">
        <f t="array" ref="Y13">XLOOKUP(D13,RUC!$B$3:$B$110,RUC!$G$3:$G$110)</f>
        <v>20</v>
      </c>
      <c r="Z13" s="69">
        <f t="array" ref="Z13">XLOOKUP(D13,RUC!$B$3:$B$110,RUC!$H$3:$H$110)</f>
        <v>30</v>
      </c>
      <c r="AA13" s="70">
        <f t="shared" si="6"/>
        <v>50</v>
      </c>
      <c r="AB13" s="71">
        <f t="shared" si="26"/>
        <v>255.0122273</v>
      </c>
      <c r="AC13" s="71">
        <f>+(S13-T13)*V13-'data 1'!$F$4</f>
        <v>24.7185</v>
      </c>
      <c r="AD13" s="71">
        <f t="shared" si="8"/>
        <v>45.45624607</v>
      </c>
      <c r="AE13" s="71">
        <f t="shared" si="9"/>
        <v>-14.885</v>
      </c>
      <c r="AF13" s="71">
        <f t="shared" si="10"/>
        <v>101.0347279</v>
      </c>
      <c r="AG13" s="72">
        <f t="shared" si="27"/>
        <v>173.324474</v>
      </c>
      <c r="AH13" s="193">
        <f t="shared" si="12"/>
        <v>14.392</v>
      </c>
      <c r="AI13" s="193">
        <f t="shared" si="13"/>
        <v>14.676</v>
      </c>
      <c r="AJ13" s="73">
        <f t="shared" si="14"/>
        <v>-2.197717151</v>
      </c>
      <c r="AK13" s="73">
        <f t="shared" si="15"/>
        <v>10.79557728</v>
      </c>
      <c r="AL13" s="2"/>
      <c r="AM13" s="51">
        <f t="shared" si="16"/>
        <v>1049.630328</v>
      </c>
      <c r="AN13" s="51" t="str">
        <f t="array" ref="AN13">XLOOKUP(D13,RUC!$B$3:$B$565,RUC!$M$3:$M$565)</f>
        <v>Richard Sapacayo</v>
      </c>
      <c r="AO13" s="131" t="s">
        <v>549</v>
      </c>
      <c r="AP13" s="2" t="s">
        <v>736</v>
      </c>
      <c r="AQ13" s="2" t="s">
        <v>737</v>
      </c>
      <c r="AR13" s="2"/>
      <c r="AS13" s="2"/>
      <c r="AT13" s="2"/>
      <c r="AU13" s="2"/>
      <c r="AV13" s="160" t="s">
        <v>561</v>
      </c>
      <c r="AW13" s="6">
        <f t="shared" si="20"/>
        <v>0</v>
      </c>
      <c r="AX13" s="6">
        <f t="array" ref="AX13">+SUMPRODUCT(IF($AO$4:$AO$417=AV13,$L$4:$L$417*$K$4:$K$417/AW13))</f>
        <v>0</v>
      </c>
      <c r="AY13" s="145">
        <f t="shared" si="21"/>
        <v>0</v>
      </c>
      <c r="AZ13" s="58">
        <f t="array" ref="AZ13">+SUMPRODUCT(IF($AO$4:$AO$417=AV13,($Q$4:$Q$417*$AH$4:$AH$417)/SUMIF($AO$4:$AO$417,$AV13,$AH$4:$AH$417)))</f>
        <v>0</v>
      </c>
      <c r="BA13" s="65">
        <f t="shared" si="22"/>
        <v>0</v>
      </c>
      <c r="BB13" s="65">
        <f t="shared" si="23"/>
        <v>0</v>
      </c>
      <c r="BC13" s="58">
        <f t="shared" si="24"/>
        <v>382.9195542</v>
      </c>
      <c r="BD13" s="161">
        <f t="shared" si="25"/>
        <v>626.411</v>
      </c>
      <c r="BE13" s="2"/>
    </row>
    <row r="14" ht="15.0" customHeight="1">
      <c r="A14" s="116" t="s">
        <v>3581</v>
      </c>
      <c r="B14" s="182">
        <v>46080.0</v>
      </c>
      <c r="C14" s="182">
        <v>46064.0</v>
      </c>
      <c r="D14" s="2" t="s">
        <v>225</v>
      </c>
      <c r="E14" s="3">
        <f t="array" ref="E14">XLOOKUP(D14,RUC!$B$3:$B$110,RUC!$D$3:$D$110)</f>
        <v>10761932735</v>
      </c>
      <c r="F14" s="2"/>
      <c r="G14" s="3" t="s">
        <v>735</v>
      </c>
      <c r="H14" s="3" t="s">
        <v>47</v>
      </c>
      <c r="I14" s="6">
        <v>44.48</v>
      </c>
      <c r="J14" s="58">
        <v>11.33</v>
      </c>
      <c r="K14" s="6">
        <f t="shared" si="2"/>
        <v>39.44</v>
      </c>
      <c r="L14" s="139">
        <v>0.104</v>
      </c>
      <c r="M14" s="60">
        <f t="shared" si="3"/>
        <v>0.085</v>
      </c>
      <c r="N14" s="75">
        <v>0.177</v>
      </c>
      <c r="O14" s="60">
        <f t="shared" si="5"/>
        <v>0.131</v>
      </c>
      <c r="P14" s="63">
        <v>80.0</v>
      </c>
      <c r="Q14" s="58">
        <v>96.35499999999999</v>
      </c>
      <c r="R14" s="65">
        <v>5077.85</v>
      </c>
      <c r="S14" s="66">
        <f t="array" ref="S14">IF((XLOOKUP(D14,RUC!$B$3:$B$106,RUC!$E$3:$E$106)+ROUNDDOWN(O14,1)*100)&lt;95,95,((XLOOKUP(D14,RUC!$B$3:$B$106,RUC!$E$3:$E$106)+ROUNDDOWN(O14,1)*100)))</f>
        <v>100</v>
      </c>
      <c r="T14" s="2"/>
      <c r="U14" s="67">
        <f t="array" ref="U14">XLOOKUP(D14,RUC!$B$3:$B$110,RUC!$F$3:$F$110)</f>
        <v>120</v>
      </c>
      <c r="V14" s="67">
        <v>1.1023</v>
      </c>
      <c r="W14" s="2"/>
      <c r="X14" s="2"/>
      <c r="Y14" s="199">
        <v>40.0</v>
      </c>
      <c r="Z14" s="69">
        <f t="array" ref="Z14">XLOOKUP(D14,RUC!$B$3:$B$110,RUC!$H$3:$H$110)</f>
        <v>30</v>
      </c>
      <c r="AA14" s="70">
        <f t="shared" si="6"/>
        <v>70</v>
      </c>
      <c r="AB14" s="71">
        <f t="shared" si="26"/>
        <v>385.3449882</v>
      </c>
      <c r="AC14" s="71">
        <f>+(S14-T14)*V14-'data 1'!$F$4</f>
        <v>30.23</v>
      </c>
      <c r="AD14" s="71">
        <f t="shared" si="8"/>
        <v>92.95592529</v>
      </c>
      <c r="AE14" s="71">
        <f t="shared" si="9"/>
        <v>7.161</v>
      </c>
      <c r="AF14" s="71">
        <f t="shared" si="10"/>
        <v>-142.1776103</v>
      </c>
      <c r="AG14" s="72">
        <f t="shared" si="27"/>
        <v>5.169315002</v>
      </c>
      <c r="AH14" s="193">
        <f t="shared" si="12"/>
        <v>135.504</v>
      </c>
      <c r="AI14" s="193">
        <f t="shared" si="13"/>
        <v>140.63</v>
      </c>
      <c r="AJ14" s="73">
        <f t="shared" si="14"/>
        <v>-6.390145777</v>
      </c>
      <c r="AK14" s="73">
        <f t="shared" si="15"/>
        <v>141.7122059</v>
      </c>
      <c r="AL14" s="2"/>
      <c r="AM14" s="51">
        <f t="shared" si="16"/>
        <v>15198.00633</v>
      </c>
      <c r="AN14" s="51" t="str">
        <f t="array" ref="AN14">XLOOKUP(D14,RUC!$B$3:$B$565,RUC!$M$3:$M$565)</f>
        <v>Richard Sapacayo</v>
      </c>
      <c r="AO14" s="131" t="s">
        <v>558</v>
      </c>
      <c r="AP14" s="2" t="s">
        <v>2033</v>
      </c>
      <c r="AQ14" s="2" t="s">
        <v>1903</v>
      </c>
      <c r="AR14" s="2"/>
      <c r="AS14" s="2"/>
      <c r="AT14" s="2"/>
      <c r="AU14" s="2"/>
      <c r="AV14" s="160" t="s">
        <v>689</v>
      </c>
      <c r="AW14" s="6">
        <f t="shared" si="20"/>
        <v>0</v>
      </c>
      <c r="AX14" s="6">
        <f t="array" ref="AX14">+SUMPRODUCT(IF($AO$4:$AO$417=AV14,$L$4:$L$417*$K$4:$K$417/AW14))</f>
        <v>0</v>
      </c>
      <c r="AY14" s="145">
        <f t="shared" si="21"/>
        <v>0</v>
      </c>
      <c r="AZ14" s="58">
        <f t="array" ref="AZ14">+SUMPRODUCT(IF('42'!$AO$4:$AO$309=AV14,('42'!$Q$4:$Q$309*'42'!$AH$4:$AH$309)/SUMIF('42'!$AO$4:$AO$309,#REF!,'42'!$AH$4:$AH$309)))</f>
        <v>0</v>
      </c>
      <c r="BA14" s="65">
        <f t="shared" si="22"/>
        <v>0</v>
      </c>
      <c r="BB14" s="65">
        <f t="shared" si="23"/>
        <v>0</v>
      </c>
      <c r="BC14" s="58">
        <f t="shared" si="24"/>
        <v>382.9195542</v>
      </c>
      <c r="BD14" s="161">
        <f t="shared" si="25"/>
        <v>626.411</v>
      </c>
      <c r="BE14" s="2"/>
    </row>
    <row r="15" ht="15.0" customHeight="1">
      <c r="A15" s="192" t="s">
        <v>3582</v>
      </c>
      <c r="B15" s="182"/>
      <c r="C15" s="182">
        <v>46067.0</v>
      </c>
      <c r="D15" s="2" t="s">
        <v>2786</v>
      </c>
      <c r="E15" s="3" t="str">
        <f t="array" ref="E15">XLOOKUP(D15,RUC!$B$3:$B$110,RUC!$D$3:$D$110)</f>
        <v>20614284740*</v>
      </c>
      <c r="F15" s="2"/>
      <c r="G15" s="141">
        <v>83.0</v>
      </c>
      <c r="H15" s="3" t="s">
        <v>47</v>
      </c>
      <c r="I15" s="6">
        <v>6.91</v>
      </c>
      <c r="J15" s="58">
        <v>2.2</v>
      </c>
      <c r="K15" s="6">
        <f t="shared" si="2"/>
        <v>6.758</v>
      </c>
      <c r="L15" s="139">
        <v>0.079</v>
      </c>
      <c r="M15" s="60">
        <f t="shared" si="3"/>
        <v>0.06</v>
      </c>
      <c r="N15" s="62">
        <f t="shared" ref="N15:N17" si="28">+M15</f>
        <v>0.06</v>
      </c>
      <c r="O15" s="60">
        <f t="shared" si="5"/>
        <v>0.06</v>
      </c>
      <c r="P15" s="63">
        <v>90.0</v>
      </c>
      <c r="Q15" s="58">
        <v>96.83500000000001</v>
      </c>
      <c r="R15" s="65">
        <v>4994.95</v>
      </c>
      <c r="S15" s="66">
        <f t="array" ref="S15">IF((XLOOKUP(D15,RUC!$B$3:$B$106,RUC!$E$3:$E$106)+ROUNDDOWN(O15,1)*100)&lt;95,95,((XLOOKUP(D15,RUC!$B$3:$B$106,RUC!$E$3:$E$106)+ROUNDDOWN(O15,1)*100)))</f>
        <v>95</v>
      </c>
      <c r="T15" s="2"/>
      <c r="U15" s="67">
        <f t="array" ref="U15">XLOOKUP(D15,RUC!$B$3:$B$110,RUC!$F$3:$F$110)</f>
        <v>110</v>
      </c>
      <c r="V15" s="67">
        <v>1.1023</v>
      </c>
      <c r="W15" s="2"/>
      <c r="X15" s="2"/>
      <c r="Y15" s="2">
        <f t="array" ref="Y15">XLOOKUP(D15,RUC!$B$3:$B$110,RUC!$G$3:$G$110)</f>
        <v>0</v>
      </c>
      <c r="Z15" s="69">
        <f t="array" ref="Z15">XLOOKUP(D15,RUC!$B$3:$B$110,RUC!$H$3:$H$110)</f>
        <v>35</v>
      </c>
      <c r="AA15" s="70">
        <f t="shared" si="6"/>
        <v>35</v>
      </c>
      <c r="AB15" s="71">
        <f t="shared" si="26"/>
        <v>147.4737408</v>
      </c>
      <c r="AC15" s="71">
        <f>+(S15-T15)*V15-'data 1'!$F$4</f>
        <v>24.7185</v>
      </c>
      <c r="AD15" s="71">
        <f t="shared" si="8"/>
        <v>29.07538944</v>
      </c>
      <c r="AE15" s="71">
        <f t="shared" si="9"/>
        <v>-31.4195</v>
      </c>
      <c r="AF15" s="71">
        <f t="shared" si="10"/>
        <v>99.07084977</v>
      </c>
      <c r="AG15" s="72">
        <f t="shared" si="27"/>
        <v>138.4452392</v>
      </c>
      <c r="AH15" s="193">
        <f t="shared" si="12"/>
        <v>17.725</v>
      </c>
      <c r="AI15" s="193">
        <f t="shared" si="13"/>
        <v>18.304</v>
      </c>
      <c r="AJ15" s="73">
        <f t="shared" si="14"/>
        <v>1.269099741</v>
      </c>
      <c r="AK15" s="73">
        <f t="shared" si="15"/>
        <v>12.51183523</v>
      </c>
      <c r="AL15" s="2"/>
      <c r="AM15" s="51">
        <f t="shared" si="16"/>
        <v>996.6275403</v>
      </c>
      <c r="AN15" s="122" t="str">
        <f t="array" ref="AN15">XLOOKUP(D15,RUC!$B$3:$B$565,RUC!$M$3:$M$565)</f>
        <v>Robinson Tuya</v>
      </c>
      <c r="AO15" s="131" t="s">
        <v>549</v>
      </c>
      <c r="AP15" s="2" t="s">
        <v>867</v>
      </c>
      <c r="AQ15" s="2" t="s">
        <v>2339</v>
      </c>
      <c r="AR15" s="2"/>
      <c r="AS15" s="2"/>
      <c r="AT15" s="2"/>
      <c r="AU15" s="2"/>
      <c r="AV15" s="160" t="s">
        <v>690</v>
      </c>
      <c r="AW15" s="6">
        <f t="shared" si="20"/>
        <v>0</v>
      </c>
      <c r="AX15" s="6">
        <f t="array" ref="AX15">+SUMPRODUCT(IF($AO$4:$AO$417=AV15,$L$4:$L$417*$K$4:$K$417/AW15))</f>
        <v>0</v>
      </c>
      <c r="AY15" s="145">
        <f t="shared" si="21"/>
        <v>0</v>
      </c>
      <c r="AZ15" s="58">
        <f t="array" ref="AZ15">+SUMPRODUCT(IF('42'!$AO$4:$AO$309=AV15,('42'!$Q$4:$Q$309*'42'!$AH$4:$AH$309)/SUMIF('42'!$AO$4:$AO$309,#REF!,'42'!$AH$4:$AH$309)))</f>
        <v>0</v>
      </c>
      <c r="BA15" s="65">
        <f t="shared" si="22"/>
        <v>0</v>
      </c>
      <c r="BB15" s="65">
        <f t="shared" si="23"/>
        <v>0</v>
      </c>
      <c r="BC15" s="58">
        <f t="shared" si="24"/>
        <v>382.9195542</v>
      </c>
      <c r="BD15" s="161">
        <f t="shared" si="25"/>
        <v>626.411</v>
      </c>
      <c r="BE15" s="2"/>
    </row>
    <row r="16" ht="15.0" customHeight="1">
      <c r="A16" s="192" t="s">
        <v>3583</v>
      </c>
      <c r="B16" s="182">
        <v>46077.0</v>
      </c>
      <c r="C16" s="182">
        <v>46073.0</v>
      </c>
      <c r="D16" s="2" t="s">
        <v>74</v>
      </c>
      <c r="E16" s="3">
        <f t="array" ref="E16">XLOOKUP(D16,RUC!$B$3:$B$110,RUC!$D$3:$D$110)</f>
        <v>10082235774</v>
      </c>
      <c r="F16" s="2"/>
      <c r="G16" s="141">
        <v>74.0</v>
      </c>
      <c r="H16" s="3" t="s">
        <v>47</v>
      </c>
      <c r="I16" s="6">
        <v>6.3</v>
      </c>
      <c r="J16" s="58">
        <v>2.05</v>
      </c>
      <c r="K16" s="6">
        <f t="shared" si="2"/>
        <v>6.171</v>
      </c>
      <c r="L16" s="139">
        <v>0.092</v>
      </c>
      <c r="M16" s="60">
        <f t="shared" si="3"/>
        <v>0.085</v>
      </c>
      <c r="N16" s="62">
        <f t="shared" si="28"/>
        <v>0.085</v>
      </c>
      <c r="O16" s="60">
        <f t="shared" si="5"/>
        <v>0.085</v>
      </c>
      <c r="P16" s="63">
        <v>85.0</v>
      </c>
      <c r="Q16" s="58">
        <v>94.57</v>
      </c>
      <c r="R16" s="65">
        <v>5053.2</v>
      </c>
      <c r="S16" s="133">
        <f t="array" ref="S16">IF((XLOOKUP(D16,RUC!$B$3:$B$106,RUC!$E$3:$E$106)+ROUNDDOWN(O16,1)*100)&lt;95,95,((XLOOKUP(D16,RUC!$B$3:$B$106,RUC!$E$3:$E$106)+ROUNDDOWN(O16,1)*100)))</f>
        <v>95</v>
      </c>
      <c r="T16" s="2"/>
      <c r="U16" s="67">
        <f t="array" ref="U16">XLOOKUP(D16,RUC!$B$3:$B$110,RUC!$F$3:$F$110)</f>
        <v>80</v>
      </c>
      <c r="V16" s="67">
        <v>1.1023</v>
      </c>
      <c r="W16" s="2"/>
      <c r="X16" s="2"/>
      <c r="Y16" s="2" t="str">
        <f t="array" ref="Y16">XLOOKUP(D16,RUC!$B$3:$B$110,RUC!$G$3:$G$110)</f>
        <v/>
      </c>
      <c r="Z16" s="69">
        <f t="array" ref="Z16">XLOOKUP(D16,RUC!$B$3:$B$110,RUC!$H$3:$H$110)</f>
        <v>10</v>
      </c>
      <c r="AA16" s="70">
        <f t="shared" si="6"/>
        <v>10</v>
      </c>
      <c r="AB16" s="71">
        <v>0.001</v>
      </c>
      <c r="AC16" s="71">
        <f>+(S16-T16)*V16-'data 1'!$F$4</f>
        <v>24.7185</v>
      </c>
      <c r="AD16" s="71">
        <f t="shared" si="8"/>
        <v>48.26535418</v>
      </c>
      <c r="AE16" s="71">
        <f t="shared" si="9"/>
        <v>-58.977</v>
      </c>
      <c r="AF16" s="71">
        <f t="shared" si="10"/>
        <v>36.29001615</v>
      </c>
      <c r="AG16" s="72">
        <f>AC16+AD16+AE16+AF16+70+280.33</f>
        <v>400.6268703</v>
      </c>
      <c r="AH16" s="193">
        <f t="shared" si="12"/>
        <v>18.408</v>
      </c>
      <c r="AI16" s="193">
        <f t="shared" si="13"/>
        <v>19.465</v>
      </c>
      <c r="AJ16" s="73">
        <f t="shared" si="14"/>
        <v>-7.020242349</v>
      </c>
      <c r="AK16" s="73">
        <f t="shared" si="15"/>
        <v>15.28630312</v>
      </c>
      <c r="AL16" s="2"/>
      <c r="AM16" s="51">
        <f t="shared" si="16"/>
        <v>0.006171</v>
      </c>
      <c r="AN16" s="51" t="str">
        <f t="array" ref="AN16">XLOOKUP(D16,RUC!$B$3:$B$565,RUC!$M$3:$M$565)</f>
        <v>Melchor Vera</v>
      </c>
      <c r="AO16" s="131" t="s">
        <v>549</v>
      </c>
      <c r="AP16" s="2" t="s">
        <v>3345</v>
      </c>
      <c r="AQ16" s="2" t="s">
        <v>3346</v>
      </c>
      <c r="AR16" s="2"/>
      <c r="AS16" s="2"/>
      <c r="AT16" s="2"/>
      <c r="AU16" s="2"/>
      <c r="AV16" s="160" t="s">
        <v>691</v>
      </c>
      <c r="AW16" s="6">
        <f t="shared" si="20"/>
        <v>0</v>
      </c>
      <c r="AX16" s="6">
        <f t="array" ref="AX16">+SUMPRODUCT(IF($AO$4:$AO$417=AV16,$L$4:$L$417*$K$4:$K$417/AW16))</f>
        <v>0</v>
      </c>
      <c r="AY16" s="145">
        <f t="shared" si="21"/>
        <v>0</v>
      </c>
      <c r="AZ16" s="58">
        <f t="array" ref="AZ16">+SUMPRODUCT(IF('42'!$AO$4:$AO$309=AV16,('42'!$Q$4:$Q$309*'42'!$AH$4:$AH$309)/SUMIF('42'!$AO$4:$AO$309,#REF!,'42'!$AH$4:$AH$309)))</f>
        <v>0</v>
      </c>
      <c r="BA16" s="65">
        <f t="shared" si="22"/>
        <v>0</v>
      </c>
      <c r="BB16" s="65">
        <f t="shared" si="23"/>
        <v>0</v>
      </c>
      <c r="BC16" s="58">
        <f t="shared" si="24"/>
        <v>382.9195542</v>
      </c>
      <c r="BD16" s="161">
        <f t="shared" si="25"/>
        <v>626.411</v>
      </c>
      <c r="BE16" s="2"/>
    </row>
    <row r="17" ht="15.0" customHeight="1">
      <c r="A17" s="116" t="s">
        <v>3584</v>
      </c>
      <c r="B17" s="182">
        <v>46099.0</v>
      </c>
      <c r="C17" s="182">
        <v>46095.0</v>
      </c>
      <c r="D17" s="2" t="s">
        <v>306</v>
      </c>
      <c r="E17" s="3">
        <f t="array" ref="E17">XLOOKUP(D17,RUC!$B$3:$B$110,RUC!$D$3:$D$110)</f>
        <v>20612921866</v>
      </c>
      <c r="F17" s="2"/>
      <c r="G17" s="141">
        <v>28.0</v>
      </c>
      <c r="H17" s="3" t="s">
        <v>47</v>
      </c>
      <c r="I17" s="6">
        <v>2.43</v>
      </c>
      <c r="J17" s="58">
        <v>2.0</v>
      </c>
      <c r="K17" s="6">
        <f t="shared" si="2"/>
        <v>2.381</v>
      </c>
      <c r="L17" s="141">
        <v>0.151</v>
      </c>
      <c r="M17" s="60">
        <f t="shared" si="3"/>
        <v>0.132</v>
      </c>
      <c r="N17" s="62">
        <f t="shared" si="28"/>
        <v>0.132</v>
      </c>
      <c r="O17" s="60">
        <f t="shared" si="5"/>
        <v>0.132</v>
      </c>
      <c r="P17" s="63">
        <v>90.0</v>
      </c>
      <c r="Q17" s="58">
        <v>96.0</v>
      </c>
      <c r="R17" s="65">
        <v>5044.6</v>
      </c>
      <c r="S17" s="66">
        <f t="array" ref="S17">IF((XLOOKUP(D17,RUC!$B$3:$B$106,RUC!$E$3:$E$106)+ROUNDDOWN(O17,1)*100)&lt;95,95,((XLOOKUP(D17,RUC!$B$3:$B$106,RUC!$E$3:$E$106)+ROUNDDOWN(O17,1)*100)))</f>
        <v>95</v>
      </c>
      <c r="T17" s="2"/>
      <c r="U17" s="67">
        <f t="array" ref="U17">XLOOKUP(D17,RUC!$B$3:$B$110,RUC!$F$3:$F$110)</f>
        <v>100</v>
      </c>
      <c r="V17" s="67">
        <v>1.1023</v>
      </c>
      <c r="W17" s="2"/>
      <c r="X17" s="2"/>
      <c r="Y17" s="2" t="str">
        <f t="array" ref="Y17">XLOOKUP(D17,RUC!$B$3:$B$110,RUC!$G$3:$G$110)</f>
        <v/>
      </c>
      <c r="Z17" s="69">
        <f t="array" ref="Z17">XLOOKUP(D17,RUC!$B$3:$B$110,RUC!$H$3:$H$110)</f>
        <v>30</v>
      </c>
      <c r="AA17" s="70">
        <f t="shared" si="6"/>
        <v>30</v>
      </c>
      <c r="AB17" s="71">
        <f t="shared" ref="AB17:AB106" si="29">+((O17*P17*(R17-U17)/100)-S17-AA17+T17)*V17</f>
        <v>509.7238905</v>
      </c>
      <c r="AC17" s="71">
        <f>+(S17-T17)*V17-'data 1'!$F$4</f>
        <v>24.7185</v>
      </c>
      <c r="AD17" s="71">
        <f t="shared" si="8"/>
        <v>49.38091917</v>
      </c>
      <c r="AE17" s="71">
        <f t="shared" si="9"/>
        <v>-36.931</v>
      </c>
      <c r="AF17" s="71">
        <f t="shared" si="10"/>
        <v>99.41589026</v>
      </c>
      <c r="AG17" s="72">
        <f>AC17+AD17+AE17+AF17+70-10</f>
        <v>196.5843094</v>
      </c>
      <c r="AH17" s="193">
        <f t="shared" si="12"/>
        <v>11.834</v>
      </c>
      <c r="AI17" s="193">
        <f t="shared" si="13"/>
        <v>12.327</v>
      </c>
      <c r="AJ17" s="73">
        <f t="shared" si="14"/>
        <v>-7.126607597</v>
      </c>
      <c r="AK17" s="73">
        <f t="shared" si="15"/>
        <v>9.698060863</v>
      </c>
      <c r="AL17" s="2"/>
      <c r="AM17" s="51">
        <f t="shared" si="16"/>
        <v>1213.652583</v>
      </c>
      <c r="AN17" s="51" t="str">
        <f t="array" ref="AN17">XLOOKUP(D17,RUC!$B$3:$B$565,RUC!$M$3:$M$565)</f>
        <v>Ronald Garibay</v>
      </c>
      <c r="AO17" s="131" t="s">
        <v>558</v>
      </c>
      <c r="AP17" s="2" t="s">
        <v>3585</v>
      </c>
      <c r="AQ17" s="2" t="s">
        <v>2120</v>
      </c>
      <c r="AR17" s="2"/>
      <c r="AS17" s="2"/>
      <c r="AT17" s="2"/>
      <c r="AU17" s="2"/>
      <c r="AV17" s="160" t="s">
        <v>692</v>
      </c>
      <c r="AW17" s="6">
        <f t="shared" si="20"/>
        <v>0</v>
      </c>
      <c r="AX17" s="6">
        <f t="array" ref="AX17">+SUMPRODUCT(IF($AO$4:$AO$417=AV17,$L$4:$L$417*$K$4:$K$417/AW17))</f>
        <v>0</v>
      </c>
      <c r="AY17" s="145">
        <f t="shared" si="21"/>
        <v>0</v>
      </c>
      <c r="AZ17" s="58">
        <f t="array" ref="AZ17">+SUMPRODUCT(IF('42'!$AO$4:$AO$309=AV17,('42'!$Q$4:$Q$309*'42'!$AH$4:$AH$309)/SUMIF('42'!$AO$4:$AO$309,#REF!,'42'!$AH$4:$AH$309)))</f>
        <v>0</v>
      </c>
      <c r="BA17" s="65">
        <f t="shared" si="22"/>
        <v>0</v>
      </c>
      <c r="BB17" s="65">
        <f t="shared" si="23"/>
        <v>0</v>
      </c>
      <c r="BC17" s="58">
        <f t="shared" si="24"/>
        <v>382.9195542</v>
      </c>
      <c r="BD17" s="161">
        <f t="shared" si="25"/>
        <v>626.411</v>
      </c>
      <c r="BE17" s="2"/>
    </row>
    <row r="18" ht="15.0" customHeight="1">
      <c r="A18" s="116" t="s">
        <v>3586</v>
      </c>
      <c r="B18" s="182">
        <v>46102.0</v>
      </c>
      <c r="C18" s="182">
        <v>46098.0</v>
      </c>
      <c r="D18" s="2" t="s">
        <v>2011</v>
      </c>
      <c r="E18" s="3">
        <f t="array" ref="E18">XLOOKUP(D18,RUC!$B$3:$B$110,RUC!$D$3:$D$110)</f>
        <v>20535021563</v>
      </c>
      <c r="F18" s="2"/>
      <c r="G18" s="141" t="s">
        <v>735</v>
      </c>
      <c r="H18" s="3" t="s">
        <v>339</v>
      </c>
      <c r="I18" s="6">
        <v>29.99</v>
      </c>
      <c r="J18" s="58">
        <v>5.15</v>
      </c>
      <c r="K18" s="6">
        <f t="shared" si="2"/>
        <v>28.446</v>
      </c>
      <c r="L18" s="139">
        <v>0.1</v>
      </c>
      <c r="M18" s="60">
        <f t="shared" si="3"/>
        <v>0.081</v>
      </c>
      <c r="N18" s="75">
        <v>0.119</v>
      </c>
      <c r="O18" s="60">
        <f t="shared" si="5"/>
        <v>0.1</v>
      </c>
      <c r="P18" s="63">
        <v>70.0</v>
      </c>
      <c r="Q18" s="58">
        <v>92.0</v>
      </c>
      <c r="R18" s="65">
        <v>5016.8</v>
      </c>
      <c r="S18" s="133">
        <v>110.0</v>
      </c>
      <c r="T18" s="2"/>
      <c r="U18" s="67">
        <f t="array" ref="U18">XLOOKUP(D18,RUC!$B$3:$B$110,RUC!$F$3:$F$110)</f>
        <v>100</v>
      </c>
      <c r="V18" s="67">
        <v>1.1023</v>
      </c>
      <c r="W18" s="2"/>
      <c r="X18" s="2"/>
      <c r="Y18" s="2" t="str">
        <f t="array" ref="Y18">XLOOKUP(D18,RUC!$B$3:$B$110,RUC!$G$3:$G$110)</f>
        <v/>
      </c>
      <c r="Z18" s="140">
        <v>100.0</v>
      </c>
      <c r="AA18" s="70">
        <f t="shared" si="6"/>
        <v>100</v>
      </c>
      <c r="AB18" s="71">
        <f t="shared" si="29"/>
        <v>147.9022048</v>
      </c>
      <c r="AC18" s="71">
        <f>+(S18-T18)*V18-'data 1'!$F$4</f>
        <v>41.253</v>
      </c>
      <c r="AD18" s="71">
        <f t="shared" si="8"/>
        <v>119.2353501</v>
      </c>
      <c r="AE18" s="71">
        <f t="shared" si="9"/>
        <v>40.23</v>
      </c>
      <c r="AF18" s="71">
        <f t="shared" si="10"/>
        <v>0</v>
      </c>
      <c r="AG18" s="72">
        <f t="shared" ref="AG18:AG29" si="30">AC18+AD18+AE18+AF18+70-53</f>
        <v>217.7183501</v>
      </c>
      <c r="AH18" s="193">
        <f t="shared" si="12"/>
        <v>89.726</v>
      </c>
      <c r="AI18" s="193">
        <f t="shared" si="13"/>
        <v>97.528</v>
      </c>
      <c r="AJ18" s="73">
        <f t="shared" si="14"/>
        <v>-1.70371488</v>
      </c>
      <c r="AK18" s="73">
        <f t="shared" si="15"/>
        <v>68.26975039</v>
      </c>
      <c r="AL18" s="2"/>
      <c r="AM18" s="51">
        <f t="shared" si="16"/>
        <v>4207.226118</v>
      </c>
      <c r="AN18" s="51" t="str">
        <f t="array" ref="AN18">XLOOKUP(D18,RUC!$B$3:$B$565,RUC!$M$3:$M$565)</f>
        <v>Alfred Torres  *</v>
      </c>
      <c r="AO18" s="131" t="s">
        <v>549</v>
      </c>
      <c r="AP18" s="2" t="s">
        <v>3587</v>
      </c>
      <c r="AQ18" s="2" t="s">
        <v>3588</v>
      </c>
      <c r="AR18" s="2"/>
      <c r="AS18" s="2"/>
      <c r="AT18" s="2"/>
      <c r="AU18" s="2"/>
      <c r="AV18" s="163" t="s">
        <v>693</v>
      </c>
      <c r="AW18" s="165">
        <f t="shared" si="20"/>
        <v>0</v>
      </c>
      <c r="AX18" s="165">
        <f t="array" ref="AX18">+SUMPRODUCT(IF('42'!$AO$4:$AO$309=AV18,'42'!$L$4:$L$309*'42'!$K$4:$K$309/AW18))</f>
        <v>0</v>
      </c>
      <c r="AY18" s="166">
        <f t="shared" si="21"/>
        <v>0</v>
      </c>
      <c r="AZ18" s="168">
        <f t="array" ref="AZ18">+SUMPRODUCT(IF('42'!$AO$4:$AO$309=AV18,('42'!$Q$4:$Q$309*'42'!$AH$4:$AH$309)/SUMIF('42'!$AO$4:$AO$309,#REF!,'42'!$AH$4:$AH$309)))</f>
        <v>0</v>
      </c>
      <c r="BA18" s="167">
        <f t="shared" si="22"/>
        <v>0</v>
      </c>
      <c r="BB18" s="167">
        <f>SUMIF($AO$4:$AO$6,$AV18,$AH$4:$AH$6)</f>
        <v>0</v>
      </c>
      <c r="BC18" s="168">
        <f t="shared" si="24"/>
        <v>382.9195542</v>
      </c>
      <c r="BD18" s="169">
        <f t="shared" si="25"/>
        <v>626.411</v>
      </c>
      <c r="BE18" s="2"/>
    </row>
    <row r="19" ht="15.0" customHeight="1">
      <c r="A19" s="116" t="s">
        <v>3589</v>
      </c>
      <c r="B19" s="182">
        <v>46104.0</v>
      </c>
      <c r="C19" s="182">
        <v>46099.0</v>
      </c>
      <c r="D19" s="2" t="s">
        <v>3527</v>
      </c>
      <c r="E19" s="3">
        <f t="array" ref="E19">XLOOKUP(D19,RUC!$B$3:$B$110,RUC!$D$3:$D$110)</f>
        <v>20603162812</v>
      </c>
      <c r="F19" s="2"/>
      <c r="G19" s="141" t="s">
        <v>735</v>
      </c>
      <c r="H19" s="3" t="s">
        <v>47</v>
      </c>
      <c r="I19" s="6">
        <v>10.31</v>
      </c>
      <c r="J19" s="58">
        <v>3.85</v>
      </c>
      <c r="K19" s="6">
        <f t="shared" si="2"/>
        <v>9.913</v>
      </c>
      <c r="L19" s="139">
        <v>0.105</v>
      </c>
      <c r="M19" s="60">
        <f t="shared" si="3"/>
        <v>0.086</v>
      </c>
      <c r="N19" s="75">
        <v>0.153</v>
      </c>
      <c r="O19" s="60">
        <f t="shared" si="5"/>
        <v>0.12</v>
      </c>
      <c r="P19" s="63">
        <v>80.0</v>
      </c>
      <c r="Q19" s="58">
        <v>98.1</v>
      </c>
      <c r="R19" s="65">
        <v>4869.95</v>
      </c>
      <c r="S19" s="66">
        <f t="array" ref="S19">IF((XLOOKUP(D19,RUC!$B$3:$B$106,RUC!$E$3:$E$106)+ROUNDDOWN(O19,1)*100)&lt;95,95,((XLOOKUP(D19,RUC!$B$3:$B$106,RUC!$E$3:$E$106)+ROUNDDOWN(O19,1)*100)))</f>
        <v>95</v>
      </c>
      <c r="T19" s="2"/>
      <c r="U19" s="67">
        <f t="array" ref="U19">XLOOKUP(D19,RUC!$B$3:$B$110,RUC!$F$3:$F$110)</f>
        <v>110</v>
      </c>
      <c r="V19" s="67">
        <v>1.1023</v>
      </c>
      <c r="W19" s="2"/>
      <c r="X19" s="2"/>
      <c r="Y19" s="199">
        <v>20.0</v>
      </c>
      <c r="Z19" s="69">
        <f t="array" ref="Z19">XLOOKUP(D19,RUC!$B$3:$B$110,RUC!$H$3:$H$110)</f>
        <v>35</v>
      </c>
      <c r="AA19" s="70">
        <f t="shared" si="6"/>
        <v>55</v>
      </c>
      <c r="AB19" s="71">
        <f t="shared" si="29"/>
        <v>338.356717</v>
      </c>
      <c r="AC19" s="71">
        <f>+(S19-T19)*V19-'data 1'!$F$4</f>
        <v>24.7185</v>
      </c>
      <c r="AD19" s="71">
        <f t="shared" si="8"/>
        <v>99.71719928</v>
      </c>
      <c r="AE19" s="71">
        <f t="shared" si="9"/>
        <v>-9.3735</v>
      </c>
      <c r="AF19" s="71">
        <f t="shared" si="10"/>
        <v>-77.2080288</v>
      </c>
      <c r="AG19" s="72">
        <f t="shared" si="30"/>
        <v>54.85417048</v>
      </c>
      <c r="AH19" s="193">
        <f t="shared" si="12"/>
        <v>35.008</v>
      </c>
      <c r="AI19" s="193">
        <f t="shared" si="13"/>
        <v>35.686</v>
      </c>
      <c r="AJ19" s="73">
        <f t="shared" si="14"/>
        <v>15.90161473</v>
      </c>
      <c r="AK19" s="73">
        <f t="shared" si="15"/>
        <v>32.62762097</v>
      </c>
      <c r="AL19" s="2"/>
      <c r="AM19" s="51">
        <f t="shared" si="16"/>
        <v>3354.130135</v>
      </c>
      <c r="AN19" s="51" t="str">
        <f t="array" ref="AN19">XLOOKUP(D19,RUC!$B$3:$B$565,RUC!$M$3:$M$565)</f>
        <v>Robinson Tuya</v>
      </c>
      <c r="AO19" s="131" t="s">
        <v>551</v>
      </c>
      <c r="AP19" s="2" t="s">
        <v>2594</v>
      </c>
      <c r="AQ19" s="2" t="s">
        <v>624</v>
      </c>
      <c r="AR19" s="2"/>
      <c r="AS19" s="2"/>
      <c r="AT19" s="2"/>
      <c r="AU19" s="2"/>
      <c r="AV19" s="2"/>
      <c r="AW19" s="6"/>
      <c r="AX19" s="6"/>
      <c r="AY19" s="145"/>
      <c r="AZ19" s="58"/>
      <c r="BA19" s="65"/>
      <c r="BB19" s="65"/>
      <c r="BC19" s="58"/>
      <c r="BD19" s="65"/>
      <c r="BE19" s="2"/>
    </row>
    <row r="20" ht="15.0" customHeight="1">
      <c r="A20" s="116" t="s">
        <v>3590</v>
      </c>
      <c r="B20" s="182">
        <v>46107.0</v>
      </c>
      <c r="C20" s="182">
        <v>46100.0</v>
      </c>
      <c r="D20" s="2" t="s">
        <v>806</v>
      </c>
      <c r="E20" s="3">
        <f t="array" ref="E20">XLOOKUP(D20,RUC!$B$3:$B$110,RUC!$D$3:$D$110)</f>
        <v>20614284740</v>
      </c>
      <c r="F20" s="2"/>
      <c r="G20" s="141" t="s">
        <v>735</v>
      </c>
      <c r="H20" s="3" t="s">
        <v>47</v>
      </c>
      <c r="I20" s="6">
        <v>1.71</v>
      </c>
      <c r="J20" s="58">
        <v>3.4</v>
      </c>
      <c r="K20" s="6">
        <f t="shared" si="2"/>
        <v>1.652</v>
      </c>
      <c r="L20" s="60">
        <v>0.142</v>
      </c>
      <c r="M20" s="60">
        <f t="shared" si="3"/>
        <v>0.123</v>
      </c>
      <c r="N20" s="62">
        <f t="shared" ref="N20:N23" si="31">+M20</f>
        <v>0.123</v>
      </c>
      <c r="O20" s="60">
        <f t="shared" si="5"/>
        <v>0.123</v>
      </c>
      <c r="P20" s="63">
        <v>80.0</v>
      </c>
      <c r="Q20" s="58">
        <v>95.07</v>
      </c>
      <c r="R20" s="65">
        <v>4600.35</v>
      </c>
      <c r="S20" s="66">
        <f t="array" ref="S20">IF((XLOOKUP(D20,RUC!$B$3:$B$106,RUC!$E$3:$E$106)+ROUNDDOWN(O20,1)*100)&lt;95,95,((XLOOKUP(D20,RUC!$B$3:$B$106,RUC!$E$3:$E$106)+ROUNDDOWN(O20,1)*100)))</f>
        <v>100</v>
      </c>
      <c r="T20" s="2"/>
      <c r="U20" s="67">
        <f t="array" ref="U20">XLOOKUP(D20,RUC!$B$3:$B$110,RUC!$F$3:$F$110)</f>
        <v>120</v>
      </c>
      <c r="V20" s="67">
        <v>1.1023</v>
      </c>
      <c r="W20" s="2"/>
      <c r="X20" s="2"/>
      <c r="Y20" s="2">
        <f t="array" ref="Y20">XLOOKUP(D20,RUC!$B$3:$B$110,RUC!$G$3:$G$110)</f>
        <v>20</v>
      </c>
      <c r="Z20" s="69">
        <f t="array" ref="Z20">XLOOKUP(D20,RUC!$B$3:$B$110,RUC!$H$3:$H$110)</f>
        <v>30</v>
      </c>
      <c r="AA20" s="70">
        <f t="shared" si="6"/>
        <v>50</v>
      </c>
      <c r="AB20" s="71">
        <f t="shared" si="29"/>
        <v>320.6220768</v>
      </c>
      <c r="AC20" s="71">
        <f>+(S20-T20)*V20-'data 1'!$F$4</f>
        <v>30.23</v>
      </c>
      <c r="AD20" s="71">
        <f t="shared" si="8"/>
        <v>105.6849986</v>
      </c>
      <c r="AE20" s="71">
        <f t="shared" si="9"/>
        <v>-14.885</v>
      </c>
      <c r="AF20" s="71">
        <f t="shared" si="10"/>
        <v>89.20903555</v>
      </c>
      <c r="AG20" s="72">
        <f t="shared" si="30"/>
        <v>227.2390342</v>
      </c>
      <c r="AH20" s="193">
        <f t="shared" si="12"/>
        <v>7.646</v>
      </c>
      <c r="AI20" s="193">
        <f t="shared" si="13"/>
        <v>8.043</v>
      </c>
      <c r="AJ20" s="73">
        <f t="shared" si="14"/>
        <v>62.44804878</v>
      </c>
      <c r="AK20" s="73">
        <f t="shared" si="15"/>
        <v>5.573322968</v>
      </c>
      <c r="AL20" s="2"/>
      <c r="AM20" s="51">
        <f t="shared" si="16"/>
        <v>529.6676709</v>
      </c>
      <c r="AN20" s="51" t="str">
        <f t="array" ref="AN20">XLOOKUP(D20,RUC!$B$3:$B$565,RUC!$M$3:$M$565)</f>
        <v>Dante </v>
      </c>
      <c r="AO20" s="131" t="s">
        <v>547</v>
      </c>
      <c r="AP20" s="2" t="s">
        <v>3543</v>
      </c>
      <c r="AQ20" s="2" t="s">
        <v>3544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ht="15.0" customHeight="1">
      <c r="A21" s="116" t="s">
        <v>3591</v>
      </c>
      <c r="B21" s="182">
        <v>46110.0</v>
      </c>
      <c r="C21" s="182">
        <v>46100.0</v>
      </c>
      <c r="D21" s="2" t="s">
        <v>295</v>
      </c>
      <c r="E21" s="3">
        <f t="array" ref="E21">XLOOKUP(D21,RUC!$B$3:$B$110,RUC!$D$3:$D$110)</f>
        <v>20601769396</v>
      </c>
      <c r="F21" s="2"/>
      <c r="G21" s="141">
        <v>46.0</v>
      </c>
      <c r="H21" s="3" t="s">
        <v>339</v>
      </c>
      <c r="I21" s="6">
        <v>3.67</v>
      </c>
      <c r="J21" s="58">
        <v>14.65</v>
      </c>
      <c r="K21" s="6">
        <f t="shared" si="2"/>
        <v>3.132</v>
      </c>
      <c r="L21" s="60">
        <v>0.145</v>
      </c>
      <c r="M21" s="60">
        <f t="shared" si="3"/>
        <v>0.126</v>
      </c>
      <c r="N21" s="62">
        <f t="shared" si="31"/>
        <v>0.126</v>
      </c>
      <c r="O21" s="60">
        <f t="shared" si="5"/>
        <v>0.126</v>
      </c>
      <c r="P21" s="63">
        <v>80.0</v>
      </c>
      <c r="Q21" s="58">
        <v>95.0</v>
      </c>
      <c r="R21" s="65">
        <v>4600.35</v>
      </c>
      <c r="S21" s="66">
        <f t="array" ref="S21">IF((XLOOKUP(D21,RUC!$B$3:$B$106,RUC!$E$3:$E$106)+ROUNDDOWN(O21,1)*100)&lt;95,95,((XLOOKUP(D21,RUC!$B$3:$B$106,RUC!$E$3:$E$106)+ROUNDDOWN(O21,1)*100)))</f>
        <v>100</v>
      </c>
      <c r="T21" s="2"/>
      <c r="U21" s="67">
        <f t="array" ref="U21">XLOOKUP(D21,RUC!$B$3:$B$110,RUC!$F$3:$F$110)</f>
        <v>120</v>
      </c>
      <c r="V21" s="67">
        <v>1.1023</v>
      </c>
      <c r="W21" s="2"/>
      <c r="X21" s="2"/>
      <c r="Y21" s="2">
        <f t="array" ref="Y21">XLOOKUP(D21,RUC!$B$3:$B$110,RUC!$G$3:$G$110)</f>
        <v>20</v>
      </c>
      <c r="Z21" s="69">
        <f t="array" ref="Z21">XLOOKUP(D21,RUC!$B$3:$B$110,RUC!$H$3:$H$110)</f>
        <v>30</v>
      </c>
      <c r="AA21" s="70">
        <f t="shared" si="6"/>
        <v>50</v>
      </c>
      <c r="AB21" s="71">
        <f t="shared" si="29"/>
        <v>332.4749323</v>
      </c>
      <c r="AC21" s="71">
        <f>+(S21-T21)*V21-'data 1'!$F$4</f>
        <v>30.23</v>
      </c>
      <c r="AD21" s="71">
        <f t="shared" si="8"/>
        <v>107.4165033</v>
      </c>
      <c r="AE21" s="71">
        <f t="shared" si="9"/>
        <v>-14.885</v>
      </c>
      <c r="AF21" s="71">
        <f t="shared" si="10"/>
        <v>89.14335098</v>
      </c>
      <c r="AG21" s="72">
        <f t="shared" si="30"/>
        <v>228.9048542</v>
      </c>
      <c r="AH21" s="193">
        <f t="shared" si="12"/>
        <v>14.792</v>
      </c>
      <c r="AI21" s="193">
        <f t="shared" si="13"/>
        <v>15.57</v>
      </c>
      <c r="AJ21" s="73">
        <f t="shared" si="14"/>
        <v>63.72042186</v>
      </c>
      <c r="AK21" s="73">
        <f t="shared" si="15"/>
        <v>10.82408901</v>
      </c>
      <c r="AL21" s="2"/>
      <c r="AM21" s="51">
        <f t="shared" si="16"/>
        <v>1041.311488</v>
      </c>
      <c r="AN21" s="51" t="str">
        <f t="array" ref="AN21">XLOOKUP(D21,RUC!$B$3:$B$565,RUC!$M$3:$M$565)</f>
        <v>Evelyn</v>
      </c>
      <c r="AO21" s="131" t="s">
        <v>547</v>
      </c>
      <c r="AP21" s="2" t="s">
        <v>3546</v>
      </c>
      <c r="AQ21" s="2" t="s">
        <v>1989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ht="15.0" customHeight="1">
      <c r="A22" s="116" t="s">
        <v>3592</v>
      </c>
      <c r="B22" s="182">
        <v>46110.0</v>
      </c>
      <c r="C22" s="182">
        <v>46100.0</v>
      </c>
      <c r="D22" s="2" t="s">
        <v>295</v>
      </c>
      <c r="E22" s="3">
        <f t="array" ref="E22">XLOOKUP(D22,RUC!$B$3:$B$110,RUC!$D$3:$D$110)</f>
        <v>20601769396</v>
      </c>
      <c r="F22" s="2"/>
      <c r="G22" s="141">
        <v>38.0</v>
      </c>
      <c r="H22" s="3" t="s">
        <v>339</v>
      </c>
      <c r="I22" s="6">
        <v>3.15</v>
      </c>
      <c r="J22" s="58">
        <v>14.73</v>
      </c>
      <c r="K22" s="6">
        <f t="shared" si="2"/>
        <v>2.686</v>
      </c>
      <c r="L22" s="60">
        <v>0.165</v>
      </c>
      <c r="M22" s="60">
        <f t="shared" si="3"/>
        <v>0.146</v>
      </c>
      <c r="N22" s="62">
        <f t="shared" si="31"/>
        <v>0.146</v>
      </c>
      <c r="O22" s="60">
        <f t="shared" si="5"/>
        <v>0.146</v>
      </c>
      <c r="P22" s="63">
        <v>80.0</v>
      </c>
      <c r="Q22" s="58">
        <v>92.95</v>
      </c>
      <c r="R22" s="65">
        <v>4600.35</v>
      </c>
      <c r="S22" s="66">
        <f t="array" ref="S22">IF((XLOOKUP(D22,RUC!$B$3:$B$106,RUC!$E$3:$E$106)+ROUNDDOWN(O22,1)*100)&lt;95,95,((XLOOKUP(D22,RUC!$B$3:$B$106,RUC!$E$3:$E$106)+ROUNDDOWN(O22,1)*100)))</f>
        <v>100</v>
      </c>
      <c r="T22" s="2"/>
      <c r="U22" s="67">
        <f t="array" ref="U22">XLOOKUP(D22,RUC!$B$3:$B$110,RUC!$F$3:$F$110)</f>
        <v>120</v>
      </c>
      <c r="V22" s="67">
        <v>1.1023</v>
      </c>
      <c r="W22" s="2"/>
      <c r="X22" s="2"/>
      <c r="Y22" s="2">
        <f t="array" ref="Y22">XLOOKUP(D22,RUC!$B$3:$B$110,RUC!$G$3:$G$110)</f>
        <v>20</v>
      </c>
      <c r="Z22" s="69">
        <f t="array" ref="Z22">XLOOKUP(D22,RUC!$B$3:$B$110,RUC!$H$3:$H$110)</f>
        <v>30</v>
      </c>
      <c r="AA22" s="70">
        <f t="shared" si="6"/>
        <v>50</v>
      </c>
      <c r="AB22" s="71">
        <f t="shared" si="29"/>
        <v>411.4939692</v>
      </c>
      <c r="AC22" s="71">
        <f>+(S22-T22)*V22-'data 1'!$F$4</f>
        <v>30.23</v>
      </c>
      <c r="AD22" s="71">
        <f t="shared" si="8"/>
        <v>105.5274544</v>
      </c>
      <c r="AE22" s="71">
        <f t="shared" si="9"/>
        <v>-14.885</v>
      </c>
      <c r="AF22" s="71">
        <f t="shared" si="10"/>
        <v>87.2197313</v>
      </c>
      <c r="AG22" s="72">
        <f t="shared" si="30"/>
        <v>225.0921857</v>
      </c>
      <c r="AH22" s="193">
        <f t="shared" si="12"/>
        <v>14.124</v>
      </c>
      <c r="AI22" s="193">
        <f t="shared" si="13"/>
        <v>15.195</v>
      </c>
      <c r="AJ22" s="73">
        <f t="shared" si="14"/>
        <v>70.94476806</v>
      </c>
      <c r="AK22" s="73">
        <f t="shared" si="15"/>
        <v>10.75617651</v>
      </c>
      <c r="AL22" s="2"/>
      <c r="AM22" s="51">
        <f t="shared" si="16"/>
        <v>1105.272801</v>
      </c>
      <c r="AN22" s="51" t="str">
        <f t="array" ref="AN22">XLOOKUP(D22,RUC!$B$3:$B$565,RUC!$M$3:$M$565)</f>
        <v>Evelyn</v>
      </c>
      <c r="AO22" s="131" t="s">
        <v>547</v>
      </c>
      <c r="AP22" s="2" t="s">
        <v>3546</v>
      </c>
      <c r="AQ22" s="2" t="s">
        <v>1989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ht="15.0" customHeight="1">
      <c r="A23" s="116" t="s">
        <v>3593</v>
      </c>
      <c r="B23" s="182">
        <v>46110.0</v>
      </c>
      <c r="C23" s="182">
        <v>46101.0</v>
      </c>
      <c r="D23" s="2" t="s">
        <v>806</v>
      </c>
      <c r="E23" s="3">
        <f t="array" ref="E23">XLOOKUP(D23,RUC!$B$3:$B$110,RUC!$D$3:$D$110)</f>
        <v>20614284740</v>
      </c>
      <c r="F23" s="2"/>
      <c r="G23" s="141">
        <v>102.0</v>
      </c>
      <c r="H23" s="3" t="s">
        <v>47</v>
      </c>
      <c r="I23" s="6">
        <v>10.16</v>
      </c>
      <c r="J23" s="58">
        <v>2.0</v>
      </c>
      <c r="K23" s="6">
        <f t="shared" si="2"/>
        <v>9.957</v>
      </c>
      <c r="L23" s="60">
        <v>0.188</v>
      </c>
      <c r="M23" s="60">
        <f t="shared" si="3"/>
        <v>0.169</v>
      </c>
      <c r="N23" s="62">
        <f t="shared" si="31"/>
        <v>0.169</v>
      </c>
      <c r="O23" s="60">
        <f t="shared" si="5"/>
        <v>0.169</v>
      </c>
      <c r="P23" s="63">
        <v>72.0</v>
      </c>
      <c r="Q23" s="58">
        <v>72.34</v>
      </c>
      <c r="R23" s="65">
        <v>4562.55</v>
      </c>
      <c r="S23" s="66">
        <f t="array" ref="S23">IF((XLOOKUP(D23,RUC!$B$3:$B$106,RUC!$E$3:$E$106)+ROUNDDOWN(O23,1)*100)&lt;95,95,((XLOOKUP(D23,RUC!$B$3:$B$106,RUC!$E$3:$E$106)+ROUNDDOWN(O23,1)*100)))</f>
        <v>100</v>
      </c>
      <c r="T23" s="2"/>
      <c r="U23" s="67">
        <f t="array" ref="U23">XLOOKUP(D23,RUC!$B$3:$B$110,RUC!$F$3:$F$110)</f>
        <v>120</v>
      </c>
      <c r="V23" s="67">
        <v>1.1023</v>
      </c>
      <c r="W23" s="2"/>
      <c r="X23" s="2"/>
      <c r="Y23" s="2">
        <f t="array" ref="Y23">XLOOKUP(D23,RUC!$B$3:$B$110,RUC!$G$3:$G$110)</f>
        <v>20</v>
      </c>
      <c r="Z23" s="69">
        <f t="array" ref="Z23">XLOOKUP(D23,RUC!$B$3:$B$110,RUC!$H$3:$H$110)</f>
        <v>30</v>
      </c>
      <c r="AA23" s="70">
        <f t="shared" si="6"/>
        <v>50</v>
      </c>
      <c r="AB23" s="71">
        <f t="shared" si="29"/>
        <v>430.5247422</v>
      </c>
      <c r="AC23" s="71">
        <f>+(S23-T23)*V23-'data 1'!$F$4</f>
        <v>30.23</v>
      </c>
      <c r="AD23" s="71">
        <f t="shared" si="8"/>
        <v>3.130177015</v>
      </c>
      <c r="AE23" s="71">
        <f t="shared" si="9"/>
        <v>-14.885</v>
      </c>
      <c r="AF23" s="71">
        <f t="shared" si="10"/>
        <v>67.30762047</v>
      </c>
      <c r="AG23" s="72">
        <f t="shared" si="30"/>
        <v>102.7827975</v>
      </c>
      <c r="AH23" s="193">
        <f t="shared" si="12"/>
        <v>46.427</v>
      </c>
      <c r="AI23" s="193">
        <f t="shared" si="13"/>
        <v>64.179</v>
      </c>
      <c r="AJ23" s="73">
        <f t="shared" si="14"/>
        <v>68.57720696</v>
      </c>
      <c r="AK23" s="73">
        <f t="shared" si="15"/>
        <v>41.5390708</v>
      </c>
      <c r="AL23" s="2"/>
      <c r="AM23" s="51">
        <f t="shared" si="16"/>
        <v>4286.734858</v>
      </c>
      <c r="AN23" s="51" t="str">
        <f t="array" ref="AN23">XLOOKUP(D23,RUC!$B$3:$B$565,RUC!$M$3:$M$565)</f>
        <v>Dante </v>
      </c>
      <c r="AO23" s="131" t="s">
        <v>547</v>
      </c>
      <c r="AP23" s="2" t="s">
        <v>3594</v>
      </c>
      <c r="AQ23" s="2" t="s">
        <v>3595</v>
      </c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14.25" customHeight="1">
      <c r="A24" s="116" t="s">
        <v>3596</v>
      </c>
      <c r="B24" s="182">
        <v>46106.0</v>
      </c>
      <c r="C24" s="182">
        <v>46101.0</v>
      </c>
      <c r="D24" s="2" t="s">
        <v>2166</v>
      </c>
      <c r="E24" s="3">
        <f t="array" ref="E24">XLOOKUP(D24,RUC!$B$3:$B$110,RUC!$D$3:$D$110)</f>
        <v>10408856049</v>
      </c>
      <c r="F24" s="2"/>
      <c r="G24" s="3" t="s">
        <v>735</v>
      </c>
      <c r="H24" s="3" t="s">
        <v>47</v>
      </c>
      <c r="I24" s="6">
        <v>34.73</v>
      </c>
      <c r="J24" s="58">
        <v>11.1</v>
      </c>
      <c r="K24" s="6">
        <f t="shared" si="2"/>
        <v>30.875</v>
      </c>
      <c r="L24" s="60">
        <v>0.176</v>
      </c>
      <c r="M24" s="60">
        <f>+L24-0.035</f>
        <v>0.141</v>
      </c>
      <c r="N24" s="75">
        <v>0.181</v>
      </c>
      <c r="O24" s="60">
        <f t="shared" si="5"/>
        <v>0.161</v>
      </c>
      <c r="P24" s="63">
        <v>85.0</v>
      </c>
      <c r="Q24" s="58">
        <v>85.8</v>
      </c>
      <c r="R24" s="65">
        <v>4562.55</v>
      </c>
      <c r="S24" s="66">
        <f t="array" ref="S24">IF((XLOOKUP(D24,RUC!$B$3:$B$106,RUC!$E$3:$E$106)+ROUNDDOWN(O24,1)*100)&lt;95,95,((XLOOKUP(D24,RUC!$B$3:$B$106,RUC!$E$3:$E$106)+ROUNDDOWN(O24,1)*100)))</f>
        <v>100</v>
      </c>
      <c r="T24" s="2"/>
      <c r="U24" s="67">
        <f t="array" ref="U24">XLOOKUP(D24,RUC!$B$3:$B$110,RUC!$F$3:$F$110)</f>
        <v>120</v>
      </c>
      <c r="V24" s="67">
        <v>1.1023</v>
      </c>
      <c r="W24" s="2"/>
      <c r="X24" s="2"/>
      <c r="Y24" s="77">
        <v>15.5</v>
      </c>
      <c r="Z24" s="69">
        <f t="array" ref="Z24">XLOOKUP(D24,RUC!$B$3:$B$110,RUC!$H$3:$H$110)</f>
        <v>30</v>
      </c>
      <c r="AA24" s="70">
        <f t="shared" si="6"/>
        <v>45.5</v>
      </c>
      <c r="AB24" s="71">
        <f t="shared" si="29"/>
        <v>509.7729291</v>
      </c>
      <c r="AC24" s="71">
        <f>+(S24-T24)*V24-'data 1'!$F$4</f>
        <v>30.23</v>
      </c>
      <c r="AD24" s="71">
        <f t="shared" si="8"/>
        <v>6.895008194</v>
      </c>
      <c r="AE24" s="71">
        <f t="shared" si="9"/>
        <v>-19.84535</v>
      </c>
      <c r="AF24" s="71">
        <f t="shared" si="10"/>
        <v>63.02468427</v>
      </c>
      <c r="AG24" s="72">
        <f t="shared" si="30"/>
        <v>97.30434247</v>
      </c>
      <c r="AH24" s="193">
        <f t="shared" si="12"/>
        <v>159.851</v>
      </c>
      <c r="AI24" s="193">
        <f t="shared" si="13"/>
        <v>186.307</v>
      </c>
      <c r="AJ24" s="73">
        <f t="shared" si="14"/>
        <v>76.14535136</v>
      </c>
      <c r="AK24" s="73">
        <f t="shared" si="15"/>
        <v>144.8641216</v>
      </c>
      <c r="AL24" s="2"/>
      <c r="AM24" s="51">
        <f t="shared" si="16"/>
        <v>15739.23919</v>
      </c>
      <c r="AN24" s="51" t="str">
        <f t="array" ref="AN24">XLOOKUP(D24,RUC!$B$3:$B$565,RUC!$M$3:$M$565)</f>
        <v>Richard Sapacayo</v>
      </c>
      <c r="AO24" s="131" t="s">
        <v>547</v>
      </c>
      <c r="AP24" s="2" t="s">
        <v>3597</v>
      </c>
      <c r="AQ24" s="2" t="s">
        <v>604</v>
      </c>
      <c r="AR24" s="2"/>
      <c r="AS24" s="2"/>
      <c r="AT24" s="2"/>
      <c r="AU24" s="2"/>
      <c r="AV24" s="2"/>
      <c r="AW24" s="2"/>
      <c r="AX24" s="2"/>
      <c r="AY24" s="2"/>
      <c r="AZ24" s="2"/>
      <c r="BA24" s="203"/>
      <c r="BB24" s="2"/>
      <c r="BC24" s="2"/>
      <c r="BD24" s="2"/>
      <c r="BE24" s="2"/>
    </row>
    <row r="25" ht="15.0" customHeight="1">
      <c r="A25" s="116" t="s">
        <v>3598</v>
      </c>
      <c r="B25" s="182">
        <v>46108.0</v>
      </c>
      <c r="C25" s="182">
        <v>46103.0</v>
      </c>
      <c r="D25" s="2" t="s">
        <v>3548</v>
      </c>
      <c r="E25" s="3">
        <f t="array" ref="E25">XLOOKUP(D25,RUC!$B$3:$B$110,RUC!$D$3:$D$110)</f>
        <v>20613105621</v>
      </c>
      <c r="F25" s="2"/>
      <c r="G25" s="141" t="s">
        <v>735</v>
      </c>
      <c r="H25" s="3" t="s">
        <v>47</v>
      </c>
      <c r="I25" s="6">
        <v>18.13</v>
      </c>
      <c r="J25" s="58">
        <v>14.68</v>
      </c>
      <c r="K25" s="6">
        <f t="shared" si="2"/>
        <v>15.469</v>
      </c>
      <c r="L25" s="60">
        <v>0.119</v>
      </c>
      <c r="M25" s="60">
        <f t="shared" ref="M25:M74" si="32">ROUND(+IF(AN25="Melchor Vera",IF(L25&gt;0.467,L25*0.985,(L25-0.007)),IF(L25&gt;0.3,L25*0.94,(L25-0.019))),3)</f>
        <v>0.1</v>
      </c>
      <c r="N25" s="75">
        <v>0.175</v>
      </c>
      <c r="O25" s="60">
        <f t="shared" si="5"/>
        <v>0.138</v>
      </c>
      <c r="P25" s="63">
        <v>80.0</v>
      </c>
      <c r="Q25" s="58">
        <v>96.64</v>
      </c>
      <c r="R25" s="65">
        <v>4466.25</v>
      </c>
      <c r="S25" s="66">
        <f t="array" ref="S25">IF((XLOOKUP(D25,RUC!$B$3:$B$106,RUC!$E$3:$E$106)+ROUNDDOWN(O25,1)*100)&lt;95,95,((XLOOKUP(D25,RUC!$B$3:$B$106,RUC!$E$3:$E$106)+ROUNDDOWN(O25,1)*100)))</f>
        <v>100</v>
      </c>
      <c r="T25" s="2"/>
      <c r="U25" s="67">
        <f t="array" ref="U25">XLOOKUP(D25,RUC!$B$3:$B$110,RUC!$F$3:$F$110)</f>
        <v>120</v>
      </c>
      <c r="V25" s="67">
        <v>1.1023</v>
      </c>
      <c r="W25" s="2"/>
      <c r="X25" s="2"/>
      <c r="Y25" s="2">
        <f t="array" ref="Y25">XLOOKUP(D25,RUC!$B$3:$B$110,RUC!$G$3:$G$110)</f>
        <v>20</v>
      </c>
      <c r="Z25" s="69">
        <f t="array" ref="Z25">XLOOKUP(D25,RUC!$B$3:$B$110,RUC!$H$3:$H$110)</f>
        <v>30</v>
      </c>
      <c r="AA25" s="70">
        <f t="shared" si="6"/>
        <v>50</v>
      </c>
      <c r="AB25" s="71">
        <f t="shared" si="29"/>
        <v>363.5671998</v>
      </c>
      <c r="AC25" s="71">
        <f>+(S25-T25)*V25-'data 1'!$F$4</f>
        <v>30.23</v>
      </c>
      <c r="AD25" s="71">
        <f t="shared" si="8"/>
        <v>94.86691862</v>
      </c>
      <c r="AE25" s="71">
        <f t="shared" si="9"/>
        <v>-14.885</v>
      </c>
      <c r="AF25" s="71">
        <f t="shared" si="10"/>
        <v>-87.96806384</v>
      </c>
      <c r="AG25" s="72">
        <f t="shared" si="30"/>
        <v>39.24385478</v>
      </c>
      <c r="AH25" s="193">
        <f t="shared" si="12"/>
        <v>60.992</v>
      </c>
      <c r="AI25" s="193">
        <f t="shared" si="13"/>
        <v>63.113</v>
      </c>
      <c r="AJ25" s="73">
        <f t="shared" si="14"/>
        <v>70.19681851</v>
      </c>
      <c r="AK25" s="73">
        <f t="shared" si="15"/>
        <v>58.55181772</v>
      </c>
      <c r="AL25" s="2"/>
      <c r="AM25" s="51">
        <f t="shared" si="16"/>
        <v>5624.021014</v>
      </c>
      <c r="AN25" s="51" t="str">
        <f t="array" ref="AN25">XLOOKUP(D25,RUC!$B$3:$B$565,RUC!$M$3:$M$565)</f>
        <v>Richard Sapacayo</v>
      </c>
      <c r="AO25" s="131" t="s">
        <v>558</v>
      </c>
      <c r="AP25" s="2" t="s">
        <v>2167</v>
      </c>
      <c r="AQ25" s="2" t="s">
        <v>737</v>
      </c>
      <c r="AR25" s="2"/>
      <c r="AS25" s="2"/>
      <c r="AT25" s="2"/>
      <c r="AU25" s="2"/>
      <c r="AV25" s="2"/>
      <c r="AW25" s="2"/>
      <c r="AX25" s="2"/>
      <c r="AY25" s="2"/>
      <c r="AZ25" s="2"/>
      <c r="BA25" s="203"/>
      <c r="BB25" s="2"/>
      <c r="BC25" s="2"/>
      <c r="BD25" s="2"/>
      <c r="BE25" s="2"/>
    </row>
    <row r="26" ht="15.0" customHeight="1">
      <c r="A26" s="116" t="s">
        <v>3599</v>
      </c>
      <c r="B26" s="182">
        <v>46108.0</v>
      </c>
      <c r="C26" s="182">
        <v>46103.0</v>
      </c>
      <c r="D26" s="2" t="s">
        <v>3548</v>
      </c>
      <c r="E26" s="3">
        <f t="array" ref="E26">XLOOKUP(D26,RUC!$B$3:$B$110,RUC!$D$3:$D$110)</f>
        <v>20613105621</v>
      </c>
      <c r="F26" s="2"/>
      <c r="G26" s="141">
        <v>108.0</v>
      </c>
      <c r="H26" s="3" t="s">
        <v>47</v>
      </c>
      <c r="I26" s="6">
        <v>4.23</v>
      </c>
      <c r="J26" s="58">
        <v>10.63</v>
      </c>
      <c r="K26" s="6">
        <f t="shared" si="2"/>
        <v>3.78</v>
      </c>
      <c r="L26" s="60">
        <v>0.146</v>
      </c>
      <c r="M26" s="60">
        <f t="shared" si="32"/>
        <v>0.127</v>
      </c>
      <c r="N26" s="62">
        <f>+M26</f>
        <v>0.127</v>
      </c>
      <c r="O26" s="60">
        <f t="shared" si="5"/>
        <v>0.127</v>
      </c>
      <c r="P26" s="63">
        <v>80.0</v>
      </c>
      <c r="Q26" s="58">
        <v>96.58</v>
      </c>
      <c r="R26" s="65">
        <v>4466.25</v>
      </c>
      <c r="S26" s="66">
        <f t="array" ref="S26">IF((XLOOKUP(D26,RUC!$B$3:$B$106,RUC!$E$3:$E$106)+ROUNDDOWN(O26,1)*100)&lt;95,95,((XLOOKUP(D26,RUC!$B$3:$B$106,RUC!$E$3:$E$106)+ROUNDDOWN(O26,1)*100)))</f>
        <v>100</v>
      </c>
      <c r="T26" s="2"/>
      <c r="U26" s="67">
        <f t="array" ref="U26">XLOOKUP(D26,RUC!$B$3:$B$110,RUC!$F$3:$F$110)</f>
        <v>120</v>
      </c>
      <c r="V26" s="67">
        <v>1.1023</v>
      </c>
      <c r="W26" s="2"/>
      <c r="X26" s="2"/>
      <c r="Y26" s="2">
        <f t="array" ref="Y26">XLOOKUP(D26,RUC!$B$3:$B$110,RUC!$G$3:$G$110)</f>
        <v>20</v>
      </c>
      <c r="Z26" s="69">
        <f t="array" ref="Z26">XLOOKUP(D26,RUC!$B$3:$B$110,RUC!$H$3:$H$110)</f>
        <v>30</v>
      </c>
      <c r="AA26" s="70">
        <f t="shared" si="6"/>
        <v>50</v>
      </c>
      <c r="AB26" s="71">
        <f t="shared" si="29"/>
        <v>321.4075317</v>
      </c>
      <c r="AC26" s="71">
        <f>+(S26-T26)*V26-'data 1'!$F$4</f>
        <v>30.23</v>
      </c>
      <c r="AD26" s="71">
        <f t="shared" si="8"/>
        <v>115.9716652</v>
      </c>
      <c r="AE26" s="71">
        <f t="shared" si="9"/>
        <v>-14.885</v>
      </c>
      <c r="AF26" s="71">
        <f t="shared" si="10"/>
        <v>87.91344791</v>
      </c>
      <c r="AG26" s="72">
        <f t="shared" si="30"/>
        <v>236.2301131</v>
      </c>
      <c r="AH26" s="193">
        <f t="shared" si="12"/>
        <v>18.274</v>
      </c>
      <c r="AI26" s="193">
        <f t="shared" si="13"/>
        <v>18.921</v>
      </c>
      <c r="AJ26" s="73">
        <f t="shared" si="14"/>
        <v>86.07035684</v>
      </c>
      <c r="AK26" s="73">
        <f t="shared" si="15"/>
        <v>13.16723471</v>
      </c>
      <c r="AL26" s="2"/>
      <c r="AM26" s="51">
        <f t="shared" si="16"/>
        <v>1214.92047</v>
      </c>
      <c r="AN26" s="51" t="str">
        <f t="array" ref="AN26">XLOOKUP(D26,RUC!$B$3:$B$565,RUC!$M$3:$M$565)</f>
        <v>Richard Sapacayo</v>
      </c>
      <c r="AO26" s="131" t="s">
        <v>558</v>
      </c>
      <c r="AP26" s="2" t="s">
        <v>3499</v>
      </c>
      <c r="AQ26" s="2" t="s">
        <v>3600</v>
      </c>
      <c r="AR26" s="2"/>
      <c r="AS26" s="2"/>
      <c r="AT26" s="2"/>
      <c r="AU26" s="2"/>
      <c r="AV26" s="149" t="s">
        <v>3601</v>
      </c>
      <c r="AW26" s="150"/>
      <c r="AX26" s="150"/>
      <c r="AY26" s="150"/>
      <c r="AZ26" s="150"/>
      <c r="BA26" s="151"/>
      <c r="BB26" s="2"/>
      <c r="BC26" s="2"/>
      <c r="BD26" s="2"/>
      <c r="BE26" s="2"/>
    </row>
    <row r="27" ht="15.0" customHeight="1">
      <c r="A27" s="116" t="s">
        <v>3602</v>
      </c>
      <c r="B27" s="182">
        <v>46108.0</v>
      </c>
      <c r="C27" s="182">
        <v>46103.0</v>
      </c>
      <c r="D27" s="2" t="s">
        <v>3548</v>
      </c>
      <c r="E27" s="3">
        <f t="array" ref="E27">XLOOKUP(D27,RUC!$B$3:$B$110,RUC!$D$3:$D$110)</f>
        <v>20613105621</v>
      </c>
      <c r="F27" s="2"/>
      <c r="G27" s="141">
        <v>135.0</v>
      </c>
      <c r="H27" s="3" t="s">
        <v>47</v>
      </c>
      <c r="I27" s="6">
        <v>11.22</v>
      </c>
      <c r="J27" s="58">
        <v>5.4</v>
      </c>
      <c r="K27" s="6">
        <f t="shared" si="2"/>
        <v>10.614</v>
      </c>
      <c r="L27" s="60">
        <v>0.137</v>
      </c>
      <c r="M27" s="60">
        <f t="shared" si="32"/>
        <v>0.118</v>
      </c>
      <c r="N27" s="75">
        <v>0.207</v>
      </c>
      <c r="O27" s="60">
        <f t="shared" si="5"/>
        <v>0.163</v>
      </c>
      <c r="P27" s="63">
        <v>85.0</v>
      </c>
      <c r="Q27" s="58">
        <v>97.81</v>
      </c>
      <c r="R27" s="65">
        <v>4466.25</v>
      </c>
      <c r="S27" s="66">
        <f t="array" ref="S27">IF((XLOOKUP(D27,RUC!$B$3:$B$106,RUC!$E$3:$E$106)+ROUNDDOWN(O27,1)*100)&lt;95,95,((XLOOKUP(D27,RUC!$B$3:$B$106,RUC!$E$3:$E$106)+ROUNDDOWN(O27,1)*100)))</f>
        <v>100</v>
      </c>
      <c r="T27" s="2"/>
      <c r="U27" s="67">
        <f t="array" ref="U27">XLOOKUP(D27,RUC!$B$3:$B$110,RUC!$F$3:$F$110)</f>
        <v>120</v>
      </c>
      <c r="V27" s="67">
        <v>1.1023</v>
      </c>
      <c r="W27" s="2"/>
      <c r="X27" s="2"/>
      <c r="Y27" s="2">
        <f t="array" ref="Y27">XLOOKUP(D27,RUC!$B$3:$B$110,RUC!$G$3:$G$110)</f>
        <v>20</v>
      </c>
      <c r="Z27" s="69">
        <f t="array" ref="Z27">XLOOKUP(D27,RUC!$B$3:$B$110,RUC!$H$3:$H$110)</f>
        <v>30</v>
      </c>
      <c r="AA27" s="70">
        <f t="shared" si="6"/>
        <v>50</v>
      </c>
      <c r="AB27" s="71">
        <f t="shared" si="29"/>
        <v>498.430229</v>
      </c>
      <c r="AC27" s="71">
        <f>+(S27-T27)*V27-'data 1'!$F$4</f>
        <v>30.23</v>
      </c>
      <c r="AD27" s="71">
        <f t="shared" si="8"/>
        <v>84.07835537</v>
      </c>
      <c r="AE27" s="71">
        <f t="shared" si="9"/>
        <v>-14.885</v>
      </c>
      <c r="AF27" s="71">
        <f t="shared" si="10"/>
        <v>-121.8347336</v>
      </c>
      <c r="AG27" s="72">
        <f t="shared" si="30"/>
        <v>-5.411378219</v>
      </c>
      <c r="AH27" s="193">
        <f t="shared" si="12"/>
        <v>48.763</v>
      </c>
      <c r="AI27" s="193">
        <f t="shared" si="13"/>
        <v>49.855</v>
      </c>
      <c r="AJ27" s="73">
        <f t="shared" si="14"/>
        <v>81.79323263</v>
      </c>
      <c r="AK27" s="73">
        <f t="shared" si="15"/>
        <v>50.41905282</v>
      </c>
      <c r="AL27" s="2"/>
      <c r="AM27" s="51">
        <f t="shared" si="16"/>
        <v>5290.338451</v>
      </c>
      <c r="AN27" s="51" t="str">
        <f t="array" ref="AN27">XLOOKUP(D27,RUC!$B$3:$B$565,RUC!$M$3:$M$565)</f>
        <v>Richard Sapacayo</v>
      </c>
      <c r="AO27" s="131" t="s">
        <v>558</v>
      </c>
      <c r="AP27" s="2" t="s">
        <v>3499</v>
      </c>
      <c r="AQ27" s="2" t="s">
        <v>3600</v>
      </c>
      <c r="AR27" s="2"/>
      <c r="AS27" s="2"/>
      <c r="AT27" s="2"/>
      <c r="AU27" s="2"/>
      <c r="AV27" s="2"/>
      <c r="AW27" s="2"/>
      <c r="AX27" s="2"/>
      <c r="AY27" s="2"/>
      <c r="AZ27" s="2"/>
      <c r="BA27" s="203">
        <f>SUM(BA29:BA38)</f>
        <v>0</v>
      </c>
      <c r="BB27" s="2"/>
      <c r="BC27" s="2"/>
      <c r="BD27" s="2"/>
      <c r="BE27" s="2"/>
    </row>
    <row r="28" ht="15.0" customHeight="1">
      <c r="A28" s="116" t="s">
        <v>3603</v>
      </c>
      <c r="B28" s="182">
        <v>46108.0</v>
      </c>
      <c r="C28" s="182">
        <v>46103.0</v>
      </c>
      <c r="D28" s="2" t="s">
        <v>3548</v>
      </c>
      <c r="E28" s="3">
        <f t="array" ref="E28">XLOOKUP(D28,RUC!$B$3:$B$110,RUC!$D$3:$D$110)</f>
        <v>20613105621</v>
      </c>
      <c r="F28" s="2"/>
      <c r="G28" s="141">
        <v>134.0</v>
      </c>
      <c r="H28" s="3" t="s">
        <v>47</v>
      </c>
      <c r="I28" s="6">
        <v>11.72</v>
      </c>
      <c r="J28" s="58">
        <v>5.7</v>
      </c>
      <c r="K28" s="6">
        <f t="shared" si="2"/>
        <v>11.052</v>
      </c>
      <c r="L28" s="60">
        <v>0.152</v>
      </c>
      <c r="M28" s="60">
        <f t="shared" si="32"/>
        <v>0.133</v>
      </c>
      <c r="N28" s="62">
        <f t="shared" ref="N28:N48" si="33">+M28</f>
        <v>0.133</v>
      </c>
      <c r="O28" s="60">
        <f t="shared" si="5"/>
        <v>0.133</v>
      </c>
      <c r="P28" s="63">
        <v>80.0</v>
      </c>
      <c r="Q28" s="58">
        <v>96.71</v>
      </c>
      <c r="R28" s="65">
        <v>4466.25</v>
      </c>
      <c r="S28" s="66">
        <f t="array" ref="S28">IF((XLOOKUP(D28,RUC!$B$3:$B$106,RUC!$E$3:$E$106)+ROUNDDOWN(O28,1)*100)&lt;95,95,((XLOOKUP(D28,RUC!$B$3:$B$106,RUC!$E$3:$E$106)+ROUNDDOWN(O28,1)*100)))</f>
        <v>100</v>
      </c>
      <c r="T28" s="2"/>
      <c r="U28" s="67">
        <f t="array" ref="U28">XLOOKUP(D28,RUC!$B$3:$B$110,RUC!$F$3:$F$110)</f>
        <v>120</v>
      </c>
      <c r="V28" s="67">
        <v>1.1023</v>
      </c>
      <c r="W28" s="2"/>
      <c r="X28" s="2"/>
      <c r="Y28" s="2">
        <f t="array" ref="Y28">XLOOKUP(D28,RUC!$B$3:$B$110,RUC!$G$3:$G$110)</f>
        <v>20</v>
      </c>
      <c r="Z28" s="69">
        <f t="array" ref="Z28">XLOOKUP(D28,RUC!$B$3:$B$110,RUC!$H$3:$H$110)</f>
        <v>30</v>
      </c>
      <c r="AA28" s="70">
        <f t="shared" si="6"/>
        <v>50</v>
      </c>
      <c r="AB28" s="71">
        <f t="shared" si="29"/>
        <v>344.4037143</v>
      </c>
      <c r="AC28" s="71">
        <f>+(S28-T28)*V28-'data 1'!$F$4</f>
        <v>30.23</v>
      </c>
      <c r="AD28" s="71">
        <f t="shared" si="8"/>
        <v>121.6843002</v>
      </c>
      <c r="AE28" s="71">
        <f t="shared" si="9"/>
        <v>-14.885</v>
      </c>
      <c r="AF28" s="71">
        <f t="shared" si="10"/>
        <v>88.03178243</v>
      </c>
      <c r="AG28" s="72">
        <f t="shared" si="30"/>
        <v>242.0610827</v>
      </c>
      <c r="AH28" s="193">
        <f t="shared" si="12"/>
        <v>55.701</v>
      </c>
      <c r="AI28" s="193">
        <f t="shared" si="13"/>
        <v>57.596</v>
      </c>
      <c r="AJ28" s="73">
        <f t="shared" si="14"/>
        <v>89.72810956</v>
      </c>
      <c r="AK28" s="73">
        <f t="shared" si="15"/>
        <v>40.31731237</v>
      </c>
      <c r="AL28" s="2"/>
      <c r="AM28" s="51">
        <f t="shared" si="16"/>
        <v>3806.34985</v>
      </c>
      <c r="AN28" s="51" t="str">
        <f t="array" ref="AN28">XLOOKUP(D28,RUC!$B$3:$B$565,RUC!$M$3:$M$565)</f>
        <v>Richard Sapacayo</v>
      </c>
      <c r="AO28" s="131" t="s">
        <v>558</v>
      </c>
      <c r="AP28" s="2" t="s">
        <v>3499</v>
      </c>
      <c r="AQ28" s="2" t="s">
        <v>3600</v>
      </c>
      <c r="AR28" s="2"/>
      <c r="AS28" s="2"/>
      <c r="AT28" s="2"/>
      <c r="AU28" s="2"/>
      <c r="AV28" s="3"/>
      <c r="AW28" s="3" t="s">
        <v>14</v>
      </c>
      <c r="AX28" s="3" t="s">
        <v>683</v>
      </c>
      <c r="AY28" s="3" t="s">
        <v>686</v>
      </c>
      <c r="AZ28" s="204" t="s">
        <v>700</v>
      </c>
      <c r="BA28" s="3" t="s">
        <v>687</v>
      </c>
      <c r="BB28" s="2"/>
      <c r="BC28" s="2"/>
      <c r="BD28" s="2"/>
      <c r="BE28" s="2"/>
    </row>
    <row r="29" ht="15.0" customHeight="1">
      <c r="A29" s="116" t="s">
        <v>3604</v>
      </c>
      <c r="B29" s="182">
        <v>46109.0</v>
      </c>
      <c r="C29" s="448">
        <v>46103.0</v>
      </c>
      <c r="D29" s="2" t="s">
        <v>3605</v>
      </c>
      <c r="E29" s="3">
        <f t="array" ref="E29">XLOOKUP(D29,RUC!$B$3:$B$110,RUC!$D$3:$D$110)</f>
        <v>10770876970</v>
      </c>
      <c r="F29" s="2"/>
      <c r="G29" s="141" t="s">
        <v>735</v>
      </c>
      <c r="H29" s="3" t="s">
        <v>47</v>
      </c>
      <c r="I29" s="6">
        <v>16.44</v>
      </c>
      <c r="J29" s="58">
        <v>6.78</v>
      </c>
      <c r="K29" s="6">
        <f t="shared" si="2"/>
        <v>15.325</v>
      </c>
      <c r="L29" s="60">
        <v>0.165</v>
      </c>
      <c r="M29" s="60">
        <f t="shared" si="32"/>
        <v>0.146</v>
      </c>
      <c r="N29" s="62">
        <f t="shared" si="33"/>
        <v>0.146</v>
      </c>
      <c r="O29" s="60">
        <f t="shared" si="5"/>
        <v>0.146</v>
      </c>
      <c r="P29" s="63">
        <v>80.0</v>
      </c>
      <c r="Q29" s="58">
        <v>96.97</v>
      </c>
      <c r="R29" s="65">
        <v>4466.25</v>
      </c>
      <c r="S29" s="133">
        <v>110.0</v>
      </c>
      <c r="T29" s="2"/>
      <c r="U29" s="67">
        <f t="array" ref="U29">XLOOKUP(D29,RUC!$B$3:$B$110,RUC!$F$3:$F$110)</f>
        <v>100</v>
      </c>
      <c r="V29" s="67">
        <v>1.1023</v>
      </c>
      <c r="W29" s="2"/>
      <c r="X29" s="2"/>
      <c r="Y29" s="2" t="str">
        <f t="array" ref="Y29">XLOOKUP(D29,RUC!$B$3:$B$110,RUC!$G$3:$G$110)</f>
        <v/>
      </c>
      <c r="Z29" s="140">
        <v>100.0</v>
      </c>
      <c r="AA29" s="70">
        <f t="shared" si="6"/>
        <v>100</v>
      </c>
      <c r="AB29" s="71">
        <f t="shared" si="29"/>
        <v>330.6657494</v>
      </c>
      <c r="AC29" s="71">
        <f>+(S29-T29)*V29-'data 1'!$F$4</f>
        <v>41.253</v>
      </c>
      <c r="AD29" s="71">
        <f t="shared" si="8"/>
        <v>134.764093</v>
      </c>
      <c r="AE29" s="71">
        <f t="shared" si="9"/>
        <v>40.23</v>
      </c>
      <c r="AF29" s="71">
        <f t="shared" si="10"/>
        <v>88.67463359</v>
      </c>
      <c r="AG29" s="72">
        <f t="shared" si="30"/>
        <v>321.9217266</v>
      </c>
      <c r="AH29" s="193">
        <f t="shared" si="12"/>
        <v>84.068</v>
      </c>
      <c r="AI29" s="193">
        <f t="shared" si="13"/>
        <v>86.695</v>
      </c>
      <c r="AJ29" s="73">
        <f t="shared" si="14"/>
        <v>94.13671418</v>
      </c>
      <c r="AK29" s="73">
        <f t="shared" si="15"/>
        <v>61.36947319</v>
      </c>
      <c r="AL29" s="2"/>
      <c r="AM29" s="51">
        <f t="shared" si="16"/>
        <v>5067.45261</v>
      </c>
      <c r="AN29" s="51" t="str">
        <f t="array" ref="AN29">XLOOKUP(D29,RUC!$B$3:$B$565,RUC!$M$3:$M$565)</f>
        <v>Alfred Torres  *</v>
      </c>
      <c r="AO29" s="131" t="s">
        <v>551</v>
      </c>
      <c r="AP29" s="2" t="s">
        <v>3606</v>
      </c>
      <c r="AQ29" s="2" t="s">
        <v>3607</v>
      </c>
      <c r="AR29" s="2"/>
      <c r="AS29" s="2"/>
      <c r="AT29" s="2"/>
      <c r="AU29" s="2"/>
      <c r="AV29" s="152" t="s">
        <v>558</v>
      </c>
      <c r="AW29" s="154">
        <f t="shared" ref="AW29:AW38" si="34">SUMIF($AO$4:$AO$417,AV29,$K$4:$K$417)</f>
        <v>164.97</v>
      </c>
      <c r="AX29" s="154"/>
      <c r="AY29" s="157">
        <f t="shared" ref="AY29:AY38" si="35">AW29*AX29*31.1035*1.1023</f>
        <v>0</v>
      </c>
      <c r="AZ29" s="58"/>
      <c r="BA29" s="159">
        <f t="shared" ref="BA29:BA38" si="36">AY29*AZ29/100</f>
        <v>0</v>
      </c>
      <c r="BB29" s="449" t="s">
        <v>3608</v>
      </c>
      <c r="BC29" s="450">
        <f>+BB7</f>
        <v>4725.859</v>
      </c>
      <c r="BD29" s="2"/>
      <c r="BE29" s="2"/>
    </row>
    <row r="30" ht="15.0" customHeight="1">
      <c r="A30" s="116" t="s">
        <v>3609</v>
      </c>
      <c r="B30" s="182">
        <v>46109.0</v>
      </c>
      <c r="C30" s="182">
        <v>46104.0</v>
      </c>
      <c r="D30" s="2" t="s">
        <v>306</v>
      </c>
      <c r="E30" s="3">
        <f t="array" ref="E30">XLOOKUP(D30,RUC!$B$3:$B$110,RUC!$D$3:$D$110)</f>
        <v>20612921866</v>
      </c>
      <c r="F30" s="2"/>
      <c r="G30" s="141">
        <v>130.0</v>
      </c>
      <c r="H30" s="3" t="s">
        <v>339</v>
      </c>
      <c r="I30" s="6">
        <v>9.97</v>
      </c>
      <c r="J30" s="58">
        <v>2.0</v>
      </c>
      <c r="K30" s="6">
        <f t="shared" si="2"/>
        <v>9.771</v>
      </c>
      <c r="L30" s="60">
        <v>0.188</v>
      </c>
      <c r="M30" s="60">
        <f t="shared" si="32"/>
        <v>0.169</v>
      </c>
      <c r="N30" s="62">
        <f t="shared" si="33"/>
        <v>0.169</v>
      </c>
      <c r="O30" s="60">
        <f t="shared" si="5"/>
        <v>0.169</v>
      </c>
      <c r="P30" s="63">
        <v>90.0</v>
      </c>
      <c r="Q30" s="58">
        <v>98.94</v>
      </c>
      <c r="R30" s="65">
        <v>4466.25</v>
      </c>
      <c r="S30" s="66">
        <f t="array" ref="S30">IF((XLOOKUP(D30,RUC!$B$3:$B$106,RUC!$E$3:$E$106)+ROUNDDOWN(O30,1)*100)&lt;95,95,((XLOOKUP(D30,RUC!$B$3:$B$106,RUC!$E$3:$E$106)+ROUNDDOWN(O30,1)*100)))</f>
        <v>95</v>
      </c>
      <c r="T30" s="2"/>
      <c r="U30" s="67">
        <f t="array" ref="U30">XLOOKUP(D30,RUC!$B$3:$B$110,RUC!$F$3:$F$110)</f>
        <v>100</v>
      </c>
      <c r="V30" s="67">
        <v>1.1023</v>
      </c>
      <c r="W30" s="2"/>
      <c r="X30" s="2"/>
      <c r="Y30" s="2" t="str">
        <f t="array" ref="Y30">XLOOKUP(D30,RUC!$B$3:$B$110,RUC!$G$3:$G$110)</f>
        <v/>
      </c>
      <c r="Z30" s="69">
        <f t="array" ref="Z30">XLOOKUP(D30,RUC!$B$3:$B$110,RUC!$H$3:$H$110)</f>
        <v>30</v>
      </c>
      <c r="AA30" s="70">
        <f t="shared" si="6"/>
        <v>30</v>
      </c>
      <c r="AB30" s="71">
        <f t="shared" si="29"/>
        <v>594.2572327</v>
      </c>
      <c r="AC30" s="71">
        <f>+(S30-T30)*V30-'data 1'!$F$4</f>
        <v>24.7185</v>
      </c>
      <c r="AD30" s="71">
        <f t="shared" si="8"/>
        <v>80.89166491</v>
      </c>
      <c r="AE30" s="71">
        <f t="shared" si="9"/>
        <v>-36.931</v>
      </c>
      <c r="AF30" s="71">
        <f t="shared" si="10"/>
        <v>90.47610857</v>
      </c>
      <c r="AG30" s="72">
        <f>AC30+AD30+AE30+AF30+70-10</f>
        <v>219.1552735</v>
      </c>
      <c r="AH30" s="193">
        <f t="shared" si="12"/>
        <v>62.313</v>
      </c>
      <c r="AI30" s="193">
        <f t="shared" si="13"/>
        <v>62.98</v>
      </c>
      <c r="AJ30" s="73">
        <f t="shared" si="14"/>
        <v>109.4378244</v>
      </c>
      <c r="AK30" s="73">
        <f t="shared" si="15"/>
        <v>50.9538843</v>
      </c>
      <c r="AL30" s="2"/>
      <c r="AM30" s="51">
        <f t="shared" si="16"/>
        <v>5806.487421</v>
      </c>
      <c r="AN30" s="122" t="str">
        <f t="array" ref="AN30">XLOOKUP(D30,RUC!$B$3:$B$565,RUC!$M$3:$M$565)</f>
        <v>Ronald Garibay</v>
      </c>
      <c r="AO30" s="131" t="s">
        <v>558</v>
      </c>
      <c r="AP30" s="2" t="s">
        <v>3610</v>
      </c>
      <c r="AQ30" s="2" t="s">
        <v>875</v>
      </c>
      <c r="AR30" s="2"/>
      <c r="AS30" s="2"/>
      <c r="AT30" s="2"/>
      <c r="AU30" s="2"/>
      <c r="AV30" s="160" t="s">
        <v>551</v>
      </c>
      <c r="AW30" s="6">
        <f t="shared" si="34"/>
        <v>166.702</v>
      </c>
      <c r="AX30" s="6"/>
      <c r="AY30" s="58">
        <f t="shared" si="35"/>
        <v>0</v>
      </c>
      <c r="AZ30" s="58"/>
      <c r="BA30" s="162">
        <f t="shared" si="36"/>
        <v>0</v>
      </c>
      <c r="BB30" s="451" t="s">
        <v>3611</v>
      </c>
      <c r="BC30" s="452">
        <v>1234.6</v>
      </c>
      <c r="BD30" s="2" t="s">
        <v>3612</v>
      </c>
      <c r="BE30" s="2"/>
    </row>
    <row r="31" ht="15.0" customHeight="1">
      <c r="A31" s="116" t="s">
        <v>3613</v>
      </c>
      <c r="B31" s="182">
        <v>46109.0</v>
      </c>
      <c r="C31" s="182">
        <v>46104.0</v>
      </c>
      <c r="D31" s="2" t="s">
        <v>3605</v>
      </c>
      <c r="E31" s="3">
        <f t="array" ref="E31">XLOOKUP(D31,RUC!$B$3:$B$110,RUC!$D$3:$D$110)</f>
        <v>10770876970</v>
      </c>
      <c r="F31" s="2"/>
      <c r="G31" s="141">
        <v>34.0</v>
      </c>
      <c r="H31" s="3" t="s">
        <v>47</v>
      </c>
      <c r="I31" s="6">
        <v>2.91</v>
      </c>
      <c r="J31" s="58">
        <v>6.33</v>
      </c>
      <c r="K31" s="6">
        <f t="shared" si="2"/>
        <v>2.726</v>
      </c>
      <c r="L31" s="60">
        <v>0.367</v>
      </c>
      <c r="M31" s="60">
        <f t="shared" si="32"/>
        <v>0.345</v>
      </c>
      <c r="N31" s="62">
        <f t="shared" si="33"/>
        <v>0.345</v>
      </c>
      <c r="O31" s="60">
        <f t="shared" si="5"/>
        <v>0.345</v>
      </c>
      <c r="P31" s="63">
        <v>90.0</v>
      </c>
      <c r="Q31" s="58">
        <v>95.91</v>
      </c>
      <c r="R31" s="65">
        <v>4413.55</v>
      </c>
      <c r="S31" s="133">
        <f t="array" ref="S31">IF((XLOOKUP(D31,RUC!$B$3:$B$106,RUC!$E$3:$E$106)+ROUNDDOWN(O31,1)*100)&lt;95,95,((XLOOKUP(D31,RUC!$B$3:$B$106,RUC!$E$3:$E$106)+ROUNDDOWN(O31,1)*100)))</f>
        <v>115</v>
      </c>
      <c r="T31" s="2"/>
      <c r="U31" s="67">
        <f t="array" ref="U31">XLOOKUP(D31,RUC!$B$3:$B$110,RUC!$F$3:$F$110)</f>
        <v>100</v>
      </c>
      <c r="V31" s="67">
        <v>1.1023</v>
      </c>
      <c r="W31" s="2"/>
      <c r="X31" s="2"/>
      <c r="Y31" s="2" t="str">
        <f t="array" ref="Y31">XLOOKUP(D31,RUC!$B$3:$B$110,RUC!$G$3:$G$110)</f>
        <v/>
      </c>
      <c r="Z31" s="140">
        <v>100.0</v>
      </c>
      <c r="AA31" s="70">
        <f t="shared" si="6"/>
        <v>100</v>
      </c>
      <c r="AB31" s="71">
        <f t="shared" si="29"/>
        <v>1239.379024</v>
      </c>
      <c r="AC31" s="71">
        <f>+(S31-T31)*V31-'data 1'!$F$4</f>
        <v>46.7645</v>
      </c>
      <c r="AD31" s="71">
        <f t="shared" si="8"/>
        <v>103.1307531</v>
      </c>
      <c r="AE31" s="71">
        <f t="shared" si="9"/>
        <v>40.23</v>
      </c>
      <c r="AF31" s="71">
        <f t="shared" si="10"/>
        <v>100.327783</v>
      </c>
      <c r="AG31" s="72">
        <f t="shared" ref="AG31:AG57" si="37">AC31+AD31+AE31+AF31+70-53</f>
        <v>307.4530361</v>
      </c>
      <c r="AH31" s="193">
        <f t="shared" si="12"/>
        <v>32.898</v>
      </c>
      <c r="AI31" s="193">
        <f t="shared" si="13"/>
        <v>34.301</v>
      </c>
      <c r="AJ31" s="73">
        <f t="shared" si="14"/>
        <v>227.5415715</v>
      </c>
      <c r="AK31" s="73">
        <f t="shared" si="15"/>
        <v>29.01994101</v>
      </c>
      <c r="AL31" s="2"/>
      <c r="AM31" s="51">
        <f t="shared" si="16"/>
        <v>3378.54722</v>
      </c>
      <c r="AN31" s="51" t="str">
        <f t="array" ref="AN31">XLOOKUP(D31,RUC!$B$3:$B$565,RUC!$M$3:$M$565)</f>
        <v>Alfred Torres  *</v>
      </c>
      <c r="AO31" s="131" t="s">
        <v>551</v>
      </c>
      <c r="AP31" s="2" t="s">
        <v>2200</v>
      </c>
      <c r="AQ31" s="2" t="s">
        <v>1431</v>
      </c>
      <c r="AR31" s="2"/>
      <c r="AS31" s="2"/>
      <c r="AT31" s="2"/>
      <c r="AU31" s="2"/>
      <c r="AV31" s="160" t="s">
        <v>547</v>
      </c>
      <c r="AW31" s="6">
        <f t="shared" si="34"/>
        <v>153.843</v>
      </c>
      <c r="AX31" s="6"/>
      <c r="AY31" s="58">
        <f t="shared" si="35"/>
        <v>0</v>
      </c>
      <c r="AZ31" s="58"/>
      <c r="BA31" s="162">
        <f t="shared" si="36"/>
        <v>0</v>
      </c>
      <c r="BB31" s="454" t="s">
        <v>3614</v>
      </c>
      <c r="BC31" s="470">
        <v>4596.7</v>
      </c>
      <c r="BD31" s="2"/>
      <c r="BE31" s="2"/>
    </row>
    <row r="32" ht="15.0" customHeight="1">
      <c r="A32" s="116" t="s">
        <v>3615</v>
      </c>
      <c r="B32" s="182">
        <v>46109.0</v>
      </c>
      <c r="C32" s="182">
        <v>46104.0</v>
      </c>
      <c r="D32" s="2" t="s">
        <v>3605</v>
      </c>
      <c r="E32" s="3">
        <f t="array" ref="E32">XLOOKUP(D32,RUC!$B$3:$B$110,RUC!$D$3:$D$110)</f>
        <v>10770876970</v>
      </c>
      <c r="F32" s="2"/>
      <c r="G32" s="141" t="s">
        <v>735</v>
      </c>
      <c r="H32" s="3" t="s">
        <v>47</v>
      </c>
      <c r="I32" s="6">
        <v>18.52</v>
      </c>
      <c r="J32" s="58">
        <v>5.88</v>
      </c>
      <c r="K32" s="6">
        <f t="shared" si="2"/>
        <v>17.431</v>
      </c>
      <c r="L32" s="60">
        <v>0.165</v>
      </c>
      <c r="M32" s="60">
        <f t="shared" si="32"/>
        <v>0.146</v>
      </c>
      <c r="N32" s="62">
        <f t="shared" si="33"/>
        <v>0.146</v>
      </c>
      <c r="O32" s="60">
        <f t="shared" si="5"/>
        <v>0.146</v>
      </c>
      <c r="P32" s="63">
        <v>80.0</v>
      </c>
      <c r="Q32" s="58">
        <v>96.97</v>
      </c>
      <c r="R32" s="65">
        <v>4413.55</v>
      </c>
      <c r="S32" s="133">
        <v>110.0</v>
      </c>
      <c r="T32" s="2"/>
      <c r="U32" s="67">
        <f t="array" ref="U32">XLOOKUP(D32,RUC!$B$3:$B$110,RUC!$F$3:$F$110)</f>
        <v>100</v>
      </c>
      <c r="V32" s="67">
        <v>1.1023</v>
      </c>
      <c r="W32" s="2"/>
      <c r="X32" s="2"/>
      <c r="Y32" s="2" t="str">
        <f t="array" ref="Y32">XLOOKUP(D32,RUC!$B$3:$B$110,RUC!$G$3:$G$110)</f>
        <v/>
      </c>
      <c r="Z32" s="140">
        <v>100.0</v>
      </c>
      <c r="AA32" s="70">
        <f t="shared" si="6"/>
        <v>100</v>
      </c>
      <c r="AB32" s="71">
        <f t="shared" si="29"/>
        <v>323.8806961</v>
      </c>
      <c r="AC32" s="71">
        <f>+(S32-T32)*V32-'data 1'!$F$4</f>
        <v>41.253</v>
      </c>
      <c r="AD32" s="71">
        <f t="shared" si="8"/>
        <v>133.13751</v>
      </c>
      <c r="AE32" s="71">
        <f t="shared" si="9"/>
        <v>40.23</v>
      </c>
      <c r="AF32" s="71">
        <f t="shared" si="10"/>
        <v>87.60434371</v>
      </c>
      <c r="AG32" s="72">
        <f t="shared" si="37"/>
        <v>319.2248537</v>
      </c>
      <c r="AH32" s="193">
        <f t="shared" si="12"/>
        <v>95.621</v>
      </c>
      <c r="AI32" s="193">
        <f t="shared" si="13"/>
        <v>98.609</v>
      </c>
      <c r="AJ32" s="73">
        <f t="shared" si="14"/>
        <v>103.4313368</v>
      </c>
      <c r="AK32" s="73">
        <f t="shared" si="15"/>
        <v>69.80302037</v>
      </c>
      <c r="AL32" s="2"/>
      <c r="AM32" s="51">
        <f t="shared" si="16"/>
        <v>5645.564413</v>
      </c>
      <c r="AN32" s="51" t="str">
        <f t="array" ref="AN32">XLOOKUP(D32,RUC!$B$3:$B$565,RUC!$M$3:$M$565)</f>
        <v>Alfred Torres  *</v>
      </c>
      <c r="AO32" s="131" t="s">
        <v>551</v>
      </c>
      <c r="AP32" s="2" t="s">
        <v>2200</v>
      </c>
      <c r="AQ32" s="2" t="s">
        <v>1431</v>
      </c>
      <c r="AR32" s="2"/>
      <c r="AS32" s="2"/>
      <c r="AT32" s="2"/>
      <c r="AU32" s="2"/>
      <c r="AV32" s="160" t="s">
        <v>549</v>
      </c>
      <c r="AW32" s="6">
        <f t="shared" si="34"/>
        <v>140.896</v>
      </c>
      <c r="AX32" s="6"/>
      <c r="AY32" s="58">
        <f t="shared" si="35"/>
        <v>0</v>
      </c>
      <c r="AZ32" s="58"/>
      <c r="BA32" s="162">
        <f t="shared" si="36"/>
        <v>0</v>
      </c>
      <c r="BB32" s="454" t="s">
        <v>3616</v>
      </c>
      <c r="BC32" s="459">
        <v>1135.5</v>
      </c>
      <c r="BD32" s="2"/>
      <c r="BE32" s="2"/>
    </row>
    <row r="33" ht="15.0" customHeight="1">
      <c r="A33" s="116" t="s">
        <v>3617</v>
      </c>
      <c r="B33" s="182">
        <v>46110.0</v>
      </c>
      <c r="C33" s="182">
        <v>46105.0</v>
      </c>
      <c r="D33" s="2" t="s">
        <v>602</v>
      </c>
      <c r="E33" s="3">
        <f t="array" ref="E33">XLOOKUP(D33,RUC!$B$3:$B$110,RUC!$D$3:$D$110)</f>
        <v>20169040231</v>
      </c>
      <c r="F33" s="2"/>
      <c r="G33" s="141">
        <v>30.0</v>
      </c>
      <c r="H33" s="3" t="s">
        <v>47</v>
      </c>
      <c r="I33" s="6">
        <v>2.25</v>
      </c>
      <c r="J33" s="58">
        <v>2.3</v>
      </c>
      <c r="K33" s="6">
        <f t="shared" si="2"/>
        <v>2.198</v>
      </c>
      <c r="L33" s="60">
        <v>2.163</v>
      </c>
      <c r="M33" s="60">
        <f t="shared" si="32"/>
        <v>2.033</v>
      </c>
      <c r="N33" s="62">
        <f t="shared" si="33"/>
        <v>2.033</v>
      </c>
      <c r="O33" s="60">
        <f t="shared" si="5"/>
        <v>2.033</v>
      </c>
      <c r="P33" s="63">
        <v>90.0</v>
      </c>
      <c r="Q33" s="58">
        <v>91.59</v>
      </c>
      <c r="R33" s="65">
        <v>4413.55</v>
      </c>
      <c r="S33" s="66">
        <f t="array" ref="S33">IF((XLOOKUP(D33,RUC!$B$3:$B$106,RUC!$E$3:$E$106)+ROUNDDOWN(O33,1)*100)&lt;95,95,((XLOOKUP(D33,RUC!$B$3:$B$106,RUC!$E$3:$E$106)+ROUNDDOWN(O33,1)*100)))</f>
        <v>285</v>
      </c>
      <c r="T33" s="2"/>
      <c r="U33" s="67">
        <f t="array" ref="U33">XLOOKUP(D33,RUC!$B$3:$B$110,RUC!$F$3:$F$110)</f>
        <v>120</v>
      </c>
      <c r="V33" s="67">
        <v>1.1023</v>
      </c>
      <c r="W33" s="2"/>
      <c r="X33" s="2"/>
      <c r="Y33" s="2">
        <f t="array" ref="Y33">XLOOKUP(D33,RUC!$B$3:$B$110,RUC!$G$3:$G$110)</f>
        <v>20</v>
      </c>
      <c r="Z33" s="140">
        <v>35.0</v>
      </c>
      <c r="AA33" s="70">
        <f t="shared" si="6"/>
        <v>55</v>
      </c>
      <c r="AB33" s="71">
        <f t="shared" si="29"/>
        <v>8284.785868</v>
      </c>
      <c r="AC33" s="71">
        <f>+(S33-T33)*V33-'data 1'!$F$4</f>
        <v>234.1555</v>
      </c>
      <c r="AD33" s="71">
        <f t="shared" si="8"/>
        <v>162.7683556</v>
      </c>
      <c r="AE33" s="71">
        <f t="shared" si="9"/>
        <v>-9.3735</v>
      </c>
      <c r="AF33" s="71">
        <f t="shared" si="10"/>
        <v>563.5179359</v>
      </c>
      <c r="AG33" s="72">
        <f t="shared" si="37"/>
        <v>968.0682915</v>
      </c>
      <c r="AH33" s="193">
        <f t="shared" si="12"/>
        <v>149.294</v>
      </c>
      <c r="AI33" s="193">
        <f t="shared" si="13"/>
        <v>163.002</v>
      </c>
      <c r="AJ33" s="73">
        <f t="shared" si="14"/>
        <v>1324.339664</v>
      </c>
      <c r="AK33" s="73">
        <f t="shared" si="15"/>
        <v>137.88488</v>
      </c>
      <c r="AL33" s="2"/>
      <c r="AM33" s="51">
        <f t="shared" si="16"/>
        <v>18209.95934</v>
      </c>
      <c r="AN33" s="51" t="str">
        <f t="array" ref="AN33">XLOOKUP(D33,RUC!$B$3:$B$565,RUC!$M$3:$M$565)</f>
        <v>Ronald Miranda</v>
      </c>
      <c r="AO33" s="131" t="s">
        <v>558</v>
      </c>
      <c r="AP33" s="2" t="s">
        <v>746</v>
      </c>
      <c r="AQ33" s="2" t="s">
        <v>747</v>
      </c>
      <c r="AR33" s="2"/>
      <c r="AS33" s="2"/>
      <c r="AT33" s="2"/>
      <c r="AU33" s="2"/>
      <c r="AV33" s="160" t="s">
        <v>561</v>
      </c>
      <c r="AW33" s="6">
        <f t="shared" si="34"/>
        <v>0</v>
      </c>
      <c r="AX33" s="6"/>
      <c r="AY33" s="58">
        <f t="shared" si="35"/>
        <v>0</v>
      </c>
      <c r="AZ33" s="58"/>
      <c r="BA33" s="162">
        <f t="shared" si="36"/>
        <v>0</v>
      </c>
      <c r="BB33" s="454" t="s">
        <v>3618</v>
      </c>
      <c r="BC33" s="459">
        <v>231.6</v>
      </c>
      <c r="BD33" s="2"/>
      <c r="BE33" s="2"/>
    </row>
    <row r="34" ht="15.0" customHeight="1">
      <c r="A34" s="116" t="s">
        <v>3619</v>
      </c>
      <c r="B34" s="182">
        <v>46111.0</v>
      </c>
      <c r="C34" s="182">
        <v>46105.0</v>
      </c>
      <c r="D34" s="2" t="s">
        <v>756</v>
      </c>
      <c r="E34" s="3" t="str">
        <f t="array" ref="E34">XLOOKUP(D34,RUC!$B$3:$B$110,RUC!$D$3:$D$110)</f>
        <v>20610807004*</v>
      </c>
      <c r="F34" s="2"/>
      <c r="G34" s="141">
        <v>19.0</v>
      </c>
      <c r="H34" s="3" t="s">
        <v>47</v>
      </c>
      <c r="I34" s="6">
        <v>1.74</v>
      </c>
      <c r="J34" s="58">
        <v>2.0</v>
      </c>
      <c r="K34" s="6">
        <f t="shared" si="2"/>
        <v>1.705</v>
      </c>
      <c r="L34" s="60">
        <v>0.193</v>
      </c>
      <c r="M34" s="60">
        <f t="shared" si="32"/>
        <v>0.174</v>
      </c>
      <c r="N34" s="62">
        <f t="shared" si="33"/>
        <v>0.174</v>
      </c>
      <c r="O34" s="60">
        <f t="shared" si="5"/>
        <v>0.174</v>
      </c>
      <c r="P34" s="63">
        <v>80.0</v>
      </c>
      <c r="Q34" s="58">
        <v>81.35</v>
      </c>
      <c r="R34" s="65">
        <v>4413.55</v>
      </c>
      <c r="S34" s="66">
        <f t="array" ref="S34">IF((XLOOKUP(D34,RUC!$B$3:$B$106,RUC!$E$3:$E$106)+ROUNDDOWN(O34,1)*100)&lt;95,95,((XLOOKUP(D34,RUC!$B$3:$B$106,RUC!$E$3:$E$106)+ROUNDDOWN(O34,1)*100)))</f>
        <v>95</v>
      </c>
      <c r="T34" s="2"/>
      <c r="U34" s="67">
        <f t="array" ref="U34">XLOOKUP(D34,RUC!$B$3:$B$110,RUC!$F$3:$F$110)</f>
        <v>120</v>
      </c>
      <c r="V34" s="67">
        <v>1.1023</v>
      </c>
      <c r="W34" s="2"/>
      <c r="X34" s="2"/>
      <c r="Y34" s="2">
        <f t="array" ref="Y34">XLOOKUP(D34,RUC!$B$3:$B$110,RUC!$G$3:$G$110)</f>
        <v>20</v>
      </c>
      <c r="Z34" s="140">
        <v>35.0</v>
      </c>
      <c r="AA34" s="70">
        <f t="shared" si="6"/>
        <v>55</v>
      </c>
      <c r="AB34" s="71">
        <f t="shared" si="29"/>
        <v>493.457999</v>
      </c>
      <c r="AC34" s="71">
        <f>+(S34-T34)*V34-'data 1'!$F$4</f>
        <v>24.7185</v>
      </c>
      <c r="AD34" s="71">
        <f t="shared" si="8"/>
        <v>12.33125872</v>
      </c>
      <c r="AE34" s="71">
        <f t="shared" si="9"/>
        <v>-9.3735</v>
      </c>
      <c r="AF34" s="71">
        <f t="shared" si="10"/>
        <v>73.15221662</v>
      </c>
      <c r="AG34" s="72">
        <f t="shared" si="37"/>
        <v>117.8284753</v>
      </c>
      <c r="AH34" s="193">
        <f t="shared" si="12"/>
        <v>9.178</v>
      </c>
      <c r="AI34" s="193">
        <f t="shared" si="13"/>
        <v>11.282</v>
      </c>
      <c r="AJ34" s="73">
        <f t="shared" si="14"/>
        <v>104.9565808</v>
      </c>
      <c r="AK34" s="73">
        <f t="shared" si="15"/>
        <v>8.137156858</v>
      </c>
      <c r="AL34" s="2"/>
      <c r="AM34" s="51">
        <f t="shared" si="16"/>
        <v>841.3458882</v>
      </c>
      <c r="AN34" s="51" t="str">
        <f t="array" ref="AN34">XLOOKUP(D34,RUC!$B$3:$B$565,RUC!$M$3:$M$565)</f>
        <v>Ronald Miranda</v>
      </c>
      <c r="AO34" s="131" t="s">
        <v>551</v>
      </c>
      <c r="AP34" s="2" t="s">
        <v>2391</v>
      </c>
      <c r="AQ34" s="2" t="s">
        <v>3620</v>
      </c>
      <c r="AR34" s="2" t="s">
        <v>3621</v>
      </c>
      <c r="AS34" s="2"/>
      <c r="AT34" s="2"/>
      <c r="AU34" s="2"/>
      <c r="AV34" s="160" t="s">
        <v>689</v>
      </c>
      <c r="AW34" s="6">
        <f t="shared" si="34"/>
        <v>0</v>
      </c>
      <c r="AX34" s="2"/>
      <c r="AY34" s="58">
        <f t="shared" si="35"/>
        <v>0</v>
      </c>
      <c r="AZ34" s="2"/>
      <c r="BA34" s="162">
        <f t="shared" si="36"/>
        <v>0</v>
      </c>
      <c r="BB34" s="456" t="s">
        <v>1206</v>
      </c>
      <c r="BC34" s="457">
        <f>-BC29-BC30+BC31+BC32+BC33</f>
        <v>3.341</v>
      </c>
      <c r="BD34" s="2"/>
      <c r="BE34" s="2"/>
    </row>
    <row r="35" ht="15.0" customHeight="1">
      <c r="A35" s="116" t="s">
        <v>3622</v>
      </c>
      <c r="B35" s="182">
        <v>46112.0</v>
      </c>
      <c r="C35" s="182">
        <v>46105.0</v>
      </c>
      <c r="D35" s="2" t="s">
        <v>756</v>
      </c>
      <c r="E35" s="3" t="str">
        <f t="array" ref="E35">XLOOKUP(D35,RUC!$B$3:$B$110,RUC!$D$3:$D$110)</f>
        <v>20610807004*</v>
      </c>
      <c r="F35" s="2"/>
      <c r="G35" s="141">
        <v>13.0</v>
      </c>
      <c r="H35" s="3" t="s">
        <v>47</v>
      </c>
      <c r="I35" s="6">
        <v>1.23</v>
      </c>
      <c r="J35" s="58">
        <v>2.2</v>
      </c>
      <c r="K35" s="6">
        <f t="shared" si="2"/>
        <v>1.203</v>
      </c>
      <c r="L35" s="60">
        <v>0.332</v>
      </c>
      <c r="M35" s="60">
        <f t="shared" si="32"/>
        <v>0.312</v>
      </c>
      <c r="N35" s="62">
        <f t="shared" si="33"/>
        <v>0.312</v>
      </c>
      <c r="O35" s="60">
        <f t="shared" si="5"/>
        <v>0.312</v>
      </c>
      <c r="P35" s="63">
        <v>67.0</v>
      </c>
      <c r="Q35" s="130">
        <v>67.77</v>
      </c>
      <c r="R35" s="65">
        <v>4413.55</v>
      </c>
      <c r="S35" s="66">
        <f t="array" ref="S35">IF((XLOOKUP(D35,RUC!$B$3:$B$106,RUC!$E$3:$E$106)+ROUNDDOWN(O35,1)*100)&lt;95,95,((XLOOKUP(D35,RUC!$B$3:$B$106,RUC!$E$3:$E$106)+ROUNDDOWN(O35,1)*100)))</f>
        <v>115</v>
      </c>
      <c r="T35" s="2"/>
      <c r="U35" s="67">
        <f t="array" ref="U35">XLOOKUP(D35,RUC!$B$3:$B$110,RUC!$F$3:$F$110)</f>
        <v>120</v>
      </c>
      <c r="V35" s="67">
        <v>1.1023</v>
      </c>
      <c r="W35" s="2"/>
      <c r="X35" s="2"/>
      <c r="Y35" s="2">
        <f t="array" ref="Y35">XLOOKUP(D35,RUC!$B$3:$B$110,RUC!$G$3:$G$110)</f>
        <v>20</v>
      </c>
      <c r="Z35" s="140">
        <v>35.0</v>
      </c>
      <c r="AA35" s="70">
        <f t="shared" si="6"/>
        <v>55</v>
      </c>
      <c r="AB35" s="71">
        <f t="shared" si="29"/>
        <v>801.9493657</v>
      </c>
      <c r="AC35" s="71">
        <f>+(S35-T35)*V35-'data 1'!$F$4</f>
        <v>46.7645</v>
      </c>
      <c r="AD35" s="71">
        <f t="shared" si="8"/>
        <v>12.09887921</v>
      </c>
      <c r="AE35" s="71">
        <f t="shared" si="9"/>
        <v>-9.3735</v>
      </c>
      <c r="AF35" s="71">
        <f t="shared" si="10"/>
        <v>64.14810236</v>
      </c>
      <c r="AG35" s="72">
        <f t="shared" si="37"/>
        <v>130.6379816</v>
      </c>
      <c r="AH35" s="193">
        <f t="shared" si="12"/>
        <v>9.28</v>
      </c>
      <c r="AI35" s="193">
        <f t="shared" si="13"/>
        <v>13.693</v>
      </c>
      <c r="AJ35" s="73">
        <f t="shared" si="14"/>
        <v>150.4078063</v>
      </c>
      <c r="AK35" s="73">
        <f t="shared" si="15"/>
        <v>8.621922074</v>
      </c>
      <c r="AL35" s="2"/>
      <c r="AM35" s="51">
        <f t="shared" si="16"/>
        <v>964.7450869</v>
      </c>
      <c r="AN35" s="51" t="str">
        <f t="array" ref="AN35">XLOOKUP(D35,RUC!$B$3:$B$565,RUC!$M$3:$M$565)</f>
        <v>Ronald Miranda</v>
      </c>
      <c r="AO35" s="131" t="s">
        <v>547</v>
      </c>
      <c r="AP35" s="2" t="s">
        <v>2391</v>
      </c>
      <c r="AQ35" s="2" t="s">
        <v>3620</v>
      </c>
      <c r="AR35" s="2" t="s">
        <v>3623</v>
      </c>
      <c r="AS35" s="2"/>
      <c r="AT35" s="2"/>
      <c r="AU35" s="2"/>
      <c r="AV35" s="160" t="s">
        <v>690</v>
      </c>
      <c r="AW35" s="6">
        <f t="shared" si="34"/>
        <v>0</v>
      </c>
      <c r="AX35" s="2"/>
      <c r="AY35" s="58">
        <f t="shared" si="35"/>
        <v>0</v>
      </c>
      <c r="AZ35" s="2"/>
      <c r="BA35" s="162">
        <f t="shared" si="36"/>
        <v>0</v>
      </c>
      <c r="BB35" s="2"/>
      <c r="BC35" s="2"/>
      <c r="BD35" s="2"/>
      <c r="BE35" s="2"/>
    </row>
    <row r="36" ht="15.0" customHeight="1">
      <c r="A36" s="116" t="s">
        <v>3624</v>
      </c>
      <c r="B36" s="182">
        <v>46110.0</v>
      </c>
      <c r="C36" s="182">
        <v>46105.0</v>
      </c>
      <c r="D36" s="2" t="s">
        <v>756</v>
      </c>
      <c r="E36" s="3" t="str">
        <f t="array" ref="E36">XLOOKUP(D36,RUC!$B$3:$B$110,RUC!$D$3:$D$110)</f>
        <v>20610807004*</v>
      </c>
      <c r="F36" s="2"/>
      <c r="G36" s="141">
        <v>17.0</v>
      </c>
      <c r="H36" s="3" t="s">
        <v>47</v>
      </c>
      <c r="I36" s="6">
        <v>1.4</v>
      </c>
      <c r="J36" s="58">
        <v>2.0</v>
      </c>
      <c r="K36" s="6">
        <f t="shared" si="2"/>
        <v>1.372</v>
      </c>
      <c r="L36" s="60">
        <v>0.211</v>
      </c>
      <c r="M36" s="60">
        <f t="shared" si="32"/>
        <v>0.192</v>
      </c>
      <c r="N36" s="62">
        <f t="shared" si="33"/>
        <v>0.192</v>
      </c>
      <c r="O36" s="60">
        <f t="shared" si="5"/>
        <v>0.192</v>
      </c>
      <c r="P36" s="63">
        <v>85.0</v>
      </c>
      <c r="Q36" s="58">
        <v>95.26</v>
      </c>
      <c r="R36" s="65">
        <v>4413.55</v>
      </c>
      <c r="S36" s="66">
        <f t="array" ref="S36">IF((XLOOKUP(D36,RUC!$B$3:$B$106,RUC!$E$3:$E$106)+ROUNDDOWN(O36,1)*100)&lt;95,95,((XLOOKUP(D36,RUC!$B$3:$B$106,RUC!$E$3:$E$106)+ROUNDDOWN(O36,1)*100)))</f>
        <v>95</v>
      </c>
      <c r="T36" s="2"/>
      <c r="U36" s="67">
        <f t="array" ref="U36">XLOOKUP(D36,RUC!$B$3:$B$110,RUC!$F$3:$F$110)</f>
        <v>120</v>
      </c>
      <c r="V36" s="67">
        <v>1.1023</v>
      </c>
      <c r="W36" s="2"/>
      <c r="X36" s="2"/>
      <c r="Y36" s="2">
        <f t="array" ref="Y36">XLOOKUP(D36,RUC!$B$3:$B$110,RUC!$G$3:$G$110)</f>
        <v>20</v>
      </c>
      <c r="Z36" s="140">
        <v>35.0</v>
      </c>
      <c r="AA36" s="70">
        <f t="shared" si="6"/>
        <v>55</v>
      </c>
      <c r="AB36" s="71">
        <f t="shared" si="29"/>
        <v>607.0447229</v>
      </c>
      <c r="AC36" s="71">
        <f>+(S36-T36)*V36-'data 1'!$F$4</f>
        <v>24.7185</v>
      </c>
      <c r="AD36" s="71">
        <f t="shared" si="8"/>
        <v>102.4580647</v>
      </c>
      <c r="AE36" s="71">
        <f t="shared" si="9"/>
        <v>-9.3735</v>
      </c>
      <c r="AF36" s="71">
        <f t="shared" si="10"/>
        <v>85.66048132</v>
      </c>
      <c r="AG36" s="72">
        <f t="shared" si="37"/>
        <v>220.463546</v>
      </c>
      <c r="AH36" s="193">
        <f t="shared" si="12"/>
        <v>9.455</v>
      </c>
      <c r="AI36" s="193">
        <f t="shared" si="13"/>
        <v>9.925</v>
      </c>
      <c r="AJ36" s="73">
        <f t="shared" si="14"/>
        <v>134.3655209</v>
      </c>
      <c r="AK36" s="73">
        <f t="shared" si="15"/>
        <v>7.676854952</v>
      </c>
      <c r="AL36" s="2"/>
      <c r="AM36" s="51">
        <f t="shared" si="16"/>
        <v>832.8653599</v>
      </c>
      <c r="AN36" s="51" t="str">
        <f t="array" ref="AN36">XLOOKUP(D36,RUC!$B$3:$B$565,RUC!$M$3:$M$565)</f>
        <v>Ronald Miranda</v>
      </c>
      <c r="AO36" s="131" t="s">
        <v>551</v>
      </c>
      <c r="AP36" s="2" t="s">
        <v>2391</v>
      </c>
      <c r="AQ36" s="2" t="s">
        <v>3620</v>
      </c>
      <c r="AR36" s="2"/>
      <c r="AS36" s="2"/>
      <c r="AT36" s="2"/>
      <c r="AU36" s="2"/>
      <c r="AV36" s="160" t="s">
        <v>691</v>
      </c>
      <c r="AW36" s="6">
        <f t="shared" si="34"/>
        <v>0</v>
      </c>
      <c r="AX36" s="2"/>
      <c r="AY36" s="58">
        <f t="shared" si="35"/>
        <v>0</v>
      </c>
      <c r="AZ36" s="2"/>
      <c r="BA36" s="162">
        <f t="shared" si="36"/>
        <v>0</v>
      </c>
      <c r="BB36" s="2"/>
      <c r="BC36" s="2"/>
      <c r="BD36" s="2"/>
      <c r="BE36" s="2"/>
    </row>
    <row r="37" ht="15.0" customHeight="1">
      <c r="A37" s="116" t="s">
        <v>3625</v>
      </c>
      <c r="B37" s="182">
        <v>46110.0</v>
      </c>
      <c r="C37" s="182">
        <v>46105.0</v>
      </c>
      <c r="D37" s="2" t="s">
        <v>602</v>
      </c>
      <c r="E37" s="3">
        <f t="array" ref="E37">XLOOKUP(D37,RUC!$B$3:$B$110,RUC!$D$3:$D$110)</f>
        <v>20169040231</v>
      </c>
      <c r="F37" s="2"/>
      <c r="G37" s="141">
        <v>41.0</v>
      </c>
      <c r="H37" s="3" t="s">
        <v>47</v>
      </c>
      <c r="I37" s="6">
        <v>4.45</v>
      </c>
      <c r="J37" s="58">
        <v>2.8</v>
      </c>
      <c r="K37" s="6">
        <f t="shared" si="2"/>
        <v>4.325</v>
      </c>
      <c r="L37" s="60">
        <v>0.124</v>
      </c>
      <c r="M37" s="60">
        <f t="shared" si="32"/>
        <v>0.105</v>
      </c>
      <c r="N37" s="62">
        <f t="shared" si="33"/>
        <v>0.105</v>
      </c>
      <c r="O37" s="60">
        <f t="shared" si="5"/>
        <v>0.105</v>
      </c>
      <c r="P37" s="63">
        <v>80.0</v>
      </c>
      <c r="Q37" s="58">
        <v>96.7</v>
      </c>
      <c r="R37" s="65">
        <v>4413.55</v>
      </c>
      <c r="S37" s="66">
        <f t="array" ref="S37">IF((XLOOKUP(D37,RUC!$B$3:$B$106,RUC!$E$3:$E$106)+ROUNDDOWN(O37,1)*100)&lt;95,95,((XLOOKUP(D37,RUC!$B$3:$B$106,RUC!$E$3:$E$106)+ROUNDDOWN(O37,1)*100)))</f>
        <v>95</v>
      </c>
      <c r="T37" s="2"/>
      <c r="U37" s="67">
        <f t="array" ref="U37">XLOOKUP(D37,RUC!$B$3:$B$110,RUC!$F$3:$F$110)</f>
        <v>120</v>
      </c>
      <c r="V37" s="67">
        <v>1.1023</v>
      </c>
      <c r="W37" s="2"/>
      <c r="X37" s="2"/>
      <c r="Y37" s="2">
        <f t="array" ref="Y37">XLOOKUP(D37,RUC!$B$3:$B$110,RUC!$G$3:$G$110)</f>
        <v>20</v>
      </c>
      <c r="Z37" s="140">
        <v>35.0</v>
      </c>
      <c r="AA37" s="70">
        <f t="shared" si="6"/>
        <v>55</v>
      </c>
      <c r="AB37" s="71">
        <f t="shared" si="29"/>
        <v>232.2085339</v>
      </c>
      <c r="AC37" s="71">
        <f>+(S37-T37)*V37-'data 1'!$F$4</f>
        <v>24.7185</v>
      </c>
      <c r="AD37" s="71">
        <f t="shared" si="8"/>
        <v>98.00641166</v>
      </c>
      <c r="AE37" s="71">
        <f t="shared" si="9"/>
        <v>-9.3735</v>
      </c>
      <c r="AF37" s="71">
        <f t="shared" si="10"/>
        <v>86.95536997</v>
      </c>
      <c r="AG37" s="72">
        <f t="shared" si="37"/>
        <v>217.3067816</v>
      </c>
      <c r="AH37" s="193">
        <f t="shared" si="12"/>
        <v>17.78</v>
      </c>
      <c r="AI37" s="193">
        <f t="shared" si="13"/>
        <v>18.387</v>
      </c>
      <c r="AJ37" s="73">
        <f t="shared" si="14"/>
        <v>80.15727914</v>
      </c>
      <c r="AK37" s="73">
        <f t="shared" si="15"/>
        <v>12.45588148</v>
      </c>
      <c r="AL37" s="2"/>
      <c r="AM37" s="51">
        <f t="shared" si="16"/>
        <v>1004.301909</v>
      </c>
      <c r="AN37" s="51" t="str">
        <f t="array" ref="AN37">XLOOKUP(D37,RUC!$B$3:$B$565,RUC!$M$3:$M$565)</f>
        <v>Ronald Miranda</v>
      </c>
      <c r="AO37" s="131" t="s">
        <v>547</v>
      </c>
      <c r="AP37" s="2" t="s">
        <v>746</v>
      </c>
      <c r="AQ37" s="2" t="s">
        <v>747</v>
      </c>
      <c r="AR37" s="2"/>
      <c r="AS37" s="2"/>
      <c r="AT37" s="2"/>
      <c r="AU37" s="2"/>
      <c r="AV37" s="160" t="s">
        <v>692</v>
      </c>
      <c r="AW37" s="6">
        <f t="shared" si="34"/>
        <v>0</v>
      </c>
      <c r="AX37" s="2"/>
      <c r="AY37" s="58">
        <f t="shared" si="35"/>
        <v>0</v>
      </c>
      <c r="AZ37" s="2"/>
      <c r="BA37" s="162">
        <f t="shared" si="36"/>
        <v>0</v>
      </c>
      <c r="BB37" s="2"/>
      <c r="BC37" s="2"/>
      <c r="BD37" s="2"/>
      <c r="BE37" s="2"/>
    </row>
    <row r="38" ht="15.0" customHeight="1">
      <c r="A38" s="116" t="s">
        <v>3626</v>
      </c>
      <c r="B38" s="182">
        <v>46110.0</v>
      </c>
      <c r="C38" s="182">
        <v>46105.0</v>
      </c>
      <c r="D38" s="2" t="s">
        <v>602</v>
      </c>
      <c r="E38" s="3">
        <f t="array" ref="E38">XLOOKUP(D38,RUC!$B$3:$B$110,RUC!$D$3:$D$110)</f>
        <v>20169040231</v>
      </c>
      <c r="F38" s="2"/>
      <c r="G38" s="141">
        <v>10.0</v>
      </c>
      <c r="H38" s="3" t="s">
        <v>339</v>
      </c>
      <c r="I38" s="6">
        <v>1.03</v>
      </c>
      <c r="J38" s="58">
        <v>8.95</v>
      </c>
      <c r="K38" s="6">
        <f t="shared" si="2"/>
        <v>0.938</v>
      </c>
      <c r="L38" s="60">
        <v>0.142</v>
      </c>
      <c r="M38" s="60">
        <f t="shared" si="32"/>
        <v>0.123</v>
      </c>
      <c r="N38" s="62">
        <f t="shared" si="33"/>
        <v>0.123</v>
      </c>
      <c r="O38" s="60">
        <f t="shared" si="5"/>
        <v>0.123</v>
      </c>
      <c r="P38" s="63">
        <v>80.0</v>
      </c>
      <c r="Q38" s="58">
        <v>91.89</v>
      </c>
      <c r="R38" s="65">
        <v>4413.55</v>
      </c>
      <c r="S38" s="66">
        <f t="array" ref="S38">IF((XLOOKUP(D38,RUC!$B$3:$B$106,RUC!$E$3:$E$106)+ROUNDDOWN(O38,1)*100)&lt;95,95,((XLOOKUP(D38,RUC!$B$3:$B$106,RUC!$E$3:$E$106)+ROUNDDOWN(O38,1)*100)))</f>
        <v>95</v>
      </c>
      <c r="T38" s="2"/>
      <c r="U38" s="67">
        <f t="array" ref="U38">XLOOKUP(D38,RUC!$B$3:$B$110,RUC!$F$3:$F$110)</f>
        <v>120</v>
      </c>
      <c r="V38" s="67">
        <v>1.1023</v>
      </c>
      <c r="W38" s="2"/>
      <c r="X38" s="2"/>
      <c r="Y38" s="2">
        <f t="array" ref="Y38">XLOOKUP(D38,RUC!$B$3:$B$110,RUC!$G$3:$G$110)</f>
        <v>20</v>
      </c>
      <c r="Z38" s="140">
        <v>35.0</v>
      </c>
      <c r="AA38" s="70">
        <f t="shared" si="6"/>
        <v>55</v>
      </c>
      <c r="AB38" s="71">
        <f t="shared" si="29"/>
        <v>300.3605682</v>
      </c>
      <c r="AC38" s="71">
        <f>+(S38-T38)*V38-'data 1'!$F$4</f>
        <v>24.7185</v>
      </c>
      <c r="AD38" s="71">
        <f t="shared" si="8"/>
        <v>79.90731375</v>
      </c>
      <c r="AE38" s="71">
        <f t="shared" si="9"/>
        <v>-9.3735</v>
      </c>
      <c r="AF38" s="71">
        <f t="shared" si="10"/>
        <v>82.63008218</v>
      </c>
      <c r="AG38" s="72">
        <f t="shared" si="37"/>
        <v>194.8823959</v>
      </c>
      <c r="AH38" s="193">
        <f t="shared" si="12"/>
        <v>4.196</v>
      </c>
      <c r="AI38" s="193">
        <f t="shared" si="13"/>
        <v>4.567</v>
      </c>
      <c r="AJ38" s="73">
        <f t="shared" si="14"/>
        <v>87.22709393</v>
      </c>
      <c r="AK38" s="73">
        <f t="shared" si="15"/>
        <v>3.164513889</v>
      </c>
      <c r="AL38" s="2"/>
      <c r="AM38" s="51">
        <f t="shared" si="16"/>
        <v>281.738213</v>
      </c>
      <c r="AN38" s="51" t="str">
        <f t="array" ref="AN38">XLOOKUP(D38,RUC!$B$3:$B$565,RUC!$M$3:$M$565)</f>
        <v>Ronald Miranda</v>
      </c>
      <c r="AO38" s="131" t="s">
        <v>551</v>
      </c>
      <c r="AP38" s="2" t="s">
        <v>746</v>
      </c>
      <c r="AQ38" s="2" t="s">
        <v>747</v>
      </c>
      <c r="AR38" s="2"/>
      <c r="AS38" s="2"/>
      <c r="AT38" s="2"/>
      <c r="AU38" s="2"/>
      <c r="AV38" s="163" t="s">
        <v>693</v>
      </c>
      <c r="AW38" s="165">
        <f t="shared" si="34"/>
        <v>0</v>
      </c>
      <c r="AX38" s="170"/>
      <c r="AY38" s="168">
        <f t="shared" si="35"/>
        <v>0</v>
      </c>
      <c r="AZ38" s="170"/>
      <c r="BA38" s="171">
        <f t="shared" si="36"/>
        <v>0</v>
      </c>
      <c r="BB38" s="2"/>
      <c r="BC38" s="2"/>
      <c r="BD38" s="2"/>
      <c r="BE38" s="2"/>
    </row>
    <row r="39" ht="15.0" customHeight="1">
      <c r="A39" s="116" t="s">
        <v>3627</v>
      </c>
      <c r="B39" s="182">
        <v>46082.0</v>
      </c>
      <c r="C39" s="182">
        <v>46105.0</v>
      </c>
      <c r="D39" s="2" t="s">
        <v>602</v>
      </c>
      <c r="E39" s="3">
        <f t="array" ref="E39">XLOOKUP(D39,RUC!$B$3:$B$110,RUC!$D$3:$D$110)</f>
        <v>20169040231</v>
      </c>
      <c r="F39" s="2"/>
      <c r="G39" s="141">
        <v>40.0</v>
      </c>
      <c r="H39" s="3" t="s">
        <v>47</v>
      </c>
      <c r="I39" s="6">
        <v>3.59</v>
      </c>
      <c r="J39" s="58">
        <v>2.0</v>
      </c>
      <c r="K39" s="6">
        <f t="shared" si="2"/>
        <v>3.518</v>
      </c>
      <c r="L39" s="60">
        <v>0.186</v>
      </c>
      <c r="M39" s="60">
        <f t="shared" si="32"/>
        <v>0.167</v>
      </c>
      <c r="N39" s="62">
        <f t="shared" si="33"/>
        <v>0.167</v>
      </c>
      <c r="O39" s="60">
        <f t="shared" si="5"/>
        <v>0.167</v>
      </c>
      <c r="P39" s="63">
        <v>80.0</v>
      </c>
      <c r="Q39" s="130">
        <v>80.65</v>
      </c>
      <c r="R39" s="65">
        <v>4413.55</v>
      </c>
      <c r="S39" s="66">
        <f t="array" ref="S39">IF((XLOOKUP(D39,RUC!$B$3:$B$106,RUC!$E$3:$E$106)+ROUNDDOWN(O39,1)*100)&lt;95,95,((XLOOKUP(D39,RUC!$B$3:$B$106,RUC!$E$3:$E$106)+ROUNDDOWN(O39,1)*100)))</f>
        <v>95</v>
      </c>
      <c r="T39" s="2"/>
      <c r="U39" s="67">
        <f t="array" ref="U39">XLOOKUP(D39,RUC!$B$3:$B$110,RUC!$F$3:$F$110)</f>
        <v>120</v>
      </c>
      <c r="V39" s="67">
        <v>1.1023</v>
      </c>
      <c r="W39" s="2"/>
      <c r="X39" s="2"/>
      <c r="Y39" s="199">
        <v>35.0</v>
      </c>
      <c r="Z39" s="140">
        <v>35.0</v>
      </c>
      <c r="AA39" s="70">
        <f t="shared" si="6"/>
        <v>70</v>
      </c>
      <c r="AB39" s="71">
        <f t="shared" si="29"/>
        <v>450.41993</v>
      </c>
      <c r="AC39" s="71">
        <f>+(S39-T39)*V39-'data 1'!$F$4</f>
        <v>24.7185</v>
      </c>
      <c r="AD39" s="71">
        <f t="shared" si="8"/>
        <v>5.721931219</v>
      </c>
      <c r="AE39" s="71">
        <f t="shared" si="9"/>
        <v>7.161</v>
      </c>
      <c r="AF39" s="71">
        <f t="shared" si="10"/>
        <v>72.52275686</v>
      </c>
      <c r="AG39" s="72">
        <f t="shared" si="37"/>
        <v>127.1241881</v>
      </c>
      <c r="AH39" s="193">
        <f t="shared" si="12"/>
        <v>18.093</v>
      </c>
      <c r="AI39" s="193">
        <f t="shared" si="13"/>
        <v>22.435</v>
      </c>
      <c r="AJ39" s="73">
        <f t="shared" si="14"/>
        <v>100.2794917</v>
      </c>
      <c r="AK39" s="73">
        <f t="shared" si="15"/>
        <v>16.11429695</v>
      </c>
      <c r="AL39" s="2"/>
      <c r="AM39" s="51">
        <f t="shared" si="16"/>
        <v>1584.577314</v>
      </c>
      <c r="AN39" s="51" t="str">
        <f t="array" ref="AN39">XLOOKUP(D39,RUC!$B$3:$B$565,RUC!$M$3:$M$565)</f>
        <v>Ronald Miranda</v>
      </c>
      <c r="AO39" s="131" t="s">
        <v>551</v>
      </c>
      <c r="AP39" s="2" t="s">
        <v>746</v>
      </c>
      <c r="AQ39" s="2" t="s">
        <v>747</v>
      </c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ht="15.0" customHeight="1">
      <c r="A40" s="116" t="s">
        <v>3628</v>
      </c>
      <c r="B40" s="182">
        <v>46082.0</v>
      </c>
      <c r="C40" s="182">
        <v>46105.0</v>
      </c>
      <c r="D40" s="2" t="s">
        <v>602</v>
      </c>
      <c r="E40" s="3">
        <f t="array" ref="E40">XLOOKUP(D40,RUC!$B$3:$B$110,RUC!$D$3:$D$110)</f>
        <v>20169040231</v>
      </c>
      <c r="F40" s="2"/>
      <c r="G40" s="141">
        <v>41.0</v>
      </c>
      <c r="H40" s="3" t="s">
        <v>47</v>
      </c>
      <c r="I40" s="6">
        <v>3.69</v>
      </c>
      <c r="J40" s="58">
        <v>2.1</v>
      </c>
      <c r="K40" s="6">
        <f t="shared" si="2"/>
        <v>3.613</v>
      </c>
      <c r="L40" s="60">
        <v>0.18</v>
      </c>
      <c r="M40" s="60">
        <f t="shared" si="32"/>
        <v>0.161</v>
      </c>
      <c r="N40" s="62">
        <f t="shared" si="33"/>
        <v>0.161</v>
      </c>
      <c r="O40" s="60">
        <f t="shared" si="5"/>
        <v>0.161</v>
      </c>
      <c r="P40" s="63">
        <v>76.0</v>
      </c>
      <c r="Q40" s="130">
        <v>76.67</v>
      </c>
      <c r="R40" s="65">
        <v>4413.55</v>
      </c>
      <c r="S40" s="66">
        <f t="array" ref="S40">IF((XLOOKUP(D40,RUC!$B$3:$B$106,RUC!$E$3:$E$106)+ROUNDDOWN(O40,1)*100)&lt;95,95,((XLOOKUP(D40,RUC!$B$3:$B$106,RUC!$E$3:$E$106)+ROUNDDOWN(O40,1)*100)))</f>
        <v>95</v>
      </c>
      <c r="T40" s="2"/>
      <c r="U40" s="67">
        <f t="array" ref="U40">XLOOKUP(D40,RUC!$B$3:$B$110,RUC!$F$3:$F$110)</f>
        <v>120</v>
      </c>
      <c r="V40" s="67">
        <v>1.1023</v>
      </c>
      <c r="W40" s="2"/>
      <c r="X40" s="2"/>
      <c r="Y40" s="199">
        <v>15.0</v>
      </c>
      <c r="Z40" s="140">
        <v>35.0</v>
      </c>
      <c r="AA40" s="70">
        <f t="shared" si="6"/>
        <v>50</v>
      </c>
      <c r="AB40" s="71">
        <f t="shared" si="29"/>
        <v>419.269481</v>
      </c>
      <c r="AC40" s="71">
        <f>+(S40-T40)*V40-'data 1'!$F$4</f>
        <v>24.7185</v>
      </c>
      <c r="AD40" s="71">
        <f t="shared" si="8"/>
        <v>5.707732879</v>
      </c>
      <c r="AE40" s="71">
        <f t="shared" si="9"/>
        <v>-14.885</v>
      </c>
      <c r="AF40" s="71">
        <f t="shared" si="10"/>
        <v>68.9438285</v>
      </c>
      <c r="AG40" s="72">
        <f t="shared" si="37"/>
        <v>101.4850614</v>
      </c>
      <c r="AH40" s="193">
        <f t="shared" si="12"/>
        <v>17.095</v>
      </c>
      <c r="AI40" s="193">
        <f t="shared" si="13"/>
        <v>22.297</v>
      </c>
      <c r="AJ40" s="73">
        <f t="shared" si="14"/>
        <v>92.25560817</v>
      </c>
      <c r="AK40" s="73">
        <f t="shared" si="15"/>
        <v>15.15711338</v>
      </c>
      <c r="AL40" s="2"/>
      <c r="AM40" s="51">
        <f t="shared" si="16"/>
        <v>1514.820635</v>
      </c>
      <c r="AN40" s="51" t="str">
        <f t="array" ref="AN40">XLOOKUP(D40,RUC!$B$3:$B$565,RUC!$M$3:$M$565)</f>
        <v>Ronald Miranda</v>
      </c>
      <c r="AO40" s="131" t="s">
        <v>551</v>
      </c>
      <c r="AP40" s="2" t="s">
        <v>746</v>
      </c>
      <c r="AQ40" s="2" t="s">
        <v>747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>
        <f>4717.8+1234.6-4651.8-1135.5-231.6</f>
        <v>-66.5</v>
      </c>
    </row>
    <row r="41" ht="15.0" customHeight="1">
      <c r="A41" s="116" t="s">
        <v>3629</v>
      </c>
      <c r="B41" s="182">
        <v>46113.0</v>
      </c>
      <c r="C41" s="182">
        <v>46105.0</v>
      </c>
      <c r="D41" s="2" t="s">
        <v>602</v>
      </c>
      <c r="E41" s="3">
        <f t="array" ref="E41">XLOOKUP(D41,RUC!$B$3:$B$110,RUC!$D$3:$D$110)</f>
        <v>20169040231</v>
      </c>
      <c r="F41" s="2"/>
      <c r="G41" s="141">
        <v>26.0</v>
      </c>
      <c r="H41" s="3" t="s">
        <v>47</v>
      </c>
      <c r="I41" s="6">
        <v>2.53</v>
      </c>
      <c r="J41" s="58">
        <v>2.2</v>
      </c>
      <c r="K41" s="6">
        <f t="shared" si="2"/>
        <v>2.474</v>
      </c>
      <c r="L41" s="60">
        <v>0.265</v>
      </c>
      <c r="M41" s="60">
        <f t="shared" si="32"/>
        <v>0.246</v>
      </c>
      <c r="N41" s="62">
        <f t="shared" si="33"/>
        <v>0.246</v>
      </c>
      <c r="O41" s="60">
        <f t="shared" si="5"/>
        <v>0.246</v>
      </c>
      <c r="P41" s="63">
        <v>90.0</v>
      </c>
      <c r="Q41" s="58">
        <v>93.02</v>
      </c>
      <c r="R41" s="65">
        <v>4413.55</v>
      </c>
      <c r="S41" s="66">
        <f t="array" ref="S41">IF((XLOOKUP(D41,RUC!$B$3:$B$106,RUC!$E$3:$E$106)+ROUNDDOWN(O41,1)*100)&lt;95,95,((XLOOKUP(D41,RUC!$B$3:$B$106,RUC!$E$3:$E$106)+ROUNDDOWN(O41,1)*100)))</f>
        <v>105</v>
      </c>
      <c r="T41" s="2"/>
      <c r="U41" s="67">
        <f t="array" ref="U41">XLOOKUP(D41,RUC!$B$3:$B$110,RUC!$F$3:$F$110)</f>
        <v>120</v>
      </c>
      <c r="V41" s="67">
        <v>1.1023</v>
      </c>
      <c r="W41" s="2"/>
      <c r="X41" s="2"/>
      <c r="Y41" s="2">
        <f t="array" ref="Y41">XLOOKUP(D41,RUC!$B$3:$B$110,RUC!$G$3:$G$110)</f>
        <v>20</v>
      </c>
      <c r="Z41" s="140">
        <v>35.0</v>
      </c>
      <c r="AA41" s="70">
        <f t="shared" si="6"/>
        <v>55</v>
      </c>
      <c r="AB41" s="71">
        <f t="shared" si="29"/>
        <v>871.4695285</v>
      </c>
      <c r="AC41" s="71">
        <f>+(S41-T41)*V41-'data 1'!$F$4</f>
        <v>35.7415</v>
      </c>
      <c r="AD41" s="71">
        <f t="shared" si="8"/>
        <v>37.87643966</v>
      </c>
      <c r="AE41" s="71">
        <f t="shared" si="9"/>
        <v>-9.3735</v>
      </c>
      <c r="AF41" s="71">
        <f t="shared" si="10"/>
        <v>83.64621008</v>
      </c>
      <c r="AG41" s="72">
        <f t="shared" si="37"/>
        <v>164.8906497</v>
      </c>
      <c r="AH41" s="193">
        <f t="shared" si="12"/>
        <v>20.909</v>
      </c>
      <c r="AI41" s="193">
        <f t="shared" si="13"/>
        <v>22.478</v>
      </c>
      <c r="AJ41" s="73">
        <f t="shared" si="14"/>
        <v>164.7847498</v>
      </c>
      <c r="AK41" s="73">
        <f t="shared" si="15"/>
        <v>18.77960188</v>
      </c>
      <c r="AL41" s="2"/>
      <c r="AM41" s="51">
        <f t="shared" si="16"/>
        <v>2156.015614</v>
      </c>
      <c r="AN41" s="51" t="str">
        <f t="array" ref="AN41">XLOOKUP(D41,RUC!$B$3:$B$565,RUC!$M$3:$M$565)</f>
        <v>Ronald Miranda</v>
      </c>
      <c r="AO41" s="131" t="s">
        <v>551</v>
      </c>
      <c r="AP41" s="2" t="s">
        <v>746</v>
      </c>
      <c r="AQ41" s="2" t="s">
        <v>747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ht="15.0" customHeight="1">
      <c r="A42" s="116" t="s">
        <v>3630</v>
      </c>
      <c r="B42" s="182">
        <v>46113.0</v>
      </c>
      <c r="C42" s="182">
        <v>46105.0</v>
      </c>
      <c r="D42" s="2" t="s">
        <v>756</v>
      </c>
      <c r="E42" s="3" t="str">
        <f t="array" ref="E42">XLOOKUP(D42,RUC!$B$3:$B$110,RUC!$D$3:$D$110)</f>
        <v>20610807004*</v>
      </c>
      <c r="F42" s="2"/>
      <c r="G42" s="141">
        <v>27.0</v>
      </c>
      <c r="H42" s="3" t="s">
        <v>47</v>
      </c>
      <c r="I42" s="6">
        <v>2.71</v>
      </c>
      <c r="J42" s="58">
        <v>3.35</v>
      </c>
      <c r="K42" s="6">
        <f t="shared" si="2"/>
        <v>2.619</v>
      </c>
      <c r="L42" s="60">
        <v>1.47</v>
      </c>
      <c r="M42" s="60">
        <f t="shared" si="32"/>
        <v>1.382</v>
      </c>
      <c r="N42" s="62">
        <f t="shared" si="33"/>
        <v>1.382</v>
      </c>
      <c r="O42" s="60">
        <f t="shared" si="5"/>
        <v>1.382</v>
      </c>
      <c r="P42" s="63">
        <v>87.0</v>
      </c>
      <c r="Q42" s="58">
        <v>87.01</v>
      </c>
      <c r="R42" s="65">
        <v>4413.55</v>
      </c>
      <c r="S42" s="66">
        <f t="array" ref="S42">IF((XLOOKUP(D42,RUC!$B$3:$B$106,RUC!$E$3:$E$106)+ROUNDDOWN(O42,1)*100)&lt;95,95,((XLOOKUP(D42,RUC!$B$3:$B$106,RUC!$E$3:$E$106)+ROUNDDOWN(O42,1)*100)))</f>
        <v>215</v>
      </c>
      <c r="T42" s="2"/>
      <c r="U42" s="67">
        <f t="array" ref="U42">XLOOKUP(D42,RUC!$B$3:$B$110,RUC!$F$3:$F$110)</f>
        <v>120</v>
      </c>
      <c r="V42" s="67">
        <v>1.1023</v>
      </c>
      <c r="W42" s="2"/>
      <c r="X42" s="2"/>
      <c r="Y42" s="2">
        <f t="array" ref="Y42">XLOOKUP(D42,RUC!$B$3:$B$110,RUC!$G$3:$G$110)</f>
        <v>20</v>
      </c>
      <c r="Z42" s="140">
        <v>35.0</v>
      </c>
      <c r="AA42" s="70">
        <f t="shared" si="6"/>
        <v>55</v>
      </c>
      <c r="AB42" s="71">
        <f t="shared" si="29"/>
        <v>5392.789904</v>
      </c>
      <c r="AC42" s="71">
        <f>+(S42-T42)*V42-'data 1'!$F$4</f>
        <v>156.9945</v>
      </c>
      <c r="AD42" s="71">
        <f t="shared" si="8"/>
        <v>0.6957186843</v>
      </c>
      <c r="AE42" s="71">
        <f t="shared" si="9"/>
        <v>-9.3735</v>
      </c>
      <c r="AF42" s="71">
        <f t="shared" si="10"/>
        <v>362.3832979</v>
      </c>
      <c r="AG42" s="72">
        <f t="shared" si="37"/>
        <v>527.7000166</v>
      </c>
      <c r="AH42" s="193">
        <f t="shared" si="12"/>
        <v>114.85</v>
      </c>
      <c r="AI42" s="193">
        <f t="shared" si="13"/>
        <v>131.996</v>
      </c>
      <c r="AJ42" s="73">
        <f t="shared" si="14"/>
        <v>855.029918</v>
      </c>
      <c r="AK42" s="73">
        <f t="shared" si="15"/>
        <v>107.9622342</v>
      </c>
      <c r="AL42" s="2"/>
      <c r="AM42" s="51">
        <f t="shared" si="16"/>
        <v>14123.71676</v>
      </c>
      <c r="AN42" s="51" t="str">
        <f t="array" ref="AN42">XLOOKUP(D42,RUC!$B$3:$B$565,RUC!$M$3:$M$565)</f>
        <v>Ronald Miranda</v>
      </c>
      <c r="AO42" s="131" t="s">
        <v>558</v>
      </c>
      <c r="AP42" s="2" t="s">
        <v>2391</v>
      </c>
      <c r="AQ42" s="2" t="s">
        <v>3620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ht="15.0" customHeight="1">
      <c r="A43" s="116" t="s">
        <v>3631</v>
      </c>
      <c r="B43" s="182">
        <v>46110.0</v>
      </c>
      <c r="C43" s="182">
        <v>46106.0</v>
      </c>
      <c r="D43" s="2" t="s">
        <v>730</v>
      </c>
      <c r="E43" s="3">
        <f t="array" ref="E43">XLOOKUP(D43,RUC!$B$3:$B$110,RUC!$D$3:$D$110)</f>
        <v>20613935151</v>
      </c>
      <c r="F43" s="2"/>
      <c r="G43" s="141">
        <v>70.0</v>
      </c>
      <c r="H43" s="3" t="s">
        <v>47</v>
      </c>
      <c r="I43" s="6">
        <v>5.37</v>
      </c>
      <c r="J43" s="58">
        <v>2.3</v>
      </c>
      <c r="K43" s="6">
        <f t="shared" si="2"/>
        <v>5.246</v>
      </c>
      <c r="L43" s="60">
        <v>0.301</v>
      </c>
      <c r="M43" s="60">
        <f t="shared" si="32"/>
        <v>0.283</v>
      </c>
      <c r="N43" s="62">
        <f t="shared" si="33"/>
        <v>0.283</v>
      </c>
      <c r="O43" s="60">
        <f t="shared" si="5"/>
        <v>0.283</v>
      </c>
      <c r="P43" s="63">
        <v>90.0</v>
      </c>
      <c r="Q43" s="58">
        <v>95.68</v>
      </c>
      <c r="R43" s="65">
        <v>4564.55</v>
      </c>
      <c r="S43" s="66">
        <f t="array" ref="S43">IF((XLOOKUP(D43,RUC!$B$3:$B$106,RUC!$E$3:$E$106)+ROUNDDOWN(O43,1)*100)&lt;95,95,((XLOOKUP(D43,RUC!$B$3:$B$106,RUC!$E$3:$E$106)+ROUNDDOWN(O43,1)*100)))</f>
        <v>110</v>
      </c>
      <c r="T43" s="2"/>
      <c r="U43" s="67">
        <f t="array" ref="U43">XLOOKUP(D43,RUC!$B$3:$B$110,RUC!$F$3:$F$110)</f>
        <v>120</v>
      </c>
      <c r="V43" s="67">
        <v>1.1023</v>
      </c>
      <c r="W43" s="2"/>
      <c r="X43" s="2"/>
      <c r="Y43" s="2">
        <f t="array" ref="Y43">XLOOKUP(D43,RUC!$B$3:$B$110,RUC!$G$3:$G$110)</f>
        <v>20</v>
      </c>
      <c r="Z43" s="69">
        <f t="array" ref="Z43">XLOOKUP(D43,RUC!$B$3:$B$110,RUC!$H$3:$H$110)</f>
        <v>30</v>
      </c>
      <c r="AA43" s="70">
        <f t="shared" si="6"/>
        <v>50</v>
      </c>
      <c r="AB43" s="71">
        <f t="shared" si="29"/>
        <v>1071.465235</v>
      </c>
      <c r="AC43" s="71">
        <f>+(S43-T43)*V43-'data 1'!$F$4</f>
        <v>41.253</v>
      </c>
      <c r="AD43" s="71">
        <f t="shared" si="8"/>
        <v>83.76111212</v>
      </c>
      <c r="AE43" s="71">
        <f t="shared" si="9"/>
        <v>-14.885</v>
      </c>
      <c r="AF43" s="71">
        <f t="shared" si="10"/>
        <v>84.37645509</v>
      </c>
      <c r="AG43" s="72">
        <f t="shared" si="37"/>
        <v>211.5055672</v>
      </c>
      <c r="AH43" s="193">
        <f t="shared" si="12"/>
        <v>51.799</v>
      </c>
      <c r="AI43" s="193">
        <f t="shared" si="13"/>
        <v>54.138</v>
      </c>
      <c r="AJ43" s="73">
        <f t="shared" si="14"/>
        <v>144.5866435</v>
      </c>
      <c r="AK43" s="73">
        <f t="shared" si="15"/>
        <v>45.81063381</v>
      </c>
      <c r="AL43" s="2"/>
      <c r="AM43" s="51">
        <f t="shared" si="16"/>
        <v>5620.906625</v>
      </c>
      <c r="AN43" s="51" t="str">
        <f t="array" ref="AN43">XLOOKUP(D43,RUC!$B$3:$B$565,RUC!$M$3:$M$565)</f>
        <v>Dante </v>
      </c>
      <c r="AO43" s="131" t="s">
        <v>558</v>
      </c>
      <c r="AP43" s="2" t="s">
        <v>3369</v>
      </c>
      <c r="AQ43" s="2" t="s">
        <v>3632</v>
      </c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ht="15.0" customHeight="1">
      <c r="A44" s="116" t="s">
        <v>3633</v>
      </c>
      <c r="B44" s="182">
        <v>46110.0</v>
      </c>
      <c r="C44" s="182">
        <v>46106.0</v>
      </c>
      <c r="D44" s="2" t="s">
        <v>730</v>
      </c>
      <c r="E44" s="3">
        <f t="array" ref="E44">XLOOKUP(D44,RUC!$B$3:$B$110,RUC!$D$3:$D$110)</f>
        <v>20613935151</v>
      </c>
      <c r="F44" s="2"/>
      <c r="G44" s="141">
        <v>38.0</v>
      </c>
      <c r="H44" s="3" t="s">
        <v>47</v>
      </c>
      <c r="I44" s="6">
        <v>2.92</v>
      </c>
      <c r="J44" s="58">
        <v>2.5</v>
      </c>
      <c r="K44" s="6">
        <f t="shared" si="2"/>
        <v>2.847</v>
      </c>
      <c r="L44" s="60">
        <v>0.419</v>
      </c>
      <c r="M44" s="60">
        <f t="shared" si="32"/>
        <v>0.394</v>
      </c>
      <c r="N44" s="62">
        <f t="shared" si="33"/>
        <v>0.394</v>
      </c>
      <c r="O44" s="60">
        <f t="shared" si="5"/>
        <v>0.394</v>
      </c>
      <c r="P44" s="63">
        <v>90.0</v>
      </c>
      <c r="Q44" s="58">
        <v>96.9</v>
      </c>
      <c r="R44" s="65">
        <v>4564.55</v>
      </c>
      <c r="S44" s="66">
        <f t="array" ref="S44">IF((XLOOKUP(D44,RUC!$B$3:$B$106,RUC!$E$3:$E$106)+ROUNDDOWN(O44,1)*100)&lt;95,95,((XLOOKUP(D44,RUC!$B$3:$B$106,RUC!$E$3:$E$106)+ROUNDDOWN(O44,1)*100)))</f>
        <v>120</v>
      </c>
      <c r="T44" s="2"/>
      <c r="U44" s="67">
        <f t="array" ref="U44">XLOOKUP(D44,RUC!$B$3:$B$110,RUC!$F$3:$F$110)</f>
        <v>120</v>
      </c>
      <c r="V44" s="67">
        <v>1.1023</v>
      </c>
      <c r="W44" s="2"/>
      <c r="X44" s="2"/>
      <c r="Y44" s="2">
        <f t="array" ref="Y44">XLOOKUP(D44,RUC!$B$3:$B$110,RUC!$G$3:$G$110)</f>
        <v>20</v>
      </c>
      <c r="Z44" s="69">
        <f t="array" ref="Z44">XLOOKUP(D44,RUC!$B$3:$B$110,RUC!$H$3:$H$110)</f>
        <v>30</v>
      </c>
      <c r="AA44" s="70">
        <f t="shared" si="6"/>
        <v>50</v>
      </c>
      <c r="AB44" s="71">
        <f t="shared" si="29"/>
        <v>1549.875059</v>
      </c>
      <c r="AC44" s="71">
        <f>+(S44-T44)*V44-'data 1'!$F$4</f>
        <v>52.276</v>
      </c>
      <c r="AD44" s="71">
        <f t="shared" si="8"/>
        <v>141.6415652</v>
      </c>
      <c r="AE44" s="71">
        <f t="shared" si="9"/>
        <v>-14.885</v>
      </c>
      <c r="AF44" s="71">
        <f t="shared" si="10"/>
        <v>118.6837853</v>
      </c>
      <c r="AG44" s="72">
        <f t="shared" si="37"/>
        <v>314.7163506</v>
      </c>
      <c r="AH44" s="193">
        <f t="shared" si="12"/>
        <v>39.631</v>
      </c>
      <c r="AI44" s="193">
        <f t="shared" si="13"/>
        <v>40.899</v>
      </c>
      <c r="AJ44" s="73">
        <f t="shared" si="14"/>
        <v>203.8347917</v>
      </c>
      <c r="AK44" s="73">
        <f t="shared" si="15"/>
        <v>34.61268322</v>
      </c>
      <c r="AL44" s="2"/>
      <c r="AM44" s="51">
        <f t="shared" si="16"/>
        <v>4412.494293</v>
      </c>
      <c r="AN44" s="51" t="str">
        <f t="array" ref="AN44">XLOOKUP(D44,RUC!$B$3:$B$565,RUC!$M$3:$M$565)</f>
        <v>Dante </v>
      </c>
      <c r="AO44" s="131" t="s">
        <v>558</v>
      </c>
      <c r="AP44" s="2" t="s">
        <v>3363</v>
      </c>
      <c r="AQ44" s="2" t="s">
        <v>3634</v>
      </c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ht="15.0" customHeight="1">
      <c r="A45" s="116" t="s">
        <v>3635</v>
      </c>
      <c r="B45" s="182">
        <v>46112.0</v>
      </c>
      <c r="C45" s="182">
        <v>46107.0</v>
      </c>
      <c r="D45" s="2" t="s">
        <v>295</v>
      </c>
      <c r="E45" s="3">
        <f t="array" ref="E45">XLOOKUP(D45,RUC!$B$3:$B$110,RUC!$D$3:$D$110)</f>
        <v>20601769396</v>
      </c>
      <c r="F45" s="2"/>
      <c r="G45" s="141">
        <v>24.0</v>
      </c>
      <c r="H45" s="3" t="s">
        <v>339</v>
      </c>
      <c r="I45" s="6">
        <v>2.18</v>
      </c>
      <c r="J45" s="58">
        <v>13.4</v>
      </c>
      <c r="K45" s="6">
        <f t="shared" si="2"/>
        <v>1.888</v>
      </c>
      <c r="L45" s="60">
        <v>0.293</v>
      </c>
      <c r="M45" s="60">
        <f t="shared" si="32"/>
        <v>0.274</v>
      </c>
      <c r="N45" s="62">
        <f t="shared" si="33"/>
        <v>0.274</v>
      </c>
      <c r="O45" s="60">
        <f t="shared" si="5"/>
        <v>0.274</v>
      </c>
      <c r="P45" s="63">
        <v>90.0</v>
      </c>
      <c r="Q45" s="58">
        <v>91.81</v>
      </c>
      <c r="R45" s="65">
        <v>4456.45</v>
      </c>
      <c r="S45" s="66">
        <f t="array" ref="S45">IF((XLOOKUP(D45,RUC!$B$3:$B$106,RUC!$E$3:$E$106)+ROUNDDOWN(O45,1)*100)&lt;95,95,((XLOOKUP(D45,RUC!$B$3:$B$106,RUC!$E$3:$E$106)+ROUNDDOWN(O45,1)*100)))</f>
        <v>110</v>
      </c>
      <c r="T45" s="2"/>
      <c r="U45" s="67">
        <f t="array" ref="U45">XLOOKUP(D45,RUC!$B$3:$B$110,RUC!$F$3:$F$110)</f>
        <v>120</v>
      </c>
      <c r="V45" s="67">
        <v>1.1023</v>
      </c>
      <c r="W45" s="2"/>
      <c r="X45" s="2"/>
      <c r="Y45" s="2">
        <f t="array" ref="Y45">XLOOKUP(D45,RUC!$B$3:$B$110,RUC!$G$3:$G$110)</f>
        <v>20</v>
      </c>
      <c r="Z45" s="69">
        <f t="array" ref="Z45">XLOOKUP(D45,RUC!$B$3:$B$110,RUC!$H$3:$H$110)</f>
        <v>30</v>
      </c>
      <c r="AA45" s="70">
        <f t="shared" si="6"/>
        <v>50</v>
      </c>
      <c r="AB45" s="71">
        <f t="shared" si="29"/>
        <v>1002.396975</v>
      </c>
      <c r="AC45" s="71">
        <f>+(S45-T45)*V45-'data 1'!$F$4</f>
        <v>41.253</v>
      </c>
      <c r="AD45" s="71">
        <f t="shared" si="8"/>
        <v>25.35013905</v>
      </c>
      <c r="AE45" s="71">
        <f t="shared" si="9"/>
        <v>-14.885</v>
      </c>
      <c r="AF45" s="71">
        <f t="shared" si="10"/>
        <v>83.38304275</v>
      </c>
      <c r="AG45" s="72">
        <f t="shared" si="37"/>
        <v>152.1011818</v>
      </c>
      <c r="AH45" s="193">
        <f t="shared" si="12"/>
        <v>17.413</v>
      </c>
      <c r="AI45" s="193">
        <f t="shared" si="13"/>
        <v>18.966</v>
      </c>
      <c r="AJ45" s="73">
        <f t="shared" si="14"/>
        <v>167.1051633</v>
      </c>
      <c r="AK45" s="73">
        <f t="shared" si="15"/>
        <v>15.9626184</v>
      </c>
      <c r="AL45" s="2"/>
      <c r="AM45" s="51">
        <f t="shared" si="16"/>
        <v>1892.525488</v>
      </c>
      <c r="AN45" s="51" t="str">
        <f t="array" ref="AN45">XLOOKUP(D45,RUC!$B$3:$B$565,RUC!$M$3:$M$565)</f>
        <v>Evelyn</v>
      </c>
      <c r="AO45" s="131" t="s">
        <v>558</v>
      </c>
      <c r="AP45" s="2" t="s">
        <v>3636</v>
      </c>
      <c r="AQ45" s="2" t="s">
        <v>2252</v>
      </c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ht="15.0" customHeight="1">
      <c r="A46" s="116" t="s">
        <v>3637</v>
      </c>
      <c r="B46" s="182">
        <v>46112.0</v>
      </c>
      <c r="C46" s="182">
        <v>46107.0</v>
      </c>
      <c r="D46" s="2" t="s">
        <v>295</v>
      </c>
      <c r="E46" s="3">
        <f t="array" ref="E46">XLOOKUP(D46,RUC!$B$3:$B$110,RUC!$D$3:$D$110)</f>
        <v>20601769396</v>
      </c>
      <c r="F46" s="2"/>
      <c r="G46" s="141">
        <v>25.0</v>
      </c>
      <c r="H46" s="3" t="s">
        <v>339</v>
      </c>
      <c r="I46" s="6">
        <v>2.2</v>
      </c>
      <c r="J46" s="58">
        <v>12.45</v>
      </c>
      <c r="K46" s="6">
        <f t="shared" si="2"/>
        <v>1.926</v>
      </c>
      <c r="L46" s="60">
        <v>0.349</v>
      </c>
      <c r="M46" s="60">
        <f t="shared" si="32"/>
        <v>0.328</v>
      </c>
      <c r="N46" s="62">
        <f t="shared" si="33"/>
        <v>0.328</v>
      </c>
      <c r="O46" s="60">
        <f t="shared" si="5"/>
        <v>0.328</v>
      </c>
      <c r="P46" s="63">
        <v>90.0</v>
      </c>
      <c r="Q46" s="58">
        <v>93.7</v>
      </c>
      <c r="R46" s="65">
        <v>4456.45</v>
      </c>
      <c r="S46" s="66">
        <f t="array" ref="S46">IF((XLOOKUP(D46,RUC!$B$3:$B$106,RUC!$E$3:$E$106)+ROUNDDOWN(O46,1)*100)&lt;95,95,((XLOOKUP(D46,RUC!$B$3:$B$106,RUC!$E$3:$E$106)+ROUNDDOWN(O46,1)*100)))</f>
        <v>120</v>
      </c>
      <c r="T46" s="2"/>
      <c r="U46" s="67">
        <f t="array" ref="U46">XLOOKUP(D46,RUC!$B$3:$B$110,RUC!$F$3:$F$110)</f>
        <v>120</v>
      </c>
      <c r="V46" s="67">
        <v>1.1023</v>
      </c>
      <c r="W46" s="2"/>
      <c r="X46" s="2"/>
      <c r="Y46" s="2">
        <f t="array" ref="Y46">XLOOKUP(D46,RUC!$B$3:$B$110,RUC!$G$3:$G$110)</f>
        <v>20</v>
      </c>
      <c r="Z46" s="69">
        <f t="array" ref="Z46">XLOOKUP(D46,RUC!$B$3:$B$110,RUC!$H$3:$H$110)</f>
        <v>30</v>
      </c>
      <c r="AA46" s="70">
        <f t="shared" si="6"/>
        <v>50</v>
      </c>
      <c r="AB46" s="71">
        <f t="shared" si="29"/>
        <v>1223.68532</v>
      </c>
      <c r="AC46" s="71">
        <f>+(S46-T46)*V46-'data 1'!$F$4</f>
        <v>52.276</v>
      </c>
      <c r="AD46" s="71">
        <f t="shared" si="8"/>
        <v>61.72502887</v>
      </c>
      <c r="AE46" s="71">
        <f t="shared" si="9"/>
        <v>-14.885</v>
      </c>
      <c r="AF46" s="71">
        <f t="shared" si="10"/>
        <v>94.05741447</v>
      </c>
      <c r="AG46" s="72">
        <f t="shared" si="37"/>
        <v>210.1734433</v>
      </c>
      <c r="AH46" s="193">
        <f t="shared" si="12"/>
        <v>21.594</v>
      </c>
      <c r="AI46" s="193">
        <f t="shared" si="13"/>
        <v>23.046</v>
      </c>
      <c r="AJ46" s="73">
        <f t="shared" si="14"/>
        <v>203.1408566</v>
      </c>
      <c r="AK46" s="73">
        <f t="shared" si="15"/>
        <v>19.49313566</v>
      </c>
      <c r="AL46" s="2"/>
      <c r="AM46" s="51">
        <f t="shared" si="16"/>
        <v>2356.817926</v>
      </c>
      <c r="AN46" s="51" t="str">
        <f t="array" ref="AN46">XLOOKUP(D46,RUC!$B$3:$B$565,RUC!$M$3:$M$565)</f>
        <v>Evelyn</v>
      </c>
      <c r="AO46" s="131" t="s">
        <v>558</v>
      </c>
      <c r="AP46" s="2" t="s">
        <v>3636</v>
      </c>
      <c r="AQ46" s="2" t="s">
        <v>2252</v>
      </c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ht="15.0" customHeight="1">
      <c r="A47" s="116" t="s">
        <v>3638</v>
      </c>
      <c r="B47" s="182">
        <v>46112.0</v>
      </c>
      <c r="C47" s="182">
        <v>46107.0</v>
      </c>
      <c r="D47" s="2" t="s">
        <v>295</v>
      </c>
      <c r="E47" s="3">
        <f t="array" ref="E47">XLOOKUP(D47,RUC!$B$3:$B$110,RUC!$D$3:$D$110)</f>
        <v>20601769396</v>
      </c>
      <c r="F47" s="2"/>
      <c r="G47" s="141">
        <v>25.0</v>
      </c>
      <c r="H47" s="3" t="s">
        <v>339</v>
      </c>
      <c r="I47" s="6">
        <v>2.2</v>
      </c>
      <c r="J47" s="58">
        <v>14.33</v>
      </c>
      <c r="K47" s="6">
        <f t="shared" si="2"/>
        <v>1.885</v>
      </c>
      <c r="L47" s="60">
        <v>0.438</v>
      </c>
      <c r="M47" s="60">
        <f t="shared" si="32"/>
        <v>0.412</v>
      </c>
      <c r="N47" s="62">
        <f t="shared" si="33"/>
        <v>0.412</v>
      </c>
      <c r="O47" s="60">
        <f t="shared" si="5"/>
        <v>0.412</v>
      </c>
      <c r="P47" s="63">
        <v>90.0</v>
      </c>
      <c r="Q47" s="58">
        <v>95.21</v>
      </c>
      <c r="R47" s="65">
        <v>4456.45</v>
      </c>
      <c r="S47" s="66">
        <f t="array" ref="S47">IF((XLOOKUP(D47,RUC!$B$3:$B$106,RUC!$E$3:$E$106)+ROUNDDOWN(O47,1)*100)&lt;95,95,((XLOOKUP(D47,RUC!$B$3:$B$106,RUC!$E$3:$E$106)+ROUNDDOWN(O47,1)*100)))</f>
        <v>130</v>
      </c>
      <c r="T47" s="2"/>
      <c r="U47" s="67">
        <f t="array" ref="U47">XLOOKUP(D47,RUC!$B$3:$B$110,RUC!$F$3:$F$110)</f>
        <v>120</v>
      </c>
      <c r="V47" s="67">
        <v>1.1023</v>
      </c>
      <c r="W47" s="2"/>
      <c r="X47" s="2"/>
      <c r="Y47" s="2">
        <f t="array" ref="Y47">XLOOKUP(D47,RUC!$B$3:$B$110,RUC!$G$3:$G$110)</f>
        <v>20</v>
      </c>
      <c r="Z47" s="69">
        <f t="array" ref="Z47">XLOOKUP(D47,RUC!$B$3:$B$110,RUC!$H$3:$H$110)</f>
        <v>30</v>
      </c>
      <c r="AA47" s="70">
        <f t="shared" si="6"/>
        <v>50</v>
      </c>
      <c r="AB47" s="71">
        <f t="shared" si="29"/>
        <v>1574.035524</v>
      </c>
      <c r="AC47" s="71">
        <f>+(S47-T47)*V47-'data 1'!$F$4</f>
        <v>63.299</v>
      </c>
      <c r="AD47" s="71">
        <f t="shared" si="8"/>
        <v>109.0802148</v>
      </c>
      <c r="AE47" s="71">
        <f t="shared" si="9"/>
        <v>-14.885</v>
      </c>
      <c r="AF47" s="71">
        <f t="shared" si="10"/>
        <v>118.328692</v>
      </c>
      <c r="AG47" s="72">
        <f t="shared" si="37"/>
        <v>292.8229068</v>
      </c>
      <c r="AH47" s="193">
        <f t="shared" si="12"/>
        <v>26.951</v>
      </c>
      <c r="AI47" s="193">
        <f t="shared" si="13"/>
        <v>28.307</v>
      </c>
      <c r="AJ47" s="73">
        <f t="shared" si="14"/>
        <v>259.0531856</v>
      </c>
      <c r="AK47" s="73">
        <f t="shared" si="15"/>
        <v>23.96404626</v>
      </c>
      <c r="AL47" s="2"/>
      <c r="AM47" s="51">
        <f t="shared" si="16"/>
        <v>2967.056963</v>
      </c>
      <c r="AN47" s="51" t="str">
        <f t="array" ref="AN47">XLOOKUP(D47,RUC!$B$3:$B$565,RUC!$M$3:$M$565)</f>
        <v>Evelyn</v>
      </c>
      <c r="AO47" s="131" t="s">
        <v>558</v>
      </c>
      <c r="AP47" s="2" t="s">
        <v>3636</v>
      </c>
      <c r="AQ47" s="2" t="s">
        <v>2252</v>
      </c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ht="15.0" customHeight="1">
      <c r="A48" s="116" t="s">
        <v>3639</v>
      </c>
      <c r="B48" s="182">
        <v>46112.0</v>
      </c>
      <c r="C48" s="182">
        <v>46107.0</v>
      </c>
      <c r="D48" s="2" t="s">
        <v>295</v>
      </c>
      <c r="E48" s="3">
        <f t="array" ref="E48">XLOOKUP(D48,RUC!$B$3:$B$110,RUC!$D$3:$D$110)</f>
        <v>20601769396</v>
      </c>
      <c r="F48" s="2"/>
      <c r="G48" s="141">
        <v>25.0</v>
      </c>
      <c r="H48" s="3" t="s">
        <v>339</v>
      </c>
      <c r="I48" s="6">
        <v>2.23</v>
      </c>
      <c r="J48" s="58">
        <v>14.8</v>
      </c>
      <c r="K48" s="6">
        <f t="shared" si="2"/>
        <v>1.9</v>
      </c>
      <c r="L48" s="60">
        <v>0.374</v>
      </c>
      <c r="M48" s="60">
        <f t="shared" si="32"/>
        <v>0.352</v>
      </c>
      <c r="N48" s="75">
        <f t="shared" si="33"/>
        <v>0.352</v>
      </c>
      <c r="O48" s="60">
        <f t="shared" si="5"/>
        <v>0.352</v>
      </c>
      <c r="P48" s="63">
        <v>90.0</v>
      </c>
      <c r="Q48" s="58">
        <v>94.65</v>
      </c>
      <c r="R48" s="65">
        <v>4456.45</v>
      </c>
      <c r="S48" s="66">
        <f t="array" ref="S48">IF((XLOOKUP(D48,RUC!$B$3:$B$106,RUC!$E$3:$E$106)+ROUNDDOWN(O48,1)*100)&lt;95,95,((XLOOKUP(D48,RUC!$B$3:$B$106,RUC!$E$3:$E$106)+ROUNDDOWN(O48,1)*100)))</f>
        <v>120</v>
      </c>
      <c r="T48" s="2"/>
      <c r="U48" s="67">
        <f t="array" ref="U48">XLOOKUP(D48,RUC!$B$3:$B$110,RUC!$F$3:$F$110)</f>
        <v>120</v>
      </c>
      <c r="V48" s="67">
        <v>1.1023</v>
      </c>
      <c r="W48" s="2"/>
      <c r="X48" s="2"/>
      <c r="Y48" s="2">
        <f t="array" ref="Y48">XLOOKUP(D48,RUC!$B$3:$B$110,RUC!$G$3:$G$110)</f>
        <v>20</v>
      </c>
      <c r="Z48" s="69">
        <f t="array" ref="Z48">XLOOKUP(D48,RUC!$B$3:$B$110,RUC!$H$3:$H$110)</f>
        <v>30</v>
      </c>
      <c r="AA48" s="70">
        <f t="shared" si="6"/>
        <v>50</v>
      </c>
      <c r="AB48" s="71">
        <f t="shared" si="29"/>
        <v>1326.934807</v>
      </c>
      <c r="AC48" s="71">
        <f>+(S48-T48)*V48-'data 1'!$F$4</f>
        <v>52.276</v>
      </c>
      <c r="AD48" s="71">
        <f t="shared" si="8"/>
        <v>83.13017711</v>
      </c>
      <c r="AE48" s="71">
        <f t="shared" si="9"/>
        <v>-14.885</v>
      </c>
      <c r="AF48" s="71">
        <f t="shared" si="10"/>
        <v>99.53537335</v>
      </c>
      <c r="AG48" s="72">
        <f t="shared" si="37"/>
        <v>237.0565505</v>
      </c>
      <c r="AH48" s="193">
        <f t="shared" si="12"/>
        <v>23.06</v>
      </c>
      <c r="AI48" s="193">
        <f t="shared" si="13"/>
        <v>24.363</v>
      </c>
      <c r="AJ48" s="73">
        <f t="shared" si="14"/>
        <v>219.8996216</v>
      </c>
      <c r="AK48" s="73">
        <f t="shared" si="15"/>
        <v>20.63706078</v>
      </c>
      <c r="AL48" s="2"/>
      <c r="AM48" s="51">
        <f t="shared" si="16"/>
        <v>2521.176133</v>
      </c>
      <c r="AN48" s="51" t="str">
        <f t="array" ref="AN48">XLOOKUP(D48,RUC!$B$3:$B$565,RUC!$M$3:$M$565)</f>
        <v>Evelyn</v>
      </c>
      <c r="AO48" s="131" t="s">
        <v>558</v>
      </c>
      <c r="AP48" s="2" t="s">
        <v>3636</v>
      </c>
      <c r="AQ48" s="2" t="s">
        <v>2252</v>
      </c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ht="15.0" customHeight="1">
      <c r="A49" s="116" t="s">
        <v>3640</v>
      </c>
      <c r="B49" s="182">
        <v>46112.0</v>
      </c>
      <c r="C49" s="182">
        <v>46107.0</v>
      </c>
      <c r="D49" s="2" t="s">
        <v>705</v>
      </c>
      <c r="E49" s="3">
        <f t="array" ref="E49">XLOOKUP(D49,RUC!$B$3:$B$110,RUC!$D$3:$D$110)</f>
        <v>20614031698</v>
      </c>
      <c r="F49" s="2"/>
      <c r="G49" s="141">
        <v>33.0</v>
      </c>
      <c r="H49" s="3" t="s">
        <v>47</v>
      </c>
      <c r="I49" s="6">
        <v>3.0</v>
      </c>
      <c r="J49" s="58">
        <v>2.0</v>
      </c>
      <c r="K49" s="6">
        <f t="shared" si="2"/>
        <v>2.94</v>
      </c>
      <c r="L49" s="60">
        <v>0.347</v>
      </c>
      <c r="M49" s="60">
        <f t="shared" si="32"/>
        <v>0.326</v>
      </c>
      <c r="N49" s="75">
        <v>0.373</v>
      </c>
      <c r="O49" s="60">
        <f t="shared" si="5"/>
        <v>0.35</v>
      </c>
      <c r="P49" s="63">
        <v>90.0</v>
      </c>
      <c r="Q49" s="58">
        <v>98.85</v>
      </c>
      <c r="R49" s="65">
        <v>4456.45</v>
      </c>
      <c r="S49" s="66">
        <f t="array" ref="S49">IF((XLOOKUP(D49,RUC!$B$3:$B$106,RUC!$E$3:$E$106)+ROUNDDOWN(O49,1)*100)&lt;95,95,((XLOOKUP(D49,RUC!$B$3:$B$106,RUC!$E$3:$E$106)+ROUNDDOWN(O49,1)*100)))</f>
        <v>110</v>
      </c>
      <c r="T49" s="2"/>
      <c r="U49" s="67">
        <f t="array" ref="U49">XLOOKUP(D49,RUC!$B$3:$B$110,RUC!$F$3:$F$110)</f>
        <v>110</v>
      </c>
      <c r="V49" s="67">
        <v>1.1023</v>
      </c>
      <c r="W49" s="2"/>
      <c r="X49" s="2"/>
      <c r="Y49" s="2">
        <f t="array" ref="Y49">XLOOKUP(D49,RUC!$B$3:$B$110,RUC!$G$3:$G$110)</f>
        <v>0</v>
      </c>
      <c r="Z49" s="69">
        <f t="array" ref="Z49">XLOOKUP(D49,RUC!$B$3:$B$110,RUC!$H$3:$H$110)</f>
        <v>35</v>
      </c>
      <c r="AA49" s="70">
        <f t="shared" si="6"/>
        <v>35</v>
      </c>
      <c r="AB49" s="71">
        <f t="shared" si="29"/>
        <v>1349.360428</v>
      </c>
      <c r="AC49" s="71">
        <f>+(S49-T49)*V49-'data 1'!$F$4</f>
        <v>41.253</v>
      </c>
      <c r="AD49" s="71">
        <f t="shared" si="8"/>
        <v>147.1320347</v>
      </c>
      <c r="AE49" s="71">
        <f t="shared" si="9"/>
        <v>-31.4195</v>
      </c>
      <c r="AF49" s="71">
        <f t="shared" si="10"/>
        <v>-14.20798284</v>
      </c>
      <c r="AG49" s="72">
        <f t="shared" si="37"/>
        <v>159.7575519</v>
      </c>
      <c r="AH49" s="193">
        <f t="shared" si="12"/>
        <v>34.575</v>
      </c>
      <c r="AI49" s="193">
        <f t="shared" si="13"/>
        <v>34.977</v>
      </c>
      <c r="AJ49" s="73">
        <f t="shared" si="14"/>
        <v>209.2969073</v>
      </c>
      <c r="AK49" s="73">
        <f t="shared" si="15"/>
        <v>31.75169787</v>
      </c>
      <c r="AL49" s="2"/>
      <c r="AM49" s="51">
        <f t="shared" si="16"/>
        <v>3967.119658</v>
      </c>
      <c r="AN49" s="51" t="str">
        <f t="array" ref="AN49">XLOOKUP(D49,RUC!$B$3:$B$565,RUC!$M$3:$M$565)</f>
        <v>Robinson Tuya</v>
      </c>
      <c r="AO49" s="131" t="s">
        <v>558</v>
      </c>
      <c r="AP49" s="2" t="s">
        <v>3060</v>
      </c>
      <c r="AQ49" s="2" t="s">
        <v>1399</v>
      </c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ht="15.0" customHeight="1">
      <c r="A50" s="116" t="s">
        <v>3641</v>
      </c>
      <c r="B50" s="182">
        <v>46112.0</v>
      </c>
      <c r="C50" s="182">
        <v>46107.0</v>
      </c>
      <c r="D50" s="2" t="s">
        <v>705</v>
      </c>
      <c r="E50" s="3">
        <f t="array" ref="E50">XLOOKUP(D50,RUC!$B$3:$B$110,RUC!$D$3:$D$110)</f>
        <v>20614031698</v>
      </c>
      <c r="F50" s="2"/>
      <c r="G50" s="141">
        <v>18.0</v>
      </c>
      <c r="H50" s="3" t="s">
        <v>47</v>
      </c>
      <c r="I50" s="6">
        <v>1.82</v>
      </c>
      <c r="J50" s="58">
        <v>2.0</v>
      </c>
      <c r="K50" s="6">
        <f t="shared" si="2"/>
        <v>1.784</v>
      </c>
      <c r="L50" s="60">
        <v>0.254</v>
      </c>
      <c r="M50" s="60">
        <f t="shared" si="32"/>
        <v>0.235</v>
      </c>
      <c r="N50" s="62">
        <f>+M50</f>
        <v>0.235</v>
      </c>
      <c r="O50" s="60">
        <f t="shared" si="5"/>
        <v>0.235</v>
      </c>
      <c r="P50" s="63">
        <v>90.0</v>
      </c>
      <c r="Q50" s="2">
        <v>97.64</v>
      </c>
      <c r="R50" s="65">
        <v>4456.45</v>
      </c>
      <c r="S50" s="66">
        <f t="array" ref="S50">IF((XLOOKUP(D50,RUC!$B$3:$B$106,RUC!$E$3:$E$106)+ROUNDDOWN(O50,1)*100)&lt;95,95,((XLOOKUP(D50,RUC!$B$3:$B$106,RUC!$E$3:$E$106)+ROUNDDOWN(O50,1)*100)))</f>
        <v>100</v>
      </c>
      <c r="T50" s="2"/>
      <c r="U50" s="67">
        <f t="array" ref="U50">XLOOKUP(D50,RUC!$B$3:$B$110,RUC!$F$3:$F$110)</f>
        <v>110</v>
      </c>
      <c r="V50" s="67">
        <v>1.1023</v>
      </c>
      <c r="W50" s="2"/>
      <c r="X50" s="2"/>
      <c r="Y50" s="2">
        <f t="array" ref="Y50">XLOOKUP(D50,RUC!$B$3:$B$110,RUC!$G$3:$G$110)</f>
        <v>0</v>
      </c>
      <c r="Z50" s="69">
        <f t="array" ref="Z50">XLOOKUP(D50,RUC!$B$3:$B$110,RUC!$H$3:$H$110)</f>
        <v>35</v>
      </c>
      <c r="AA50" s="70">
        <f t="shared" si="6"/>
        <v>35</v>
      </c>
      <c r="AB50" s="71">
        <f t="shared" si="29"/>
        <v>864.5054231</v>
      </c>
      <c r="AC50" s="71">
        <f>+(S50-T50)*V50-'data 1'!$F$4</f>
        <v>30.23</v>
      </c>
      <c r="AD50" s="71">
        <f t="shared" si="8"/>
        <v>92.97401171</v>
      </c>
      <c r="AE50" s="71">
        <f t="shared" si="9"/>
        <v>-31.4195</v>
      </c>
      <c r="AF50" s="71">
        <f t="shared" si="10"/>
        <v>88.88241929</v>
      </c>
      <c r="AG50" s="72">
        <f t="shared" si="37"/>
        <v>197.666931</v>
      </c>
      <c r="AH50" s="193">
        <f t="shared" si="12"/>
        <v>15.169</v>
      </c>
      <c r="AI50" s="193">
        <f t="shared" si="13"/>
        <v>15.536</v>
      </c>
      <c r="AJ50" s="73">
        <f t="shared" si="14"/>
        <v>151.3276019</v>
      </c>
      <c r="AK50" s="73">
        <f t="shared" si="15"/>
        <v>12.93642548</v>
      </c>
      <c r="AL50" s="2"/>
      <c r="AM50" s="51">
        <f t="shared" si="16"/>
        <v>1542.277675</v>
      </c>
      <c r="AN50" s="51" t="str">
        <f t="array" ref="AN50">XLOOKUP(D50,RUC!$B$3:$B$565,RUC!$M$3:$M$565)</f>
        <v>Robinson Tuya</v>
      </c>
      <c r="AO50" s="131" t="s">
        <v>558</v>
      </c>
      <c r="AP50" s="2" t="s">
        <v>3060</v>
      </c>
      <c r="AQ50" s="2" t="s">
        <v>1399</v>
      </c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 ht="15.0" customHeight="1">
      <c r="A51" s="116" t="s">
        <v>3642</v>
      </c>
      <c r="B51" s="182">
        <v>46118.0</v>
      </c>
      <c r="C51" s="182">
        <v>46108.0</v>
      </c>
      <c r="D51" s="2" t="s">
        <v>602</v>
      </c>
      <c r="E51" s="3">
        <f t="array" ref="E51">XLOOKUP(D51,RUC!$B$3:$B$110,RUC!$D$3:$D$110)</f>
        <v>20169040231</v>
      </c>
      <c r="F51" s="2"/>
      <c r="G51" s="141">
        <v>41.0</v>
      </c>
      <c r="H51" s="3" t="s">
        <v>47</v>
      </c>
      <c r="I51" s="6">
        <v>3.58</v>
      </c>
      <c r="J51" s="58">
        <v>2.0</v>
      </c>
      <c r="K51" s="6">
        <f t="shared" si="2"/>
        <v>3.508</v>
      </c>
      <c r="L51" s="60">
        <v>1.275</v>
      </c>
      <c r="M51" s="60">
        <f t="shared" si="32"/>
        <v>1.199</v>
      </c>
      <c r="N51" s="75">
        <v>1.301</v>
      </c>
      <c r="O51" s="60">
        <f t="shared" si="5"/>
        <v>1.25</v>
      </c>
      <c r="P51" s="201">
        <v>71.0</v>
      </c>
      <c r="Q51" s="58">
        <v>71.45</v>
      </c>
      <c r="R51" s="65">
        <v>4504.15</v>
      </c>
      <c r="S51" s="66">
        <f t="array" ref="S51">IF((XLOOKUP(D51,RUC!$B$3:$B$106,RUC!$E$3:$E$106)+ROUNDDOWN(O51,1)*100)&lt;95,95,((XLOOKUP(D51,RUC!$B$3:$B$106,RUC!$E$3:$E$106)+ROUNDDOWN(O51,1)*100)))</f>
        <v>205</v>
      </c>
      <c r="T51" s="2"/>
      <c r="U51" s="67">
        <f t="array" ref="U51">XLOOKUP(D51,RUC!$B$3:$B$110,RUC!$F$3:$F$110)</f>
        <v>120</v>
      </c>
      <c r="V51" s="67">
        <v>1.1023</v>
      </c>
      <c r="W51" s="2"/>
      <c r="X51" s="2"/>
      <c r="Y51" s="2">
        <f t="array" ref="Y51">XLOOKUP(D51,RUC!$B$3:$B$110,RUC!$G$3:$G$110)</f>
        <v>20</v>
      </c>
      <c r="Z51" s="140">
        <v>35.0</v>
      </c>
      <c r="AA51" s="70">
        <f t="shared" si="6"/>
        <v>55</v>
      </c>
      <c r="AB51" s="71">
        <f t="shared" si="29"/>
        <v>4002.377584</v>
      </c>
      <c r="AC51" s="71">
        <f>+(S51-T51)*V51-'data 1'!$F$4</f>
        <v>145.9715</v>
      </c>
      <c r="AD51" s="71">
        <f t="shared" si="8"/>
        <v>27.72732103</v>
      </c>
      <c r="AE51" s="71">
        <f t="shared" si="9"/>
        <v>-9.3735</v>
      </c>
      <c r="AF51" s="71">
        <f t="shared" si="10"/>
        <v>86.32318464</v>
      </c>
      <c r="AG51" s="72">
        <f t="shared" si="37"/>
        <v>267.6485057</v>
      </c>
      <c r="AH51" s="193">
        <f t="shared" si="12"/>
        <v>109.567</v>
      </c>
      <c r="AI51" s="193">
        <f t="shared" si="13"/>
        <v>153.348</v>
      </c>
      <c r="AJ51" s="73">
        <f t="shared" si="14"/>
        <v>518.0070377</v>
      </c>
      <c r="AK51" s="73">
        <f t="shared" si="15"/>
        <v>106.7424129</v>
      </c>
      <c r="AL51" s="2"/>
      <c r="AM51" s="51">
        <f t="shared" si="16"/>
        <v>14040.34056</v>
      </c>
      <c r="AN51" s="51" t="str">
        <f t="array" ref="AN51">XLOOKUP(D51,RUC!$B$3:$B$565,RUC!$M$3:$M$565)</f>
        <v>Ronald Miranda</v>
      </c>
      <c r="AO51" s="131" t="s">
        <v>551</v>
      </c>
      <c r="AP51" s="2" t="s">
        <v>3643</v>
      </c>
      <c r="AQ51" s="2" t="s">
        <v>3644</v>
      </c>
      <c r="AR51" s="2" t="s">
        <v>3645</v>
      </c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 ht="15.0" customHeight="1">
      <c r="A52" s="116" t="s">
        <v>3646</v>
      </c>
      <c r="B52" s="182">
        <v>46118.0</v>
      </c>
      <c r="C52" s="182">
        <v>46108.0</v>
      </c>
      <c r="D52" s="2" t="s">
        <v>602</v>
      </c>
      <c r="E52" s="3">
        <f t="array" ref="E52">XLOOKUP(D52,RUC!$B$3:$B$110,RUC!$D$3:$D$110)</f>
        <v>20169040231</v>
      </c>
      <c r="F52" s="2"/>
      <c r="G52" s="141">
        <v>100.0</v>
      </c>
      <c r="H52" s="3" t="s">
        <v>47</v>
      </c>
      <c r="I52" s="6">
        <v>9.97</v>
      </c>
      <c r="J52" s="58">
        <v>2.2</v>
      </c>
      <c r="K52" s="6">
        <f t="shared" si="2"/>
        <v>9.751</v>
      </c>
      <c r="L52" s="60">
        <v>0.55</v>
      </c>
      <c r="M52" s="60">
        <f t="shared" si="32"/>
        <v>0.517</v>
      </c>
      <c r="N52" s="75">
        <v>0.583</v>
      </c>
      <c r="O52" s="60">
        <f t="shared" si="5"/>
        <v>0.55</v>
      </c>
      <c r="P52" s="63">
        <v>90.0</v>
      </c>
      <c r="Q52" s="58">
        <v>92.0</v>
      </c>
      <c r="R52" s="65">
        <v>4504.15</v>
      </c>
      <c r="S52" s="66">
        <f t="array" ref="S52">IF((XLOOKUP(D52,RUC!$B$3:$B$106,RUC!$E$3:$E$106)+ROUNDDOWN(O52,1)*100)&lt;95,95,((XLOOKUP(D52,RUC!$B$3:$B$106,RUC!$E$3:$E$106)+ROUNDDOWN(O52,1)*100)))</f>
        <v>135</v>
      </c>
      <c r="T52" s="2"/>
      <c r="U52" s="67">
        <f t="array" ref="U52">XLOOKUP(D52,RUC!$B$3:$B$110,RUC!$F$3:$F$110)</f>
        <v>120</v>
      </c>
      <c r="V52" s="67">
        <v>1.1023</v>
      </c>
      <c r="W52" s="2"/>
      <c r="X52" s="2"/>
      <c r="Y52" s="199">
        <v>40.0</v>
      </c>
      <c r="Z52" s="140">
        <v>35.0</v>
      </c>
      <c r="AA52" s="70">
        <f t="shared" si="6"/>
        <v>75</v>
      </c>
      <c r="AB52" s="71">
        <f t="shared" si="29"/>
        <v>2160.67803</v>
      </c>
      <c r="AC52" s="71">
        <f>+(S52-T52)*V52-'data 1'!$F$4</f>
        <v>68.8105</v>
      </c>
      <c r="AD52" s="71">
        <f t="shared" si="8"/>
        <v>53.159134</v>
      </c>
      <c r="AE52" s="71">
        <f t="shared" si="9"/>
        <v>12.6725</v>
      </c>
      <c r="AF52" s="71">
        <f t="shared" si="10"/>
        <v>0</v>
      </c>
      <c r="AG52" s="72">
        <f t="shared" si="37"/>
        <v>151.642134</v>
      </c>
      <c r="AH52" s="193">
        <f t="shared" si="12"/>
        <v>169.164</v>
      </c>
      <c r="AI52" s="193">
        <f t="shared" si="13"/>
        <v>183.874</v>
      </c>
      <c r="AJ52" s="73">
        <f t="shared" si="14"/>
        <v>287.7224562</v>
      </c>
      <c r="AK52" s="73">
        <f t="shared" si="15"/>
        <v>165.4868253</v>
      </c>
      <c r="AL52" s="2"/>
      <c r="AM52" s="51">
        <f t="shared" si="16"/>
        <v>21068.77147</v>
      </c>
      <c r="AN52" s="51" t="str">
        <f t="array" ref="AN52">XLOOKUP(D52,RUC!$B$3:$B$565,RUC!$M$3:$M$565)</f>
        <v>Ronald Miranda</v>
      </c>
      <c r="AO52" s="131" t="s">
        <v>551</v>
      </c>
      <c r="AP52" s="2" t="s">
        <v>3643</v>
      </c>
      <c r="AQ52" s="2" t="s">
        <v>3644</v>
      </c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 ht="15.0" customHeight="1">
      <c r="A53" s="116" t="s">
        <v>3647</v>
      </c>
      <c r="B53" s="182">
        <v>46118.0</v>
      </c>
      <c r="C53" s="182">
        <v>46108.0</v>
      </c>
      <c r="D53" s="2" t="s">
        <v>602</v>
      </c>
      <c r="E53" s="3">
        <f t="array" ref="E53">XLOOKUP(D53,RUC!$B$3:$B$110,RUC!$D$3:$D$110)</f>
        <v>20169040231</v>
      </c>
      <c r="F53" s="2"/>
      <c r="G53" s="141">
        <v>21.0</v>
      </c>
      <c r="H53" s="3" t="s">
        <v>47</v>
      </c>
      <c r="I53" s="6">
        <v>2.01</v>
      </c>
      <c r="J53" s="58">
        <v>5.35</v>
      </c>
      <c r="K53" s="6">
        <f t="shared" si="2"/>
        <v>1.902</v>
      </c>
      <c r="L53" s="60">
        <v>0.506</v>
      </c>
      <c r="M53" s="60">
        <f t="shared" si="32"/>
        <v>0.476</v>
      </c>
      <c r="N53" s="62">
        <f>+M53</f>
        <v>0.476</v>
      </c>
      <c r="O53" s="60">
        <f t="shared" si="5"/>
        <v>0.476</v>
      </c>
      <c r="P53" s="63">
        <v>89.0</v>
      </c>
      <c r="Q53" s="58">
        <v>89.92</v>
      </c>
      <c r="R53" s="65">
        <v>4504.15</v>
      </c>
      <c r="S53" s="66">
        <f t="array" ref="S53">IF((XLOOKUP(D53,RUC!$B$3:$B$106,RUC!$E$3:$E$106)+ROUNDDOWN(O53,1)*100)&lt;95,95,((XLOOKUP(D53,RUC!$B$3:$B$106,RUC!$E$3:$E$106)+ROUNDDOWN(O53,1)*100)))</f>
        <v>125</v>
      </c>
      <c r="T53" s="2"/>
      <c r="U53" s="67">
        <f t="array" ref="U53">XLOOKUP(D53,RUC!$B$3:$B$110,RUC!$F$3:$F$110)</f>
        <v>120</v>
      </c>
      <c r="V53" s="67">
        <v>1.1023</v>
      </c>
      <c r="W53" s="2"/>
      <c r="X53" s="2"/>
      <c r="Y53" s="2">
        <f t="array" ref="Y53">XLOOKUP(D53,RUC!$B$3:$B$110,RUC!$G$3:$G$110)</f>
        <v>20</v>
      </c>
      <c r="Z53" s="140">
        <v>35.0</v>
      </c>
      <c r="AA53" s="70">
        <f t="shared" si="6"/>
        <v>55</v>
      </c>
      <c r="AB53" s="71">
        <f t="shared" si="29"/>
        <v>1848.88923</v>
      </c>
      <c r="AC53" s="71">
        <f>+(S53-T53)*V53-'data 1'!$F$4</f>
        <v>57.7875</v>
      </c>
      <c r="AD53" s="71">
        <f t="shared" si="8"/>
        <v>22.49694551</v>
      </c>
      <c r="AE53" s="71">
        <f t="shared" si="9"/>
        <v>-9.3735</v>
      </c>
      <c r="AF53" s="71">
        <f t="shared" si="10"/>
        <v>130.3655271</v>
      </c>
      <c r="AG53" s="72">
        <f t="shared" si="37"/>
        <v>218.2764727</v>
      </c>
      <c r="AH53" s="193">
        <f t="shared" si="12"/>
        <v>29.671</v>
      </c>
      <c r="AI53" s="193">
        <f t="shared" si="13"/>
        <v>32.997</v>
      </c>
      <c r="AJ53" s="73">
        <f t="shared" si="14"/>
        <v>258.7200326</v>
      </c>
      <c r="AK53" s="73">
        <f t="shared" si="15"/>
        <v>27.62590673</v>
      </c>
      <c r="AL53" s="2"/>
      <c r="AM53" s="51">
        <f t="shared" si="16"/>
        <v>3516.587315</v>
      </c>
      <c r="AN53" s="51" t="str">
        <f t="array" ref="AN53">XLOOKUP(D53,RUC!$B$3:$B$565,RUC!$M$3:$M$565)</f>
        <v>Ronald Miranda</v>
      </c>
      <c r="AO53" s="131" t="s">
        <v>551</v>
      </c>
      <c r="AP53" s="2" t="s">
        <v>3643</v>
      </c>
      <c r="AQ53" s="2" t="s">
        <v>3644</v>
      </c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 ht="15.0" customHeight="1">
      <c r="A54" s="116" t="s">
        <v>3648</v>
      </c>
      <c r="B54" s="182">
        <v>46112.0</v>
      </c>
      <c r="C54" s="182">
        <v>46108.0</v>
      </c>
      <c r="D54" s="2" t="s">
        <v>602</v>
      </c>
      <c r="E54" s="3">
        <f t="array" ref="E54">XLOOKUP(D54,RUC!$B$3:$B$110,RUC!$D$3:$D$110)</f>
        <v>20169040231</v>
      </c>
      <c r="F54" s="2"/>
      <c r="G54" s="141">
        <v>60.0</v>
      </c>
      <c r="H54" s="3" t="s">
        <v>47</v>
      </c>
      <c r="I54" s="6">
        <v>5.59</v>
      </c>
      <c r="J54" s="58">
        <v>2.1</v>
      </c>
      <c r="K54" s="6">
        <f t="shared" si="2"/>
        <v>5.473</v>
      </c>
      <c r="L54" s="60">
        <v>0.191</v>
      </c>
      <c r="M54" s="60">
        <f t="shared" si="32"/>
        <v>0.172</v>
      </c>
      <c r="N54" s="75">
        <v>0.251</v>
      </c>
      <c r="O54" s="60">
        <f t="shared" si="5"/>
        <v>0.212</v>
      </c>
      <c r="P54" s="63">
        <v>90.0</v>
      </c>
      <c r="Q54" s="58">
        <v>94.76</v>
      </c>
      <c r="R54" s="65">
        <v>4504.15</v>
      </c>
      <c r="S54" s="66">
        <f t="array" ref="S54">IF((XLOOKUP(D54,RUC!$B$3:$B$106,RUC!$E$3:$E$106)+ROUNDDOWN(O54,1)*100)&lt;95,95,((XLOOKUP(D54,RUC!$B$3:$B$106,RUC!$E$3:$E$106)+ROUNDDOWN(O54,1)*100)))</f>
        <v>105</v>
      </c>
      <c r="T54" s="2"/>
      <c r="U54" s="67">
        <f t="array" ref="U54">XLOOKUP(D54,RUC!$B$3:$B$110,RUC!$F$3:$F$110)</f>
        <v>120</v>
      </c>
      <c r="V54" s="67">
        <v>1.1023</v>
      </c>
      <c r="W54" s="2"/>
      <c r="X54" s="2"/>
      <c r="Y54" s="199">
        <v>50.0</v>
      </c>
      <c r="Z54" s="140">
        <v>35.0</v>
      </c>
      <c r="AA54" s="70">
        <f t="shared" si="6"/>
        <v>85</v>
      </c>
      <c r="AB54" s="71">
        <f t="shared" si="29"/>
        <v>712.6323424</v>
      </c>
      <c r="AC54" s="71">
        <f>+(S54-T54)*V54-'data 1'!$F$4</f>
        <v>35.7415</v>
      </c>
      <c r="AD54" s="71">
        <f t="shared" si="8"/>
        <v>43.93650751</v>
      </c>
      <c r="AE54" s="71">
        <f t="shared" si="9"/>
        <v>23.6955</v>
      </c>
      <c r="AF54" s="71">
        <f t="shared" si="10"/>
        <v>-96.16777299</v>
      </c>
      <c r="AG54" s="72">
        <f t="shared" si="37"/>
        <v>24.20573453</v>
      </c>
      <c r="AH54" s="193">
        <f t="shared" si="12"/>
        <v>33.962</v>
      </c>
      <c r="AI54" s="193">
        <f t="shared" si="13"/>
        <v>35.84</v>
      </c>
      <c r="AJ54" s="73">
        <f t="shared" si="14"/>
        <v>102.9157069</v>
      </c>
      <c r="AK54" s="73">
        <f t="shared" si="15"/>
        <v>35.80246161</v>
      </c>
      <c r="AL54" s="2"/>
      <c r="AM54" s="51">
        <f t="shared" si="16"/>
        <v>3900.23681</v>
      </c>
      <c r="AN54" s="51" t="str">
        <f t="array" ref="AN54">XLOOKUP(D54,RUC!$B$3:$B$565,RUC!$M$3:$M$565)</f>
        <v>Ronald Miranda</v>
      </c>
      <c r="AO54" s="131" t="s">
        <v>551</v>
      </c>
      <c r="AP54" s="2" t="s">
        <v>3643</v>
      </c>
      <c r="AQ54" s="2" t="s">
        <v>3644</v>
      </c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 ht="15.0" customHeight="1">
      <c r="A55" s="116" t="s">
        <v>3649</v>
      </c>
      <c r="B55" s="182">
        <v>46112.0</v>
      </c>
      <c r="C55" s="182">
        <v>46108.0</v>
      </c>
      <c r="D55" s="2" t="s">
        <v>602</v>
      </c>
      <c r="E55" s="3">
        <f t="array" ref="E55">XLOOKUP(D55,RUC!$B$3:$B$110,RUC!$D$3:$D$110)</f>
        <v>20169040231</v>
      </c>
      <c r="F55" s="2"/>
      <c r="G55" s="141">
        <v>53.0</v>
      </c>
      <c r="H55" s="3" t="s">
        <v>47</v>
      </c>
      <c r="I55" s="6">
        <v>5.4</v>
      </c>
      <c r="J55" s="58">
        <v>3.15</v>
      </c>
      <c r="K55" s="6">
        <f t="shared" si="2"/>
        <v>5.23</v>
      </c>
      <c r="L55" s="60">
        <v>0.209</v>
      </c>
      <c r="M55" s="60">
        <f t="shared" si="32"/>
        <v>0.19</v>
      </c>
      <c r="N55" s="62">
        <f>+M55</f>
        <v>0.19</v>
      </c>
      <c r="O55" s="60">
        <f t="shared" si="5"/>
        <v>0.19</v>
      </c>
      <c r="P55" s="63">
        <v>85.0</v>
      </c>
      <c r="Q55" s="58">
        <v>91.39</v>
      </c>
      <c r="R55" s="65">
        <v>4504.15</v>
      </c>
      <c r="S55" s="66">
        <f t="array" ref="S55">IF((XLOOKUP(D55,RUC!$B$3:$B$106,RUC!$E$3:$E$106)+ROUNDDOWN(O55,1)*100)&lt;95,95,((XLOOKUP(D55,RUC!$B$3:$B$106,RUC!$E$3:$E$106)+ROUNDDOWN(O55,1)*100)))</f>
        <v>95</v>
      </c>
      <c r="T55" s="2"/>
      <c r="U55" s="67">
        <f t="array" ref="U55">XLOOKUP(D55,RUC!$B$3:$B$110,RUC!$F$3:$F$110)</f>
        <v>120</v>
      </c>
      <c r="V55" s="67">
        <v>1.1023</v>
      </c>
      <c r="W55" s="2"/>
      <c r="X55" s="2"/>
      <c r="Y55" s="2">
        <v>30.0</v>
      </c>
      <c r="Z55" s="140">
        <v>35.0</v>
      </c>
      <c r="AA55" s="70">
        <f t="shared" si="6"/>
        <v>65</v>
      </c>
      <c r="AB55" s="71">
        <f t="shared" si="29"/>
        <v>604.10474</v>
      </c>
      <c r="AC55" s="71">
        <f>+(S55-T55)*V55-'data 1'!$F$4</f>
        <v>24.7185</v>
      </c>
      <c r="AD55" s="71">
        <f t="shared" si="8"/>
        <v>64.54050458</v>
      </c>
      <c r="AE55" s="71">
        <f t="shared" si="9"/>
        <v>1.6495</v>
      </c>
      <c r="AF55" s="71">
        <f t="shared" si="10"/>
        <v>83.9145926</v>
      </c>
      <c r="AG55" s="72">
        <f t="shared" si="37"/>
        <v>191.8230972</v>
      </c>
      <c r="AH55" s="193">
        <f t="shared" si="12"/>
        <v>34.25</v>
      </c>
      <c r="AI55" s="193">
        <f t="shared" si="13"/>
        <v>37.476</v>
      </c>
      <c r="AJ55" s="73">
        <f t="shared" si="14"/>
        <v>108.6095979</v>
      </c>
      <c r="AK55" s="73">
        <f t="shared" si="15"/>
        <v>28.95898159</v>
      </c>
      <c r="AL55" s="2"/>
      <c r="AM55" s="51">
        <f t="shared" si="16"/>
        <v>3159.46779</v>
      </c>
      <c r="AN55" s="51" t="str">
        <f t="array" ref="AN55">XLOOKUP(D55,RUC!$B$3:$B$565,RUC!$M$3:$M$565)</f>
        <v>Ronald Miranda</v>
      </c>
      <c r="AO55" s="131" t="s">
        <v>551</v>
      </c>
      <c r="AP55" s="2" t="s">
        <v>3643</v>
      </c>
      <c r="AQ55" s="2" t="s">
        <v>3644</v>
      </c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 ht="15.0" customHeight="1">
      <c r="A56" s="116" t="s">
        <v>3650</v>
      </c>
      <c r="B56" s="182">
        <v>46112.0</v>
      </c>
      <c r="C56" s="182">
        <v>46108.0</v>
      </c>
      <c r="D56" s="2" t="s">
        <v>602</v>
      </c>
      <c r="E56" s="3">
        <f t="array" ref="E56">XLOOKUP(D56,RUC!$B$3:$B$110,RUC!$D$3:$D$110)</f>
        <v>20169040231</v>
      </c>
      <c r="F56" s="2"/>
      <c r="G56" s="141">
        <v>60.0</v>
      </c>
      <c r="H56" s="3" t="s">
        <v>47</v>
      </c>
      <c r="I56" s="6">
        <v>5.49</v>
      </c>
      <c r="J56" s="58">
        <v>2.1</v>
      </c>
      <c r="K56" s="6">
        <f t="shared" si="2"/>
        <v>5.375</v>
      </c>
      <c r="L56" s="60">
        <v>0.263</v>
      </c>
      <c r="M56" s="60">
        <f t="shared" si="32"/>
        <v>0.244</v>
      </c>
      <c r="N56" s="75">
        <v>0.294</v>
      </c>
      <c r="O56" s="60">
        <f t="shared" si="5"/>
        <v>0.269</v>
      </c>
      <c r="P56" s="63">
        <v>90.0</v>
      </c>
      <c r="Q56" s="58">
        <v>98.1</v>
      </c>
      <c r="R56" s="65">
        <v>4504.15</v>
      </c>
      <c r="S56" s="66">
        <f t="array" ref="S56">IF((XLOOKUP(D56,RUC!$B$3:$B$106,RUC!$E$3:$E$106)+ROUNDDOWN(O56,1)*100)&lt;95,95,((XLOOKUP(D56,RUC!$B$3:$B$106,RUC!$E$3:$E$106)+ROUNDDOWN(O56,1)*100)))</f>
        <v>105</v>
      </c>
      <c r="T56" s="2"/>
      <c r="U56" s="67">
        <f t="array" ref="U56">XLOOKUP(D56,RUC!$B$3:$B$110,RUC!$F$3:$F$110)</f>
        <v>120</v>
      </c>
      <c r="V56" s="67">
        <v>1.1023</v>
      </c>
      <c r="W56" s="2"/>
      <c r="X56" s="2"/>
      <c r="Y56" s="2">
        <v>30.0</v>
      </c>
      <c r="Z56" s="140">
        <v>35.0</v>
      </c>
      <c r="AA56" s="70">
        <f t="shared" si="6"/>
        <v>65</v>
      </c>
      <c r="AB56" s="71">
        <f t="shared" si="29"/>
        <v>982.5932127</v>
      </c>
      <c r="AC56" s="71">
        <f>+(S56-T56)*V56-'data 1'!$F$4</f>
        <v>35.7415</v>
      </c>
      <c r="AD56" s="71">
        <f t="shared" si="8"/>
        <v>102.949912</v>
      </c>
      <c r="AE56" s="71">
        <f t="shared" si="9"/>
        <v>1.6495</v>
      </c>
      <c r="AF56" s="71">
        <f t="shared" si="10"/>
        <v>-28.44496934</v>
      </c>
      <c r="AG56" s="72">
        <f t="shared" si="37"/>
        <v>128.8959426</v>
      </c>
      <c r="AH56" s="193">
        <f t="shared" si="12"/>
        <v>47.546</v>
      </c>
      <c r="AI56" s="193">
        <f t="shared" si="13"/>
        <v>48.467</v>
      </c>
      <c r="AJ56" s="73">
        <f t="shared" si="14"/>
        <v>146.7060413</v>
      </c>
      <c r="AK56" s="73">
        <f t="shared" si="15"/>
        <v>44.6151469</v>
      </c>
      <c r="AL56" s="2"/>
      <c r="AM56" s="51">
        <f t="shared" si="16"/>
        <v>5281.438519</v>
      </c>
      <c r="AN56" s="51" t="str">
        <f t="array" ref="AN56">XLOOKUP(D56,RUC!$B$3:$B$565,RUC!$M$3:$M$565)</f>
        <v>Ronald Miranda</v>
      </c>
      <c r="AO56" s="131" t="s">
        <v>551</v>
      </c>
      <c r="AP56" s="2" t="s">
        <v>3643</v>
      </c>
      <c r="AQ56" s="2" t="s">
        <v>3644</v>
      </c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 ht="15.0" customHeight="1">
      <c r="A57" s="116" t="s">
        <v>3651</v>
      </c>
      <c r="B57" s="182">
        <v>46118.0</v>
      </c>
      <c r="C57" s="182">
        <v>46108.0</v>
      </c>
      <c r="D57" s="2" t="s">
        <v>665</v>
      </c>
      <c r="E57" s="3">
        <f t="array" ref="E57">XLOOKUP(D57,RUC!$B$3:$B$110,RUC!$D$3:$D$110)</f>
        <v>20608774000</v>
      </c>
      <c r="F57" s="2"/>
      <c r="G57" s="141">
        <v>23.0</v>
      </c>
      <c r="H57" s="3" t="s">
        <v>47</v>
      </c>
      <c r="I57" s="6">
        <v>2.14</v>
      </c>
      <c r="J57" s="58">
        <v>2.0</v>
      </c>
      <c r="K57" s="6">
        <f t="shared" si="2"/>
        <v>2.097</v>
      </c>
      <c r="L57" s="60">
        <v>0.341</v>
      </c>
      <c r="M57" s="60">
        <f t="shared" si="32"/>
        <v>0.321</v>
      </c>
      <c r="N57" s="62">
        <f>+M57</f>
        <v>0.321</v>
      </c>
      <c r="O57" s="60">
        <f t="shared" si="5"/>
        <v>0.321</v>
      </c>
      <c r="P57" s="63">
        <v>90.0</v>
      </c>
      <c r="Q57" s="58">
        <v>95.6</v>
      </c>
      <c r="R57" s="65">
        <v>4504.15</v>
      </c>
      <c r="S57" s="66">
        <f t="array" ref="S57">IF((XLOOKUP(D57,RUC!$B$3:$B$106,RUC!$E$3:$E$106)+ROUNDDOWN(O57,1)*100)&lt;95,95,((XLOOKUP(D57,RUC!$B$3:$B$106,RUC!$E$3:$E$106)+ROUNDDOWN(O57,1)*100)))</f>
        <v>115</v>
      </c>
      <c r="T57" s="2"/>
      <c r="U57" s="67">
        <f t="array" ref="U57">XLOOKUP(D57,RUC!$B$3:$B$110,RUC!$F$3:$F$110)</f>
        <v>120</v>
      </c>
      <c r="V57" s="67">
        <v>1.1023</v>
      </c>
      <c r="W57" s="2"/>
      <c r="X57" s="2"/>
      <c r="Y57" s="2">
        <f t="array" ref="Y57">XLOOKUP(D57,RUC!$B$3:$B$110,RUC!$G$3:$G$110)</f>
        <v>20</v>
      </c>
      <c r="Z57" s="140">
        <v>35.0</v>
      </c>
      <c r="AA57" s="70">
        <f t="shared" si="6"/>
        <v>55</v>
      </c>
      <c r="AB57" s="71">
        <f t="shared" si="29"/>
        <v>1208.761165</v>
      </c>
      <c r="AC57" s="71">
        <f>+(S57-T57)*V57-'data 1'!$F$4</f>
        <v>46.7645</v>
      </c>
      <c r="AD57" s="71">
        <f t="shared" si="8"/>
        <v>92.28425662</v>
      </c>
      <c r="AE57" s="71">
        <f t="shared" si="9"/>
        <v>-9.3735</v>
      </c>
      <c r="AF57" s="71">
        <f t="shared" si="10"/>
        <v>92.40024018</v>
      </c>
      <c r="AG57" s="72">
        <f t="shared" si="37"/>
        <v>239.0754968</v>
      </c>
      <c r="AH57" s="193">
        <f t="shared" si="12"/>
        <v>23.438</v>
      </c>
      <c r="AI57" s="193">
        <f t="shared" si="13"/>
        <v>24.517</v>
      </c>
      <c r="AJ57" s="73">
        <f t="shared" si="14"/>
        <v>185.3683198</v>
      </c>
      <c r="AK57" s="73">
        <f t="shared" si="15"/>
        <v>20.77088693</v>
      </c>
      <c r="AL57" s="2"/>
      <c r="AM57" s="51">
        <f t="shared" si="16"/>
        <v>2534.772162</v>
      </c>
      <c r="AN57" s="51" t="str">
        <f t="array" ref="AN57">XLOOKUP(D57,RUC!$B$3:$B$565,RUC!$M$3:$M$565)</f>
        <v>Ronald Miranda</v>
      </c>
      <c r="AO57" s="131" t="s">
        <v>547</v>
      </c>
      <c r="AP57" s="2" t="s">
        <v>3652</v>
      </c>
      <c r="AQ57" s="2" t="s">
        <v>1935</v>
      </c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 ht="15.0" customHeight="1">
      <c r="A58" s="116" t="s">
        <v>3653</v>
      </c>
      <c r="B58" s="182">
        <v>46113.0</v>
      </c>
      <c r="C58" s="182">
        <v>46108.0</v>
      </c>
      <c r="D58" s="2" t="s">
        <v>306</v>
      </c>
      <c r="E58" s="3">
        <f t="array" ref="E58">XLOOKUP(D58,RUC!$B$3:$B$110,RUC!$D$3:$D$110)</f>
        <v>20612921866</v>
      </c>
      <c r="F58" s="2"/>
      <c r="G58" s="141" t="s">
        <v>735</v>
      </c>
      <c r="H58" s="3" t="s">
        <v>47</v>
      </c>
      <c r="I58" s="6">
        <v>6.88</v>
      </c>
      <c r="J58" s="58">
        <v>2.0</v>
      </c>
      <c r="K58" s="6">
        <f t="shared" si="2"/>
        <v>6.742</v>
      </c>
      <c r="L58" s="60">
        <v>0.137</v>
      </c>
      <c r="M58" s="60">
        <f t="shared" si="32"/>
        <v>0.118</v>
      </c>
      <c r="N58" s="75">
        <v>0.18</v>
      </c>
      <c r="O58" s="60">
        <f t="shared" si="5"/>
        <v>0.149</v>
      </c>
      <c r="P58" s="63">
        <v>90.0</v>
      </c>
      <c r="Q58" s="2">
        <v>97.81</v>
      </c>
      <c r="R58" s="65">
        <v>4504.15</v>
      </c>
      <c r="S58" s="66">
        <f t="array" ref="S58">IF((XLOOKUP(D58,RUC!$B$3:$B$106,RUC!$E$3:$E$106)+ROUNDDOWN(O58,1)*100)&lt;95,95,((XLOOKUP(D58,RUC!$B$3:$B$106,RUC!$E$3:$E$106)+ROUNDDOWN(O58,1)*100)))</f>
        <v>95</v>
      </c>
      <c r="T58" s="2"/>
      <c r="U58" s="67">
        <f t="array" ref="U58">XLOOKUP(D58,RUC!$B$3:$B$110,RUC!$F$3:$F$110)</f>
        <v>100</v>
      </c>
      <c r="V58" s="67">
        <v>1.1023</v>
      </c>
      <c r="W58" s="2"/>
      <c r="X58" s="2"/>
      <c r="Y58" s="2" t="str">
        <f t="array" ref="Y58">XLOOKUP(D58,RUC!$B$3:$B$110,RUC!$G$3:$G$110)</f>
        <v/>
      </c>
      <c r="Z58" s="69">
        <f t="array" ref="Z58">XLOOKUP(D58,RUC!$B$3:$B$110,RUC!$H$3:$H$110)</f>
        <v>30</v>
      </c>
      <c r="AA58" s="70">
        <f t="shared" si="6"/>
        <v>30</v>
      </c>
      <c r="AB58" s="71">
        <f t="shared" si="29"/>
        <v>513.2270385</v>
      </c>
      <c r="AC58" s="71">
        <f>+(S58-T58)*V58-'data 1'!$F$4</f>
        <v>24.7185</v>
      </c>
      <c r="AD58" s="71">
        <f t="shared" si="8"/>
        <v>51.94377522</v>
      </c>
      <c r="AE58" s="71">
        <f t="shared" si="9"/>
        <v>-36.931</v>
      </c>
      <c r="AF58" s="71">
        <f t="shared" si="10"/>
        <v>-56.98052081</v>
      </c>
      <c r="AG58" s="72">
        <f>AC58+AD58+AE58+AF58+70-10</f>
        <v>42.75075441</v>
      </c>
      <c r="AH58" s="193">
        <f t="shared" si="12"/>
        <v>30.974</v>
      </c>
      <c r="AI58" s="193">
        <f t="shared" si="13"/>
        <v>31.668</v>
      </c>
      <c r="AJ58" s="73">
        <f t="shared" si="14"/>
        <v>73.240947</v>
      </c>
      <c r="AK58" s="73">
        <f t="shared" si="15"/>
        <v>30.99749476</v>
      </c>
      <c r="AL58" s="2"/>
      <c r="AM58" s="51">
        <f t="shared" si="16"/>
        <v>3460.176693</v>
      </c>
      <c r="AN58" s="51" t="str">
        <f t="array" ref="AN58">XLOOKUP(D58,RUC!$B$3:$B$565,RUC!$M$3:$M$565)</f>
        <v>Ronald Garibay</v>
      </c>
      <c r="AO58" s="131" t="s">
        <v>551</v>
      </c>
      <c r="AP58" s="2" t="s">
        <v>3654</v>
      </c>
      <c r="AQ58" s="2" t="s">
        <v>3620</v>
      </c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 ht="15.0" customHeight="1">
      <c r="A59" s="116" t="s">
        <v>3655</v>
      </c>
      <c r="B59" s="182">
        <v>46116.0</v>
      </c>
      <c r="C59" s="182">
        <v>46110.0</v>
      </c>
      <c r="D59" s="2" t="s">
        <v>3656</v>
      </c>
      <c r="E59" s="3">
        <f t="array" ref="E59">XLOOKUP(D59,RUC!$B$3:$B$110,RUC!$D$3:$D$110)</f>
        <v>20614284740</v>
      </c>
      <c r="F59" s="2"/>
      <c r="G59" s="141">
        <v>60.0</v>
      </c>
      <c r="H59" s="3" t="s">
        <v>47</v>
      </c>
      <c r="I59" s="6">
        <v>4.71</v>
      </c>
      <c r="J59" s="58">
        <v>2.55</v>
      </c>
      <c r="K59" s="6">
        <f t="shared" si="2"/>
        <v>4.59</v>
      </c>
      <c r="L59" s="60">
        <v>0.278</v>
      </c>
      <c r="M59" s="60">
        <f t="shared" si="32"/>
        <v>0.259</v>
      </c>
      <c r="N59" s="62">
        <f t="shared" ref="N59:N75" si="38">+M59</f>
        <v>0.259</v>
      </c>
      <c r="O59" s="60">
        <f t="shared" si="5"/>
        <v>0.259</v>
      </c>
      <c r="P59" s="63">
        <v>90.0</v>
      </c>
      <c r="Q59" s="58">
        <v>96.4</v>
      </c>
      <c r="R59" s="65">
        <v>4529.15</v>
      </c>
      <c r="S59" s="66">
        <f t="array" ref="S59">IF((XLOOKUP(D59,RUC!$B$3:$B$106,RUC!$E$3:$E$106)+ROUNDDOWN(O59,1)*100)&lt;95,95,((XLOOKUP(D59,RUC!$B$3:$B$106,RUC!$E$3:$E$106)+ROUNDDOWN(O59,1)*100)))</f>
        <v>110</v>
      </c>
      <c r="T59" s="2"/>
      <c r="U59" s="67">
        <f t="array" ref="U59">XLOOKUP(D59,RUC!$B$3:$B$110,RUC!$F$3:$F$110)</f>
        <v>120</v>
      </c>
      <c r="V59" s="67">
        <v>1.1023</v>
      </c>
      <c r="W59" s="2"/>
      <c r="X59" s="2"/>
      <c r="Y59" s="2">
        <f t="array" ref="Y59">XLOOKUP(D59,RUC!$B$3:$B$110,RUC!$G$3:$G$110)</f>
        <v>20</v>
      </c>
      <c r="Z59" s="69">
        <f t="array" ref="Z59">XLOOKUP(D59,RUC!$B$3:$B$110,RUC!$H$3:$H$110)</f>
        <v>30</v>
      </c>
      <c r="AA59" s="70">
        <f t="shared" si="6"/>
        <v>50</v>
      </c>
      <c r="AB59" s="71">
        <f t="shared" si="29"/>
        <v>956.5460291</v>
      </c>
      <c r="AC59" s="71">
        <f>+(S59-T59)*V59-'data 1'!$F$4</f>
        <v>41.253</v>
      </c>
      <c r="AD59" s="71">
        <f t="shared" si="8"/>
        <v>86.47278595</v>
      </c>
      <c r="AE59" s="71">
        <f t="shared" si="9"/>
        <v>-14.885</v>
      </c>
      <c r="AF59" s="71">
        <f t="shared" si="10"/>
        <v>89.01953392</v>
      </c>
      <c r="AG59" s="72">
        <f>AC59+AD59+AE59+AF59+70-53</f>
        <v>218.8603199</v>
      </c>
      <c r="AH59" s="193">
        <f t="shared" si="12"/>
        <v>42.174</v>
      </c>
      <c r="AI59" s="193">
        <f t="shared" si="13"/>
        <v>43.749</v>
      </c>
      <c r="AJ59" s="73">
        <f t="shared" si="14"/>
        <v>145.0008114</v>
      </c>
      <c r="AK59" s="73">
        <f t="shared" si="15"/>
        <v>36.68293095</v>
      </c>
      <c r="AL59" s="2"/>
      <c r="AM59" s="51">
        <f t="shared" si="16"/>
        <v>4390.546274</v>
      </c>
      <c r="AN59" s="51" t="str">
        <f t="array" ref="AN59">XLOOKUP(D59,RUC!$B$3:$B$565,RUC!$M$3:$M$565)</f>
        <v>Dante </v>
      </c>
      <c r="AO59" s="131" t="s">
        <v>551</v>
      </c>
      <c r="AP59" s="2" t="s">
        <v>3358</v>
      </c>
      <c r="AQ59" s="2" t="s">
        <v>3657</v>
      </c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 ht="15.0" customHeight="1">
      <c r="A60" s="116" t="s">
        <v>3658</v>
      </c>
      <c r="B60" s="182">
        <v>46116.0</v>
      </c>
      <c r="C60" s="182">
        <v>46111.0</v>
      </c>
      <c r="D60" s="2" t="s">
        <v>306</v>
      </c>
      <c r="E60" s="3">
        <f t="array" ref="E60">XLOOKUP(D60,RUC!$B$3:$B$110,RUC!$D$3:$D$110)</f>
        <v>20612921866</v>
      </c>
      <c r="F60" s="2"/>
      <c r="G60" s="141">
        <v>120.0</v>
      </c>
      <c r="H60" s="3" t="s">
        <v>47</v>
      </c>
      <c r="I60" s="6">
        <v>11.63</v>
      </c>
      <c r="J60" s="58">
        <v>2.15</v>
      </c>
      <c r="K60" s="6">
        <f t="shared" si="2"/>
        <v>11.38</v>
      </c>
      <c r="L60" s="60">
        <v>0.152</v>
      </c>
      <c r="M60" s="60">
        <f t="shared" si="32"/>
        <v>0.133</v>
      </c>
      <c r="N60" s="62">
        <f t="shared" si="38"/>
        <v>0.133</v>
      </c>
      <c r="O60" s="60">
        <f t="shared" si="5"/>
        <v>0.133</v>
      </c>
      <c r="P60" s="63">
        <v>90.0</v>
      </c>
      <c r="Q60" s="58">
        <v>94.74</v>
      </c>
      <c r="R60" s="65">
        <v>4529.15</v>
      </c>
      <c r="S60" s="66">
        <f t="array" ref="S60">IF((XLOOKUP(D60,RUC!$B$3:$B$106,RUC!$E$3:$E$106)+ROUNDDOWN(O60,1)*100)&lt;95,95,((XLOOKUP(D60,RUC!$B$3:$B$106,RUC!$E$3:$E$106)+ROUNDDOWN(O60,1)*100)))</f>
        <v>95</v>
      </c>
      <c r="T60" s="2"/>
      <c r="U60" s="67">
        <f t="array" ref="U60">XLOOKUP(D60,RUC!$B$3:$B$110,RUC!$F$3:$F$110)</f>
        <v>100</v>
      </c>
      <c r="V60" s="67">
        <v>1.1023</v>
      </c>
      <c r="W60" s="2"/>
      <c r="X60" s="2"/>
      <c r="Y60" s="2" t="str">
        <f t="array" ref="Y60">XLOOKUP(D60,RUC!$B$3:$B$110,RUC!$G$3:$G$110)</f>
        <v/>
      </c>
      <c r="Z60" s="69">
        <f t="array" ref="Z60">XLOOKUP(D60,RUC!$B$3:$B$110,RUC!$H$3:$H$110)</f>
        <v>30</v>
      </c>
      <c r="AA60" s="70">
        <f t="shared" si="6"/>
        <v>30</v>
      </c>
      <c r="AB60" s="71">
        <f t="shared" si="29"/>
        <v>446.6180698</v>
      </c>
      <c r="AC60" s="71">
        <f>+(S60-T60)*V60-'data 1'!$F$4</f>
        <v>24.7185</v>
      </c>
      <c r="AD60" s="71">
        <f t="shared" si="8"/>
        <v>35.17564953</v>
      </c>
      <c r="AE60" s="71">
        <f t="shared" si="9"/>
        <v>-36.931</v>
      </c>
      <c r="AF60" s="71">
        <f t="shared" si="10"/>
        <v>87.88346616</v>
      </c>
      <c r="AG60" s="72">
        <f t="shared" ref="AG60:AG61" si="39">AC60+AD60+AE60+AF60+70-10</f>
        <v>170.8466157</v>
      </c>
      <c r="AH60" s="193">
        <f t="shared" si="12"/>
        <v>56.186</v>
      </c>
      <c r="AI60" s="193">
        <f t="shared" si="13"/>
        <v>59.305</v>
      </c>
      <c r="AJ60" s="73">
        <f t="shared" si="14"/>
        <v>74.74107681</v>
      </c>
      <c r="AK60" s="73">
        <f t="shared" si="15"/>
        <v>46.70307561</v>
      </c>
      <c r="AL60" s="2"/>
      <c r="AM60" s="51">
        <f t="shared" si="16"/>
        <v>5082.513634</v>
      </c>
      <c r="AN60" s="51" t="str">
        <f t="array" ref="AN60">XLOOKUP(D60,RUC!$B$3:$B$565,RUC!$M$3:$M$565)</f>
        <v>Ronald Garibay</v>
      </c>
      <c r="AO60" s="131" t="s">
        <v>551</v>
      </c>
      <c r="AP60" s="2" t="s">
        <v>3659</v>
      </c>
      <c r="AQ60" s="2" t="s">
        <v>3660</v>
      </c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 ht="14.25" customHeight="1">
      <c r="A61" s="116" t="s">
        <v>3661</v>
      </c>
      <c r="B61" s="182">
        <v>46116.0</v>
      </c>
      <c r="C61" s="182">
        <v>46112.0</v>
      </c>
      <c r="D61" s="2" t="s">
        <v>306</v>
      </c>
      <c r="E61" s="3">
        <f t="array" ref="E61">XLOOKUP(D61,RUC!$B$3:$B$110,RUC!$D$3:$D$110)</f>
        <v>20612921866</v>
      </c>
      <c r="F61" s="2"/>
      <c r="G61" s="141">
        <v>75.0</v>
      </c>
      <c r="H61" s="3" t="s">
        <v>47</v>
      </c>
      <c r="I61" s="6">
        <v>8.87</v>
      </c>
      <c r="J61" s="58">
        <v>2.0</v>
      </c>
      <c r="K61" s="6">
        <f t="shared" si="2"/>
        <v>8.693</v>
      </c>
      <c r="L61" s="60">
        <v>0.129</v>
      </c>
      <c r="M61" s="60">
        <f t="shared" si="32"/>
        <v>0.11</v>
      </c>
      <c r="N61" s="62">
        <f t="shared" si="38"/>
        <v>0.11</v>
      </c>
      <c r="O61" s="60">
        <f t="shared" si="5"/>
        <v>0.11</v>
      </c>
      <c r="P61" s="63">
        <v>90.0</v>
      </c>
      <c r="Q61" s="58">
        <v>95.35</v>
      </c>
      <c r="R61" s="65">
        <v>4608.35</v>
      </c>
      <c r="S61" s="66">
        <f t="array" ref="S61">IF((XLOOKUP(D61,RUC!$B$3:$B$106,RUC!$E$3:$E$106)+ROUNDDOWN(O61,1)*100)&lt;95,95,((XLOOKUP(D61,RUC!$B$3:$B$106,RUC!$E$3:$E$106)+ROUNDDOWN(O61,1)*100)))</f>
        <v>95</v>
      </c>
      <c r="T61" s="2"/>
      <c r="U61" s="67">
        <f t="array" ref="U61">XLOOKUP(D61,RUC!$B$3:$B$110,RUC!$F$3:$F$110)</f>
        <v>100</v>
      </c>
      <c r="V61" s="67">
        <v>1.1023</v>
      </c>
      <c r="W61" s="2"/>
      <c r="X61" s="2"/>
      <c r="Y61" s="2" t="str">
        <f t="array" ref="Y61">XLOOKUP(D61,RUC!$B$3:$B$110,RUC!$G$3:$G$110)</f>
        <v/>
      </c>
      <c r="Z61" s="69">
        <f t="array" ref="Z61">XLOOKUP(D61,RUC!$B$3:$B$110,RUC!$H$3:$H$110)</f>
        <v>30</v>
      </c>
      <c r="AA61" s="70">
        <f t="shared" si="6"/>
        <v>30</v>
      </c>
      <c r="AB61" s="71">
        <f t="shared" si="29"/>
        <v>354.1983663</v>
      </c>
      <c r="AC61" s="71">
        <f>+(S61-T61)*V61-'data 1'!$F$4</f>
        <v>24.7185</v>
      </c>
      <c r="AD61" s="71">
        <f t="shared" si="8"/>
        <v>34.29737835</v>
      </c>
      <c r="AE61" s="71">
        <f t="shared" si="9"/>
        <v>-36.931</v>
      </c>
      <c r="AF61" s="71">
        <f t="shared" si="10"/>
        <v>90.03092875</v>
      </c>
      <c r="AG61" s="72">
        <f t="shared" si="39"/>
        <v>172.1158071</v>
      </c>
      <c r="AH61" s="193">
        <f t="shared" si="12"/>
        <v>36.66</v>
      </c>
      <c r="AI61" s="193">
        <f t="shared" si="13"/>
        <v>38.448</v>
      </c>
      <c r="AJ61" s="73">
        <f t="shared" si="14"/>
        <v>53.10169036</v>
      </c>
      <c r="AK61" s="73">
        <f t="shared" si="15"/>
        <v>29.50624495</v>
      </c>
      <c r="AL61" s="2"/>
      <c r="AM61" s="51">
        <f t="shared" si="16"/>
        <v>3079.046398</v>
      </c>
      <c r="AN61" s="51" t="str">
        <f t="array" ref="AN61">XLOOKUP(D61,RUC!$B$3:$B$565,RUC!$M$3:$M$565)</f>
        <v>Ronald Garibay</v>
      </c>
      <c r="AO61" s="131" t="s">
        <v>551</v>
      </c>
      <c r="AP61" s="2" t="s">
        <v>3662</v>
      </c>
      <c r="AQ61" s="2" t="s">
        <v>574</v>
      </c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 ht="15.0" customHeight="1">
      <c r="A62" s="116" t="s">
        <v>3663</v>
      </c>
      <c r="B62" s="182">
        <v>46118.0</v>
      </c>
      <c r="C62" s="182">
        <v>46112.0</v>
      </c>
      <c r="D62" s="2" t="s">
        <v>602</v>
      </c>
      <c r="E62" s="3">
        <f t="array" ref="E62">XLOOKUP(D62,RUC!$B$3:$B$110,RUC!$D$3:$D$110)</f>
        <v>20169040231</v>
      </c>
      <c r="F62" s="2"/>
      <c r="G62" s="141">
        <v>23.0</v>
      </c>
      <c r="H62" s="3" t="s">
        <v>47</v>
      </c>
      <c r="I62" s="6">
        <v>2.34</v>
      </c>
      <c r="J62" s="58">
        <v>4.3</v>
      </c>
      <c r="K62" s="6">
        <f t="shared" si="2"/>
        <v>2.239</v>
      </c>
      <c r="L62" s="60">
        <v>0.578</v>
      </c>
      <c r="M62" s="60">
        <f t="shared" si="32"/>
        <v>0.543</v>
      </c>
      <c r="N62" s="62">
        <f t="shared" si="38"/>
        <v>0.543</v>
      </c>
      <c r="O62" s="60">
        <f t="shared" si="5"/>
        <v>0.543</v>
      </c>
      <c r="P62" s="63">
        <v>90.0</v>
      </c>
      <c r="Q62" s="58">
        <v>96.89</v>
      </c>
      <c r="R62" s="65">
        <v>4608.35</v>
      </c>
      <c r="S62" s="66">
        <f t="array" ref="S62">IF((XLOOKUP(D62,RUC!$B$3:$B$106,RUC!$E$3:$E$106)+ROUNDDOWN(O62,1)*100)&lt;95,95,((XLOOKUP(D62,RUC!$B$3:$B$106,RUC!$E$3:$E$106)+ROUNDDOWN(O62,1)*100)))</f>
        <v>135</v>
      </c>
      <c r="T62" s="2"/>
      <c r="U62" s="67">
        <f t="array" ref="U62">XLOOKUP(D62,RUC!$B$3:$B$110,RUC!$F$3:$F$110)</f>
        <v>120</v>
      </c>
      <c r="V62" s="67">
        <v>1.1023</v>
      </c>
      <c r="W62" s="2"/>
      <c r="X62" s="2"/>
      <c r="Y62" s="2">
        <f t="array" ref="Y62">XLOOKUP(D62,RUC!$B$3:$B$110,RUC!$G$3:$G$110)</f>
        <v>20</v>
      </c>
      <c r="Z62" s="140">
        <v>35.0</v>
      </c>
      <c r="AA62" s="70">
        <f t="shared" si="6"/>
        <v>55</v>
      </c>
      <c r="AB62" s="71">
        <f t="shared" si="29"/>
        <v>2208.41026</v>
      </c>
      <c r="AC62" s="71">
        <f>+(S62-T62)*V62-'data 1'!$F$4</f>
        <v>68.8105</v>
      </c>
      <c r="AD62" s="71">
        <f t="shared" si="8"/>
        <v>197.0305563</v>
      </c>
      <c r="AE62" s="71">
        <f t="shared" si="9"/>
        <v>-9.3735</v>
      </c>
      <c r="AF62" s="71">
        <f t="shared" si="10"/>
        <v>167.7774245</v>
      </c>
      <c r="AG62" s="72">
        <f t="shared" ref="AG62:AG92" si="40">AC62+AD62+AE62+AF62+70-53</f>
        <v>441.2449808</v>
      </c>
      <c r="AH62" s="193">
        <f t="shared" si="12"/>
        <v>42.99</v>
      </c>
      <c r="AI62" s="193">
        <f t="shared" si="13"/>
        <v>44.37</v>
      </c>
      <c r="AJ62" s="73">
        <f t="shared" si="14"/>
        <v>254.1175862</v>
      </c>
      <c r="AK62" s="73">
        <f t="shared" si="15"/>
        <v>37.5150476</v>
      </c>
      <c r="AL62" s="2"/>
      <c r="AM62" s="51">
        <f t="shared" si="16"/>
        <v>4944.630572</v>
      </c>
      <c r="AN62" s="51" t="str">
        <f t="array" ref="AN62">XLOOKUP(D62,RUC!$B$3:$B$565,RUC!$M$3:$M$565)</f>
        <v>Ronald Miranda</v>
      </c>
      <c r="AO62" s="131" t="s">
        <v>551</v>
      </c>
      <c r="AP62" s="2" t="s">
        <v>3664</v>
      </c>
      <c r="AQ62" s="2" t="s">
        <v>3665</v>
      </c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 ht="15.0" customHeight="1">
      <c r="A63" s="116" t="s">
        <v>3666</v>
      </c>
      <c r="B63" s="182">
        <v>46118.0</v>
      </c>
      <c r="C63" s="182">
        <v>46112.0</v>
      </c>
      <c r="D63" s="2" t="s">
        <v>602</v>
      </c>
      <c r="E63" s="3">
        <f t="array" ref="E63">XLOOKUP(D63,RUC!$B$3:$B$110,RUC!$D$3:$D$110)</f>
        <v>20169040231</v>
      </c>
      <c r="F63" s="2"/>
      <c r="G63" s="141">
        <v>50.0</v>
      </c>
      <c r="H63" s="3" t="s">
        <v>47</v>
      </c>
      <c r="I63" s="6">
        <v>5.14</v>
      </c>
      <c r="J63" s="58">
        <v>5.25</v>
      </c>
      <c r="K63" s="6">
        <f t="shared" si="2"/>
        <v>4.87</v>
      </c>
      <c r="L63" s="60">
        <v>0.199</v>
      </c>
      <c r="M63" s="60">
        <f t="shared" si="32"/>
        <v>0.18</v>
      </c>
      <c r="N63" s="62">
        <f t="shared" si="38"/>
        <v>0.18</v>
      </c>
      <c r="O63" s="60">
        <f t="shared" si="5"/>
        <v>0.18</v>
      </c>
      <c r="P63" s="63">
        <v>85.0</v>
      </c>
      <c r="Q63" s="58">
        <v>96.48</v>
      </c>
      <c r="R63" s="65">
        <v>4608.35</v>
      </c>
      <c r="S63" s="66">
        <f t="array" ref="S63">IF((XLOOKUP(D63,RUC!$B$3:$B$106,RUC!$E$3:$E$106)+ROUNDDOWN(O63,1)*100)&lt;95,95,((XLOOKUP(D63,RUC!$B$3:$B$106,RUC!$E$3:$E$106)+ROUNDDOWN(O63,1)*100)))</f>
        <v>95</v>
      </c>
      <c r="T63" s="2"/>
      <c r="U63" s="67">
        <f t="array" ref="U63">XLOOKUP(D63,RUC!$B$3:$B$110,RUC!$F$3:$F$110)</f>
        <v>120</v>
      </c>
      <c r="V63" s="67">
        <v>1.1023</v>
      </c>
      <c r="W63" s="2"/>
      <c r="X63" s="2"/>
      <c r="Y63" s="2">
        <f t="array" ref="Y63">XLOOKUP(D63,RUC!$B$3:$B$110,RUC!$G$3:$G$110)</f>
        <v>20</v>
      </c>
      <c r="Z63" s="140">
        <v>35.0</v>
      </c>
      <c r="AA63" s="70">
        <f t="shared" si="6"/>
        <v>55</v>
      </c>
      <c r="AB63" s="71">
        <f t="shared" si="29"/>
        <v>591.6237554</v>
      </c>
      <c r="AC63" s="71">
        <f>+(S63-T63)*V63-'data 1'!$F$4</f>
        <v>24.7185</v>
      </c>
      <c r="AD63" s="71">
        <f t="shared" si="8"/>
        <v>113.0268144</v>
      </c>
      <c r="AE63" s="71">
        <f t="shared" si="9"/>
        <v>-9.3735</v>
      </c>
      <c r="AF63" s="71">
        <f t="shared" si="10"/>
        <v>90.69376241</v>
      </c>
      <c r="AG63" s="72">
        <f t="shared" si="40"/>
        <v>236.0655769</v>
      </c>
      <c r="AH63" s="193">
        <f t="shared" si="12"/>
        <v>32.057</v>
      </c>
      <c r="AI63" s="193">
        <f t="shared" si="13"/>
        <v>33.227</v>
      </c>
      <c r="AJ63" s="73">
        <f t="shared" si="14"/>
        <v>87.12008658</v>
      </c>
      <c r="AK63" s="73">
        <f t="shared" si="15"/>
        <v>25.54638549</v>
      </c>
      <c r="AL63" s="2"/>
      <c r="AM63" s="51">
        <f t="shared" si="16"/>
        <v>2881.207689</v>
      </c>
      <c r="AN63" s="51" t="str">
        <f t="array" ref="AN63">XLOOKUP(D63,RUC!$B$3:$B$565,RUC!$M$3:$M$565)</f>
        <v>Ronald Miranda</v>
      </c>
      <c r="AO63" s="131" t="s">
        <v>551</v>
      </c>
      <c r="AP63" s="2" t="s">
        <v>3664</v>
      </c>
      <c r="AQ63" s="2" t="s">
        <v>3665</v>
      </c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 ht="15.0" customHeight="1">
      <c r="A64" s="116" t="s">
        <v>3667</v>
      </c>
      <c r="B64" s="182">
        <v>46118.0</v>
      </c>
      <c r="C64" s="182">
        <v>46112.0</v>
      </c>
      <c r="D64" s="2" t="s">
        <v>602</v>
      </c>
      <c r="E64" s="3">
        <f t="array" ref="E64">XLOOKUP(D64,RUC!$B$3:$B$110,RUC!$D$3:$D$110)</f>
        <v>20169040231</v>
      </c>
      <c r="F64" s="2"/>
      <c r="G64" s="141">
        <v>50.0</v>
      </c>
      <c r="H64" s="3" t="s">
        <v>47</v>
      </c>
      <c r="I64" s="6">
        <v>5.21</v>
      </c>
      <c r="J64" s="58">
        <v>4.75</v>
      </c>
      <c r="K64" s="6">
        <f t="shared" si="2"/>
        <v>4.963</v>
      </c>
      <c r="L64" s="60">
        <v>0.317</v>
      </c>
      <c r="M64" s="60">
        <f t="shared" si="32"/>
        <v>0.298</v>
      </c>
      <c r="N64" s="62">
        <f t="shared" si="38"/>
        <v>0.298</v>
      </c>
      <c r="O64" s="60">
        <f t="shared" si="5"/>
        <v>0.298</v>
      </c>
      <c r="P64" s="63">
        <v>90.0</v>
      </c>
      <c r="Q64" s="58">
        <v>98.42</v>
      </c>
      <c r="R64" s="65">
        <v>4608.35</v>
      </c>
      <c r="S64" s="66">
        <f t="array" ref="S64">IF((XLOOKUP(D64,RUC!$B$3:$B$106,RUC!$E$3:$E$106)+ROUNDDOWN(O64,1)*100)&lt;95,95,((XLOOKUP(D64,RUC!$B$3:$B$106,RUC!$E$3:$E$106)+ROUNDDOWN(O64,1)*100)))</f>
        <v>105</v>
      </c>
      <c r="T64" s="2"/>
      <c r="U64" s="67">
        <f t="array" ref="U64">XLOOKUP(D64,RUC!$B$3:$B$110,RUC!$F$3:$F$110)</f>
        <v>120</v>
      </c>
      <c r="V64" s="67">
        <v>1.1023</v>
      </c>
      <c r="W64" s="2"/>
      <c r="X64" s="2"/>
      <c r="Y64" s="2">
        <f t="array" ref="Y64">XLOOKUP(D64,RUC!$B$3:$B$110,RUC!$G$3:$G$110)</f>
        <v>20</v>
      </c>
      <c r="Z64" s="140">
        <v>35.0</v>
      </c>
      <c r="AA64" s="70">
        <f t="shared" si="6"/>
        <v>55</v>
      </c>
      <c r="AB64" s="71">
        <f t="shared" si="29"/>
        <v>1150.553701</v>
      </c>
      <c r="AC64" s="71">
        <f>+(S64-T64)*V64-'data 1'!$F$4</f>
        <v>35.7415</v>
      </c>
      <c r="AD64" s="71">
        <f t="shared" si="8"/>
        <v>132.0559205</v>
      </c>
      <c r="AE64" s="71">
        <f t="shared" si="9"/>
        <v>-9.3735</v>
      </c>
      <c r="AF64" s="71">
        <f t="shared" si="10"/>
        <v>92.51741393</v>
      </c>
      <c r="AG64" s="72">
        <f t="shared" si="40"/>
        <v>267.9413344</v>
      </c>
      <c r="AH64" s="193">
        <f t="shared" si="12"/>
        <v>53.088</v>
      </c>
      <c r="AI64" s="193">
        <f t="shared" si="13"/>
        <v>53.94</v>
      </c>
      <c r="AJ64" s="73">
        <f t="shared" si="14"/>
        <v>141.5697777</v>
      </c>
      <c r="AK64" s="73">
        <f t="shared" si="15"/>
        <v>45.63647776</v>
      </c>
      <c r="AL64" s="2"/>
      <c r="AM64" s="51">
        <f t="shared" si="16"/>
        <v>5710.198016</v>
      </c>
      <c r="AN64" s="51" t="str">
        <f t="array" ref="AN64">XLOOKUP(D64,RUC!$B$3:$B$565,RUC!$M$3:$M$565)</f>
        <v>Ronald Miranda</v>
      </c>
      <c r="AO64" s="131" t="s">
        <v>547</v>
      </c>
      <c r="AP64" s="2" t="s">
        <v>3664</v>
      </c>
      <c r="AQ64" s="2" t="s">
        <v>3665</v>
      </c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 ht="15.0" customHeight="1">
      <c r="A65" s="116" t="s">
        <v>3668</v>
      </c>
      <c r="B65" s="182">
        <v>46118.0</v>
      </c>
      <c r="C65" s="182">
        <v>46112.0</v>
      </c>
      <c r="D65" s="2" t="s">
        <v>602</v>
      </c>
      <c r="E65" s="3">
        <f t="array" ref="E65">XLOOKUP(D65,RUC!$B$3:$B$110,RUC!$D$3:$D$110)</f>
        <v>20169040231</v>
      </c>
      <c r="F65" s="2"/>
      <c r="G65" s="141">
        <v>18.0</v>
      </c>
      <c r="H65" s="3" t="s">
        <v>47</v>
      </c>
      <c r="I65" s="6">
        <v>1.59</v>
      </c>
      <c r="J65" s="58">
        <v>2.0</v>
      </c>
      <c r="K65" s="6">
        <f t="shared" si="2"/>
        <v>1.558</v>
      </c>
      <c r="L65" s="60">
        <v>0.172</v>
      </c>
      <c r="M65" s="60">
        <f t="shared" si="32"/>
        <v>0.153</v>
      </c>
      <c r="N65" s="62">
        <f t="shared" si="38"/>
        <v>0.153</v>
      </c>
      <c r="O65" s="60">
        <f t="shared" si="5"/>
        <v>0.153</v>
      </c>
      <c r="P65" s="63">
        <v>80.0</v>
      </c>
      <c r="Q65" s="2">
        <v>86.05</v>
      </c>
      <c r="R65" s="65">
        <v>4608.35</v>
      </c>
      <c r="S65" s="66">
        <f t="array" ref="S65">IF((XLOOKUP(D65,RUC!$B$3:$B$106,RUC!$E$3:$E$106)+ROUNDDOWN(O65,1)*100)&lt;95,95,((XLOOKUP(D65,RUC!$B$3:$B$106,RUC!$E$3:$E$106)+ROUNDDOWN(O65,1)*100)))</f>
        <v>95</v>
      </c>
      <c r="T65" s="2"/>
      <c r="U65" s="67">
        <f t="array" ref="U65">XLOOKUP(D65,RUC!$B$3:$B$110,RUC!$F$3:$F$110)</f>
        <v>120</v>
      </c>
      <c r="V65" s="67">
        <v>1.1023</v>
      </c>
      <c r="W65" s="2"/>
      <c r="X65" s="2"/>
      <c r="Y65" s="2">
        <f t="array" ref="Y65">XLOOKUP(D65,RUC!$B$3:$B$110,RUC!$G$3:$G$110)</f>
        <v>20</v>
      </c>
      <c r="Z65" s="140">
        <v>35.0</v>
      </c>
      <c r="AA65" s="70">
        <f t="shared" si="6"/>
        <v>55</v>
      </c>
      <c r="AB65" s="71">
        <f t="shared" si="29"/>
        <v>440.2300043</v>
      </c>
      <c r="AC65" s="71">
        <f>+(S65-T65)*V65-'data 1'!$F$4</f>
        <v>24.7185</v>
      </c>
      <c r="AD65" s="71">
        <f t="shared" si="8"/>
        <v>51.48377038</v>
      </c>
      <c r="AE65" s="71">
        <f t="shared" si="9"/>
        <v>-9.3735</v>
      </c>
      <c r="AF65" s="71">
        <f t="shared" si="10"/>
        <v>80.8892854</v>
      </c>
      <c r="AG65" s="72">
        <f t="shared" si="40"/>
        <v>164.7180558</v>
      </c>
      <c r="AH65" s="193">
        <f t="shared" si="12"/>
        <v>7.906</v>
      </c>
      <c r="AI65" s="193">
        <f t="shared" si="13"/>
        <v>9.188</v>
      </c>
      <c r="AJ65" s="73">
        <f t="shared" si="14"/>
        <v>67.15946823</v>
      </c>
      <c r="AK65" s="73">
        <f t="shared" si="15"/>
        <v>6.538196073</v>
      </c>
      <c r="AL65" s="2"/>
      <c r="AM65" s="51">
        <f t="shared" si="16"/>
        <v>685.8783467</v>
      </c>
      <c r="AN65" s="51" t="str">
        <f t="array" ref="AN65">XLOOKUP(D65,RUC!$B$3:$B$565,RUC!$M$3:$M$565)</f>
        <v>Ronald Miranda</v>
      </c>
      <c r="AO65" s="131" t="s">
        <v>551</v>
      </c>
      <c r="AP65" s="2" t="s">
        <v>3664</v>
      </c>
      <c r="AQ65" s="2" t="s">
        <v>3665</v>
      </c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 ht="15.0" customHeight="1">
      <c r="A66" s="116" t="s">
        <v>3669</v>
      </c>
      <c r="B66" s="182">
        <v>46122.0</v>
      </c>
      <c r="C66" s="182">
        <v>46112.0</v>
      </c>
      <c r="D66" s="2" t="s">
        <v>602</v>
      </c>
      <c r="E66" s="3">
        <f t="array" ref="E66">XLOOKUP(D66,RUC!$B$3:$B$110,RUC!$D$3:$D$110)</f>
        <v>20169040231</v>
      </c>
      <c r="F66" s="2"/>
      <c r="G66" s="141">
        <v>52.0</v>
      </c>
      <c r="H66" s="3" t="s">
        <v>47</v>
      </c>
      <c r="I66" s="6">
        <v>4.58</v>
      </c>
      <c r="J66" s="58">
        <v>2.2</v>
      </c>
      <c r="K66" s="6">
        <f t="shared" si="2"/>
        <v>4.479</v>
      </c>
      <c r="L66" s="60">
        <v>0.606</v>
      </c>
      <c r="M66" s="60">
        <f t="shared" si="32"/>
        <v>0.57</v>
      </c>
      <c r="N66" s="62">
        <f t="shared" si="38"/>
        <v>0.57</v>
      </c>
      <c r="O66" s="60">
        <f t="shared" si="5"/>
        <v>0.57</v>
      </c>
      <c r="P66" s="63">
        <v>90.0</v>
      </c>
      <c r="Q66" s="2">
        <v>90.26</v>
      </c>
      <c r="R66" s="65">
        <v>4608.35</v>
      </c>
      <c r="S66" s="66">
        <f t="array" ref="S66">IF((XLOOKUP(D66,RUC!$B$3:$B$106,RUC!$E$3:$E$106)+ROUNDDOWN(O66,1)*100)&lt;95,95,((XLOOKUP(D66,RUC!$B$3:$B$106,RUC!$E$3:$E$106)+ROUNDDOWN(O66,1)*100)))</f>
        <v>135</v>
      </c>
      <c r="T66" s="2"/>
      <c r="U66" s="67">
        <f t="array" ref="U66">XLOOKUP(D66,RUC!$B$3:$B$110,RUC!$F$3:$F$110)</f>
        <v>120</v>
      </c>
      <c r="V66" s="67">
        <v>1.1023</v>
      </c>
      <c r="W66" s="2"/>
      <c r="X66" s="2"/>
      <c r="Y66" s="2">
        <f t="array" ref="Y66">XLOOKUP(D66,RUC!$B$3:$B$110,RUC!$G$3:$G$110)</f>
        <v>20</v>
      </c>
      <c r="Z66" s="140">
        <v>35.0</v>
      </c>
      <c r="AA66" s="70">
        <f t="shared" si="6"/>
        <v>55</v>
      </c>
      <c r="AB66" s="71">
        <f t="shared" si="29"/>
        <v>2328.634709</v>
      </c>
      <c r="AC66" s="71">
        <f>+(S66-T66)*V66-'data 1'!$F$4</f>
        <v>68.8105</v>
      </c>
      <c r="AD66" s="71">
        <f t="shared" si="8"/>
        <v>7.795293928</v>
      </c>
      <c r="AE66" s="71">
        <f t="shared" si="9"/>
        <v>-9.3735</v>
      </c>
      <c r="AF66" s="71">
        <f t="shared" si="10"/>
        <v>160.7623526</v>
      </c>
      <c r="AG66" s="72">
        <f t="shared" si="40"/>
        <v>244.9946465</v>
      </c>
      <c r="AH66" s="193">
        <f t="shared" si="12"/>
        <v>83.996</v>
      </c>
      <c r="AI66" s="193">
        <f t="shared" si="13"/>
        <v>93.06</v>
      </c>
      <c r="AJ66" s="73">
        <f t="shared" si="14"/>
        <v>248.1966301</v>
      </c>
      <c r="AK66" s="73">
        <f t="shared" si="15"/>
        <v>78.77846183</v>
      </c>
      <c r="AL66" s="2"/>
      <c r="AM66" s="51">
        <f t="shared" si="16"/>
        <v>10429.95486</v>
      </c>
      <c r="AN66" s="51" t="str">
        <f t="array" ref="AN66">XLOOKUP(D66,RUC!$B$3:$B$565,RUC!$M$3:$M$565)</f>
        <v>Ronald Miranda</v>
      </c>
      <c r="AO66" s="131" t="s">
        <v>558</v>
      </c>
      <c r="AP66" s="2" t="s">
        <v>3664</v>
      </c>
      <c r="AQ66" s="2" t="s">
        <v>3665</v>
      </c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 ht="15.0" customHeight="1">
      <c r="A67" s="116" t="s">
        <v>3670</v>
      </c>
      <c r="B67" s="182">
        <v>46122.0</v>
      </c>
      <c r="C67" s="182">
        <v>46112.0</v>
      </c>
      <c r="D67" s="2" t="s">
        <v>602</v>
      </c>
      <c r="E67" s="3">
        <f t="array" ref="E67">XLOOKUP(D67,RUC!$B$3:$B$110,RUC!$D$3:$D$110)</f>
        <v>20169040231</v>
      </c>
      <c r="F67" s="2"/>
      <c r="G67" s="141">
        <v>41.0</v>
      </c>
      <c r="H67" s="3" t="s">
        <v>47</v>
      </c>
      <c r="I67" s="6">
        <v>3.47</v>
      </c>
      <c r="J67" s="58">
        <v>2.15</v>
      </c>
      <c r="K67" s="6">
        <f t="shared" si="2"/>
        <v>3.395</v>
      </c>
      <c r="L67" s="60">
        <v>0.472</v>
      </c>
      <c r="M67" s="60">
        <f t="shared" si="32"/>
        <v>0.444</v>
      </c>
      <c r="N67" s="62">
        <f t="shared" si="38"/>
        <v>0.444</v>
      </c>
      <c r="O67" s="60">
        <f t="shared" si="5"/>
        <v>0.444</v>
      </c>
      <c r="P67" s="63">
        <v>90.0</v>
      </c>
      <c r="Q67" s="2">
        <v>90.25</v>
      </c>
      <c r="R67" s="65">
        <v>4608.35</v>
      </c>
      <c r="S67" s="66">
        <f t="array" ref="S67">IF((XLOOKUP(D67,RUC!$B$3:$B$106,RUC!$E$3:$E$106)+ROUNDDOWN(O67,1)*100)&lt;95,95,((XLOOKUP(D67,RUC!$B$3:$B$106,RUC!$E$3:$E$106)+ROUNDDOWN(O67,1)*100)))</f>
        <v>125</v>
      </c>
      <c r="T67" s="2"/>
      <c r="U67" s="67">
        <f t="array" ref="U67">XLOOKUP(D67,RUC!$B$3:$B$110,RUC!$F$3:$F$110)</f>
        <v>120</v>
      </c>
      <c r="V67" s="67">
        <v>1.1023</v>
      </c>
      <c r="W67" s="2"/>
      <c r="X67" s="2"/>
      <c r="Y67" s="2">
        <f t="array" ref="Y67">XLOOKUP(D67,RUC!$B$3:$B$110,RUC!$G$3:$G$110)</f>
        <v>20</v>
      </c>
      <c r="Z67" s="140">
        <v>35.0</v>
      </c>
      <c r="AA67" s="70">
        <f t="shared" si="6"/>
        <v>55</v>
      </c>
      <c r="AB67" s="71">
        <f t="shared" si="29"/>
        <v>1778.610279</v>
      </c>
      <c r="AC67" s="71">
        <f>+(S67-T67)*V67-'data 1'!$F$4</f>
        <v>57.7875</v>
      </c>
      <c r="AD67" s="71">
        <f t="shared" si="8"/>
        <v>5.838059682</v>
      </c>
      <c r="AE67" s="71">
        <f t="shared" si="9"/>
        <v>-9.3735</v>
      </c>
      <c r="AF67" s="71">
        <f t="shared" si="10"/>
        <v>125.0235323</v>
      </c>
      <c r="AG67" s="72">
        <f t="shared" si="40"/>
        <v>196.275592</v>
      </c>
      <c r="AH67" s="193">
        <f t="shared" si="12"/>
        <v>49.584</v>
      </c>
      <c r="AI67" s="193">
        <f t="shared" si="13"/>
        <v>54.94</v>
      </c>
      <c r="AJ67" s="73">
        <f t="shared" si="14"/>
        <v>193.2934494</v>
      </c>
      <c r="AK67" s="73">
        <f t="shared" si="15"/>
        <v>46.51299741</v>
      </c>
      <c r="AL67" s="2"/>
      <c r="AM67" s="51">
        <f t="shared" si="16"/>
        <v>6038.381896</v>
      </c>
      <c r="AN67" s="51" t="str">
        <f t="array" ref="AN67">XLOOKUP(D67,RUC!$B$3:$B$565,RUC!$M$3:$M$565)</f>
        <v>Ronald Miranda</v>
      </c>
      <c r="AO67" s="131" t="s">
        <v>558</v>
      </c>
      <c r="AP67" s="2" t="s">
        <v>3664</v>
      </c>
      <c r="AQ67" s="2" t="s">
        <v>3665</v>
      </c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 ht="15.0" customHeight="1">
      <c r="A68" s="116" t="s">
        <v>3671</v>
      </c>
      <c r="B68" s="182">
        <v>46122.0</v>
      </c>
      <c r="C68" s="182">
        <v>46112.0</v>
      </c>
      <c r="D68" s="2" t="s">
        <v>602</v>
      </c>
      <c r="E68" s="3">
        <f t="array" ref="E68">XLOOKUP(D68,RUC!$B$3:$B$110,RUC!$D$3:$D$110)</f>
        <v>20169040231</v>
      </c>
      <c r="F68" s="2"/>
      <c r="G68" s="141">
        <v>48.0</v>
      </c>
      <c r="H68" s="3" t="s">
        <v>47</v>
      </c>
      <c r="I68" s="6">
        <v>4.17</v>
      </c>
      <c r="J68" s="58">
        <v>2.2</v>
      </c>
      <c r="K68" s="6">
        <f t="shared" si="2"/>
        <v>4.078</v>
      </c>
      <c r="L68" s="60">
        <v>0.664</v>
      </c>
      <c r="M68" s="60">
        <f t="shared" si="32"/>
        <v>0.624</v>
      </c>
      <c r="N68" s="62">
        <f t="shared" si="38"/>
        <v>0.624</v>
      </c>
      <c r="O68" s="60">
        <f t="shared" si="5"/>
        <v>0.624</v>
      </c>
      <c r="P68" s="63">
        <v>90.0</v>
      </c>
      <c r="Q68" s="2">
        <v>90.21</v>
      </c>
      <c r="R68" s="65">
        <v>4608.35</v>
      </c>
      <c r="S68" s="66">
        <f t="array" ref="S68">IF((XLOOKUP(D68,RUC!$B$3:$B$106,RUC!$E$3:$E$106)+ROUNDDOWN(O68,1)*100)&lt;95,95,((XLOOKUP(D68,RUC!$B$3:$B$106,RUC!$E$3:$E$106)+ROUNDDOWN(O68,1)*100)))</f>
        <v>145</v>
      </c>
      <c r="T68" s="2"/>
      <c r="U68" s="67">
        <f t="array" ref="U68">XLOOKUP(D68,RUC!$B$3:$B$110,RUC!$F$3:$F$110)</f>
        <v>120</v>
      </c>
      <c r="V68" s="67">
        <v>1.1023</v>
      </c>
      <c r="W68" s="2"/>
      <c r="X68" s="2"/>
      <c r="Y68" s="2">
        <f t="array" ref="Y68">XLOOKUP(D68,RUC!$B$3:$B$110,RUC!$G$3:$G$110)</f>
        <v>20</v>
      </c>
      <c r="Z68" s="140">
        <v>35.0</v>
      </c>
      <c r="AA68" s="70">
        <f t="shared" si="6"/>
        <v>55</v>
      </c>
      <c r="AB68" s="71">
        <f t="shared" si="29"/>
        <v>2558.060608</v>
      </c>
      <c r="AC68" s="71">
        <f>+(S68-T68)*V68-'data 1'!$F$4</f>
        <v>79.8335</v>
      </c>
      <c r="AD68" s="71">
        <f t="shared" si="8"/>
        <v>6.898805441</v>
      </c>
      <c r="AE68" s="71">
        <f t="shared" si="9"/>
        <v>-9.3735</v>
      </c>
      <c r="AF68" s="71">
        <f t="shared" si="10"/>
        <v>178.5258861</v>
      </c>
      <c r="AG68" s="72">
        <f t="shared" si="40"/>
        <v>272.8846915</v>
      </c>
      <c r="AH68" s="193">
        <f t="shared" si="12"/>
        <v>83.749</v>
      </c>
      <c r="AI68" s="193">
        <f t="shared" si="13"/>
        <v>92.838</v>
      </c>
      <c r="AJ68" s="73">
        <f t="shared" si="14"/>
        <v>271.8007741</v>
      </c>
      <c r="AK68" s="73">
        <f t="shared" si="15"/>
        <v>78.52056028</v>
      </c>
      <c r="AL68" s="2"/>
      <c r="AM68" s="51">
        <f t="shared" si="16"/>
        <v>10431.77116</v>
      </c>
      <c r="AN68" s="51" t="str">
        <f t="array" ref="AN68">XLOOKUP(D68,RUC!$B$3:$B$565,RUC!$M$3:$M$565)</f>
        <v>Ronald Miranda</v>
      </c>
      <c r="AO68" s="131" t="s">
        <v>549</v>
      </c>
      <c r="AP68" s="2" t="s">
        <v>3664</v>
      </c>
      <c r="AQ68" s="2" t="s">
        <v>3665</v>
      </c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 ht="15.0" customHeight="1">
      <c r="A69" s="116" t="s">
        <v>3672</v>
      </c>
      <c r="B69" s="182">
        <v>46122.0</v>
      </c>
      <c r="C69" s="182">
        <v>46112.0</v>
      </c>
      <c r="D69" s="2" t="s">
        <v>602</v>
      </c>
      <c r="E69" s="3">
        <f t="array" ref="E69">XLOOKUP(D69,RUC!$B$3:$B$110,RUC!$D$3:$D$110)</f>
        <v>20169040231</v>
      </c>
      <c r="F69" s="2"/>
      <c r="G69" s="141">
        <v>55.0</v>
      </c>
      <c r="H69" s="3" t="s">
        <v>47</v>
      </c>
      <c r="I69" s="6">
        <v>5.35</v>
      </c>
      <c r="J69" s="58">
        <v>3.2</v>
      </c>
      <c r="K69" s="6">
        <f t="shared" si="2"/>
        <v>5.179</v>
      </c>
      <c r="L69" s="60">
        <v>0.126</v>
      </c>
      <c r="M69" s="60">
        <f t="shared" si="32"/>
        <v>0.107</v>
      </c>
      <c r="N69" s="62">
        <f t="shared" si="38"/>
        <v>0.107</v>
      </c>
      <c r="O69" s="60">
        <f t="shared" si="5"/>
        <v>0.107</v>
      </c>
      <c r="P69" s="63">
        <v>80.0</v>
      </c>
      <c r="Q69" s="2">
        <v>88.89</v>
      </c>
      <c r="R69" s="65">
        <v>4608.35</v>
      </c>
      <c r="S69" s="66">
        <f t="array" ref="S69">IF((XLOOKUP(D69,RUC!$B$3:$B$106,RUC!$E$3:$E$106)+ROUNDDOWN(O69,1)*100)&lt;95,95,((XLOOKUP(D69,RUC!$B$3:$B$106,RUC!$E$3:$E$106)+ROUNDDOWN(O69,1)*100)))</f>
        <v>95</v>
      </c>
      <c r="T69" s="2"/>
      <c r="U69" s="67">
        <f t="array" ref="U69">XLOOKUP(D69,RUC!$B$3:$B$110,RUC!$F$3:$F$110)</f>
        <v>120</v>
      </c>
      <c r="V69" s="67">
        <v>1.1023</v>
      </c>
      <c r="W69" s="2"/>
      <c r="X69" s="2"/>
      <c r="Y69" s="2">
        <f t="array" ref="Y69">XLOOKUP(D69,RUC!$B$3:$B$110,RUC!$G$3:$G$110)</f>
        <v>20</v>
      </c>
      <c r="Z69" s="140">
        <v>35.0</v>
      </c>
      <c r="AA69" s="70">
        <f t="shared" si="6"/>
        <v>55</v>
      </c>
      <c r="AB69" s="71">
        <f t="shared" si="29"/>
        <v>258.1617023</v>
      </c>
      <c r="AC69" s="71">
        <f>+(S69-T69)*V69-'data 1'!$F$4</f>
        <v>24.7185</v>
      </c>
      <c r="AD69" s="71">
        <f t="shared" si="8"/>
        <v>55.41901841</v>
      </c>
      <c r="AE69" s="71">
        <f t="shared" si="9"/>
        <v>-9.3735</v>
      </c>
      <c r="AF69" s="71">
        <f t="shared" si="10"/>
        <v>83.55896083</v>
      </c>
      <c r="AG69" s="72">
        <f t="shared" si="40"/>
        <v>171.3229792</v>
      </c>
      <c r="AH69" s="193">
        <f t="shared" si="12"/>
        <v>19.887</v>
      </c>
      <c r="AI69" s="193">
        <f t="shared" si="13"/>
        <v>22.373</v>
      </c>
      <c r="AJ69" s="73">
        <f t="shared" si="14"/>
        <v>50.82195631</v>
      </c>
      <c r="AK69" s="73">
        <f t="shared" si="15"/>
        <v>15.19948052</v>
      </c>
      <c r="AL69" s="2"/>
      <c r="AM69" s="51">
        <f t="shared" si="16"/>
        <v>1337.019456</v>
      </c>
      <c r="AN69" s="51" t="str">
        <f t="array" ref="AN69">XLOOKUP(D69,RUC!$B$3:$B$565,RUC!$M$3:$M$565)</f>
        <v>Ronald Miranda</v>
      </c>
      <c r="AO69" s="131" t="s">
        <v>549</v>
      </c>
      <c r="AP69" s="2" t="s">
        <v>3664</v>
      </c>
      <c r="AQ69" s="2" t="s">
        <v>3665</v>
      </c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 ht="15.0" customHeight="1">
      <c r="A70" s="116" t="s">
        <v>3673</v>
      </c>
      <c r="B70" s="182">
        <v>46125.0</v>
      </c>
      <c r="C70" s="182">
        <v>46113.0</v>
      </c>
      <c r="D70" s="2" t="s">
        <v>602</v>
      </c>
      <c r="E70" s="3">
        <f t="array" ref="E70">XLOOKUP(D70,RUC!$B$3:$B$110,RUC!$D$3:$D$110)</f>
        <v>20169040231</v>
      </c>
      <c r="F70" s="2"/>
      <c r="G70" s="141">
        <v>58.0</v>
      </c>
      <c r="H70" s="3" t="s">
        <v>47</v>
      </c>
      <c r="I70" s="6">
        <v>4.84</v>
      </c>
      <c r="J70" s="58">
        <v>2.0</v>
      </c>
      <c r="K70" s="6">
        <f t="shared" si="2"/>
        <v>4.743</v>
      </c>
      <c r="L70" s="60">
        <v>0.428</v>
      </c>
      <c r="M70" s="60">
        <f t="shared" si="32"/>
        <v>0.402</v>
      </c>
      <c r="N70" s="62">
        <f t="shared" si="38"/>
        <v>0.402</v>
      </c>
      <c r="O70" s="60">
        <f t="shared" si="5"/>
        <v>0.402</v>
      </c>
      <c r="P70" s="63">
        <v>90.0</v>
      </c>
      <c r="Q70" s="2">
        <v>90.65</v>
      </c>
      <c r="R70" s="65">
        <v>4739.0</v>
      </c>
      <c r="S70" s="66">
        <f t="array" ref="S70">IF((XLOOKUP(D70,RUC!$B$3:$B$106,RUC!$E$3:$E$106)+ROUNDDOWN(O70,1)*100)&lt;95,95,((XLOOKUP(D70,RUC!$B$3:$B$106,RUC!$E$3:$E$106)+ROUNDDOWN(O70,1)*100)))</f>
        <v>125</v>
      </c>
      <c r="T70" s="2"/>
      <c r="U70" s="67">
        <f t="array" ref="U70">XLOOKUP(D70,RUC!$B$3:$B$110,RUC!$F$3:$F$110)</f>
        <v>120</v>
      </c>
      <c r="V70" s="67">
        <v>1.1023</v>
      </c>
      <c r="W70" s="2"/>
      <c r="X70" s="2"/>
      <c r="Y70" s="2">
        <f t="array" ref="Y70">XLOOKUP(D70,RUC!$B$3:$B$110,RUC!$G$3:$G$110)</f>
        <v>20</v>
      </c>
      <c r="Z70" s="140">
        <v>35.0</v>
      </c>
      <c r="AA70" s="70">
        <f t="shared" si="6"/>
        <v>55</v>
      </c>
      <c r="AB70" s="71">
        <f t="shared" si="29"/>
        <v>1643.699275</v>
      </c>
      <c r="AC70" s="71">
        <f>+(S70-T70)*V70-'data 1'!$F$4</f>
        <v>57.7875</v>
      </c>
      <c r="AD70" s="71">
        <f t="shared" si="8"/>
        <v>14.16461893</v>
      </c>
      <c r="AE70" s="71">
        <f t="shared" si="9"/>
        <v>-9.3735</v>
      </c>
      <c r="AF70" s="71">
        <f t="shared" si="10"/>
        <v>120.0021221</v>
      </c>
      <c r="AG70" s="72">
        <f t="shared" si="40"/>
        <v>199.580741</v>
      </c>
      <c r="AH70" s="193">
        <f t="shared" si="12"/>
        <v>63.092</v>
      </c>
      <c r="AI70" s="193">
        <f t="shared" si="13"/>
        <v>69.599</v>
      </c>
      <c r="AJ70" s="73">
        <f t="shared" si="14"/>
        <v>120.175989</v>
      </c>
      <c r="AK70" s="73">
        <f t="shared" si="15"/>
        <v>58.83432246</v>
      </c>
      <c r="AL70" s="2"/>
      <c r="AM70" s="51">
        <f t="shared" si="16"/>
        <v>7796.06566</v>
      </c>
      <c r="AN70" s="51" t="str">
        <f t="array" ref="AN70">XLOOKUP(D70,RUC!$B$3:$B$565,RUC!$M$3:$M$565)</f>
        <v>Ronald Miranda</v>
      </c>
      <c r="AO70" s="131" t="s">
        <v>549</v>
      </c>
      <c r="AP70" s="2" t="s">
        <v>749</v>
      </c>
      <c r="AQ70" s="2" t="s">
        <v>750</v>
      </c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 ht="15.0" customHeight="1">
      <c r="A71" s="116" t="s">
        <v>3674</v>
      </c>
      <c r="B71" s="182">
        <v>46125.0</v>
      </c>
      <c r="C71" s="182">
        <v>46113.0</v>
      </c>
      <c r="D71" s="2" t="s">
        <v>602</v>
      </c>
      <c r="E71" s="3">
        <f t="array" ref="E71">XLOOKUP(D71,RUC!$B$3:$B$110,RUC!$D$3:$D$110)</f>
        <v>20169040231</v>
      </c>
      <c r="F71" s="2"/>
      <c r="G71" s="141">
        <v>58.0</v>
      </c>
      <c r="H71" s="3" t="s">
        <v>47</v>
      </c>
      <c r="I71" s="6">
        <v>4.72</v>
      </c>
      <c r="J71" s="58">
        <v>2.05</v>
      </c>
      <c r="K71" s="6">
        <f t="shared" si="2"/>
        <v>4.623</v>
      </c>
      <c r="L71" s="60">
        <v>0.307</v>
      </c>
      <c r="M71" s="60">
        <f t="shared" si="32"/>
        <v>0.289</v>
      </c>
      <c r="N71" s="62">
        <f t="shared" si="38"/>
        <v>0.289</v>
      </c>
      <c r="O71" s="60">
        <f t="shared" si="5"/>
        <v>0.289</v>
      </c>
      <c r="P71" s="63">
        <v>90.0</v>
      </c>
      <c r="Q71" s="2">
        <v>91.86</v>
      </c>
      <c r="R71" s="65">
        <v>4739.0</v>
      </c>
      <c r="S71" s="66">
        <f t="array" ref="S71">IF((XLOOKUP(D71,RUC!$B$3:$B$106,RUC!$E$3:$E$106)+ROUNDDOWN(O71,1)*100)&lt;95,95,((XLOOKUP(D71,RUC!$B$3:$B$106,RUC!$E$3:$E$106)+ROUNDDOWN(O71,1)*100)))</f>
        <v>105</v>
      </c>
      <c r="T71" s="2"/>
      <c r="U71" s="67">
        <f t="array" ref="U71">XLOOKUP(D71,RUC!$B$3:$B$110,RUC!$F$3:$F$110)</f>
        <v>120</v>
      </c>
      <c r="V71" s="67">
        <v>1.1023</v>
      </c>
      <c r="W71" s="2"/>
      <c r="X71" s="2"/>
      <c r="Y71" s="2">
        <f t="array" ref="Y71">XLOOKUP(D71,RUC!$B$3:$B$110,RUC!$G$3:$G$110)</f>
        <v>20</v>
      </c>
      <c r="Z71" s="140">
        <v>35.0</v>
      </c>
      <c r="AA71" s="70">
        <f t="shared" si="6"/>
        <v>55</v>
      </c>
      <c r="AB71" s="71">
        <f t="shared" si="29"/>
        <v>1147.937314</v>
      </c>
      <c r="AC71" s="71">
        <f>+(S71-T71)*V71-'data 1'!$F$4</f>
        <v>35.7415</v>
      </c>
      <c r="AD71" s="71">
        <f t="shared" si="8"/>
        <v>29.07361863</v>
      </c>
      <c r="AE71" s="71">
        <f t="shared" si="9"/>
        <v>-9.3735</v>
      </c>
      <c r="AF71" s="71">
        <f t="shared" si="10"/>
        <v>84.18732607</v>
      </c>
      <c r="AG71" s="72">
        <f t="shared" si="40"/>
        <v>156.6289447</v>
      </c>
      <c r="AH71" s="193">
        <f t="shared" si="12"/>
        <v>44.699</v>
      </c>
      <c r="AI71" s="193">
        <f t="shared" si="13"/>
        <v>48.66</v>
      </c>
      <c r="AJ71" s="73">
        <f t="shared" si="14"/>
        <v>87.35161601</v>
      </c>
      <c r="AK71" s="73">
        <f t="shared" si="15"/>
        <v>41.22620086</v>
      </c>
      <c r="AL71" s="2"/>
      <c r="AM71" s="51">
        <f t="shared" si="16"/>
        <v>5306.914204</v>
      </c>
      <c r="AN71" s="51" t="str">
        <f t="array" ref="AN71">XLOOKUP(D71,RUC!$B$3:$B$565,RUC!$M$3:$M$565)</f>
        <v>Ronald Miranda</v>
      </c>
      <c r="AO71" s="131" t="s">
        <v>549</v>
      </c>
      <c r="AP71" s="2" t="s">
        <v>749</v>
      </c>
      <c r="AQ71" s="2" t="s">
        <v>750</v>
      </c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 ht="15.0" customHeight="1">
      <c r="A72" s="116" t="s">
        <v>3675</v>
      </c>
      <c r="B72" s="182">
        <v>46125.0</v>
      </c>
      <c r="C72" s="182">
        <v>46113.0</v>
      </c>
      <c r="D72" s="2" t="s">
        <v>602</v>
      </c>
      <c r="E72" s="3">
        <f t="array" ref="E72">XLOOKUP(D72,RUC!$B$3:$B$110,RUC!$D$3:$D$110)</f>
        <v>20169040231</v>
      </c>
      <c r="F72" s="2"/>
      <c r="G72" s="141">
        <v>22.0</v>
      </c>
      <c r="H72" s="3" t="s">
        <v>47</v>
      </c>
      <c r="I72" s="6">
        <v>2.14</v>
      </c>
      <c r="J72" s="58">
        <v>5.35</v>
      </c>
      <c r="K72" s="6">
        <f t="shared" si="2"/>
        <v>2.026</v>
      </c>
      <c r="L72" s="60">
        <v>0.138</v>
      </c>
      <c r="M72" s="60">
        <f t="shared" si="32"/>
        <v>0.119</v>
      </c>
      <c r="N72" s="62">
        <f t="shared" si="38"/>
        <v>0.119</v>
      </c>
      <c r="O72" s="60">
        <f t="shared" si="5"/>
        <v>0.119</v>
      </c>
      <c r="P72" s="63">
        <v>80.0</v>
      </c>
      <c r="Q72" s="2">
        <v>94.93</v>
      </c>
      <c r="R72" s="65">
        <v>4739.0</v>
      </c>
      <c r="S72" s="66">
        <f t="array" ref="S72">IF((XLOOKUP(D72,RUC!$B$3:$B$106,RUC!$E$3:$E$106)+ROUNDDOWN(O72,1)*100)&lt;95,95,((XLOOKUP(D72,RUC!$B$3:$B$106,RUC!$E$3:$E$106)+ROUNDDOWN(O72,1)*100)))</f>
        <v>95</v>
      </c>
      <c r="T72" s="2"/>
      <c r="U72" s="67">
        <f t="array" ref="U72">XLOOKUP(D72,RUC!$B$3:$B$110,RUC!$F$3:$F$110)</f>
        <v>120</v>
      </c>
      <c r="V72" s="67">
        <v>1.1023</v>
      </c>
      <c r="W72" s="2"/>
      <c r="X72" s="2"/>
      <c r="Y72" s="2">
        <f t="array" ref="Y72">XLOOKUP(D72,RUC!$B$3:$B$110,RUC!$G$3:$G$110)</f>
        <v>20</v>
      </c>
      <c r="Z72" s="140">
        <v>35.0</v>
      </c>
      <c r="AA72" s="70">
        <f t="shared" si="6"/>
        <v>55</v>
      </c>
      <c r="AB72" s="71">
        <f t="shared" si="29"/>
        <v>319.3680562</v>
      </c>
      <c r="AC72" s="71">
        <f>+(S72-T72)*V72-'data 1'!$F$4</f>
        <v>24.7185</v>
      </c>
      <c r="AD72" s="71">
        <f t="shared" si="8"/>
        <v>104.9026994</v>
      </c>
      <c r="AE72" s="71">
        <f t="shared" si="9"/>
        <v>-9.3735</v>
      </c>
      <c r="AF72" s="71">
        <f t="shared" si="10"/>
        <v>91.83428552</v>
      </c>
      <c r="AG72" s="72">
        <f t="shared" si="40"/>
        <v>229.0819849</v>
      </c>
      <c r="AH72" s="193">
        <f t="shared" si="12"/>
        <v>9.1</v>
      </c>
      <c r="AI72" s="193">
        <f t="shared" si="13"/>
        <v>9.586</v>
      </c>
      <c r="AJ72" s="73">
        <f t="shared" si="14"/>
        <v>40.57781844</v>
      </c>
      <c r="AK72" s="73">
        <f t="shared" si="15"/>
        <v>6.612801077</v>
      </c>
      <c r="AL72" s="2"/>
      <c r="AM72" s="51">
        <f t="shared" si="16"/>
        <v>647.0396819</v>
      </c>
      <c r="AN72" s="51" t="str">
        <f t="array" ref="AN72">XLOOKUP(D72,RUC!$B$3:$B$565,RUC!$M$3:$M$565)</f>
        <v>Ronald Miranda</v>
      </c>
      <c r="AO72" s="131" t="s">
        <v>549</v>
      </c>
      <c r="AP72" s="2" t="s">
        <v>749</v>
      </c>
      <c r="AQ72" s="2" t="s">
        <v>750</v>
      </c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 ht="15.0" customHeight="1">
      <c r="A73" s="116" t="s">
        <v>3676</v>
      </c>
      <c r="B73" s="182">
        <v>46123.0</v>
      </c>
      <c r="C73" s="182">
        <v>46113.0</v>
      </c>
      <c r="D73" s="2" t="s">
        <v>602</v>
      </c>
      <c r="E73" s="3">
        <f t="array" ref="E73">XLOOKUP(D73,RUC!$B$3:$B$110,RUC!$D$3:$D$110)</f>
        <v>20169040231</v>
      </c>
      <c r="F73" s="2"/>
      <c r="G73" s="141">
        <v>57.0</v>
      </c>
      <c r="H73" s="3" t="s">
        <v>47</v>
      </c>
      <c r="I73" s="6">
        <v>5.12</v>
      </c>
      <c r="J73" s="58">
        <v>2.15</v>
      </c>
      <c r="K73" s="6">
        <f t="shared" si="2"/>
        <v>5.01</v>
      </c>
      <c r="L73" s="60">
        <v>0.284</v>
      </c>
      <c r="M73" s="60">
        <f t="shared" si="32"/>
        <v>0.265</v>
      </c>
      <c r="N73" s="62">
        <f t="shared" si="38"/>
        <v>0.265</v>
      </c>
      <c r="O73" s="60">
        <f t="shared" si="5"/>
        <v>0.265</v>
      </c>
      <c r="P73" s="63">
        <v>90.0</v>
      </c>
      <c r="Q73" s="2">
        <v>95.07</v>
      </c>
      <c r="R73" s="65">
        <v>4739.0</v>
      </c>
      <c r="S73" s="66">
        <f t="array" ref="S73">IF((XLOOKUP(D73,RUC!$B$3:$B$106,RUC!$E$3:$E$106)+ROUNDDOWN(O73,1)*100)&lt;95,95,((XLOOKUP(D73,RUC!$B$3:$B$106,RUC!$E$3:$E$106)+ROUNDDOWN(O73,1)*100)))</f>
        <v>105</v>
      </c>
      <c r="T73" s="2"/>
      <c r="U73" s="67">
        <f t="array" ref="U73">XLOOKUP(D73,RUC!$B$3:$B$110,RUC!$F$3:$F$110)</f>
        <v>120</v>
      </c>
      <c r="V73" s="67">
        <v>1.1023</v>
      </c>
      <c r="W73" s="2"/>
      <c r="X73" s="2"/>
      <c r="Y73" s="2">
        <f t="array" ref="Y73">XLOOKUP(D73,RUC!$B$3:$B$110,RUC!$G$3:$G$110)</f>
        <v>20</v>
      </c>
      <c r="Z73" s="140">
        <v>35.0</v>
      </c>
      <c r="AA73" s="70">
        <f t="shared" si="6"/>
        <v>55</v>
      </c>
      <c r="AB73" s="71">
        <f t="shared" si="29"/>
        <v>1037.960402</v>
      </c>
      <c r="AC73" s="71">
        <f>+(S73-T73)*V73-'data 1'!$F$4</f>
        <v>35.7415</v>
      </c>
      <c r="AD73" s="71">
        <f t="shared" si="8"/>
        <v>73.31183145</v>
      </c>
      <c r="AE73" s="71">
        <f t="shared" si="9"/>
        <v>-9.3735</v>
      </c>
      <c r="AF73" s="71">
        <f t="shared" si="10"/>
        <v>91.96972005</v>
      </c>
      <c r="AG73" s="72">
        <f t="shared" si="40"/>
        <v>208.6495515</v>
      </c>
      <c r="AH73" s="193">
        <f t="shared" si="12"/>
        <v>46.378</v>
      </c>
      <c r="AI73" s="193">
        <f t="shared" si="13"/>
        <v>48.783</v>
      </c>
      <c r="AJ73" s="73">
        <f t="shared" si="14"/>
        <v>83.6311293</v>
      </c>
      <c r="AK73" s="73">
        <f t="shared" si="15"/>
        <v>40.9670959</v>
      </c>
      <c r="AL73" s="2"/>
      <c r="AM73" s="51">
        <f t="shared" si="16"/>
        <v>5200.181616</v>
      </c>
      <c r="AN73" s="51" t="str">
        <f t="array" ref="AN73">XLOOKUP(D73,RUC!$B$3:$B$565,RUC!$M$3:$M$565)</f>
        <v>Ronald Miranda</v>
      </c>
      <c r="AO73" s="131" t="s">
        <v>549</v>
      </c>
      <c r="AP73" s="2" t="s">
        <v>749</v>
      </c>
      <c r="AQ73" s="2" t="s">
        <v>750</v>
      </c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 ht="15.0" customHeight="1">
      <c r="A74" s="116" t="s">
        <v>3677</v>
      </c>
      <c r="B74" s="182">
        <v>46125.0</v>
      </c>
      <c r="C74" s="182">
        <v>46113.0</v>
      </c>
      <c r="D74" s="2" t="s">
        <v>602</v>
      </c>
      <c r="E74" s="3">
        <f t="array" ref="E74">XLOOKUP(D74,RUC!$B$3:$B$110,RUC!$D$3:$D$110)</f>
        <v>20169040231</v>
      </c>
      <c r="F74" s="2"/>
      <c r="G74" s="141">
        <v>80.0</v>
      </c>
      <c r="H74" s="3" t="s">
        <v>47</v>
      </c>
      <c r="I74" s="6">
        <v>7.17</v>
      </c>
      <c r="J74" s="58">
        <v>2.25</v>
      </c>
      <c r="K74" s="6">
        <f t="shared" si="2"/>
        <v>7.009</v>
      </c>
      <c r="L74" s="60">
        <v>0.483</v>
      </c>
      <c r="M74" s="60">
        <f t="shared" si="32"/>
        <v>0.454</v>
      </c>
      <c r="N74" s="62">
        <f t="shared" si="38"/>
        <v>0.454</v>
      </c>
      <c r="O74" s="60">
        <f t="shared" si="5"/>
        <v>0.454</v>
      </c>
      <c r="P74" s="63">
        <v>79.0</v>
      </c>
      <c r="Q74" s="201">
        <v>79.92</v>
      </c>
      <c r="R74" s="65">
        <v>4739.0</v>
      </c>
      <c r="S74" s="66">
        <f t="array" ref="S74">IF((XLOOKUP(D74,RUC!$B$3:$B$106,RUC!$E$3:$E$106)+ROUNDDOWN(O74,1)*100)&lt;95,95,((XLOOKUP(D74,RUC!$B$3:$B$106,RUC!$E$3:$E$106)+ROUNDDOWN(O74,1)*100)))</f>
        <v>125</v>
      </c>
      <c r="T74" s="2"/>
      <c r="U74" s="67">
        <f t="array" ref="U74">XLOOKUP(D74,RUC!$B$3:$B$110,RUC!$F$3:$F$110)</f>
        <v>120</v>
      </c>
      <c r="V74" s="67">
        <v>1.1023</v>
      </c>
      <c r="W74" s="2"/>
      <c r="X74" s="2"/>
      <c r="Y74" s="2">
        <f t="array" ref="Y74">XLOOKUP(D74,RUC!$B$3:$B$110,RUC!$G$3:$G$110)</f>
        <v>20</v>
      </c>
      <c r="Z74" s="140">
        <v>35.0</v>
      </c>
      <c r="AA74" s="70">
        <f t="shared" si="6"/>
        <v>55</v>
      </c>
      <c r="AB74" s="71">
        <f t="shared" si="29"/>
        <v>1627.71189</v>
      </c>
      <c r="AC74" s="71">
        <f>+(S74-T74)*V74-'data 1'!$F$4</f>
        <v>57.7875</v>
      </c>
      <c r="AD74" s="71">
        <f t="shared" si="8"/>
        <v>22.62469471</v>
      </c>
      <c r="AE74" s="71">
        <f t="shared" si="9"/>
        <v>-9.3735</v>
      </c>
      <c r="AF74" s="71">
        <f t="shared" si="10"/>
        <v>118.0052265</v>
      </c>
      <c r="AG74" s="72">
        <f t="shared" si="40"/>
        <v>206.0439212</v>
      </c>
      <c r="AH74" s="193">
        <f t="shared" si="12"/>
        <v>92.761</v>
      </c>
      <c r="AI74" s="193">
        <f t="shared" si="13"/>
        <v>116.068</v>
      </c>
      <c r="AJ74" s="73">
        <f t="shared" si="14"/>
        <v>119.5662843</v>
      </c>
      <c r="AK74" s="73">
        <f t="shared" si="15"/>
        <v>86.18825212</v>
      </c>
      <c r="AL74" s="2"/>
      <c r="AM74" s="51">
        <f t="shared" si="16"/>
        <v>11408.63264</v>
      </c>
      <c r="AN74" s="51" t="str">
        <f t="array" ref="AN74">XLOOKUP(D74,RUC!$B$3:$B$565,RUC!$M$3:$M$565)</f>
        <v>Ronald Miranda</v>
      </c>
      <c r="AO74" s="131" t="s">
        <v>549</v>
      </c>
      <c r="AP74" s="2" t="s">
        <v>749</v>
      </c>
      <c r="AQ74" s="2" t="s">
        <v>750</v>
      </c>
      <c r="AR74" s="2" t="s">
        <v>751</v>
      </c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 ht="15.0" customHeight="1">
      <c r="A75" s="116" t="s">
        <v>3678</v>
      </c>
      <c r="B75" s="182">
        <v>46125.0</v>
      </c>
      <c r="C75" s="182">
        <v>46113.0</v>
      </c>
      <c r="D75" s="2" t="s">
        <v>602</v>
      </c>
      <c r="E75" s="3">
        <f t="array" ref="E75">XLOOKUP(D75,RUC!$B$3:$B$110,RUC!$D$3:$D$110)</f>
        <v>20169040231</v>
      </c>
      <c r="F75" s="2"/>
      <c r="G75" s="141">
        <v>79.0</v>
      </c>
      <c r="H75" s="3" t="s">
        <v>47</v>
      </c>
      <c r="I75" s="6">
        <v>7.16</v>
      </c>
      <c r="J75" s="58">
        <v>2.2</v>
      </c>
      <c r="K75" s="6">
        <f t="shared" si="2"/>
        <v>7.002</v>
      </c>
      <c r="L75" s="60">
        <v>0.304</v>
      </c>
      <c r="M75" s="60">
        <v>0.289</v>
      </c>
      <c r="N75" s="62">
        <f t="shared" si="38"/>
        <v>0.289</v>
      </c>
      <c r="O75" s="60">
        <f t="shared" si="5"/>
        <v>0.289</v>
      </c>
      <c r="P75" s="63">
        <v>85.0</v>
      </c>
      <c r="Q75" s="201">
        <v>85.67</v>
      </c>
      <c r="R75" s="65">
        <v>4739.0</v>
      </c>
      <c r="S75" s="66">
        <f t="array" ref="S75">IF((XLOOKUP(D75,RUC!$B$3:$B$106,RUC!$E$3:$E$106)+ROUNDDOWN(O75,1)*100)&lt;95,95,((XLOOKUP(D75,RUC!$B$3:$B$106,RUC!$E$3:$E$106)+ROUNDDOWN(O75,1)*100)))</f>
        <v>105</v>
      </c>
      <c r="T75" s="2"/>
      <c r="U75" s="67">
        <f t="array" ref="U75">XLOOKUP(D75,RUC!$B$3:$B$110,RUC!$F$3:$F$110)</f>
        <v>120</v>
      </c>
      <c r="V75" s="67">
        <v>1.1023</v>
      </c>
      <c r="W75" s="2"/>
      <c r="X75" s="2"/>
      <c r="Y75" s="2">
        <f t="array" ref="Y75">XLOOKUP(D75,RUC!$B$3:$B$110,RUC!$G$3:$G$110)</f>
        <v>20</v>
      </c>
      <c r="Z75" s="140">
        <v>35.0</v>
      </c>
      <c r="AA75" s="70">
        <f t="shared" si="6"/>
        <v>55</v>
      </c>
      <c r="AB75" s="71">
        <f t="shared" si="29"/>
        <v>1074.364797</v>
      </c>
      <c r="AC75" s="71">
        <f>+(S75-T75)*V75-'data 1'!$F$4</f>
        <v>35.7415</v>
      </c>
      <c r="AD75" s="71">
        <f t="shared" si="8"/>
        <v>10.37041547</v>
      </c>
      <c r="AE75" s="71">
        <f t="shared" si="9"/>
        <v>-9.3735</v>
      </c>
      <c r="AF75" s="71">
        <f t="shared" si="10"/>
        <v>65.42862531</v>
      </c>
      <c r="AG75" s="72">
        <f t="shared" si="40"/>
        <v>119.1670408</v>
      </c>
      <c r="AH75" s="193">
        <f t="shared" si="12"/>
        <v>62.522</v>
      </c>
      <c r="AI75" s="193">
        <f t="shared" si="13"/>
        <v>72.98</v>
      </c>
      <c r="AJ75" s="73">
        <f t="shared" si="14"/>
        <v>80.66933518</v>
      </c>
      <c r="AK75" s="73">
        <f t="shared" si="15"/>
        <v>58.97228343</v>
      </c>
      <c r="AL75" s="2"/>
      <c r="AM75" s="51">
        <f t="shared" si="16"/>
        <v>7522.702308</v>
      </c>
      <c r="AN75" s="51" t="str">
        <f t="array" ref="AN75">XLOOKUP(D75,RUC!$B$3:$B$565,RUC!$M$3:$M$565)</f>
        <v>Ronald Miranda</v>
      </c>
      <c r="AO75" s="131" t="s">
        <v>549</v>
      </c>
      <c r="AP75" s="2" t="s">
        <v>749</v>
      </c>
      <c r="AQ75" s="2" t="s">
        <v>750</v>
      </c>
      <c r="AR75" s="2" t="s">
        <v>3679</v>
      </c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 ht="15.0" customHeight="1">
      <c r="A76" s="116" t="s">
        <v>3680</v>
      </c>
      <c r="B76" s="182">
        <v>46123.0</v>
      </c>
      <c r="C76" s="182">
        <v>46113.0</v>
      </c>
      <c r="D76" s="2" t="s">
        <v>602</v>
      </c>
      <c r="E76" s="3">
        <f t="array" ref="E76">XLOOKUP(D76,RUC!$B$3:$B$110,RUC!$D$3:$D$110)</f>
        <v>20169040231</v>
      </c>
      <c r="F76" s="2"/>
      <c r="G76" s="141">
        <v>55.0</v>
      </c>
      <c r="H76" s="3" t="s">
        <v>47</v>
      </c>
      <c r="I76" s="6">
        <v>5.08</v>
      </c>
      <c r="J76" s="58">
        <v>2.0</v>
      </c>
      <c r="K76" s="6">
        <f t="shared" si="2"/>
        <v>4.978</v>
      </c>
      <c r="L76" s="60">
        <v>0.726</v>
      </c>
      <c r="M76" s="60">
        <f t="shared" ref="M76:M117" si="41">ROUND(+IF(AN76="Melchor Vera",IF(L76&gt;0.467,L76*0.985,(L76-0.007)),IF(L76&gt;0.3,L76*0.94,(L76-0.019))),3)</f>
        <v>0.682</v>
      </c>
      <c r="N76" s="75">
        <v>0.734</v>
      </c>
      <c r="O76" s="60">
        <f t="shared" si="5"/>
        <v>0.708</v>
      </c>
      <c r="P76" s="63">
        <v>90.0</v>
      </c>
      <c r="Q76" s="2">
        <v>94.35</v>
      </c>
      <c r="R76" s="65">
        <v>4739.0</v>
      </c>
      <c r="S76" s="66">
        <f t="array" ref="S76">IF((XLOOKUP(D76,RUC!$B$3:$B$106,RUC!$E$3:$E$106)+ROUNDDOWN(O76,1)*100)&lt;95,95,((XLOOKUP(D76,RUC!$B$3:$B$106,RUC!$E$3:$E$106)+ROUNDDOWN(O76,1)*100)))</f>
        <v>155</v>
      </c>
      <c r="T76" s="2"/>
      <c r="U76" s="67">
        <f t="array" ref="U76">XLOOKUP(D76,RUC!$B$3:$B$110,RUC!$F$3:$F$110)</f>
        <v>120</v>
      </c>
      <c r="V76" s="67">
        <v>1.1023</v>
      </c>
      <c r="W76" s="2"/>
      <c r="X76" s="2"/>
      <c r="Y76" s="2">
        <f t="array" ref="Y76">XLOOKUP(D76,RUC!$B$3:$B$110,RUC!$G$3:$G$110)</f>
        <v>20</v>
      </c>
      <c r="Z76" s="140">
        <v>35.0</v>
      </c>
      <c r="AA76" s="70">
        <f t="shared" si="6"/>
        <v>55</v>
      </c>
      <c r="AB76" s="71">
        <f t="shared" si="29"/>
        <v>3012.835902</v>
      </c>
      <c r="AC76" s="71">
        <f>+(S76-T76)*V76-'data 1'!$F$4</f>
        <v>90.8565</v>
      </c>
      <c r="AD76" s="71">
        <f t="shared" si="8"/>
        <v>160.79541</v>
      </c>
      <c r="AE76" s="71">
        <f t="shared" si="9"/>
        <v>-9.3735</v>
      </c>
      <c r="AF76" s="71">
        <f t="shared" si="10"/>
        <v>86.469347</v>
      </c>
      <c r="AG76" s="72">
        <f t="shared" si="40"/>
        <v>345.747757</v>
      </c>
      <c r="AH76" s="193">
        <f t="shared" si="12"/>
        <v>116.908</v>
      </c>
      <c r="AI76" s="193">
        <f t="shared" si="13"/>
        <v>123.908</v>
      </c>
      <c r="AJ76" s="73">
        <f t="shared" si="14"/>
        <v>212.1703303</v>
      </c>
      <c r="AK76" s="73">
        <f t="shared" si="15"/>
        <v>108.75262</v>
      </c>
      <c r="AL76" s="2"/>
      <c r="AM76" s="51">
        <f t="shared" si="16"/>
        <v>14997.89712</v>
      </c>
      <c r="AN76" s="51" t="str">
        <f t="array" ref="AN76">XLOOKUP(D76,RUC!$B$3:$B$565,RUC!$M$3:$M$565)</f>
        <v>Ronald Miranda</v>
      </c>
      <c r="AO76" s="131" t="s">
        <v>547</v>
      </c>
      <c r="AP76" s="2" t="s">
        <v>753</v>
      </c>
      <c r="AQ76" s="2" t="s">
        <v>754</v>
      </c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 ht="15.0" customHeight="1">
      <c r="A77" s="116" t="s">
        <v>3681</v>
      </c>
      <c r="B77" s="182">
        <v>46123.0</v>
      </c>
      <c r="C77" s="182">
        <v>46113.0</v>
      </c>
      <c r="D77" s="2" t="s">
        <v>602</v>
      </c>
      <c r="E77" s="3">
        <f t="array" ref="E77">XLOOKUP(D77,RUC!$B$3:$B$110,RUC!$D$3:$D$110)</f>
        <v>20169040231</v>
      </c>
      <c r="F77" s="2"/>
      <c r="G77" s="141">
        <v>54.0</v>
      </c>
      <c r="H77" s="3" t="s">
        <v>47</v>
      </c>
      <c r="I77" s="6">
        <v>5.1</v>
      </c>
      <c r="J77" s="58">
        <v>2.1</v>
      </c>
      <c r="K77" s="6">
        <f t="shared" si="2"/>
        <v>4.993</v>
      </c>
      <c r="L77" s="60">
        <v>0.693</v>
      </c>
      <c r="M77" s="60">
        <f t="shared" si="41"/>
        <v>0.651</v>
      </c>
      <c r="N77" s="62">
        <f>+M77</f>
        <v>0.651</v>
      </c>
      <c r="O77" s="60">
        <f t="shared" si="5"/>
        <v>0.651</v>
      </c>
      <c r="P77" s="63">
        <v>90.0</v>
      </c>
      <c r="Q77" s="2">
        <v>95.67</v>
      </c>
      <c r="R77" s="65">
        <v>4739.0</v>
      </c>
      <c r="S77" s="66">
        <f t="array" ref="S77">IF((XLOOKUP(D77,RUC!$B$3:$B$106,RUC!$E$3:$E$106)+ROUNDDOWN(O77,1)*100)&lt;95,95,((XLOOKUP(D77,RUC!$B$3:$B$106,RUC!$E$3:$E$106)+ROUNDDOWN(O77,1)*100)))</f>
        <v>145</v>
      </c>
      <c r="T77" s="2"/>
      <c r="U77" s="67">
        <f t="array" ref="U77">XLOOKUP(D77,RUC!$B$3:$B$110,RUC!$F$3:$F$110)</f>
        <v>120</v>
      </c>
      <c r="V77" s="67">
        <v>1.1023</v>
      </c>
      <c r="W77" s="2"/>
      <c r="X77" s="2"/>
      <c r="Y77" s="2">
        <f t="array" ref="Y77">XLOOKUP(D77,RUC!$B$3:$B$110,RUC!$G$3:$G$110)</f>
        <v>20</v>
      </c>
      <c r="Z77" s="140">
        <v>35.0</v>
      </c>
      <c r="AA77" s="70">
        <f t="shared" si="6"/>
        <v>55</v>
      </c>
      <c r="AB77" s="71">
        <f t="shared" si="29"/>
        <v>2762.663736</v>
      </c>
      <c r="AC77" s="71">
        <f>+(S77-T77)*V77-'data 1'!$F$4</f>
        <v>79.8335</v>
      </c>
      <c r="AD77" s="71">
        <f t="shared" si="8"/>
        <v>200.0617499</v>
      </c>
      <c r="AE77" s="71">
        <f t="shared" si="9"/>
        <v>-9.3735</v>
      </c>
      <c r="AF77" s="71">
        <f t="shared" si="10"/>
        <v>204.5845504</v>
      </c>
      <c r="AG77" s="72">
        <f t="shared" si="40"/>
        <v>492.1063003</v>
      </c>
      <c r="AH77" s="193">
        <f t="shared" si="12"/>
        <v>113.496</v>
      </c>
      <c r="AI77" s="193">
        <f t="shared" si="13"/>
        <v>118.633</v>
      </c>
      <c r="AJ77" s="73">
        <f t="shared" si="14"/>
        <v>205.3596597</v>
      </c>
      <c r="AK77" s="73">
        <f t="shared" si="15"/>
        <v>100.2984296</v>
      </c>
      <c r="AL77" s="2"/>
      <c r="AM77" s="51">
        <f t="shared" si="16"/>
        <v>13793.98003</v>
      </c>
      <c r="AN77" s="51" t="str">
        <f t="array" ref="AN77">XLOOKUP(D77,RUC!$B$3:$B$565,RUC!$M$3:$M$565)</f>
        <v>Ronald Miranda</v>
      </c>
      <c r="AO77" s="131" t="s">
        <v>547</v>
      </c>
      <c r="AP77" s="2" t="s">
        <v>753</v>
      </c>
      <c r="AQ77" s="2" t="s">
        <v>754</v>
      </c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 ht="15.0" customHeight="1">
      <c r="A78" s="116" t="s">
        <v>3682</v>
      </c>
      <c r="B78" s="182">
        <v>46123.0</v>
      </c>
      <c r="C78" s="182">
        <v>46113.0</v>
      </c>
      <c r="D78" s="2" t="s">
        <v>602</v>
      </c>
      <c r="E78" s="3">
        <f t="array" ref="E78">XLOOKUP(D78,RUC!$B$3:$B$110,RUC!$D$3:$D$110)</f>
        <v>20169040231</v>
      </c>
      <c r="F78" s="2"/>
      <c r="G78" s="141">
        <v>44.0</v>
      </c>
      <c r="H78" s="3" t="s">
        <v>47</v>
      </c>
      <c r="I78" s="6">
        <v>3.7</v>
      </c>
      <c r="J78" s="58">
        <v>2.2</v>
      </c>
      <c r="K78" s="6">
        <f t="shared" si="2"/>
        <v>3.619</v>
      </c>
      <c r="L78" s="60">
        <v>0.264</v>
      </c>
      <c r="M78" s="60">
        <f t="shared" si="41"/>
        <v>0.245</v>
      </c>
      <c r="N78" s="60">
        <v>0.303</v>
      </c>
      <c r="O78" s="60">
        <f t="shared" si="5"/>
        <v>0.274</v>
      </c>
      <c r="P78" s="63">
        <v>90.0</v>
      </c>
      <c r="Q78" s="2">
        <v>93.18</v>
      </c>
      <c r="R78" s="65">
        <v>4739.0</v>
      </c>
      <c r="S78" s="66">
        <f t="array" ref="S78">IF((XLOOKUP(D78,RUC!$B$3:$B$106,RUC!$E$3:$E$106)+ROUNDDOWN(O78,1)*100)&lt;95,95,((XLOOKUP(D78,RUC!$B$3:$B$106,RUC!$E$3:$E$106)+ROUNDDOWN(O78,1)*100)))</f>
        <v>105</v>
      </c>
      <c r="T78" s="2"/>
      <c r="U78" s="67">
        <f t="array" ref="U78">XLOOKUP(D78,RUC!$B$3:$B$110,RUC!$F$3:$F$110)</f>
        <v>120</v>
      </c>
      <c r="V78" s="67">
        <v>1.1023</v>
      </c>
      <c r="W78" s="2"/>
      <c r="X78" s="2"/>
      <c r="Y78" s="2">
        <f t="array" ref="Y78">XLOOKUP(D78,RUC!$B$3:$B$110,RUC!$G$3:$G$110)</f>
        <v>20</v>
      </c>
      <c r="Z78" s="140">
        <v>35.0</v>
      </c>
      <c r="AA78" s="70">
        <f t="shared" si="6"/>
        <v>55</v>
      </c>
      <c r="AB78" s="71">
        <f t="shared" si="29"/>
        <v>1079.201744</v>
      </c>
      <c r="AC78" s="71">
        <f>+(S78-T78)*V78-'data 1'!$F$4</f>
        <v>35.7415</v>
      </c>
      <c r="AD78" s="71">
        <f t="shared" si="8"/>
        <v>42.74435977</v>
      </c>
      <c r="AE78" s="71">
        <f t="shared" si="9"/>
        <v>-9.3735</v>
      </c>
      <c r="AF78" s="71">
        <f t="shared" si="10"/>
        <v>-47.44281784</v>
      </c>
      <c r="AG78" s="72">
        <f t="shared" si="40"/>
        <v>38.66954193</v>
      </c>
      <c r="AH78" s="193">
        <f t="shared" si="12"/>
        <v>30.523</v>
      </c>
      <c r="AI78" s="193">
        <f t="shared" si="13"/>
        <v>32.757</v>
      </c>
      <c r="AJ78" s="73">
        <f t="shared" si="14"/>
        <v>76.19610302</v>
      </c>
      <c r="AK78" s="73">
        <f t="shared" si="15"/>
        <v>30.59783685</v>
      </c>
      <c r="AL78" s="2"/>
      <c r="AM78" s="51">
        <f t="shared" si="16"/>
        <v>3905.631113</v>
      </c>
      <c r="AN78" s="51" t="str">
        <f t="array" ref="AN78">XLOOKUP(D78,RUC!$B$3:$B$565,RUC!$M$3:$M$565)</f>
        <v>Ronald Miranda</v>
      </c>
      <c r="AO78" s="131" t="s">
        <v>547</v>
      </c>
      <c r="AP78" s="2" t="s">
        <v>753</v>
      </c>
      <c r="AQ78" s="2" t="s">
        <v>754</v>
      </c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 ht="15.0" customHeight="1">
      <c r="A79" s="116" t="s">
        <v>3683</v>
      </c>
      <c r="B79" s="182">
        <v>46123.0</v>
      </c>
      <c r="C79" s="182">
        <v>46114.0</v>
      </c>
      <c r="D79" s="2" t="s">
        <v>756</v>
      </c>
      <c r="E79" s="3" t="str">
        <f t="array" ref="E79">XLOOKUP(D79,RUC!$B$3:$B$110,RUC!$D$3:$D$110)</f>
        <v>20610807004*</v>
      </c>
      <c r="F79" s="2"/>
      <c r="G79" s="141">
        <v>49.0</v>
      </c>
      <c r="H79" s="3" t="s">
        <v>47</v>
      </c>
      <c r="I79" s="6">
        <v>4.48</v>
      </c>
      <c r="J79" s="58">
        <v>5.1</v>
      </c>
      <c r="K79" s="6">
        <f t="shared" si="2"/>
        <v>4.252</v>
      </c>
      <c r="L79" s="60">
        <v>0.444</v>
      </c>
      <c r="M79" s="60">
        <f t="shared" si="41"/>
        <v>0.417</v>
      </c>
      <c r="N79" s="62">
        <f t="shared" ref="N79:N88" si="42">+M79</f>
        <v>0.417</v>
      </c>
      <c r="O79" s="60">
        <f t="shared" si="5"/>
        <v>0.417</v>
      </c>
      <c r="P79" s="63">
        <v>90.0</v>
      </c>
      <c r="Q79" s="58">
        <v>98.42</v>
      </c>
      <c r="R79" s="65">
        <v>4639.35</v>
      </c>
      <c r="S79" s="66">
        <f t="array" ref="S79">IF((XLOOKUP(D79,RUC!$B$3:$B$106,RUC!$E$3:$E$106)+ROUNDDOWN(O79,1)*100)&lt;95,95,((XLOOKUP(D79,RUC!$B$3:$B$106,RUC!$E$3:$E$106)+ROUNDDOWN(O79,1)*100)))</f>
        <v>125</v>
      </c>
      <c r="T79" s="2"/>
      <c r="U79" s="67">
        <f t="array" ref="U79">XLOOKUP(D79,RUC!$B$3:$B$110,RUC!$F$3:$F$110)</f>
        <v>120</v>
      </c>
      <c r="V79" s="67">
        <v>1.1023</v>
      </c>
      <c r="W79" s="2"/>
      <c r="X79" s="2"/>
      <c r="Y79" s="2">
        <f t="array" ref="Y79">XLOOKUP(D79,RUC!$B$3:$B$110,RUC!$G$3:$G$110)</f>
        <v>20</v>
      </c>
      <c r="Z79" s="140">
        <v>35.0</v>
      </c>
      <c r="AA79" s="70">
        <f t="shared" si="6"/>
        <v>55</v>
      </c>
      <c r="AB79" s="71">
        <f t="shared" si="29"/>
        <v>1671.210318</v>
      </c>
      <c r="AC79" s="71">
        <f>+(S79-T79)*V79-'data 1'!$F$4</f>
        <v>57.7875</v>
      </c>
      <c r="AD79" s="71">
        <f t="shared" si="8"/>
        <v>186.239092</v>
      </c>
      <c r="AE79" s="71">
        <f t="shared" si="9"/>
        <v>-9.3735</v>
      </c>
      <c r="AF79" s="71">
        <f t="shared" si="10"/>
        <v>132.3801622</v>
      </c>
      <c r="AG79" s="72">
        <f t="shared" si="40"/>
        <v>384.0332541</v>
      </c>
      <c r="AH79" s="193">
        <f t="shared" si="12"/>
        <v>63.704</v>
      </c>
      <c r="AI79" s="193">
        <f t="shared" si="13"/>
        <v>64.727</v>
      </c>
      <c r="AJ79" s="73">
        <f t="shared" si="14"/>
        <v>183.3546685</v>
      </c>
      <c r="AK79" s="73">
        <f t="shared" si="15"/>
        <v>54.71178569</v>
      </c>
      <c r="AL79" s="2"/>
      <c r="AM79" s="51">
        <f t="shared" si="16"/>
        <v>7105.986273</v>
      </c>
      <c r="AN79" s="51" t="str">
        <f t="array" ref="AN79">XLOOKUP(D79,RUC!$B$3:$B$565,RUC!$M$3:$M$565)</f>
        <v>Ronald Miranda</v>
      </c>
      <c r="AO79" s="131" t="s">
        <v>549</v>
      </c>
      <c r="AP79" s="2" t="s">
        <v>757</v>
      </c>
      <c r="AQ79" s="2" t="s">
        <v>758</v>
      </c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 ht="15.0" customHeight="1">
      <c r="A80" s="116" t="s">
        <v>3684</v>
      </c>
      <c r="B80" s="182">
        <v>46118.0</v>
      </c>
      <c r="C80" s="182">
        <v>46114.0</v>
      </c>
      <c r="D80" s="2" t="s">
        <v>295</v>
      </c>
      <c r="E80" s="3">
        <f t="array" ref="E80">XLOOKUP(D80,RUC!$B$3:$B$110,RUC!$D$3:$D$110)</f>
        <v>20601769396</v>
      </c>
      <c r="F80" s="2"/>
      <c r="G80" s="141">
        <v>35.0</v>
      </c>
      <c r="H80" s="3" t="s">
        <v>339</v>
      </c>
      <c r="I80" s="6">
        <v>2.51</v>
      </c>
      <c r="J80" s="58">
        <v>10.9</v>
      </c>
      <c r="K80" s="6">
        <f t="shared" si="2"/>
        <v>2.236</v>
      </c>
      <c r="L80" s="60">
        <v>0.258</v>
      </c>
      <c r="M80" s="60">
        <f t="shared" si="41"/>
        <v>0.239</v>
      </c>
      <c r="N80" s="62">
        <f t="shared" si="42"/>
        <v>0.239</v>
      </c>
      <c r="O80" s="60">
        <f t="shared" si="5"/>
        <v>0.239</v>
      </c>
      <c r="P80" s="63">
        <v>90.0</v>
      </c>
      <c r="Q80" s="58">
        <v>97.29</v>
      </c>
      <c r="R80" s="65">
        <v>4639.35</v>
      </c>
      <c r="S80" s="66">
        <f t="array" ref="S80">IF((XLOOKUP(D80,RUC!$B$3:$B$106,RUC!$E$3:$E$106)+ROUNDDOWN(O80,1)*100)&lt;95,95,((XLOOKUP(D80,RUC!$B$3:$B$106,RUC!$E$3:$E$106)+ROUNDDOWN(O80,1)*100)))</f>
        <v>110</v>
      </c>
      <c r="T80" s="2"/>
      <c r="U80" s="67">
        <f t="array" ref="U80">XLOOKUP(D80,RUC!$B$3:$B$110,RUC!$F$3:$F$110)</f>
        <v>120</v>
      </c>
      <c r="V80" s="67">
        <v>1.1023</v>
      </c>
      <c r="W80" s="2"/>
      <c r="X80" s="2"/>
      <c r="Y80" s="2">
        <f t="array" ref="Y80">XLOOKUP(D80,RUC!$B$3:$B$110,RUC!$G$3:$G$110)</f>
        <v>20</v>
      </c>
      <c r="Z80" s="69">
        <f t="array" ref="Z80">XLOOKUP(D80,RUC!$B$3:$B$110,RUC!$H$3:$H$110)</f>
        <v>30</v>
      </c>
      <c r="AA80" s="70">
        <f t="shared" si="6"/>
        <v>50</v>
      </c>
      <c r="AB80" s="71">
        <f t="shared" si="29"/>
        <v>895.1912615</v>
      </c>
      <c r="AC80" s="71">
        <f>+(S80-T80)*V80-'data 1'!$F$4</f>
        <v>41.253</v>
      </c>
      <c r="AD80" s="71">
        <f t="shared" si="8"/>
        <v>93.69642447</v>
      </c>
      <c r="AE80" s="71">
        <f t="shared" si="9"/>
        <v>-14.885</v>
      </c>
      <c r="AF80" s="71">
        <f t="shared" si="10"/>
        <v>92.08684382</v>
      </c>
      <c r="AG80" s="72">
        <f t="shared" si="40"/>
        <v>229.1512683</v>
      </c>
      <c r="AH80" s="193">
        <f t="shared" si="12"/>
        <v>19.243</v>
      </c>
      <c r="AI80" s="193">
        <f t="shared" si="13"/>
        <v>19.779</v>
      </c>
      <c r="AJ80" s="73">
        <f t="shared" si="14"/>
        <v>105.3206549</v>
      </c>
      <c r="AK80" s="73">
        <f t="shared" si="15"/>
        <v>16.49002366</v>
      </c>
      <c r="AL80" s="2"/>
      <c r="AM80" s="51">
        <f t="shared" si="16"/>
        <v>2001.647661</v>
      </c>
      <c r="AN80" s="51" t="str">
        <f t="array" ref="AN80">XLOOKUP(D80,RUC!$B$3:$B$565,RUC!$M$3:$M$565)</f>
        <v>Evelyn</v>
      </c>
      <c r="AO80" s="131" t="s">
        <v>551</v>
      </c>
      <c r="AP80" s="2" t="s">
        <v>3685</v>
      </c>
      <c r="AQ80" s="2" t="s">
        <v>2021</v>
      </c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 ht="15.0" customHeight="1">
      <c r="A81" s="116" t="s">
        <v>3686</v>
      </c>
      <c r="B81" s="182">
        <v>46118.0</v>
      </c>
      <c r="C81" s="182">
        <v>46114.0</v>
      </c>
      <c r="D81" s="2" t="s">
        <v>295</v>
      </c>
      <c r="E81" s="3">
        <f t="array" ref="E81">XLOOKUP(D81,RUC!$B$3:$B$110,RUC!$D$3:$D$110)</f>
        <v>20601769396</v>
      </c>
      <c r="F81" s="2"/>
      <c r="G81" s="141">
        <v>33.0</v>
      </c>
      <c r="H81" s="3" t="s">
        <v>339</v>
      </c>
      <c r="I81" s="6">
        <v>2.32</v>
      </c>
      <c r="J81" s="58">
        <v>10.9</v>
      </c>
      <c r="K81" s="6">
        <f t="shared" si="2"/>
        <v>2.067</v>
      </c>
      <c r="L81" s="60">
        <v>0.234</v>
      </c>
      <c r="M81" s="60">
        <f t="shared" si="41"/>
        <v>0.215</v>
      </c>
      <c r="N81" s="62">
        <f t="shared" si="42"/>
        <v>0.215</v>
      </c>
      <c r="O81" s="60">
        <f t="shared" si="5"/>
        <v>0.215</v>
      </c>
      <c r="P81" s="63">
        <v>90.0</v>
      </c>
      <c r="Q81" s="58">
        <v>95.73</v>
      </c>
      <c r="R81" s="65">
        <v>4639.35</v>
      </c>
      <c r="S81" s="66">
        <f t="array" ref="S81">IF((XLOOKUP(D81,RUC!$B$3:$B$106,RUC!$E$3:$E$106)+ROUNDDOWN(O81,1)*100)&lt;95,95,((XLOOKUP(D81,RUC!$B$3:$B$106,RUC!$E$3:$E$106)+ROUNDDOWN(O81,1)*100)))</f>
        <v>110</v>
      </c>
      <c r="T81" s="2"/>
      <c r="U81" s="67">
        <f t="array" ref="U81">XLOOKUP(D81,RUC!$B$3:$B$110,RUC!$F$3:$F$110)</f>
        <v>120</v>
      </c>
      <c r="V81" s="67">
        <v>1.1023</v>
      </c>
      <c r="W81" s="2"/>
      <c r="X81" s="2"/>
      <c r="Y81" s="2">
        <f t="array" ref="Y81">XLOOKUP(D81,RUC!$B$3:$B$110,RUC!$G$3:$G$110)</f>
        <v>20</v>
      </c>
      <c r="Z81" s="69">
        <f t="array" ref="Z81">XLOOKUP(D81,RUC!$B$3:$B$110,RUC!$H$3:$H$110)</f>
        <v>30</v>
      </c>
      <c r="AA81" s="70">
        <f t="shared" si="6"/>
        <v>50</v>
      </c>
      <c r="AB81" s="71">
        <f t="shared" si="29"/>
        <v>787.5869842</v>
      </c>
      <c r="AC81" s="71">
        <f>+(S81-T81)*V81-'data 1'!$F$4</f>
        <v>41.253</v>
      </c>
      <c r="AD81" s="71">
        <f t="shared" si="8"/>
        <v>66.79535514</v>
      </c>
      <c r="AE81" s="71">
        <f t="shared" si="9"/>
        <v>-14.885</v>
      </c>
      <c r="AF81" s="71">
        <f t="shared" si="10"/>
        <v>90.61027401</v>
      </c>
      <c r="AG81" s="72">
        <f t="shared" si="40"/>
        <v>200.7736292</v>
      </c>
      <c r="AH81" s="193">
        <f t="shared" si="12"/>
        <v>15.875</v>
      </c>
      <c r="AI81" s="193">
        <f t="shared" si="13"/>
        <v>16.583</v>
      </c>
      <c r="AJ81" s="73">
        <f t="shared" si="14"/>
        <v>93.99171152</v>
      </c>
      <c r="AK81" s="73">
        <f t="shared" si="15"/>
        <v>13.71293809</v>
      </c>
      <c r="AL81" s="2"/>
      <c r="AM81" s="51">
        <f t="shared" si="16"/>
        <v>1627.942296</v>
      </c>
      <c r="AN81" s="51" t="str">
        <f t="array" ref="AN81">XLOOKUP(D81,RUC!$B$3:$B$565,RUC!$M$3:$M$565)</f>
        <v>Evelyn</v>
      </c>
      <c r="AO81" s="131" t="s">
        <v>551</v>
      </c>
      <c r="AP81" s="2" t="s">
        <v>3685</v>
      </c>
      <c r="AQ81" s="2" t="s">
        <v>2021</v>
      </c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 ht="15.0" customHeight="1">
      <c r="A82" s="116" t="s">
        <v>3687</v>
      </c>
      <c r="B82" s="182">
        <v>46118.0</v>
      </c>
      <c r="C82" s="182">
        <v>46114.0</v>
      </c>
      <c r="D82" s="2" t="s">
        <v>295</v>
      </c>
      <c r="E82" s="3">
        <f t="array" ref="E82">XLOOKUP(D82,RUC!$B$3:$B$110,RUC!$D$3:$D$110)</f>
        <v>20601769396</v>
      </c>
      <c r="F82" s="2"/>
      <c r="G82" s="141">
        <v>33.0</v>
      </c>
      <c r="H82" s="3" t="s">
        <v>339</v>
      </c>
      <c r="I82" s="6">
        <v>2.31</v>
      </c>
      <c r="J82" s="58">
        <v>11.93</v>
      </c>
      <c r="K82" s="6">
        <f t="shared" si="2"/>
        <v>2.034</v>
      </c>
      <c r="L82" s="60">
        <v>0.249</v>
      </c>
      <c r="M82" s="60">
        <f t="shared" si="41"/>
        <v>0.23</v>
      </c>
      <c r="N82" s="62">
        <f t="shared" si="42"/>
        <v>0.23</v>
      </c>
      <c r="O82" s="60">
        <f t="shared" si="5"/>
        <v>0.23</v>
      </c>
      <c r="P82" s="63">
        <v>90.0</v>
      </c>
      <c r="Q82" s="58">
        <v>96.39</v>
      </c>
      <c r="R82" s="65">
        <v>4639.35</v>
      </c>
      <c r="S82" s="66">
        <f t="array" ref="S82">IF((XLOOKUP(D82,RUC!$B$3:$B$106,RUC!$E$3:$E$106)+ROUNDDOWN(O82,1)*100)&lt;95,95,((XLOOKUP(D82,RUC!$B$3:$B$106,RUC!$E$3:$E$106)+ROUNDDOWN(O82,1)*100)))</f>
        <v>110</v>
      </c>
      <c r="T82" s="2"/>
      <c r="U82" s="67">
        <f t="array" ref="U82">XLOOKUP(D82,RUC!$B$3:$B$110,RUC!$F$3:$F$110)</f>
        <v>120</v>
      </c>
      <c r="V82" s="67">
        <v>1.1023</v>
      </c>
      <c r="W82" s="2"/>
      <c r="X82" s="2"/>
      <c r="Y82" s="2">
        <f t="array" ref="Y82">XLOOKUP(D82,RUC!$B$3:$B$110,RUC!$G$3:$G$110)</f>
        <v>20</v>
      </c>
      <c r="Z82" s="69">
        <f t="array" ref="Z82">XLOOKUP(D82,RUC!$B$3:$B$110,RUC!$H$3:$H$110)</f>
        <v>30</v>
      </c>
      <c r="AA82" s="70">
        <f t="shared" si="6"/>
        <v>50</v>
      </c>
      <c r="AB82" s="71">
        <f t="shared" si="29"/>
        <v>854.8396575</v>
      </c>
      <c r="AC82" s="71">
        <f>+(S82-T82)*V82-'data 1'!$F$4</f>
        <v>41.253</v>
      </c>
      <c r="AD82" s="71">
        <f t="shared" si="8"/>
        <v>79.26400077</v>
      </c>
      <c r="AE82" s="71">
        <f t="shared" si="9"/>
        <v>-14.885</v>
      </c>
      <c r="AF82" s="71">
        <f t="shared" si="10"/>
        <v>91.23497662</v>
      </c>
      <c r="AG82" s="72">
        <f t="shared" si="40"/>
        <v>213.8669774</v>
      </c>
      <c r="AH82" s="193">
        <f t="shared" si="12"/>
        <v>16.738</v>
      </c>
      <c r="AI82" s="193">
        <f t="shared" si="13"/>
        <v>17.364</v>
      </c>
      <c r="AJ82" s="73">
        <f t="shared" si="14"/>
        <v>100.7063763</v>
      </c>
      <c r="AK82" s="73">
        <f t="shared" si="15"/>
        <v>14.43545121</v>
      </c>
      <c r="AL82" s="2"/>
      <c r="AM82" s="51">
        <f t="shared" si="16"/>
        <v>1738.743863</v>
      </c>
      <c r="AN82" s="51" t="str">
        <f t="array" ref="AN82">XLOOKUP(D82,RUC!$B$3:$B$565,RUC!$M$3:$M$565)</f>
        <v>Evelyn</v>
      </c>
      <c r="AO82" s="131" t="s">
        <v>551</v>
      </c>
      <c r="AP82" s="2" t="s">
        <v>3685</v>
      </c>
      <c r="AQ82" s="2" t="s">
        <v>2021</v>
      </c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 ht="15.0" customHeight="1">
      <c r="A83" s="116" t="s">
        <v>3688</v>
      </c>
      <c r="B83" s="182">
        <v>46118.0</v>
      </c>
      <c r="C83" s="182">
        <v>46114.0</v>
      </c>
      <c r="D83" s="2" t="s">
        <v>295</v>
      </c>
      <c r="E83" s="3">
        <f t="array" ref="E83">XLOOKUP(D83,RUC!$B$3:$B$110,RUC!$D$3:$D$110)</f>
        <v>20601769396</v>
      </c>
      <c r="F83" s="2"/>
      <c r="G83" s="141">
        <v>33.0</v>
      </c>
      <c r="H83" s="3" t="s">
        <v>339</v>
      </c>
      <c r="I83" s="6">
        <v>2.35</v>
      </c>
      <c r="J83" s="58">
        <v>12.55</v>
      </c>
      <c r="K83" s="6">
        <f t="shared" si="2"/>
        <v>2.055</v>
      </c>
      <c r="L83" s="60">
        <v>0.224</v>
      </c>
      <c r="M83" s="60">
        <f t="shared" si="41"/>
        <v>0.205</v>
      </c>
      <c r="N83" s="62">
        <f t="shared" si="42"/>
        <v>0.205</v>
      </c>
      <c r="O83" s="60">
        <f t="shared" si="5"/>
        <v>0.205</v>
      </c>
      <c r="P83" s="63">
        <v>90.0</v>
      </c>
      <c r="Q83" s="58">
        <v>95.09</v>
      </c>
      <c r="R83" s="65">
        <v>4639.35</v>
      </c>
      <c r="S83" s="66">
        <f t="array" ref="S83">IF((XLOOKUP(D83,RUC!$B$3:$B$106,RUC!$E$3:$E$106)+ROUNDDOWN(O83,1)*100)&lt;95,95,((XLOOKUP(D83,RUC!$B$3:$B$106,RUC!$E$3:$E$106)+ROUNDDOWN(O83,1)*100)))</f>
        <v>110</v>
      </c>
      <c r="T83" s="2"/>
      <c r="U83" s="67">
        <f t="array" ref="U83">XLOOKUP(D83,RUC!$B$3:$B$110,RUC!$F$3:$F$110)</f>
        <v>120</v>
      </c>
      <c r="V83" s="67">
        <v>1.1023</v>
      </c>
      <c r="W83" s="2"/>
      <c r="X83" s="2"/>
      <c r="Y83" s="2">
        <f t="array" ref="Y83">XLOOKUP(D83,RUC!$B$3:$B$110,RUC!$G$3:$G$110)</f>
        <v>20</v>
      </c>
      <c r="Z83" s="69">
        <f t="array" ref="Z83">XLOOKUP(D83,RUC!$B$3:$B$110,RUC!$H$3:$H$110)</f>
        <v>30</v>
      </c>
      <c r="AA83" s="70">
        <f t="shared" si="6"/>
        <v>50</v>
      </c>
      <c r="AB83" s="71">
        <f t="shared" si="29"/>
        <v>742.7518687</v>
      </c>
      <c r="AC83" s="71">
        <f>+(S83-T83)*V83-'data 1'!$F$4</f>
        <v>41.253</v>
      </c>
      <c r="AD83" s="71">
        <f t="shared" si="8"/>
        <v>56.79911704</v>
      </c>
      <c r="AE83" s="71">
        <f t="shared" si="9"/>
        <v>-14.885</v>
      </c>
      <c r="AF83" s="71">
        <f t="shared" si="10"/>
        <v>90.00450178</v>
      </c>
      <c r="AG83" s="72">
        <f t="shared" si="40"/>
        <v>190.1716188</v>
      </c>
      <c r="AH83" s="193">
        <f t="shared" si="12"/>
        <v>15.007</v>
      </c>
      <c r="AI83" s="193">
        <f t="shared" si="13"/>
        <v>15.782</v>
      </c>
      <c r="AJ83" s="73">
        <f t="shared" si="14"/>
        <v>89.37344678</v>
      </c>
      <c r="AK83" s="73">
        <f t="shared" si="15"/>
        <v>12.99921917</v>
      </c>
      <c r="AL83" s="2"/>
      <c r="AM83" s="51">
        <f t="shared" si="16"/>
        <v>1526.35509</v>
      </c>
      <c r="AN83" s="51" t="str">
        <f t="array" ref="AN83">XLOOKUP(D83,RUC!$B$3:$B$565,RUC!$M$3:$M$565)</f>
        <v>Evelyn</v>
      </c>
      <c r="AO83" s="131" t="s">
        <v>551</v>
      </c>
      <c r="AP83" s="2" t="s">
        <v>3685</v>
      </c>
      <c r="AQ83" s="2" t="s">
        <v>2021</v>
      </c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 ht="15.0" customHeight="1">
      <c r="A84" s="116" t="s">
        <v>3689</v>
      </c>
      <c r="B84" s="182">
        <v>46118.0</v>
      </c>
      <c r="C84" s="182">
        <v>46114.0</v>
      </c>
      <c r="D84" s="2" t="s">
        <v>295</v>
      </c>
      <c r="E84" s="3">
        <f t="array" ref="E84">XLOOKUP(D84,RUC!$B$3:$B$110,RUC!$D$3:$D$110)</f>
        <v>20601769396</v>
      </c>
      <c r="F84" s="2"/>
      <c r="G84" s="141">
        <v>33.0</v>
      </c>
      <c r="H84" s="3" t="s">
        <v>339</v>
      </c>
      <c r="I84" s="6">
        <v>2.31</v>
      </c>
      <c r="J84" s="58">
        <v>10.48</v>
      </c>
      <c r="K84" s="6">
        <f t="shared" si="2"/>
        <v>2.068</v>
      </c>
      <c r="L84" s="60">
        <v>0.295</v>
      </c>
      <c r="M84" s="60">
        <f t="shared" si="41"/>
        <v>0.276</v>
      </c>
      <c r="N84" s="62">
        <f t="shared" si="42"/>
        <v>0.276</v>
      </c>
      <c r="O84" s="60">
        <f t="shared" si="5"/>
        <v>0.276</v>
      </c>
      <c r="P84" s="63">
        <v>90.0</v>
      </c>
      <c r="Q84" s="58">
        <v>95.59</v>
      </c>
      <c r="R84" s="65">
        <v>4639.35</v>
      </c>
      <c r="S84" s="66">
        <f t="array" ref="S84">IF((XLOOKUP(D84,RUC!$B$3:$B$106,RUC!$E$3:$E$106)+ROUNDDOWN(O84,1)*100)&lt;95,95,((XLOOKUP(D84,RUC!$B$3:$B$106,RUC!$E$3:$E$106)+ROUNDDOWN(O84,1)*100)))</f>
        <v>110</v>
      </c>
      <c r="T84" s="2"/>
      <c r="U84" s="67">
        <f t="array" ref="U84">XLOOKUP(D84,RUC!$B$3:$B$110,RUC!$F$3:$F$110)</f>
        <v>120</v>
      </c>
      <c r="V84" s="67">
        <v>1.1023</v>
      </c>
      <c r="W84" s="2"/>
      <c r="X84" s="2"/>
      <c r="Y84" s="2">
        <f t="array" ref="Y84">XLOOKUP(D84,RUC!$B$3:$B$110,RUC!$G$3:$G$110)</f>
        <v>20</v>
      </c>
      <c r="Z84" s="69">
        <f t="array" ref="Z84">XLOOKUP(D84,RUC!$B$3:$B$110,RUC!$H$3:$H$110)</f>
        <v>30</v>
      </c>
      <c r="AA84" s="70">
        <f t="shared" si="6"/>
        <v>50</v>
      </c>
      <c r="AB84" s="71">
        <f t="shared" si="29"/>
        <v>1061.081189</v>
      </c>
      <c r="AC84" s="71">
        <f>+(S84-T84)*V84-'data 1'!$F$4</f>
        <v>41.253</v>
      </c>
      <c r="AD84" s="71">
        <f t="shared" si="8"/>
        <v>82.15038588</v>
      </c>
      <c r="AE84" s="71">
        <f t="shared" si="9"/>
        <v>-14.885</v>
      </c>
      <c r="AF84" s="71">
        <f t="shared" si="10"/>
        <v>90.47776134</v>
      </c>
      <c r="AG84" s="72">
        <f t="shared" si="40"/>
        <v>215.9961472</v>
      </c>
      <c r="AH84" s="193">
        <f t="shared" si="12"/>
        <v>19.994</v>
      </c>
      <c r="AI84" s="193">
        <f t="shared" si="13"/>
        <v>20.916</v>
      </c>
      <c r="AJ84" s="73">
        <f t="shared" si="14"/>
        <v>118.3205335</v>
      </c>
      <c r="AK84" s="73">
        <f t="shared" si="15"/>
        <v>17.61210213</v>
      </c>
      <c r="AL84" s="2"/>
      <c r="AM84" s="51">
        <f t="shared" si="16"/>
        <v>2194.315899</v>
      </c>
      <c r="AN84" s="51" t="str">
        <f t="array" ref="AN84">XLOOKUP(D84,RUC!$B$3:$B$565,RUC!$M$3:$M$565)</f>
        <v>Evelyn</v>
      </c>
      <c r="AO84" s="131" t="s">
        <v>547</v>
      </c>
      <c r="AP84" s="2" t="s">
        <v>3685</v>
      </c>
      <c r="AQ84" s="2" t="s">
        <v>2021</v>
      </c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 ht="15.0" customHeight="1">
      <c r="A85" s="116" t="s">
        <v>3690</v>
      </c>
      <c r="B85" s="182">
        <v>46118.0</v>
      </c>
      <c r="C85" s="182">
        <v>46114.0</v>
      </c>
      <c r="D85" s="2" t="s">
        <v>295</v>
      </c>
      <c r="E85" s="3">
        <f t="array" ref="E85">XLOOKUP(D85,RUC!$B$3:$B$110,RUC!$D$3:$D$110)</f>
        <v>20601769396</v>
      </c>
      <c r="F85" s="2"/>
      <c r="G85" s="141">
        <v>33.0</v>
      </c>
      <c r="H85" s="3" t="s">
        <v>339</v>
      </c>
      <c r="I85" s="6">
        <v>2.24</v>
      </c>
      <c r="J85" s="58">
        <v>10.33</v>
      </c>
      <c r="K85" s="6">
        <f t="shared" si="2"/>
        <v>2.009</v>
      </c>
      <c r="L85" s="60">
        <v>0.212</v>
      </c>
      <c r="M85" s="60">
        <f t="shared" si="41"/>
        <v>0.193</v>
      </c>
      <c r="N85" s="62">
        <f t="shared" si="42"/>
        <v>0.193</v>
      </c>
      <c r="O85" s="60">
        <f t="shared" si="5"/>
        <v>0.193</v>
      </c>
      <c r="P85" s="63">
        <v>90.0</v>
      </c>
      <c r="Q85" s="58">
        <v>94.81</v>
      </c>
      <c r="R85" s="65">
        <v>4639.35</v>
      </c>
      <c r="S85" s="66">
        <f t="array" ref="S85">IF((XLOOKUP(D85,RUC!$B$3:$B$106,RUC!$E$3:$E$106)+ROUNDDOWN(O85,1)*100)&lt;95,95,((XLOOKUP(D85,RUC!$B$3:$B$106,RUC!$E$3:$E$106)+ROUNDDOWN(O85,1)*100)))</f>
        <v>100</v>
      </c>
      <c r="T85" s="2"/>
      <c r="U85" s="67">
        <f t="array" ref="U85">XLOOKUP(D85,RUC!$B$3:$B$110,RUC!$F$3:$F$110)</f>
        <v>120</v>
      </c>
      <c r="V85" s="67">
        <v>1.1023</v>
      </c>
      <c r="W85" s="2"/>
      <c r="X85" s="2"/>
      <c r="Y85" s="2">
        <f t="array" ref="Y85">XLOOKUP(D85,RUC!$B$3:$B$110,RUC!$G$3:$G$110)</f>
        <v>20</v>
      </c>
      <c r="Z85" s="69">
        <f t="array" ref="Z85">XLOOKUP(D85,RUC!$B$3:$B$110,RUC!$H$3:$H$110)</f>
        <v>30</v>
      </c>
      <c r="AA85" s="70">
        <f t="shared" si="6"/>
        <v>50</v>
      </c>
      <c r="AB85" s="71">
        <f t="shared" si="29"/>
        <v>699.97273</v>
      </c>
      <c r="AC85" s="71">
        <f>+(S85-T85)*V85-'data 1'!$F$4</f>
        <v>30.23</v>
      </c>
      <c r="AD85" s="71">
        <f t="shared" si="8"/>
        <v>50.79918225</v>
      </c>
      <c r="AE85" s="71">
        <f t="shared" si="9"/>
        <v>-14.885</v>
      </c>
      <c r="AF85" s="71">
        <f t="shared" si="10"/>
        <v>89.73947644</v>
      </c>
      <c r="AG85" s="72">
        <f t="shared" si="40"/>
        <v>172.8836587</v>
      </c>
      <c r="AH85" s="193">
        <f t="shared" si="12"/>
        <v>13.845</v>
      </c>
      <c r="AI85" s="193">
        <f t="shared" si="13"/>
        <v>14.602</v>
      </c>
      <c r="AJ85" s="73">
        <f t="shared" si="14"/>
        <v>84.33651464</v>
      </c>
      <c r="AK85" s="73">
        <f t="shared" si="15"/>
        <v>11.96434216</v>
      </c>
      <c r="AL85" s="2"/>
      <c r="AM85" s="51">
        <f t="shared" si="16"/>
        <v>1406.245215</v>
      </c>
      <c r="AN85" s="51" t="str">
        <f t="array" ref="AN85">XLOOKUP(D85,RUC!$B$3:$B$565,RUC!$M$3:$M$565)</f>
        <v>Evelyn</v>
      </c>
      <c r="AO85" s="131" t="s">
        <v>551</v>
      </c>
      <c r="AP85" s="2" t="s">
        <v>3685</v>
      </c>
      <c r="AQ85" s="2" t="s">
        <v>2021</v>
      </c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 ht="15.0" customHeight="1">
      <c r="A86" s="116" t="s">
        <v>3691</v>
      </c>
      <c r="B86" s="182">
        <v>46118.0</v>
      </c>
      <c r="C86" s="182">
        <v>46114.0</v>
      </c>
      <c r="D86" s="2" t="s">
        <v>295</v>
      </c>
      <c r="E86" s="3">
        <f t="array" ref="E86">XLOOKUP(D86,RUC!$B$3:$B$110,RUC!$D$3:$D$110)</f>
        <v>20601769396</v>
      </c>
      <c r="F86" s="2"/>
      <c r="G86" s="141">
        <v>27.0</v>
      </c>
      <c r="H86" s="3" t="s">
        <v>339</v>
      </c>
      <c r="I86" s="6">
        <v>2.1</v>
      </c>
      <c r="J86" s="58">
        <v>13.53</v>
      </c>
      <c r="K86" s="6">
        <f t="shared" si="2"/>
        <v>1.816</v>
      </c>
      <c r="L86" s="60">
        <v>0.188</v>
      </c>
      <c r="M86" s="60">
        <f t="shared" si="41"/>
        <v>0.169</v>
      </c>
      <c r="N86" s="62">
        <f t="shared" si="42"/>
        <v>0.169</v>
      </c>
      <c r="O86" s="60">
        <f t="shared" si="5"/>
        <v>0.169</v>
      </c>
      <c r="P86" s="63">
        <v>85.0</v>
      </c>
      <c r="Q86" s="58">
        <v>90.37</v>
      </c>
      <c r="R86" s="65">
        <v>4639.35</v>
      </c>
      <c r="S86" s="66">
        <f t="array" ref="S86">IF((XLOOKUP(D86,RUC!$B$3:$B$106,RUC!$E$3:$E$106)+ROUNDDOWN(O86,1)*100)&lt;95,95,((XLOOKUP(D86,RUC!$B$3:$B$106,RUC!$E$3:$E$106)+ROUNDDOWN(O86,1)*100)))</f>
        <v>100</v>
      </c>
      <c r="T86" s="2"/>
      <c r="U86" s="67">
        <f t="array" ref="U86">XLOOKUP(D86,RUC!$B$3:$B$110,RUC!$F$3:$F$110)</f>
        <v>120</v>
      </c>
      <c r="V86" s="67">
        <v>1.1023</v>
      </c>
      <c r="W86" s="2"/>
      <c r="X86" s="2"/>
      <c r="Y86" s="2">
        <f t="array" ref="Y86">XLOOKUP(D86,RUC!$B$3:$B$110,RUC!$G$3:$G$110)</f>
        <v>20</v>
      </c>
      <c r="Z86" s="69">
        <f t="array" ref="Z86">XLOOKUP(D86,RUC!$B$3:$B$110,RUC!$H$3:$H$110)</f>
        <v>30</v>
      </c>
      <c r="AA86" s="70">
        <f t="shared" si="6"/>
        <v>50</v>
      </c>
      <c r="AB86" s="71">
        <f t="shared" si="29"/>
        <v>550.2732609</v>
      </c>
      <c r="AC86" s="71">
        <f>+(S86-T86)*V86-'data 1'!$F$4</f>
        <v>30.23</v>
      </c>
      <c r="AD86" s="71">
        <f t="shared" si="8"/>
        <v>50.29304361</v>
      </c>
      <c r="AE86" s="71">
        <f t="shared" si="9"/>
        <v>-14.885</v>
      </c>
      <c r="AF86" s="71">
        <f t="shared" si="10"/>
        <v>85.5369316</v>
      </c>
      <c r="AG86" s="72">
        <f t="shared" si="40"/>
        <v>168.1749752</v>
      </c>
      <c r="AH86" s="193">
        <f t="shared" si="12"/>
        <v>10.578</v>
      </c>
      <c r="AI86" s="193">
        <f t="shared" si="13"/>
        <v>11.705</v>
      </c>
      <c r="AJ86" s="73">
        <f t="shared" si="14"/>
        <v>71.2865789</v>
      </c>
      <c r="AK86" s="73">
        <f t="shared" si="15"/>
        <v>8.943974324</v>
      </c>
      <c r="AL86" s="2"/>
      <c r="AM86" s="51">
        <f t="shared" si="16"/>
        <v>999.2962418</v>
      </c>
      <c r="AN86" s="51" t="str">
        <f t="array" ref="AN86">XLOOKUP(D86,RUC!$B$3:$B$565,RUC!$M$3:$M$565)</f>
        <v>Evelyn</v>
      </c>
      <c r="AO86" s="131" t="s">
        <v>551</v>
      </c>
      <c r="AP86" s="2" t="s">
        <v>3685</v>
      </c>
      <c r="AQ86" s="2" t="s">
        <v>2021</v>
      </c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 ht="15.0" customHeight="1">
      <c r="A87" s="116" t="s">
        <v>3692</v>
      </c>
      <c r="B87" s="182">
        <v>46118.0</v>
      </c>
      <c r="C87" s="182">
        <v>46114.0</v>
      </c>
      <c r="D87" s="2" t="s">
        <v>295</v>
      </c>
      <c r="E87" s="3">
        <f t="array" ref="E87">XLOOKUP(D87,RUC!$B$3:$B$110,RUC!$D$3:$D$110)</f>
        <v>20601769396</v>
      </c>
      <c r="F87" s="2"/>
      <c r="G87" s="141">
        <v>23.0</v>
      </c>
      <c r="H87" s="3" t="s">
        <v>339</v>
      </c>
      <c r="I87" s="6">
        <v>1.85</v>
      </c>
      <c r="J87" s="58">
        <v>14.4</v>
      </c>
      <c r="K87" s="6">
        <f t="shared" si="2"/>
        <v>1.584</v>
      </c>
      <c r="L87" s="60">
        <v>0.187</v>
      </c>
      <c r="M87" s="60">
        <f t="shared" si="41"/>
        <v>0.168</v>
      </c>
      <c r="N87" s="62">
        <f t="shared" si="42"/>
        <v>0.168</v>
      </c>
      <c r="O87" s="60">
        <f t="shared" si="5"/>
        <v>0.168</v>
      </c>
      <c r="P87" s="63">
        <v>85.0</v>
      </c>
      <c r="Q87" s="58">
        <v>90.96</v>
      </c>
      <c r="R87" s="65">
        <v>4639.35</v>
      </c>
      <c r="S87" s="66">
        <f t="array" ref="S87">IF((XLOOKUP(D87,RUC!$B$3:$B$106,RUC!$E$3:$E$106)+ROUNDDOWN(O87,1)*100)&lt;95,95,((XLOOKUP(D87,RUC!$B$3:$B$106,RUC!$E$3:$E$106)+ROUNDDOWN(O87,1)*100)))</f>
        <v>100</v>
      </c>
      <c r="T87" s="2"/>
      <c r="U87" s="67">
        <f t="array" ref="U87">XLOOKUP(D87,RUC!$B$3:$B$110,RUC!$F$3:$F$110)</f>
        <v>120</v>
      </c>
      <c r="V87" s="67">
        <v>1.1023</v>
      </c>
      <c r="W87" s="2"/>
      <c r="X87" s="2"/>
      <c r="Y87" s="2">
        <f t="array" ref="Y87">XLOOKUP(D87,RUC!$B$3:$B$110,RUC!$G$3:$G$110)</f>
        <v>20</v>
      </c>
      <c r="Z87" s="69">
        <f t="array" ref="Z87">XLOOKUP(D87,RUC!$B$3:$B$110,RUC!$H$3:$H$110)</f>
        <v>30</v>
      </c>
      <c r="AA87" s="70">
        <f t="shared" si="6"/>
        <v>50</v>
      </c>
      <c r="AB87" s="71">
        <f t="shared" si="29"/>
        <v>546.0388333</v>
      </c>
      <c r="AC87" s="71">
        <f>+(S87-T87)*V87-'data 1'!$F$4</f>
        <v>30.23</v>
      </c>
      <c r="AD87" s="71">
        <f t="shared" si="8"/>
        <v>55.52181442</v>
      </c>
      <c r="AE87" s="71">
        <f t="shared" si="9"/>
        <v>-14.885</v>
      </c>
      <c r="AF87" s="71">
        <f t="shared" si="10"/>
        <v>86.09537788</v>
      </c>
      <c r="AG87" s="72">
        <f t="shared" si="40"/>
        <v>173.9621923</v>
      </c>
      <c r="AH87" s="193">
        <f t="shared" si="12"/>
        <v>9.238</v>
      </c>
      <c r="AI87" s="193">
        <f t="shared" si="13"/>
        <v>10.156</v>
      </c>
      <c r="AJ87" s="73">
        <f t="shared" si="14"/>
        <v>71.37032917</v>
      </c>
      <c r="AK87" s="73">
        <f t="shared" si="15"/>
        <v>7.755190207</v>
      </c>
      <c r="AL87" s="2"/>
      <c r="AM87" s="51">
        <f t="shared" si="16"/>
        <v>864.925512</v>
      </c>
      <c r="AN87" s="51" t="str">
        <f t="array" ref="AN87">XLOOKUP(D87,RUC!$B$3:$B$565,RUC!$M$3:$M$565)</f>
        <v>Evelyn</v>
      </c>
      <c r="AO87" s="131" t="s">
        <v>551</v>
      </c>
      <c r="AP87" s="2" t="s">
        <v>3685</v>
      </c>
      <c r="AQ87" s="2" t="s">
        <v>2021</v>
      </c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 ht="15.0" customHeight="1">
      <c r="A88" s="116" t="s">
        <v>3693</v>
      </c>
      <c r="B88" s="182">
        <v>46118.0</v>
      </c>
      <c r="C88" s="182">
        <v>46114.0</v>
      </c>
      <c r="D88" s="2" t="s">
        <v>295</v>
      </c>
      <c r="E88" s="3">
        <f t="array" ref="E88">XLOOKUP(D88,RUC!$B$3:$B$110,RUC!$D$3:$D$110)</f>
        <v>20601769396</v>
      </c>
      <c r="F88" s="2"/>
      <c r="G88" s="141">
        <v>20.0</v>
      </c>
      <c r="H88" s="3" t="s">
        <v>339</v>
      </c>
      <c r="I88" s="6">
        <v>1.53</v>
      </c>
      <c r="J88" s="58">
        <v>11.63</v>
      </c>
      <c r="K88" s="6">
        <f t="shared" si="2"/>
        <v>1.352</v>
      </c>
      <c r="L88" s="60">
        <v>0.279</v>
      </c>
      <c r="M88" s="60">
        <f t="shared" si="41"/>
        <v>0.26</v>
      </c>
      <c r="N88" s="62">
        <f t="shared" si="42"/>
        <v>0.26</v>
      </c>
      <c r="O88" s="60">
        <f t="shared" si="5"/>
        <v>0.26</v>
      </c>
      <c r="P88" s="63">
        <v>90.0</v>
      </c>
      <c r="Q88" s="58">
        <v>90.32</v>
      </c>
      <c r="R88" s="65">
        <v>4639.35</v>
      </c>
      <c r="S88" s="66">
        <f t="array" ref="S88">IF((XLOOKUP(D88,RUC!$B$3:$B$106,RUC!$E$3:$E$106)+ROUNDDOWN(O88,1)*100)&lt;95,95,((XLOOKUP(D88,RUC!$B$3:$B$106,RUC!$E$3:$E$106)+ROUNDDOWN(O88,1)*100)))</f>
        <v>110</v>
      </c>
      <c r="T88" s="2"/>
      <c r="U88" s="67">
        <f t="array" ref="U88">XLOOKUP(D88,RUC!$B$3:$B$110,RUC!$F$3:$F$110)</f>
        <v>120</v>
      </c>
      <c r="V88" s="67">
        <v>1.1023</v>
      </c>
      <c r="W88" s="2"/>
      <c r="X88" s="2"/>
      <c r="Y88" s="2">
        <f t="array" ref="Y88">XLOOKUP(D88,RUC!$B$3:$B$110,RUC!$G$3:$G$110)</f>
        <v>20</v>
      </c>
      <c r="Z88" s="69">
        <f t="array" ref="Z88">XLOOKUP(D88,RUC!$B$3:$B$110,RUC!$H$3:$H$110)</f>
        <v>30</v>
      </c>
      <c r="AA88" s="70">
        <f t="shared" si="6"/>
        <v>50</v>
      </c>
      <c r="AB88" s="71">
        <f t="shared" si="29"/>
        <v>989.3450042</v>
      </c>
      <c r="AC88" s="71">
        <f>+(S88-T88)*V88-'data 1'!$F$4</f>
        <v>41.253</v>
      </c>
      <c r="AD88" s="71">
        <f t="shared" si="8"/>
        <v>4.447643462</v>
      </c>
      <c r="AE88" s="71">
        <f t="shared" si="9"/>
        <v>-14.885</v>
      </c>
      <c r="AF88" s="71">
        <f t="shared" si="10"/>
        <v>85.48960565</v>
      </c>
      <c r="AG88" s="72">
        <f t="shared" si="40"/>
        <v>133.3052491</v>
      </c>
      <c r="AH88" s="193">
        <f t="shared" si="12"/>
        <v>11.681</v>
      </c>
      <c r="AI88" s="193">
        <f t="shared" si="13"/>
        <v>12.933</v>
      </c>
      <c r="AJ88" s="73">
        <f t="shared" si="14"/>
        <v>105.7337837</v>
      </c>
      <c r="AK88" s="73">
        <f t="shared" si="15"/>
        <v>10.84679965</v>
      </c>
      <c r="AL88" s="2"/>
      <c r="AM88" s="51">
        <f t="shared" si="16"/>
        <v>1337.594446</v>
      </c>
      <c r="AN88" s="51" t="str">
        <f t="array" ref="AN88">XLOOKUP(D88,RUC!$B$3:$B$565,RUC!$M$3:$M$565)</f>
        <v>Evelyn</v>
      </c>
      <c r="AO88" s="131" t="s">
        <v>547</v>
      </c>
      <c r="AP88" s="2" t="s">
        <v>3685</v>
      </c>
      <c r="AQ88" s="2" t="s">
        <v>2021</v>
      </c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 ht="15.0" customHeight="1">
      <c r="A89" s="116" t="s">
        <v>3694</v>
      </c>
      <c r="B89" s="182">
        <v>46118.0</v>
      </c>
      <c r="C89" s="182">
        <v>46114.0</v>
      </c>
      <c r="D89" s="2" t="s">
        <v>295</v>
      </c>
      <c r="E89" s="3">
        <f t="array" ref="E89">XLOOKUP(D89,RUC!$B$3:$B$110,RUC!$D$3:$D$110)</f>
        <v>20601769396</v>
      </c>
      <c r="F89" s="2"/>
      <c r="G89" s="141">
        <v>62.0</v>
      </c>
      <c r="H89" s="3" t="s">
        <v>40</v>
      </c>
      <c r="I89" s="6">
        <v>2.02</v>
      </c>
      <c r="J89" s="58">
        <v>18.4</v>
      </c>
      <c r="K89" s="6">
        <f t="shared" si="2"/>
        <v>1.648</v>
      </c>
      <c r="L89" s="60">
        <v>0.35</v>
      </c>
      <c r="M89" s="60">
        <f t="shared" si="41"/>
        <v>0.329</v>
      </c>
      <c r="N89" s="75">
        <v>0.408</v>
      </c>
      <c r="O89" s="60">
        <f t="shared" si="5"/>
        <v>0.369</v>
      </c>
      <c r="P89" s="63">
        <v>90.0</v>
      </c>
      <c r="Q89" s="58">
        <v>90.86</v>
      </c>
      <c r="R89" s="65">
        <v>4639.35</v>
      </c>
      <c r="S89" s="66">
        <f t="array" ref="S89">IF((XLOOKUP(D89,RUC!$B$3:$B$106,RUC!$E$3:$E$106)+ROUNDDOWN(O89,1)*100)&lt;95,95,((XLOOKUP(D89,RUC!$B$3:$B$106,RUC!$E$3:$E$106)+ROUNDDOWN(O89,1)*100)))</f>
        <v>120</v>
      </c>
      <c r="T89" s="2"/>
      <c r="U89" s="67">
        <f t="array" ref="U89">XLOOKUP(D89,RUC!$B$3:$B$110,RUC!$F$3:$F$110)</f>
        <v>120</v>
      </c>
      <c r="V89" s="67">
        <v>1.1023</v>
      </c>
      <c r="W89" s="2"/>
      <c r="X89" s="2"/>
      <c r="Y89" s="199">
        <v>30.0</v>
      </c>
      <c r="Z89" s="140">
        <v>70.0</v>
      </c>
      <c r="AA89" s="70">
        <f t="shared" si="6"/>
        <v>100</v>
      </c>
      <c r="AB89" s="71">
        <f t="shared" si="29"/>
        <v>1411.909764</v>
      </c>
      <c r="AC89" s="71">
        <f>+(S89-T89)*V89-'data 1'!$F$4</f>
        <v>52.276</v>
      </c>
      <c r="AD89" s="71">
        <f t="shared" si="8"/>
        <v>14.99485531</v>
      </c>
      <c r="AE89" s="71">
        <f t="shared" si="9"/>
        <v>40.23</v>
      </c>
      <c r="AF89" s="71">
        <f t="shared" si="10"/>
        <v>-86.00072597</v>
      </c>
      <c r="AG89" s="72">
        <f t="shared" si="40"/>
        <v>38.50012934</v>
      </c>
      <c r="AH89" s="193">
        <f t="shared" si="12"/>
        <v>17.968</v>
      </c>
      <c r="AI89" s="193">
        <f t="shared" si="13"/>
        <v>19.776</v>
      </c>
      <c r="AJ89" s="73">
        <f t="shared" si="14"/>
        <v>133.4339733</v>
      </c>
      <c r="AK89" s="73">
        <f t="shared" si="15"/>
        <v>18.76442031</v>
      </c>
      <c r="AL89" s="2"/>
      <c r="AM89" s="51">
        <f t="shared" si="16"/>
        <v>2326.82729</v>
      </c>
      <c r="AN89" s="51" t="str">
        <f t="array" ref="AN89">XLOOKUP(D89,RUC!$B$3:$B$565,RUC!$M$3:$M$565)</f>
        <v>Evelyn</v>
      </c>
      <c r="AO89" s="131" t="s">
        <v>558</v>
      </c>
      <c r="AP89" s="2" t="s">
        <v>3685</v>
      </c>
      <c r="AQ89" s="2" t="s">
        <v>2021</v>
      </c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 ht="15.0" customHeight="1">
      <c r="A90" s="116" t="s">
        <v>3695</v>
      </c>
      <c r="B90" s="182">
        <v>46118.0</v>
      </c>
      <c r="C90" s="182">
        <v>46114.0</v>
      </c>
      <c r="D90" s="2" t="s">
        <v>295</v>
      </c>
      <c r="E90" s="3">
        <f t="array" ref="E90">XLOOKUP(D90,RUC!$B$3:$B$110,RUC!$D$3:$D$110)</f>
        <v>20601769396</v>
      </c>
      <c r="F90" s="2"/>
      <c r="G90" s="141">
        <v>62.0</v>
      </c>
      <c r="H90" s="3" t="s">
        <v>40</v>
      </c>
      <c r="I90" s="6">
        <v>2.02</v>
      </c>
      <c r="J90" s="58">
        <v>17.8</v>
      </c>
      <c r="K90" s="6">
        <f t="shared" si="2"/>
        <v>1.66</v>
      </c>
      <c r="L90" s="60">
        <v>0.347</v>
      </c>
      <c r="M90" s="60">
        <f t="shared" si="41"/>
        <v>0.326</v>
      </c>
      <c r="N90" s="62">
        <f t="shared" ref="N90:N114" si="43">+M90</f>
        <v>0.326</v>
      </c>
      <c r="O90" s="60">
        <f t="shared" si="5"/>
        <v>0.326</v>
      </c>
      <c r="P90" s="63">
        <v>89.0</v>
      </c>
      <c r="Q90" s="58">
        <v>89.91</v>
      </c>
      <c r="R90" s="65">
        <v>4639.35</v>
      </c>
      <c r="S90" s="66">
        <f t="array" ref="S90">IF((XLOOKUP(D90,RUC!$B$3:$B$106,RUC!$E$3:$E$106)+ROUNDDOWN(O90,1)*100)&lt;95,95,((XLOOKUP(D90,RUC!$B$3:$B$106,RUC!$E$3:$E$106)+ROUNDDOWN(O90,1)*100)))</f>
        <v>120</v>
      </c>
      <c r="T90" s="2"/>
      <c r="U90" s="67">
        <f t="array" ref="U90">XLOOKUP(D90,RUC!$B$3:$B$110,RUC!$F$3:$F$110)</f>
        <v>120</v>
      </c>
      <c r="V90" s="67">
        <v>1.1023</v>
      </c>
      <c r="W90" s="2"/>
      <c r="X90" s="2"/>
      <c r="Y90" s="199">
        <v>30.0</v>
      </c>
      <c r="Z90" s="140">
        <v>70.0</v>
      </c>
      <c r="AA90" s="70">
        <f t="shared" si="6"/>
        <v>100</v>
      </c>
      <c r="AB90" s="71">
        <f t="shared" si="29"/>
        <v>1202.878492</v>
      </c>
      <c r="AC90" s="71">
        <f>+(S90-T90)*V90-'data 1'!$F$4</f>
        <v>52.276</v>
      </c>
      <c r="AD90" s="71">
        <f t="shared" si="8"/>
        <v>15.73064937</v>
      </c>
      <c r="AE90" s="71">
        <f t="shared" si="9"/>
        <v>40.23</v>
      </c>
      <c r="AF90" s="71">
        <f t="shared" si="10"/>
        <v>94.0595889</v>
      </c>
      <c r="AG90" s="72">
        <f t="shared" si="40"/>
        <v>219.2962383</v>
      </c>
      <c r="AH90" s="193">
        <f t="shared" si="12"/>
        <v>17.756</v>
      </c>
      <c r="AI90" s="193">
        <f t="shared" si="13"/>
        <v>19.749</v>
      </c>
      <c r="AJ90" s="73">
        <f t="shared" si="14"/>
        <v>130.9070735</v>
      </c>
      <c r="AK90" s="73">
        <f t="shared" si="15"/>
        <v>16.51295373</v>
      </c>
      <c r="AL90" s="2"/>
      <c r="AM90" s="51">
        <f t="shared" si="16"/>
        <v>1996.778296</v>
      </c>
      <c r="AN90" s="51" t="str">
        <f t="array" ref="AN90">XLOOKUP(D90,RUC!$B$3:$B$565,RUC!$M$3:$M$565)</f>
        <v>Evelyn</v>
      </c>
      <c r="AO90" s="131" t="s">
        <v>558</v>
      </c>
      <c r="AP90" s="2" t="s">
        <v>3685</v>
      </c>
      <c r="AQ90" s="2" t="s">
        <v>2021</v>
      </c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 ht="15.0" customHeight="1">
      <c r="A91" s="116" t="s">
        <v>3696</v>
      </c>
      <c r="B91" s="182">
        <v>46118.0</v>
      </c>
      <c r="C91" s="182">
        <v>46114.0</v>
      </c>
      <c r="D91" s="2" t="s">
        <v>295</v>
      </c>
      <c r="E91" s="3">
        <f t="array" ref="E91">XLOOKUP(D91,RUC!$B$3:$B$110,RUC!$D$3:$D$110)</f>
        <v>20601769396</v>
      </c>
      <c r="F91" s="2"/>
      <c r="G91" s="141">
        <v>62.0</v>
      </c>
      <c r="H91" s="3" t="s">
        <v>40</v>
      </c>
      <c r="I91" s="6">
        <v>2.0</v>
      </c>
      <c r="J91" s="58">
        <v>16.3</v>
      </c>
      <c r="K91" s="6">
        <f t="shared" si="2"/>
        <v>1.674</v>
      </c>
      <c r="L91" s="60">
        <v>0.408</v>
      </c>
      <c r="M91" s="60">
        <f t="shared" si="41"/>
        <v>0.384</v>
      </c>
      <c r="N91" s="62">
        <f t="shared" si="43"/>
        <v>0.384</v>
      </c>
      <c r="O91" s="60">
        <f t="shared" si="5"/>
        <v>0.384</v>
      </c>
      <c r="P91" s="63">
        <v>88.0</v>
      </c>
      <c r="Q91" s="58">
        <v>88.73</v>
      </c>
      <c r="R91" s="65">
        <v>4639.35</v>
      </c>
      <c r="S91" s="66">
        <f t="array" ref="S91">IF((XLOOKUP(D91,RUC!$B$3:$B$106,RUC!$E$3:$E$106)+ROUNDDOWN(O91,1)*100)&lt;95,95,((XLOOKUP(D91,RUC!$B$3:$B$106,RUC!$E$3:$E$106)+ROUNDDOWN(O91,1)*100)))</f>
        <v>120</v>
      </c>
      <c r="T91" s="2"/>
      <c r="U91" s="67">
        <f t="array" ref="U91">XLOOKUP(D91,RUC!$B$3:$B$110,RUC!$F$3:$F$110)</f>
        <v>120</v>
      </c>
      <c r="V91" s="67">
        <v>1.1023</v>
      </c>
      <c r="W91" s="2"/>
      <c r="X91" s="2"/>
      <c r="Y91" s="199">
        <v>30.0</v>
      </c>
      <c r="Z91" s="140">
        <v>70.0</v>
      </c>
      <c r="AA91" s="70">
        <f t="shared" si="6"/>
        <v>100</v>
      </c>
      <c r="AB91" s="71">
        <f t="shared" si="29"/>
        <v>1440.903138</v>
      </c>
      <c r="AC91" s="71">
        <f>+(S91-T91)*V91-'data 1'!$F$4</f>
        <v>52.276</v>
      </c>
      <c r="AD91" s="71">
        <f t="shared" si="8"/>
        <v>14.83743424</v>
      </c>
      <c r="AE91" s="71">
        <f t="shared" si="9"/>
        <v>40.23</v>
      </c>
      <c r="AF91" s="71">
        <f t="shared" si="10"/>
        <v>106.0858614</v>
      </c>
      <c r="AG91" s="72">
        <f t="shared" si="40"/>
        <v>230.4292956</v>
      </c>
      <c r="AH91" s="193">
        <f t="shared" si="12"/>
        <v>20.778</v>
      </c>
      <c r="AI91" s="193">
        <f t="shared" si="13"/>
        <v>23.417</v>
      </c>
      <c r="AJ91" s="73">
        <f t="shared" si="14"/>
        <v>151.8994797</v>
      </c>
      <c r="AK91" s="73">
        <f t="shared" si="15"/>
        <v>19.39449248</v>
      </c>
      <c r="AL91" s="2"/>
      <c r="AM91" s="51">
        <f t="shared" si="16"/>
        <v>2412.071854</v>
      </c>
      <c r="AN91" s="51" t="str">
        <f t="array" ref="AN91">XLOOKUP(D91,RUC!$B$3:$B$565,RUC!$M$3:$M$565)</f>
        <v>Evelyn</v>
      </c>
      <c r="AO91" s="131" t="s">
        <v>558</v>
      </c>
      <c r="AP91" s="2" t="s">
        <v>3685</v>
      </c>
      <c r="AQ91" s="2" t="s">
        <v>2021</v>
      </c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 ht="15.0" customHeight="1">
      <c r="A92" s="116" t="s">
        <v>3697</v>
      </c>
      <c r="B92" s="182">
        <v>46118.0</v>
      </c>
      <c r="C92" s="182">
        <v>46114.0</v>
      </c>
      <c r="D92" s="2" t="s">
        <v>295</v>
      </c>
      <c r="E92" s="3">
        <f t="array" ref="E92">XLOOKUP(D92,RUC!$B$3:$B$110,RUC!$D$3:$D$110)</f>
        <v>20601769396</v>
      </c>
      <c r="F92" s="2"/>
      <c r="G92" s="141">
        <v>38.0</v>
      </c>
      <c r="H92" s="3" t="s">
        <v>40</v>
      </c>
      <c r="I92" s="6">
        <v>1.26</v>
      </c>
      <c r="J92" s="58">
        <v>16.23</v>
      </c>
      <c r="K92" s="6">
        <f t="shared" si="2"/>
        <v>1.056</v>
      </c>
      <c r="L92" s="60">
        <v>0.441</v>
      </c>
      <c r="M92" s="60">
        <f t="shared" si="41"/>
        <v>0.415</v>
      </c>
      <c r="N92" s="62">
        <f t="shared" si="43"/>
        <v>0.415</v>
      </c>
      <c r="O92" s="60">
        <f t="shared" si="5"/>
        <v>0.415</v>
      </c>
      <c r="P92" s="63">
        <v>90.0</v>
      </c>
      <c r="Q92" s="58">
        <v>91.84</v>
      </c>
      <c r="R92" s="65">
        <v>4639.35</v>
      </c>
      <c r="S92" s="66">
        <f t="array" ref="S92">IF((XLOOKUP(D92,RUC!$B$3:$B$106,RUC!$E$3:$E$106)+ROUNDDOWN(O92,1)*100)&lt;95,95,((XLOOKUP(D92,RUC!$B$3:$B$106,RUC!$E$3:$E$106)+ROUNDDOWN(O92,1)*100)))</f>
        <v>130</v>
      </c>
      <c r="T92" s="2"/>
      <c r="U92" s="67">
        <f t="array" ref="U92">XLOOKUP(D92,RUC!$B$3:$B$110,RUC!$F$3:$F$110)</f>
        <v>120</v>
      </c>
      <c r="V92" s="67">
        <v>1.1023</v>
      </c>
      <c r="W92" s="2"/>
      <c r="X92" s="2"/>
      <c r="Y92" s="199">
        <v>30.0</v>
      </c>
      <c r="Z92" s="140">
        <v>70.0</v>
      </c>
      <c r="AA92" s="70">
        <f t="shared" si="6"/>
        <v>100</v>
      </c>
      <c r="AB92" s="71">
        <f t="shared" si="29"/>
        <v>1607.128295</v>
      </c>
      <c r="AC92" s="71">
        <f>+(S92-T92)*V92-'data 1'!$F$4</f>
        <v>63.299</v>
      </c>
      <c r="AD92" s="71">
        <f t="shared" si="8"/>
        <v>40.42334018</v>
      </c>
      <c r="AE92" s="71">
        <f t="shared" si="9"/>
        <v>40.23</v>
      </c>
      <c r="AF92" s="71">
        <f t="shared" si="10"/>
        <v>118.9545359</v>
      </c>
      <c r="AG92" s="72">
        <f t="shared" si="40"/>
        <v>279.9068761</v>
      </c>
      <c r="AH92" s="193">
        <f t="shared" si="12"/>
        <v>14.664</v>
      </c>
      <c r="AI92" s="193">
        <f t="shared" si="13"/>
        <v>15.967</v>
      </c>
      <c r="AJ92" s="73">
        <f t="shared" si="14"/>
        <v>169.9401926</v>
      </c>
      <c r="AK92" s="73">
        <f t="shared" si="15"/>
        <v>13.52270561</v>
      </c>
      <c r="AL92" s="2"/>
      <c r="AM92" s="51">
        <f t="shared" si="16"/>
        <v>1697.12748</v>
      </c>
      <c r="AN92" s="51" t="str">
        <f t="array" ref="AN92">XLOOKUP(D92,RUC!$B$3:$B$565,RUC!$M$3:$M$565)</f>
        <v>Evelyn</v>
      </c>
      <c r="AO92" s="131" t="s">
        <v>558</v>
      </c>
      <c r="AP92" s="2" t="s">
        <v>3685</v>
      </c>
      <c r="AQ92" s="2" t="s">
        <v>2021</v>
      </c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 ht="15.0" customHeight="1">
      <c r="A93" s="116" t="s">
        <v>3698</v>
      </c>
      <c r="B93" s="182">
        <v>46125.0</v>
      </c>
      <c r="C93" s="182">
        <v>46116.0</v>
      </c>
      <c r="D93" s="2" t="s">
        <v>74</v>
      </c>
      <c r="E93" s="3">
        <f t="array" ref="E93">XLOOKUP(D93,RUC!$B$3:$B$110,RUC!$D$3:$D$110)</f>
        <v>10082235774</v>
      </c>
      <c r="F93" s="2"/>
      <c r="G93" s="141">
        <v>58.0</v>
      </c>
      <c r="H93" s="3" t="s">
        <v>47</v>
      </c>
      <c r="I93" s="6">
        <v>5.74</v>
      </c>
      <c r="J93" s="58">
        <v>5.0</v>
      </c>
      <c r="K93" s="6">
        <f t="shared" si="2"/>
        <v>5.453</v>
      </c>
      <c r="L93" s="60">
        <v>0.361</v>
      </c>
      <c r="M93" s="60">
        <f t="shared" si="41"/>
        <v>0.354</v>
      </c>
      <c r="N93" s="62">
        <f t="shared" si="43"/>
        <v>0.354</v>
      </c>
      <c r="O93" s="60">
        <f t="shared" si="5"/>
        <v>0.354</v>
      </c>
      <c r="P93" s="201">
        <v>88.0</v>
      </c>
      <c r="Q93" s="130">
        <v>89.2</v>
      </c>
      <c r="R93" s="65">
        <v>4639.35</v>
      </c>
      <c r="S93" s="133">
        <v>110.0</v>
      </c>
      <c r="T93" s="2"/>
      <c r="U93" s="67">
        <f t="array" ref="U93">XLOOKUP(D93,RUC!$B$3:$B$110,RUC!$F$3:$F$110)</f>
        <v>80</v>
      </c>
      <c r="V93" s="67">
        <v>1.1023</v>
      </c>
      <c r="W93" s="2"/>
      <c r="X93" s="2"/>
      <c r="Y93" s="2" t="str">
        <f t="array" ref="Y93">XLOOKUP(D93,RUC!$B$3:$B$110,RUC!$G$3:$G$110)</f>
        <v/>
      </c>
      <c r="Z93" s="69">
        <f t="array" ref="Z93">XLOOKUP(D93,RUC!$B$3:$B$110,RUC!$H$3:$H$110)</f>
        <v>10</v>
      </c>
      <c r="AA93" s="70">
        <f t="shared" si="6"/>
        <v>10</v>
      </c>
      <c r="AB93" s="71">
        <f t="shared" si="29"/>
        <v>1433.352339</v>
      </c>
      <c r="AC93" s="71">
        <f>+(S93-T93)*V93-'data 1'!$F$4</f>
        <v>41.253</v>
      </c>
      <c r="AD93" s="71">
        <f t="shared" si="8"/>
        <v>21.77164216</v>
      </c>
      <c r="AE93" s="71">
        <f t="shared" si="9"/>
        <v>-58.977</v>
      </c>
      <c r="AF93" s="71">
        <f t="shared" si="10"/>
        <v>31.38091728</v>
      </c>
      <c r="AG93" s="72">
        <f t="shared" ref="AG93:AG100" si="44">AC93+AD93+AE93+AF93+70</f>
        <v>105.4285594</v>
      </c>
      <c r="AH93" s="193">
        <f t="shared" si="12"/>
        <v>60.203</v>
      </c>
      <c r="AI93" s="193">
        <f t="shared" si="13"/>
        <v>67.492</v>
      </c>
      <c r="AJ93" s="73">
        <f t="shared" si="14"/>
        <v>120.9150214</v>
      </c>
      <c r="AK93" s="73">
        <f t="shared" si="15"/>
        <v>58.24122502</v>
      </c>
      <c r="AL93" s="2"/>
      <c r="AM93" s="51">
        <f t="shared" si="16"/>
        <v>7816.070306</v>
      </c>
      <c r="AN93" s="51" t="str">
        <f t="array" ref="AN93">XLOOKUP(D93,RUC!$B$3:$B$565,RUC!$M$3:$M$565)</f>
        <v>Melchor Vera</v>
      </c>
      <c r="AO93" s="131" t="s">
        <v>549</v>
      </c>
      <c r="AP93" s="2" t="s">
        <v>760</v>
      </c>
      <c r="AQ93" s="2" t="s">
        <v>761</v>
      </c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 ht="15.0" customHeight="1">
      <c r="A94" s="116" t="s">
        <v>3699</v>
      </c>
      <c r="B94" s="182">
        <v>46125.0</v>
      </c>
      <c r="C94" s="182">
        <v>46116.0</v>
      </c>
      <c r="D94" s="2" t="s">
        <v>74</v>
      </c>
      <c r="E94" s="3">
        <f t="array" ref="E94">XLOOKUP(D94,RUC!$B$3:$B$110,RUC!$D$3:$D$110)</f>
        <v>10082235774</v>
      </c>
      <c r="F94" s="2"/>
      <c r="G94" s="141">
        <v>47.0</v>
      </c>
      <c r="H94" s="3" t="s">
        <v>47</v>
      </c>
      <c r="I94" s="6">
        <v>4.53</v>
      </c>
      <c r="J94" s="58">
        <v>5.0</v>
      </c>
      <c r="K94" s="6">
        <f t="shared" si="2"/>
        <v>4.304</v>
      </c>
      <c r="L94" s="60">
        <v>0.304</v>
      </c>
      <c r="M94" s="60">
        <f t="shared" si="41"/>
        <v>0.297</v>
      </c>
      <c r="N94" s="62">
        <f t="shared" si="43"/>
        <v>0.297</v>
      </c>
      <c r="O94" s="60">
        <f t="shared" si="5"/>
        <v>0.297</v>
      </c>
      <c r="P94" s="201">
        <v>90.0</v>
      </c>
      <c r="Q94" s="130">
        <v>89.8</v>
      </c>
      <c r="R94" s="65">
        <v>4639.35</v>
      </c>
      <c r="S94" s="133">
        <v>105.0</v>
      </c>
      <c r="T94" s="2"/>
      <c r="U94" s="67">
        <f t="array" ref="U94">XLOOKUP(D94,RUC!$B$3:$B$110,RUC!$F$3:$F$110)</f>
        <v>80</v>
      </c>
      <c r="V94" s="67">
        <v>1.1023</v>
      </c>
      <c r="W94" s="2"/>
      <c r="X94" s="2"/>
      <c r="Y94" s="2" t="str">
        <f t="array" ref="Y94">XLOOKUP(D94,RUC!$B$3:$B$110,RUC!$G$3:$G$110)</f>
        <v/>
      </c>
      <c r="Z94" s="69">
        <f t="array" ref="Z94">XLOOKUP(D94,RUC!$B$3:$B$110,RUC!$H$3:$H$110)</f>
        <v>10</v>
      </c>
      <c r="AA94" s="70">
        <f t="shared" si="6"/>
        <v>10</v>
      </c>
      <c r="AB94" s="71">
        <f t="shared" si="29"/>
        <v>1216.624223</v>
      </c>
      <c r="AC94" s="71">
        <f>+(S94-T94)*V94-'data 1'!$F$4</f>
        <v>35.7415</v>
      </c>
      <c r="AD94" s="71">
        <f t="shared" si="8"/>
        <v>-3.055669075</v>
      </c>
      <c r="AE94" s="71">
        <f t="shared" si="9"/>
        <v>-58.977</v>
      </c>
      <c r="AF94" s="71">
        <f t="shared" si="10"/>
        <v>31.59199968</v>
      </c>
      <c r="AG94" s="72">
        <f t="shared" si="44"/>
        <v>75.30083061</v>
      </c>
      <c r="AH94" s="193">
        <f t="shared" si="12"/>
        <v>40.284</v>
      </c>
      <c r="AI94" s="193">
        <f t="shared" si="13"/>
        <v>44.86</v>
      </c>
      <c r="AJ94" s="73">
        <f t="shared" si="14"/>
        <v>102.5080851</v>
      </c>
      <c r="AK94" s="73">
        <f t="shared" si="15"/>
        <v>39.44394011</v>
      </c>
      <c r="AL94" s="2"/>
      <c r="AM94" s="51">
        <f t="shared" si="16"/>
        <v>5236.350657</v>
      </c>
      <c r="AN94" s="51" t="str">
        <f t="array" ref="AN94">XLOOKUP(D94,RUC!$B$3:$B$565,RUC!$M$3:$M$565)</f>
        <v>Melchor Vera</v>
      </c>
      <c r="AO94" s="131" t="s">
        <v>549</v>
      </c>
      <c r="AP94" s="2" t="s">
        <v>760</v>
      </c>
      <c r="AQ94" s="2" t="s">
        <v>761</v>
      </c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 ht="15.0" customHeight="1">
      <c r="A95" s="116" t="s">
        <v>3700</v>
      </c>
      <c r="B95" s="182">
        <v>46125.0</v>
      </c>
      <c r="C95" s="182">
        <v>46116.0</v>
      </c>
      <c r="D95" s="2" t="s">
        <v>74</v>
      </c>
      <c r="E95" s="3">
        <f t="array" ref="E95">XLOOKUP(D95,RUC!$B$3:$B$110,RUC!$D$3:$D$110)</f>
        <v>10082235774</v>
      </c>
      <c r="F95" s="2"/>
      <c r="G95" s="141">
        <v>33.0</v>
      </c>
      <c r="H95" s="3" t="s">
        <v>47</v>
      </c>
      <c r="I95" s="6">
        <v>3.27</v>
      </c>
      <c r="J95" s="58">
        <v>3.5</v>
      </c>
      <c r="K95" s="6">
        <f t="shared" si="2"/>
        <v>3.156</v>
      </c>
      <c r="L95" s="60">
        <v>0.317</v>
      </c>
      <c r="M95" s="60">
        <f t="shared" si="41"/>
        <v>0.31</v>
      </c>
      <c r="N95" s="62">
        <f t="shared" si="43"/>
        <v>0.31</v>
      </c>
      <c r="O95" s="60">
        <f t="shared" si="5"/>
        <v>0.31</v>
      </c>
      <c r="P95" s="63">
        <v>90.0</v>
      </c>
      <c r="Q95" s="58">
        <v>91.48</v>
      </c>
      <c r="R95" s="65">
        <v>4639.35</v>
      </c>
      <c r="S95" s="133">
        <v>110.0</v>
      </c>
      <c r="T95" s="2"/>
      <c r="U95" s="67">
        <f t="array" ref="U95">XLOOKUP(D95,RUC!$B$3:$B$110,RUC!$F$3:$F$110)</f>
        <v>80</v>
      </c>
      <c r="V95" s="67">
        <v>1.1023</v>
      </c>
      <c r="W95" s="2"/>
      <c r="X95" s="2"/>
      <c r="Y95" s="2" t="str">
        <f t="array" ref="Y95">XLOOKUP(D95,RUC!$B$3:$B$110,RUC!$G$3:$G$110)</f>
        <v/>
      </c>
      <c r="Z95" s="69">
        <f t="array" ref="Z95">XLOOKUP(D95,RUC!$B$3:$B$110,RUC!$H$3:$H$110)</f>
        <v>10</v>
      </c>
      <c r="AA95" s="70">
        <f t="shared" si="6"/>
        <v>10</v>
      </c>
      <c r="AB95" s="71">
        <f t="shared" si="29"/>
        <v>1269.91425</v>
      </c>
      <c r="AC95" s="71">
        <f>+(S95-T95)*V95-'data 1'!$F$4</f>
        <v>41.253</v>
      </c>
      <c r="AD95" s="71">
        <f t="shared" si="8"/>
        <v>23.57890959</v>
      </c>
      <c r="AE95" s="71">
        <f t="shared" si="9"/>
        <v>-58.977</v>
      </c>
      <c r="AF95" s="71">
        <f t="shared" si="10"/>
        <v>32.18303041</v>
      </c>
      <c r="AG95" s="72">
        <f t="shared" si="44"/>
        <v>108.03794</v>
      </c>
      <c r="AH95" s="193">
        <f t="shared" si="12"/>
        <v>31.378</v>
      </c>
      <c r="AI95" s="193">
        <f t="shared" si="13"/>
        <v>34.301</v>
      </c>
      <c r="AJ95" s="73">
        <f t="shared" si="14"/>
        <v>108.8914094</v>
      </c>
      <c r="AK95" s="73">
        <f t="shared" si="15"/>
        <v>30.18910703</v>
      </c>
      <c r="AL95" s="2"/>
      <c r="AM95" s="51">
        <f t="shared" si="16"/>
        <v>4007.849373</v>
      </c>
      <c r="AN95" s="51" t="str">
        <f t="array" ref="AN95">XLOOKUP(D95,RUC!$B$3:$B$565,RUC!$M$3:$M$565)</f>
        <v>Melchor Vera</v>
      </c>
      <c r="AO95" s="131" t="s">
        <v>549</v>
      </c>
      <c r="AP95" s="2" t="s">
        <v>760</v>
      </c>
      <c r="AQ95" s="2" t="s">
        <v>761</v>
      </c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 ht="15.0" customHeight="1">
      <c r="A96" s="116" t="s">
        <v>3701</v>
      </c>
      <c r="B96" s="182">
        <v>46125.0</v>
      </c>
      <c r="C96" s="182">
        <v>46116.0</v>
      </c>
      <c r="D96" s="2" t="s">
        <v>74</v>
      </c>
      <c r="E96" s="3">
        <f t="array" ref="E96">XLOOKUP(D96,RUC!$B$3:$B$110,RUC!$D$3:$D$110)</f>
        <v>10082235774</v>
      </c>
      <c r="F96" s="2"/>
      <c r="G96" s="141">
        <v>29.0</v>
      </c>
      <c r="H96" s="3" t="s">
        <v>47</v>
      </c>
      <c r="I96" s="6">
        <v>2.79</v>
      </c>
      <c r="J96" s="58">
        <v>4.3</v>
      </c>
      <c r="K96" s="6">
        <f t="shared" si="2"/>
        <v>2.67</v>
      </c>
      <c r="L96" s="60">
        <v>0.291</v>
      </c>
      <c r="M96" s="60">
        <f t="shared" si="41"/>
        <v>0.284</v>
      </c>
      <c r="N96" s="62">
        <f t="shared" si="43"/>
        <v>0.284</v>
      </c>
      <c r="O96" s="60">
        <f t="shared" si="5"/>
        <v>0.284</v>
      </c>
      <c r="P96" s="63">
        <v>90.0</v>
      </c>
      <c r="Q96" s="58">
        <v>90.38</v>
      </c>
      <c r="R96" s="65">
        <v>4639.35</v>
      </c>
      <c r="S96" s="133">
        <v>105.0</v>
      </c>
      <c r="T96" s="2"/>
      <c r="U96" s="67">
        <f t="array" ref="U96">XLOOKUP(D96,RUC!$B$3:$B$110,RUC!$F$3:$F$110)</f>
        <v>80</v>
      </c>
      <c r="V96" s="67">
        <v>1.1023</v>
      </c>
      <c r="W96" s="2"/>
      <c r="X96" s="2"/>
      <c r="Y96" s="2" t="str">
        <f t="array" ref="Y96">XLOOKUP(D96,RUC!$B$3:$B$110,RUC!$G$3:$G$110)</f>
        <v/>
      </c>
      <c r="Z96" s="69">
        <f t="array" ref="Z96">XLOOKUP(D96,RUC!$B$3:$B$110,RUC!$H$3:$H$110)</f>
        <v>10</v>
      </c>
      <c r="AA96" s="70">
        <f t="shared" si="6"/>
        <v>10</v>
      </c>
      <c r="AB96" s="71">
        <f t="shared" si="29"/>
        <v>1157.822697</v>
      </c>
      <c r="AC96" s="71">
        <f>+(S96-T96)*V96-'data 1'!$F$4</f>
        <v>35.7415</v>
      </c>
      <c r="AD96" s="71">
        <f t="shared" si="8"/>
        <v>5.55749813</v>
      </c>
      <c r="AE96" s="71">
        <f t="shared" si="9"/>
        <v>-58.977</v>
      </c>
      <c r="AF96" s="71">
        <f t="shared" si="10"/>
        <v>31.796046</v>
      </c>
      <c r="AG96" s="72">
        <f t="shared" si="44"/>
        <v>84.11804413</v>
      </c>
      <c r="AH96" s="193">
        <f t="shared" si="12"/>
        <v>24.076</v>
      </c>
      <c r="AI96" s="193">
        <f t="shared" si="13"/>
        <v>26.639</v>
      </c>
      <c r="AJ96" s="73">
        <f t="shared" si="14"/>
        <v>98.75828208</v>
      </c>
      <c r="AK96" s="73">
        <f t="shared" si="15"/>
        <v>23.39813165</v>
      </c>
      <c r="AL96" s="2"/>
      <c r="AM96" s="51">
        <f t="shared" si="16"/>
        <v>3091.3866</v>
      </c>
      <c r="AN96" s="51" t="str">
        <f t="array" ref="AN96">XLOOKUP(D96,RUC!$B$3:$B$565,RUC!$M$3:$M$565)</f>
        <v>Melchor Vera</v>
      </c>
      <c r="AO96" s="131" t="s">
        <v>549</v>
      </c>
      <c r="AP96" s="2" t="s">
        <v>760</v>
      </c>
      <c r="AQ96" s="2" t="s">
        <v>761</v>
      </c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 ht="15.0" customHeight="1">
      <c r="A97" s="116" t="s">
        <v>3702</v>
      </c>
      <c r="B97" s="182">
        <v>46125.0</v>
      </c>
      <c r="C97" s="182">
        <v>46116.0</v>
      </c>
      <c r="D97" s="2" t="s">
        <v>74</v>
      </c>
      <c r="E97" s="3">
        <f t="array" ref="E97">XLOOKUP(D97,RUC!$B$3:$B$110,RUC!$D$3:$D$110)</f>
        <v>10082235774</v>
      </c>
      <c r="F97" s="2"/>
      <c r="G97" s="141">
        <v>53.0</v>
      </c>
      <c r="H97" s="3" t="s">
        <v>47</v>
      </c>
      <c r="I97" s="6">
        <v>5.35</v>
      </c>
      <c r="J97" s="58">
        <v>3.7</v>
      </c>
      <c r="K97" s="6">
        <f t="shared" si="2"/>
        <v>5.152</v>
      </c>
      <c r="L97" s="60">
        <v>0.31</v>
      </c>
      <c r="M97" s="60">
        <f t="shared" si="41"/>
        <v>0.303</v>
      </c>
      <c r="N97" s="62">
        <f t="shared" si="43"/>
        <v>0.303</v>
      </c>
      <c r="O97" s="60">
        <f t="shared" si="5"/>
        <v>0.303</v>
      </c>
      <c r="P97" s="201">
        <v>90.0</v>
      </c>
      <c r="Q97" s="130">
        <v>90.65</v>
      </c>
      <c r="R97" s="65">
        <v>4639.35</v>
      </c>
      <c r="S97" s="133">
        <v>110.0</v>
      </c>
      <c r="T97" s="2"/>
      <c r="U97" s="67">
        <f t="array" ref="U97">XLOOKUP(D97,RUC!$B$3:$B$110,RUC!$F$3:$F$110)</f>
        <v>80</v>
      </c>
      <c r="V97" s="67">
        <v>1.1023</v>
      </c>
      <c r="W97" s="2"/>
      <c r="X97" s="2"/>
      <c r="Y97" s="2" t="str">
        <f t="array" ref="Y97">XLOOKUP(D97,RUC!$B$3:$B$110,RUC!$G$3:$G$110)</f>
        <v/>
      </c>
      <c r="Z97" s="69">
        <f t="array" ref="Z97">XLOOKUP(D97,RUC!$B$3:$B$110,RUC!$H$3:$H$110)</f>
        <v>10</v>
      </c>
      <c r="AA97" s="70">
        <f t="shared" si="6"/>
        <v>10</v>
      </c>
      <c r="AB97" s="71">
        <f t="shared" si="29"/>
        <v>1238.251889</v>
      </c>
      <c r="AC97" s="71">
        <f>+(S97-T97)*V97-'data 1'!$F$4</f>
        <v>41.253</v>
      </c>
      <c r="AD97" s="71">
        <f t="shared" si="8"/>
        <v>10.12692958</v>
      </c>
      <c r="AE97" s="71">
        <f t="shared" si="9"/>
        <v>-58.977</v>
      </c>
      <c r="AF97" s="71">
        <f t="shared" si="10"/>
        <v>31.89103308</v>
      </c>
      <c r="AG97" s="72">
        <f t="shared" si="44"/>
        <v>94.29396267</v>
      </c>
      <c r="AH97" s="193">
        <f t="shared" si="12"/>
        <v>49.638</v>
      </c>
      <c r="AI97" s="193">
        <f t="shared" si="13"/>
        <v>54.758</v>
      </c>
      <c r="AJ97" s="73">
        <f t="shared" si="14"/>
        <v>105.5207096</v>
      </c>
      <c r="AK97" s="73">
        <f t="shared" si="15"/>
        <v>48.16926966</v>
      </c>
      <c r="AL97" s="2"/>
      <c r="AM97" s="51">
        <f t="shared" si="16"/>
        <v>6379.473734</v>
      </c>
      <c r="AN97" s="51" t="str">
        <f t="array" ref="AN97">XLOOKUP(D97,RUC!$B$3:$B$565,RUC!$M$3:$M$565)</f>
        <v>Melchor Vera</v>
      </c>
      <c r="AO97" s="131" t="s">
        <v>549</v>
      </c>
      <c r="AP97" s="2" t="s">
        <v>760</v>
      </c>
      <c r="AQ97" s="2" t="s">
        <v>761</v>
      </c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 ht="15.0" customHeight="1">
      <c r="A98" s="116" t="s">
        <v>3703</v>
      </c>
      <c r="B98" s="182">
        <v>46125.0</v>
      </c>
      <c r="C98" s="182">
        <v>46116.0</v>
      </c>
      <c r="D98" s="2" t="s">
        <v>74</v>
      </c>
      <c r="E98" s="3">
        <f t="array" ref="E98">XLOOKUP(D98,RUC!$B$3:$B$110,RUC!$D$3:$D$110)</f>
        <v>10082235774</v>
      </c>
      <c r="F98" s="2"/>
      <c r="G98" s="141">
        <v>54.0</v>
      </c>
      <c r="H98" s="3" t="s">
        <v>47</v>
      </c>
      <c r="I98" s="6">
        <v>4.98</v>
      </c>
      <c r="J98" s="58">
        <v>4.1</v>
      </c>
      <c r="K98" s="6">
        <f t="shared" si="2"/>
        <v>4.776</v>
      </c>
      <c r="L98" s="60">
        <v>0.258</v>
      </c>
      <c r="M98" s="60">
        <f t="shared" si="41"/>
        <v>0.251</v>
      </c>
      <c r="N98" s="62">
        <f t="shared" si="43"/>
        <v>0.251</v>
      </c>
      <c r="O98" s="60">
        <f t="shared" si="5"/>
        <v>0.251</v>
      </c>
      <c r="P98" s="201">
        <v>90.0</v>
      </c>
      <c r="Q98" s="130">
        <v>89.92</v>
      </c>
      <c r="R98" s="65">
        <v>4639.35</v>
      </c>
      <c r="S98" s="133">
        <v>105.0</v>
      </c>
      <c r="T98" s="2"/>
      <c r="U98" s="67">
        <f t="array" ref="U98">XLOOKUP(D98,RUC!$B$3:$B$110,RUC!$F$3:$F$110)</f>
        <v>80</v>
      </c>
      <c r="V98" s="67">
        <v>1.1023</v>
      </c>
      <c r="W98" s="2"/>
      <c r="X98" s="2"/>
      <c r="Y98" s="2" t="str">
        <f t="array" ref="Y98">XLOOKUP(D98,RUC!$B$3:$B$110,RUC!$G$3:$G$110)</f>
        <v/>
      </c>
      <c r="Z98" s="69">
        <f t="array" ref="Z98">XLOOKUP(D98,RUC!$B$3:$B$110,RUC!$H$3:$H$110)</f>
        <v>10</v>
      </c>
      <c r="AA98" s="70">
        <f t="shared" si="6"/>
        <v>10</v>
      </c>
      <c r="AB98" s="71">
        <f t="shared" si="29"/>
        <v>1008.557283</v>
      </c>
      <c r="AC98" s="71">
        <f>+(S98-T98)*V98-'data 1'!$F$4</f>
        <v>35.7415</v>
      </c>
      <c r="AD98" s="71">
        <f t="shared" si="8"/>
        <v>-1.037319239</v>
      </c>
      <c r="AE98" s="71">
        <f t="shared" si="9"/>
        <v>-58.977</v>
      </c>
      <c r="AF98" s="71">
        <f t="shared" si="10"/>
        <v>31.63421616</v>
      </c>
      <c r="AG98" s="72">
        <f t="shared" si="44"/>
        <v>77.36139692</v>
      </c>
      <c r="AH98" s="193">
        <f t="shared" si="12"/>
        <v>37.988</v>
      </c>
      <c r="AI98" s="193">
        <f t="shared" si="13"/>
        <v>42.247</v>
      </c>
      <c r="AJ98" s="73">
        <f t="shared" si="14"/>
        <v>87.11324765</v>
      </c>
      <c r="AK98" s="73">
        <f t="shared" si="15"/>
        <v>36.99045031</v>
      </c>
      <c r="AL98" s="2"/>
      <c r="AM98" s="51">
        <f t="shared" si="16"/>
        <v>4816.869584</v>
      </c>
      <c r="AN98" s="51" t="str">
        <f t="array" ref="AN98">XLOOKUP(D98,RUC!$B$3:$B$565,RUC!$M$3:$M$565)</f>
        <v>Melchor Vera</v>
      </c>
      <c r="AO98" s="131" t="s">
        <v>549</v>
      </c>
      <c r="AP98" s="2" t="s">
        <v>760</v>
      </c>
      <c r="AQ98" s="2" t="s">
        <v>761</v>
      </c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 ht="15.0" customHeight="1">
      <c r="A99" s="116" t="s">
        <v>3704</v>
      </c>
      <c r="B99" s="182">
        <v>46125.0</v>
      </c>
      <c r="C99" s="182">
        <v>46116.0</v>
      </c>
      <c r="D99" s="2" t="s">
        <v>74</v>
      </c>
      <c r="E99" s="3">
        <f t="array" ref="E99">XLOOKUP(D99,RUC!$B$3:$B$110,RUC!$D$3:$D$110)</f>
        <v>10082235774</v>
      </c>
      <c r="F99" s="2"/>
      <c r="G99" s="141">
        <v>13.0</v>
      </c>
      <c r="H99" s="3" t="s">
        <v>47</v>
      </c>
      <c r="I99" s="6">
        <v>1.14</v>
      </c>
      <c r="J99" s="58">
        <v>2.0</v>
      </c>
      <c r="K99" s="6">
        <f t="shared" si="2"/>
        <v>1.117</v>
      </c>
      <c r="L99" s="60">
        <v>0.335</v>
      </c>
      <c r="M99" s="60">
        <f t="shared" si="41"/>
        <v>0.328</v>
      </c>
      <c r="N99" s="62">
        <f t="shared" si="43"/>
        <v>0.328</v>
      </c>
      <c r="O99" s="60">
        <f t="shared" si="5"/>
        <v>0.328</v>
      </c>
      <c r="P99" s="63">
        <v>90.0</v>
      </c>
      <c r="Q99" s="58">
        <v>95.82</v>
      </c>
      <c r="R99" s="65">
        <v>4639.35</v>
      </c>
      <c r="S99" s="133">
        <v>110.0</v>
      </c>
      <c r="T99" s="2"/>
      <c r="U99" s="67">
        <f t="array" ref="U99">XLOOKUP(D99,RUC!$B$3:$B$110,RUC!$F$3:$F$110)</f>
        <v>80</v>
      </c>
      <c r="V99" s="67">
        <v>1.1023</v>
      </c>
      <c r="W99" s="2"/>
      <c r="X99" s="2"/>
      <c r="Y99" s="2" t="str">
        <f t="array" ref="Y99">XLOOKUP(D99,RUC!$B$3:$B$110,RUC!$G$3:$G$110)</f>
        <v/>
      </c>
      <c r="Z99" s="69">
        <f t="array" ref="Z99">XLOOKUP(D99,RUC!$B$3:$B$110,RUC!$H$3:$H$110)</f>
        <v>10</v>
      </c>
      <c r="AA99" s="70">
        <f t="shared" si="6"/>
        <v>10</v>
      </c>
      <c r="AB99" s="71">
        <f t="shared" si="29"/>
        <v>1351.331748</v>
      </c>
      <c r="AC99" s="71">
        <f>+(S99-T99)*V99-'data 1'!$F$4</f>
        <v>41.253</v>
      </c>
      <c r="AD99" s="71">
        <f t="shared" si="8"/>
        <v>97.98746703</v>
      </c>
      <c r="AE99" s="71">
        <f t="shared" si="9"/>
        <v>-58.977</v>
      </c>
      <c r="AF99" s="71">
        <f t="shared" si="10"/>
        <v>33.70985979</v>
      </c>
      <c r="AG99" s="72">
        <f t="shared" si="44"/>
        <v>183.9733268</v>
      </c>
      <c r="AH99" s="193">
        <f t="shared" si="12"/>
        <v>12.293</v>
      </c>
      <c r="AI99" s="193">
        <f t="shared" si="13"/>
        <v>12.829</v>
      </c>
      <c r="AJ99" s="73">
        <f t="shared" si="14"/>
        <v>120.5338904</v>
      </c>
      <c r="AK99" s="73">
        <f t="shared" si="15"/>
        <v>11.305209</v>
      </c>
      <c r="AL99" s="2"/>
      <c r="AM99" s="51">
        <f t="shared" si="16"/>
        <v>1509.437563</v>
      </c>
      <c r="AN99" s="51" t="str">
        <f t="array" ref="AN99">XLOOKUP(D99,RUC!$B$3:$B$565,RUC!$M$3:$M$565)</f>
        <v>Melchor Vera</v>
      </c>
      <c r="AO99" s="131" t="s">
        <v>549</v>
      </c>
      <c r="AP99" s="2" t="s">
        <v>760</v>
      </c>
      <c r="AQ99" s="2" t="s">
        <v>761</v>
      </c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 ht="15.0" customHeight="1">
      <c r="A100" s="116" t="s">
        <v>3705</v>
      </c>
      <c r="B100" s="182">
        <v>46125.0</v>
      </c>
      <c r="C100" s="182">
        <v>46116.0</v>
      </c>
      <c r="D100" s="2" t="s">
        <v>74</v>
      </c>
      <c r="E100" s="3">
        <f t="array" ref="E100">XLOOKUP(D100,RUC!$B$3:$B$110,RUC!$D$3:$D$110)</f>
        <v>10082235774</v>
      </c>
      <c r="F100" s="2"/>
      <c r="G100" s="141">
        <v>36.0</v>
      </c>
      <c r="H100" s="3" t="s">
        <v>47</v>
      </c>
      <c r="I100" s="6">
        <v>3.0</v>
      </c>
      <c r="J100" s="58">
        <v>2.0</v>
      </c>
      <c r="K100" s="6">
        <f t="shared" si="2"/>
        <v>2.94</v>
      </c>
      <c r="L100" s="60">
        <v>0.117</v>
      </c>
      <c r="M100" s="60">
        <f t="shared" si="41"/>
        <v>0.11</v>
      </c>
      <c r="N100" s="62">
        <f t="shared" si="43"/>
        <v>0.11</v>
      </c>
      <c r="O100" s="60">
        <f t="shared" si="5"/>
        <v>0.11</v>
      </c>
      <c r="P100" s="63">
        <v>85.0</v>
      </c>
      <c r="Q100" s="58">
        <v>94.87</v>
      </c>
      <c r="R100" s="65">
        <v>4639.35</v>
      </c>
      <c r="S100" s="133">
        <v>95.0</v>
      </c>
      <c r="T100" s="2"/>
      <c r="U100" s="67">
        <f t="array" ref="U100">XLOOKUP(D100,RUC!$B$3:$B$110,RUC!$F$3:$F$110)</f>
        <v>80</v>
      </c>
      <c r="V100" s="67">
        <v>1.1023</v>
      </c>
      <c r="W100" s="2"/>
      <c r="X100" s="2"/>
      <c r="Y100" s="2" t="str">
        <f t="array" ref="Y100">XLOOKUP(D100,RUC!$B$3:$B$110,RUC!$G$3:$G$110)</f>
        <v/>
      </c>
      <c r="Z100" s="69">
        <f t="array" ref="Z100">XLOOKUP(D100,RUC!$B$3:$B$110,RUC!$H$3:$H$110)</f>
        <v>10</v>
      </c>
      <c r="AA100" s="70">
        <f t="shared" si="6"/>
        <v>10</v>
      </c>
      <c r="AB100" s="71">
        <f t="shared" si="29"/>
        <v>354.1681357</v>
      </c>
      <c r="AC100" s="71">
        <f>+(S100-T100)*V100-'data 1'!$F$4</f>
        <v>24.7185</v>
      </c>
      <c r="AD100" s="71">
        <f t="shared" si="8"/>
        <v>58.03710676</v>
      </c>
      <c r="AE100" s="71">
        <f t="shared" si="9"/>
        <v>-58.977</v>
      </c>
      <c r="AF100" s="71">
        <f t="shared" si="10"/>
        <v>33.37564599</v>
      </c>
      <c r="AG100" s="72">
        <f t="shared" si="44"/>
        <v>127.1542528</v>
      </c>
      <c r="AH100" s="193">
        <f t="shared" si="12"/>
        <v>11.188</v>
      </c>
      <c r="AI100" s="193">
        <f t="shared" si="13"/>
        <v>11.793</v>
      </c>
      <c r="AJ100" s="73">
        <f t="shared" si="14"/>
        <v>41.6795444</v>
      </c>
      <c r="AK100" s="73">
        <f t="shared" si="15"/>
        <v>9.424710321</v>
      </c>
      <c r="AL100" s="2"/>
      <c r="AM100" s="51">
        <f t="shared" si="16"/>
        <v>1041.254319</v>
      </c>
      <c r="AN100" s="51" t="str">
        <f t="array" ref="AN100">XLOOKUP(D100,RUC!$B$3:$B$565,RUC!$M$3:$M$565)</f>
        <v>Melchor Vera</v>
      </c>
      <c r="AO100" s="131" t="s">
        <v>549</v>
      </c>
      <c r="AP100" s="2" t="s">
        <v>760</v>
      </c>
      <c r="AQ100" s="2" t="s">
        <v>761</v>
      </c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  <row r="101" ht="15.0" customHeight="1">
      <c r="A101" s="116" t="s">
        <v>3706</v>
      </c>
      <c r="B101" s="182">
        <v>46125.0</v>
      </c>
      <c r="C101" s="182">
        <v>46116.0</v>
      </c>
      <c r="D101" s="2" t="s">
        <v>602</v>
      </c>
      <c r="E101" s="3">
        <f t="array" ref="E101">XLOOKUP(D101,RUC!$B$3:$B$110,RUC!$D$3:$D$110)</f>
        <v>20169040231</v>
      </c>
      <c r="F101" s="2"/>
      <c r="G101" s="141">
        <v>35.0</v>
      </c>
      <c r="H101" s="3" t="s">
        <v>47</v>
      </c>
      <c r="I101" s="6">
        <v>3.21</v>
      </c>
      <c r="J101" s="58">
        <v>6.0</v>
      </c>
      <c r="K101" s="6">
        <f t="shared" si="2"/>
        <v>3.017</v>
      </c>
      <c r="L101" s="60">
        <v>0.207</v>
      </c>
      <c r="M101" s="60">
        <f t="shared" si="41"/>
        <v>0.188</v>
      </c>
      <c r="N101" s="62">
        <f t="shared" si="43"/>
        <v>0.188</v>
      </c>
      <c r="O101" s="60">
        <f t="shared" si="5"/>
        <v>0.188</v>
      </c>
      <c r="P101" s="63">
        <v>85.0</v>
      </c>
      <c r="Q101" s="58">
        <v>97.1</v>
      </c>
      <c r="R101" s="65">
        <v>4639.35</v>
      </c>
      <c r="S101" s="66">
        <f t="array" ref="S101">IF((XLOOKUP(D101,RUC!$B$3:$B$106,RUC!$E$3:$E$106)+ROUNDDOWN(O101,1)*100)&lt;95,95,((XLOOKUP(D101,RUC!$B$3:$B$106,RUC!$E$3:$E$106)+ROUNDDOWN(O101,1)*100)))</f>
        <v>95</v>
      </c>
      <c r="T101" s="2"/>
      <c r="U101" s="67">
        <f t="array" ref="U101">XLOOKUP(D101,RUC!$B$3:$B$110,RUC!$F$3:$F$110)</f>
        <v>120</v>
      </c>
      <c r="V101" s="67">
        <v>1.1023</v>
      </c>
      <c r="W101" s="2"/>
      <c r="X101" s="2"/>
      <c r="Y101" s="2">
        <f t="array" ref="Y101">XLOOKUP(D101,RUC!$B$3:$B$110,RUC!$G$3:$G$110)</f>
        <v>20</v>
      </c>
      <c r="Z101" s="140">
        <v>35.0</v>
      </c>
      <c r="AA101" s="70">
        <f t="shared" si="6"/>
        <v>55</v>
      </c>
      <c r="AB101" s="71">
        <f t="shared" si="29"/>
        <v>630.7273849</v>
      </c>
      <c r="AC101" s="71">
        <f>+(S101-T101)*V101-'data 1'!$F$4</f>
        <v>24.7185</v>
      </c>
      <c r="AD101" s="71">
        <f t="shared" si="8"/>
        <v>124.7761266</v>
      </c>
      <c r="AE101" s="71">
        <f t="shared" si="9"/>
        <v>-9.3735</v>
      </c>
      <c r="AF101" s="71">
        <f t="shared" si="10"/>
        <v>91.90700519</v>
      </c>
      <c r="AG101" s="72">
        <f t="shared" ref="AG101:AG102" si="45">AC101+AD101+AE101+AF101+70-53</f>
        <v>249.0281317</v>
      </c>
      <c r="AH101" s="193">
        <f t="shared" si="12"/>
        <v>20.791</v>
      </c>
      <c r="AI101" s="193">
        <f t="shared" si="13"/>
        <v>21.412</v>
      </c>
      <c r="AJ101" s="73">
        <f t="shared" si="14"/>
        <v>84.33643072</v>
      </c>
      <c r="AK101" s="73">
        <f t="shared" si="15"/>
        <v>16.52955472</v>
      </c>
      <c r="AL101" s="2"/>
      <c r="AM101" s="51">
        <f t="shared" si="16"/>
        <v>1902.90452</v>
      </c>
      <c r="AN101" s="51" t="str">
        <f t="array" ref="AN101">XLOOKUP(D101,RUC!$B$3:$B$565,RUC!$M$3:$M$565)</f>
        <v>Ronald Miranda</v>
      </c>
      <c r="AO101" s="131" t="s">
        <v>549</v>
      </c>
      <c r="AP101" s="2" t="s">
        <v>767</v>
      </c>
      <c r="AQ101" s="2" t="s">
        <v>768</v>
      </c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</row>
    <row r="102" ht="15.0" customHeight="1">
      <c r="A102" s="116" t="s">
        <v>3707</v>
      </c>
      <c r="B102" s="182">
        <v>46124.0</v>
      </c>
      <c r="C102" s="182">
        <v>46117.0</v>
      </c>
      <c r="D102" s="2" t="s">
        <v>602</v>
      </c>
      <c r="E102" s="3">
        <f t="array" ref="E102">XLOOKUP(D102,RUC!$B$3:$B$110,RUC!$D$3:$D$110)</f>
        <v>20169040231</v>
      </c>
      <c r="F102" s="2"/>
      <c r="G102" s="141">
        <v>15.0</v>
      </c>
      <c r="H102" s="3" t="s">
        <v>47</v>
      </c>
      <c r="I102" s="6">
        <v>1.36</v>
      </c>
      <c r="J102" s="58">
        <v>3.5</v>
      </c>
      <c r="K102" s="6">
        <f t="shared" si="2"/>
        <v>1.312</v>
      </c>
      <c r="L102" s="60">
        <v>1.258</v>
      </c>
      <c r="M102" s="60">
        <f t="shared" si="41"/>
        <v>1.183</v>
      </c>
      <c r="N102" s="62">
        <f t="shared" si="43"/>
        <v>1.183</v>
      </c>
      <c r="O102" s="60">
        <f t="shared" si="5"/>
        <v>1.183</v>
      </c>
      <c r="P102" s="63">
        <v>90.0</v>
      </c>
      <c r="Q102" s="58">
        <v>95.55</v>
      </c>
      <c r="R102" s="65">
        <v>4639.35</v>
      </c>
      <c r="S102" s="66">
        <f t="array" ref="S102">IF((XLOOKUP(D102,RUC!$B$3:$B$106,RUC!$E$3:$E$106)+ROUNDDOWN(O102,1)*100)&lt;95,95,((XLOOKUP(D102,RUC!$B$3:$B$106,RUC!$E$3:$E$106)+ROUNDDOWN(O102,1)*100)))</f>
        <v>195</v>
      </c>
      <c r="T102" s="2"/>
      <c r="U102" s="67">
        <f t="array" ref="U102">XLOOKUP(D102,RUC!$B$3:$B$110,RUC!$F$3:$F$110)</f>
        <v>120</v>
      </c>
      <c r="V102" s="67">
        <v>1.1023</v>
      </c>
      <c r="W102" s="2"/>
      <c r="X102" s="2"/>
      <c r="Y102" s="2">
        <f t="array" ref="Y102">XLOOKUP(D102,RUC!$B$3:$B$110,RUC!$G$3:$G$110)</f>
        <v>20</v>
      </c>
      <c r="Z102" s="140">
        <v>35.0</v>
      </c>
      <c r="AA102" s="70">
        <f t="shared" si="6"/>
        <v>55</v>
      </c>
      <c r="AB102" s="71">
        <f t="shared" si="29"/>
        <v>5028.419169</v>
      </c>
      <c r="AC102" s="71">
        <f>+(S102-T102)*V102-'data 1'!$F$4</f>
        <v>134.9485</v>
      </c>
      <c r="AD102" s="71">
        <f t="shared" si="8"/>
        <v>347.8158814</v>
      </c>
      <c r="AE102" s="71">
        <f t="shared" si="9"/>
        <v>-9.3735</v>
      </c>
      <c r="AF102" s="71">
        <f t="shared" si="10"/>
        <v>356.9996075</v>
      </c>
      <c r="AG102" s="72">
        <f t="shared" si="45"/>
        <v>847.3904889</v>
      </c>
      <c r="AH102" s="193">
        <f t="shared" si="12"/>
        <v>54.07</v>
      </c>
      <c r="AI102" s="193">
        <f t="shared" si="13"/>
        <v>56.588</v>
      </c>
      <c r="AJ102" s="73">
        <f t="shared" si="14"/>
        <v>504.3557472</v>
      </c>
      <c r="AK102" s="73">
        <f t="shared" si="15"/>
        <v>47.89279229</v>
      </c>
      <c r="AL102" s="2"/>
      <c r="AM102" s="51">
        <f t="shared" si="16"/>
        <v>6597.28595</v>
      </c>
      <c r="AN102" s="51" t="str">
        <f t="array" ref="AN102">XLOOKUP(D102,RUC!$B$3:$B$565,RUC!$M$3:$M$565)</f>
        <v>Ronald Miranda</v>
      </c>
      <c r="AO102" s="131" t="s">
        <v>547</v>
      </c>
      <c r="AP102" s="2" t="s">
        <v>767</v>
      </c>
      <c r="AQ102" s="2" t="s">
        <v>768</v>
      </c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</row>
    <row r="103" ht="15.0" customHeight="1">
      <c r="A103" s="116" t="s">
        <v>3708</v>
      </c>
      <c r="B103" s="182">
        <v>46121.0</v>
      </c>
      <c r="C103" s="182">
        <v>46118.0</v>
      </c>
      <c r="D103" s="2" t="s">
        <v>306</v>
      </c>
      <c r="E103" s="3">
        <f t="array" ref="E103">XLOOKUP(D103,RUC!$B$3:$B$110,RUC!$D$3:$D$110)</f>
        <v>20612921866</v>
      </c>
      <c r="F103" s="2"/>
      <c r="G103" s="141">
        <v>13.0</v>
      </c>
      <c r="H103" s="3" t="s">
        <v>40</v>
      </c>
      <c r="I103" s="6">
        <v>1.01</v>
      </c>
      <c r="J103" s="58">
        <v>2.85</v>
      </c>
      <c r="K103" s="6">
        <f t="shared" si="2"/>
        <v>0.981</v>
      </c>
      <c r="L103" s="60">
        <v>0.229</v>
      </c>
      <c r="M103" s="60">
        <f t="shared" si="41"/>
        <v>0.21</v>
      </c>
      <c r="N103" s="62">
        <f t="shared" si="43"/>
        <v>0.21</v>
      </c>
      <c r="O103" s="60">
        <f t="shared" si="5"/>
        <v>0.21</v>
      </c>
      <c r="P103" s="63">
        <v>90.0</v>
      </c>
      <c r="Q103" s="58">
        <v>96.51</v>
      </c>
      <c r="R103" s="65">
        <v>4611.7</v>
      </c>
      <c r="S103" s="66">
        <f t="array" ref="S103">IF((XLOOKUP(D103,RUC!$B$3:$B$106,RUC!$E$3:$E$106)+ROUNDDOWN(O103,1)*100)&lt;95,95,((XLOOKUP(D103,RUC!$B$3:$B$106,RUC!$E$3:$E$106)+ROUNDDOWN(O103,1)*100)))</f>
        <v>100</v>
      </c>
      <c r="T103" s="2"/>
      <c r="U103" s="67">
        <f t="array" ref="U103">XLOOKUP(D103,RUC!$B$3:$B$110,RUC!$F$3:$F$110)</f>
        <v>100</v>
      </c>
      <c r="V103" s="67">
        <v>1.1023</v>
      </c>
      <c r="W103" s="2"/>
      <c r="X103" s="2"/>
      <c r="Y103" s="2" t="str">
        <f t="array" ref="Y103">XLOOKUP(D103,RUC!$B$3:$B$110,RUC!$G$3:$G$110)</f>
        <v/>
      </c>
      <c r="Z103" s="69">
        <f t="array" ref="Z103">XLOOKUP(D103,RUC!$B$3:$B$110,RUC!$H$3:$H$110)</f>
        <v>30</v>
      </c>
      <c r="AA103" s="70">
        <f t="shared" si="6"/>
        <v>30</v>
      </c>
      <c r="AB103" s="71">
        <f t="shared" si="29"/>
        <v>796.644666</v>
      </c>
      <c r="AC103" s="71">
        <f>+(S103-T103)*V103-'data 1'!$F$4</f>
        <v>30.23</v>
      </c>
      <c r="AD103" s="71">
        <f t="shared" si="8"/>
        <v>74.14066761</v>
      </c>
      <c r="AE103" s="71">
        <f t="shared" si="9"/>
        <v>-36.931</v>
      </c>
      <c r="AF103" s="71">
        <f t="shared" si="10"/>
        <v>91.19393126</v>
      </c>
      <c r="AG103" s="72">
        <f t="shared" ref="AG103:AG105" si="46">AC103+AD103+AE103+AF103+70-10</f>
        <v>218.6335989</v>
      </c>
      <c r="AH103" s="193">
        <f t="shared" si="12"/>
        <v>7.433</v>
      </c>
      <c r="AI103" s="193">
        <f t="shared" si="13"/>
        <v>7.702</v>
      </c>
      <c r="AJ103" s="73">
        <f t="shared" si="14"/>
        <v>94.59648427</v>
      </c>
      <c r="AK103" s="73">
        <f t="shared" si="15"/>
        <v>6.356819513</v>
      </c>
      <c r="AL103" s="2"/>
      <c r="AM103" s="51">
        <f t="shared" si="16"/>
        <v>781.5084173</v>
      </c>
      <c r="AN103" s="51" t="str">
        <f t="array" ref="AN103">XLOOKUP(D103,RUC!$B$3:$B$565,RUC!$M$3:$M$565)</f>
        <v>Ronald Garibay</v>
      </c>
      <c r="AO103" s="131" t="s">
        <v>551</v>
      </c>
      <c r="AP103" s="2" t="s">
        <v>3709</v>
      </c>
      <c r="AQ103" s="2" t="s">
        <v>3710</v>
      </c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</row>
    <row r="104" ht="15.0" customHeight="1">
      <c r="A104" s="116" t="s">
        <v>3711</v>
      </c>
      <c r="B104" s="182">
        <v>46121.0</v>
      </c>
      <c r="C104" s="182">
        <v>46118.0</v>
      </c>
      <c r="D104" s="2" t="s">
        <v>306</v>
      </c>
      <c r="E104" s="3">
        <f t="array" ref="E104">XLOOKUP(D104,RUC!$B$3:$B$110,RUC!$D$3:$D$110)</f>
        <v>20612921866</v>
      </c>
      <c r="F104" s="2"/>
      <c r="G104" s="141">
        <v>13.0</v>
      </c>
      <c r="H104" s="3" t="s">
        <v>40</v>
      </c>
      <c r="I104" s="6">
        <v>1.06</v>
      </c>
      <c r="J104" s="58">
        <v>2.0</v>
      </c>
      <c r="K104" s="6">
        <f t="shared" si="2"/>
        <v>1.039</v>
      </c>
      <c r="L104" s="60">
        <v>0.291</v>
      </c>
      <c r="M104" s="60">
        <f t="shared" si="41"/>
        <v>0.272</v>
      </c>
      <c r="N104" s="62">
        <f t="shared" si="43"/>
        <v>0.272</v>
      </c>
      <c r="O104" s="60">
        <f t="shared" si="5"/>
        <v>0.272</v>
      </c>
      <c r="P104" s="63">
        <v>90.0</v>
      </c>
      <c r="Q104" s="58">
        <v>91.07</v>
      </c>
      <c r="R104" s="65">
        <v>4611.7</v>
      </c>
      <c r="S104" s="66">
        <f t="array" ref="S104">IF((XLOOKUP(D104,RUC!$B$3:$B$106,RUC!$E$3:$E$106)+ROUNDDOWN(O104,1)*100)&lt;95,95,((XLOOKUP(D104,RUC!$B$3:$B$106,RUC!$E$3:$E$106)+ROUNDDOWN(O104,1)*100)))</f>
        <v>100</v>
      </c>
      <c r="T104" s="2"/>
      <c r="U104" s="67">
        <f t="array" ref="U104">XLOOKUP(D104,RUC!$B$3:$B$110,RUC!$F$3:$F$110)</f>
        <v>100</v>
      </c>
      <c r="V104" s="67">
        <v>1.1023</v>
      </c>
      <c r="W104" s="2"/>
      <c r="X104" s="2"/>
      <c r="Y104" s="2" t="str">
        <f t="array" ref="Y104">XLOOKUP(D104,RUC!$B$3:$B$110,RUC!$G$3:$G$110)</f>
        <v/>
      </c>
      <c r="Z104" s="69">
        <f t="array" ref="Z104">XLOOKUP(D104,RUC!$B$3:$B$110,RUC!$H$3:$H$110)</f>
        <v>30</v>
      </c>
      <c r="AA104" s="70">
        <f t="shared" si="6"/>
        <v>30</v>
      </c>
      <c r="AB104" s="71">
        <f t="shared" si="29"/>
        <v>1074.151844</v>
      </c>
      <c r="AC104" s="71">
        <f>+(S104-T104)*V104-'data 1'!$F$4</f>
        <v>30.23</v>
      </c>
      <c r="AD104" s="71">
        <f t="shared" si="8"/>
        <v>15.4851989</v>
      </c>
      <c r="AE104" s="71">
        <f t="shared" si="9"/>
        <v>-36.931</v>
      </c>
      <c r="AF104" s="71">
        <f t="shared" si="10"/>
        <v>86.05358326</v>
      </c>
      <c r="AG104" s="72">
        <f t="shared" si="46"/>
        <v>154.8377822</v>
      </c>
      <c r="AH104" s="193">
        <f t="shared" si="12"/>
        <v>9.44</v>
      </c>
      <c r="AI104" s="193">
        <f t="shared" si="13"/>
        <v>10.366</v>
      </c>
      <c r="AJ104" s="73">
        <f t="shared" si="14"/>
        <v>113.4319828</v>
      </c>
      <c r="AK104" s="73">
        <f t="shared" si="15"/>
        <v>8.720392451</v>
      </c>
      <c r="AL104" s="2"/>
      <c r="AM104" s="51">
        <f t="shared" si="16"/>
        <v>1116.043765</v>
      </c>
      <c r="AN104" s="51" t="str">
        <f t="array" ref="AN104">XLOOKUP(D104,RUC!$B$3:$B$565,RUC!$M$3:$M$565)</f>
        <v>Ronald Garibay</v>
      </c>
      <c r="AO104" s="131" t="s">
        <v>551</v>
      </c>
      <c r="AP104" s="2" t="s">
        <v>3709</v>
      </c>
      <c r="AQ104" s="2" t="s">
        <v>3710</v>
      </c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</row>
    <row r="105" ht="15.0" customHeight="1">
      <c r="A105" s="116" t="s">
        <v>3712</v>
      </c>
      <c r="B105" s="182">
        <v>46122.0</v>
      </c>
      <c r="C105" s="182">
        <v>46118.0</v>
      </c>
      <c r="D105" s="2" t="s">
        <v>306</v>
      </c>
      <c r="E105" s="3">
        <f t="array" ref="E105">XLOOKUP(D105,RUC!$B$3:$B$110,RUC!$D$3:$D$110)</f>
        <v>20612921866</v>
      </c>
      <c r="F105" s="2"/>
      <c r="G105" s="141">
        <v>123.0</v>
      </c>
      <c r="H105" s="3" t="s">
        <v>40</v>
      </c>
      <c r="I105" s="6">
        <v>10.17</v>
      </c>
      <c r="J105" s="58">
        <v>2.0</v>
      </c>
      <c r="K105" s="6">
        <f t="shared" si="2"/>
        <v>9.967</v>
      </c>
      <c r="L105" s="60">
        <v>0.217</v>
      </c>
      <c r="M105" s="60">
        <f t="shared" si="41"/>
        <v>0.198</v>
      </c>
      <c r="N105" s="62">
        <f t="shared" si="43"/>
        <v>0.198</v>
      </c>
      <c r="O105" s="60">
        <f t="shared" si="5"/>
        <v>0.198</v>
      </c>
      <c r="P105" s="63">
        <v>90.0</v>
      </c>
      <c r="Q105" s="58">
        <v>94.47</v>
      </c>
      <c r="R105" s="65">
        <v>4611.7</v>
      </c>
      <c r="S105" s="66">
        <f t="array" ref="S105">IF((XLOOKUP(D105,RUC!$B$3:$B$106,RUC!$E$3:$E$106)+ROUNDDOWN(O105,1)*100)&lt;95,95,((XLOOKUP(D105,RUC!$B$3:$B$106,RUC!$E$3:$E$106)+ROUNDDOWN(O105,1)*100)))</f>
        <v>95</v>
      </c>
      <c r="T105" s="2"/>
      <c r="U105" s="67">
        <f t="array" ref="U105">XLOOKUP(D105,RUC!$B$3:$B$110,RUC!$F$3:$F$110)</f>
        <v>100</v>
      </c>
      <c r="V105" s="67">
        <v>1.1023</v>
      </c>
      <c r="W105" s="2"/>
      <c r="X105" s="2"/>
      <c r="Y105" s="2" t="str">
        <f t="array" ref="Y105">XLOOKUP(D105,RUC!$B$3:$B$110,RUC!$G$3:$G$110)</f>
        <v/>
      </c>
      <c r="Z105" s="69">
        <f t="array" ref="Z105">XLOOKUP(D105,RUC!$B$3:$B$110,RUC!$H$3:$H$110)</f>
        <v>30</v>
      </c>
      <c r="AA105" s="70">
        <f t="shared" si="6"/>
        <v>30</v>
      </c>
      <c r="AB105" s="71">
        <f t="shared" si="29"/>
        <v>748.4450994</v>
      </c>
      <c r="AC105" s="71">
        <f>+(S105-T105)*V105-'data 1'!$F$4</f>
        <v>24.7185</v>
      </c>
      <c r="AD105" s="71">
        <f t="shared" si="8"/>
        <v>48.2399977</v>
      </c>
      <c r="AE105" s="71">
        <f t="shared" si="9"/>
        <v>-36.931</v>
      </c>
      <c r="AF105" s="71">
        <f t="shared" si="10"/>
        <v>89.26630076</v>
      </c>
      <c r="AG105" s="72">
        <f t="shared" si="46"/>
        <v>185.2937985</v>
      </c>
      <c r="AH105" s="193">
        <f t="shared" si="12"/>
        <v>70.053</v>
      </c>
      <c r="AI105" s="193">
        <f t="shared" si="13"/>
        <v>74.154</v>
      </c>
      <c r="AJ105" s="73">
        <f t="shared" si="14"/>
        <v>87.74469065</v>
      </c>
      <c r="AK105" s="73">
        <f t="shared" si="15"/>
        <v>60.89494285</v>
      </c>
      <c r="AL105" s="2"/>
      <c r="AM105" s="51">
        <f t="shared" si="16"/>
        <v>7459.752305</v>
      </c>
      <c r="AN105" s="51" t="str">
        <f t="array" ref="AN105">XLOOKUP(D105,RUC!$B$3:$B$565,RUC!$M$3:$M$565)</f>
        <v>Ronald Garibay</v>
      </c>
      <c r="AO105" s="131" t="s">
        <v>551</v>
      </c>
      <c r="AP105" s="2" t="s">
        <v>3709</v>
      </c>
      <c r="AQ105" s="2" t="s">
        <v>3710</v>
      </c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</row>
    <row r="106" ht="15.0" customHeight="1">
      <c r="A106" s="202" t="s">
        <v>3713</v>
      </c>
      <c r="B106" s="182">
        <v>46128.0</v>
      </c>
      <c r="C106" s="182">
        <v>46119.0</v>
      </c>
      <c r="D106" s="2" t="s">
        <v>295</v>
      </c>
      <c r="E106" s="3">
        <f t="array" ref="E106">XLOOKUP(D106,RUC!$B$3:$B$110,RUC!$D$3:$D$110)</f>
        <v>20601769396</v>
      </c>
      <c r="F106" s="2"/>
      <c r="G106" s="141">
        <v>15.0</v>
      </c>
      <c r="H106" s="3" t="s">
        <v>40</v>
      </c>
      <c r="I106" s="6">
        <v>1.19</v>
      </c>
      <c r="J106" s="58">
        <v>16.17</v>
      </c>
      <c r="K106" s="6">
        <f t="shared" si="2"/>
        <v>0.998</v>
      </c>
      <c r="L106" s="60">
        <v>0.289</v>
      </c>
      <c r="M106" s="60">
        <f t="shared" si="41"/>
        <v>0.27</v>
      </c>
      <c r="N106" s="62">
        <f t="shared" si="43"/>
        <v>0.27</v>
      </c>
      <c r="O106" s="60">
        <f t="shared" si="5"/>
        <v>0.27</v>
      </c>
      <c r="P106" s="63">
        <v>90.0</v>
      </c>
      <c r="Q106" s="58">
        <v>93.43</v>
      </c>
      <c r="R106" s="65">
        <v>4611.7</v>
      </c>
      <c r="S106" s="66">
        <f t="array" ref="S106">IF((XLOOKUP(D106,RUC!$B$3:$B$106,RUC!$E$3:$E$106)+ROUNDDOWN(O106,1)*100)&lt;95,95,((XLOOKUP(D106,RUC!$B$3:$B$106,RUC!$E$3:$E$106)+ROUNDDOWN(O106,1)*100)))</f>
        <v>110</v>
      </c>
      <c r="T106" s="2"/>
      <c r="U106" s="67">
        <f t="array" ref="U106">XLOOKUP(D106,RUC!$B$3:$B$110,RUC!$F$3:$F$110)</f>
        <v>120</v>
      </c>
      <c r="V106" s="67">
        <v>1.1023</v>
      </c>
      <c r="W106" s="2"/>
      <c r="X106" s="2"/>
      <c r="Y106" s="2">
        <f t="array" ref="Y106">XLOOKUP(D106,RUC!$B$3:$B$110,RUC!$G$3:$G$110)</f>
        <v>20</v>
      </c>
      <c r="Z106" s="69">
        <f t="array" ref="Z106">XLOOKUP(D106,RUC!$B$3:$B$110,RUC!$H$3:$H$110)</f>
        <v>30</v>
      </c>
      <c r="AA106" s="70">
        <f t="shared" si="6"/>
        <v>50</v>
      </c>
      <c r="AB106" s="71">
        <f t="shared" si="29"/>
        <v>1026.773821</v>
      </c>
      <c r="AC106" s="71">
        <f>+(S106-T106)*V106-'data 1'!$F$4</f>
        <v>41.253</v>
      </c>
      <c r="AD106" s="71">
        <f t="shared" si="8"/>
        <v>49.07976926</v>
      </c>
      <c r="AE106" s="71">
        <f t="shared" si="9"/>
        <v>-14.885</v>
      </c>
      <c r="AF106" s="71">
        <f t="shared" si="10"/>
        <v>87.89223319</v>
      </c>
      <c r="AG106" s="72">
        <f>AC106+AD106+AE106+AF106+70-53</f>
        <v>180.3400025</v>
      </c>
      <c r="AH106" s="193">
        <f t="shared" si="12"/>
        <v>9.239</v>
      </c>
      <c r="AI106" s="193">
        <f t="shared" si="13"/>
        <v>9.889</v>
      </c>
      <c r="AJ106" s="73">
        <f t="shared" si="14"/>
        <v>121.5243702</v>
      </c>
      <c r="AK106" s="73">
        <f t="shared" si="15"/>
        <v>8.314686598</v>
      </c>
      <c r="AL106" s="2"/>
      <c r="AM106" s="51">
        <f t="shared" si="16"/>
        <v>1024.720273</v>
      </c>
      <c r="AN106" s="51" t="str">
        <f t="array" ref="AN106">XLOOKUP(D106,RUC!$B$3:$B$565,RUC!$M$3:$M$565)</f>
        <v>Evelyn</v>
      </c>
      <c r="AO106" s="131" t="s">
        <v>551</v>
      </c>
      <c r="AP106" s="2" t="s">
        <v>781</v>
      </c>
      <c r="AQ106" s="2" t="s">
        <v>782</v>
      </c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</row>
    <row r="107" ht="15.0" customHeight="1">
      <c r="A107" s="192" t="s">
        <v>3714</v>
      </c>
      <c r="B107" s="182">
        <v>46128.0</v>
      </c>
      <c r="C107" s="182">
        <v>46119.0</v>
      </c>
      <c r="D107" s="2" t="s">
        <v>295</v>
      </c>
      <c r="E107" s="3">
        <f t="array" ref="E107">XLOOKUP(D107,RUC!$B$3:$B$110,RUC!$D$3:$D$110)</f>
        <v>20601769396</v>
      </c>
      <c r="F107" s="2"/>
      <c r="G107" s="141">
        <v>79.0</v>
      </c>
      <c r="H107" s="3" t="s">
        <v>40</v>
      </c>
      <c r="I107" s="6">
        <v>5.2</v>
      </c>
      <c r="J107" s="58">
        <v>14.6</v>
      </c>
      <c r="K107" s="6">
        <f t="shared" si="2"/>
        <v>4.441</v>
      </c>
      <c r="L107" s="60">
        <v>0.064</v>
      </c>
      <c r="M107" s="60">
        <f t="shared" si="41"/>
        <v>0.045</v>
      </c>
      <c r="N107" s="62">
        <f t="shared" si="43"/>
        <v>0.045</v>
      </c>
      <c r="O107" s="60">
        <f t="shared" si="5"/>
        <v>0.045</v>
      </c>
      <c r="P107" s="63">
        <v>80.0</v>
      </c>
      <c r="Q107" s="58">
        <v>89.06</v>
      </c>
      <c r="R107" s="65">
        <v>4611.7</v>
      </c>
      <c r="S107" s="66">
        <f t="array" ref="S107">IF((XLOOKUP(D107,RUC!$B$3:$B$106,RUC!$E$3:$E$106)+ROUNDDOWN(O107,1)*100)&lt;95,95,((XLOOKUP(D107,RUC!$B$3:$B$106,RUC!$E$3:$E$106)+ROUNDDOWN(O107,1)*100)))</f>
        <v>95</v>
      </c>
      <c r="T107" s="2"/>
      <c r="U107" s="67">
        <f t="array" ref="U107">XLOOKUP(D107,RUC!$B$3:$B$110,RUC!$F$3:$F$110)</f>
        <v>120</v>
      </c>
      <c r="V107" s="67">
        <v>1.1023</v>
      </c>
      <c r="W107" s="2"/>
      <c r="X107" s="2"/>
      <c r="Y107" s="2">
        <f t="array" ref="Y107">XLOOKUP(D107,RUC!$B$3:$B$110,RUC!$G$3:$G$110)</f>
        <v>20</v>
      </c>
      <c r="Z107" s="69">
        <f t="array" ref="Z107">XLOOKUP(D107,RUC!$B$3:$B$110,RUC!$H$3:$H$110)</f>
        <v>30</v>
      </c>
      <c r="AA107" s="70">
        <f t="shared" si="6"/>
        <v>50</v>
      </c>
      <c r="AB107" s="71">
        <v>0.001</v>
      </c>
      <c r="AC107" s="71">
        <f>+(S107-T107)*V107-'data 1'!$F$4</f>
        <v>24.7185</v>
      </c>
      <c r="AD107" s="71">
        <f t="shared" si="8"/>
        <v>28.70904336</v>
      </c>
      <c r="AE107" s="71">
        <f t="shared" si="9"/>
        <v>-14.885</v>
      </c>
      <c r="AF107" s="71">
        <f t="shared" si="10"/>
        <v>83.78125108</v>
      </c>
      <c r="AG107" s="72">
        <f>AC107+AD107+AE107+AF107+70-53+18.41</f>
        <v>157.7337944</v>
      </c>
      <c r="AH107" s="193">
        <f t="shared" si="12"/>
        <v>8.679</v>
      </c>
      <c r="AI107" s="193">
        <f t="shared" si="13"/>
        <v>9.745</v>
      </c>
      <c r="AJ107" s="73">
        <f t="shared" si="14"/>
        <v>25.65321802</v>
      </c>
      <c r="AK107" s="73">
        <f t="shared" si="15"/>
        <v>5.4814107</v>
      </c>
      <c r="AL107" s="2"/>
      <c r="AM107" s="51">
        <f t="shared" si="16"/>
        <v>0.004441</v>
      </c>
      <c r="AN107" s="51" t="str">
        <f t="array" ref="AN107">XLOOKUP(D107,RUC!$B$3:$B$565,RUC!$M$3:$M$565)</f>
        <v>Evelyn</v>
      </c>
      <c r="AO107" s="131" t="s">
        <v>551</v>
      </c>
      <c r="AP107" s="2" t="s">
        <v>781</v>
      </c>
      <c r="AQ107" s="2" t="s">
        <v>782</v>
      </c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</row>
    <row r="108" ht="15.0" customHeight="1">
      <c r="A108" s="192" t="s">
        <v>3715</v>
      </c>
      <c r="B108" s="182">
        <v>46128.0</v>
      </c>
      <c r="C108" s="182">
        <v>46119.0</v>
      </c>
      <c r="D108" s="2" t="s">
        <v>295</v>
      </c>
      <c r="E108" s="3">
        <f t="array" ref="E108">XLOOKUP(D108,RUC!$B$3:$B$110,RUC!$D$3:$D$110)</f>
        <v>20601769396</v>
      </c>
      <c r="F108" s="2"/>
      <c r="G108" s="141">
        <v>79.0</v>
      </c>
      <c r="H108" s="3" t="s">
        <v>40</v>
      </c>
      <c r="I108" s="6">
        <v>5.37</v>
      </c>
      <c r="J108" s="58">
        <v>15.0</v>
      </c>
      <c r="K108" s="6">
        <f t="shared" si="2"/>
        <v>4.565</v>
      </c>
      <c r="L108" s="60">
        <v>0.088</v>
      </c>
      <c r="M108" s="60">
        <f t="shared" si="41"/>
        <v>0.069</v>
      </c>
      <c r="N108" s="62">
        <f t="shared" si="43"/>
        <v>0.069</v>
      </c>
      <c r="O108" s="60">
        <f t="shared" si="5"/>
        <v>0.069</v>
      </c>
      <c r="P108" s="63">
        <v>80.0</v>
      </c>
      <c r="Q108" s="58">
        <v>92.05</v>
      </c>
      <c r="R108" s="65">
        <v>4611.7</v>
      </c>
      <c r="S108" s="66">
        <f t="array" ref="S108">IF((XLOOKUP(D108,RUC!$B$3:$B$106,RUC!$E$3:$E$106)+ROUNDDOWN(O108,1)*100)&lt;95,95,((XLOOKUP(D108,RUC!$B$3:$B$106,RUC!$E$3:$E$106)+ROUNDDOWN(O108,1)*100)))</f>
        <v>95</v>
      </c>
      <c r="T108" s="2"/>
      <c r="U108" s="67">
        <f t="array" ref="U108">XLOOKUP(D108,RUC!$B$3:$B$110,RUC!$F$3:$F$110)</f>
        <v>120</v>
      </c>
      <c r="V108" s="67">
        <v>1.1023</v>
      </c>
      <c r="W108" s="2"/>
      <c r="X108" s="2"/>
      <c r="Y108" s="2">
        <f t="array" ref="Y108">XLOOKUP(D108,RUC!$B$3:$B$110,RUC!$G$3:$G$110)</f>
        <v>20</v>
      </c>
      <c r="Z108" s="69">
        <f t="array" ref="Z108">XLOOKUP(D108,RUC!$B$3:$B$110,RUC!$H$3:$H$110)</f>
        <v>30</v>
      </c>
      <c r="AA108" s="70">
        <f t="shared" si="6"/>
        <v>50</v>
      </c>
      <c r="AB108" s="71">
        <v>0.001</v>
      </c>
      <c r="AC108" s="71">
        <f>+(S108-T108)*V108-'data 1'!$F$4</f>
        <v>24.7185</v>
      </c>
      <c r="AD108" s="71">
        <f t="shared" si="8"/>
        <v>52.50253445</v>
      </c>
      <c r="AE108" s="71">
        <f t="shared" si="9"/>
        <v>-14.885</v>
      </c>
      <c r="AF108" s="71">
        <f t="shared" si="10"/>
        <v>86.59402832</v>
      </c>
      <c r="AG108" s="72">
        <f>AC108+AD108+AE108+AF108+70-53+113.47</f>
        <v>279.4000628</v>
      </c>
      <c r="AH108" s="193">
        <f t="shared" si="12"/>
        <v>12.678</v>
      </c>
      <c r="AI108" s="193">
        <f t="shared" si="13"/>
        <v>13.773</v>
      </c>
      <c r="AJ108" s="73">
        <f t="shared" si="14"/>
        <v>36.45739657</v>
      </c>
      <c r="AK108" s="73">
        <f t="shared" si="15"/>
        <v>8.639506364</v>
      </c>
      <c r="AL108" s="2"/>
      <c r="AM108" s="51">
        <f t="shared" si="16"/>
        <v>0.004565</v>
      </c>
      <c r="AN108" s="51" t="str">
        <f t="array" ref="AN108">XLOOKUP(D108,RUC!$B$3:$B$565,RUC!$M$3:$M$565)</f>
        <v>Evelyn</v>
      </c>
      <c r="AO108" s="131" t="s">
        <v>551</v>
      </c>
      <c r="AP108" s="2" t="s">
        <v>781</v>
      </c>
      <c r="AQ108" s="2" t="s">
        <v>782</v>
      </c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</row>
    <row r="109" ht="15.0" customHeight="1">
      <c r="A109" s="116" t="s">
        <v>3716</v>
      </c>
      <c r="B109" s="182">
        <v>46124.0</v>
      </c>
      <c r="C109" s="182">
        <v>46119.0</v>
      </c>
      <c r="D109" s="2" t="s">
        <v>622</v>
      </c>
      <c r="E109" s="3">
        <f t="array" ref="E109">XLOOKUP(D109,RUC!$B$3:$B$110,RUC!$D$3:$D$110)</f>
        <v>20612719757</v>
      </c>
      <c r="F109" s="2"/>
      <c r="G109" s="141">
        <v>50.0</v>
      </c>
      <c r="H109" s="3" t="s">
        <v>339</v>
      </c>
      <c r="I109" s="6">
        <v>4.29</v>
      </c>
      <c r="J109" s="58">
        <v>17.6</v>
      </c>
      <c r="K109" s="6">
        <f t="shared" si="2"/>
        <v>3.535</v>
      </c>
      <c r="L109" s="60">
        <v>0.289</v>
      </c>
      <c r="M109" s="60">
        <f t="shared" si="41"/>
        <v>0.27</v>
      </c>
      <c r="N109" s="62">
        <f t="shared" si="43"/>
        <v>0.27</v>
      </c>
      <c r="O109" s="60">
        <f t="shared" si="5"/>
        <v>0.27</v>
      </c>
      <c r="P109" s="63">
        <v>90.0</v>
      </c>
      <c r="Q109" s="58">
        <v>95.85</v>
      </c>
      <c r="R109" s="65">
        <v>4611.7</v>
      </c>
      <c r="S109" s="66">
        <f t="array" ref="S109">IF((XLOOKUP(D109,RUC!$B$3:$B$106,RUC!$E$3:$E$106)+ROUNDDOWN(O109,1)*100)&lt;95,95,((XLOOKUP(D109,RUC!$B$3:$B$106,RUC!$E$3:$E$106)+ROUNDDOWN(O109,1)*100)))</f>
        <v>110</v>
      </c>
      <c r="T109" s="2"/>
      <c r="U109" s="67">
        <f t="array" ref="U109">XLOOKUP(D109,RUC!$B$3:$B$110,RUC!$F$3:$F$110)</f>
        <v>120</v>
      </c>
      <c r="V109" s="67">
        <v>1.1023</v>
      </c>
      <c r="W109" s="2"/>
      <c r="X109" s="2"/>
      <c r="Y109" s="2">
        <f t="array" ref="Y109">XLOOKUP(D109,RUC!$B$3:$B$110,RUC!$G$3:$G$110)</f>
        <v>20</v>
      </c>
      <c r="Z109" s="69">
        <f t="array" ref="Z109">XLOOKUP(D109,RUC!$B$3:$B$110,RUC!$H$3:$H$110)</f>
        <v>30</v>
      </c>
      <c r="AA109" s="70">
        <f t="shared" si="6"/>
        <v>50</v>
      </c>
      <c r="AB109" s="71">
        <f t="shared" ref="AB109:AB117" si="47">+((O109*P109*(R109-U109)/100)-S109-AA109+T109)*V109</f>
        <v>1026.773821</v>
      </c>
      <c r="AC109" s="71">
        <f>+(S109-T109)*V109-'data 1'!$F$4</f>
        <v>41.253</v>
      </c>
      <c r="AD109" s="71">
        <f t="shared" si="8"/>
        <v>83.70747818</v>
      </c>
      <c r="AE109" s="71">
        <f t="shared" si="9"/>
        <v>-14.885</v>
      </c>
      <c r="AF109" s="71">
        <f t="shared" si="10"/>
        <v>90.16879537</v>
      </c>
      <c r="AG109" s="72">
        <f t="shared" ref="AG109:AG117" si="48">AC109+AD109+AE109+AF109+70-53</f>
        <v>217.2442736</v>
      </c>
      <c r="AH109" s="193">
        <f t="shared" si="12"/>
        <v>33.573</v>
      </c>
      <c r="AI109" s="193">
        <f t="shared" si="13"/>
        <v>35.026</v>
      </c>
      <c r="AJ109" s="73">
        <f t="shared" si="14"/>
        <v>124.6720634</v>
      </c>
      <c r="AK109" s="73">
        <f t="shared" si="15"/>
        <v>29.45131976</v>
      </c>
      <c r="AL109" s="2"/>
      <c r="AM109" s="51">
        <f t="shared" si="16"/>
        <v>3629.645458</v>
      </c>
      <c r="AN109" s="51" t="str">
        <f t="array" ref="AN109">XLOOKUP(D109,RUC!$B$3:$B$565,RUC!$M$3:$M$565)</f>
        <v>Walter Achulla </v>
      </c>
      <c r="AO109" s="131" t="s">
        <v>549</v>
      </c>
      <c r="AP109" s="2" t="s">
        <v>3338</v>
      </c>
      <c r="AQ109" s="2" t="s">
        <v>2417</v>
      </c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</row>
    <row r="110" ht="15.0" customHeight="1">
      <c r="A110" s="116" t="s">
        <v>3717</v>
      </c>
      <c r="B110" s="182">
        <v>46124.0</v>
      </c>
      <c r="C110" s="182">
        <v>46119.0</v>
      </c>
      <c r="D110" s="2" t="s">
        <v>622</v>
      </c>
      <c r="E110" s="3">
        <f t="array" ref="E110">XLOOKUP(D110,RUC!$B$3:$B$110,RUC!$D$3:$D$110)</f>
        <v>20612719757</v>
      </c>
      <c r="F110" s="2"/>
      <c r="G110" s="141">
        <v>40.0</v>
      </c>
      <c r="H110" s="3" t="s">
        <v>339</v>
      </c>
      <c r="I110" s="6">
        <v>3.48</v>
      </c>
      <c r="J110" s="58">
        <v>17.7</v>
      </c>
      <c r="K110" s="6">
        <f t="shared" si="2"/>
        <v>2.864</v>
      </c>
      <c r="L110" s="60">
        <v>0.366</v>
      </c>
      <c r="M110" s="60">
        <f t="shared" si="41"/>
        <v>0.344</v>
      </c>
      <c r="N110" s="62">
        <f t="shared" si="43"/>
        <v>0.344</v>
      </c>
      <c r="O110" s="60">
        <f t="shared" si="5"/>
        <v>0.344</v>
      </c>
      <c r="P110" s="63">
        <v>90.0</v>
      </c>
      <c r="Q110" s="58">
        <v>96.72</v>
      </c>
      <c r="R110" s="65">
        <v>4611.7</v>
      </c>
      <c r="S110" s="66">
        <f t="array" ref="S110">IF((XLOOKUP(D110,RUC!$B$3:$B$106,RUC!$E$3:$E$106)+ROUNDDOWN(O110,1)*100)&lt;95,95,((XLOOKUP(D110,RUC!$B$3:$B$106,RUC!$E$3:$E$106)+ROUNDDOWN(O110,1)*100)))</f>
        <v>120</v>
      </c>
      <c r="T110" s="2"/>
      <c r="U110" s="67">
        <f t="array" ref="U110">XLOOKUP(D110,RUC!$B$3:$B$110,RUC!$F$3:$F$110)</f>
        <v>120</v>
      </c>
      <c r="V110" s="67">
        <v>1.1023</v>
      </c>
      <c r="W110" s="2"/>
      <c r="X110" s="2"/>
      <c r="Y110" s="2">
        <f t="array" ref="Y110">XLOOKUP(D110,RUC!$B$3:$B$110,RUC!$G$3:$G$110)</f>
        <v>20</v>
      </c>
      <c r="Z110" s="69">
        <f t="array" ref="Z110">XLOOKUP(D110,RUC!$B$3:$B$110,RUC!$H$3:$H$110)</f>
        <v>30</v>
      </c>
      <c r="AA110" s="70">
        <f t="shared" si="6"/>
        <v>50</v>
      </c>
      <c r="AB110" s="71">
        <f t="shared" si="47"/>
        <v>1345.500802</v>
      </c>
      <c r="AC110" s="71">
        <f>+(S110-T110)*V110-'data 1'!$F$4</f>
        <v>52.276</v>
      </c>
      <c r="AD110" s="71">
        <f t="shared" si="8"/>
        <v>121.7757766</v>
      </c>
      <c r="AE110" s="71">
        <f t="shared" si="9"/>
        <v>-14.885</v>
      </c>
      <c r="AF110" s="71">
        <f t="shared" si="10"/>
        <v>105.3536334</v>
      </c>
      <c r="AG110" s="72">
        <f t="shared" si="48"/>
        <v>281.5204101</v>
      </c>
      <c r="AH110" s="193">
        <f t="shared" si="12"/>
        <v>34.76</v>
      </c>
      <c r="AI110" s="193">
        <f t="shared" si="13"/>
        <v>35.939</v>
      </c>
      <c r="AJ110" s="73">
        <f t="shared" si="14"/>
        <v>159.3222975</v>
      </c>
      <c r="AK110" s="73">
        <f t="shared" si="15"/>
        <v>30.40066159</v>
      </c>
      <c r="AL110" s="2"/>
      <c r="AM110" s="51">
        <f t="shared" si="16"/>
        <v>3853.514296</v>
      </c>
      <c r="AN110" s="51" t="str">
        <f t="array" ref="AN110">XLOOKUP(D110,RUC!$B$3:$B$565,RUC!$M$3:$M$565)</f>
        <v>Walter Achulla </v>
      </c>
      <c r="AO110" s="131" t="s">
        <v>549</v>
      </c>
      <c r="AP110" s="2" t="s">
        <v>3338</v>
      </c>
      <c r="AQ110" s="2" t="s">
        <v>2417</v>
      </c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</row>
    <row r="111" ht="15.0" customHeight="1">
      <c r="A111" s="116" t="s">
        <v>3718</v>
      </c>
      <c r="B111" s="182">
        <v>46124.0</v>
      </c>
      <c r="C111" s="182">
        <v>46119.0</v>
      </c>
      <c r="D111" s="2" t="s">
        <v>622</v>
      </c>
      <c r="E111" s="3">
        <f t="array" ref="E111">XLOOKUP(D111,RUC!$B$3:$B$110,RUC!$D$3:$D$110)</f>
        <v>20612719757</v>
      </c>
      <c r="F111" s="2"/>
      <c r="G111" s="141">
        <v>48.0</v>
      </c>
      <c r="H111" s="3" t="s">
        <v>339</v>
      </c>
      <c r="I111" s="6">
        <v>4.24</v>
      </c>
      <c r="J111" s="58">
        <v>17.4</v>
      </c>
      <c r="K111" s="6">
        <f t="shared" si="2"/>
        <v>3.502</v>
      </c>
      <c r="L111" s="60">
        <v>0.554</v>
      </c>
      <c r="M111" s="60">
        <f t="shared" si="41"/>
        <v>0.521</v>
      </c>
      <c r="N111" s="62">
        <f t="shared" si="43"/>
        <v>0.521</v>
      </c>
      <c r="O111" s="60">
        <f t="shared" si="5"/>
        <v>0.521</v>
      </c>
      <c r="P111" s="63">
        <v>90.0</v>
      </c>
      <c r="Q111" s="58">
        <v>94.95</v>
      </c>
      <c r="R111" s="65">
        <v>4611.7</v>
      </c>
      <c r="S111" s="66">
        <f t="array" ref="S111">IF((XLOOKUP(D111,RUC!$B$3:$B$106,RUC!$E$3:$E$106)+ROUNDDOWN(O111,1)*100)&lt;95,95,((XLOOKUP(D111,RUC!$B$3:$B$106,RUC!$E$3:$E$106)+ROUNDDOWN(O111,1)*100)))</f>
        <v>140</v>
      </c>
      <c r="T111" s="2"/>
      <c r="U111" s="67">
        <f t="array" ref="U111">XLOOKUP(D111,RUC!$B$3:$B$110,RUC!$F$3:$F$110)</f>
        <v>120</v>
      </c>
      <c r="V111" s="67">
        <v>1.1023</v>
      </c>
      <c r="W111" s="2"/>
      <c r="X111" s="2"/>
      <c r="Y111" s="2">
        <f t="array" ref="Y111">XLOOKUP(D111,RUC!$B$3:$B$110,RUC!$G$3:$G$110)</f>
        <v>20</v>
      </c>
      <c r="Z111" s="69">
        <f t="array" ref="Z111">XLOOKUP(D111,RUC!$B$3:$B$110,RUC!$H$3:$H$110)</f>
        <v>30</v>
      </c>
      <c r="AA111" s="70">
        <f t="shared" si="6"/>
        <v>50</v>
      </c>
      <c r="AB111" s="71">
        <f t="shared" si="47"/>
        <v>2112.181107</v>
      </c>
      <c r="AC111" s="71">
        <f>+(S111-T111)*V111-'data 1'!$F$4</f>
        <v>74.322</v>
      </c>
      <c r="AD111" s="71">
        <f t="shared" si="8"/>
        <v>135.7767826</v>
      </c>
      <c r="AE111" s="71">
        <f t="shared" si="9"/>
        <v>-14.885</v>
      </c>
      <c r="AF111" s="71">
        <f t="shared" si="10"/>
        <v>155.1384537</v>
      </c>
      <c r="AG111" s="72">
        <f t="shared" si="48"/>
        <v>367.3522363</v>
      </c>
      <c r="AH111" s="193">
        <f t="shared" si="12"/>
        <v>63.158</v>
      </c>
      <c r="AI111" s="193">
        <f t="shared" si="13"/>
        <v>66.517</v>
      </c>
      <c r="AJ111" s="73">
        <f t="shared" si="14"/>
        <v>236.7466929</v>
      </c>
      <c r="AK111" s="73">
        <f t="shared" si="15"/>
        <v>56.29961744</v>
      </c>
      <c r="AL111" s="2"/>
      <c r="AM111" s="51">
        <f t="shared" si="16"/>
        <v>7396.858236</v>
      </c>
      <c r="AN111" s="51" t="str">
        <f t="array" ref="AN111">XLOOKUP(D111,RUC!$B$3:$B$565,RUC!$M$3:$M$565)</f>
        <v>Walter Achulla </v>
      </c>
      <c r="AO111" s="131" t="s">
        <v>549</v>
      </c>
      <c r="AP111" s="2" t="s">
        <v>3338</v>
      </c>
      <c r="AQ111" s="2" t="s">
        <v>2417</v>
      </c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</row>
    <row r="112" ht="15.0" customHeight="1">
      <c r="A112" s="202" t="s">
        <v>3719</v>
      </c>
      <c r="B112" s="182">
        <v>46128.0</v>
      </c>
      <c r="C112" s="182">
        <v>46122.0</v>
      </c>
      <c r="D112" s="2" t="s">
        <v>3351</v>
      </c>
      <c r="E112" s="3" t="str">
        <f t="array" ref="E112">XLOOKUP(D112,RUC!$B$3:$B$110,RUC!$D$3:$D$110)</f>
        <v>20611329556*</v>
      </c>
      <c r="F112" s="2"/>
      <c r="G112" s="141" t="s">
        <v>735</v>
      </c>
      <c r="H112" s="3" t="s">
        <v>40</v>
      </c>
      <c r="I112" s="6">
        <v>6.98</v>
      </c>
      <c r="J112" s="58">
        <v>16.7</v>
      </c>
      <c r="K112" s="6">
        <f t="shared" si="2"/>
        <v>5.814</v>
      </c>
      <c r="L112" s="60">
        <v>0.277</v>
      </c>
      <c r="M112" s="60">
        <f t="shared" si="41"/>
        <v>0.258</v>
      </c>
      <c r="N112" s="62">
        <f t="shared" si="43"/>
        <v>0.258</v>
      </c>
      <c r="O112" s="60">
        <f t="shared" si="5"/>
        <v>0.258</v>
      </c>
      <c r="P112" s="63">
        <v>90.0</v>
      </c>
      <c r="Q112" s="58">
        <v>98.92</v>
      </c>
      <c r="R112" s="65">
        <v>4773.75</v>
      </c>
      <c r="S112" s="66">
        <f t="array" ref="S112">IF((XLOOKUP(D112,RUC!$B$3:$B$106,RUC!$E$3:$E$106)+ROUNDDOWN(O112,1)*100)&lt;95,95,((XLOOKUP(D112,RUC!$B$3:$B$106,RUC!$E$3:$E$106)+ROUNDDOWN(O112,1)*100)))</f>
        <v>100</v>
      </c>
      <c r="T112" s="2"/>
      <c r="U112" s="67">
        <f t="array" ref="U112">XLOOKUP(D112,RUC!$B$3:$B$110,RUC!$F$3:$F$110)</f>
        <v>110</v>
      </c>
      <c r="V112" s="67">
        <v>1.1023</v>
      </c>
      <c r="W112" s="2"/>
      <c r="X112" s="2"/>
      <c r="Y112" s="2">
        <f t="array" ref="Y112">XLOOKUP(D112,RUC!$B$3:$B$110,RUC!$G$3:$G$110)</f>
        <v>0</v>
      </c>
      <c r="Z112" s="69">
        <f t="array" ref="Z112">XLOOKUP(D112,RUC!$B$3:$B$110,RUC!$H$3:$H$110)</f>
        <v>35</v>
      </c>
      <c r="AA112" s="70">
        <f t="shared" si="6"/>
        <v>35</v>
      </c>
      <c r="AB112" s="71">
        <f t="shared" si="47"/>
        <v>1044.895247</v>
      </c>
      <c r="AC112" s="71">
        <f>+(S112-T112)*V112-'data 1'!$F$4</f>
        <v>30.23</v>
      </c>
      <c r="AD112" s="71">
        <f t="shared" si="8"/>
        <v>127.0222183</v>
      </c>
      <c r="AE112" s="71">
        <f t="shared" si="9"/>
        <v>-31.4195</v>
      </c>
      <c r="AF112" s="71">
        <f t="shared" si="10"/>
        <v>96.62127812</v>
      </c>
      <c r="AG112" s="72">
        <f t="shared" si="48"/>
        <v>239.4539964</v>
      </c>
      <c r="AH112" s="193">
        <f t="shared" si="12"/>
        <v>54.62</v>
      </c>
      <c r="AI112" s="193">
        <f t="shared" si="13"/>
        <v>55.216</v>
      </c>
      <c r="AJ112" s="73">
        <f t="shared" si="14"/>
        <v>71.35682226</v>
      </c>
      <c r="AK112" s="73">
        <f t="shared" si="15"/>
        <v>46.28564415</v>
      </c>
      <c r="AL112" s="2"/>
      <c r="AM112" s="51">
        <f t="shared" si="16"/>
        <v>6075.020968</v>
      </c>
      <c r="AN112" s="51" t="str">
        <f t="array" ref="AN112">XLOOKUP(D112,RUC!$B$3:$B$565,RUC!$M$3:$M$565)</f>
        <v>Robinson Tuya</v>
      </c>
      <c r="AO112" s="131" t="s">
        <v>547</v>
      </c>
      <c r="AP112" s="2" t="s">
        <v>1581</v>
      </c>
      <c r="AQ112" s="2" t="s">
        <v>3720</v>
      </c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</row>
    <row r="113" ht="15.0" customHeight="1">
      <c r="A113" s="202" t="s">
        <v>3721</v>
      </c>
      <c r="B113" s="182">
        <v>46128.0</v>
      </c>
      <c r="C113" s="182">
        <v>46122.0</v>
      </c>
      <c r="D113" s="2" t="s">
        <v>3351</v>
      </c>
      <c r="E113" s="3" t="str">
        <f t="array" ref="E113">XLOOKUP(D113,RUC!$B$3:$B$110,RUC!$D$3:$D$110)</f>
        <v>20611329556*</v>
      </c>
      <c r="F113" s="2"/>
      <c r="G113" s="141" t="s">
        <v>735</v>
      </c>
      <c r="H113" s="3" t="s">
        <v>40</v>
      </c>
      <c r="I113" s="6">
        <v>9.54</v>
      </c>
      <c r="J113" s="58">
        <v>12.5</v>
      </c>
      <c r="K113" s="6">
        <f t="shared" si="2"/>
        <v>8.348</v>
      </c>
      <c r="L113" s="60">
        <v>0.268</v>
      </c>
      <c r="M113" s="60">
        <f t="shared" si="41"/>
        <v>0.249</v>
      </c>
      <c r="N113" s="62">
        <f t="shared" si="43"/>
        <v>0.249</v>
      </c>
      <c r="O113" s="60">
        <f t="shared" si="5"/>
        <v>0.249</v>
      </c>
      <c r="P113" s="63">
        <v>90.0</v>
      </c>
      <c r="Q113" s="58">
        <v>97.39</v>
      </c>
      <c r="R113" s="65">
        <v>4773.75</v>
      </c>
      <c r="S113" s="66">
        <f t="array" ref="S113">IF((XLOOKUP(D113,RUC!$B$3:$B$106,RUC!$E$3:$E$106)+ROUNDDOWN(O113,1)*100)&lt;95,95,((XLOOKUP(D113,RUC!$B$3:$B$106,RUC!$E$3:$E$106)+ROUNDDOWN(O113,1)*100)))</f>
        <v>100</v>
      </c>
      <c r="T113" s="2"/>
      <c r="U113" s="67">
        <f t="array" ref="U113">XLOOKUP(D113,RUC!$B$3:$B$110,RUC!$F$3:$F$110)</f>
        <v>110</v>
      </c>
      <c r="V113" s="67">
        <v>1.1023</v>
      </c>
      <c r="W113" s="2"/>
      <c r="X113" s="2"/>
      <c r="Y113" s="2">
        <f t="array" ref="Y113">XLOOKUP(D113,RUC!$B$3:$B$110,RUC!$G$3:$G$110)</f>
        <v>0</v>
      </c>
      <c r="Z113" s="69">
        <f t="array" ref="Z113">XLOOKUP(D113,RUC!$B$3:$B$110,RUC!$H$3:$H$110)</f>
        <v>35</v>
      </c>
      <c r="AA113" s="70">
        <f t="shared" si="6"/>
        <v>35</v>
      </c>
      <c r="AB113" s="71">
        <f t="shared" si="47"/>
        <v>1003.254349</v>
      </c>
      <c r="AC113" s="71">
        <f>+(S113-T113)*V113-'data 1'!$F$4</f>
        <v>30.23</v>
      </c>
      <c r="AD113" s="71">
        <f t="shared" si="8"/>
        <v>101.8155946</v>
      </c>
      <c r="AE113" s="71">
        <f t="shared" si="9"/>
        <v>-31.4195</v>
      </c>
      <c r="AF113" s="71">
        <f t="shared" si="10"/>
        <v>95.12683255</v>
      </c>
      <c r="AG113" s="72">
        <f t="shared" si="48"/>
        <v>212.7529272</v>
      </c>
      <c r="AH113" s="193">
        <f t="shared" si="12"/>
        <v>74.703</v>
      </c>
      <c r="AI113" s="193">
        <f t="shared" si="13"/>
        <v>76.705</v>
      </c>
      <c r="AJ113" s="73">
        <f t="shared" si="14"/>
        <v>67.97055005</v>
      </c>
      <c r="AK113" s="73">
        <f t="shared" si="15"/>
        <v>64.1406514</v>
      </c>
      <c r="AL113" s="2"/>
      <c r="AM113" s="51">
        <f t="shared" si="16"/>
        <v>8375.167307</v>
      </c>
      <c r="AN113" s="51" t="str">
        <f t="array" ref="AN113">XLOOKUP(D113,RUC!$B$3:$B$565,RUC!$M$3:$M$565)</f>
        <v>Robinson Tuya</v>
      </c>
      <c r="AO113" s="131" t="s">
        <v>547</v>
      </c>
      <c r="AP113" s="2" t="s">
        <v>1126</v>
      </c>
      <c r="AQ113" s="2" t="s">
        <v>618</v>
      </c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</row>
    <row r="114" ht="15.0" customHeight="1">
      <c r="A114" s="202" t="s">
        <v>3722</v>
      </c>
      <c r="B114" s="182">
        <v>46128.0</v>
      </c>
      <c r="C114" s="182">
        <v>46122.0</v>
      </c>
      <c r="D114" s="2" t="s">
        <v>3351</v>
      </c>
      <c r="E114" s="3" t="str">
        <f t="array" ref="E114">XLOOKUP(D114,RUC!$B$3:$B$110,RUC!$D$3:$D$110)</f>
        <v>20611329556*</v>
      </c>
      <c r="F114" s="2"/>
      <c r="G114" s="141" t="s">
        <v>735</v>
      </c>
      <c r="H114" s="3" t="s">
        <v>40</v>
      </c>
      <c r="I114" s="6">
        <v>10.66</v>
      </c>
      <c r="J114" s="58">
        <v>16.7</v>
      </c>
      <c r="K114" s="6">
        <f t="shared" si="2"/>
        <v>8.88</v>
      </c>
      <c r="L114" s="60">
        <v>0.277</v>
      </c>
      <c r="M114" s="60">
        <f t="shared" si="41"/>
        <v>0.258</v>
      </c>
      <c r="N114" s="62">
        <f t="shared" si="43"/>
        <v>0.258</v>
      </c>
      <c r="O114" s="60">
        <f t="shared" si="5"/>
        <v>0.258</v>
      </c>
      <c r="P114" s="63">
        <v>90.0</v>
      </c>
      <c r="Q114" s="58">
        <v>98.92</v>
      </c>
      <c r="R114" s="65">
        <v>4773.75</v>
      </c>
      <c r="S114" s="66">
        <f t="array" ref="S114">IF((XLOOKUP(D114,RUC!$B$3:$B$106,RUC!$E$3:$E$106)+ROUNDDOWN(O114,1)*100)&lt;95,95,((XLOOKUP(D114,RUC!$B$3:$B$106,RUC!$E$3:$E$106)+ROUNDDOWN(O114,1)*100)))</f>
        <v>100</v>
      </c>
      <c r="T114" s="2"/>
      <c r="U114" s="67">
        <f t="array" ref="U114">XLOOKUP(D114,RUC!$B$3:$B$110,RUC!$F$3:$F$110)</f>
        <v>110</v>
      </c>
      <c r="V114" s="67">
        <v>1.1023</v>
      </c>
      <c r="W114" s="2"/>
      <c r="X114" s="2"/>
      <c r="Y114" s="2">
        <f t="array" ref="Y114">XLOOKUP(D114,RUC!$B$3:$B$110,RUC!$G$3:$G$110)</f>
        <v>0</v>
      </c>
      <c r="Z114" s="69">
        <f t="array" ref="Z114">XLOOKUP(D114,RUC!$B$3:$B$110,RUC!$H$3:$H$110)</f>
        <v>35</v>
      </c>
      <c r="AA114" s="70">
        <f t="shared" si="6"/>
        <v>35</v>
      </c>
      <c r="AB114" s="71">
        <f t="shared" si="47"/>
        <v>1044.895247</v>
      </c>
      <c r="AC114" s="71">
        <f>+(S114-T114)*V114-'data 1'!$F$4</f>
        <v>30.23</v>
      </c>
      <c r="AD114" s="71">
        <f t="shared" si="8"/>
        <v>127.0222183</v>
      </c>
      <c r="AE114" s="71">
        <f t="shared" si="9"/>
        <v>-31.4195</v>
      </c>
      <c r="AF114" s="71">
        <f t="shared" si="10"/>
        <v>96.62127812</v>
      </c>
      <c r="AG114" s="72">
        <f t="shared" si="48"/>
        <v>239.4539964</v>
      </c>
      <c r="AH114" s="193">
        <f t="shared" si="12"/>
        <v>83.423</v>
      </c>
      <c r="AI114" s="193">
        <f t="shared" si="13"/>
        <v>84.334</v>
      </c>
      <c r="AJ114" s="73">
        <f t="shared" si="14"/>
        <v>71.35682226</v>
      </c>
      <c r="AK114" s="73">
        <f t="shared" si="15"/>
        <v>70.69427589</v>
      </c>
      <c r="AL114" s="2"/>
      <c r="AM114" s="51">
        <f t="shared" si="16"/>
        <v>9278.669796</v>
      </c>
      <c r="AN114" s="51" t="str">
        <f t="array" ref="AN114">XLOOKUP(D114,RUC!$B$3:$B$565,RUC!$M$3:$M$565)</f>
        <v>Robinson Tuya</v>
      </c>
      <c r="AO114" s="131" t="s">
        <v>547</v>
      </c>
      <c r="AP114" s="2" t="s">
        <v>3723</v>
      </c>
      <c r="AQ114" s="2" t="s">
        <v>2365</v>
      </c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</row>
    <row r="115" ht="15.0" customHeight="1">
      <c r="A115" s="202" t="s">
        <v>3724</v>
      </c>
      <c r="B115" s="182">
        <v>46128.0</v>
      </c>
      <c r="C115" s="182">
        <v>46122.0</v>
      </c>
      <c r="D115" s="2" t="s">
        <v>3351</v>
      </c>
      <c r="E115" s="3" t="str">
        <f t="array" ref="E115">XLOOKUP(D115,RUC!$B$3:$B$110,RUC!$D$3:$D$110)</f>
        <v>20611329556*</v>
      </c>
      <c r="F115" s="2"/>
      <c r="G115" s="141" t="s">
        <v>735</v>
      </c>
      <c r="H115" s="3" t="s">
        <v>40</v>
      </c>
      <c r="I115" s="6">
        <v>12.92</v>
      </c>
      <c r="J115" s="58">
        <v>11.0</v>
      </c>
      <c r="K115" s="6">
        <f t="shared" si="2"/>
        <v>11.499</v>
      </c>
      <c r="L115" s="60">
        <v>0.255</v>
      </c>
      <c r="M115" s="60">
        <f t="shared" si="41"/>
        <v>0.236</v>
      </c>
      <c r="N115" s="75">
        <v>0.276</v>
      </c>
      <c r="O115" s="60">
        <f t="shared" si="5"/>
        <v>0.256</v>
      </c>
      <c r="P115" s="63">
        <v>90.0</v>
      </c>
      <c r="Q115" s="58">
        <v>97.25</v>
      </c>
      <c r="R115" s="65">
        <v>4773.75</v>
      </c>
      <c r="S115" s="66">
        <f t="array" ref="S115">IF((XLOOKUP(D115,RUC!$B$3:$B$106,RUC!$E$3:$E$106)+ROUNDDOWN(O115,1)*100)&lt;95,95,((XLOOKUP(D115,RUC!$B$3:$B$106,RUC!$E$3:$E$106)+ROUNDDOWN(O115,1)*100)))</f>
        <v>100</v>
      </c>
      <c r="T115" s="2"/>
      <c r="U115" s="67">
        <f t="array" ref="U115">XLOOKUP(D115,RUC!$B$3:$B$110,RUC!$F$3:$F$110)</f>
        <v>110</v>
      </c>
      <c r="V115" s="67">
        <v>1.1023</v>
      </c>
      <c r="W115" s="2"/>
      <c r="X115" s="2"/>
      <c r="Y115" s="2">
        <f t="array" ref="Y115">XLOOKUP(D115,RUC!$B$3:$B$110,RUC!$G$3:$G$110)</f>
        <v>0</v>
      </c>
      <c r="Z115" s="69">
        <f t="array" ref="Z115">XLOOKUP(D115,RUC!$B$3:$B$110,RUC!$H$3:$H$110)</f>
        <v>35</v>
      </c>
      <c r="AA115" s="70">
        <f t="shared" si="6"/>
        <v>35</v>
      </c>
      <c r="AB115" s="71">
        <f t="shared" si="47"/>
        <v>1035.641714</v>
      </c>
      <c r="AC115" s="71">
        <f>+(S115-T115)*V115-'data 1'!$F$4</f>
        <v>30.23</v>
      </c>
      <c r="AD115" s="71">
        <f t="shared" si="8"/>
        <v>95.04149442</v>
      </c>
      <c r="AE115" s="71">
        <f t="shared" si="9"/>
        <v>-31.4195</v>
      </c>
      <c r="AF115" s="71">
        <f t="shared" si="10"/>
        <v>-4.999478205</v>
      </c>
      <c r="AG115" s="72">
        <f t="shared" si="48"/>
        <v>105.8525162</v>
      </c>
      <c r="AH115" s="193">
        <f t="shared" si="12"/>
        <v>97.768</v>
      </c>
      <c r="AI115" s="193">
        <f t="shared" si="13"/>
        <v>100.533</v>
      </c>
      <c r="AJ115" s="73">
        <f t="shared" si="14"/>
        <v>64.58050177</v>
      </c>
      <c r="AK115" s="73">
        <f t="shared" si="15"/>
        <v>90.83466482</v>
      </c>
      <c r="AL115" s="2"/>
      <c r="AM115" s="51">
        <f t="shared" si="16"/>
        <v>11908.84407</v>
      </c>
      <c r="AN115" s="51" t="str">
        <f t="array" ref="AN115">XLOOKUP(D115,RUC!$B$3:$B$565,RUC!$M$3:$M$565)</f>
        <v>Robinson Tuya</v>
      </c>
      <c r="AO115" s="131" t="s">
        <v>547</v>
      </c>
      <c r="AP115" s="2" t="s">
        <v>3725</v>
      </c>
      <c r="AQ115" s="2" t="s">
        <v>3726</v>
      </c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</row>
    <row r="116" ht="15.0" customHeight="1">
      <c r="A116" s="202" t="s">
        <v>3727</v>
      </c>
      <c r="B116" s="182">
        <v>46128.0</v>
      </c>
      <c r="C116" s="182">
        <v>46123.0</v>
      </c>
      <c r="D116" s="2" t="s">
        <v>806</v>
      </c>
      <c r="E116" s="3">
        <f t="array" ref="E116">XLOOKUP(D116,RUC!$B$3:$B$110,RUC!$D$3:$D$110)</f>
        <v>20614284740</v>
      </c>
      <c r="F116" s="2"/>
      <c r="G116" s="141">
        <v>10.0</v>
      </c>
      <c r="H116" s="3" t="s">
        <v>40</v>
      </c>
      <c r="I116" s="6">
        <v>0.75</v>
      </c>
      <c r="J116" s="58">
        <v>2.0</v>
      </c>
      <c r="K116" s="6">
        <f t="shared" si="2"/>
        <v>0.735</v>
      </c>
      <c r="L116" s="60">
        <v>0.273</v>
      </c>
      <c r="M116" s="60">
        <f t="shared" si="41"/>
        <v>0.254</v>
      </c>
      <c r="N116" s="62">
        <f>+M116</f>
        <v>0.254</v>
      </c>
      <c r="O116" s="60">
        <f t="shared" si="5"/>
        <v>0.254</v>
      </c>
      <c r="P116" s="63">
        <v>90.0</v>
      </c>
      <c r="Q116" s="58">
        <v>99.27</v>
      </c>
      <c r="R116" s="65">
        <v>4773.75</v>
      </c>
      <c r="S116" s="66">
        <f t="array" ref="S116">IF((XLOOKUP(D116,RUC!$B$3:$B$106,RUC!$E$3:$E$106)+ROUNDDOWN(O116,1)*100)&lt;95,95,((XLOOKUP(D116,RUC!$B$3:$B$106,RUC!$E$3:$E$106)+ROUNDDOWN(O116,1)*100)))</f>
        <v>110</v>
      </c>
      <c r="T116" s="2"/>
      <c r="U116" s="67">
        <f t="array" ref="U116">XLOOKUP(D116,RUC!$B$3:$B$110,RUC!$F$3:$F$110)</f>
        <v>120</v>
      </c>
      <c r="V116" s="67">
        <v>1.1023</v>
      </c>
      <c r="W116" s="2"/>
      <c r="X116" s="2"/>
      <c r="Y116" s="2">
        <f t="array" ref="Y116">XLOOKUP(D116,RUC!$B$3:$B$110,RUC!$G$3:$G$110)</f>
        <v>20</v>
      </c>
      <c r="Z116" s="69">
        <f t="array" ref="Z116">XLOOKUP(D116,RUC!$B$3:$B$110,RUC!$H$3:$H$110)</f>
        <v>30</v>
      </c>
      <c r="AA116" s="70">
        <f t="shared" si="6"/>
        <v>50</v>
      </c>
      <c r="AB116" s="71">
        <f t="shared" si="47"/>
        <v>996.3108237</v>
      </c>
      <c r="AC116" s="71">
        <f>+(S116-T116)*V116-'data 1'!$F$4</f>
        <v>41.253</v>
      </c>
      <c r="AD116" s="71">
        <f t="shared" si="8"/>
        <v>129.821086</v>
      </c>
      <c r="AE116" s="71">
        <f t="shared" si="9"/>
        <v>-14.885</v>
      </c>
      <c r="AF116" s="71">
        <f t="shared" si="10"/>
        <v>96.75523664</v>
      </c>
      <c r="AG116" s="72">
        <f t="shared" si="48"/>
        <v>269.9443226</v>
      </c>
      <c r="AH116" s="193">
        <f t="shared" si="12"/>
        <v>6.829</v>
      </c>
      <c r="AI116" s="193">
        <f t="shared" si="13"/>
        <v>6.88</v>
      </c>
      <c r="AJ116" s="73">
        <f t="shared" si="14"/>
        <v>73.56253986</v>
      </c>
      <c r="AK116" s="73">
        <f t="shared" si="15"/>
        <v>5.760665186</v>
      </c>
      <c r="AL116" s="2"/>
      <c r="AM116" s="51">
        <f t="shared" si="16"/>
        <v>732.2884554</v>
      </c>
      <c r="AN116" s="51" t="str">
        <f t="array" ref="AN116">XLOOKUP(D116,RUC!$B$3:$B$565,RUC!$M$3:$M$565)</f>
        <v>Dante </v>
      </c>
      <c r="AO116" s="131" t="s">
        <v>547</v>
      </c>
      <c r="AP116" s="2" t="s">
        <v>3728</v>
      </c>
      <c r="AQ116" s="2" t="s">
        <v>604</v>
      </c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 ht="15.0" customHeight="1">
      <c r="A117" s="202" t="s">
        <v>3729</v>
      </c>
      <c r="B117" s="182">
        <v>46128.0</v>
      </c>
      <c r="C117" s="182">
        <v>46123.0</v>
      </c>
      <c r="D117" s="2" t="s">
        <v>806</v>
      </c>
      <c r="E117" s="3">
        <f t="array" ref="E117">XLOOKUP(D117,RUC!$B$3:$B$110,RUC!$D$3:$D$110)</f>
        <v>20614284740</v>
      </c>
      <c r="F117" s="2"/>
      <c r="G117" s="141">
        <v>38.0</v>
      </c>
      <c r="H117" s="3" t="s">
        <v>40</v>
      </c>
      <c r="I117" s="6">
        <v>2.87</v>
      </c>
      <c r="J117" s="58">
        <v>2.0</v>
      </c>
      <c r="K117" s="6">
        <f t="shared" si="2"/>
        <v>2.813</v>
      </c>
      <c r="L117" s="60">
        <v>0.778</v>
      </c>
      <c r="M117" s="60">
        <f t="shared" si="41"/>
        <v>0.731</v>
      </c>
      <c r="N117" s="75">
        <v>0.791</v>
      </c>
      <c r="O117" s="60">
        <f t="shared" si="5"/>
        <v>0.761</v>
      </c>
      <c r="P117" s="63">
        <v>90.0</v>
      </c>
      <c r="Q117" s="58">
        <v>98.46</v>
      </c>
      <c r="R117" s="65">
        <v>4773.75</v>
      </c>
      <c r="S117" s="66">
        <f t="array" ref="S117">IF((XLOOKUP(D117,RUC!$B$3:$B$106,RUC!$E$3:$E$106)+ROUNDDOWN(O117,1)*100)&lt;95,95,((XLOOKUP(D117,RUC!$B$3:$B$106,RUC!$E$3:$E$106)+ROUNDDOWN(O117,1)*100)))</f>
        <v>160</v>
      </c>
      <c r="T117" s="2"/>
      <c r="U117" s="67">
        <f t="array" ref="U117">XLOOKUP(D117,RUC!$B$3:$B$110,RUC!$F$3:$F$110)</f>
        <v>120</v>
      </c>
      <c r="V117" s="67">
        <v>1.1023</v>
      </c>
      <c r="W117" s="2"/>
      <c r="X117" s="2"/>
      <c r="Y117" s="2">
        <f t="array" ref="Y117">XLOOKUP(D117,RUC!$B$3:$B$110,RUC!$G$3:$G$110)</f>
        <v>20</v>
      </c>
      <c r="Z117" s="69">
        <f t="array" ref="Z117">XLOOKUP(D117,RUC!$B$3:$B$110,RUC!$H$3:$H$110)</f>
        <v>30</v>
      </c>
      <c r="AA117" s="70">
        <f t="shared" si="6"/>
        <v>50</v>
      </c>
      <c r="AB117" s="71">
        <f t="shared" si="47"/>
        <v>3281.936625</v>
      </c>
      <c r="AC117" s="71">
        <f>+(S117-T117)*V117-'data 1'!$F$4</f>
        <v>96.368</v>
      </c>
      <c r="AD117" s="71">
        <f t="shared" si="8"/>
        <v>337.6391643</v>
      </c>
      <c r="AE117" s="71">
        <f t="shared" si="9"/>
        <v>-14.885</v>
      </c>
      <c r="AF117" s="71">
        <f t="shared" si="10"/>
        <v>85.86409749</v>
      </c>
      <c r="AG117" s="72">
        <f t="shared" si="48"/>
        <v>521.9862618</v>
      </c>
      <c r="AH117" s="193">
        <f t="shared" si="12"/>
        <v>73.879</v>
      </c>
      <c r="AI117" s="193">
        <f t="shared" si="13"/>
        <v>75.034</v>
      </c>
      <c r="AJ117" s="73">
        <f t="shared" si="14"/>
        <v>207.9291963</v>
      </c>
      <c r="AK117" s="73">
        <f t="shared" si="15"/>
        <v>66.05504118</v>
      </c>
      <c r="AL117" s="2"/>
      <c r="AM117" s="51">
        <f t="shared" si="16"/>
        <v>9232.087727</v>
      </c>
      <c r="AN117" s="51" t="str">
        <f t="array" ref="AN117">XLOOKUP(D117,RUC!$B$3:$B$565,RUC!$M$3:$M$565)</f>
        <v>Dante </v>
      </c>
      <c r="AO117" s="131" t="s">
        <v>547</v>
      </c>
      <c r="AP117" s="2" t="s">
        <v>3728</v>
      </c>
      <c r="AQ117" s="2" t="s">
        <v>604</v>
      </c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</row>
    <row r="118" ht="15.75" customHeight="1">
      <c r="A118" s="2"/>
      <c r="B118" s="182"/>
      <c r="C118" s="3"/>
      <c r="D118" s="2"/>
      <c r="E118" s="3"/>
      <c r="F118" s="2"/>
      <c r="G118" s="2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91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</row>
    <row r="119" ht="15.75" customHeight="1">
      <c r="A119" s="2"/>
      <c r="B119" s="182"/>
      <c r="C119" s="3"/>
      <c r="D119" s="2"/>
      <c r="E119" s="3"/>
      <c r="F119" s="2"/>
      <c r="G119" s="2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91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</row>
    <row r="120" ht="15.75" customHeight="1">
      <c r="A120" s="2"/>
      <c r="B120" s="182"/>
      <c r="C120" s="3"/>
      <c r="D120" s="2"/>
      <c r="E120" s="3"/>
      <c r="F120" s="2"/>
      <c r="G120" s="2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91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</row>
    <row r="121" ht="15.75" customHeight="1">
      <c r="A121" s="2"/>
      <c r="B121" s="182"/>
      <c r="C121" s="3"/>
      <c r="D121" s="2"/>
      <c r="E121" s="3"/>
      <c r="F121" s="2"/>
      <c r="G121" s="2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91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</row>
    <row r="122" ht="15.75" customHeight="1">
      <c r="A122" s="2"/>
      <c r="B122" s="182"/>
      <c r="C122" s="3"/>
      <c r="D122" s="2"/>
      <c r="E122" s="3"/>
      <c r="F122" s="2"/>
      <c r="G122" s="2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91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</row>
    <row r="123" ht="15.75" customHeight="1">
      <c r="A123" s="2"/>
      <c r="B123" s="182"/>
      <c r="C123" s="3"/>
      <c r="D123" s="2"/>
      <c r="E123" s="3"/>
      <c r="F123" s="2"/>
      <c r="G123" s="2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91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</row>
    <row r="124" ht="15.75" customHeight="1">
      <c r="A124" s="2"/>
      <c r="B124" s="182"/>
      <c r="C124" s="3"/>
      <c r="D124" s="2"/>
      <c r="E124" s="3"/>
      <c r="F124" s="2"/>
      <c r="G124" s="2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91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</row>
    <row r="125" ht="15.75" customHeight="1">
      <c r="A125" s="2"/>
      <c r="B125" s="182"/>
      <c r="C125" s="3"/>
      <c r="D125" s="2"/>
      <c r="E125" s="3"/>
      <c r="F125" s="2"/>
      <c r="G125" s="2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91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</row>
    <row r="126" ht="15.75" customHeight="1">
      <c r="A126" s="2"/>
      <c r="B126" s="182"/>
      <c r="C126" s="3"/>
      <c r="D126" s="2"/>
      <c r="E126" s="3"/>
      <c r="F126" s="2"/>
      <c r="G126" s="2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91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</row>
    <row r="127" ht="15.75" customHeight="1">
      <c r="A127" s="2"/>
      <c r="B127" s="182"/>
      <c r="C127" s="3"/>
      <c r="D127" s="2"/>
      <c r="E127" s="3"/>
      <c r="F127" s="2"/>
      <c r="G127" s="2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91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</row>
    <row r="128" ht="15.75" customHeight="1">
      <c r="A128" s="2"/>
      <c r="B128" s="182"/>
      <c r="C128" s="3"/>
      <c r="D128" s="2"/>
      <c r="E128" s="3"/>
      <c r="F128" s="2"/>
      <c r="G128" s="2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91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</row>
    <row r="129" ht="15.75" customHeight="1">
      <c r="A129" s="2"/>
      <c r="B129" s="182"/>
      <c r="C129" s="3"/>
      <c r="D129" s="2"/>
      <c r="E129" s="3"/>
      <c r="F129" s="2"/>
      <c r="G129" s="2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91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</row>
    <row r="130" ht="15.75" customHeight="1">
      <c r="A130" s="2"/>
      <c r="B130" s="182"/>
      <c r="C130" s="3"/>
      <c r="D130" s="2"/>
      <c r="E130" s="3"/>
      <c r="F130" s="2"/>
      <c r="G130" s="2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91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</row>
    <row r="131" ht="15.75" customHeight="1">
      <c r="A131" s="2"/>
      <c r="B131" s="182"/>
      <c r="C131" s="3"/>
      <c r="D131" s="2"/>
      <c r="E131" s="3"/>
      <c r="F131" s="2"/>
      <c r="G131" s="2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91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</row>
    <row r="132" ht="15.75" customHeight="1">
      <c r="A132" s="2"/>
      <c r="B132" s="182"/>
      <c r="C132" s="3"/>
      <c r="D132" s="2"/>
      <c r="E132" s="3"/>
      <c r="F132" s="2"/>
      <c r="G132" s="2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91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</row>
    <row r="133" ht="15.75" customHeight="1">
      <c r="A133" s="2"/>
      <c r="B133" s="182"/>
      <c r="C133" s="3"/>
      <c r="D133" s="2"/>
      <c r="E133" s="3"/>
      <c r="F133" s="2"/>
      <c r="G133" s="2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91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</row>
    <row r="134" ht="15.75" customHeight="1">
      <c r="A134" s="2"/>
      <c r="B134" s="182"/>
      <c r="C134" s="3"/>
      <c r="D134" s="2"/>
      <c r="E134" s="3"/>
      <c r="F134" s="2"/>
      <c r="G134" s="2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91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</row>
    <row r="135" ht="15.75" customHeight="1">
      <c r="A135" s="2"/>
      <c r="B135" s="182"/>
      <c r="C135" s="3"/>
      <c r="D135" s="2"/>
      <c r="E135" s="3"/>
      <c r="F135" s="2"/>
      <c r="G135" s="2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91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 ht="15.75" customHeight="1">
      <c r="A136" s="2"/>
      <c r="B136" s="182"/>
      <c r="C136" s="3"/>
      <c r="D136" s="2"/>
      <c r="E136" s="3"/>
      <c r="F136" s="2"/>
      <c r="G136" s="2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91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</row>
    <row r="137" ht="15.75" customHeight="1">
      <c r="A137" s="2"/>
      <c r="B137" s="182"/>
      <c r="C137" s="3"/>
      <c r="D137" s="2"/>
      <c r="E137" s="3"/>
      <c r="F137" s="2"/>
      <c r="G137" s="2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91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</row>
    <row r="138" ht="15.75" customHeight="1">
      <c r="A138" s="2"/>
      <c r="B138" s="182"/>
      <c r="C138" s="3"/>
      <c r="D138" s="2"/>
      <c r="E138" s="3"/>
      <c r="F138" s="2"/>
      <c r="G138" s="2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91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 ht="15.75" customHeight="1">
      <c r="A139" s="2"/>
      <c r="B139" s="182"/>
      <c r="C139" s="3"/>
      <c r="D139" s="2"/>
      <c r="E139" s="3"/>
      <c r="F139" s="2"/>
      <c r="G139" s="2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91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 ht="15.75" customHeight="1">
      <c r="A140" s="2"/>
      <c r="B140" s="182"/>
      <c r="C140" s="3"/>
      <c r="D140" s="2"/>
      <c r="E140" s="3"/>
      <c r="F140" s="2"/>
      <c r="G140" s="2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91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 ht="15.75" customHeight="1">
      <c r="A141" s="2"/>
      <c r="B141" s="182"/>
      <c r="C141" s="3"/>
      <c r="D141" s="2"/>
      <c r="E141" s="3"/>
      <c r="F141" s="2"/>
      <c r="G141" s="2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91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 ht="15.75" customHeight="1">
      <c r="A142" s="2"/>
      <c r="B142" s="182"/>
      <c r="C142" s="3"/>
      <c r="D142" s="2"/>
      <c r="E142" s="3"/>
      <c r="F142" s="2"/>
      <c r="G142" s="2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91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 ht="15.75" customHeight="1">
      <c r="A143" s="2"/>
      <c r="B143" s="182"/>
      <c r="C143" s="3"/>
      <c r="D143" s="2"/>
      <c r="E143" s="3"/>
      <c r="F143" s="2"/>
      <c r="G143" s="2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91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 ht="15.75" customHeight="1">
      <c r="A144" s="2"/>
      <c r="B144" s="182"/>
      <c r="C144" s="3"/>
      <c r="D144" s="2"/>
      <c r="E144" s="3"/>
      <c r="F144" s="2"/>
      <c r="G144" s="2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91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 ht="15.75" customHeight="1">
      <c r="A145" s="2"/>
      <c r="B145" s="182"/>
      <c r="C145" s="3"/>
      <c r="D145" s="2"/>
      <c r="E145" s="3"/>
      <c r="F145" s="2"/>
      <c r="G145" s="2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91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 ht="15.75" customHeight="1">
      <c r="A146" s="2"/>
      <c r="B146" s="182"/>
      <c r="C146" s="3"/>
      <c r="D146" s="2"/>
      <c r="E146" s="3"/>
      <c r="F146" s="2"/>
      <c r="G146" s="2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91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 ht="15.75" customHeight="1">
      <c r="A147" s="2"/>
      <c r="B147" s="182"/>
      <c r="C147" s="3"/>
      <c r="D147" s="2"/>
      <c r="E147" s="3"/>
      <c r="F147" s="2"/>
      <c r="G147" s="2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91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 ht="15.75" customHeight="1">
      <c r="A148" s="2"/>
      <c r="B148" s="182"/>
      <c r="C148" s="3"/>
      <c r="D148" s="2"/>
      <c r="E148" s="3"/>
      <c r="F148" s="2"/>
      <c r="G148" s="2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91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 ht="15.75" customHeight="1">
      <c r="A149" s="2"/>
      <c r="B149" s="182"/>
      <c r="C149" s="3"/>
      <c r="D149" s="2"/>
      <c r="E149" s="3"/>
      <c r="F149" s="2"/>
      <c r="G149" s="2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91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 ht="15.75" customHeight="1">
      <c r="A150" s="2"/>
      <c r="B150" s="182"/>
      <c r="C150" s="3"/>
      <c r="D150" s="2"/>
      <c r="E150" s="3"/>
      <c r="F150" s="2"/>
      <c r="G150" s="2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91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 ht="15.75" customHeight="1">
      <c r="A151" s="2"/>
      <c r="B151" s="182"/>
      <c r="C151" s="3"/>
      <c r="D151" s="2"/>
      <c r="E151" s="3"/>
      <c r="F151" s="2"/>
      <c r="G151" s="2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91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 ht="15.75" customHeight="1">
      <c r="A152" s="2"/>
      <c r="B152" s="182"/>
      <c r="C152" s="3"/>
      <c r="D152" s="2"/>
      <c r="E152" s="3"/>
      <c r="F152" s="2"/>
      <c r="G152" s="2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91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 ht="15.75" customHeight="1">
      <c r="A153" s="2"/>
      <c r="B153" s="182"/>
      <c r="C153" s="3"/>
      <c r="D153" s="2"/>
      <c r="E153" s="3"/>
      <c r="F153" s="2"/>
      <c r="G153" s="2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91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 ht="15.75" customHeight="1">
      <c r="A154" s="2"/>
      <c r="B154" s="182"/>
      <c r="C154" s="3"/>
      <c r="D154" s="2"/>
      <c r="E154" s="3"/>
      <c r="F154" s="2"/>
      <c r="G154" s="2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91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 ht="15.75" customHeight="1">
      <c r="A155" s="2"/>
      <c r="B155" s="182"/>
      <c r="C155" s="3"/>
      <c r="D155" s="2"/>
      <c r="E155" s="3"/>
      <c r="F155" s="2"/>
      <c r="G155" s="2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91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</row>
    <row r="156" ht="15.75" customHeight="1">
      <c r="A156" s="2"/>
      <c r="B156" s="182"/>
      <c r="C156" s="3"/>
      <c r="D156" s="2"/>
      <c r="E156" s="3"/>
      <c r="F156" s="2"/>
      <c r="G156" s="2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91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 ht="15.75" customHeight="1">
      <c r="A157" s="2"/>
      <c r="B157" s="182"/>
      <c r="C157" s="3"/>
      <c r="D157" s="2"/>
      <c r="E157" s="3"/>
      <c r="F157" s="2"/>
      <c r="G157" s="2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91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 ht="15.75" customHeight="1">
      <c r="A158" s="2"/>
      <c r="B158" s="182"/>
      <c r="C158" s="3"/>
      <c r="D158" s="2"/>
      <c r="E158" s="3"/>
      <c r="F158" s="2"/>
      <c r="G158" s="2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91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 ht="15.75" customHeight="1">
      <c r="A159" s="2"/>
      <c r="B159" s="182"/>
      <c r="C159" s="3"/>
      <c r="D159" s="2"/>
      <c r="E159" s="3"/>
      <c r="F159" s="2"/>
      <c r="G159" s="2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91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 ht="15.75" customHeight="1">
      <c r="A160" s="2"/>
      <c r="B160" s="182"/>
      <c r="C160" s="3"/>
      <c r="D160" s="2"/>
      <c r="E160" s="3"/>
      <c r="F160" s="2"/>
      <c r="G160" s="2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91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 ht="15.75" customHeight="1">
      <c r="A161" s="2"/>
      <c r="B161" s="182"/>
      <c r="C161" s="3"/>
      <c r="D161" s="2"/>
      <c r="E161" s="3"/>
      <c r="F161" s="2"/>
      <c r="G161" s="2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91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 ht="15.75" customHeight="1">
      <c r="A162" s="2"/>
      <c r="B162" s="182"/>
      <c r="C162" s="3"/>
      <c r="D162" s="2"/>
      <c r="E162" s="3"/>
      <c r="F162" s="2"/>
      <c r="G162" s="2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91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 ht="15.75" customHeight="1">
      <c r="A163" s="2"/>
      <c r="B163" s="182"/>
      <c r="C163" s="3"/>
      <c r="D163" s="2"/>
      <c r="E163" s="3"/>
      <c r="F163" s="2"/>
      <c r="G163" s="2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91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 ht="15.75" customHeight="1">
      <c r="A164" s="2"/>
      <c r="B164" s="182"/>
      <c r="C164" s="3"/>
      <c r="D164" s="2"/>
      <c r="E164" s="3"/>
      <c r="F164" s="2"/>
      <c r="G164" s="2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91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 ht="15.75" customHeight="1">
      <c r="A165" s="2"/>
      <c r="B165" s="182"/>
      <c r="C165" s="3"/>
      <c r="D165" s="2"/>
      <c r="E165" s="3"/>
      <c r="F165" s="2"/>
      <c r="G165" s="2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91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 ht="15.75" customHeight="1">
      <c r="A166" s="2"/>
      <c r="B166" s="182"/>
      <c r="C166" s="3"/>
      <c r="D166" s="2"/>
      <c r="E166" s="3"/>
      <c r="F166" s="2"/>
      <c r="G166" s="2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91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 ht="15.75" customHeight="1">
      <c r="A167" s="2"/>
      <c r="B167" s="182"/>
      <c r="C167" s="3"/>
      <c r="D167" s="2"/>
      <c r="E167" s="3"/>
      <c r="F167" s="2"/>
      <c r="G167" s="2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91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 ht="15.75" customHeight="1">
      <c r="A168" s="2"/>
      <c r="B168" s="182"/>
      <c r="C168" s="3"/>
      <c r="D168" s="2"/>
      <c r="E168" s="3"/>
      <c r="F168" s="2"/>
      <c r="G168" s="2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91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 ht="15.75" customHeight="1">
      <c r="A169" s="2"/>
      <c r="B169" s="182"/>
      <c r="C169" s="3"/>
      <c r="D169" s="2"/>
      <c r="E169" s="3"/>
      <c r="F169" s="2"/>
      <c r="G169" s="2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91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 ht="15.75" customHeight="1">
      <c r="A170" s="2"/>
      <c r="B170" s="182"/>
      <c r="C170" s="3"/>
      <c r="D170" s="2"/>
      <c r="E170" s="3"/>
      <c r="F170" s="2"/>
      <c r="G170" s="2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91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 ht="15.75" customHeight="1">
      <c r="A171" s="2"/>
      <c r="B171" s="182"/>
      <c r="C171" s="3"/>
      <c r="D171" s="2"/>
      <c r="E171" s="3"/>
      <c r="F171" s="2"/>
      <c r="G171" s="2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91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 ht="15.75" customHeight="1">
      <c r="A172" s="2"/>
      <c r="B172" s="182"/>
      <c r="C172" s="3"/>
      <c r="D172" s="2"/>
      <c r="E172" s="3"/>
      <c r="F172" s="2"/>
      <c r="G172" s="2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91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 ht="15.75" customHeight="1">
      <c r="A173" s="2"/>
      <c r="B173" s="182"/>
      <c r="C173" s="3"/>
      <c r="D173" s="2"/>
      <c r="E173" s="3"/>
      <c r="F173" s="2"/>
      <c r="G173" s="2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91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 ht="15.75" customHeight="1">
      <c r="A174" s="2"/>
      <c r="B174" s="182"/>
      <c r="C174" s="3"/>
      <c r="D174" s="2"/>
      <c r="E174" s="3"/>
      <c r="F174" s="2"/>
      <c r="G174" s="2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91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 ht="15.75" customHeight="1">
      <c r="A175" s="2"/>
      <c r="B175" s="182"/>
      <c r="C175" s="3"/>
      <c r="D175" s="2"/>
      <c r="E175" s="3"/>
      <c r="F175" s="2"/>
      <c r="G175" s="2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91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 ht="15.75" customHeight="1">
      <c r="A176" s="2"/>
      <c r="B176" s="182"/>
      <c r="C176" s="3"/>
      <c r="D176" s="2"/>
      <c r="E176" s="3"/>
      <c r="F176" s="2"/>
      <c r="G176" s="2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91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 ht="15.75" customHeight="1">
      <c r="A177" s="2"/>
      <c r="B177" s="182"/>
      <c r="C177" s="3"/>
      <c r="D177" s="2"/>
      <c r="E177" s="3"/>
      <c r="F177" s="2"/>
      <c r="G177" s="2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91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 ht="15.75" customHeight="1">
      <c r="A178" s="2"/>
      <c r="B178" s="182"/>
      <c r="C178" s="3"/>
      <c r="D178" s="2"/>
      <c r="E178" s="3"/>
      <c r="F178" s="2"/>
      <c r="G178" s="2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91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 ht="15.75" customHeight="1">
      <c r="A179" s="2"/>
      <c r="B179" s="182"/>
      <c r="C179" s="3"/>
      <c r="D179" s="2"/>
      <c r="E179" s="3"/>
      <c r="F179" s="2"/>
      <c r="G179" s="2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91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 ht="15.75" customHeight="1">
      <c r="A180" s="2"/>
      <c r="B180" s="182"/>
      <c r="C180" s="3"/>
      <c r="D180" s="2"/>
      <c r="E180" s="3"/>
      <c r="F180" s="2"/>
      <c r="G180" s="2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91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 ht="15.75" customHeight="1">
      <c r="A181" s="2"/>
      <c r="B181" s="182"/>
      <c r="C181" s="3"/>
      <c r="D181" s="2"/>
      <c r="E181" s="3"/>
      <c r="F181" s="2"/>
      <c r="G181" s="2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91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 ht="15.75" customHeight="1">
      <c r="A182" s="2"/>
      <c r="B182" s="182"/>
      <c r="C182" s="3"/>
      <c r="D182" s="2"/>
      <c r="E182" s="3"/>
      <c r="F182" s="2"/>
      <c r="G182" s="2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91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 ht="15.75" customHeight="1">
      <c r="A183" s="2"/>
      <c r="B183" s="182"/>
      <c r="C183" s="3"/>
      <c r="D183" s="2"/>
      <c r="E183" s="3"/>
      <c r="F183" s="2"/>
      <c r="G183" s="2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91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 ht="15.75" customHeight="1">
      <c r="A184" s="2"/>
      <c r="B184" s="182"/>
      <c r="C184" s="3"/>
      <c r="D184" s="2"/>
      <c r="E184" s="3"/>
      <c r="F184" s="2"/>
      <c r="G184" s="2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91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 ht="15.75" customHeight="1">
      <c r="A185" s="2"/>
      <c r="B185" s="182"/>
      <c r="C185" s="3"/>
      <c r="D185" s="2"/>
      <c r="E185" s="3"/>
      <c r="F185" s="2"/>
      <c r="G185" s="2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91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 ht="15.75" customHeight="1">
      <c r="A186" s="2"/>
      <c r="B186" s="182"/>
      <c r="C186" s="3"/>
      <c r="D186" s="2"/>
      <c r="E186" s="3"/>
      <c r="F186" s="2"/>
      <c r="G186" s="2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91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 ht="15.75" customHeight="1">
      <c r="A187" s="2"/>
      <c r="B187" s="182"/>
      <c r="C187" s="3"/>
      <c r="D187" s="2"/>
      <c r="E187" s="3"/>
      <c r="F187" s="2"/>
      <c r="G187" s="2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91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 ht="15.75" customHeight="1">
      <c r="A188" s="2"/>
      <c r="B188" s="182"/>
      <c r="C188" s="3"/>
      <c r="D188" s="2"/>
      <c r="E188" s="3"/>
      <c r="F188" s="2"/>
      <c r="G188" s="2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91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 ht="15.75" customHeight="1">
      <c r="A189" s="2"/>
      <c r="B189" s="182"/>
      <c r="C189" s="3"/>
      <c r="D189" s="2"/>
      <c r="E189" s="3"/>
      <c r="F189" s="2"/>
      <c r="G189" s="2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91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 ht="15.75" customHeight="1">
      <c r="A190" s="2"/>
      <c r="B190" s="182"/>
      <c r="C190" s="3"/>
      <c r="D190" s="2"/>
      <c r="E190" s="3"/>
      <c r="F190" s="2"/>
      <c r="G190" s="2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91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 ht="15.75" customHeight="1">
      <c r="A191" s="2"/>
      <c r="B191" s="182"/>
      <c r="C191" s="3"/>
      <c r="D191" s="2"/>
      <c r="E191" s="3"/>
      <c r="F191" s="2"/>
      <c r="G191" s="2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91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 ht="15.75" customHeight="1">
      <c r="A192" s="2"/>
      <c r="B192" s="182"/>
      <c r="C192" s="3"/>
      <c r="D192" s="2"/>
      <c r="E192" s="3"/>
      <c r="F192" s="2"/>
      <c r="G192" s="2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91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 ht="15.75" customHeight="1">
      <c r="A193" s="2"/>
      <c r="B193" s="182"/>
      <c r="C193" s="3"/>
      <c r="D193" s="2"/>
      <c r="E193" s="3"/>
      <c r="F193" s="2"/>
      <c r="G193" s="2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91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 ht="15.75" customHeight="1">
      <c r="A194" s="2"/>
      <c r="B194" s="182"/>
      <c r="C194" s="3"/>
      <c r="D194" s="2"/>
      <c r="E194" s="3"/>
      <c r="F194" s="2"/>
      <c r="G194" s="2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91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 ht="15.75" customHeight="1">
      <c r="A195" s="2"/>
      <c r="B195" s="182"/>
      <c r="C195" s="3"/>
      <c r="D195" s="2"/>
      <c r="E195" s="3"/>
      <c r="F195" s="2"/>
      <c r="G195" s="2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91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 ht="15.75" customHeight="1">
      <c r="A196" s="2"/>
      <c r="B196" s="182"/>
      <c r="C196" s="3"/>
      <c r="D196" s="2"/>
      <c r="E196" s="3"/>
      <c r="F196" s="2"/>
      <c r="G196" s="2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91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 ht="15.75" customHeight="1">
      <c r="A197" s="2"/>
      <c r="B197" s="182"/>
      <c r="C197" s="3"/>
      <c r="D197" s="2"/>
      <c r="E197" s="3"/>
      <c r="F197" s="2"/>
      <c r="G197" s="2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91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 ht="15.75" customHeight="1">
      <c r="A198" s="2"/>
      <c r="B198" s="182"/>
      <c r="C198" s="3"/>
      <c r="D198" s="2"/>
      <c r="E198" s="3"/>
      <c r="F198" s="2"/>
      <c r="G198" s="2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91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 ht="15.75" customHeight="1">
      <c r="A199" s="2"/>
      <c r="B199" s="182"/>
      <c r="C199" s="3"/>
      <c r="D199" s="2"/>
      <c r="E199" s="3"/>
      <c r="F199" s="2"/>
      <c r="G199" s="2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91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 ht="15.75" customHeight="1">
      <c r="A200" s="2"/>
      <c r="B200" s="182"/>
      <c r="C200" s="3"/>
      <c r="D200" s="2"/>
      <c r="E200" s="3"/>
      <c r="F200" s="2"/>
      <c r="G200" s="2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91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 ht="15.75" customHeight="1">
      <c r="A201" s="2"/>
      <c r="B201" s="182"/>
      <c r="C201" s="3"/>
      <c r="D201" s="2"/>
      <c r="E201" s="3"/>
      <c r="F201" s="2"/>
      <c r="G201" s="2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91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 ht="15.75" customHeight="1">
      <c r="A202" s="2"/>
      <c r="B202" s="182"/>
      <c r="C202" s="3"/>
      <c r="D202" s="2"/>
      <c r="E202" s="3"/>
      <c r="F202" s="2"/>
      <c r="G202" s="2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91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 ht="15.75" customHeight="1">
      <c r="A203" s="2"/>
      <c r="B203" s="182"/>
      <c r="C203" s="3"/>
      <c r="D203" s="2"/>
      <c r="E203" s="3"/>
      <c r="F203" s="2"/>
      <c r="G203" s="2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91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 ht="15.75" customHeight="1">
      <c r="A204" s="2"/>
      <c r="B204" s="182"/>
      <c r="C204" s="3"/>
      <c r="D204" s="2"/>
      <c r="E204" s="3"/>
      <c r="F204" s="2"/>
      <c r="G204" s="2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91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 ht="15.75" customHeight="1">
      <c r="A205" s="2"/>
      <c r="B205" s="182"/>
      <c r="C205" s="3"/>
      <c r="D205" s="2"/>
      <c r="E205" s="3"/>
      <c r="F205" s="2"/>
      <c r="G205" s="2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91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 ht="15.75" customHeight="1">
      <c r="A206" s="2"/>
      <c r="B206" s="182"/>
      <c r="C206" s="3"/>
      <c r="D206" s="2"/>
      <c r="E206" s="3"/>
      <c r="F206" s="2"/>
      <c r="G206" s="2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91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 ht="15.75" customHeight="1">
      <c r="A207" s="2"/>
      <c r="B207" s="182"/>
      <c r="C207" s="3"/>
      <c r="D207" s="2"/>
      <c r="E207" s="3"/>
      <c r="F207" s="2"/>
      <c r="G207" s="2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91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 ht="15.75" customHeight="1">
      <c r="A208" s="2"/>
      <c r="B208" s="182"/>
      <c r="C208" s="3"/>
      <c r="D208" s="2"/>
      <c r="E208" s="3"/>
      <c r="F208" s="2"/>
      <c r="G208" s="2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91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 ht="15.75" customHeight="1">
      <c r="A209" s="2"/>
      <c r="B209" s="182"/>
      <c r="C209" s="3"/>
      <c r="D209" s="2"/>
      <c r="E209" s="3"/>
      <c r="F209" s="2"/>
      <c r="G209" s="2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91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 ht="15.75" customHeight="1">
      <c r="A210" s="2"/>
      <c r="B210" s="182"/>
      <c r="C210" s="3"/>
      <c r="D210" s="2"/>
      <c r="E210" s="3"/>
      <c r="F210" s="2"/>
      <c r="G210" s="2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91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 ht="15.75" customHeight="1">
      <c r="A211" s="2"/>
      <c r="B211" s="182"/>
      <c r="C211" s="3"/>
      <c r="D211" s="2"/>
      <c r="E211" s="3"/>
      <c r="F211" s="2"/>
      <c r="G211" s="2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91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 ht="15.75" customHeight="1">
      <c r="A212" s="2"/>
      <c r="B212" s="182"/>
      <c r="C212" s="3"/>
      <c r="D212" s="2"/>
      <c r="E212" s="3"/>
      <c r="F212" s="2"/>
      <c r="G212" s="2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91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 ht="15.75" customHeight="1">
      <c r="A213" s="2"/>
      <c r="B213" s="182"/>
      <c r="C213" s="3"/>
      <c r="D213" s="2"/>
      <c r="E213" s="3"/>
      <c r="F213" s="2"/>
      <c r="G213" s="2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91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 ht="15.75" customHeight="1">
      <c r="A214" s="2"/>
      <c r="B214" s="182"/>
      <c r="C214" s="3"/>
      <c r="D214" s="2"/>
      <c r="E214" s="3"/>
      <c r="F214" s="2"/>
      <c r="G214" s="2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91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 ht="15.75" customHeight="1">
      <c r="A215" s="2"/>
      <c r="B215" s="182"/>
      <c r="C215" s="3"/>
      <c r="D215" s="2"/>
      <c r="E215" s="3"/>
      <c r="F215" s="2"/>
      <c r="G215" s="2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91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 ht="15.75" customHeight="1">
      <c r="A216" s="2"/>
      <c r="B216" s="182"/>
      <c r="C216" s="3"/>
      <c r="D216" s="2"/>
      <c r="E216" s="3"/>
      <c r="F216" s="2"/>
      <c r="G216" s="2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91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 ht="15.75" customHeight="1">
      <c r="A217" s="2"/>
      <c r="B217" s="182"/>
      <c r="C217" s="3"/>
      <c r="D217" s="2"/>
      <c r="E217" s="3"/>
      <c r="F217" s="2"/>
      <c r="G217" s="2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91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 ht="15.75" customHeight="1">
      <c r="A218" s="2"/>
      <c r="B218" s="182"/>
      <c r="C218" s="3"/>
      <c r="D218" s="2"/>
      <c r="E218" s="3"/>
      <c r="F218" s="2"/>
      <c r="G218" s="2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91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 ht="15.75" customHeight="1">
      <c r="A219" s="2"/>
      <c r="B219" s="182"/>
      <c r="C219" s="3"/>
      <c r="D219" s="2"/>
      <c r="E219" s="3"/>
      <c r="F219" s="2"/>
      <c r="G219" s="2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91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 ht="15.75" customHeight="1">
      <c r="A220" s="2"/>
      <c r="B220" s="182"/>
      <c r="C220" s="3"/>
      <c r="D220" s="2"/>
      <c r="E220" s="3"/>
      <c r="F220" s="2"/>
      <c r="G220" s="2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91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 ht="15.75" customHeight="1">
      <c r="A221" s="2"/>
      <c r="B221" s="182"/>
      <c r="C221" s="3"/>
      <c r="D221" s="2"/>
      <c r="E221" s="3"/>
      <c r="F221" s="2"/>
      <c r="G221" s="2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91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 ht="15.75" customHeight="1">
      <c r="A222" s="2"/>
      <c r="B222" s="182"/>
      <c r="C222" s="3"/>
      <c r="D222" s="2"/>
      <c r="E222" s="3"/>
      <c r="F222" s="2"/>
      <c r="G222" s="2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91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 ht="15.75" customHeight="1">
      <c r="A223" s="2"/>
      <c r="B223" s="182"/>
      <c r="C223" s="3"/>
      <c r="D223" s="2"/>
      <c r="E223" s="3"/>
      <c r="F223" s="2"/>
      <c r="G223" s="2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91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</row>
    <row r="224" ht="15.75" customHeight="1">
      <c r="A224" s="2"/>
      <c r="B224" s="182"/>
      <c r="C224" s="3"/>
      <c r="D224" s="2"/>
      <c r="E224" s="3"/>
      <c r="F224" s="2"/>
      <c r="G224" s="2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91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 ht="15.75" customHeight="1">
      <c r="A225" s="2"/>
      <c r="B225" s="182"/>
      <c r="C225" s="3"/>
      <c r="D225" s="2"/>
      <c r="E225" s="3"/>
      <c r="F225" s="2"/>
      <c r="G225" s="2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91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 ht="15.75" customHeight="1">
      <c r="A226" s="2"/>
      <c r="B226" s="182"/>
      <c r="C226" s="3"/>
      <c r="D226" s="2"/>
      <c r="E226" s="3"/>
      <c r="F226" s="2"/>
      <c r="G226" s="2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91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 ht="15.75" customHeight="1">
      <c r="A227" s="2"/>
      <c r="B227" s="182"/>
      <c r="C227" s="3"/>
      <c r="D227" s="2"/>
      <c r="E227" s="3"/>
      <c r="F227" s="2"/>
      <c r="G227" s="2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91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 ht="15.75" customHeight="1">
      <c r="A228" s="2"/>
      <c r="B228" s="182"/>
      <c r="C228" s="3"/>
      <c r="D228" s="2"/>
      <c r="E228" s="3"/>
      <c r="F228" s="2"/>
      <c r="G228" s="2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91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 ht="15.75" customHeight="1">
      <c r="A229" s="2"/>
      <c r="B229" s="182"/>
      <c r="C229" s="3"/>
      <c r="D229" s="2"/>
      <c r="E229" s="3"/>
      <c r="F229" s="2"/>
      <c r="G229" s="2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91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</row>
    <row r="230" ht="15.75" customHeight="1">
      <c r="A230" s="2"/>
      <c r="B230" s="182"/>
      <c r="C230" s="3"/>
      <c r="D230" s="2"/>
      <c r="E230" s="3"/>
      <c r="F230" s="2"/>
      <c r="G230" s="2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91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</row>
    <row r="231" ht="15.75" customHeight="1">
      <c r="A231" s="2"/>
      <c r="B231" s="182"/>
      <c r="C231" s="3"/>
      <c r="D231" s="2"/>
      <c r="E231" s="3"/>
      <c r="F231" s="2"/>
      <c r="G231" s="2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91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</row>
    <row r="232" ht="15.75" customHeight="1">
      <c r="A232" s="2"/>
      <c r="B232" s="182"/>
      <c r="C232" s="3"/>
      <c r="D232" s="2"/>
      <c r="E232" s="3"/>
      <c r="F232" s="2"/>
      <c r="G232" s="2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91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</row>
    <row r="233" ht="15.75" customHeight="1">
      <c r="A233" s="2"/>
      <c r="B233" s="182"/>
      <c r="C233" s="3"/>
      <c r="D233" s="2"/>
      <c r="E233" s="3"/>
      <c r="F233" s="2"/>
      <c r="G233" s="2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91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 ht="15.75" customHeight="1">
      <c r="A234" s="2"/>
      <c r="B234" s="182"/>
      <c r="C234" s="3"/>
      <c r="D234" s="2"/>
      <c r="E234" s="3"/>
      <c r="F234" s="2"/>
      <c r="G234" s="2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91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 ht="15.75" customHeight="1">
      <c r="A235" s="2"/>
      <c r="B235" s="182"/>
      <c r="C235" s="3"/>
      <c r="D235" s="2"/>
      <c r="E235" s="3"/>
      <c r="F235" s="2"/>
      <c r="G235" s="2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91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 ht="15.75" customHeight="1">
      <c r="A236" s="2"/>
      <c r="B236" s="182"/>
      <c r="C236" s="3"/>
      <c r="D236" s="2"/>
      <c r="E236" s="3"/>
      <c r="F236" s="2"/>
      <c r="G236" s="2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91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 ht="15.75" customHeight="1">
      <c r="A237" s="2"/>
      <c r="B237" s="182"/>
      <c r="C237" s="3"/>
      <c r="D237" s="2"/>
      <c r="E237" s="3"/>
      <c r="F237" s="2"/>
      <c r="G237" s="2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91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 ht="15.75" customHeight="1">
      <c r="A238" s="2"/>
      <c r="B238" s="182"/>
      <c r="C238" s="3"/>
      <c r="D238" s="2"/>
      <c r="E238" s="3"/>
      <c r="F238" s="2"/>
      <c r="G238" s="2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91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 ht="15.75" customHeight="1">
      <c r="A239" s="2"/>
      <c r="B239" s="182"/>
      <c r="C239" s="3"/>
      <c r="D239" s="2"/>
      <c r="E239" s="3"/>
      <c r="F239" s="2"/>
      <c r="G239" s="2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91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 ht="15.75" customHeight="1">
      <c r="A240" s="2"/>
      <c r="B240" s="182"/>
      <c r="C240" s="3"/>
      <c r="D240" s="2"/>
      <c r="E240" s="3"/>
      <c r="F240" s="2"/>
      <c r="G240" s="2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91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 ht="15.75" customHeight="1">
      <c r="A241" s="2"/>
      <c r="B241" s="182"/>
      <c r="C241" s="3"/>
      <c r="D241" s="2"/>
      <c r="E241" s="3"/>
      <c r="F241" s="2"/>
      <c r="G241" s="2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91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 ht="15.75" customHeight="1">
      <c r="A242" s="2"/>
      <c r="B242" s="182"/>
      <c r="C242" s="3"/>
      <c r="D242" s="2"/>
      <c r="E242" s="3"/>
      <c r="F242" s="2"/>
      <c r="G242" s="2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91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  <row r="243" ht="15.75" customHeight="1">
      <c r="A243" s="2"/>
      <c r="B243" s="182"/>
      <c r="C243" s="3"/>
      <c r="D243" s="2"/>
      <c r="E243" s="3"/>
      <c r="F243" s="2"/>
      <c r="G243" s="2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91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</row>
    <row r="244" ht="15.75" customHeight="1">
      <c r="A244" s="2"/>
      <c r="B244" s="182"/>
      <c r="C244" s="3"/>
      <c r="D244" s="2"/>
      <c r="E244" s="3"/>
      <c r="F244" s="2"/>
      <c r="G244" s="2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91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</row>
    <row r="245" ht="15.75" customHeight="1">
      <c r="A245" s="2"/>
      <c r="B245" s="182"/>
      <c r="C245" s="3"/>
      <c r="D245" s="2"/>
      <c r="E245" s="3"/>
      <c r="F245" s="2"/>
      <c r="G245" s="2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91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</row>
    <row r="246" ht="15.75" customHeight="1">
      <c r="A246" s="2"/>
      <c r="B246" s="182"/>
      <c r="C246" s="3"/>
      <c r="D246" s="2"/>
      <c r="E246" s="3"/>
      <c r="F246" s="2"/>
      <c r="G246" s="2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91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</row>
    <row r="247" ht="15.75" customHeight="1">
      <c r="A247" s="2"/>
      <c r="B247" s="182"/>
      <c r="C247" s="3"/>
      <c r="D247" s="2"/>
      <c r="E247" s="3"/>
      <c r="F247" s="2"/>
      <c r="G247" s="2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91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</row>
    <row r="248" ht="15.75" customHeight="1">
      <c r="A248" s="2"/>
      <c r="B248" s="182"/>
      <c r="C248" s="3"/>
      <c r="D248" s="2"/>
      <c r="E248" s="3"/>
      <c r="F248" s="2"/>
      <c r="G248" s="2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91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</row>
    <row r="249" ht="15.75" customHeight="1">
      <c r="A249" s="2"/>
      <c r="B249" s="182"/>
      <c r="C249" s="3"/>
      <c r="D249" s="2"/>
      <c r="E249" s="3"/>
      <c r="F249" s="2"/>
      <c r="G249" s="2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91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</row>
    <row r="250" ht="15.75" customHeight="1">
      <c r="A250" s="2"/>
      <c r="B250" s="182"/>
      <c r="C250" s="3"/>
      <c r="D250" s="2"/>
      <c r="E250" s="3"/>
      <c r="F250" s="2"/>
      <c r="G250" s="2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91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</row>
    <row r="251" ht="15.75" customHeight="1">
      <c r="A251" s="2"/>
      <c r="B251" s="182"/>
      <c r="C251" s="3"/>
      <c r="D251" s="2"/>
      <c r="E251" s="3"/>
      <c r="F251" s="2"/>
      <c r="G251" s="2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91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</row>
    <row r="252" ht="15.75" customHeight="1">
      <c r="A252" s="2"/>
      <c r="B252" s="182"/>
      <c r="C252" s="3"/>
      <c r="D252" s="2"/>
      <c r="E252" s="3"/>
      <c r="F252" s="2"/>
      <c r="G252" s="2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91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 ht="15.75" customHeight="1">
      <c r="A253" s="2"/>
      <c r="B253" s="182"/>
      <c r="C253" s="3"/>
      <c r="D253" s="2"/>
      <c r="E253" s="3"/>
      <c r="F253" s="2"/>
      <c r="G253" s="2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91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 ht="15.75" customHeight="1">
      <c r="A254" s="2"/>
      <c r="B254" s="182"/>
      <c r="C254" s="3"/>
      <c r="D254" s="2"/>
      <c r="E254" s="3"/>
      <c r="F254" s="2"/>
      <c r="G254" s="2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91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 ht="15.75" customHeight="1">
      <c r="A255" s="2"/>
      <c r="B255" s="182"/>
      <c r="C255" s="3"/>
      <c r="D255" s="2"/>
      <c r="E255" s="3"/>
      <c r="F255" s="2"/>
      <c r="G255" s="2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91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 ht="15.75" customHeight="1">
      <c r="A256" s="2"/>
      <c r="B256" s="182"/>
      <c r="C256" s="3"/>
      <c r="D256" s="2"/>
      <c r="E256" s="3"/>
      <c r="F256" s="2"/>
      <c r="G256" s="2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91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 ht="15.75" customHeight="1">
      <c r="A257" s="2"/>
      <c r="B257" s="182"/>
      <c r="C257" s="3"/>
      <c r="D257" s="2"/>
      <c r="E257" s="3"/>
      <c r="F257" s="2"/>
      <c r="G257" s="2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91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</row>
    <row r="258" ht="15.75" customHeight="1">
      <c r="A258" s="2"/>
      <c r="B258" s="182"/>
      <c r="C258" s="3"/>
      <c r="D258" s="2"/>
      <c r="E258" s="3"/>
      <c r="F258" s="2"/>
      <c r="G258" s="2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91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</row>
    <row r="259" ht="15.75" customHeight="1">
      <c r="A259" s="2"/>
      <c r="B259" s="182"/>
      <c r="C259" s="3"/>
      <c r="D259" s="2"/>
      <c r="E259" s="3"/>
      <c r="F259" s="2"/>
      <c r="G259" s="2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91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</row>
    <row r="260" ht="15.75" customHeight="1">
      <c r="A260" s="2"/>
      <c r="B260" s="182"/>
      <c r="C260" s="3"/>
      <c r="D260" s="2"/>
      <c r="E260" s="3"/>
      <c r="F260" s="2"/>
      <c r="G260" s="2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91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</row>
    <row r="261" ht="15.75" customHeight="1">
      <c r="A261" s="2"/>
      <c r="B261" s="182"/>
      <c r="C261" s="3"/>
      <c r="D261" s="2"/>
      <c r="E261" s="3"/>
      <c r="F261" s="2"/>
      <c r="G261" s="2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91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</row>
    <row r="262" ht="15.75" customHeight="1">
      <c r="A262" s="2"/>
      <c r="B262" s="182"/>
      <c r="C262" s="3"/>
      <c r="D262" s="2"/>
      <c r="E262" s="3"/>
      <c r="F262" s="2"/>
      <c r="G262" s="2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91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</row>
    <row r="263" ht="15.75" customHeight="1">
      <c r="A263" s="2"/>
      <c r="B263" s="182"/>
      <c r="C263" s="3"/>
      <c r="D263" s="2"/>
      <c r="E263" s="3"/>
      <c r="F263" s="2"/>
      <c r="G263" s="2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91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</row>
    <row r="264" ht="15.75" customHeight="1">
      <c r="A264" s="2"/>
      <c r="B264" s="182"/>
      <c r="C264" s="3"/>
      <c r="D264" s="2"/>
      <c r="E264" s="3"/>
      <c r="F264" s="2"/>
      <c r="G264" s="2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91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</row>
    <row r="265" ht="15.75" customHeight="1">
      <c r="A265" s="2"/>
      <c r="B265" s="182"/>
      <c r="C265" s="3"/>
      <c r="D265" s="2"/>
      <c r="E265" s="3"/>
      <c r="F265" s="2"/>
      <c r="G265" s="2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91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</row>
    <row r="266" ht="15.75" customHeight="1">
      <c r="A266" s="2"/>
      <c r="B266" s="182"/>
      <c r="C266" s="3"/>
      <c r="D266" s="2"/>
      <c r="E266" s="3"/>
      <c r="F266" s="2"/>
      <c r="G266" s="2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91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 ht="15.75" customHeight="1">
      <c r="A267" s="2"/>
      <c r="B267" s="182"/>
      <c r="C267" s="3"/>
      <c r="D267" s="2"/>
      <c r="E267" s="3"/>
      <c r="F267" s="2"/>
      <c r="G267" s="2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91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 ht="15.75" customHeight="1">
      <c r="A268" s="2"/>
      <c r="B268" s="182"/>
      <c r="C268" s="3"/>
      <c r="D268" s="2"/>
      <c r="E268" s="3"/>
      <c r="F268" s="2"/>
      <c r="G268" s="2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91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 ht="15.75" customHeight="1">
      <c r="A269" s="2"/>
      <c r="B269" s="182"/>
      <c r="C269" s="3"/>
      <c r="D269" s="2"/>
      <c r="E269" s="3"/>
      <c r="F269" s="2"/>
      <c r="G269" s="2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91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</row>
    <row r="270" ht="15.75" customHeight="1">
      <c r="A270" s="2"/>
      <c r="B270" s="182"/>
      <c r="C270" s="3"/>
      <c r="D270" s="2"/>
      <c r="E270" s="3"/>
      <c r="F270" s="2"/>
      <c r="G270" s="2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91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</row>
    <row r="271" ht="15.75" customHeight="1">
      <c r="A271" s="2"/>
      <c r="B271" s="182"/>
      <c r="C271" s="3"/>
      <c r="D271" s="2"/>
      <c r="E271" s="3"/>
      <c r="F271" s="2"/>
      <c r="G271" s="2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91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</row>
    <row r="272" ht="15.75" customHeight="1">
      <c r="A272" s="2"/>
      <c r="B272" s="182"/>
      <c r="C272" s="3"/>
      <c r="D272" s="2"/>
      <c r="E272" s="3"/>
      <c r="F272" s="2"/>
      <c r="G272" s="2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91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</row>
    <row r="273" ht="15.75" customHeight="1">
      <c r="A273" s="2"/>
      <c r="B273" s="182"/>
      <c r="C273" s="3"/>
      <c r="D273" s="2"/>
      <c r="E273" s="3"/>
      <c r="F273" s="2"/>
      <c r="G273" s="2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91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</row>
    <row r="274" ht="15.75" customHeight="1">
      <c r="A274" s="2"/>
      <c r="B274" s="182"/>
      <c r="C274" s="3"/>
      <c r="D274" s="2"/>
      <c r="E274" s="3"/>
      <c r="F274" s="2"/>
      <c r="G274" s="2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91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</row>
    <row r="275" ht="15.75" customHeight="1">
      <c r="A275" s="2"/>
      <c r="B275" s="182"/>
      <c r="C275" s="3"/>
      <c r="D275" s="2"/>
      <c r="E275" s="3"/>
      <c r="F275" s="2"/>
      <c r="G275" s="2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91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</row>
    <row r="276" ht="15.75" customHeight="1">
      <c r="A276" s="2"/>
      <c r="B276" s="182"/>
      <c r="C276" s="3"/>
      <c r="D276" s="2"/>
      <c r="E276" s="3"/>
      <c r="F276" s="2"/>
      <c r="G276" s="2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91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</row>
    <row r="277" ht="15.75" customHeight="1">
      <c r="A277" s="2"/>
      <c r="B277" s="182"/>
      <c r="C277" s="3"/>
      <c r="D277" s="2"/>
      <c r="E277" s="3"/>
      <c r="F277" s="2"/>
      <c r="G277" s="2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91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</row>
    <row r="278" ht="15.75" customHeight="1">
      <c r="A278" s="2"/>
      <c r="B278" s="182"/>
      <c r="C278" s="3"/>
      <c r="D278" s="2"/>
      <c r="E278" s="3"/>
      <c r="F278" s="2"/>
      <c r="G278" s="2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91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</row>
    <row r="279" ht="15.75" customHeight="1">
      <c r="A279" s="2"/>
      <c r="B279" s="182"/>
      <c r="C279" s="3"/>
      <c r="D279" s="2"/>
      <c r="E279" s="3"/>
      <c r="F279" s="2"/>
      <c r="G279" s="2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91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</row>
    <row r="280" ht="15.75" customHeight="1">
      <c r="A280" s="2"/>
      <c r="B280" s="182"/>
      <c r="C280" s="3"/>
      <c r="D280" s="2"/>
      <c r="E280" s="3"/>
      <c r="F280" s="2"/>
      <c r="G280" s="2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91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</row>
    <row r="281" ht="15.75" customHeight="1">
      <c r="A281" s="2"/>
      <c r="B281" s="182"/>
      <c r="C281" s="3"/>
      <c r="D281" s="2"/>
      <c r="E281" s="3"/>
      <c r="F281" s="2"/>
      <c r="G281" s="2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91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</row>
    <row r="282" ht="15.75" customHeight="1">
      <c r="A282" s="2"/>
      <c r="B282" s="182"/>
      <c r="C282" s="3"/>
      <c r="D282" s="2"/>
      <c r="E282" s="3"/>
      <c r="F282" s="2"/>
      <c r="G282" s="2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91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ht="15.75" customHeight="1">
      <c r="A283" s="2"/>
      <c r="B283" s="182"/>
      <c r="C283" s="3"/>
      <c r="D283" s="2"/>
      <c r="E283" s="3"/>
      <c r="F283" s="2"/>
      <c r="G283" s="2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91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ht="15.75" customHeight="1">
      <c r="A284" s="2"/>
      <c r="B284" s="182"/>
      <c r="C284" s="3"/>
      <c r="D284" s="2"/>
      <c r="E284" s="3"/>
      <c r="F284" s="2"/>
      <c r="G284" s="2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91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ht="15.75" customHeight="1">
      <c r="A285" s="2"/>
      <c r="B285" s="182"/>
      <c r="C285" s="3"/>
      <c r="D285" s="2"/>
      <c r="E285" s="3"/>
      <c r="F285" s="2"/>
      <c r="G285" s="2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91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ht="15.75" customHeight="1">
      <c r="A286" s="2"/>
      <c r="B286" s="182"/>
      <c r="C286" s="3"/>
      <c r="D286" s="2"/>
      <c r="E286" s="3"/>
      <c r="F286" s="2"/>
      <c r="G286" s="2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91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ht="15.75" customHeight="1">
      <c r="A287" s="2"/>
      <c r="B287" s="182"/>
      <c r="C287" s="3"/>
      <c r="D287" s="2"/>
      <c r="E287" s="3"/>
      <c r="F287" s="2"/>
      <c r="G287" s="2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91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</row>
    <row r="288" ht="15.75" customHeight="1">
      <c r="A288" s="2"/>
      <c r="B288" s="182"/>
      <c r="C288" s="3"/>
      <c r="D288" s="2"/>
      <c r="E288" s="3"/>
      <c r="F288" s="2"/>
      <c r="G288" s="2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91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</row>
    <row r="289" ht="15.75" customHeight="1">
      <c r="A289" s="2"/>
      <c r="B289" s="182"/>
      <c r="C289" s="3"/>
      <c r="D289" s="2"/>
      <c r="E289" s="3"/>
      <c r="F289" s="2"/>
      <c r="G289" s="2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91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</row>
    <row r="290" ht="15.75" customHeight="1">
      <c r="A290" s="2"/>
      <c r="B290" s="182"/>
      <c r="C290" s="3"/>
      <c r="D290" s="2"/>
      <c r="E290" s="3"/>
      <c r="F290" s="2"/>
      <c r="G290" s="2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91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</row>
    <row r="291" ht="15.75" customHeight="1">
      <c r="A291" s="2"/>
      <c r="B291" s="182"/>
      <c r="C291" s="3"/>
      <c r="D291" s="2"/>
      <c r="E291" s="3"/>
      <c r="F291" s="2"/>
      <c r="G291" s="2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91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</row>
    <row r="292" ht="15.75" customHeight="1">
      <c r="A292" s="2"/>
      <c r="B292" s="182"/>
      <c r="C292" s="3"/>
      <c r="D292" s="2"/>
      <c r="E292" s="3"/>
      <c r="F292" s="2"/>
      <c r="G292" s="2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91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</row>
    <row r="293" ht="15.75" customHeight="1">
      <c r="A293" s="2"/>
      <c r="B293" s="182"/>
      <c r="C293" s="3"/>
      <c r="D293" s="2"/>
      <c r="E293" s="3"/>
      <c r="F293" s="2"/>
      <c r="G293" s="2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91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</row>
    <row r="294" ht="15.75" customHeight="1">
      <c r="A294" s="2"/>
      <c r="B294" s="182"/>
      <c r="C294" s="3"/>
      <c r="D294" s="2"/>
      <c r="E294" s="3"/>
      <c r="F294" s="2"/>
      <c r="G294" s="2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91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</row>
    <row r="295" ht="15.75" customHeight="1">
      <c r="A295" s="2"/>
      <c r="B295" s="182"/>
      <c r="C295" s="3"/>
      <c r="D295" s="2"/>
      <c r="E295" s="3"/>
      <c r="F295" s="2"/>
      <c r="G295" s="2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91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</row>
    <row r="296" ht="15.75" customHeight="1">
      <c r="A296" s="2"/>
      <c r="B296" s="182"/>
      <c r="C296" s="3"/>
      <c r="D296" s="2"/>
      <c r="E296" s="3"/>
      <c r="F296" s="2"/>
      <c r="G296" s="2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91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</row>
    <row r="297" ht="15.75" customHeight="1">
      <c r="A297" s="2"/>
      <c r="B297" s="182"/>
      <c r="C297" s="3"/>
      <c r="D297" s="2"/>
      <c r="E297" s="3"/>
      <c r="F297" s="2"/>
      <c r="G297" s="2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91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</row>
    <row r="298" ht="15.75" customHeight="1">
      <c r="A298" s="2"/>
      <c r="B298" s="182"/>
      <c r="C298" s="3"/>
      <c r="D298" s="2"/>
      <c r="E298" s="3"/>
      <c r="F298" s="2"/>
      <c r="G298" s="2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91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</row>
    <row r="299" ht="15.75" customHeight="1">
      <c r="A299" s="2"/>
      <c r="B299" s="182"/>
      <c r="C299" s="3"/>
      <c r="D299" s="2"/>
      <c r="E299" s="3"/>
      <c r="F299" s="2"/>
      <c r="G299" s="2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91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</row>
    <row r="300" ht="15.75" customHeight="1">
      <c r="A300" s="2"/>
      <c r="B300" s="182"/>
      <c r="C300" s="3"/>
      <c r="D300" s="2"/>
      <c r="E300" s="3"/>
      <c r="F300" s="2"/>
      <c r="G300" s="2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91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</row>
    <row r="301" ht="15.75" customHeight="1">
      <c r="A301" s="2"/>
      <c r="B301" s="182"/>
      <c r="C301" s="3"/>
      <c r="D301" s="2"/>
      <c r="E301" s="3"/>
      <c r="F301" s="2"/>
      <c r="G301" s="2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91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</row>
    <row r="302" ht="15.75" customHeight="1">
      <c r="A302" s="2"/>
      <c r="B302" s="182"/>
      <c r="C302" s="3"/>
      <c r="D302" s="2"/>
      <c r="E302" s="3"/>
      <c r="F302" s="2"/>
      <c r="G302" s="2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91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</row>
    <row r="303" ht="15.75" customHeight="1">
      <c r="A303" s="2"/>
      <c r="B303" s="182"/>
      <c r="C303" s="3"/>
      <c r="D303" s="2"/>
      <c r="E303" s="3"/>
      <c r="F303" s="2"/>
      <c r="G303" s="2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91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</row>
    <row r="304" ht="15.75" customHeight="1">
      <c r="A304" s="2"/>
      <c r="B304" s="182"/>
      <c r="C304" s="3"/>
      <c r="D304" s="2"/>
      <c r="E304" s="3"/>
      <c r="F304" s="2"/>
      <c r="G304" s="2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91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</row>
    <row r="305" ht="15.75" customHeight="1">
      <c r="A305" s="2"/>
      <c r="B305" s="182"/>
      <c r="C305" s="3"/>
      <c r="D305" s="2"/>
      <c r="E305" s="3"/>
      <c r="F305" s="2"/>
      <c r="G305" s="2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91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</row>
    <row r="306" ht="15.75" customHeight="1">
      <c r="A306" s="2"/>
      <c r="B306" s="182"/>
      <c r="C306" s="3"/>
      <c r="D306" s="2"/>
      <c r="E306" s="3"/>
      <c r="F306" s="2"/>
      <c r="G306" s="2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91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</row>
    <row r="307" ht="15.75" customHeight="1">
      <c r="A307" s="2"/>
      <c r="B307" s="182"/>
      <c r="C307" s="3"/>
      <c r="D307" s="2"/>
      <c r="E307" s="3"/>
      <c r="F307" s="2"/>
      <c r="G307" s="2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91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</row>
    <row r="308" ht="15.75" customHeight="1">
      <c r="A308" s="2"/>
      <c r="B308" s="182"/>
      <c r="C308" s="3"/>
      <c r="D308" s="2"/>
      <c r="E308" s="3"/>
      <c r="F308" s="2"/>
      <c r="G308" s="2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91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</row>
    <row r="309" ht="15.75" customHeight="1">
      <c r="A309" s="2"/>
      <c r="B309" s="182"/>
      <c r="C309" s="3"/>
      <c r="D309" s="2"/>
      <c r="E309" s="3"/>
      <c r="F309" s="2"/>
      <c r="G309" s="2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91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</row>
    <row r="310" ht="15.75" customHeight="1">
      <c r="A310" s="2"/>
      <c r="B310" s="182"/>
      <c r="C310" s="3"/>
      <c r="D310" s="2"/>
      <c r="E310" s="3"/>
      <c r="F310" s="2"/>
      <c r="G310" s="2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91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</row>
    <row r="311" ht="15.75" customHeight="1">
      <c r="A311" s="2"/>
      <c r="B311" s="182"/>
      <c r="C311" s="3"/>
      <c r="D311" s="2"/>
      <c r="E311" s="3"/>
      <c r="F311" s="2"/>
      <c r="G311" s="2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91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2" ht="15.75" customHeight="1">
      <c r="A312" s="2"/>
      <c r="B312" s="182"/>
      <c r="C312" s="3"/>
      <c r="D312" s="2"/>
      <c r="E312" s="3"/>
      <c r="F312" s="2"/>
      <c r="G312" s="2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91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</row>
    <row r="313" ht="15.75" customHeight="1">
      <c r="A313" s="2"/>
      <c r="B313" s="182"/>
      <c r="C313" s="3"/>
      <c r="D313" s="2"/>
      <c r="E313" s="3"/>
      <c r="F313" s="2"/>
      <c r="G313" s="2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91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</row>
    <row r="314" ht="15.75" customHeight="1">
      <c r="A314" s="2"/>
      <c r="B314" s="182"/>
      <c r="C314" s="3"/>
      <c r="D314" s="2"/>
      <c r="E314" s="3"/>
      <c r="F314" s="2"/>
      <c r="G314" s="2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91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</row>
    <row r="315" ht="15.75" customHeight="1">
      <c r="A315" s="2"/>
      <c r="B315" s="182"/>
      <c r="C315" s="3"/>
      <c r="D315" s="2"/>
      <c r="E315" s="3"/>
      <c r="F315" s="2"/>
      <c r="G315" s="2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91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</row>
    <row r="316" ht="15.75" customHeight="1">
      <c r="A316" s="2"/>
      <c r="B316" s="182"/>
      <c r="C316" s="3"/>
      <c r="D316" s="2"/>
      <c r="E316" s="3"/>
      <c r="F316" s="2"/>
      <c r="G316" s="2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91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</row>
    <row r="317" ht="15.75" customHeight="1">
      <c r="A317" s="2"/>
      <c r="B317" s="182"/>
      <c r="C317" s="3"/>
      <c r="D317" s="2"/>
      <c r="E317" s="3"/>
      <c r="F317" s="2"/>
      <c r="G317" s="2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91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</row>
    <row r="318" ht="15.75" customHeight="1">
      <c r="A318" s="2"/>
      <c r="B318" s="182"/>
      <c r="C318" s="3"/>
      <c r="D318" s="2"/>
      <c r="E318" s="3"/>
      <c r="F318" s="2"/>
      <c r="G318" s="2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91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</row>
    <row r="319" ht="15.75" customHeight="1">
      <c r="A319" s="2"/>
      <c r="B319" s="182"/>
      <c r="C319" s="3"/>
      <c r="D319" s="2"/>
      <c r="E319" s="3"/>
      <c r="F319" s="2"/>
      <c r="G319" s="2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91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</row>
    <row r="320" ht="15.75" customHeight="1">
      <c r="A320" s="2"/>
      <c r="B320" s="182"/>
      <c r="C320" s="3"/>
      <c r="D320" s="2"/>
      <c r="E320" s="3"/>
      <c r="F320" s="2"/>
      <c r="G320" s="2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91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</row>
    <row r="321" ht="15.75" customHeight="1">
      <c r="A321" s="2"/>
      <c r="B321" s="182"/>
      <c r="C321" s="3"/>
      <c r="D321" s="2"/>
      <c r="E321" s="3"/>
      <c r="F321" s="2"/>
      <c r="G321" s="2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91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ht="15.75" customHeight="1">
      <c r="A322" s="2"/>
      <c r="B322" s="182"/>
      <c r="C322" s="3"/>
      <c r="D322" s="2"/>
      <c r="E322" s="3"/>
      <c r="F322" s="2"/>
      <c r="G322" s="2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91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ht="15.75" customHeight="1">
      <c r="A323" s="2"/>
      <c r="B323" s="182"/>
      <c r="C323" s="3"/>
      <c r="D323" s="2"/>
      <c r="E323" s="3"/>
      <c r="F323" s="2"/>
      <c r="G323" s="2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91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ht="15.75" customHeight="1">
      <c r="A324" s="2"/>
      <c r="B324" s="182"/>
      <c r="C324" s="3"/>
      <c r="D324" s="2"/>
      <c r="E324" s="3"/>
      <c r="F324" s="2"/>
      <c r="G324" s="2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91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ht="15.75" customHeight="1">
      <c r="A325" s="2"/>
      <c r="B325" s="182"/>
      <c r="C325" s="3"/>
      <c r="D325" s="2"/>
      <c r="E325" s="3"/>
      <c r="F325" s="2"/>
      <c r="G325" s="2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91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</row>
    <row r="326" ht="15.75" customHeight="1">
      <c r="A326" s="2"/>
      <c r="B326" s="182"/>
      <c r="C326" s="3"/>
      <c r="D326" s="2"/>
      <c r="E326" s="3"/>
      <c r="F326" s="2"/>
      <c r="G326" s="2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91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</row>
    <row r="327" ht="15.75" customHeight="1">
      <c r="A327" s="2"/>
      <c r="B327" s="182"/>
      <c r="C327" s="3"/>
      <c r="D327" s="2"/>
      <c r="E327" s="3"/>
      <c r="F327" s="2"/>
      <c r="G327" s="2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91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</row>
    <row r="328" ht="15.75" customHeight="1">
      <c r="A328" s="2"/>
      <c r="B328" s="182"/>
      <c r="C328" s="3"/>
      <c r="D328" s="2"/>
      <c r="E328" s="3"/>
      <c r="F328" s="2"/>
      <c r="G328" s="2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91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</row>
    <row r="329" ht="15.75" customHeight="1">
      <c r="A329" s="2"/>
      <c r="B329" s="182"/>
      <c r="C329" s="3"/>
      <c r="D329" s="2"/>
      <c r="E329" s="3"/>
      <c r="F329" s="2"/>
      <c r="G329" s="2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91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</row>
    <row r="330" ht="15.75" customHeight="1">
      <c r="A330" s="2"/>
      <c r="B330" s="182"/>
      <c r="C330" s="3"/>
      <c r="D330" s="2"/>
      <c r="E330" s="3"/>
      <c r="F330" s="2"/>
      <c r="G330" s="2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91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</row>
    <row r="331" ht="15.75" customHeight="1">
      <c r="A331" s="2"/>
      <c r="B331" s="182"/>
      <c r="C331" s="3"/>
      <c r="D331" s="2"/>
      <c r="E331" s="3"/>
      <c r="F331" s="2"/>
      <c r="G331" s="2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91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</row>
    <row r="332" ht="15.75" customHeight="1">
      <c r="A332" s="2"/>
      <c r="B332" s="182"/>
      <c r="C332" s="3"/>
      <c r="D332" s="2"/>
      <c r="E332" s="3"/>
      <c r="F332" s="2"/>
      <c r="G332" s="2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91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</row>
    <row r="333" ht="15.75" customHeight="1">
      <c r="A333" s="2"/>
      <c r="B333" s="182"/>
      <c r="C333" s="3"/>
      <c r="D333" s="2"/>
      <c r="E333" s="3"/>
      <c r="F333" s="2"/>
      <c r="G333" s="2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91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</row>
    <row r="334" ht="15.75" customHeight="1">
      <c r="A334" s="2"/>
      <c r="B334" s="182"/>
      <c r="C334" s="3"/>
      <c r="D334" s="2"/>
      <c r="E334" s="3"/>
      <c r="F334" s="2"/>
      <c r="G334" s="2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91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</row>
    <row r="335" ht="15.75" customHeight="1">
      <c r="A335" s="2"/>
      <c r="B335" s="182"/>
      <c r="C335" s="3"/>
      <c r="D335" s="2"/>
      <c r="E335" s="3"/>
      <c r="F335" s="2"/>
      <c r="G335" s="2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91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</row>
    <row r="336" ht="15.75" customHeight="1">
      <c r="A336" s="2"/>
      <c r="B336" s="182"/>
      <c r="C336" s="3"/>
      <c r="D336" s="2"/>
      <c r="E336" s="3"/>
      <c r="F336" s="2"/>
      <c r="G336" s="2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91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</row>
    <row r="337" ht="15.75" customHeight="1">
      <c r="A337" s="2"/>
      <c r="B337" s="182"/>
      <c r="C337" s="3"/>
      <c r="D337" s="2"/>
      <c r="E337" s="3"/>
      <c r="F337" s="2"/>
      <c r="G337" s="2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91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</row>
    <row r="338" ht="15.75" customHeight="1">
      <c r="A338" s="2"/>
      <c r="B338" s="182"/>
      <c r="C338" s="3"/>
      <c r="D338" s="2"/>
      <c r="E338" s="3"/>
      <c r="F338" s="2"/>
      <c r="G338" s="2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91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</row>
    <row r="339" ht="15.75" customHeight="1">
      <c r="A339" s="2"/>
      <c r="B339" s="182"/>
      <c r="C339" s="3"/>
      <c r="D339" s="2"/>
      <c r="E339" s="3"/>
      <c r="F339" s="2"/>
      <c r="G339" s="2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91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</row>
    <row r="340" ht="15.75" customHeight="1">
      <c r="A340" s="2"/>
      <c r="B340" s="182"/>
      <c r="C340" s="3"/>
      <c r="D340" s="2"/>
      <c r="E340" s="3"/>
      <c r="F340" s="2"/>
      <c r="G340" s="2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91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</row>
    <row r="341" ht="15.75" customHeight="1">
      <c r="A341" s="2"/>
      <c r="B341" s="182"/>
      <c r="C341" s="3"/>
      <c r="D341" s="2"/>
      <c r="E341" s="3"/>
      <c r="F341" s="2"/>
      <c r="G341" s="2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91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</row>
    <row r="342" ht="15.75" customHeight="1">
      <c r="A342" s="2"/>
      <c r="B342" s="182"/>
      <c r="C342" s="3"/>
      <c r="D342" s="2"/>
      <c r="E342" s="3"/>
      <c r="F342" s="2"/>
      <c r="G342" s="2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91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</row>
    <row r="343" ht="15.75" customHeight="1">
      <c r="A343" s="2"/>
      <c r="B343" s="182"/>
      <c r="C343" s="3"/>
      <c r="D343" s="2"/>
      <c r="E343" s="3"/>
      <c r="F343" s="2"/>
      <c r="G343" s="2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91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</row>
    <row r="344" ht="15.75" customHeight="1">
      <c r="A344" s="2"/>
      <c r="B344" s="182"/>
      <c r="C344" s="3"/>
      <c r="D344" s="2"/>
      <c r="E344" s="3"/>
      <c r="F344" s="2"/>
      <c r="G344" s="2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91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</row>
    <row r="345" ht="15.75" customHeight="1">
      <c r="A345" s="2"/>
      <c r="B345" s="182"/>
      <c r="C345" s="3"/>
      <c r="D345" s="2"/>
      <c r="E345" s="3"/>
      <c r="F345" s="2"/>
      <c r="G345" s="2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91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</row>
    <row r="346" ht="15.75" customHeight="1">
      <c r="A346" s="2"/>
      <c r="B346" s="182"/>
      <c r="C346" s="3"/>
      <c r="D346" s="2"/>
      <c r="E346" s="3"/>
      <c r="F346" s="2"/>
      <c r="G346" s="2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91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</row>
    <row r="347" ht="15.75" customHeight="1">
      <c r="A347" s="2"/>
      <c r="B347" s="182"/>
      <c r="C347" s="3"/>
      <c r="D347" s="2"/>
      <c r="E347" s="3"/>
      <c r="F347" s="2"/>
      <c r="G347" s="2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91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</row>
    <row r="348" ht="15.75" customHeight="1">
      <c r="A348" s="2"/>
      <c r="B348" s="182"/>
      <c r="C348" s="3"/>
      <c r="D348" s="2"/>
      <c r="E348" s="3"/>
      <c r="F348" s="2"/>
      <c r="G348" s="2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91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</row>
    <row r="349" ht="15.75" customHeight="1">
      <c r="A349" s="2"/>
      <c r="B349" s="182"/>
      <c r="C349" s="3"/>
      <c r="D349" s="2"/>
      <c r="E349" s="3"/>
      <c r="F349" s="2"/>
      <c r="G349" s="2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91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</row>
    <row r="350" ht="15.75" customHeight="1">
      <c r="A350" s="2"/>
      <c r="B350" s="182"/>
      <c r="C350" s="3"/>
      <c r="D350" s="2"/>
      <c r="E350" s="3"/>
      <c r="F350" s="2"/>
      <c r="G350" s="2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91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</row>
    <row r="351" ht="15.75" customHeight="1">
      <c r="A351" s="2"/>
      <c r="B351" s="182"/>
      <c r="C351" s="3"/>
      <c r="D351" s="2"/>
      <c r="E351" s="3"/>
      <c r="F351" s="2"/>
      <c r="G351" s="2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91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</row>
    <row r="352" ht="15.75" customHeight="1">
      <c r="A352" s="2"/>
      <c r="B352" s="182"/>
      <c r="C352" s="3"/>
      <c r="D352" s="2"/>
      <c r="E352" s="3"/>
      <c r="F352" s="2"/>
      <c r="G352" s="2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91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</row>
    <row r="353" ht="15.75" customHeight="1">
      <c r="A353" s="2"/>
      <c r="B353" s="182"/>
      <c r="C353" s="3"/>
      <c r="D353" s="2"/>
      <c r="E353" s="3"/>
      <c r="F353" s="2"/>
      <c r="G353" s="2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91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</row>
    <row r="354" ht="15.75" customHeight="1">
      <c r="A354" s="2"/>
      <c r="B354" s="182"/>
      <c r="C354" s="3"/>
      <c r="D354" s="2"/>
      <c r="E354" s="3"/>
      <c r="F354" s="2"/>
      <c r="G354" s="2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91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</row>
    <row r="355" ht="15.75" customHeight="1">
      <c r="A355" s="2"/>
      <c r="B355" s="182"/>
      <c r="C355" s="3"/>
      <c r="D355" s="2"/>
      <c r="E355" s="3"/>
      <c r="F355" s="2"/>
      <c r="G355" s="2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91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</row>
    <row r="356" ht="15.75" customHeight="1">
      <c r="A356" s="2"/>
      <c r="B356" s="182"/>
      <c r="C356" s="3"/>
      <c r="D356" s="2"/>
      <c r="E356" s="3"/>
      <c r="F356" s="2"/>
      <c r="G356" s="2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91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</row>
    <row r="357" ht="15.75" customHeight="1">
      <c r="A357" s="2"/>
      <c r="B357" s="182"/>
      <c r="C357" s="3"/>
      <c r="D357" s="2"/>
      <c r="E357" s="3"/>
      <c r="F357" s="2"/>
      <c r="G357" s="2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91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</row>
    <row r="358" ht="15.75" customHeight="1">
      <c r="A358" s="2"/>
      <c r="B358" s="182"/>
      <c r="C358" s="3"/>
      <c r="D358" s="2"/>
      <c r="E358" s="3"/>
      <c r="F358" s="2"/>
      <c r="G358" s="2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91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</row>
    <row r="359" ht="15.75" customHeight="1">
      <c r="A359" s="2"/>
      <c r="B359" s="182"/>
      <c r="C359" s="3"/>
      <c r="D359" s="2"/>
      <c r="E359" s="3"/>
      <c r="F359" s="2"/>
      <c r="G359" s="2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91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ht="15.75" customHeight="1">
      <c r="A360" s="2"/>
      <c r="B360" s="182"/>
      <c r="C360" s="3"/>
      <c r="D360" s="2"/>
      <c r="E360" s="3"/>
      <c r="F360" s="2"/>
      <c r="G360" s="2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91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ht="15.75" customHeight="1">
      <c r="A361" s="2"/>
      <c r="B361" s="182"/>
      <c r="C361" s="3"/>
      <c r="D361" s="2"/>
      <c r="E361" s="3"/>
      <c r="F361" s="2"/>
      <c r="G361" s="2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91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ht="15.75" customHeight="1">
      <c r="A362" s="2"/>
      <c r="B362" s="182"/>
      <c r="C362" s="3"/>
      <c r="D362" s="2"/>
      <c r="E362" s="3"/>
      <c r="F362" s="2"/>
      <c r="G362" s="2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91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ht="15.75" customHeight="1">
      <c r="A363" s="2"/>
      <c r="B363" s="182"/>
      <c r="C363" s="3"/>
      <c r="D363" s="2"/>
      <c r="E363" s="3"/>
      <c r="F363" s="2"/>
      <c r="G363" s="2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91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ht="15.75" customHeight="1">
      <c r="A364" s="2"/>
      <c r="B364" s="182"/>
      <c r="C364" s="3"/>
      <c r="D364" s="2"/>
      <c r="E364" s="3"/>
      <c r="F364" s="2"/>
      <c r="G364" s="2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91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</row>
    <row r="365" ht="15.75" customHeight="1">
      <c r="A365" s="2"/>
      <c r="B365" s="182"/>
      <c r="C365" s="3"/>
      <c r="D365" s="2"/>
      <c r="E365" s="3"/>
      <c r="F365" s="2"/>
      <c r="G365" s="2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91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</row>
    <row r="366" ht="15.75" customHeight="1">
      <c r="A366" s="2"/>
      <c r="B366" s="182"/>
      <c r="C366" s="3"/>
      <c r="D366" s="2"/>
      <c r="E366" s="3"/>
      <c r="F366" s="2"/>
      <c r="G366" s="2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91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</row>
    <row r="367" ht="15.75" customHeight="1">
      <c r="A367" s="2"/>
      <c r="B367" s="182"/>
      <c r="C367" s="3"/>
      <c r="D367" s="2"/>
      <c r="E367" s="3"/>
      <c r="F367" s="2"/>
      <c r="G367" s="2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91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</row>
    <row r="368" ht="15.75" customHeight="1">
      <c r="A368" s="2"/>
      <c r="B368" s="182"/>
      <c r="C368" s="3"/>
      <c r="D368" s="2"/>
      <c r="E368" s="3"/>
      <c r="F368" s="2"/>
      <c r="G368" s="2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91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</row>
    <row r="369" ht="15.75" customHeight="1">
      <c r="A369" s="2"/>
      <c r="B369" s="182"/>
      <c r="C369" s="3"/>
      <c r="D369" s="2"/>
      <c r="E369" s="3"/>
      <c r="F369" s="2"/>
      <c r="G369" s="2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91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</row>
    <row r="370" ht="15.75" customHeight="1">
      <c r="A370" s="2"/>
      <c r="B370" s="182"/>
      <c r="C370" s="3"/>
      <c r="D370" s="2"/>
      <c r="E370" s="3"/>
      <c r="F370" s="2"/>
      <c r="G370" s="2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91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</row>
    <row r="371" ht="15.75" customHeight="1">
      <c r="A371" s="2"/>
      <c r="B371" s="182"/>
      <c r="C371" s="3"/>
      <c r="D371" s="2"/>
      <c r="E371" s="3"/>
      <c r="F371" s="2"/>
      <c r="G371" s="2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91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</row>
    <row r="372" ht="15.75" customHeight="1">
      <c r="A372" s="2"/>
      <c r="B372" s="182"/>
      <c r="C372" s="3"/>
      <c r="D372" s="2"/>
      <c r="E372" s="3"/>
      <c r="F372" s="2"/>
      <c r="G372" s="2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91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</row>
    <row r="373" ht="15.75" customHeight="1">
      <c r="A373" s="2"/>
      <c r="B373" s="182"/>
      <c r="C373" s="3"/>
      <c r="D373" s="2"/>
      <c r="E373" s="3"/>
      <c r="F373" s="2"/>
      <c r="G373" s="2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91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</row>
    <row r="374" ht="15.75" customHeight="1">
      <c r="A374" s="2"/>
      <c r="B374" s="182"/>
      <c r="C374" s="3"/>
      <c r="D374" s="2"/>
      <c r="E374" s="3"/>
      <c r="F374" s="2"/>
      <c r="G374" s="2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91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</row>
    <row r="375" ht="15.75" customHeight="1">
      <c r="A375" s="2"/>
      <c r="B375" s="182"/>
      <c r="C375" s="3"/>
      <c r="D375" s="2"/>
      <c r="E375" s="3"/>
      <c r="F375" s="2"/>
      <c r="G375" s="2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91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</row>
    <row r="376" ht="15.75" customHeight="1">
      <c r="A376" s="2"/>
      <c r="B376" s="182"/>
      <c r="C376" s="3"/>
      <c r="D376" s="2"/>
      <c r="E376" s="3"/>
      <c r="F376" s="2"/>
      <c r="G376" s="2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91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</row>
    <row r="377" ht="15.75" customHeight="1">
      <c r="A377" s="2"/>
      <c r="B377" s="182"/>
      <c r="C377" s="3"/>
      <c r="D377" s="2"/>
      <c r="E377" s="3"/>
      <c r="F377" s="2"/>
      <c r="G377" s="2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91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</row>
    <row r="378" ht="15.75" customHeight="1">
      <c r="A378" s="2"/>
      <c r="B378" s="182"/>
      <c r="C378" s="3"/>
      <c r="D378" s="2"/>
      <c r="E378" s="3"/>
      <c r="F378" s="2"/>
      <c r="G378" s="2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91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</row>
    <row r="379" ht="15.75" customHeight="1">
      <c r="A379" s="2"/>
      <c r="B379" s="182"/>
      <c r="C379" s="3"/>
      <c r="D379" s="2"/>
      <c r="E379" s="3"/>
      <c r="F379" s="2"/>
      <c r="G379" s="2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91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</row>
    <row r="380" ht="15.75" customHeight="1">
      <c r="A380" s="2"/>
      <c r="B380" s="182"/>
      <c r="C380" s="3"/>
      <c r="D380" s="2"/>
      <c r="E380" s="3"/>
      <c r="F380" s="2"/>
      <c r="G380" s="2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91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</row>
    <row r="381" ht="15.75" customHeight="1">
      <c r="A381" s="2"/>
      <c r="B381" s="182"/>
      <c r="C381" s="3"/>
      <c r="D381" s="2"/>
      <c r="E381" s="3"/>
      <c r="F381" s="2"/>
      <c r="G381" s="2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91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</row>
    <row r="382" ht="15.75" customHeight="1">
      <c r="A382" s="2"/>
      <c r="B382" s="182"/>
      <c r="C382" s="3"/>
      <c r="D382" s="2"/>
      <c r="E382" s="3"/>
      <c r="F382" s="2"/>
      <c r="G382" s="2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91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</row>
    <row r="383" ht="15.75" customHeight="1">
      <c r="A383" s="2"/>
      <c r="B383" s="182"/>
      <c r="C383" s="3"/>
      <c r="D383" s="2"/>
      <c r="E383" s="3"/>
      <c r="F383" s="2"/>
      <c r="G383" s="2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91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</row>
    <row r="384" ht="15.75" customHeight="1">
      <c r="A384" s="2"/>
      <c r="B384" s="182"/>
      <c r="C384" s="3"/>
      <c r="D384" s="2"/>
      <c r="E384" s="3"/>
      <c r="F384" s="2"/>
      <c r="G384" s="2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91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</row>
    <row r="385" ht="15.75" customHeight="1">
      <c r="A385" s="2"/>
      <c r="B385" s="182"/>
      <c r="C385" s="3"/>
      <c r="D385" s="2"/>
      <c r="E385" s="3"/>
      <c r="F385" s="2"/>
      <c r="G385" s="2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91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</row>
    <row r="386" ht="15.75" customHeight="1">
      <c r="A386" s="2"/>
      <c r="B386" s="182"/>
      <c r="C386" s="3"/>
      <c r="D386" s="2"/>
      <c r="E386" s="3"/>
      <c r="F386" s="2"/>
      <c r="G386" s="2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91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</row>
    <row r="387" ht="15.75" customHeight="1">
      <c r="A387" s="2"/>
      <c r="B387" s="182"/>
      <c r="C387" s="3"/>
      <c r="D387" s="2"/>
      <c r="E387" s="3"/>
      <c r="F387" s="2"/>
      <c r="G387" s="2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91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</row>
    <row r="388" ht="15.75" customHeight="1">
      <c r="A388" s="2"/>
      <c r="B388" s="182"/>
      <c r="C388" s="3"/>
      <c r="D388" s="2"/>
      <c r="E388" s="3"/>
      <c r="F388" s="2"/>
      <c r="G388" s="2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91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</row>
    <row r="389" ht="15.75" customHeight="1">
      <c r="A389" s="2"/>
      <c r="B389" s="182"/>
      <c r="C389" s="3"/>
      <c r="D389" s="2"/>
      <c r="E389" s="3"/>
      <c r="F389" s="2"/>
      <c r="G389" s="2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91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</row>
    <row r="390" ht="15.75" customHeight="1">
      <c r="A390" s="2"/>
      <c r="B390" s="182"/>
      <c r="C390" s="3"/>
      <c r="D390" s="2"/>
      <c r="E390" s="3"/>
      <c r="F390" s="2"/>
      <c r="G390" s="2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91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</row>
    <row r="391" ht="15.75" customHeight="1">
      <c r="A391" s="2"/>
      <c r="B391" s="182"/>
      <c r="C391" s="3"/>
      <c r="D391" s="2"/>
      <c r="E391" s="3"/>
      <c r="F391" s="2"/>
      <c r="G391" s="2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91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</row>
    <row r="392" ht="15.75" customHeight="1">
      <c r="A392" s="2"/>
      <c r="B392" s="182"/>
      <c r="C392" s="3"/>
      <c r="D392" s="2"/>
      <c r="E392" s="3"/>
      <c r="F392" s="2"/>
      <c r="G392" s="2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91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 ht="15.75" customHeight="1">
      <c r="A393" s="2"/>
      <c r="B393" s="182"/>
      <c r="C393" s="3"/>
      <c r="D393" s="2"/>
      <c r="E393" s="3"/>
      <c r="F393" s="2"/>
      <c r="G393" s="2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91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 ht="15.75" customHeight="1">
      <c r="A394" s="2"/>
      <c r="B394" s="182"/>
      <c r="C394" s="3"/>
      <c r="D394" s="2"/>
      <c r="E394" s="3"/>
      <c r="F394" s="2"/>
      <c r="G394" s="2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91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 ht="15.75" customHeight="1">
      <c r="A395" s="2"/>
      <c r="B395" s="182"/>
      <c r="C395" s="3"/>
      <c r="D395" s="2"/>
      <c r="E395" s="3"/>
      <c r="F395" s="2"/>
      <c r="G395" s="2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91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 ht="15.75" customHeight="1">
      <c r="A396" s="2"/>
      <c r="B396" s="182"/>
      <c r="C396" s="3"/>
      <c r="D396" s="2"/>
      <c r="E396" s="3"/>
      <c r="F396" s="2"/>
      <c r="G396" s="2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91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ht="15.75" customHeight="1">
      <c r="A397" s="2"/>
      <c r="B397" s="182"/>
      <c r="C397" s="3"/>
      <c r="D397" s="2"/>
      <c r="E397" s="3"/>
      <c r="F397" s="2"/>
      <c r="G397" s="2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91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</row>
    <row r="398" ht="15.75" customHeight="1">
      <c r="A398" s="2"/>
      <c r="B398" s="182"/>
      <c r="C398" s="3"/>
      <c r="D398" s="2"/>
      <c r="E398" s="3"/>
      <c r="F398" s="2"/>
      <c r="G398" s="2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91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</row>
    <row r="399" ht="15.75" customHeight="1">
      <c r="A399" s="2"/>
      <c r="B399" s="182"/>
      <c r="C399" s="3"/>
      <c r="D399" s="2"/>
      <c r="E399" s="3"/>
      <c r="F399" s="2"/>
      <c r="G399" s="2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91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</row>
    <row r="400" ht="15.75" customHeight="1">
      <c r="A400" s="2"/>
      <c r="B400" s="182"/>
      <c r="C400" s="3"/>
      <c r="D400" s="2"/>
      <c r="E400" s="3"/>
      <c r="F400" s="2"/>
      <c r="G400" s="2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91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</row>
    <row r="401" ht="15.75" customHeight="1">
      <c r="A401" s="2"/>
      <c r="B401" s="182"/>
      <c r="C401" s="3"/>
      <c r="D401" s="2"/>
      <c r="E401" s="3"/>
      <c r="F401" s="2"/>
      <c r="G401" s="2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91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</row>
    <row r="402" ht="15.75" customHeight="1">
      <c r="A402" s="2"/>
      <c r="B402" s="182"/>
      <c r="C402" s="3"/>
      <c r="D402" s="2"/>
      <c r="E402" s="3"/>
      <c r="F402" s="2"/>
      <c r="G402" s="2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91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</row>
    <row r="403" ht="15.75" customHeight="1">
      <c r="A403" s="2"/>
      <c r="B403" s="182"/>
      <c r="C403" s="3"/>
      <c r="D403" s="2"/>
      <c r="E403" s="3"/>
      <c r="F403" s="2"/>
      <c r="G403" s="2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91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</row>
    <row r="404" ht="15.75" customHeight="1">
      <c r="A404" s="2"/>
      <c r="B404" s="182"/>
      <c r="C404" s="3"/>
      <c r="D404" s="2"/>
      <c r="E404" s="3"/>
      <c r="F404" s="2"/>
      <c r="G404" s="2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91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</row>
    <row r="405" ht="15.75" customHeight="1">
      <c r="A405" s="2"/>
      <c r="B405" s="182"/>
      <c r="C405" s="3"/>
      <c r="D405" s="2"/>
      <c r="E405" s="3"/>
      <c r="F405" s="2"/>
      <c r="G405" s="2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91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</row>
    <row r="406" ht="15.75" customHeight="1">
      <c r="A406" s="2"/>
      <c r="B406" s="182"/>
      <c r="C406" s="3"/>
      <c r="D406" s="2"/>
      <c r="E406" s="3"/>
      <c r="F406" s="2"/>
      <c r="G406" s="2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91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</row>
    <row r="407" ht="15.75" customHeight="1">
      <c r="A407" s="2"/>
      <c r="B407" s="182"/>
      <c r="C407" s="3"/>
      <c r="D407" s="2"/>
      <c r="E407" s="3"/>
      <c r="F407" s="2"/>
      <c r="G407" s="2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91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</row>
    <row r="408" ht="15.75" customHeight="1">
      <c r="A408" s="2"/>
      <c r="B408" s="182"/>
      <c r="C408" s="3"/>
      <c r="D408" s="2"/>
      <c r="E408" s="3"/>
      <c r="F408" s="2"/>
      <c r="G408" s="2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91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</row>
    <row r="409" ht="15.75" customHeight="1">
      <c r="A409" s="2"/>
      <c r="B409" s="182"/>
      <c r="C409" s="3"/>
      <c r="D409" s="2"/>
      <c r="E409" s="3"/>
      <c r="F409" s="2"/>
      <c r="G409" s="2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91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</row>
    <row r="410" ht="15.75" customHeight="1">
      <c r="A410" s="2"/>
      <c r="B410" s="182"/>
      <c r="C410" s="3"/>
      <c r="D410" s="2"/>
      <c r="E410" s="3"/>
      <c r="F410" s="2"/>
      <c r="G410" s="2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91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</row>
    <row r="411" ht="15.75" customHeight="1">
      <c r="A411" s="2"/>
      <c r="B411" s="182"/>
      <c r="C411" s="3"/>
      <c r="D411" s="2"/>
      <c r="E411" s="3"/>
      <c r="F411" s="2"/>
      <c r="G411" s="2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91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</row>
    <row r="412" ht="15.75" customHeight="1">
      <c r="A412" s="2"/>
      <c r="B412" s="182"/>
      <c r="C412" s="3"/>
      <c r="D412" s="2"/>
      <c r="E412" s="3"/>
      <c r="F412" s="2"/>
      <c r="G412" s="2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91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</row>
    <row r="413" ht="15.75" customHeight="1">
      <c r="A413" s="2"/>
      <c r="B413" s="182"/>
      <c r="C413" s="3"/>
      <c r="D413" s="2"/>
      <c r="E413" s="3"/>
      <c r="F413" s="2"/>
      <c r="G413" s="2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91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</row>
    <row r="414" ht="15.75" customHeight="1">
      <c r="A414" s="2"/>
      <c r="B414" s="182"/>
      <c r="C414" s="3"/>
      <c r="D414" s="2"/>
      <c r="E414" s="3"/>
      <c r="F414" s="2"/>
      <c r="G414" s="2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91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</row>
    <row r="415" ht="15.75" customHeight="1">
      <c r="A415" s="2"/>
      <c r="B415" s="182"/>
      <c r="C415" s="3"/>
      <c r="D415" s="2"/>
      <c r="E415" s="3"/>
      <c r="F415" s="2"/>
      <c r="G415" s="2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91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</row>
    <row r="416" ht="15.75" customHeight="1">
      <c r="A416" s="2"/>
      <c r="B416" s="182"/>
      <c r="C416" s="3"/>
      <c r="D416" s="2"/>
      <c r="E416" s="3"/>
      <c r="F416" s="2"/>
      <c r="G416" s="2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91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</row>
    <row r="417" ht="15.75" customHeight="1">
      <c r="A417" s="2"/>
      <c r="B417" s="182"/>
      <c r="C417" s="3"/>
      <c r="D417" s="2"/>
      <c r="E417" s="3"/>
      <c r="F417" s="2"/>
      <c r="G417" s="2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91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</row>
    <row r="418" ht="15.75" customHeight="1">
      <c r="A418" s="2"/>
      <c r="B418" s="182"/>
      <c r="C418" s="3"/>
      <c r="D418" s="2"/>
      <c r="E418" s="3"/>
      <c r="F418" s="2"/>
      <c r="G418" s="2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91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</row>
    <row r="419" ht="15.75" customHeight="1">
      <c r="A419" s="2"/>
      <c r="B419" s="182"/>
      <c r="C419" s="3"/>
      <c r="D419" s="2"/>
      <c r="E419" s="3"/>
      <c r="F419" s="2"/>
      <c r="G419" s="2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91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</row>
    <row r="420" ht="15.75" customHeight="1">
      <c r="A420" s="2"/>
      <c r="B420" s="182"/>
      <c r="C420" s="3"/>
      <c r="D420" s="2"/>
      <c r="E420" s="3"/>
      <c r="F420" s="2"/>
      <c r="G420" s="2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91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</row>
    <row r="421" ht="15.75" customHeight="1">
      <c r="A421" s="2"/>
      <c r="B421" s="182"/>
      <c r="C421" s="3"/>
      <c r="D421" s="2"/>
      <c r="E421" s="3"/>
      <c r="F421" s="2"/>
      <c r="G421" s="2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91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</row>
    <row r="422" ht="15.75" customHeight="1">
      <c r="A422" s="2"/>
      <c r="B422" s="182"/>
      <c r="C422" s="3"/>
      <c r="D422" s="2"/>
      <c r="E422" s="3"/>
      <c r="F422" s="2"/>
      <c r="G422" s="2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91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</row>
    <row r="423" ht="15.75" customHeight="1">
      <c r="A423" s="2"/>
      <c r="B423" s="182"/>
      <c r="C423" s="3"/>
      <c r="D423" s="2"/>
      <c r="E423" s="3"/>
      <c r="F423" s="2"/>
      <c r="G423" s="2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91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</row>
    <row r="424" ht="15.75" customHeight="1">
      <c r="A424" s="2"/>
      <c r="B424" s="182"/>
      <c r="C424" s="3"/>
      <c r="D424" s="2"/>
      <c r="E424" s="3"/>
      <c r="F424" s="2"/>
      <c r="G424" s="2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91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</row>
    <row r="425" ht="15.75" customHeight="1">
      <c r="A425" s="2"/>
      <c r="B425" s="182"/>
      <c r="C425" s="3"/>
      <c r="D425" s="2"/>
      <c r="E425" s="3"/>
      <c r="F425" s="2"/>
      <c r="G425" s="2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91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ht="15.75" customHeight="1">
      <c r="A426" s="2"/>
      <c r="B426" s="182"/>
      <c r="C426" s="3"/>
      <c r="D426" s="2"/>
      <c r="E426" s="3"/>
      <c r="F426" s="2"/>
      <c r="G426" s="2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91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ht="15.75" customHeight="1">
      <c r="A427" s="2"/>
      <c r="B427" s="182"/>
      <c r="C427" s="3"/>
      <c r="D427" s="2"/>
      <c r="E427" s="3"/>
      <c r="F427" s="2"/>
      <c r="G427" s="2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91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ht="15.75" customHeight="1">
      <c r="A428" s="2"/>
      <c r="B428" s="182"/>
      <c r="C428" s="3"/>
      <c r="D428" s="2"/>
      <c r="E428" s="3"/>
      <c r="F428" s="2"/>
      <c r="G428" s="2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91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ht="15.75" customHeight="1">
      <c r="A429" s="2"/>
      <c r="B429" s="182"/>
      <c r="C429" s="3"/>
      <c r="D429" s="2"/>
      <c r="E429" s="3"/>
      <c r="F429" s="2"/>
      <c r="G429" s="2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91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ht="15.75" customHeight="1">
      <c r="A430" s="2"/>
      <c r="B430" s="182"/>
      <c r="C430" s="3"/>
      <c r="D430" s="2"/>
      <c r="E430" s="3"/>
      <c r="F430" s="2"/>
      <c r="G430" s="2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91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ht="15.75" customHeight="1">
      <c r="A431" s="2"/>
      <c r="B431" s="182"/>
      <c r="C431" s="3"/>
      <c r="D431" s="2"/>
      <c r="E431" s="3"/>
      <c r="F431" s="2"/>
      <c r="G431" s="2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91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</row>
    <row r="432" ht="15.75" customHeight="1">
      <c r="A432" s="2"/>
      <c r="B432" s="182"/>
      <c r="C432" s="3"/>
      <c r="D432" s="2"/>
      <c r="E432" s="3"/>
      <c r="F432" s="2"/>
      <c r="G432" s="2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91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</row>
    <row r="433" ht="15.75" customHeight="1">
      <c r="A433" s="2"/>
      <c r="B433" s="182"/>
      <c r="C433" s="3"/>
      <c r="D433" s="2"/>
      <c r="E433" s="3"/>
      <c r="F433" s="2"/>
      <c r="G433" s="2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91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</row>
    <row r="434" ht="15.75" customHeight="1">
      <c r="A434" s="2"/>
      <c r="B434" s="182"/>
      <c r="C434" s="3"/>
      <c r="D434" s="2"/>
      <c r="E434" s="3"/>
      <c r="F434" s="2"/>
      <c r="G434" s="2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91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</row>
    <row r="435" ht="15.75" customHeight="1">
      <c r="A435" s="2"/>
      <c r="B435" s="182"/>
      <c r="C435" s="3"/>
      <c r="D435" s="2"/>
      <c r="E435" s="3"/>
      <c r="F435" s="2"/>
      <c r="G435" s="2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91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</row>
    <row r="436" ht="15.75" customHeight="1">
      <c r="A436" s="2"/>
      <c r="B436" s="182"/>
      <c r="C436" s="3"/>
      <c r="D436" s="2"/>
      <c r="E436" s="3"/>
      <c r="F436" s="2"/>
      <c r="G436" s="2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91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</row>
    <row r="437" ht="15.75" customHeight="1">
      <c r="A437" s="2"/>
      <c r="B437" s="182"/>
      <c r="C437" s="3"/>
      <c r="D437" s="2"/>
      <c r="E437" s="3"/>
      <c r="F437" s="2"/>
      <c r="G437" s="2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91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</row>
    <row r="438" ht="15.75" customHeight="1">
      <c r="A438" s="2"/>
      <c r="B438" s="182"/>
      <c r="C438" s="3"/>
      <c r="D438" s="2"/>
      <c r="E438" s="3"/>
      <c r="F438" s="2"/>
      <c r="G438" s="2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91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</row>
    <row r="439" ht="15.75" customHeight="1">
      <c r="A439" s="2"/>
      <c r="B439" s="182"/>
      <c r="C439" s="3"/>
      <c r="D439" s="2"/>
      <c r="E439" s="3"/>
      <c r="F439" s="2"/>
      <c r="G439" s="2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91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</row>
    <row r="440" ht="15.75" customHeight="1">
      <c r="A440" s="2"/>
      <c r="B440" s="182"/>
      <c r="C440" s="3"/>
      <c r="D440" s="2"/>
      <c r="E440" s="3"/>
      <c r="F440" s="2"/>
      <c r="G440" s="2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91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</row>
    <row r="441" ht="15.75" customHeight="1">
      <c r="A441" s="2"/>
      <c r="B441" s="182"/>
      <c r="C441" s="3"/>
      <c r="D441" s="2"/>
      <c r="E441" s="3"/>
      <c r="F441" s="2"/>
      <c r="G441" s="2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91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</row>
    <row r="442" ht="15.75" customHeight="1">
      <c r="A442" s="2"/>
      <c r="B442" s="182"/>
      <c r="C442" s="3"/>
      <c r="D442" s="2"/>
      <c r="E442" s="3"/>
      <c r="F442" s="2"/>
      <c r="G442" s="2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91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</row>
    <row r="443" ht="15.75" customHeight="1">
      <c r="A443" s="2"/>
      <c r="B443" s="182"/>
      <c r="C443" s="3"/>
      <c r="D443" s="2"/>
      <c r="E443" s="3"/>
      <c r="F443" s="2"/>
      <c r="G443" s="2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91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</row>
    <row r="444" ht="15.75" customHeight="1">
      <c r="A444" s="2"/>
      <c r="B444" s="182"/>
      <c r="C444" s="3"/>
      <c r="D444" s="2"/>
      <c r="E444" s="3"/>
      <c r="F444" s="2"/>
      <c r="G444" s="2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91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</row>
    <row r="445" ht="15.75" customHeight="1">
      <c r="A445" s="2"/>
      <c r="B445" s="182"/>
      <c r="C445" s="3"/>
      <c r="D445" s="2"/>
      <c r="E445" s="3"/>
      <c r="F445" s="2"/>
      <c r="G445" s="2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91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</row>
    <row r="446" ht="15.75" customHeight="1">
      <c r="A446" s="2"/>
      <c r="B446" s="182"/>
      <c r="C446" s="3"/>
      <c r="D446" s="2"/>
      <c r="E446" s="3"/>
      <c r="F446" s="2"/>
      <c r="G446" s="2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91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</row>
    <row r="447" ht="15.75" customHeight="1">
      <c r="A447" s="2"/>
      <c r="B447" s="182"/>
      <c r="C447" s="3"/>
      <c r="D447" s="2"/>
      <c r="E447" s="3"/>
      <c r="F447" s="2"/>
      <c r="G447" s="2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91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</row>
    <row r="448" ht="15.75" customHeight="1">
      <c r="A448" s="2"/>
      <c r="B448" s="182"/>
      <c r="C448" s="3"/>
      <c r="D448" s="2"/>
      <c r="E448" s="3"/>
      <c r="F448" s="2"/>
      <c r="G448" s="2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91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</row>
    <row r="449" ht="15.75" customHeight="1">
      <c r="A449" s="2"/>
      <c r="B449" s="182"/>
      <c r="C449" s="3"/>
      <c r="D449" s="2"/>
      <c r="E449" s="3"/>
      <c r="F449" s="2"/>
      <c r="G449" s="2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91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</row>
    <row r="450" ht="15.75" customHeight="1">
      <c r="A450" s="2"/>
      <c r="B450" s="182"/>
      <c r="C450" s="3"/>
      <c r="D450" s="2"/>
      <c r="E450" s="3"/>
      <c r="F450" s="2"/>
      <c r="G450" s="2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91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</row>
    <row r="451" ht="15.75" customHeight="1">
      <c r="A451" s="2"/>
      <c r="B451" s="182"/>
      <c r="C451" s="3"/>
      <c r="D451" s="2"/>
      <c r="E451" s="3"/>
      <c r="F451" s="2"/>
      <c r="G451" s="2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91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</row>
    <row r="452" ht="15.75" customHeight="1">
      <c r="A452" s="2"/>
      <c r="B452" s="182"/>
      <c r="C452" s="3"/>
      <c r="D452" s="2"/>
      <c r="E452" s="3"/>
      <c r="F452" s="2"/>
      <c r="G452" s="2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91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</row>
    <row r="453" ht="15.75" customHeight="1">
      <c r="A453" s="2"/>
      <c r="B453" s="182"/>
      <c r="C453" s="3"/>
      <c r="D453" s="2"/>
      <c r="E453" s="3"/>
      <c r="F453" s="2"/>
      <c r="G453" s="2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91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</row>
    <row r="454" ht="15.75" customHeight="1">
      <c r="A454" s="2"/>
      <c r="B454" s="182"/>
      <c r="C454" s="3"/>
      <c r="D454" s="2"/>
      <c r="E454" s="3"/>
      <c r="F454" s="2"/>
      <c r="G454" s="2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91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</row>
    <row r="455" ht="15.75" customHeight="1">
      <c r="A455" s="2"/>
      <c r="B455" s="182"/>
      <c r="C455" s="3"/>
      <c r="D455" s="2"/>
      <c r="E455" s="3"/>
      <c r="F455" s="2"/>
      <c r="G455" s="2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91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</row>
    <row r="456" ht="15.75" customHeight="1">
      <c r="A456" s="2"/>
      <c r="B456" s="182"/>
      <c r="C456" s="3"/>
      <c r="D456" s="2"/>
      <c r="E456" s="3"/>
      <c r="F456" s="2"/>
      <c r="G456" s="2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91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</row>
    <row r="457" ht="15.75" customHeight="1">
      <c r="A457" s="2"/>
      <c r="B457" s="182"/>
      <c r="C457" s="3"/>
      <c r="D457" s="2"/>
      <c r="E457" s="3"/>
      <c r="F457" s="2"/>
      <c r="G457" s="2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91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</row>
    <row r="458" ht="15.75" customHeight="1">
      <c r="A458" s="2"/>
      <c r="B458" s="182"/>
      <c r="C458" s="3"/>
      <c r="D458" s="2"/>
      <c r="E458" s="3"/>
      <c r="F458" s="2"/>
      <c r="G458" s="2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91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</row>
    <row r="459" ht="15.75" customHeight="1">
      <c r="A459" s="2"/>
      <c r="B459" s="182"/>
      <c r="C459" s="3"/>
      <c r="D459" s="2"/>
      <c r="E459" s="3"/>
      <c r="F459" s="2"/>
      <c r="G459" s="2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91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</row>
    <row r="460" ht="15.75" customHeight="1">
      <c r="A460" s="2"/>
      <c r="B460" s="182"/>
      <c r="C460" s="3"/>
      <c r="D460" s="2"/>
      <c r="E460" s="3"/>
      <c r="F460" s="2"/>
      <c r="G460" s="2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91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</row>
    <row r="461" ht="15.75" customHeight="1">
      <c r="A461" s="2"/>
      <c r="B461" s="182"/>
      <c r="C461" s="3"/>
      <c r="D461" s="2"/>
      <c r="E461" s="3"/>
      <c r="F461" s="2"/>
      <c r="G461" s="2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91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</row>
    <row r="462" ht="15.75" customHeight="1">
      <c r="A462" s="2"/>
      <c r="B462" s="182"/>
      <c r="C462" s="3"/>
      <c r="D462" s="2"/>
      <c r="E462" s="3"/>
      <c r="F462" s="2"/>
      <c r="G462" s="2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91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</row>
    <row r="463" ht="15.75" customHeight="1">
      <c r="A463" s="2"/>
      <c r="B463" s="182"/>
      <c r="C463" s="3"/>
      <c r="D463" s="2"/>
      <c r="E463" s="3"/>
      <c r="F463" s="2"/>
      <c r="G463" s="2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91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</row>
    <row r="464" ht="15.75" customHeight="1">
      <c r="A464" s="2"/>
      <c r="B464" s="182"/>
      <c r="C464" s="3"/>
      <c r="D464" s="2"/>
      <c r="E464" s="3"/>
      <c r="F464" s="2"/>
      <c r="G464" s="2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91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</row>
    <row r="465" ht="15.75" customHeight="1">
      <c r="A465" s="2"/>
      <c r="B465" s="182"/>
      <c r="C465" s="3"/>
      <c r="D465" s="2"/>
      <c r="E465" s="3"/>
      <c r="F465" s="2"/>
      <c r="G465" s="2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91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</row>
    <row r="466" ht="15.75" customHeight="1">
      <c r="A466" s="2"/>
      <c r="B466" s="182"/>
      <c r="C466" s="3"/>
      <c r="D466" s="2"/>
      <c r="E466" s="3"/>
      <c r="F466" s="2"/>
      <c r="G466" s="2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91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</row>
    <row r="467" ht="15.75" customHeight="1">
      <c r="A467" s="2"/>
      <c r="B467" s="182"/>
      <c r="C467" s="3"/>
      <c r="D467" s="2"/>
      <c r="E467" s="3"/>
      <c r="F467" s="2"/>
      <c r="G467" s="2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91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</row>
    <row r="468" ht="15.75" customHeight="1">
      <c r="A468" s="2"/>
      <c r="B468" s="182"/>
      <c r="C468" s="3"/>
      <c r="D468" s="2"/>
      <c r="E468" s="3"/>
      <c r="F468" s="2"/>
      <c r="G468" s="2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91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</row>
    <row r="469" ht="15.75" customHeight="1">
      <c r="A469" s="2"/>
      <c r="B469" s="182"/>
      <c r="C469" s="3"/>
      <c r="D469" s="2"/>
      <c r="E469" s="3"/>
      <c r="F469" s="2"/>
      <c r="G469" s="2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91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</row>
    <row r="470" ht="15.75" customHeight="1">
      <c r="A470" s="2"/>
      <c r="B470" s="182"/>
      <c r="C470" s="3"/>
      <c r="D470" s="2"/>
      <c r="E470" s="3"/>
      <c r="F470" s="2"/>
      <c r="G470" s="2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91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</row>
    <row r="471" ht="15.75" customHeight="1">
      <c r="A471" s="2"/>
      <c r="B471" s="182"/>
      <c r="C471" s="3"/>
      <c r="D471" s="2"/>
      <c r="E471" s="3"/>
      <c r="F471" s="2"/>
      <c r="G471" s="2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91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</row>
    <row r="472" ht="15.75" customHeight="1">
      <c r="A472" s="2"/>
      <c r="B472" s="182"/>
      <c r="C472" s="3"/>
      <c r="D472" s="2"/>
      <c r="E472" s="3"/>
      <c r="F472" s="2"/>
      <c r="G472" s="2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91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</row>
    <row r="473" ht="15.75" customHeight="1">
      <c r="A473" s="2"/>
      <c r="B473" s="182"/>
      <c r="C473" s="3"/>
      <c r="D473" s="2"/>
      <c r="E473" s="3"/>
      <c r="F473" s="2"/>
      <c r="G473" s="2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91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</row>
    <row r="474" ht="15.75" customHeight="1">
      <c r="A474" s="2"/>
      <c r="B474" s="182"/>
      <c r="C474" s="3"/>
      <c r="D474" s="2"/>
      <c r="E474" s="3"/>
      <c r="F474" s="2"/>
      <c r="G474" s="2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91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</row>
    <row r="475" ht="15.75" customHeight="1">
      <c r="A475" s="2"/>
      <c r="B475" s="182"/>
      <c r="C475" s="3"/>
      <c r="D475" s="2"/>
      <c r="E475" s="3"/>
      <c r="F475" s="2"/>
      <c r="G475" s="2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91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</row>
    <row r="476" ht="15.75" customHeight="1">
      <c r="A476" s="2"/>
      <c r="B476" s="182"/>
      <c r="C476" s="3"/>
      <c r="D476" s="2"/>
      <c r="E476" s="3"/>
      <c r="F476" s="2"/>
      <c r="G476" s="2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91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</row>
    <row r="477" ht="15.75" customHeight="1">
      <c r="A477" s="2"/>
      <c r="B477" s="182"/>
      <c r="C477" s="3"/>
      <c r="D477" s="2"/>
      <c r="E477" s="3"/>
      <c r="F477" s="2"/>
      <c r="G477" s="2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91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</row>
    <row r="478" ht="15.75" customHeight="1">
      <c r="A478" s="2"/>
      <c r="B478" s="182"/>
      <c r="C478" s="3"/>
      <c r="D478" s="2"/>
      <c r="E478" s="3"/>
      <c r="F478" s="2"/>
      <c r="G478" s="2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91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</row>
    <row r="479" ht="15.75" customHeight="1">
      <c r="A479" s="2"/>
      <c r="B479" s="182"/>
      <c r="C479" s="3"/>
      <c r="D479" s="2"/>
      <c r="E479" s="3"/>
      <c r="F479" s="2"/>
      <c r="G479" s="2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91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</row>
    <row r="480" ht="15.75" customHeight="1">
      <c r="A480" s="2"/>
      <c r="B480" s="182"/>
      <c r="C480" s="3"/>
      <c r="D480" s="2"/>
      <c r="E480" s="3"/>
      <c r="F480" s="2"/>
      <c r="G480" s="2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91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</row>
    <row r="481" ht="15.75" customHeight="1">
      <c r="A481" s="2"/>
      <c r="B481" s="182"/>
      <c r="C481" s="3"/>
      <c r="D481" s="2"/>
      <c r="E481" s="3"/>
      <c r="F481" s="2"/>
      <c r="G481" s="2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91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</row>
    <row r="482" ht="15.75" customHeight="1">
      <c r="A482" s="2"/>
      <c r="B482" s="182"/>
      <c r="C482" s="3"/>
      <c r="D482" s="2"/>
      <c r="E482" s="3"/>
      <c r="F482" s="2"/>
      <c r="G482" s="2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91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</row>
    <row r="483" ht="15.75" customHeight="1">
      <c r="A483" s="2"/>
      <c r="B483" s="182"/>
      <c r="C483" s="3"/>
      <c r="D483" s="2"/>
      <c r="E483" s="3"/>
      <c r="F483" s="2"/>
      <c r="G483" s="2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91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</row>
    <row r="484" ht="15.75" customHeight="1">
      <c r="A484" s="2"/>
      <c r="B484" s="182"/>
      <c r="C484" s="3"/>
      <c r="D484" s="2"/>
      <c r="E484" s="3"/>
      <c r="F484" s="2"/>
      <c r="G484" s="2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91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</row>
    <row r="485" ht="15.75" customHeight="1">
      <c r="A485" s="2"/>
      <c r="B485" s="182"/>
      <c r="C485" s="3"/>
      <c r="D485" s="2"/>
      <c r="E485" s="3"/>
      <c r="F485" s="2"/>
      <c r="G485" s="2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91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</row>
    <row r="486" ht="15.75" customHeight="1">
      <c r="A486" s="2"/>
      <c r="B486" s="182"/>
      <c r="C486" s="3"/>
      <c r="D486" s="2"/>
      <c r="E486" s="3"/>
      <c r="F486" s="2"/>
      <c r="G486" s="2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91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</row>
    <row r="487" ht="15.75" customHeight="1">
      <c r="A487" s="2"/>
      <c r="B487" s="182"/>
      <c r="C487" s="3"/>
      <c r="D487" s="2"/>
      <c r="E487" s="3"/>
      <c r="F487" s="2"/>
      <c r="G487" s="2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91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</row>
    <row r="488" ht="15.75" customHeight="1">
      <c r="A488" s="2"/>
      <c r="B488" s="182"/>
      <c r="C488" s="3"/>
      <c r="D488" s="2"/>
      <c r="E488" s="3"/>
      <c r="F488" s="2"/>
      <c r="G488" s="2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91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</row>
    <row r="489" ht="15.75" customHeight="1">
      <c r="A489" s="2"/>
      <c r="B489" s="182"/>
      <c r="C489" s="3"/>
      <c r="D489" s="2"/>
      <c r="E489" s="3"/>
      <c r="F489" s="2"/>
      <c r="G489" s="2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91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</row>
    <row r="490" ht="15.75" customHeight="1">
      <c r="A490" s="2"/>
      <c r="B490" s="182"/>
      <c r="C490" s="3"/>
      <c r="D490" s="2"/>
      <c r="E490" s="3"/>
      <c r="F490" s="2"/>
      <c r="G490" s="2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91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</row>
    <row r="491" ht="15.75" customHeight="1">
      <c r="A491" s="2"/>
      <c r="B491" s="182"/>
      <c r="C491" s="3"/>
      <c r="D491" s="2"/>
      <c r="E491" s="3"/>
      <c r="F491" s="2"/>
      <c r="G491" s="2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91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</row>
    <row r="492" ht="15.75" customHeight="1">
      <c r="A492" s="2"/>
      <c r="B492" s="182"/>
      <c r="C492" s="3"/>
      <c r="D492" s="2"/>
      <c r="E492" s="3"/>
      <c r="F492" s="2"/>
      <c r="G492" s="2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91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</row>
    <row r="493" ht="15.75" customHeight="1">
      <c r="A493" s="2"/>
      <c r="B493" s="182"/>
      <c r="C493" s="3"/>
      <c r="D493" s="2"/>
      <c r="E493" s="3"/>
      <c r="F493" s="2"/>
      <c r="G493" s="2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91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</row>
    <row r="494" ht="15.75" customHeight="1">
      <c r="A494" s="2"/>
      <c r="B494" s="182"/>
      <c r="C494" s="3"/>
      <c r="D494" s="2"/>
      <c r="E494" s="3"/>
      <c r="F494" s="2"/>
      <c r="G494" s="2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91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</row>
    <row r="495" ht="15.75" customHeight="1">
      <c r="A495" s="2"/>
      <c r="B495" s="182"/>
      <c r="C495" s="3"/>
      <c r="D495" s="2"/>
      <c r="E495" s="3"/>
      <c r="F495" s="2"/>
      <c r="G495" s="2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91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</row>
    <row r="496" ht="15.75" customHeight="1">
      <c r="A496" s="2"/>
      <c r="B496" s="182"/>
      <c r="C496" s="3"/>
      <c r="D496" s="2"/>
      <c r="E496" s="3"/>
      <c r="F496" s="2"/>
      <c r="G496" s="2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91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 ht="15.75" customHeight="1">
      <c r="A497" s="2"/>
      <c r="B497" s="182"/>
      <c r="C497" s="3"/>
      <c r="D497" s="2"/>
      <c r="E497" s="3"/>
      <c r="F497" s="2"/>
      <c r="G497" s="2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91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 ht="15.75" customHeight="1">
      <c r="A498" s="2"/>
      <c r="B498" s="182"/>
      <c r="C498" s="3"/>
      <c r="D498" s="2"/>
      <c r="E498" s="3"/>
      <c r="F498" s="2"/>
      <c r="G498" s="2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91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 ht="15.75" customHeight="1">
      <c r="A499" s="2"/>
      <c r="B499" s="182"/>
      <c r="C499" s="3"/>
      <c r="D499" s="2"/>
      <c r="E499" s="3"/>
      <c r="F499" s="2"/>
      <c r="G499" s="2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91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 ht="15.75" customHeight="1">
      <c r="A500" s="2"/>
      <c r="B500" s="182"/>
      <c r="C500" s="3"/>
      <c r="D500" s="2"/>
      <c r="E500" s="3"/>
      <c r="F500" s="2"/>
      <c r="G500" s="2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91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 ht="15.75" customHeight="1">
      <c r="A501" s="2"/>
      <c r="B501" s="182"/>
      <c r="C501" s="3"/>
      <c r="D501" s="2"/>
      <c r="E501" s="3"/>
      <c r="F501" s="2"/>
      <c r="G501" s="2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91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 ht="15.75" customHeight="1">
      <c r="A502" s="2"/>
      <c r="B502" s="182"/>
      <c r="C502" s="3"/>
      <c r="D502" s="2"/>
      <c r="E502" s="3"/>
      <c r="F502" s="2"/>
      <c r="G502" s="2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91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</row>
    <row r="503" ht="15.75" customHeight="1">
      <c r="A503" s="2"/>
      <c r="B503" s="182"/>
      <c r="C503" s="3"/>
      <c r="D503" s="2"/>
      <c r="E503" s="3"/>
      <c r="F503" s="2"/>
      <c r="G503" s="2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91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</row>
    <row r="504" ht="15.75" customHeight="1">
      <c r="A504" s="2"/>
      <c r="B504" s="182"/>
      <c r="C504" s="3"/>
      <c r="D504" s="2"/>
      <c r="E504" s="3"/>
      <c r="F504" s="2"/>
      <c r="G504" s="2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91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</row>
    <row r="505" ht="15.75" customHeight="1">
      <c r="A505" s="2"/>
      <c r="B505" s="182"/>
      <c r="C505" s="3"/>
      <c r="D505" s="2"/>
      <c r="E505" s="3"/>
      <c r="F505" s="2"/>
      <c r="G505" s="2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91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</row>
    <row r="506" ht="15.75" customHeight="1">
      <c r="A506" s="2"/>
      <c r="B506" s="182"/>
      <c r="C506" s="3"/>
      <c r="D506" s="2"/>
      <c r="E506" s="3"/>
      <c r="F506" s="2"/>
      <c r="G506" s="2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91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</row>
    <row r="507" ht="15.75" customHeight="1">
      <c r="A507" s="2"/>
      <c r="B507" s="182"/>
      <c r="C507" s="3"/>
      <c r="D507" s="2"/>
      <c r="E507" s="3"/>
      <c r="F507" s="2"/>
      <c r="G507" s="2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91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</row>
    <row r="508" ht="15.75" customHeight="1">
      <c r="A508" s="2"/>
      <c r="B508" s="182"/>
      <c r="C508" s="3"/>
      <c r="D508" s="2"/>
      <c r="E508" s="3"/>
      <c r="F508" s="2"/>
      <c r="G508" s="2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91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</row>
    <row r="509" ht="15.75" customHeight="1">
      <c r="A509" s="2"/>
      <c r="B509" s="182"/>
      <c r="C509" s="3"/>
      <c r="D509" s="2"/>
      <c r="E509" s="3"/>
      <c r="F509" s="2"/>
      <c r="G509" s="2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91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</row>
    <row r="510" ht="15.75" customHeight="1">
      <c r="A510" s="2"/>
      <c r="B510" s="182"/>
      <c r="C510" s="3"/>
      <c r="D510" s="2"/>
      <c r="E510" s="3"/>
      <c r="F510" s="2"/>
      <c r="G510" s="2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91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</row>
    <row r="511" ht="15.75" customHeight="1">
      <c r="A511" s="2"/>
      <c r="B511" s="182"/>
      <c r="C511" s="3"/>
      <c r="D511" s="2"/>
      <c r="E511" s="3"/>
      <c r="F511" s="2"/>
      <c r="G511" s="2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91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</row>
    <row r="512" ht="15.75" customHeight="1">
      <c r="A512" s="2"/>
      <c r="B512" s="182"/>
      <c r="C512" s="3"/>
      <c r="D512" s="2"/>
      <c r="E512" s="3"/>
      <c r="F512" s="2"/>
      <c r="G512" s="2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91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</row>
    <row r="513" ht="15.75" customHeight="1">
      <c r="A513" s="2"/>
      <c r="B513" s="182"/>
      <c r="C513" s="3"/>
      <c r="D513" s="2"/>
      <c r="E513" s="3"/>
      <c r="F513" s="2"/>
      <c r="G513" s="2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91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</row>
    <row r="514" ht="15.75" customHeight="1">
      <c r="A514" s="2"/>
      <c r="B514" s="182"/>
      <c r="C514" s="3"/>
      <c r="D514" s="2"/>
      <c r="E514" s="3"/>
      <c r="F514" s="2"/>
      <c r="G514" s="2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91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</row>
    <row r="515" ht="15.75" customHeight="1">
      <c r="A515" s="2"/>
      <c r="B515" s="182"/>
      <c r="C515" s="3"/>
      <c r="D515" s="2"/>
      <c r="E515" s="3"/>
      <c r="F515" s="2"/>
      <c r="G515" s="2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91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</row>
    <row r="516" ht="15.75" customHeight="1">
      <c r="A516" s="2"/>
      <c r="B516" s="182"/>
      <c r="C516" s="3"/>
      <c r="D516" s="2"/>
      <c r="E516" s="3"/>
      <c r="F516" s="2"/>
      <c r="G516" s="2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91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</row>
    <row r="517" ht="15.75" customHeight="1">
      <c r="A517" s="2"/>
      <c r="B517" s="182"/>
      <c r="C517" s="3"/>
      <c r="D517" s="2"/>
      <c r="E517" s="3"/>
      <c r="F517" s="2"/>
      <c r="G517" s="2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91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</row>
    <row r="518" ht="15.75" customHeight="1">
      <c r="A518" s="2"/>
      <c r="B518" s="182"/>
      <c r="C518" s="3"/>
      <c r="D518" s="2"/>
      <c r="E518" s="3"/>
      <c r="F518" s="2"/>
      <c r="G518" s="2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91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</row>
    <row r="519" ht="15.75" customHeight="1">
      <c r="A519" s="2"/>
      <c r="B519" s="182"/>
      <c r="C519" s="3"/>
      <c r="D519" s="2"/>
      <c r="E519" s="3"/>
      <c r="F519" s="2"/>
      <c r="G519" s="2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91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</row>
    <row r="520" ht="15.75" customHeight="1">
      <c r="A520" s="2"/>
      <c r="B520" s="182"/>
      <c r="C520" s="3"/>
      <c r="D520" s="2"/>
      <c r="E520" s="3"/>
      <c r="F520" s="2"/>
      <c r="G520" s="2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91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</row>
    <row r="521" ht="15.75" customHeight="1">
      <c r="A521" s="2"/>
      <c r="B521" s="182"/>
      <c r="C521" s="3"/>
      <c r="D521" s="2"/>
      <c r="E521" s="3"/>
      <c r="F521" s="2"/>
      <c r="G521" s="2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91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</row>
    <row r="522" ht="15.75" customHeight="1">
      <c r="A522" s="2"/>
      <c r="B522" s="182"/>
      <c r="C522" s="3"/>
      <c r="D522" s="2"/>
      <c r="E522" s="3"/>
      <c r="F522" s="2"/>
      <c r="G522" s="2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91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</row>
    <row r="523" ht="15.75" customHeight="1">
      <c r="A523" s="2"/>
      <c r="B523" s="182"/>
      <c r="C523" s="3"/>
      <c r="D523" s="2"/>
      <c r="E523" s="3"/>
      <c r="F523" s="2"/>
      <c r="G523" s="2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91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</row>
    <row r="524" ht="15.75" customHeight="1">
      <c r="A524" s="2"/>
      <c r="B524" s="182"/>
      <c r="C524" s="3"/>
      <c r="D524" s="2"/>
      <c r="E524" s="3"/>
      <c r="F524" s="2"/>
      <c r="G524" s="2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91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</row>
    <row r="525" ht="15.75" customHeight="1">
      <c r="A525" s="2"/>
      <c r="B525" s="182"/>
      <c r="C525" s="3"/>
      <c r="D525" s="2"/>
      <c r="E525" s="3"/>
      <c r="F525" s="2"/>
      <c r="G525" s="2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91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</row>
    <row r="526" ht="15.75" customHeight="1">
      <c r="A526" s="2"/>
      <c r="B526" s="182"/>
      <c r="C526" s="3"/>
      <c r="D526" s="2"/>
      <c r="E526" s="3"/>
      <c r="F526" s="2"/>
      <c r="G526" s="2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91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</row>
    <row r="527" ht="15.75" customHeight="1">
      <c r="A527" s="2"/>
      <c r="B527" s="182"/>
      <c r="C527" s="3"/>
      <c r="D527" s="2"/>
      <c r="E527" s="3"/>
      <c r="F527" s="2"/>
      <c r="G527" s="2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91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</row>
    <row r="528" ht="15.75" customHeight="1">
      <c r="A528" s="2"/>
      <c r="B528" s="182"/>
      <c r="C528" s="3"/>
      <c r="D528" s="2"/>
      <c r="E528" s="3"/>
      <c r="F528" s="2"/>
      <c r="G528" s="2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91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</row>
    <row r="529" ht="15.75" customHeight="1">
      <c r="A529" s="2"/>
      <c r="B529" s="182"/>
      <c r="C529" s="3"/>
      <c r="D529" s="2"/>
      <c r="E529" s="3"/>
      <c r="F529" s="2"/>
      <c r="G529" s="2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91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</row>
    <row r="530" ht="15.75" customHeight="1">
      <c r="A530" s="2"/>
      <c r="B530" s="182"/>
      <c r="C530" s="3"/>
      <c r="D530" s="2"/>
      <c r="E530" s="3"/>
      <c r="F530" s="2"/>
      <c r="G530" s="2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91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</row>
    <row r="531" ht="15.75" customHeight="1">
      <c r="A531" s="2"/>
      <c r="B531" s="182"/>
      <c r="C531" s="3"/>
      <c r="D531" s="2"/>
      <c r="E531" s="3"/>
      <c r="F531" s="2"/>
      <c r="G531" s="2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91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</row>
    <row r="532" ht="15.75" customHeight="1">
      <c r="A532" s="2"/>
      <c r="B532" s="182"/>
      <c r="C532" s="3"/>
      <c r="D532" s="2"/>
      <c r="E532" s="3"/>
      <c r="F532" s="2"/>
      <c r="G532" s="2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91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</row>
    <row r="533" ht="15.75" customHeight="1">
      <c r="A533" s="2"/>
      <c r="B533" s="182"/>
      <c r="C533" s="3"/>
      <c r="D533" s="2"/>
      <c r="E533" s="3"/>
      <c r="F533" s="2"/>
      <c r="G533" s="2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91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</row>
    <row r="534" ht="15.75" customHeight="1">
      <c r="A534" s="2"/>
      <c r="B534" s="182"/>
      <c r="C534" s="3"/>
      <c r="D534" s="2"/>
      <c r="E534" s="3"/>
      <c r="F534" s="2"/>
      <c r="G534" s="2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91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</row>
    <row r="535" ht="15.75" customHeight="1">
      <c r="A535" s="2"/>
      <c r="B535" s="182"/>
      <c r="C535" s="3"/>
      <c r="D535" s="2"/>
      <c r="E535" s="3"/>
      <c r="F535" s="2"/>
      <c r="G535" s="2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91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</row>
    <row r="536" ht="15.75" customHeight="1">
      <c r="A536" s="2"/>
      <c r="B536" s="182"/>
      <c r="C536" s="3"/>
      <c r="D536" s="2"/>
      <c r="E536" s="3"/>
      <c r="F536" s="2"/>
      <c r="G536" s="2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91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</row>
    <row r="537" ht="15.75" customHeight="1">
      <c r="A537" s="2"/>
      <c r="B537" s="182"/>
      <c r="C537" s="3"/>
      <c r="D537" s="2"/>
      <c r="E537" s="3"/>
      <c r="F537" s="2"/>
      <c r="G537" s="2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91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</row>
    <row r="538" ht="15.75" customHeight="1">
      <c r="A538" s="2"/>
      <c r="B538" s="182"/>
      <c r="C538" s="3"/>
      <c r="D538" s="2"/>
      <c r="E538" s="3"/>
      <c r="F538" s="2"/>
      <c r="G538" s="2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91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</row>
    <row r="539" ht="15.75" customHeight="1">
      <c r="A539" s="2"/>
      <c r="B539" s="182"/>
      <c r="C539" s="3"/>
      <c r="D539" s="2"/>
      <c r="E539" s="3"/>
      <c r="F539" s="2"/>
      <c r="G539" s="2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91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</row>
    <row r="540" ht="15.75" customHeight="1">
      <c r="A540" s="2"/>
      <c r="B540" s="182"/>
      <c r="C540" s="3"/>
      <c r="D540" s="2"/>
      <c r="E540" s="3"/>
      <c r="F540" s="2"/>
      <c r="G540" s="2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91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</row>
    <row r="541" ht="15.75" customHeight="1">
      <c r="A541" s="2"/>
      <c r="B541" s="182"/>
      <c r="C541" s="3"/>
      <c r="D541" s="2"/>
      <c r="E541" s="3"/>
      <c r="F541" s="2"/>
      <c r="G541" s="2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91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</row>
    <row r="542" ht="15.75" customHeight="1">
      <c r="A542" s="2"/>
      <c r="B542" s="182"/>
      <c r="C542" s="3"/>
      <c r="D542" s="2"/>
      <c r="E542" s="3"/>
      <c r="F542" s="2"/>
      <c r="G542" s="2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91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</row>
    <row r="543" ht="15.75" customHeight="1">
      <c r="A543" s="2"/>
      <c r="B543" s="182"/>
      <c r="C543" s="3"/>
      <c r="D543" s="2"/>
      <c r="E543" s="3"/>
      <c r="F543" s="2"/>
      <c r="G543" s="2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91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 ht="15.75" customHeight="1">
      <c r="A544" s="2"/>
      <c r="B544" s="182"/>
      <c r="C544" s="3"/>
      <c r="D544" s="2"/>
      <c r="E544" s="3"/>
      <c r="F544" s="2"/>
      <c r="G544" s="2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91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 ht="15.75" customHeight="1">
      <c r="A545" s="2"/>
      <c r="B545" s="182"/>
      <c r="C545" s="3"/>
      <c r="D545" s="2"/>
      <c r="E545" s="3"/>
      <c r="F545" s="2"/>
      <c r="G545" s="2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91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 ht="15.75" customHeight="1">
      <c r="A546" s="2"/>
      <c r="B546" s="182"/>
      <c r="C546" s="3"/>
      <c r="D546" s="2"/>
      <c r="E546" s="3"/>
      <c r="F546" s="2"/>
      <c r="G546" s="2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91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 ht="15.75" customHeight="1">
      <c r="A547" s="2"/>
      <c r="B547" s="182"/>
      <c r="C547" s="3"/>
      <c r="D547" s="2"/>
      <c r="E547" s="3"/>
      <c r="F547" s="2"/>
      <c r="G547" s="2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91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</row>
    <row r="548" ht="15.75" customHeight="1">
      <c r="A548" s="2"/>
      <c r="B548" s="182"/>
      <c r="C548" s="3"/>
      <c r="D548" s="2"/>
      <c r="E548" s="3"/>
      <c r="F548" s="2"/>
      <c r="G548" s="2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91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</row>
    <row r="549" ht="15.75" customHeight="1">
      <c r="A549" s="2"/>
      <c r="B549" s="182"/>
      <c r="C549" s="3"/>
      <c r="D549" s="2"/>
      <c r="E549" s="3"/>
      <c r="F549" s="2"/>
      <c r="G549" s="2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91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</row>
    <row r="550" ht="15.75" customHeight="1">
      <c r="A550" s="2"/>
      <c r="B550" s="182"/>
      <c r="C550" s="3"/>
      <c r="D550" s="2"/>
      <c r="E550" s="3"/>
      <c r="F550" s="2"/>
      <c r="G550" s="2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91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</row>
    <row r="551" ht="15.75" customHeight="1">
      <c r="A551" s="2"/>
      <c r="B551" s="182"/>
      <c r="C551" s="3"/>
      <c r="D551" s="2"/>
      <c r="E551" s="3"/>
      <c r="F551" s="2"/>
      <c r="G551" s="2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91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</row>
    <row r="552" ht="15.75" customHeight="1">
      <c r="A552" s="2"/>
      <c r="B552" s="182"/>
      <c r="C552" s="3"/>
      <c r="D552" s="2"/>
      <c r="E552" s="3"/>
      <c r="F552" s="2"/>
      <c r="G552" s="2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91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</row>
    <row r="553" ht="15.75" customHeight="1">
      <c r="A553" s="2"/>
      <c r="B553" s="182"/>
      <c r="C553" s="3"/>
      <c r="D553" s="2"/>
      <c r="E553" s="3"/>
      <c r="F553" s="2"/>
      <c r="G553" s="2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91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</row>
    <row r="554" ht="15.75" customHeight="1">
      <c r="A554" s="2"/>
      <c r="B554" s="182"/>
      <c r="C554" s="3"/>
      <c r="D554" s="2"/>
      <c r="E554" s="3"/>
      <c r="F554" s="2"/>
      <c r="G554" s="2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91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</row>
    <row r="555" ht="15.75" customHeight="1">
      <c r="A555" s="2"/>
      <c r="B555" s="182"/>
      <c r="C555" s="3"/>
      <c r="D555" s="2"/>
      <c r="E555" s="3"/>
      <c r="F555" s="2"/>
      <c r="G555" s="2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91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</row>
    <row r="556" ht="15.75" customHeight="1">
      <c r="A556" s="2"/>
      <c r="B556" s="182"/>
      <c r="C556" s="3"/>
      <c r="D556" s="2"/>
      <c r="E556" s="3"/>
      <c r="F556" s="2"/>
      <c r="G556" s="2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91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</row>
    <row r="557" ht="15.75" customHeight="1">
      <c r="A557" s="2"/>
      <c r="B557" s="182"/>
      <c r="C557" s="3"/>
      <c r="D557" s="2"/>
      <c r="E557" s="3"/>
      <c r="F557" s="2"/>
      <c r="G557" s="2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91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</row>
    <row r="558" ht="15.75" customHeight="1">
      <c r="A558" s="2"/>
      <c r="B558" s="182"/>
      <c r="C558" s="3"/>
      <c r="D558" s="2"/>
      <c r="E558" s="3"/>
      <c r="F558" s="2"/>
      <c r="G558" s="2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91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</row>
    <row r="559" ht="15.75" customHeight="1">
      <c r="A559" s="2"/>
      <c r="B559" s="182"/>
      <c r="C559" s="3"/>
      <c r="D559" s="2"/>
      <c r="E559" s="3"/>
      <c r="F559" s="2"/>
      <c r="G559" s="2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91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</row>
    <row r="560" ht="15.75" customHeight="1">
      <c r="A560" s="2"/>
      <c r="B560" s="182"/>
      <c r="C560" s="3"/>
      <c r="D560" s="2"/>
      <c r="E560" s="3"/>
      <c r="F560" s="2"/>
      <c r="G560" s="2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91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</row>
    <row r="561" ht="15.75" customHeight="1">
      <c r="A561" s="2"/>
      <c r="B561" s="182"/>
      <c r="C561" s="3"/>
      <c r="D561" s="2"/>
      <c r="E561" s="3"/>
      <c r="F561" s="2"/>
      <c r="G561" s="2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91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</row>
    <row r="562" ht="15.75" customHeight="1">
      <c r="A562" s="2"/>
      <c r="B562" s="182"/>
      <c r="C562" s="3"/>
      <c r="D562" s="2"/>
      <c r="E562" s="3"/>
      <c r="F562" s="2"/>
      <c r="G562" s="2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91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 ht="15.75" customHeight="1">
      <c r="A563" s="2"/>
      <c r="B563" s="182"/>
      <c r="C563" s="3"/>
      <c r="D563" s="2"/>
      <c r="E563" s="3"/>
      <c r="F563" s="2"/>
      <c r="G563" s="2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91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</row>
    <row r="564" ht="15.75" customHeight="1">
      <c r="A564" s="2"/>
      <c r="B564" s="182"/>
      <c r="C564" s="3"/>
      <c r="D564" s="2"/>
      <c r="E564" s="3"/>
      <c r="F564" s="2"/>
      <c r="G564" s="2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91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 ht="15.75" customHeight="1">
      <c r="A565" s="2"/>
      <c r="B565" s="182"/>
      <c r="C565" s="3"/>
      <c r="D565" s="2"/>
      <c r="E565" s="3"/>
      <c r="F565" s="2"/>
      <c r="G565" s="2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91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 ht="15.75" customHeight="1">
      <c r="A566" s="2"/>
      <c r="B566" s="182"/>
      <c r="C566" s="3"/>
      <c r="D566" s="2"/>
      <c r="E566" s="3"/>
      <c r="F566" s="2"/>
      <c r="G566" s="2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91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 ht="15.75" customHeight="1">
      <c r="A567" s="2"/>
      <c r="B567" s="182"/>
      <c r="C567" s="3"/>
      <c r="D567" s="2"/>
      <c r="E567" s="3"/>
      <c r="F567" s="2"/>
      <c r="G567" s="2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91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</row>
    <row r="568" ht="15.75" customHeight="1">
      <c r="A568" s="2"/>
      <c r="B568" s="182"/>
      <c r="C568" s="3"/>
      <c r="D568" s="2"/>
      <c r="E568" s="3"/>
      <c r="F568" s="2"/>
      <c r="G568" s="2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91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</row>
    <row r="569" ht="15.75" customHeight="1">
      <c r="A569" s="2"/>
      <c r="B569" s="182"/>
      <c r="C569" s="3"/>
      <c r="D569" s="2"/>
      <c r="E569" s="3"/>
      <c r="F569" s="2"/>
      <c r="G569" s="2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91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</row>
    <row r="570" ht="15.75" customHeight="1">
      <c r="A570" s="2"/>
      <c r="B570" s="182"/>
      <c r="C570" s="3"/>
      <c r="D570" s="2"/>
      <c r="E570" s="3"/>
      <c r="F570" s="2"/>
      <c r="G570" s="2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91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</row>
    <row r="571" ht="15.75" customHeight="1">
      <c r="A571" s="2"/>
      <c r="B571" s="182"/>
      <c r="C571" s="3"/>
      <c r="D571" s="2"/>
      <c r="E571" s="3"/>
      <c r="F571" s="2"/>
      <c r="G571" s="2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91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</row>
    <row r="572" ht="15.75" customHeight="1">
      <c r="A572" s="2"/>
      <c r="B572" s="182"/>
      <c r="C572" s="3"/>
      <c r="D572" s="2"/>
      <c r="E572" s="3"/>
      <c r="F572" s="2"/>
      <c r="G572" s="2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91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</row>
    <row r="573" ht="15.75" customHeight="1">
      <c r="A573" s="2"/>
      <c r="B573" s="182"/>
      <c r="C573" s="3"/>
      <c r="D573" s="2"/>
      <c r="E573" s="3"/>
      <c r="F573" s="2"/>
      <c r="G573" s="2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91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</row>
    <row r="574" ht="15.75" customHeight="1">
      <c r="A574" s="2"/>
      <c r="B574" s="182"/>
      <c r="C574" s="3"/>
      <c r="D574" s="2"/>
      <c r="E574" s="3"/>
      <c r="F574" s="2"/>
      <c r="G574" s="2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91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</row>
    <row r="575" ht="15.75" customHeight="1">
      <c r="A575" s="2"/>
      <c r="B575" s="182"/>
      <c r="C575" s="3"/>
      <c r="D575" s="2"/>
      <c r="E575" s="3"/>
      <c r="F575" s="2"/>
      <c r="G575" s="2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91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</row>
    <row r="576" ht="15.75" customHeight="1">
      <c r="A576" s="2"/>
      <c r="B576" s="182"/>
      <c r="C576" s="3"/>
      <c r="D576" s="2"/>
      <c r="E576" s="3"/>
      <c r="F576" s="2"/>
      <c r="G576" s="2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91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</row>
    <row r="577" ht="15.75" customHeight="1">
      <c r="A577" s="2"/>
      <c r="B577" s="182"/>
      <c r="C577" s="3"/>
      <c r="D577" s="2"/>
      <c r="E577" s="3"/>
      <c r="F577" s="2"/>
      <c r="G577" s="2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91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</row>
    <row r="578" ht="15.75" customHeight="1">
      <c r="A578" s="2"/>
      <c r="B578" s="182"/>
      <c r="C578" s="3"/>
      <c r="D578" s="2"/>
      <c r="E578" s="3"/>
      <c r="F578" s="2"/>
      <c r="G578" s="2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91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</row>
    <row r="579" ht="15.75" customHeight="1">
      <c r="A579" s="2"/>
      <c r="B579" s="182"/>
      <c r="C579" s="3"/>
      <c r="D579" s="2"/>
      <c r="E579" s="3"/>
      <c r="F579" s="2"/>
      <c r="G579" s="2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91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</row>
    <row r="580" ht="15.75" customHeight="1">
      <c r="A580" s="2"/>
      <c r="B580" s="182"/>
      <c r="C580" s="3"/>
      <c r="D580" s="2"/>
      <c r="E580" s="3"/>
      <c r="F580" s="2"/>
      <c r="G580" s="2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91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</row>
    <row r="581" ht="15.75" customHeight="1">
      <c r="A581" s="2"/>
      <c r="B581" s="182"/>
      <c r="C581" s="3"/>
      <c r="D581" s="2"/>
      <c r="E581" s="3"/>
      <c r="F581" s="2"/>
      <c r="G581" s="2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91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</row>
    <row r="582" ht="15.75" customHeight="1">
      <c r="A582" s="2"/>
      <c r="B582" s="182"/>
      <c r="C582" s="3"/>
      <c r="D582" s="2"/>
      <c r="E582" s="3"/>
      <c r="F582" s="2"/>
      <c r="G582" s="2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91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</row>
    <row r="583" ht="15.75" customHeight="1">
      <c r="A583" s="2"/>
      <c r="B583" s="182"/>
      <c r="C583" s="3"/>
      <c r="D583" s="2"/>
      <c r="E583" s="3"/>
      <c r="F583" s="2"/>
      <c r="G583" s="2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91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</row>
    <row r="584" ht="15.75" customHeight="1">
      <c r="A584" s="2"/>
      <c r="B584" s="182"/>
      <c r="C584" s="3"/>
      <c r="D584" s="2"/>
      <c r="E584" s="3"/>
      <c r="F584" s="2"/>
      <c r="G584" s="2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91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</row>
    <row r="585" ht="15.75" customHeight="1">
      <c r="A585" s="2"/>
      <c r="B585" s="182"/>
      <c r="C585" s="3"/>
      <c r="D585" s="2"/>
      <c r="E585" s="3"/>
      <c r="F585" s="2"/>
      <c r="G585" s="2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91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</row>
    <row r="586" ht="15.75" customHeight="1">
      <c r="A586" s="2"/>
      <c r="B586" s="182"/>
      <c r="C586" s="3"/>
      <c r="D586" s="2"/>
      <c r="E586" s="3"/>
      <c r="F586" s="2"/>
      <c r="G586" s="2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91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</row>
    <row r="587" ht="15.75" customHeight="1">
      <c r="A587" s="2"/>
      <c r="B587" s="182"/>
      <c r="C587" s="3"/>
      <c r="D587" s="2"/>
      <c r="E587" s="3"/>
      <c r="F587" s="2"/>
      <c r="G587" s="2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91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</row>
    <row r="588" ht="15.75" customHeight="1">
      <c r="A588" s="2"/>
      <c r="B588" s="182"/>
      <c r="C588" s="3"/>
      <c r="D588" s="2"/>
      <c r="E588" s="3"/>
      <c r="F588" s="2"/>
      <c r="G588" s="2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91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</row>
    <row r="589" ht="15.75" customHeight="1">
      <c r="A589" s="2"/>
      <c r="B589" s="182"/>
      <c r="C589" s="3"/>
      <c r="D589" s="2"/>
      <c r="E589" s="3"/>
      <c r="F589" s="2"/>
      <c r="G589" s="2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91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</row>
    <row r="590" ht="15.75" customHeight="1">
      <c r="A590" s="2"/>
      <c r="B590" s="182"/>
      <c r="C590" s="3"/>
      <c r="D590" s="2"/>
      <c r="E590" s="3"/>
      <c r="F590" s="2"/>
      <c r="G590" s="2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91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</row>
    <row r="591" ht="15.75" customHeight="1">
      <c r="A591" s="2"/>
      <c r="B591" s="182"/>
      <c r="C591" s="3"/>
      <c r="D591" s="2"/>
      <c r="E591" s="3"/>
      <c r="F591" s="2"/>
      <c r="G591" s="2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91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</row>
    <row r="592" ht="15.75" customHeight="1">
      <c r="A592" s="2"/>
      <c r="B592" s="182"/>
      <c r="C592" s="3"/>
      <c r="D592" s="2"/>
      <c r="E592" s="3"/>
      <c r="F592" s="2"/>
      <c r="G592" s="2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91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</row>
    <row r="593" ht="15.75" customHeight="1">
      <c r="A593" s="2"/>
      <c r="B593" s="182"/>
      <c r="C593" s="3"/>
      <c r="D593" s="2"/>
      <c r="E593" s="3"/>
      <c r="F593" s="2"/>
      <c r="G593" s="2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91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</row>
    <row r="594" ht="15.75" customHeight="1">
      <c r="A594" s="2"/>
      <c r="B594" s="182"/>
      <c r="C594" s="3"/>
      <c r="D594" s="2"/>
      <c r="E594" s="3"/>
      <c r="F594" s="2"/>
      <c r="G594" s="2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91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</row>
    <row r="595" ht="15.75" customHeight="1">
      <c r="A595" s="2"/>
      <c r="B595" s="182"/>
      <c r="C595" s="3"/>
      <c r="D595" s="2"/>
      <c r="E595" s="3"/>
      <c r="F595" s="2"/>
      <c r="G595" s="2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91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</row>
    <row r="596" ht="15.75" customHeight="1">
      <c r="A596" s="2"/>
      <c r="B596" s="182"/>
      <c r="C596" s="3"/>
      <c r="D596" s="2"/>
      <c r="E596" s="3"/>
      <c r="F596" s="2"/>
      <c r="G596" s="2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91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</row>
    <row r="597" ht="15.75" customHeight="1">
      <c r="A597" s="2"/>
      <c r="B597" s="182"/>
      <c r="C597" s="3"/>
      <c r="D597" s="2"/>
      <c r="E597" s="3"/>
      <c r="F597" s="2"/>
      <c r="G597" s="2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91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</row>
    <row r="598" ht="15.75" customHeight="1">
      <c r="A598" s="2"/>
      <c r="B598" s="182"/>
      <c r="C598" s="3"/>
      <c r="D598" s="2"/>
      <c r="E598" s="3"/>
      <c r="F598" s="2"/>
      <c r="G598" s="2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91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</row>
    <row r="599" ht="15.75" customHeight="1">
      <c r="A599" s="2"/>
      <c r="B599" s="182"/>
      <c r="C599" s="3"/>
      <c r="D599" s="2"/>
      <c r="E599" s="3"/>
      <c r="F599" s="2"/>
      <c r="G599" s="2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91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</row>
    <row r="600" ht="15.75" customHeight="1">
      <c r="A600" s="2"/>
      <c r="B600" s="182"/>
      <c r="C600" s="3"/>
      <c r="D600" s="2"/>
      <c r="E600" s="3"/>
      <c r="F600" s="2"/>
      <c r="G600" s="2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91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</row>
    <row r="601" ht="15.75" customHeight="1">
      <c r="A601" s="2"/>
      <c r="B601" s="182"/>
      <c r="C601" s="3"/>
      <c r="D601" s="2"/>
      <c r="E601" s="3"/>
      <c r="F601" s="2"/>
      <c r="G601" s="2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91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</row>
    <row r="602" ht="15.75" customHeight="1">
      <c r="A602" s="2"/>
      <c r="B602" s="182"/>
      <c r="C602" s="3"/>
      <c r="D602" s="2"/>
      <c r="E602" s="3"/>
      <c r="F602" s="2"/>
      <c r="G602" s="2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91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</row>
    <row r="603" ht="15.75" customHeight="1">
      <c r="A603" s="2"/>
      <c r="B603" s="182"/>
      <c r="C603" s="3"/>
      <c r="D603" s="2"/>
      <c r="E603" s="3"/>
      <c r="F603" s="2"/>
      <c r="G603" s="2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91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</row>
    <row r="604" ht="15.75" customHeight="1">
      <c r="A604" s="2"/>
      <c r="B604" s="182"/>
      <c r="C604" s="3"/>
      <c r="D604" s="2"/>
      <c r="E604" s="3"/>
      <c r="F604" s="2"/>
      <c r="G604" s="2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91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</row>
    <row r="605" ht="15.75" customHeight="1">
      <c r="A605" s="2"/>
      <c r="B605" s="182"/>
      <c r="C605" s="3"/>
      <c r="D605" s="2"/>
      <c r="E605" s="3"/>
      <c r="F605" s="2"/>
      <c r="G605" s="2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91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</row>
    <row r="606" ht="15.75" customHeight="1">
      <c r="A606" s="2"/>
      <c r="B606" s="182"/>
      <c r="C606" s="3"/>
      <c r="D606" s="2"/>
      <c r="E606" s="3"/>
      <c r="F606" s="2"/>
      <c r="G606" s="2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91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</row>
    <row r="607" ht="15.75" customHeight="1">
      <c r="A607" s="2"/>
      <c r="B607" s="182"/>
      <c r="C607" s="3"/>
      <c r="D607" s="2"/>
      <c r="E607" s="3"/>
      <c r="F607" s="2"/>
      <c r="G607" s="2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91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</row>
    <row r="608" ht="15.75" customHeight="1">
      <c r="A608" s="2"/>
      <c r="B608" s="182"/>
      <c r="C608" s="3"/>
      <c r="D608" s="2"/>
      <c r="E608" s="3"/>
      <c r="F608" s="2"/>
      <c r="G608" s="2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91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</row>
    <row r="609" ht="15.75" customHeight="1">
      <c r="A609" s="2"/>
      <c r="B609" s="182"/>
      <c r="C609" s="3"/>
      <c r="D609" s="2"/>
      <c r="E609" s="3"/>
      <c r="F609" s="2"/>
      <c r="G609" s="2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91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</row>
    <row r="610" ht="15.75" customHeight="1">
      <c r="A610" s="2"/>
      <c r="B610" s="182"/>
      <c r="C610" s="3"/>
      <c r="D610" s="2"/>
      <c r="E610" s="3"/>
      <c r="F610" s="2"/>
      <c r="G610" s="2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91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</row>
    <row r="611" ht="15.75" customHeight="1">
      <c r="A611" s="2"/>
      <c r="B611" s="182"/>
      <c r="C611" s="3"/>
      <c r="D611" s="2"/>
      <c r="E611" s="3"/>
      <c r="F611" s="2"/>
      <c r="G611" s="2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91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</row>
    <row r="612" ht="15.75" customHeight="1">
      <c r="A612" s="2"/>
      <c r="B612" s="182"/>
      <c r="C612" s="3"/>
      <c r="D612" s="2"/>
      <c r="E612" s="3"/>
      <c r="F612" s="2"/>
      <c r="G612" s="2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91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</row>
    <row r="613" ht="15.75" customHeight="1">
      <c r="A613" s="2"/>
      <c r="B613" s="182"/>
      <c r="C613" s="3"/>
      <c r="D613" s="2"/>
      <c r="E613" s="3"/>
      <c r="F613" s="2"/>
      <c r="G613" s="2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91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</row>
    <row r="614" ht="15.75" customHeight="1">
      <c r="A614" s="2"/>
      <c r="B614" s="182"/>
      <c r="C614" s="3"/>
      <c r="D614" s="2"/>
      <c r="E614" s="3"/>
      <c r="F614" s="2"/>
      <c r="G614" s="2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91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</row>
    <row r="615" ht="15.75" customHeight="1">
      <c r="A615" s="2"/>
      <c r="B615" s="182"/>
      <c r="C615" s="3"/>
      <c r="D615" s="2"/>
      <c r="E615" s="3"/>
      <c r="F615" s="2"/>
      <c r="G615" s="2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91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</row>
    <row r="616" ht="15.75" customHeight="1">
      <c r="A616" s="2"/>
      <c r="B616" s="182"/>
      <c r="C616" s="3"/>
      <c r="D616" s="2"/>
      <c r="E616" s="3"/>
      <c r="F616" s="2"/>
      <c r="G616" s="2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91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</row>
    <row r="617" ht="15.75" customHeight="1">
      <c r="A617" s="2"/>
      <c r="B617" s="182"/>
      <c r="C617" s="3"/>
      <c r="D617" s="2"/>
      <c r="E617" s="3"/>
      <c r="F617" s="2"/>
      <c r="G617" s="2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91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</row>
    <row r="618" ht="15.75" customHeight="1">
      <c r="A618" s="2"/>
      <c r="B618" s="182"/>
      <c r="C618" s="3"/>
      <c r="D618" s="2"/>
      <c r="E618" s="3"/>
      <c r="F618" s="2"/>
      <c r="G618" s="2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91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</row>
    <row r="619" ht="15.75" customHeight="1">
      <c r="A619" s="2"/>
      <c r="B619" s="182"/>
      <c r="C619" s="3"/>
      <c r="D619" s="2"/>
      <c r="E619" s="3"/>
      <c r="F619" s="2"/>
      <c r="G619" s="2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91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</row>
    <row r="620" ht="15.75" customHeight="1">
      <c r="A620" s="2"/>
      <c r="B620" s="182"/>
      <c r="C620" s="3"/>
      <c r="D620" s="2"/>
      <c r="E620" s="3"/>
      <c r="F620" s="2"/>
      <c r="G620" s="2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91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</row>
    <row r="621" ht="15.75" customHeight="1">
      <c r="A621" s="2"/>
      <c r="B621" s="182"/>
      <c r="C621" s="3"/>
      <c r="D621" s="2"/>
      <c r="E621" s="3"/>
      <c r="F621" s="2"/>
      <c r="G621" s="2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91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</row>
    <row r="622" ht="15.75" customHeight="1">
      <c r="A622" s="2"/>
      <c r="B622" s="182"/>
      <c r="C622" s="3"/>
      <c r="D622" s="2"/>
      <c r="E622" s="3"/>
      <c r="F622" s="2"/>
      <c r="G622" s="2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91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</row>
    <row r="623" ht="15.75" customHeight="1">
      <c r="A623" s="2"/>
      <c r="B623" s="182"/>
      <c r="C623" s="3"/>
      <c r="D623" s="2"/>
      <c r="E623" s="3"/>
      <c r="F623" s="2"/>
      <c r="G623" s="2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91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</row>
    <row r="624" ht="15.75" customHeight="1">
      <c r="A624" s="2"/>
      <c r="B624" s="182"/>
      <c r="C624" s="3"/>
      <c r="D624" s="2"/>
      <c r="E624" s="3"/>
      <c r="F624" s="2"/>
      <c r="G624" s="2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91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</row>
    <row r="625" ht="15.75" customHeight="1">
      <c r="A625" s="2"/>
      <c r="B625" s="182"/>
      <c r="C625" s="3"/>
      <c r="D625" s="2"/>
      <c r="E625" s="3"/>
      <c r="F625" s="2"/>
      <c r="G625" s="2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91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</row>
    <row r="626" ht="15.75" customHeight="1">
      <c r="A626" s="2"/>
      <c r="B626" s="182"/>
      <c r="C626" s="3"/>
      <c r="D626" s="2"/>
      <c r="E626" s="3"/>
      <c r="F626" s="2"/>
      <c r="G626" s="2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91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</row>
    <row r="627" ht="15.75" customHeight="1">
      <c r="A627" s="2"/>
      <c r="B627" s="182"/>
      <c r="C627" s="3"/>
      <c r="D627" s="2"/>
      <c r="E627" s="3"/>
      <c r="F627" s="2"/>
      <c r="G627" s="2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91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</row>
    <row r="628" ht="15.75" customHeight="1">
      <c r="A628" s="2"/>
      <c r="B628" s="182"/>
      <c r="C628" s="3"/>
      <c r="D628" s="2"/>
      <c r="E628" s="3"/>
      <c r="F628" s="2"/>
      <c r="G628" s="2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91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</row>
    <row r="629" ht="15.75" customHeight="1">
      <c r="A629" s="2"/>
      <c r="B629" s="182"/>
      <c r="C629" s="3"/>
      <c r="D629" s="2"/>
      <c r="E629" s="3"/>
      <c r="F629" s="2"/>
      <c r="G629" s="2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91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</row>
    <row r="630" ht="15.75" customHeight="1">
      <c r="A630" s="2"/>
      <c r="B630" s="182"/>
      <c r="C630" s="3"/>
      <c r="D630" s="2"/>
      <c r="E630" s="3"/>
      <c r="F630" s="2"/>
      <c r="G630" s="2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91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</row>
    <row r="631" ht="15.75" customHeight="1">
      <c r="A631" s="2"/>
      <c r="B631" s="182"/>
      <c r="C631" s="3"/>
      <c r="D631" s="2"/>
      <c r="E631" s="3"/>
      <c r="F631" s="2"/>
      <c r="G631" s="2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91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</row>
    <row r="632" ht="15.75" customHeight="1">
      <c r="A632" s="2"/>
      <c r="B632" s="182"/>
      <c r="C632" s="3"/>
      <c r="D632" s="2"/>
      <c r="E632" s="3"/>
      <c r="F632" s="2"/>
      <c r="G632" s="2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91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</row>
    <row r="633" ht="15.75" customHeight="1">
      <c r="A633" s="2"/>
      <c r="B633" s="182"/>
      <c r="C633" s="3"/>
      <c r="D633" s="2"/>
      <c r="E633" s="3"/>
      <c r="F633" s="2"/>
      <c r="G633" s="2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91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</row>
    <row r="634" ht="15.75" customHeight="1">
      <c r="A634" s="2"/>
      <c r="B634" s="182"/>
      <c r="C634" s="3"/>
      <c r="D634" s="2"/>
      <c r="E634" s="3"/>
      <c r="F634" s="2"/>
      <c r="G634" s="2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91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</row>
    <row r="635" ht="15.75" customHeight="1">
      <c r="A635" s="2"/>
      <c r="B635" s="182"/>
      <c r="C635" s="3"/>
      <c r="D635" s="2"/>
      <c r="E635" s="3"/>
      <c r="F635" s="2"/>
      <c r="G635" s="2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91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</row>
    <row r="636" ht="15.75" customHeight="1">
      <c r="A636" s="2"/>
      <c r="B636" s="182"/>
      <c r="C636" s="3"/>
      <c r="D636" s="2"/>
      <c r="E636" s="3"/>
      <c r="F636" s="2"/>
      <c r="G636" s="2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91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</row>
    <row r="637" ht="15.75" customHeight="1">
      <c r="A637" s="2"/>
      <c r="B637" s="182"/>
      <c r="C637" s="3"/>
      <c r="D637" s="2"/>
      <c r="E637" s="3"/>
      <c r="F637" s="2"/>
      <c r="G637" s="2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91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</row>
    <row r="638" ht="15.75" customHeight="1">
      <c r="A638" s="2"/>
      <c r="B638" s="182"/>
      <c r="C638" s="3"/>
      <c r="D638" s="2"/>
      <c r="E638" s="3"/>
      <c r="F638" s="2"/>
      <c r="G638" s="2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91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</row>
    <row r="639" ht="15.75" customHeight="1">
      <c r="A639" s="2"/>
      <c r="B639" s="182"/>
      <c r="C639" s="3"/>
      <c r="D639" s="2"/>
      <c r="E639" s="3"/>
      <c r="F639" s="2"/>
      <c r="G639" s="2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91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</row>
    <row r="640" ht="15.75" customHeight="1">
      <c r="A640" s="2"/>
      <c r="B640" s="182"/>
      <c r="C640" s="3"/>
      <c r="D640" s="2"/>
      <c r="E640" s="3"/>
      <c r="F640" s="2"/>
      <c r="G640" s="2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91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</row>
    <row r="641" ht="15.75" customHeight="1">
      <c r="A641" s="2"/>
      <c r="B641" s="182"/>
      <c r="C641" s="3"/>
      <c r="D641" s="2"/>
      <c r="E641" s="3"/>
      <c r="F641" s="2"/>
      <c r="G641" s="2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91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</row>
    <row r="642" ht="15.75" customHeight="1">
      <c r="A642" s="2"/>
      <c r="B642" s="182"/>
      <c r="C642" s="3"/>
      <c r="D642" s="2"/>
      <c r="E642" s="3"/>
      <c r="F642" s="2"/>
      <c r="G642" s="2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91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</row>
    <row r="643" ht="15.75" customHeight="1">
      <c r="A643" s="2"/>
      <c r="B643" s="182"/>
      <c r="C643" s="3"/>
      <c r="D643" s="2"/>
      <c r="E643" s="3"/>
      <c r="F643" s="2"/>
      <c r="G643" s="2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91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</row>
    <row r="644" ht="15.75" customHeight="1">
      <c r="A644" s="2"/>
      <c r="B644" s="182"/>
      <c r="C644" s="3"/>
      <c r="D644" s="2"/>
      <c r="E644" s="3"/>
      <c r="F644" s="2"/>
      <c r="G644" s="2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91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</row>
    <row r="645" ht="15.75" customHeight="1">
      <c r="A645" s="2"/>
      <c r="B645" s="182"/>
      <c r="C645" s="3"/>
      <c r="D645" s="2"/>
      <c r="E645" s="3"/>
      <c r="F645" s="2"/>
      <c r="G645" s="2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91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</row>
    <row r="646" ht="15.75" customHeight="1">
      <c r="A646" s="2"/>
      <c r="B646" s="182"/>
      <c r="C646" s="3"/>
      <c r="D646" s="2"/>
      <c r="E646" s="3"/>
      <c r="F646" s="2"/>
      <c r="G646" s="2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91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</row>
    <row r="647" ht="15.75" customHeight="1">
      <c r="A647" s="2"/>
      <c r="B647" s="182"/>
      <c r="C647" s="3"/>
      <c r="D647" s="2"/>
      <c r="E647" s="3"/>
      <c r="F647" s="2"/>
      <c r="G647" s="2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91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</row>
    <row r="648" ht="15.75" customHeight="1">
      <c r="A648" s="2"/>
      <c r="B648" s="182"/>
      <c r="C648" s="3"/>
      <c r="D648" s="2"/>
      <c r="E648" s="3"/>
      <c r="F648" s="2"/>
      <c r="G648" s="2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91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</row>
    <row r="649" ht="15.75" customHeight="1">
      <c r="A649" s="2"/>
      <c r="B649" s="182"/>
      <c r="C649" s="3"/>
      <c r="D649" s="2"/>
      <c r="E649" s="3"/>
      <c r="F649" s="2"/>
      <c r="G649" s="2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91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</row>
    <row r="650" ht="15.75" customHeight="1">
      <c r="A650" s="2"/>
      <c r="B650" s="182"/>
      <c r="C650" s="3"/>
      <c r="D650" s="2"/>
      <c r="E650" s="3"/>
      <c r="F650" s="2"/>
      <c r="G650" s="2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91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</row>
    <row r="651" ht="15.75" customHeight="1">
      <c r="A651" s="2"/>
      <c r="B651" s="182"/>
      <c r="C651" s="3"/>
      <c r="D651" s="2"/>
      <c r="E651" s="3"/>
      <c r="F651" s="2"/>
      <c r="G651" s="2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91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</row>
    <row r="652" ht="15.75" customHeight="1">
      <c r="A652" s="2"/>
      <c r="B652" s="182"/>
      <c r="C652" s="3"/>
      <c r="D652" s="2"/>
      <c r="E652" s="3"/>
      <c r="F652" s="2"/>
      <c r="G652" s="2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91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</row>
    <row r="653" ht="15.75" customHeight="1">
      <c r="A653" s="2"/>
      <c r="B653" s="182"/>
      <c r="C653" s="3"/>
      <c r="D653" s="2"/>
      <c r="E653" s="3"/>
      <c r="F653" s="2"/>
      <c r="G653" s="2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91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</row>
    <row r="654" ht="15.75" customHeight="1">
      <c r="A654" s="2"/>
      <c r="B654" s="182"/>
      <c r="C654" s="3"/>
      <c r="D654" s="2"/>
      <c r="E654" s="3"/>
      <c r="F654" s="2"/>
      <c r="G654" s="2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91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</row>
    <row r="655" ht="15.75" customHeight="1">
      <c r="A655" s="2"/>
      <c r="B655" s="182"/>
      <c r="C655" s="3"/>
      <c r="D655" s="2"/>
      <c r="E655" s="3"/>
      <c r="F655" s="2"/>
      <c r="G655" s="2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91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</row>
    <row r="656" ht="15.75" customHeight="1">
      <c r="A656" s="2"/>
      <c r="B656" s="182"/>
      <c r="C656" s="3"/>
      <c r="D656" s="2"/>
      <c r="E656" s="3"/>
      <c r="F656" s="2"/>
      <c r="G656" s="2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91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</row>
    <row r="657" ht="15.75" customHeight="1">
      <c r="A657" s="2"/>
      <c r="B657" s="182"/>
      <c r="C657" s="3"/>
      <c r="D657" s="2"/>
      <c r="E657" s="3"/>
      <c r="F657" s="2"/>
      <c r="G657" s="2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91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</row>
    <row r="658" ht="15.75" customHeight="1">
      <c r="A658" s="2"/>
      <c r="B658" s="182"/>
      <c r="C658" s="3"/>
      <c r="D658" s="2"/>
      <c r="E658" s="3"/>
      <c r="F658" s="2"/>
      <c r="G658" s="2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91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</row>
    <row r="659" ht="15.75" customHeight="1">
      <c r="A659" s="2"/>
      <c r="B659" s="182"/>
      <c r="C659" s="3"/>
      <c r="D659" s="2"/>
      <c r="E659" s="3"/>
      <c r="F659" s="2"/>
      <c r="G659" s="2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91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</row>
    <row r="660" ht="15.75" customHeight="1">
      <c r="A660" s="2"/>
      <c r="B660" s="182"/>
      <c r="C660" s="3"/>
      <c r="D660" s="2"/>
      <c r="E660" s="3"/>
      <c r="F660" s="2"/>
      <c r="G660" s="2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91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</row>
    <row r="661" ht="15.75" customHeight="1">
      <c r="A661" s="2"/>
      <c r="B661" s="182"/>
      <c r="C661" s="3"/>
      <c r="D661" s="2"/>
      <c r="E661" s="3"/>
      <c r="F661" s="2"/>
      <c r="G661" s="2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91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</row>
    <row r="662" ht="15.75" customHeight="1">
      <c r="A662" s="2"/>
      <c r="B662" s="182"/>
      <c r="C662" s="3"/>
      <c r="D662" s="2"/>
      <c r="E662" s="3"/>
      <c r="F662" s="2"/>
      <c r="G662" s="2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91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</row>
    <row r="663" ht="15.75" customHeight="1">
      <c r="A663" s="2"/>
      <c r="B663" s="182"/>
      <c r="C663" s="3"/>
      <c r="D663" s="2"/>
      <c r="E663" s="3"/>
      <c r="F663" s="2"/>
      <c r="G663" s="2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91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</row>
    <row r="664" ht="15.75" customHeight="1">
      <c r="A664" s="2"/>
      <c r="B664" s="182"/>
      <c r="C664" s="3"/>
      <c r="D664" s="2"/>
      <c r="E664" s="3"/>
      <c r="F664" s="2"/>
      <c r="G664" s="2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91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</row>
    <row r="665" ht="15.75" customHeight="1">
      <c r="A665" s="2"/>
      <c r="B665" s="182"/>
      <c r="C665" s="3"/>
      <c r="D665" s="2"/>
      <c r="E665" s="3"/>
      <c r="F665" s="2"/>
      <c r="G665" s="2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91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</row>
    <row r="666" ht="15.75" customHeight="1">
      <c r="A666" s="2"/>
      <c r="B666" s="182"/>
      <c r="C666" s="3"/>
      <c r="D666" s="2"/>
      <c r="E666" s="3"/>
      <c r="F666" s="2"/>
      <c r="G666" s="2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91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</row>
    <row r="667" ht="15.75" customHeight="1">
      <c r="A667" s="2"/>
      <c r="B667" s="182"/>
      <c r="C667" s="3"/>
      <c r="D667" s="2"/>
      <c r="E667" s="3"/>
      <c r="F667" s="2"/>
      <c r="G667" s="2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91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</row>
    <row r="668" ht="15.75" customHeight="1">
      <c r="A668" s="2"/>
      <c r="B668" s="182"/>
      <c r="C668" s="3"/>
      <c r="D668" s="2"/>
      <c r="E668" s="3"/>
      <c r="F668" s="2"/>
      <c r="G668" s="2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91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</row>
    <row r="669" ht="15.75" customHeight="1">
      <c r="A669" s="2"/>
      <c r="B669" s="182"/>
      <c r="C669" s="3"/>
      <c r="D669" s="2"/>
      <c r="E669" s="3"/>
      <c r="F669" s="2"/>
      <c r="G669" s="2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91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</row>
    <row r="670" ht="15.75" customHeight="1">
      <c r="A670" s="2"/>
      <c r="B670" s="182"/>
      <c r="C670" s="3"/>
      <c r="D670" s="2"/>
      <c r="E670" s="3"/>
      <c r="F670" s="2"/>
      <c r="G670" s="2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91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</row>
    <row r="671" ht="15.75" customHeight="1">
      <c r="A671" s="2"/>
      <c r="B671" s="182"/>
      <c r="C671" s="3"/>
      <c r="D671" s="2"/>
      <c r="E671" s="3"/>
      <c r="F671" s="2"/>
      <c r="G671" s="2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91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</row>
    <row r="672" ht="15.75" customHeight="1">
      <c r="A672" s="2"/>
      <c r="B672" s="182"/>
      <c r="C672" s="3"/>
      <c r="D672" s="2"/>
      <c r="E672" s="3"/>
      <c r="F672" s="2"/>
      <c r="G672" s="2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91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</row>
    <row r="673" ht="15.75" customHeight="1">
      <c r="A673" s="2"/>
      <c r="B673" s="182"/>
      <c r="C673" s="3"/>
      <c r="D673" s="2"/>
      <c r="E673" s="3"/>
      <c r="F673" s="2"/>
      <c r="G673" s="2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91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</row>
    <row r="674" ht="15.75" customHeight="1">
      <c r="A674" s="2"/>
      <c r="B674" s="182"/>
      <c r="C674" s="3"/>
      <c r="D674" s="2"/>
      <c r="E674" s="3"/>
      <c r="F674" s="2"/>
      <c r="G674" s="2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91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</row>
    <row r="675" ht="15.75" customHeight="1">
      <c r="A675" s="2"/>
      <c r="B675" s="182"/>
      <c r="C675" s="3"/>
      <c r="D675" s="2"/>
      <c r="E675" s="3"/>
      <c r="F675" s="2"/>
      <c r="G675" s="2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91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</row>
    <row r="676" ht="15.75" customHeight="1">
      <c r="A676" s="2"/>
      <c r="B676" s="182"/>
      <c r="C676" s="3"/>
      <c r="D676" s="2"/>
      <c r="E676" s="3"/>
      <c r="F676" s="2"/>
      <c r="G676" s="2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91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</row>
    <row r="677" ht="15.75" customHeight="1">
      <c r="A677" s="2"/>
      <c r="B677" s="182"/>
      <c r="C677" s="3"/>
      <c r="D677" s="2"/>
      <c r="E677" s="3"/>
      <c r="F677" s="2"/>
      <c r="G677" s="2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91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</row>
    <row r="678" ht="15.75" customHeight="1">
      <c r="A678" s="2"/>
      <c r="B678" s="182"/>
      <c r="C678" s="3"/>
      <c r="D678" s="2"/>
      <c r="E678" s="3"/>
      <c r="F678" s="2"/>
      <c r="G678" s="2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91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</row>
    <row r="679" ht="15.75" customHeight="1">
      <c r="A679" s="2"/>
      <c r="B679" s="182"/>
      <c r="C679" s="3"/>
      <c r="D679" s="2"/>
      <c r="E679" s="3"/>
      <c r="F679" s="2"/>
      <c r="G679" s="2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91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</row>
    <row r="680" ht="15.75" customHeight="1">
      <c r="A680" s="2"/>
      <c r="B680" s="182"/>
      <c r="C680" s="3"/>
      <c r="D680" s="2"/>
      <c r="E680" s="3"/>
      <c r="F680" s="2"/>
      <c r="G680" s="2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91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</row>
    <row r="681" ht="15.75" customHeight="1">
      <c r="A681" s="2"/>
      <c r="B681" s="182"/>
      <c r="C681" s="3"/>
      <c r="D681" s="2"/>
      <c r="E681" s="3"/>
      <c r="F681" s="2"/>
      <c r="G681" s="2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91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</row>
    <row r="682" ht="15.75" customHeight="1">
      <c r="A682" s="2"/>
      <c r="B682" s="182"/>
      <c r="C682" s="3"/>
      <c r="D682" s="2"/>
      <c r="E682" s="3"/>
      <c r="F682" s="2"/>
      <c r="G682" s="2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91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</row>
    <row r="683" ht="15.75" customHeight="1">
      <c r="A683" s="2"/>
      <c r="B683" s="182"/>
      <c r="C683" s="3"/>
      <c r="D683" s="2"/>
      <c r="E683" s="3"/>
      <c r="F683" s="2"/>
      <c r="G683" s="2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91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</row>
    <row r="684" ht="15.75" customHeight="1">
      <c r="A684" s="2"/>
      <c r="B684" s="182"/>
      <c r="C684" s="3"/>
      <c r="D684" s="2"/>
      <c r="E684" s="3"/>
      <c r="F684" s="2"/>
      <c r="G684" s="2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91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</row>
    <row r="685" ht="15.75" customHeight="1">
      <c r="A685" s="2"/>
      <c r="B685" s="182"/>
      <c r="C685" s="3"/>
      <c r="D685" s="2"/>
      <c r="E685" s="3"/>
      <c r="F685" s="2"/>
      <c r="G685" s="2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91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</row>
    <row r="686" ht="15.75" customHeight="1">
      <c r="A686" s="2"/>
      <c r="B686" s="182"/>
      <c r="C686" s="3"/>
      <c r="D686" s="2"/>
      <c r="E686" s="3"/>
      <c r="F686" s="2"/>
      <c r="G686" s="2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91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</row>
    <row r="687" ht="15.75" customHeight="1">
      <c r="A687" s="2"/>
      <c r="B687" s="182"/>
      <c r="C687" s="3"/>
      <c r="D687" s="2"/>
      <c r="E687" s="3"/>
      <c r="F687" s="2"/>
      <c r="G687" s="2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91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</row>
    <row r="688" ht="15.75" customHeight="1">
      <c r="A688" s="2"/>
      <c r="B688" s="182"/>
      <c r="C688" s="3"/>
      <c r="D688" s="2"/>
      <c r="E688" s="3"/>
      <c r="F688" s="2"/>
      <c r="G688" s="2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91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</row>
    <row r="689" ht="15.75" customHeight="1">
      <c r="A689" s="2"/>
      <c r="B689" s="182"/>
      <c r="C689" s="3"/>
      <c r="D689" s="2"/>
      <c r="E689" s="3"/>
      <c r="F689" s="2"/>
      <c r="G689" s="2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91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</row>
    <row r="690" ht="15.75" customHeight="1">
      <c r="A690" s="2"/>
      <c r="B690" s="182"/>
      <c r="C690" s="3"/>
      <c r="D690" s="2"/>
      <c r="E690" s="3"/>
      <c r="F690" s="2"/>
      <c r="G690" s="2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91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</row>
    <row r="691" ht="15.75" customHeight="1">
      <c r="A691" s="2"/>
      <c r="B691" s="182"/>
      <c r="C691" s="3"/>
      <c r="D691" s="2"/>
      <c r="E691" s="3"/>
      <c r="F691" s="2"/>
      <c r="G691" s="2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91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</row>
    <row r="692" ht="15.75" customHeight="1">
      <c r="A692" s="2"/>
      <c r="B692" s="182"/>
      <c r="C692" s="3"/>
      <c r="D692" s="2"/>
      <c r="E692" s="3"/>
      <c r="F692" s="2"/>
      <c r="G692" s="2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91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</row>
    <row r="693" ht="15.75" customHeight="1">
      <c r="A693" s="2"/>
      <c r="B693" s="182"/>
      <c r="C693" s="3"/>
      <c r="D693" s="2"/>
      <c r="E693" s="3"/>
      <c r="F693" s="2"/>
      <c r="G693" s="2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91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</row>
    <row r="694" ht="15.75" customHeight="1">
      <c r="A694" s="2"/>
      <c r="B694" s="182"/>
      <c r="C694" s="3"/>
      <c r="D694" s="2"/>
      <c r="E694" s="3"/>
      <c r="F694" s="2"/>
      <c r="G694" s="2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91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</row>
    <row r="695" ht="15.75" customHeight="1">
      <c r="A695" s="2"/>
      <c r="B695" s="182"/>
      <c r="C695" s="3"/>
      <c r="D695" s="2"/>
      <c r="E695" s="3"/>
      <c r="F695" s="2"/>
      <c r="G695" s="2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91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</row>
    <row r="696" ht="15.75" customHeight="1">
      <c r="A696" s="2"/>
      <c r="B696" s="182"/>
      <c r="C696" s="3"/>
      <c r="D696" s="2"/>
      <c r="E696" s="3"/>
      <c r="F696" s="2"/>
      <c r="G696" s="2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91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</row>
    <row r="697" ht="15.75" customHeight="1">
      <c r="A697" s="2"/>
      <c r="B697" s="182"/>
      <c r="C697" s="3"/>
      <c r="D697" s="2"/>
      <c r="E697" s="3"/>
      <c r="F697" s="2"/>
      <c r="G697" s="2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91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</row>
    <row r="698" ht="15.75" customHeight="1">
      <c r="A698" s="2"/>
      <c r="B698" s="182"/>
      <c r="C698" s="3"/>
      <c r="D698" s="2"/>
      <c r="E698" s="3"/>
      <c r="F698" s="2"/>
      <c r="G698" s="2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91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</row>
    <row r="699" ht="15.75" customHeight="1">
      <c r="A699" s="2"/>
      <c r="B699" s="182"/>
      <c r="C699" s="3"/>
      <c r="D699" s="2"/>
      <c r="E699" s="3"/>
      <c r="F699" s="2"/>
      <c r="G699" s="2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91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</row>
    <row r="700" ht="15.75" customHeight="1">
      <c r="A700" s="2"/>
      <c r="B700" s="182"/>
      <c r="C700" s="3"/>
      <c r="D700" s="2"/>
      <c r="E700" s="3"/>
      <c r="F700" s="2"/>
      <c r="G700" s="2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91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</row>
    <row r="701" ht="15.75" customHeight="1">
      <c r="A701" s="2"/>
      <c r="B701" s="182"/>
      <c r="C701" s="3"/>
      <c r="D701" s="2"/>
      <c r="E701" s="3"/>
      <c r="F701" s="2"/>
      <c r="G701" s="2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91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</row>
    <row r="702" ht="15.75" customHeight="1">
      <c r="A702" s="2"/>
      <c r="B702" s="182"/>
      <c r="C702" s="3"/>
      <c r="D702" s="2"/>
      <c r="E702" s="3"/>
      <c r="F702" s="2"/>
      <c r="G702" s="2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91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</row>
    <row r="703" ht="15.75" customHeight="1">
      <c r="A703" s="2"/>
      <c r="B703" s="182"/>
      <c r="C703" s="3"/>
      <c r="D703" s="2"/>
      <c r="E703" s="3"/>
      <c r="F703" s="2"/>
      <c r="G703" s="2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91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</row>
    <row r="704" ht="15.75" customHeight="1">
      <c r="A704" s="2"/>
      <c r="B704" s="182"/>
      <c r="C704" s="3"/>
      <c r="D704" s="2"/>
      <c r="E704" s="3"/>
      <c r="F704" s="2"/>
      <c r="G704" s="2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91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</row>
    <row r="705" ht="15.75" customHeight="1">
      <c r="A705" s="2"/>
      <c r="B705" s="182"/>
      <c r="C705" s="3"/>
      <c r="D705" s="2"/>
      <c r="E705" s="3"/>
      <c r="F705" s="2"/>
      <c r="G705" s="2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91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</row>
    <row r="706" ht="15.75" customHeight="1">
      <c r="A706" s="2"/>
      <c r="B706" s="182"/>
      <c r="C706" s="3"/>
      <c r="D706" s="2"/>
      <c r="E706" s="3"/>
      <c r="F706" s="2"/>
      <c r="G706" s="2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91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</row>
    <row r="707" ht="15.75" customHeight="1">
      <c r="A707" s="2"/>
      <c r="B707" s="182"/>
      <c r="C707" s="3"/>
      <c r="D707" s="2"/>
      <c r="E707" s="3"/>
      <c r="F707" s="2"/>
      <c r="G707" s="2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91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</row>
    <row r="708" ht="15.75" customHeight="1">
      <c r="A708" s="2"/>
      <c r="B708" s="182"/>
      <c r="C708" s="3"/>
      <c r="D708" s="2"/>
      <c r="E708" s="3"/>
      <c r="F708" s="2"/>
      <c r="G708" s="2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91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</row>
    <row r="709" ht="15.75" customHeight="1">
      <c r="A709" s="2"/>
      <c r="B709" s="182"/>
      <c r="C709" s="3"/>
      <c r="D709" s="2"/>
      <c r="E709" s="3"/>
      <c r="F709" s="2"/>
      <c r="G709" s="2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91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</row>
    <row r="710" ht="15.75" customHeight="1">
      <c r="A710" s="2"/>
      <c r="B710" s="182"/>
      <c r="C710" s="3"/>
      <c r="D710" s="2"/>
      <c r="E710" s="3"/>
      <c r="F710" s="2"/>
      <c r="G710" s="2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91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</row>
    <row r="711" ht="15.75" customHeight="1">
      <c r="A711" s="2"/>
      <c r="B711" s="182"/>
      <c r="C711" s="3"/>
      <c r="D711" s="2"/>
      <c r="E711" s="3"/>
      <c r="F711" s="2"/>
      <c r="G711" s="2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91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</row>
    <row r="712" ht="15.75" customHeight="1">
      <c r="A712" s="2"/>
      <c r="B712" s="182"/>
      <c r="C712" s="3"/>
      <c r="D712" s="2"/>
      <c r="E712" s="3"/>
      <c r="F712" s="2"/>
      <c r="G712" s="2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91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</row>
    <row r="713" ht="15.75" customHeight="1">
      <c r="A713" s="2"/>
      <c r="B713" s="182"/>
      <c r="C713" s="3"/>
      <c r="D713" s="2"/>
      <c r="E713" s="3"/>
      <c r="F713" s="2"/>
      <c r="G713" s="2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91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</row>
    <row r="714" ht="15.75" customHeight="1">
      <c r="A714" s="2"/>
      <c r="B714" s="182"/>
      <c r="C714" s="3"/>
      <c r="D714" s="2"/>
      <c r="E714" s="3"/>
      <c r="F714" s="2"/>
      <c r="G714" s="2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91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</row>
    <row r="715" ht="15.75" customHeight="1">
      <c r="A715" s="2"/>
      <c r="B715" s="182"/>
      <c r="C715" s="3"/>
      <c r="D715" s="2"/>
      <c r="E715" s="3"/>
      <c r="F715" s="2"/>
      <c r="G715" s="2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91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</row>
    <row r="716" ht="15.75" customHeight="1">
      <c r="A716" s="2"/>
      <c r="B716" s="182"/>
      <c r="C716" s="3"/>
      <c r="D716" s="2"/>
      <c r="E716" s="3"/>
      <c r="F716" s="2"/>
      <c r="G716" s="2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91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</row>
    <row r="717" ht="15.75" customHeight="1">
      <c r="A717" s="2"/>
      <c r="B717" s="182"/>
      <c r="C717" s="3"/>
      <c r="D717" s="2"/>
      <c r="E717" s="3"/>
      <c r="F717" s="2"/>
      <c r="G717" s="2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91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</row>
    <row r="718" ht="15.75" customHeight="1">
      <c r="A718" s="2"/>
      <c r="B718" s="182"/>
      <c r="C718" s="3"/>
      <c r="D718" s="2"/>
      <c r="E718" s="3"/>
      <c r="F718" s="2"/>
      <c r="G718" s="2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91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</row>
    <row r="719" ht="15.75" customHeight="1">
      <c r="A719" s="2"/>
      <c r="B719" s="182"/>
      <c r="C719" s="3"/>
      <c r="D719" s="2"/>
      <c r="E719" s="3"/>
      <c r="F719" s="2"/>
      <c r="G719" s="2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91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</row>
    <row r="720" ht="15.75" customHeight="1">
      <c r="A720" s="2"/>
      <c r="B720" s="182"/>
      <c r="C720" s="3"/>
      <c r="D720" s="2"/>
      <c r="E720" s="3"/>
      <c r="F720" s="2"/>
      <c r="G720" s="2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91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</row>
    <row r="721" ht="15.75" customHeight="1">
      <c r="A721" s="2"/>
      <c r="B721" s="182"/>
      <c r="C721" s="3"/>
      <c r="D721" s="2"/>
      <c r="E721" s="3"/>
      <c r="F721" s="2"/>
      <c r="G721" s="2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91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</row>
    <row r="722" ht="15.75" customHeight="1">
      <c r="A722" s="2"/>
      <c r="B722" s="182"/>
      <c r="C722" s="3"/>
      <c r="D722" s="2"/>
      <c r="E722" s="3"/>
      <c r="F722" s="2"/>
      <c r="G722" s="2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91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</row>
    <row r="723" ht="15.75" customHeight="1">
      <c r="A723" s="2"/>
      <c r="B723" s="182"/>
      <c r="C723" s="3"/>
      <c r="D723" s="2"/>
      <c r="E723" s="3"/>
      <c r="F723" s="2"/>
      <c r="G723" s="2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91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</row>
    <row r="724" ht="15.75" customHeight="1">
      <c r="A724" s="2"/>
      <c r="B724" s="182"/>
      <c r="C724" s="3"/>
      <c r="D724" s="2"/>
      <c r="E724" s="3"/>
      <c r="F724" s="2"/>
      <c r="G724" s="2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91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</row>
    <row r="725" ht="15.75" customHeight="1">
      <c r="A725" s="2"/>
      <c r="B725" s="182"/>
      <c r="C725" s="3"/>
      <c r="D725" s="2"/>
      <c r="E725" s="3"/>
      <c r="F725" s="2"/>
      <c r="G725" s="2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91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</row>
    <row r="726" ht="15.75" customHeight="1">
      <c r="A726" s="2"/>
      <c r="B726" s="182"/>
      <c r="C726" s="3"/>
      <c r="D726" s="2"/>
      <c r="E726" s="3"/>
      <c r="F726" s="2"/>
      <c r="G726" s="2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91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</row>
    <row r="727" ht="15.75" customHeight="1">
      <c r="A727" s="2"/>
      <c r="B727" s="182"/>
      <c r="C727" s="3"/>
      <c r="D727" s="2"/>
      <c r="E727" s="3"/>
      <c r="F727" s="2"/>
      <c r="G727" s="2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91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</row>
    <row r="728" ht="15.75" customHeight="1">
      <c r="A728" s="2"/>
      <c r="B728" s="182"/>
      <c r="C728" s="3"/>
      <c r="D728" s="2"/>
      <c r="E728" s="3"/>
      <c r="F728" s="2"/>
      <c r="G728" s="2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91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</row>
    <row r="729" ht="15.75" customHeight="1">
      <c r="A729" s="2"/>
      <c r="B729" s="182"/>
      <c r="C729" s="3"/>
      <c r="D729" s="2"/>
      <c r="E729" s="3"/>
      <c r="F729" s="2"/>
      <c r="G729" s="2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91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</row>
    <row r="730" ht="15.75" customHeight="1">
      <c r="A730" s="2"/>
      <c r="B730" s="182"/>
      <c r="C730" s="3"/>
      <c r="D730" s="2"/>
      <c r="E730" s="3"/>
      <c r="F730" s="2"/>
      <c r="G730" s="2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91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</row>
    <row r="731" ht="15.75" customHeight="1">
      <c r="A731" s="2"/>
      <c r="B731" s="182"/>
      <c r="C731" s="3"/>
      <c r="D731" s="2"/>
      <c r="E731" s="3"/>
      <c r="F731" s="2"/>
      <c r="G731" s="2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91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</row>
    <row r="732" ht="15.75" customHeight="1">
      <c r="A732" s="2"/>
      <c r="B732" s="182"/>
      <c r="C732" s="3"/>
      <c r="D732" s="2"/>
      <c r="E732" s="3"/>
      <c r="F732" s="2"/>
      <c r="G732" s="2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91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</row>
    <row r="733" ht="15.75" customHeight="1">
      <c r="A733" s="2"/>
      <c r="B733" s="182"/>
      <c r="C733" s="3"/>
      <c r="D733" s="2"/>
      <c r="E733" s="3"/>
      <c r="F733" s="2"/>
      <c r="G733" s="2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91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</row>
    <row r="734" ht="15.75" customHeight="1">
      <c r="A734" s="2"/>
      <c r="B734" s="182"/>
      <c r="C734" s="3"/>
      <c r="D734" s="2"/>
      <c r="E734" s="3"/>
      <c r="F734" s="2"/>
      <c r="G734" s="2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91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</row>
    <row r="735" ht="15.75" customHeight="1">
      <c r="A735" s="2"/>
      <c r="B735" s="182"/>
      <c r="C735" s="3"/>
      <c r="D735" s="2"/>
      <c r="E735" s="3"/>
      <c r="F735" s="2"/>
      <c r="G735" s="2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91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</row>
    <row r="736" ht="15.75" customHeight="1">
      <c r="A736" s="2"/>
      <c r="B736" s="182"/>
      <c r="C736" s="3"/>
      <c r="D736" s="2"/>
      <c r="E736" s="3"/>
      <c r="F736" s="2"/>
      <c r="G736" s="2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91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</row>
    <row r="737" ht="15.75" customHeight="1">
      <c r="A737" s="2"/>
      <c r="B737" s="182"/>
      <c r="C737" s="3"/>
      <c r="D737" s="2"/>
      <c r="E737" s="3"/>
      <c r="F737" s="2"/>
      <c r="G737" s="2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91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</row>
    <row r="738" ht="15.75" customHeight="1">
      <c r="A738" s="2"/>
      <c r="B738" s="182"/>
      <c r="C738" s="3"/>
      <c r="D738" s="2"/>
      <c r="E738" s="3"/>
      <c r="F738" s="2"/>
      <c r="G738" s="2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91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</row>
    <row r="739" ht="15.75" customHeight="1">
      <c r="A739" s="2"/>
      <c r="B739" s="182"/>
      <c r="C739" s="3"/>
      <c r="D739" s="2"/>
      <c r="E739" s="3"/>
      <c r="F739" s="2"/>
      <c r="G739" s="2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91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</row>
    <row r="740" ht="15.75" customHeight="1">
      <c r="A740" s="2"/>
      <c r="B740" s="182"/>
      <c r="C740" s="3"/>
      <c r="D740" s="2"/>
      <c r="E740" s="3"/>
      <c r="F740" s="2"/>
      <c r="G740" s="2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91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</row>
    <row r="741" ht="15.75" customHeight="1">
      <c r="A741" s="2"/>
      <c r="B741" s="182"/>
      <c r="C741" s="3"/>
      <c r="D741" s="2"/>
      <c r="E741" s="3"/>
      <c r="F741" s="2"/>
      <c r="G741" s="2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91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</row>
    <row r="742" ht="15.75" customHeight="1">
      <c r="A742" s="2"/>
      <c r="B742" s="182"/>
      <c r="C742" s="3"/>
      <c r="D742" s="2"/>
      <c r="E742" s="3"/>
      <c r="F742" s="2"/>
      <c r="G742" s="2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91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</row>
    <row r="743" ht="15.75" customHeight="1">
      <c r="A743" s="2"/>
      <c r="B743" s="182"/>
      <c r="C743" s="3"/>
      <c r="D743" s="2"/>
      <c r="E743" s="3"/>
      <c r="F743" s="2"/>
      <c r="G743" s="2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91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</row>
    <row r="744" ht="15.75" customHeight="1">
      <c r="A744" s="2"/>
      <c r="B744" s="182"/>
      <c r="C744" s="3"/>
      <c r="D744" s="2"/>
      <c r="E744" s="3"/>
      <c r="F744" s="2"/>
      <c r="G744" s="2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91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</row>
    <row r="745" ht="15.75" customHeight="1">
      <c r="A745" s="2"/>
      <c r="B745" s="182"/>
      <c r="C745" s="3"/>
      <c r="D745" s="2"/>
      <c r="E745" s="3"/>
      <c r="F745" s="2"/>
      <c r="G745" s="2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91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</row>
    <row r="746" ht="15.75" customHeight="1">
      <c r="A746" s="2"/>
      <c r="B746" s="182"/>
      <c r="C746" s="3"/>
      <c r="D746" s="2"/>
      <c r="E746" s="3"/>
      <c r="F746" s="2"/>
      <c r="G746" s="2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91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</row>
    <row r="747" ht="15.75" customHeight="1">
      <c r="A747" s="2"/>
      <c r="B747" s="182"/>
      <c r="C747" s="3"/>
      <c r="D747" s="2"/>
      <c r="E747" s="3"/>
      <c r="F747" s="2"/>
      <c r="G747" s="2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91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</row>
    <row r="748" ht="15.75" customHeight="1">
      <c r="A748" s="2"/>
      <c r="B748" s="182"/>
      <c r="C748" s="3"/>
      <c r="D748" s="2"/>
      <c r="E748" s="3"/>
      <c r="F748" s="2"/>
      <c r="G748" s="2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91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</row>
    <row r="749" ht="15.75" customHeight="1">
      <c r="A749" s="2"/>
      <c r="B749" s="182"/>
      <c r="C749" s="3"/>
      <c r="D749" s="2"/>
      <c r="E749" s="3"/>
      <c r="F749" s="2"/>
      <c r="G749" s="2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91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</row>
    <row r="750" ht="15.75" customHeight="1">
      <c r="A750" s="2"/>
      <c r="B750" s="182"/>
      <c r="C750" s="3"/>
      <c r="D750" s="2"/>
      <c r="E750" s="3"/>
      <c r="F750" s="2"/>
      <c r="G750" s="2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91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</row>
    <row r="751" ht="15.75" customHeight="1">
      <c r="A751" s="2"/>
      <c r="B751" s="182"/>
      <c r="C751" s="3"/>
      <c r="D751" s="2"/>
      <c r="E751" s="3"/>
      <c r="F751" s="2"/>
      <c r="G751" s="2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91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</row>
    <row r="752" ht="15.75" customHeight="1">
      <c r="A752" s="2"/>
      <c r="B752" s="182"/>
      <c r="C752" s="3"/>
      <c r="D752" s="2"/>
      <c r="E752" s="3"/>
      <c r="F752" s="2"/>
      <c r="G752" s="2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91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</row>
    <row r="753" ht="15.75" customHeight="1">
      <c r="A753" s="2"/>
      <c r="B753" s="182"/>
      <c r="C753" s="3"/>
      <c r="D753" s="2"/>
      <c r="E753" s="3"/>
      <c r="F753" s="2"/>
      <c r="G753" s="2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91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</row>
    <row r="754" ht="15.75" customHeight="1">
      <c r="A754" s="2"/>
      <c r="B754" s="182"/>
      <c r="C754" s="3"/>
      <c r="D754" s="2"/>
      <c r="E754" s="3"/>
      <c r="F754" s="2"/>
      <c r="G754" s="2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91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</row>
    <row r="755" ht="15.75" customHeight="1">
      <c r="A755" s="2"/>
      <c r="B755" s="182"/>
      <c r="C755" s="3"/>
      <c r="D755" s="2"/>
      <c r="E755" s="3"/>
      <c r="F755" s="2"/>
      <c r="G755" s="2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91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</row>
    <row r="756" ht="15.75" customHeight="1">
      <c r="A756" s="2"/>
      <c r="B756" s="182"/>
      <c r="C756" s="3"/>
      <c r="D756" s="2"/>
      <c r="E756" s="3"/>
      <c r="F756" s="2"/>
      <c r="G756" s="2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91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</row>
    <row r="757" ht="15.75" customHeight="1">
      <c r="A757" s="2"/>
      <c r="B757" s="182"/>
      <c r="C757" s="3"/>
      <c r="D757" s="2"/>
      <c r="E757" s="3"/>
      <c r="F757" s="2"/>
      <c r="G757" s="2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91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</row>
    <row r="758" ht="15.75" customHeight="1">
      <c r="A758" s="2"/>
      <c r="B758" s="182"/>
      <c r="C758" s="3"/>
      <c r="D758" s="2"/>
      <c r="E758" s="3"/>
      <c r="F758" s="2"/>
      <c r="G758" s="2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91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</row>
    <row r="759" ht="15.75" customHeight="1">
      <c r="A759" s="2"/>
      <c r="B759" s="182"/>
      <c r="C759" s="3"/>
      <c r="D759" s="2"/>
      <c r="E759" s="3"/>
      <c r="F759" s="2"/>
      <c r="G759" s="2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91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</row>
    <row r="760" ht="15.75" customHeight="1">
      <c r="A760" s="2"/>
      <c r="B760" s="182"/>
      <c r="C760" s="3"/>
      <c r="D760" s="2"/>
      <c r="E760" s="3"/>
      <c r="F760" s="2"/>
      <c r="G760" s="2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91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</row>
    <row r="761" ht="15.75" customHeight="1">
      <c r="A761" s="2"/>
      <c r="B761" s="182"/>
      <c r="C761" s="3"/>
      <c r="D761" s="2"/>
      <c r="E761" s="3"/>
      <c r="F761" s="2"/>
      <c r="G761" s="2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91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</row>
    <row r="762" ht="15.75" customHeight="1">
      <c r="A762" s="2"/>
      <c r="B762" s="182"/>
      <c r="C762" s="3"/>
      <c r="D762" s="2"/>
      <c r="E762" s="3"/>
      <c r="F762" s="2"/>
      <c r="G762" s="2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91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</row>
    <row r="763" ht="15.75" customHeight="1">
      <c r="A763" s="2"/>
      <c r="B763" s="182"/>
      <c r="C763" s="3"/>
      <c r="D763" s="2"/>
      <c r="E763" s="3"/>
      <c r="F763" s="2"/>
      <c r="G763" s="2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91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</row>
    <row r="764" ht="15.75" customHeight="1">
      <c r="A764" s="2"/>
      <c r="B764" s="182"/>
      <c r="C764" s="3"/>
      <c r="D764" s="2"/>
      <c r="E764" s="3"/>
      <c r="F764" s="2"/>
      <c r="G764" s="2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91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</row>
    <row r="765" ht="15.75" customHeight="1">
      <c r="A765" s="2"/>
      <c r="B765" s="182"/>
      <c r="C765" s="3"/>
      <c r="D765" s="2"/>
      <c r="E765" s="3"/>
      <c r="F765" s="2"/>
      <c r="G765" s="2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91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</row>
    <row r="766" ht="15.75" customHeight="1">
      <c r="A766" s="2"/>
      <c r="B766" s="182"/>
      <c r="C766" s="3"/>
      <c r="D766" s="2"/>
      <c r="E766" s="3"/>
      <c r="F766" s="2"/>
      <c r="G766" s="2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91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</row>
    <row r="767" ht="15.75" customHeight="1">
      <c r="A767" s="2"/>
      <c r="B767" s="182"/>
      <c r="C767" s="3"/>
      <c r="D767" s="2"/>
      <c r="E767" s="3"/>
      <c r="F767" s="2"/>
      <c r="G767" s="2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91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</row>
    <row r="768" ht="15.75" customHeight="1">
      <c r="A768" s="2"/>
      <c r="B768" s="182"/>
      <c r="C768" s="3"/>
      <c r="D768" s="2"/>
      <c r="E768" s="3"/>
      <c r="F768" s="2"/>
      <c r="G768" s="2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91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</row>
    <row r="769" ht="15.75" customHeight="1">
      <c r="A769" s="2"/>
      <c r="B769" s="182"/>
      <c r="C769" s="3"/>
      <c r="D769" s="2"/>
      <c r="E769" s="3"/>
      <c r="F769" s="2"/>
      <c r="G769" s="2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91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</row>
    <row r="770" ht="15.75" customHeight="1">
      <c r="A770" s="2"/>
      <c r="B770" s="182"/>
      <c r="C770" s="3"/>
      <c r="D770" s="2"/>
      <c r="E770" s="3"/>
      <c r="F770" s="2"/>
      <c r="G770" s="2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91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</row>
    <row r="771" ht="15.75" customHeight="1">
      <c r="A771" s="2"/>
      <c r="B771" s="182"/>
      <c r="C771" s="3"/>
      <c r="D771" s="2"/>
      <c r="E771" s="3"/>
      <c r="F771" s="2"/>
      <c r="G771" s="2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91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</row>
    <row r="772" ht="15.75" customHeight="1">
      <c r="A772" s="2"/>
      <c r="B772" s="182"/>
      <c r="C772" s="3"/>
      <c r="D772" s="2"/>
      <c r="E772" s="3"/>
      <c r="F772" s="2"/>
      <c r="G772" s="2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91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</row>
    <row r="773" ht="15.75" customHeight="1">
      <c r="A773" s="2"/>
      <c r="B773" s="182"/>
      <c r="C773" s="3"/>
      <c r="D773" s="2"/>
      <c r="E773" s="3"/>
      <c r="F773" s="2"/>
      <c r="G773" s="2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91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</row>
    <row r="774" ht="15.75" customHeight="1">
      <c r="A774" s="2"/>
      <c r="B774" s="182"/>
      <c r="C774" s="3"/>
      <c r="D774" s="2"/>
      <c r="E774" s="3"/>
      <c r="F774" s="2"/>
      <c r="G774" s="2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91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</row>
    <row r="775" ht="15.75" customHeight="1">
      <c r="A775" s="2"/>
      <c r="B775" s="182"/>
      <c r="C775" s="3"/>
      <c r="D775" s="2"/>
      <c r="E775" s="3"/>
      <c r="F775" s="2"/>
      <c r="G775" s="2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91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</row>
    <row r="776" ht="15.75" customHeight="1">
      <c r="A776" s="2"/>
      <c r="B776" s="182"/>
      <c r="C776" s="3"/>
      <c r="D776" s="2"/>
      <c r="E776" s="3"/>
      <c r="F776" s="2"/>
      <c r="G776" s="2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91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</row>
    <row r="777" ht="15.75" customHeight="1">
      <c r="A777" s="2"/>
      <c r="B777" s="182"/>
      <c r="C777" s="3"/>
      <c r="D777" s="2"/>
      <c r="E777" s="3"/>
      <c r="F777" s="2"/>
      <c r="G777" s="2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91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</row>
    <row r="778" ht="15.75" customHeight="1">
      <c r="A778" s="2"/>
      <c r="B778" s="182"/>
      <c r="C778" s="3"/>
      <c r="D778" s="2"/>
      <c r="E778" s="3"/>
      <c r="F778" s="2"/>
      <c r="G778" s="2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91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</row>
    <row r="779" ht="15.75" customHeight="1">
      <c r="A779" s="2"/>
      <c r="B779" s="182"/>
      <c r="C779" s="3"/>
      <c r="D779" s="2"/>
      <c r="E779" s="3"/>
      <c r="F779" s="2"/>
      <c r="G779" s="2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91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</row>
    <row r="780" ht="15.75" customHeight="1">
      <c r="A780" s="2"/>
      <c r="B780" s="182"/>
      <c r="C780" s="3"/>
      <c r="D780" s="2"/>
      <c r="E780" s="3"/>
      <c r="F780" s="2"/>
      <c r="G780" s="2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91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</row>
    <row r="781" ht="15.75" customHeight="1">
      <c r="A781" s="2"/>
      <c r="B781" s="182"/>
      <c r="C781" s="3"/>
      <c r="D781" s="2"/>
      <c r="E781" s="3"/>
      <c r="F781" s="2"/>
      <c r="G781" s="2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91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</row>
    <row r="782" ht="15.75" customHeight="1">
      <c r="A782" s="2"/>
      <c r="B782" s="182"/>
      <c r="C782" s="3"/>
      <c r="D782" s="2"/>
      <c r="E782" s="3"/>
      <c r="F782" s="2"/>
      <c r="G782" s="2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91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</row>
    <row r="783" ht="15.75" customHeight="1">
      <c r="A783" s="2"/>
      <c r="B783" s="182"/>
      <c r="C783" s="3"/>
      <c r="D783" s="2"/>
      <c r="E783" s="3"/>
      <c r="F783" s="2"/>
      <c r="G783" s="2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91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</row>
    <row r="784" ht="15.75" customHeight="1">
      <c r="A784" s="2"/>
      <c r="B784" s="182"/>
      <c r="C784" s="3"/>
      <c r="D784" s="2"/>
      <c r="E784" s="3"/>
      <c r="F784" s="2"/>
      <c r="G784" s="2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91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</row>
    <row r="785" ht="15.75" customHeight="1">
      <c r="A785" s="2"/>
      <c r="B785" s="182"/>
      <c r="C785" s="3"/>
      <c r="D785" s="2"/>
      <c r="E785" s="3"/>
      <c r="F785" s="2"/>
      <c r="G785" s="2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91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</row>
    <row r="786" ht="15.75" customHeight="1">
      <c r="A786" s="2"/>
      <c r="B786" s="182"/>
      <c r="C786" s="3"/>
      <c r="D786" s="2"/>
      <c r="E786" s="3"/>
      <c r="F786" s="2"/>
      <c r="G786" s="2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91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</row>
    <row r="787" ht="15.75" customHeight="1">
      <c r="A787" s="2"/>
      <c r="B787" s="182"/>
      <c r="C787" s="3"/>
      <c r="D787" s="2"/>
      <c r="E787" s="3"/>
      <c r="F787" s="2"/>
      <c r="G787" s="2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91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</row>
    <row r="788" ht="15.75" customHeight="1">
      <c r="A788" s="2"/>
      <c r="B788" s="182"/>
      <c r="C788" s="3"/>
      <c r="D788" s="2"/>
      <c r="E788" s="3"/>
      <c r="F788" s="2"/>
      <c r="G788" s="2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91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</row>
    <row r="789" ht="15.75" customHeight="1">
      <c r="A789" s="2"/>
      <c r="B789" s="182"/>
      <c r="C789" s="3"/>
      <c r="D789" s="2"/>
      <c r="E789" s="3"/>
      <c r="F789" s="2"/>
      <c r="G789" s="2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91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</row>
    <row r="790" ht="15.75" customHeight="1">
      <c r="A790" s="2"/>
      <c r="B790" s="182"/>
      <c r="C790" s="3"/>
      <c r="D790" s="2"/>
      <c r="E790" s="3"/>
      <c r="F790" s="2"/>
      <c r="G790" s="2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91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</row>
    <row r="791" ht="15.75" customHeight="1">
      <c r="A791" s="2"/>
      <c r="B791" s="182"/>
      <c r="C791" s="3"/>
      <c r="D791" s="2"/>
      <c r="E791" s="3"/>
      <c r="F791" s="2"/>
      <c r="G791" s="2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91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</row>
    <row r="792" ht="15.75" customHeight="1">
      <c r="A792" s="2"/>
      <c r="B792" s="182"/>
      <c r="C792" s="3"/>
      <c r="D792" s="2"/>
      <c r="E792" s="3"/>
      <c r="F792" s="2"/>
      <c r="G792" s="2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91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</row>
    <row r="793" ht="15.75" customHeight="1">
      <c r="A793" s="2"/>
      <c r="B793" s="182"/>
      <c r="C793" s="3"/>
      <c r="D793" s="2"/>
      <c r="E793" s="3"/>
      <c r="F793" s="2"/>
      <c r="G793" s="2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91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</row>
    <row r="794" ht="15.75" customHeight="1">
      <c r="A794" s="2"/>
      <c r="B794" s="182"/>
      <c r="C794" s="3"/>
      <c r="D794" s="2"/>
      <c r="E794" s="3"/>
      <c r="F794" s="2"/>
      <c r="G794" s="2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91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</row>
    <row r="795" ht="15.75" customHeight="1">
      <c r="A795" s="2"/>
      <c r="B795" s="182"/>
      <c r="C795" s="3"/>
      <c r="D795" s="2"/>
      <c r="E795" s="3"/>
      <c r="F795" s="2"/>
      <c r="G795" s="2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91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</row>
    <row r="796" ht="15.75" customHeight="1">
      <c r="A796" s="2"/>
      <c r="B796" s="182"/>
      <c r="C796" s="3"/>
      <c r="D796" s="2"/>
      <c r="E796" s="3"/>
      <c r="F796" s="2"/>
      <c r="G796" s="2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91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</row>
    <row r="797" ht="15.75" customHeight="1">
      <c r="A797" s="2"/>
      <c r="B797" s="182"/>
      <c r="C797" s="3"/>
      <c r="D797" s="2"/>
      <c r="E797" s="3"/>
      <c r="F797" s="2"/>
      <c r="G797" s="2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91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</row>
    <row r="798" ht="15.75" customHeight="1">
      <c r="A798" s="2"/>
      <c r="B798" s="182"/>
      <c r="C798" s="3"/>
      <c r="D798" s="2"/>
      <c r="E798" s="3"/>
      <c r="F798" s="2"/>
      <c r="G798" s="2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91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</row>
    <row r="799" ht="15.75" customHeight="1">
      <c r="A799" s="2"/>
      <c r="B799" s="182"/>
      <c r="C799" s="3"/>
      <c r="D799" s="2"/>
      <c r="E799" s="3"/>
      <c r="F799" s="2"/>
      <c r="G799" s="2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91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</row>
    <row r="800" ht="15.75" customHeight="1">
      <c r="A800" s="2"/>
      <c r="B800" s="182"/>
      <c r="C800" s="3"/>
      <c r="D800" s="2"/>
      <c r="E800" s="3"/>
      <c r="F800" s="2"/>
      <c r="G800" s="2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91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</row>
    <row r="801" ht="15.75" customHeight="1">
      <c r="A801" s="2"/>
      <c r="B801" s="182"/>
      <c r="C801" s="3"/>
      <c r="D801" s="2"/>
      <c r="E801" s="3"/>
      <c r="F801" s="2"/>
      <c r="G801" s="2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91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</row>
    <row r="802" ht="15.75" customHeight="1">
      <c r="A802" s="2"/>
      <c r="B802" s="182"/>
      <c r="C802" s="3"/>
      <c r="D802" s="2"/>
      <c r="E802" s="3"/>
      <c r="F802" s="2"/>
      <c r="G802" s="2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91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</row>
    <row r="803" ht="15.75" customHeight="1">
      <c r="A803" s="2"/>
      <c r="B803" s="182"/>
      <c r="C803" s="3"/>
      <c r="D803" s="2"/>
      <c r="E803" s="3"/>
      <c r="F803" s="2"/>
      <c r="G803" s="2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91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</row>
    <row r="804" ht="15.75" customHeight="1">
      <c r="A804" s="2"/>
      <c r="B804" s="182"/>
      <c r="C804" s="3"/>
      <c r="D804" s="2"/>
      <c r="E804" s="3"/>
      <c r="F804" s="2"/>
      <c r="G804" s="2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91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</row>
    <row r="805" ht="15.75" customHeight="1">
      <c r="A805" s="2"/>
      <c r="B805" s="182"/>
      <c r="C805" s="3"/>
      <c r="D805" s="2"/>
      <c r="E805" s="3"/>
      <c r="F805" s="2"/>
      <c r="G805" s="2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91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</row>
    <row r="806" ht="15.75" customHeight="1">
      <c r="A806" s="2"/>
      <c r="B806" s="182"/>
      <c r="C806" s="3"/>
      <c r="D806" s="2"/>
      <c r="E806" s="3"/>
      <c r="F806" s="2"/>
      <c r="G806" s="2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91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</row>
    <row r="807" ht="15.75" customHeight="1">
      <c r="A807" s="2"/>
      <c r="B807" s="182"/>
      <c r="C807" s="3"/>
      <c r="D807" s="2"/>
      <c r="E807" s="3"/>
      <c r="F807" s="2"/>
      <c r="G807" s="2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91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</row>
    <row r="808" ht="15.75" customHeight="1">
      <c r="A808" s="2"/>
      <c r="B808" s="182"/>
      <c r="C808" s="3"/>
      <c r="D808" s="2"/>
      <c r="E808" s="3"/>
      <c r="F808" s="2"/>
      <c r="G808" s="2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91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</row>
    <row r="809" ht="15.75" customHeight="1">
      <c r="A809" s="2"/>
      <c r="B809" s="182"/>
      <c r="C809" s="3"/>
      <c r="D809" s="2"/>
      <c r="E809" s="3"/>
      <c r="F809" s="2"/>
      <c r="G809" s="2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91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</row>
    <row r="810" ht="15.75" customHeight="1">
      <c r="A810" s="2"/>
      <c r="B810" s="182"/>
      <c r="C810" s="3"/>
      <c r="D810" s="2"/>
      <c r="E810" s="3"/>
      <c r="F810" s="2"/>
      <c r="G810" s="2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91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</row>
    <row r="811" ht="15.75" customHeight="1">
      <c r="A811" s="2"/>
      <c r="B811" s="182"/>
      <c r="C811" s="3"/>
      <c r="D811" s="2"/>
      <c r="E811" s="3"/>
      <c r="F811" s="2"/>
      <c r="G811" s="2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91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</row>
    <row r="812" ht="15.75" customHeight="1">
      <c r="A812" s="2"/>
      <c r="B812" s="182"/>
      <c r="C812" s="3"/>
      <c r="D812" s="2"/>
      <c r="E812" s="3"/>
      <c r="F812" s="2"/>
      <c r="G812" s="2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91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</row>
    <row r="813" ht="15.75" customHeight="1">
      <c r="A813" s="2"/>
      <c r="B813" s="182"/>
      <c r="C813" s="3"/>
      <c r="D813" s="2"/>
      <c r="E813" s="3"/>
      <c r="F813" s="2"/>
      <c r="G813" s="2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91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</row>
    <row r="814" ht="15.75" customHeight="1">
      <c r="A814" s="2"/>
      <c r="B814" s="182"/>
      <c r="C814" s="3"/>
      <c r="D814" s="2"/>
      <c r="E814" s="3"/>
      <c r="F814" s="2"/>
      <c r="G814" s="2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91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</row>
    <row r="815" ht="15.75" customHeight="1">
      <c r="A815" s="2"/>
      <c r="B815" s="182"/>
      <c r="C815" s="3"/>
      <c r="D815" s="2"/>
      <c r="E815" s="3"/>
      <c r="F815" s="2"/>
      <c r="G815" s="2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91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</row>
    <row r="816" ht="15.75" customHeight="1">
      <c r="A816" s="2"/>
      <c r="B816" s="182"/>
      <c r="C816" s="3"/>
      <c r="D816" s="2"/>
      <c r="E816" s="3"/>
      <c r="F816" s="2"/>
      <c r="G816" s="2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91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</row>
    <row r="817" ht="15.75" customHeight="1">
      <c r="A817" s="2"/>
      <c r="B817" s="182"/>
      <c r="C817" s="3"/>
      <c r="D817" s="2"/>
      <c r="E817" s="3"/>
      <c r="F817" s="2"/>
      <c r="G817" s="2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91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</row>
    <row r="818" ht="15.75" customHeight="1">
      <c r="A818" s="2"/>
      <c r="B818" s="182"/>
      <c r="C818" s="3"/>
      <c r="D818" s="2"/>
      <c r="E818" s="3"/>
      <c r="F818" s="2"/>
      <c r="G818" s="2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91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</row>
    <row r="819" ht="15.75" customHeight="1">
      <c r="A819" s="2"/>
      <c r="B819" s="182"/>
      <c r="C819" s="3"/>
      <c r="D819" s="2"/>
      <c r="E819" s="3"/>
      <c r="F819" s="2"/>
      <c r="G819" s="2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91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</row>
    <row r="820" ht="15.75" customHeight="1">
      <c r="A820" s="2"/>
      <c r="B820" s="182"/>
      <c r="C820" s="3"/>
      <c r="D820" s="2"/>
      <c r="E820" s="3"/>
      <c r="F820" s="2"/>
      <c r="G820" s="2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91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</row>
    <row r="821" ht="15.75" customHeight="1">
      <c r="A821" s="2"/>
      <c r="B821" s="182"/>
      <c r="C821" s="3"/>
      <c r="D821" s="2"/>
      <c r="E821" s="3"/>
      <c r="F821" s="2"/>
      <c r="G821" s="2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91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</row>
    <row r="822" ht="15.75" customHeight="1">
      <c r="A822" s="2"/>
      <c r="B822" s="182"/>
      <c r="C822" s="3"/>
      <c r="D822" s="2"/>
      <c r="E822" s="3"/>
      <c r="F822" s="2"/>
      <c r="G822" s="2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91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</row>
    <row r="823" ht="15.75" customHeight="1">
      <c r="A823" s="2"/>
      <c r="B823" s="182"/>
      <c r="C823" s="3"/>
      <c r="D823" s="2"/>
      <c r="E823" s="3"/>
      <c r="F823" s="2"/>
      <c r="G823" s="2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91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</row>
    <row r="824" ht="15.75" customHeight="1">
      <c r="A824" s="2"/>
      <c r="B824" s="182"/>
      <c r="C824" s="3"/>
      <c r="D824" s="2"/>
      <c r="E824" s="3"/>
      <c r="F824" s="2"/>
      <c r="G824" s="2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91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</row>
    <row r="825" ht="15.75" customHeight="1">
      <c r="A825" s="2"/>
      <c r="B825" s="182"/>
      <c r="C825" s="3"/>
      <c r="D825" s="2"/>
      <c r="E825" s="3"/>
      <c r="F825" s="2"/>
      <c r="G825" s="2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91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</row>
    <row r="826" ht="15.75" customHeight="1">
      <c r="A826" s="2"/>
      <c r="B826" s="182"/>
      <c r="C826" s="3"/>
      <c r="D826" s="2"/>
      <c r="E826" s="3"/>
      <c r="F826" s="2"/>
      <c r="G826" s="2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91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</row>
    <row r="827" ht="15.75" customHeight="1">
      <c r="A827" s="2"/>
      <c r="B827" s="182"/>
      <c r="C827" s="3"/>
      <c r="D827" s="2"/>
      <c r="E827" s="3"/>
      <c r="F827" s="2"/>
      <c r="G827" s="2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91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</row>
    <row r="828" ht="15.75" customHeight="1">
      <c r="A828" s="2"/>
      <c r="B828" s="182"/>
      <c r="C828" s="3"/>
      <c r="D828" s="2"/>
      <c r="E828" s="3"/>
      <c r="F828" s="2"/>
      <c r="G828" s="2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91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</row>
    <row r="829" ht="15.75" customHeight="1">
      <c r="A829" s="2"/>
      <c r="B829" s="182"/>
      <c r="C829" s="3"/>
      <c r="D829" s="2"/>
      <c r="E829" s="3"/>
      <c r="F829" s="2"/>
      <c r="G829" s="2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91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</row>
    <row r="830" ht="15.75" customHeight="1">
      <c r="A830" s="2"/>
      <c r="B830" s="182"/>
      <c r="C830" s="3"/>
      <c r="D830" s="2"/>
      <c r="E830" s="3"/>
      <c r="F830" s="2"/>
      <c r="G830" s="2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91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</row>
    <row r="831" ht="15.75" customHeight="1">
      <c r="A831" s="2"/>
      <c r="B831" s="182"/>
      <c r="C831" s="3"/>
      <c r="D831" s="2"/>
      <c r="E831" s="3"/>
      <c r="F831" s="2"/>
      <c r="G831" s="2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91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</row>
    <row r="832" ht="15.75" customHeight="1">
      <c r="A832" s="2"/>
      <c r="B832" s="182"/>
      <c r="C832" s="3"/>
      <c r="D832" s="2"/>
      <c r="E832" s="3"/>
      <c r="F832" s="2"/>
      <c r="G832" s="2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91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</row>
    <row r="833" ht="15.75" customHeight="1">
      <c r="A833" s="2"/>
      <c r="B833" s="182"/>
      <c r="C833" s="3"/>
      <c r="D833" s="2"/>
      <c r="E833" s="3"/>
      <c r="F833" s="2"/>
      <c r="G833" s="2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91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</row>
    <row r="834" ht="15.75" customHeight="1">
      <c r="A834" s="2"/>
      <c r="B834" s="182"/>
      <c r="C834" s="3"/>
      <c r="D834" s="2"/>
      <c r="E834" s="3"/>
      <c r="F834" s="2"/>
      <c r="G834" s="2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91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</row>
    <row r="835" ht="15.75" customHeight="1">
      <c r="A835" s="2"/>
      <c r="B835" s="182"/>
      <c r="C835" s="3"/>
      <c r="D835" s="2"/>
      <c r="E835" s="3"/>
      <c r="F835" s="2"/>
      <c r="G835" s="2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91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</row>
    <row r="836" ht="15.75" customHeight="1">
      <c r="A836" s="2"/>
      <c r="B836" s="182"/>
      <c r="C836" s="3"/>
      <c r="D836" s="2"/>
      <c r="E836" s="3"/>
      <c r="F836" s="2"/>
      <c r="G836" s="2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91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</row>
    <row r="837" ht="15.75" customHeight="1">
      <c r="A837" s="2"/>
      <c r="B837" s="182"/>
      <c r="C837" s="3"/>
      <c r="D837" s="2"/>
      <c r="E837" s="3"/>
      <c r="F837" s="2"/>
      <c r="G837" s="2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91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</row>
    <row r="838" ht="15.75" customHeight="1">
      <c r="A838" s="2"/>
      <c r="B838" s="182"/>
      <c r="C838" s="3"/>
      <c r="D838" s="2"/>
      <c r="E838" s="3"/>
      <c r="F838" s="2"/>
      <c r="G838" s="2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91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</row>
    <row r="839" ht="15.75" customHeight="1">
      <c r="A839" s="2"/>
      <c r="B839" s="182"/>
      <c r="C839" s="3"/>
      <c r="D839" s="2"/>
      <c r="E839" s="3"/>
      <c r="F839" s="2"/>
      <c r="G839" s="2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91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</row>
    <row r="840" ht="15.75" customHeight="1">
      <c r="A840" s="2"/>
      <c r="B840" s="182"/>
      <c r="C840" s="3"/>
      <c r="D840" s="2"/>
      <c r="E840" s="3"/>
      <c r="F840" s="2"/>
      <c r="G840" s="2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91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</row>
    <row r="841" ht="15.75" customHeight="1">
      <c r="A841" s="2"/>
      <c r="B841" s="182"/>
      <c r="C841" s="3"/>
      <c r="D841" s="2"/>
      <c r="E841" s="3"/>
      <c r="F841" s="2"/>
      <c r="G841" s="2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91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</row>
    <row r="842" ht="15.75" customHeight="1">
      <c r="A842" s="2"/>
      <c r="B842" s="182"/>
      <c r="C842" s="3"/>
      <c r="D842" s="2"/>
      <c r="E842" s="3"/>
      <c r="F842" s="2"/>
      <c r="G842" s="2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91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</row>
    <row r="843" ht="15.75" customHeight="1">
      <c r="A843" s="2"/>
      <c r="B843" s="182"/>
      <c r="C843" s="3"/>
      <c r="D843" s="2"/>
      <c r="E843" s="3"/>
      <c r="F843" s="2"/>
      <c r="G843" s="2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91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</row>
    <row r="844" ht="15.75" customHeight="1">
      <c r="A844" s="2"/>
      <c r="B844" s="182"/>
      <c r="C844" s="3"/>
      <c r="D844" s="2"/>
      <c r="E844" s="3"/>
      <c r="F844" s="2"/>
      <c r="G844" s="2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91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</row>
    <row r="845" ht="15.75" customHeight="1">
      <c r="A845" s="2"/>
      <c r="B845" s="182"/>
      <c r="C845" s="3"/>
      <c r="D845" s="2"/>
      <c r="E845" s="3"/>
      <c r="F845" s="2"/>
      <c r="G845" s="2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91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</row>
    <row r="846" ht="15.75" customHeight="1">
      <c r="A846" s="2"/>
      <c r="B846" s="182"/>
      <c r="C846" s="3"/>
      <c r="D846" s="2"/>
      <c r="E846" s="3"/>
      <c r="F846" s="2"/>
      <c r="G846" s="2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91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</row>
    <row r="847" ht="15.75" customHeight="1">
      <c r="A847" s="2"/>
      <c r="B847" s="182"/>
      <c r="C847" s="3"/>
      <c r="D847" s="2"/>
      <c r="E847" s="3"/>
      <c r="F847" s="2"/>
      <c r="G847" s="2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91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</row>
    <row r="848" ht="15.75" customHeight="1">
      <c r="A848" s="2"/>
      <c r="B848" s="182"/>
      <c r="C848" s="3"/>
      <c r="D848" s="2"/>
      <c r="E848" s="3"/>
      <c r="F848" s="2"/>
      <c r="G848" s="2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91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</row>
    <row r="849" ht="15.75" customHeight="1">
      <c r="A849" s="2"/>
      <c r="B849" s="182"/>
      <c r="C849" s="3"/>
      <c r="D849" s="2"/>
      <c r="E849" s="3"/>
      <c r="F849" s="2"/>
      <c r="G849" s="2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91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</row>
    <row r="850" ht="15.75" customHeight="1">
      <c r="A850" s="2"/>
      <c r="B850" s="182"/>
      <c r="C850" s="3"/>
      <c r="D850" s="2"/>
      <c r="E850" s="3"/>
      <c r="F850" s="2"/>
      <c r="G850" s="2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91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</row>
    <row r="851" ht="15.75" customHeight="1">
      <c r="A851" s="2"/>
      <c r="B851" s="182"/>
      <c r="C851" s="3"/>
      <c r="D851" s="2"/>
      <c r="E851" s="3"/>
      <c r="F851" s="2"/>
      <c r="G851" s="2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91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</row>
    <row r="852" ht="15.75" customHeight="1">
      <c r="A852" s="2"/>
      <c r="B852" s="182"/>
      <c r="C852" s="3"/>
      <c r="D852" s="2"/>
      <c r="E852" s="3"/>
      <c r="F852" s="2"/>
      <c r="G852" s="2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91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</row>
    <row r="853" ht="15.75" customHeight="1">
      <c r="A853" s="2"/>
      <c r="B853" s="182"/>
      <c r="C853" s="3"/>
      <c r="D853" s="2"/>
      <c r="E853" s="3"/>
      <c r="F853" s="2"/>
      <c r="G853" s="2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91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</row>
    <row r="854" ht="15.75" customHeight="1">
      <c r="A854" s="2"/>
      <c r="B854" s="182"/>
      <c r="C854" s="3"/>
      <c r="D854" s="2"/>
      <c r="E854" s="3"/>
      <c r="F854" s="2"/>
      <c r="G854" s="2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91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</row>
    <row r="855" ht="15.75" customHeight="1">
      <c r="A855" s="2"/>
      <c r="B855" s="182"/>
      <c r="C855" s="3"/>
      <c r="D855" s="2"/>
      <c r="E855" s="3"/>
      <c r="F855" s="2"/>
      <c r="G855" s="2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91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</row>
    <row r="856" ht="15.75" customHeight="1">
      <c r="A856" s="2"/>
      <c r="B856" s="182"/>
      <c r="C856" s="3"/>
      <c r="D856" s="2"/>
      <c r="E856" s="3"/>
      <c r="F856" s="2"/>
      <c r="G856" s="2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91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</row>
    <row r="857" ht="15.75" customHeight="1">
      <c r="A857" s="2"/>
      <c r="B857" s="182"/>
      <c r="C857" s="3"/>
      <c r="D857" s="2"/>
      <c r="E857" s="3"/>
      <c r="F857" s="2"/>
      <c r="G857" s="2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91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</row>
    <row r="858" ht="15.75" customHeight="1">
      <c r="A858" s="2"/>
      <c r="B858" s="182"/>
      <c r="C858" s="3"/>
      <c r="D858" s="2"/>
      <c r="E858" s="3"/>
      <c r="F858" s="2"/>
      <c r="G858" s="2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91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</row>
    <row r="859" ht="15.75" customHeight="1">
      <c r="A859" s="2"/>
      <c r="B859" s="182"/>
      <c r="C859" s="3"/>
      <c r="D859" s="2"/>
      <c r="E859" s="3"/>
      <c r="F859" s="2"/>
      <c r="G859" s="2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91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</row>
    <row r="860" ht="15.75" customHeight="1">
      <c r="A860" s="2"/>
      <c r="B860" s="182"/>
      <c r="C860" s="3"/>
      <c r="D860" s="2"/>
      <c r="E860" s="3"/>
      <c r="F860" s="2"/>
      <c r="G860" s="2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91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</row>
    <row r="861" ht="15.75" customHeight="1">
      <c r="A861" s="2"/>
      <c r="B861" s="182"/>
      <c r="C861" s="3"/>
      <c r="D861" s="2"/>
      <c r="E861" s="3"/>
      <c r="F861" s="2"/>
      <c r="G861" s="2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91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</row>
    <row r="862" ht="15.75" customHeight="1">
      <c r="A862" s="2"/>
      <c r="B862" s="182"/>
      <c r="C862" s="3"/>
      <c r="D862" s="2"/>
      <c r="E862" s="3"/>
      <c r="F862" s="2"/>
      <c r="G862" s="2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91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</row>
    <row r="863" ht="15.75" customHeight="1">
      <c r="A863" s="2"/>
      <c r="B863" s="182"/>
      <c r="C863" s="3"/>
      <c r="D863" s="2"/>
      <c r="E863" s="3"/>
      <c r="F863" s="2"/>
      <c r="G863" s="2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91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</row>
    <row r="864" ht="15.75" customHeight="1">
      <c r="A864" s="2"/>
      <c r="B864" s="182"/>
      <c r="C864" s="3"/>
      <c r="D864" s="2"/>
      <c r="E864" s="3"/>
      <c r="F864" s="2"/>
      <c r="G864" s="2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91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</row>
    <row r="865" ht="15.75" customHeight="1">
      <c r="A865" s="2"/>
      <c r="B865" s="182"/>
      <c r="C865" s="3"/>
      <c r="D865" s="2"/>
      <c r="E865" s="3"/>
      <c r="F865" s="2"/>
      <c r="G865" s="2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91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</row>
    <row r="866" ht="15.75" customHeight="1">
      <c r="A866" s="2"/>
      <c r="B866" s="182"/>
      <c r="C866" s="3"/>
      <c r="D866" s="2"/>
      <c r="E866" s="3"/>
      <c r="F866" s="2"/>
      <c r="G866" s="2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91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</row>
    <row r="867" ht="15.75" customHeight="1">
      <c r="A867" s="2"/>
      <c r="B867" s="182"/>
      <c r="C867" s="3"/>
      <c r="D867" s="2"/>
      <c r="E867" s="3"/>
      <c r="F867" s="2"/>
      <c r="G867" s="2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91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</row>
    <row r="868" ht="15.75" customHeight="1">
      <c r="A868" s="2"/>
      <c r="B868" s="182"/>
      <c r="C868" s="3"/>
      <c r="D868" s="2"/>
      <c r="E868" s="3"/>
      <c r="F868" s="2"/>
      <c r="G868" s="2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91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</row>
    <row r="869" ht="15.75" customHeight="1">
      <c r="A869" s="2"/>
      <c r="B869" s="182"/>
      <c r="C869" s="3"/>
      <c r="D869" s="2"/>
      <c r="E869" s="3"/>
      <c r="F869" s="2"/>
      <c r="G869" s="2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91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</row>
    <row r="870" ht="15.75" customHeight="1">
      <c r="A870" s="2"/>
      <c r="B870" s="182"/>
      <c r="C870" s="3"/>
      <c r="D870" s="2"/>
      <c r="E870" s="3"/>
      <c r="F870" s="2"/>
      <c r="G870" s="2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91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</row>
    <row r="871" ht="15.75" customHeight="1">
      <c r="A871" s="2"/>
      <c r="B871" s="182"/>
      <c r="C871" s="3"/>
      <c r="D871" s="2"/>
      <c r="E871" s="3"/>
      <c r="F871" s="2"/>
      <c r="G871" s="2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91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</row>
    <row r="872" ht="15.75" customHeight="1">
      <c r="A872" s="2"/>
      <c r="B872" s="182"/>
      <c r="C872" s="3"/>
      <c r="D872" s="2"/>
      <c r="E872" s="3"/>
      <c r="F872" s="2"/>
      <c r="G872" s="2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91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</row>
    <row r="873" ht="15.75" customHeight="1">
      <c r="A873" s="2"/>
      <c r="B873" s="182"/>
      <c r="C873" s="3"/>
      <c r="D873" s="2"/>
      <c r="E873" s="3"/>
      <c r="F873" s="2"/>
      <c r="G873" s="2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91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</row>
    <row r="874" ht="15.75" customHeight="1">
      <c r="A874" s="2"/>
      <c r="B874" s="182"/>
      <c r="C874" s="3"/>
      <c r="D874" s="2"/>
      <c r="E874" s="3"/>
      <c r="F874" s="2"/>
      <c r="G874" s="2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91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</row>
    <row r="875" ht="15.75" customHeight="1">
      <c r="A875" s="2"/>
      <c r="B875" s="182"/>
      <c r="C875" s="3"/>
      <c r="D875" s="2"/>
      <c r="E875" s="3"/>
      <c r="F875" s="2"/>
      <c r="G875" s="2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91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</row>
    <row r="876" ht="15.75" customHeight="1">
      <c r="A876" s="2"/>
      <c r="B876" s="182"/>
      <c r="C876" s="3"/>
      <c r="D876" s="2"/>
      <c r="E876" s="3"/>
      <c r="F876" s="2"/>
      <c r="G876" s="2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91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</row>
    <row r="877" ht="15.75" customHeight="1">
      <c r="A877" s="2"/>
      <c r="B877" s="182"/>
      <c r="C877" s="3"/>
      <c r="D877" s="2"/>
      <c r="E877" s="3"/>
      <c r="F877" s="2"/>
      <c r="G877" s="2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91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</row>
    <row r="878" ht="15.75" customHeight="1">
      <c r="A878" s="2"/>
      <c r="B878" s="182"/>
      <c r="C878" s="3"/>
      <c r="D878" s="2"/>
      <c r="E878" s="3"/>
      <c r="F878" s="2"/>
      <c r="G878" s="2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91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</row>
    <row r="879" ht="15.75" customHeight="1">
      <c r="A879" s="2"/>
      <c r="B879" s="182"/>
      <c r="C879" s="3"/>
      <c r="D879" s="2"/>
      <c r="E879" s="3"/>
      <c r="F879" s="2"/>
      <c r="G879" s="2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91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</row>
    <row r="880" ht="15.75" customHeight="1">
      <c r="A880" s="2"/>
      <c r="B880" s="182"/>
      <c r="C880" s="3"/>
      <c r="D880" s="2"/>
      <c r="E880" s="3"/>
      <c r="F880" s="2"/>
      <c r="G880" s="2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91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</row>
    <row r="881" ht="15.75" customHeight="1">
      <c r="A881" s="2"/>
      <c r="B881" s="182"/>
      <c r="C881" s="3"/>
      <c r="D881" s="2"/>
      <c r="E881" s="3"/>
      <c r="F881" s="2"/>
      <c r="G881" s="2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91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</row>
    <row r="882" ht="15.75" customHeight="1">
      <c r="A882" s="2"/>
      <c r="B882" s="182"/>
      <c r="C882" s="3"/>
      <c r="D882" s="2"/>
      <c r="E882" s="3"/>
      <c r="F882" s="2"/>
      <c r="G882" s="2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91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</row>
    <row r="883" ht="15.75" customHeight="1">
      <c r="A883" s="2"/>
      <c r="B883" s="182"/>
      <c r="C883" s="3"/>
      <c r="D883" s="2"/>
      <c r="E883" s="3"/>
      <c r="F883" s="2"/>
      <c r="G883" s="2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91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</row>
    <row r="884" ht="15.75" customHeight="1">
      <c r="A884" s="2"/>
      <c r="B884" s="182"/>
      <c r="C884" s="3"/>
      <c r="D884" s="2"/>
      <c r="E884" s="3"/>
      <c r="F884" s="2"/>
      <c r="G884" s="2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91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</row>
    <row r="885" ht="15.75" customHeight="1">
      <c r="A885" s="2"/>
      <c r="B885" s="182"/>
      <c r="C885" s="3"/>
      <c r="D885" s="2"/>
      <c r="E885" s="3"/>
      <c r="F885" s="2"/>
      <c r="G885" s="2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91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</row>
    <row r="886" ht="15.75" customHeight="1">
      <c r="A886" s="2"/>
      <c r="B886" s="182"/>
      <c r="C886" s="3"/>
      <c r="D886" s="2"/>
      <c r="E886" s="3"/>
      <c r="F886" s="2"/>
      <c r="G886" s="2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91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</row>
    <row r="887" ht="15.75" customHeight="1">
      <c r="A887" s="2"/>
      <c r="B887" s="182"/>
      <c r="C887" s="3"/>
      <c r="D887" s="2"/>
      <c r="E887" s="3"/>
      <c r="F887" s="2"/>
      <c r="G887" s="2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91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</row>
    <row r="888" ht="15.75" customHeight="1">
      <c r="A888" s="2"/>
      <c r="B888" s="182"/>
      <c r="C888" s="3"/>
      <c r="D888" s="2"/>
      <c r="E888" s="3"/>
      <c r="F888" s="2"/>
      <c r="G888" s="2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91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</row>
    <row r="889" ht="15.75" customHeight="1">
      <c r="A889" s="2"/>
      <c r="B889" s="182"/>
      <c r="C889" s="3"/>
      <c r="D889" s="2"/>
      <c r="E889" s="3"/>
      <c r="F889" s="2"/>
      <c r="G889" s="2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91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</row>
    <row r="890" ht="15.75" customHeight="1">
      <c r="A890" s="2"/>
      <c r="B890" s="182"/>
      <c r="C890" s="3"/>
      <c r="D890" s="2"/>
      <c r="E890" s="3"/>
      <c r="F890" s="2"/>
      <c r="G890" s="2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91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</row>
    <row r="891" ht="15.75" customHeight="1">
      <c r="A891" s="2"/>
      <c r="B891" s="182"/>
      <c r="C891" s="3"/>
      <c r="D891" s="2"/>
      <c r="E891" s="3"/>
      <c r="F891" s="2"/>
      <c r="G891" s="2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91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</row>
    <row r="892" ht="15.75" customHeight="1">
      <c r="A892" s="2"/>
      <c r="B892" s="182"/>
      <c r="C892" s="3"/>
      <c r="D892" s="2"/>
      <c r="E892" s="3"/>
      <c r="F892" s="2"/>
      <c r="G892" s="2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91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</row>
    <row r="893" ht="15.75" customHeight="1">
      <c r="A893" s="2"/>
      <c r="B893" s="182"/>
      <c r="C893" s="3"/>
      <c r="D893" s="2"/>
      <c r="E893" s="3"/>
      <c r="F893" s="2"/>
      <c r="G893" s="2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91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</row>
    <row r="894" ht="15.75" customHeight="1">
      <c r="A894" s="2"/>
      <c r="B894" s="182"/>
      <c r="C894" s="3"/>
      <c r="D894" s="2"/>
      <c r="E894" s="3"/>
      <c r="F894" s="2"/>
      <c r="G894" s="2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91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</row>
    <row r="895" ht="15.75" customHeight="1">
      <c r="A895" s="2"/>
      <c r="B895" s="182"/>
      <c r="C895" s="3"/>
      <c r="D895" s="2"/>
      <c r="E895" s="3"/>
      <c r="F895" s="2"/>
      <c r="G895" s="2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91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</row>
    <row r="896" ht="15.75" customHeight="1">
      <c r="A896" s="2"/>
      <c r="B896" s="182"/>
      <c r="C896" s="3"/>
      <c r="D896" s="2"/>
      <c r="E896" s="3"/>
      <c r="F896" s="2"/>
      <c r="G896" s="2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91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</row>
    <row r="897" ht="15.75" customHeight="1">
      <c r="A897" s="2"/>
      <c r="B897" s="182"/>
      <c r="C897" s="3"/>
      <c r="D897" s="2"/>
      <c r="E897" s="3"/>
      <c r="F897" s="2"/>
      <c r="G897" s="2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91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</row>
    <row r="898" ht="15.75" customHeight="1">
      <c r="A898" s="2"/>
      <c r="B898" s="182"/>
      <c r="C898" s="3"/>
      <c r="D898" s="2"/>
      <c r="E898" s="3"/>
      <c r="F898" s="2"/>
      <c r="G898" s="2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91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</row>
    <row r="899" ht="15.75" customHeight="1">
      <c r="A899" s="2"/>
      <c r="B899" s="182"/>
      <c r="C899" s="3"/>
      <c r="D899" s="2"/>
      <c r="E899" s="3"/>
      <c r="F899" s="2"/>
      <c r="G899" s="2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91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</row>
    <row r="900" ht="15.75" customHeight="1">
      <c r="A900" s="2"/>
      <c r="B900" s="182"/>
      <c r="C900" s="3"/>
      <c r="D900" s="2"/>
      <c r="E900" s="3"/>
      <c r="F900" s="2"/>
      <c r="G900" s="2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91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</row>
    <row r="901" ht="15.75" customHeight="1">
      <c r="A901" s="2"/>
      <c r="B901" s="182"/>
      <c r="C901" s="3"/>
      <c r="D901" s="2"/>
      <c r="E901" s="3"/>
      <c r="F901" s="2"/>
      <c r="G901" s="2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91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</row>
    <row r="902" ht="15.75" customHeight="1">
      <c r="A902" s="2"/>
      <c r="B902" s="182"/>
      <c r="C902" s="3"/>
      <c r="D902" s="2"/>
      <c r="E902" s="3"/>
      <c r="F902" s="2"/>
      <c r="G902" s="2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91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</row>
    <row r="903" ht="15.75" customHeight="1">
      <c r="A903" s="2"/>
      <c r="B903" s="182"/>
      <c r="C903" s="3"/>
      <c r="D903" s="2"/>
      <c r="E903" s="3"/>
      <c r="F903" s="2"/>
      <c r="G903" s="2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91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</row>
    <row r="904" ht="15.75" customHeight="1">
      <c r="A904" s="2"/>
      <c r="B904" s="182"/>
      <c r="C904" s="3"/>
      <c r="D904" s="2"/>
      <c r="E904" s="3"/>
      <c r="F904" s="2"/>
      <c r="G904" s="2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91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</row>
    <row r="905" ht="15.75" customHeight="1">
      <c r="A905" s="2"/>
      <c r="B905" s="182"/>
      <c r="C905" s="3"/>
      <c r="D905" s="2"/>
      <c r="E905" s="3"/>
      <c r="F905" s="2"/>
      <c r="G905" s="2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91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</row>
    <row r="906" ht="15.75" customHeight="1">
      <c r="A906" s="2"/>
      <c r="B906" s="182"/>
      <c r="C906" s="3"/>
      <c r="D906" s="2"/>
      <c r="E906" s="3"/>
      <c r="F906" s="2"/>
      <c r="G906" s="2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91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</row>
    <row r="907" ht="15.75" customHeight="1">
      <c r="A907" s="2"/>
      <c r="B907" s="182"/>
      <c r="C907" s="3"/>
      <c r="D907" s="2"/>
      <c r="E907" s="3"/>
      <c r="F907" s="2"/>
      <c r="G907" s="2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91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</row>
    <row r="908" ht="15.75" customHeight="1">
      <c r="A908" s="2"/>
      <c r="B908" s="182"/>
      <c r="C908" s="3"/>
      <c r="D908" s="2"/>
      <c r="E908" s="3"/>
      <c r="F908" s="2"/>
      <c r="G908" s="2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91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</row>
    <row r="909" ht="15.75" customHeight="1">
      <c r="A909" s="2"/>
      <c r="B909" s="182"/>
      <c r="C909" s="3"/>
      <c r="D909" s="2"/>
      <c r="E909" s="3"/>
      <c r="F909" s="2"/>
      <c r="G909" s="2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91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</row>
    <row r="910" ht="15.75" customHeight="1">
      <c r="A910" s="2"/>
      <c r="B910" s="182"/>
      <c r="C910" s="3"/>
      <c r="D910" s="2"/>
      <c r="E910" s="3"/>
      <c r="F910" s="2"/>
      <c r="G910" s="2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91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</row>
    <row r="911" ht="15.75" customHeight="1">
      <c r="A911" s="2"/>
      <c r="B911" s="182"/>
      <c r="C911" s="3"/>
      <c r="D911" s="2"/>
      <c r="E911" s="3"/>
      <c r="F911" s="2"/>
      <c r="G911" s="2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91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</row>
    <row r="912" ht="15.75" customHeight="1">
      <c r="A912" s="2"/>
      <c r="B912" s="182"/>
      <c r="C912" s="3"/>
      <c r="D912" s="2"/>
      <c r="E912" s="3"/>
      <c r="F912" s="2"/>
      <c r="G912" s="2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91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</row>
    <row r="913" ht="15.75" customHeight="1">
      <c r="A913" s="2"/>
      <c r="B913" s="182"/>
      <c r="C913" s="3"/>
      <c r="D913" s="2"/>
      <c r="E913" s="3"/>
      <c r="F913" s="2"/>
      <c r="G913" s="2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91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</row>
    <row r="914" ht="15.75" customHeight="1">
      <c r="A914" s="2"/>
      <c r="B914" s="182"/>
      <c r="C914" s="3"/>
      <c r="D914" s="2"/>
      <c r="E914" s="3"/>
      <c r="F914" s="2"/>
      <c r="G914" s="2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91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</row>
    <row r="915" ht="15.75" customHeight="1">
      <c r="A915" s="2"/>
      <c r="B915" s="182"/>
      <c r="C915" s="3"/>
      <c r="D915" s="2"/>
      <c r="E915" s="3"/>
      <c r="F915" s="2"/>
      <c r="G915" s="2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91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</row>
    <row r="916" ht="15.75" customHeight="1">
      <c r="A916" s="2"/>
      <c r="B916" s="182"/>
      <c r="C916" s="3"/>
      <c r="D916" s="2"/>
      <c r="E916" s="3"/>
      <c r="F916" s="2"/>
      <c r="G916" s="2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91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</row>
    <row r="917" ht="15.75" customHeight="1">
      <c r="A917" s="2"/>
      <c r="B917" s="182"/>
      <c r="C917" s="3"/>
      <c r="D917" s="2"/>
      <c r="E917" s="3"/>
      <c r="F917" s="2"/>
      <c r="G917" s="2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91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</row>
    <row r="918" ht="15.75" customHeight="1">
      <c r="A918" s="2"/>
      <c r="B918" s="182"/>
      <c r="C918" s="3"/>
      <c r="D918" s="2"/>
      <c r="E918" s="3"/>
      <c r="F918" s="2"/>
      <c r="G918" s="2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91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</row>
    <row r="919" ht="15.75" customHeight="1">
      <c r="A919" s="2"/>
      <c r="B919" s="182"/>
      <c r="C919" s="3"/>
      <c r="D919" s="2"/>
      <c r="E919" s="3"/>
      <c r="F919" s="2"/>
      <c r="G919" s="2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91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</row>
    <row r="920" ht="15.75" customHeight="1">
      <c r="A920" s="2"/>
      <c r="B920" s="182"/>
      <c r="C920" s="3"/>
      <c r="D920" s="2"/>
      <c r="E920" s="3"/>
      <c r="F920" s="2"/>
      <c r="G920" s="2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91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</row>
    <row r="921" ht="15.75" customHeight="1">
      <c r="A921" s="2"/>
      <c r="B921" s="182"/>
      <c r="C921" s="3"/>
      <c r="D921" s="2"/>
      <c r="E921" s="3"/>
      <c r="F921" s="2"/>
      <c r="G921" s="2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91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</row>
    <row r="922" ht="15.75" customHeight="1">
      <c r="A922" s="2"/>
      <c r="B922" s="182"/>
      <c r="C922" s="3"/>
      <c r="D922" s="2"/>
      <c r="E922" s="3"/>
      <c r="F922" s="2"/>
      <c r="G922" s="2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91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</row>
    <row r="923" ht="15.75" customHeight="1">
      <c r="A923" s="2"/>
      <c r="B923" s="182"/>
      <c r="C923" s="3"/>
      <c r="D923" s="2"/>
      <c r="E923" s="3"/>
      <c r="F923" s="2"/>
      <c r="G923" s="2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91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</row>
    <row r="924" ht="15.75" customHeight="1">
      <c r="A924" s="2"/>
      <c r="B924" s="182"/>
      <c r="C924" s="3"/>
      <c r="D924" s="2"/>
      <c r="E924" s="3"/>
      <c r="F924" s="2"/>
      <c r="G924" s="2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91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</row>
    <row r="925" ht="15.75" customHeight="1">
      <c r="A925" s="2"/>
      <c r="B925" s="182"/>
      <c r="C925" s="3"/>
      <c r="D925" s="2"/>
      <c r="E925" s="3"/>
      <c r="F925" s="2"/>
      <c r="G925" s="2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91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</row>
    <row r="926" ht="15.75" customHeight="1">
      <c r="A926" s="2"/>
      <c r="B926" s="182"/>
      <c r="C926" s="3"/>
      <c r="D926" s="2"/>
      <c r="E926" s="3"/>
      <c r="F926" s="2"/>
      <c r="G926" s="2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91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</row>
    <row r="927" ht="15.75" customHeight="1">
      <c r="A927" s="2"/>
      <c r="B927" s="182"/>
      <c r="C927" s="3"/>
      <c r="D927" s="2"/>
      <c r="E927" s="3"/>
      <c r="F927" s="2"/>
      <c r="G927" s="2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91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</row>
    <row r="928" ht="15.75" customHeight="1">
      <c r="A928" s="2"/>
      <c r="B928" s="182"/>
      <c r="C928" s="3"/>
      <c r="D928" s="2"/>
      <c r="E928" s="3"/>
      <c r="F928" s="2"/>
      <c r="G928" s="2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91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</row>
    <row r="929" ht="15.75" customHeight="1">
      <c r="A929" s="2"/>
      <c r="B929" s="182"/>
      <c r="C929" s="3"/>
      <c r="D929" s="2"/>
      <c r="E929" s="3"/>
      <c r="F929" s="2"/>
      <c r="G929" s="2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91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</row>
    <row r="930" ht="15.75" customHeight="1">
      <c r="A930" s="2"/>
      <c r="B930" s="182"/>
      <c r="C930" s="3"/>
      <c r="D930" s="2"/>
      <c r="E930" s="3"/>
      <c r="F930" s="2"/>
      <c r="G930" s="2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91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</row>
    <row r="931" ht="15.75" customHeight="1">
      <c r="A931" s="2"/>
      <c r="B931" s="182"/>
      <c r="C931" s="3"/>
      <c r="D931" s="2"/>
      <c r="E931" s="3"/>
      <c r="F931" s="2"/>
      <c r="G931" s="2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91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</row>
    <row r="932" ht="15.75" customHeight="1">
      <c r="A932" s="2"/>
      <c r="B932" s="182"/>
      <c r="C932" s="3"/>
      <c r="D932" s="2"/>
      <c r="E932" s="3"/>
      <c r="F932" s="2"/>
      <c r="G932" s="2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91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</row>
    <row r="933" ht="15.75" customHeight="1">
      <c r="A933" s="2"/>
      <c r="B933" s="182"/>
      <c r="C933" s="3"/>
      <c r="D933" s="2"/>
      <c r="E933" s="3"/>
      <c r="F933" s="2"/>
      <c r="G933" s="2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91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</row>
    <row r="934" ht="15.75" customHeight="1">
      <c r="A934" s="2"/>
      <c r="B934" s="182"/>
      <c r="C934" s="3"/>
      <c r="D934" s="2"/>
      <c r="E934" s="3"/>
      <c r="F934" s="2"/>
      <c r="G934" s="2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91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</row>
    <row r="935" ht="15.75" customHeight="1">
      <c r="A935" s="2"/>
      <c r="B935" s="182"/>
      <c r="C935" s="3"/>
      <c r="D935" s="2"/>
      <c r="E935" s="3"/>
      <c r="F935" s="2"/>
      <c r="G935" s="2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91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</row>
    <row r="936" ht="15.75" customHeight="1">
      <c r="A936" s="2"/>
      <c r="B936" s="182"/>
      <c r="C936" s="3"/>
      <c r="D936" s="2"/>
      <c r="E936" s="3"/>
      <c r="F936" s="2"/>
      <c r="G936" s="2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91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</row>
    <row r="937" ht="15.75" customHeight="1">
      <c r="A937" s="2"/>
      <c r="B937" s="182"/>
      <c r="C937" s="3"/>
      <c r="D937" s="2"/>
      <c r="E937" s="3"/>
      <c r="F937" s="2"/>
      <c r="G937" s="2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91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</row>
    <row r="938" ht="15.75" customHeight="1">
      <c r="A938" s="2"/>
      <c r="B938" s="182"/>
      <c r="C938" s="3"/>
      <c r="D938" s="2"/>
      <c r="E938" s="3"/>
      <c r="F938" s="2"/>
      <c r="G938" s="2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91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</row>
    <row r="939" ht="15.75" customHeight="1">
      <c r="A939" s="2"/>
      <c r="B939" s="182"/>
      <c r="C939" s="3"/>
      <c r="D939" s="2"/>
      <c r="E939" s="3"/>
      <c r="F939" s="2"/>
      <c r="G939" s="2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91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</row>
    <row r="940" ht="15.75" customHeight="1">
      <c r="A940" s="2"/>
      <c r="B940" s="182"/>
      <c r="C940" s="3"/>
      <c r="D940" s="2"/>
      <c r="E940" s="3"/>
      <c r="F940" s="2"/>
      <c r="G940" s="2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91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</row>
    <row r="941" ht="15.75" customHeight="1">
      <c r="A941" s="2"/>
      <c r="B941" s="182"/>
      <c r="C941" s="3"/>
      <c r="D941" s="2"/>
      <c r="E941" s="3"/>
      <c r="F941" s="2"/>
      <c r="G941" s="2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91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</row>
    <row r="942" ht="15.75" customHeight="1">
      <c r="A942" s="2"/>
      <c r="B942" s="182"/>
      <c r="C942" s="3"/>
      <c r="D942" s="2"/>
      <c r="E942" s="3"/>
      <c r="F942" s="2"/>
      <c r="G942" s="2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91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</row>
    <row r="943" ht="15.75" customHeight="1">
      <c r="A943" s="2"/>
      <c r="B943" s="182"/>
      <c r="C943" s="3"/>
      <c r="D943" s="2"/>
      <c r="E943" s="3"/>
      <c r="F943" s="2"/>
      <c r="G943" s="2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91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</row>
    <row r="944" ht="15.75" customHeight="1">
      <c r="A944" s="2"/>
      <c r="B944" s="182"/>
      <c r="C944" s="3"/>
      <c r="D944" s="2"/>
      <c r="E944" s="3"/>
      <c r="F944" s="2"/>
      <c r="G944" s="2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91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</row>
    <row r="945" ht="15.75" customHeight="1">
      <c r="A945" s="2"/>
      <c r="B945" s="182"/>
      <c r="C945" s="3"/>
      <c r="D945" s="2"/>
      <c r="E945" s="3"/>
      <c r="F945" s="2"/>
      <c r="G945" s="2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91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</row>
    <row r="946" ht="15.75" customHeight="1">
      <c r="A946" s="2"/>
      <c r="B946" s="182"/>
      <c r="C946" s="3"/>
      <c r="D946" s="2"/>
      <c r="E946" s="3"/>
      <c r="F946" s="2"/>
      <c r="G946" s="2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91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</row>
    <row r="947" ht="15.75" customHeight="1">
      <c r="A947" s="2"/>
      <c r="B947" s="182"/>
      <c r="C947" s="3"/>
      <c r="D947" s="2"/>
      <c r="E947" s="3"/>
      <c r="F947" s="2"/>
      <c r="G947" s="2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91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</row>
    <row r="948" ht="15.75" customHeight="1">
      <c r="A948" s="2"/>
      <c r="B948" s="182"/>
      <c r="C948" s="3"/>
      <c r="D948" s="2"/>
      <c r="E948" s="3"/>
      <c r="F948" s="2"/>
      <c r="G948" s="2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91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</row>
    <row r="949" ht="15.75" customHeight="1">
      <c r="A949" s="2"/>
      <c r="B949" s="182"/>
      <c r="C949" s="3"/>
      <c r="D949" s="2"/>
      <c r="E949" s="3"/>
      <c r="F949" s="2"/>
      <c r="G949" s="2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91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</row>
    <row r="950" ht="15.75" customHeight="1">
      <c r="A950" s="2"/>
      <c r="B950" s="182"/>
      <c r="C950" s="3"/>
      <c r="D950" s="2"/>
      <c r="E950" s="3"/>
      <c r="F950" s="2"/>
      <c r="G950" s="2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91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</row>
    <row r="951" ht="15.75" customHeight="1">
      <c r="A951" s="2"/>
      <c r="B951" s="182"/>
      <c r="C951" s="3"/>
      <c r="D951" s="2"/>
      <c r="E951" s="3"/>
      <c r="F951" s="2"/>
      <c r="G951" s="2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91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</row>
    <row r="952" ht="15.75" customHeight="1">
      <c r="A952" s="2"/>
      <c r="B952" s="182"/>
      <c r="C952" s="3"/>
      <c r="D952" s="2"/>
      <c r="E952" s="3"/>
      <c r="F952" s="2"/>
      <c r="G952" s="2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91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</row>
    <row r="953" ht="15.75" customHeight="1">
      <c r="A953" s="2"/>
      <c r="B953" s="182"/>
      <c r="C953" s="3"/>
      <c r="D953" s="2"/>
      <c r="E953" s="3"/>
      <c r="F953" s="2"/>
      <c r="G953" s="2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91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</row>
    <row r="954" ht="15.75" customHeight="1">
      <c r="A954" s="2"/>
      <c r="B954" s="182"/>
      <c r="C954" s="3"/>
      <c r="D954" s="2"/>
      <c r="E954" s="3"/>
      <c r="F954" s="2"/>
      <c r="G954" s="2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91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</row>
    <row r="955" ht="15.75" customHeight="1">
      <c r="A955" s="2"/>
      <c r="B955" s="182"/>
      <c r="C955" s="3"/>
      <c r="D955" s="2"/>
      <c r="E955" s="3"/>
      <c r="F955" s="2"/>
      <c r="G955" s="2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91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</row>
    <row r="956" ht="15.75" customHeight="1">
      <c r="A956" s="2"/>
      <c r="B956" s="182"/>
      <c r="C956" s="3"/>
      <c r="D956" s="2"/>
      <c r="E956" s="3"/>
      <c r="F956" s="2"/>
      <c r="G956" s="2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91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</row>
    <row r="957" ht="15.75" customHeight="1">
      <c r="A957" s="2"/>
      <c r="B957" s="182"/>
      <c r="C957" s="3"/>
      <c r="D957" s="2"/>
      <c r="E957" s="3"/>
      <c r="F957" s="2"/>
      <c r="G957" s="2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91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</row>
    <row r="958" ht="15.75" customHeight="1">
      <c r="A958" s="2"/>
      <c r="B958" s="182"/>
      <c r="C958" s="3"/>
      <c r="D958" s="2"/>
      <c r="E958" s="3"/>
      <c r="F958" s="2"/>
      <c r="G958" s="2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91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</row>
    <row r="959" ht="15.75" customHeight="1">
      <c r="A959" s="2"/>
      <c r="B959" s="182"/>
      <c r="C959" s="3"/>
      <c r="D959" s="2"/>
      <c r="E959" s="3"/>
      <c r="F959" s="2"/>
      <c r="G959" s="2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91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</row>
    <row r="960" ht="15.75" customHeight="1">
      <c r="A960" s="2"/>
      <c r="B960" s="182"/>
      <c r="C960" s="3"/>
      <c r="D960" s="2"/>
      <c r="E960" s="3"/>
      <c r="F960" s="2"/>
      <c r="G960" s="2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91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</row>
    <row r="961" ht="15.75" customHeight="1">
      <c r="A961" s="2"/>
      <c r="B961" s="182"/>
      <c r="C961" s="3"/>
      <c r="D961" s="2"/>
      <c r="E961" s="3"/>
      <c r="F961" s="2"/>
      <c r="G961" s="2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91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</row>
    <row r="962" ht="15.75" customHeight="1">
      <c r="A962" s="2"/>
      <c r="B962" s="182"/>
      <c r="C962" s="3"/>
      <c r="D962" s="2"/>
      <c r="E962" s="3"/>
      <c r="F962" s="2"/>
      <c r="G962" s="2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91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</row>
    <row r="963" ht="15.75" customHeight="1">
      <c r="A963" s="2"/>
      <c r="B963" s="182"/>
      <c r="C963" s="3"/>
      <c r="D963" s="2"/>
      <c r="E963" s="3"/>
      <c r="F963" s="2"/>
      <c r="G963" s="2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91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</row>
    <row r="964" ht="15.75" customHeight="1">
      <c r="A964" s="2"/>
      <c r="B964" s="182"/>
      <c r="C964" s="3"/>
      <c r="D964" s="2"/>
      <c r="E964" s="3"/>
      <c r="F964" s="2"/>
      <c r="G964" s="2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91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</row>
    <row r="965" ht="15.75" customHeight="1">
      <c r="A965" s="2"/>
      <c r="B965" s="182"/>
      <c r="C965" s="3"/>
      <c r="D965" s="2"/>
      <c r="E965" s="3"/>
      <c r="F965" s="2"/>
      <c r="G965" s="2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91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</row>
    <row r="966" ht="15.75" customHeight="1">
      <c r="A966" s="2"/>
      <c r="B966" s="182"/>
      <c r="C966" s="3"/>
      <c r="D966" s="2"/>
      <c r="E966" s="3"/>
      <c r="F966" s="2"/>
      <c r="G966" s="2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91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</row>
    <row r="967" ht="15.75" customHeight="1">
      <c r="A967" s="2"/>
      <c r="B967" s="182"/>
      <c r="C967" s="3"/>
      <c r="D967" s="2"/>
      <c r="E967" s="3"/>
      <c r="F967" s="2"/>
      <c r="G967" s="2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91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</row>
    <row r="968" ht="15.75" customHeight="1">
      <c r="A968" s="2"/>
      <c r="B968" s="182"/>
      <c r="C968" s="3"/>
      <c r="D968" s="2"/>
      <c r="E968" s="3"/>
      <c r="F968" s="2"/>
      <c r="G968" s="2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91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</row>
    <row r="969" ht="15.75" customHeight="1">
      <c r="A969" s="2"/>
      <c r="B969" s="182"/>
      <c r="C969" s="3"/>
      <c r="D969" s="2"/>
      <c r="E969" s="3"/>
      <c r="F969" s="2"/>
      <c r="G969" s="2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91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</row>
    <row r="970" ht="15.75" customHeight="1">
      <c r="A970" s="2"/>
      <c r="B970" s="182"/>
      <c r="C970" s="3"/>
      <c r="D970" s="2"/>
      <c r="E970" s="3"/>
      <c r="F970" s="2"/>
      <c r="G970" s="2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91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</row>
    <row r="971" ht="15.75" customHeight="1">
      <c r="A971" s="2"/>
      <c r="B971" s="182"/>
      <c r="C971" s="3"/>
      <c r="D971" s="2"/>
      <c r="E971" s="3"/>
      <c r="F971" s="2"/>
      <c r="G971" s="2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91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</row>
    <row r="972" ht="15.75" customHeight="1">
      <c r="A972" s="2"/>
      <c r="B972" s="182"/>
      <c r="C972" s="3"/>
      <c r="D972" s="2"/>
      <c r="E972" s="3"/>
      <c r="F972" s="2"/>
      <c r="G972" s="2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91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</row>
    <row r="973" ht="15.75" customHeight="1">
      <c r="A973" s="2"/>
      <c r="B973" s="182"/>
      <c r="C973" s="3"/>
      <c r="D973" s="2"/>
      <c r="E973" s="3"/>
      <c r="F973" s="2"/>
      <c r="G973" s="2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91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</row>
    <row r="974" ht="15.75" customHeight="1">
      <c r="A974" s="2"/>
      <c r="B974" s="182"/>
      <c r="C974" s="3"/>
      <c r="D974" s="2"/>
      <c r="E974" s="3"/>
      <c r="F974" s="2"/>
      <c r="G974" s="2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91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</row>
    <row r="975" ht="15.75" customHeight="1">
      <c r="A975" s="2"/>
      <c r="B975" s="182"/>
      <c r="C975" s="3"/>
      <c r="D975" s="2"/>
      <c r="E975" s="3"/>
      <c r="F975" s="2"/>
      <c r="G975" s="2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91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</row>
    <row r="976" ht="15.75" customHeight="1">
      <c r="A976" s="2"/>
      <c r="B976" s="182"/>
      <c r="C976" s="3"/>
      <c r="D976" s="2"/>
      <c r="E976" s="3"/>
      <c r="F976" s="2"/>
      <c r="G976" s="2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91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</row>
    <row r="977" ht="15.75" customHeight="1">
      <c r="A977" s="2"/>
      <c r="B977" s="182"/>
      <c r="C977" s="3"/>
      <c r="D977" s="2"/>
      <c r="E977" s="3"/>
      <c r="F977" s="2"/>
      <c r="G977" s="2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91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</row>
    <row r="978" ht="15.75" customHeight="1">
      <c r="A978" s="2"/>
      <c r="B978" s="182"/>
      <c r="C978" s="3"/>
      <c r="D978" s="2"/>
      <c r="E978" s="3"/>
      <c r="F978" s="2"/>
      <c r="G978" s="2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91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</row>
    <row r="979" ht="15.75" customHeight="1">
      <c r="A979" s="2"/>
      <c r="B979" s="182"/>
      <c r="C979" s="3"/>
      <c r="D979" s="2"/>
      <c r="E979" s="3"/>
      <c r="F979" s="2"/>
      <c r="G979" s="2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91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</row>
    <row r="980" ht="15.75" customHeight="1">
      <c r="A980" s="2"/>
      <c r="B980" s="182"/>
      <c r="C980" s="3"/>
      <c r="D980" s="2"/>
      <c r="E980" s="3"/>
      <c r="F980" s="2"/>
      <c r="G980" s="2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91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</row>
    <row r="981" ht="15.75" customHeight="1">
      <c r="A981" s="2"/>
      <c r="B981" s="182"/>
      <c r="C981" s="3"/>
      <c r="D981" s="2"/>
      <c r="E981" s="3"/>
      <c r="F981" s="2"/>
      <c r="G981" s="2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91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</row>
    <row r="982" ht="15.75" customHeight="1">
      <c r="A982" s="2"/>
      <c r="B982" s="182"/>
      <c r="C982" s="3"/>
      <c r="D982" s="2"/>
      <c r="E982" s="3"/>
      <c r="F982" s="2"/>
      <c r="G982" s="2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91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</row>
    <row r="983" ht="15.75" customHeight="1">
      <c r="A983" s="2"/>
      <c r="B983" s="182"/>
      <c r="C983" s="3"/>
      <c r="D983" s="2"/>
      <c r="E983" s="3"/>
      <c r="F983" s="2"/>
      <c r="G983" s="2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91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</row>
    <row r="984" ht="15.75" customHeight="1">
      <c r="A984" s="2"/>
      <c r="B984" s="182"/>
      <c r="C984" s="3"/>
      <c r="D984" s="2"/>
      <c r="E984" s="3"/>
      <c r="F984" s="2"/>
      <c r="G984" s="2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91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</row>
    <row r="985" ht="15.75" customHeight="1">
      <c r="A985" s="2"/>
      <c r="B985" s="182"/>
      <c r="C985" s="3"/>
      <c r="D985" s="2"/>
      <c r="E985" s="3"/>
      <c r="F985" s="2"/>
      <c r="G985" s="2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91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</row>
    <row r="986" ht="15.75" customHeight="1">
      <c r="A986" s="2"/>
      <c r="B986" s="182"/>
      <c r="C986" s="3"/>
      <c r="D986" s="2"/>
      <c r="E986" s="3"/>
      <c r="F986" s="2"/>
      <c r="G986" s="2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91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</row>
    <row r="987" ht="15.75" customHeight="1">
      <c r="A987" s="2"/>
      <c r="B987" s="182"/>
      <c r="C987" s="3"/>
      <c r="D987" s="2"/>
      <c r="E987" s="3"/>
      <c r="F987" s="2"/>
      <c r="G987" s="2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91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</row>
    <row r="988" ht="15.75" customHeight="1">
      <c r="A988" s="2"/>
      <c r="B988" s="182"/>
      <c r="C988" s="3"/>
      <c r="D988" s="2"/>
      <c r="E988" s="3"/>
      <c r="F988" s="2"/>
      <c r="G988" s="2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91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</row>
    <row r="989" ht="15.75" customHeight="1">
      <c r="A989" s="2"/>
      <c r="B989" s="182"/>
      <c r="C989" s="3"/>
      <c r="D989" s="2"/>
      <c r="E989" s="3"/>
      <c r="F989" s="2"/>
      <c r="G989" s="2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91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</row>
    <row r="990" ht="15.75" customHeight="1">
      <c r="A990" s="2"/>
      <c r="B990" s="182"/>
      <c r="C990" s="3"/>
      <c r="D990" s="2"/>
      <c r="E990" s="3"/>
      <c r="F990" s="2"/>
      <c r="G990" s="2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91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</row>
    <row r="991" ht="15.75" customHeight="1">
      <c r="A991" s="2"/>
      <c r="B991" s="182"/>
      <c r="C991" s="3"/>
      <c r="D991" s="2"/>
      <c r="E991" s="3"/>
      <c r="F991" s="2"/>
      <c r="G991" s="2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91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</row>
    <row r="992" ht="15.75" customHeight="1">
      <c r="A992" s="2"/>
      <c r="B992" s="182"/>
      <c r="C992" s="3"/>
      <c r="D992" s="2"/>
      <c r="E992" s="3"/>
      <c r="F992" s="2"/>
      <c r="G992" s="2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91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</row>
    <row r="993" ht="15.75" customHeight="1">
      <c r="A993" s="2"/>
      <c r="B993" s="182"/>
      <c r="C993" s="3"/>
      <c r="D993" s="2"/>
      <c r="E993" s="3"/>
      <c r="F993" s="2"/>
      <c r="G993" s="2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91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</row>
    <row r="994" ht="15.75" customHeight="1">
      <c r="A994" s="2"/>
      <c r="B994" s="182"/>
      <c r="C994" s="3"/>
      <c r="D994" s="2"/>
      <c r="E994" s="3"/>
      <c r="F994" s="2"/>
      <c r="G994" s="2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91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</row>
    <row r="995" ht="15.75" customHeight="1">
      <c r="A995" s="2"/>
      <c r="B995" s="182"/>
      <c r="C995" s="3"/>
      <c r="D995" s="2"/>
      <c r="E995" s="3"/>
      <c r="F995" s="2"/>
      <c r="G995" s="2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91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</row>
    <row r="996" ht="15.75" customHeight="1">
      <c r="A996" s="2"/>
      <c r="B996" s="182"/>
      <c r="C996" s="3"/>
      <c r="D996" s="2"/>
      <c r="E996" s="3"/>
      <c r="F996" s="2"/>
      <c r="G996" s="2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91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</row>
    <row r="997" ht="15.75" customHeight="1">
      <c r="A997" s="2"/>
      <c r="B997" s="182"/>
      <c r="C997" s="3"/>
      <c r="D997" s="2"/>
      <c r="E997" s="3"/>
      <c r="F997" s="2"/>
      <c r="G997" s="2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91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</row>
    <row r="998" ht="15.75" customHeight="1">
      <c r="A998" s="2"/>
      <c r="B998" s="182"/>
      <c r="C998" s="3"/>
      <c r="D998" s="2"/>
      <c r="E998" s="3"/>
      <c r="F998" s="2"/>
      <c r="G998" s="2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91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</row>
    <row r="999" ht="15.75" customHeight="1">
      <c r="A999" s="2"/>
      <c r="B999" s="182"/>
      <c r="C999" s="3"/>
      <c r="D999" s="2"/>
      <c r="E999" s="3"/>
      <c r="F999" s="2"/>
      <c r="G999" s="2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91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</row>
    <row r="1000" ht="15.75" customHeight="1">
      <c r="A1000" s="2"/>
      <c r="B1000" s="182"/>
      <c r="C1000" s="3"/>
      <c r="D1000" s="2"/>
      <c r="E1000" s="3"/>
      <c r="F1000" s="2"/>
      <c r="G1000" s="2"/>
      <c r="H1000" s="3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91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</row>
  </sheetData>
  <autoFilter ref="$A$3:$AO$117"/>
  <mergeCells count="2">
    <mergeCell ref="AV5:BD5"/>
    <mergeCell ref="AV26:BA26"/>
  </mergeCells>
  <printOptions/>
  <pageMargins bottom="0.75" footer="0.0" header="0.0" left="0.7" right="0.7" top="0.75"/>
  <pageSetup fitToHeight="0"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86"/>
    <col customWidth="1" min="2" max="2" width="11.71"/>
    <col customWidth="1" min="3" max="3" width="15.0"/>
    <col customWidth="1" min="4" max="4" width="8.71"/>
    <col customWidth="1" min="5" max="5" width="10.14"/>
    <col customWidth="1" min="6" max="6" width="10.86"/>
    <col customWidth="1" min="7" max="7" width="10.57"/>
    <col customWidth="1" min="8" max="8" width="9.14"/>
    <col customWidth="1" min="9" max="9" width="9.71"/>
    <col customWidth="1" min="10" max="10" width="9.29"/>
    <col customWidth="1" min="11" max="11" width="11.0"/>
    <col customWidth="1" min="12" max="12" width="11.57"/>
    <col customWidth="1" min="13" max="13" width="12.43"/>
  </cols>
  <sheetData>
    <row r="1" ht="1.5" customHeight="1">
      <c r="A1" s="217" t="s">
        <v>948</v>
      </c>
      <c r="B1" s="218"/>
      <c r="C1" s="219"/>
      <c r="D1" s="220"/>
      <c r="E1" s="219"/>
      <c r="F1" s="219"/>
      <c r="G1" s="219"/>
      <c r="H1" s="219"/>
      <c r="I1" s="219"/>
      <c r="J1" s="219"/>
      <c r="K1" s="219"/>
      <c r="L1" s="219"/>
      <c r="M1" s="221" t="s">
        <v>3730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24.5" customHeight="1">
      <c r="A2" s="224" t="s">
        <v>3731</v>
      </c>
      <c r="M2" s="223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55" t="s">
        <v>950</v>
      </c>
      <c r="B3" s="227"/>
      <c r="C3" s="479"/>
      <c r="D3" s="231"/>
      <c r="E3" s="231"/>
      <c r="F3" s="230"/>
      <c r="G3" s="231"/>
      <c r="H3" s="231"/>
      <c r="I3" s="232"/>
      <c r="J3" s="230"/>
      <c r="K3" s="230"/>
      <c r="L3" s="233"/>
      <c r="M3" s="234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55" t="s">
        <v>3732</v>
      </c>
      <c r="B4" s="227"/>
      <c r="C4" s="480" t="str">
        <f t="array" ref="C4">XLOOKUP($A13,'Analisis comercial'!A:A,'Analisis comercial'!D:D)</f>
        <v>#N/A</v>
      </c>
      <c r="D4" s="231"/>
      <c r="E4" s="231"/>
      <c r="F4" s="227"/>
      <c r="G4" s="231"/>
      <c r="H4" s="231"/>
      <c r="I4" s="232"/>
      <c r="J4" s="479"/>
      <c r="K4" s="231"/>
      <c r="L4" s="233"/>
      <c r="M4" s="234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55" t="s">
        <v>3733</v>
      </c>
      <c r="B5" s="256"/>
      <c r="C5" s="481" t="str">
        <f t="array" ref="C5">XLOOKUP($A13,'Analisis comercial'!A:A,'Analisis comercial'!E:E)</f>
        <v>#N/A</v>
      </c>
      <c r="D5" s="263"/>
      <c r="E5" s="264"/>
      <c r="F5" s="227"/>
      <c r="G5" s="264"/>
      <c r="H5" s="265"/>
      <c r="J5" s="479"/>
      <c r="K5" s="231" t="s">
        <v>3734</v>
      </c>
      <c r="L5" s="251"/>
      <c r="M5" s="225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55" t="s">
        <v>3735</v>
      </c>
      <c r="B6" s="256"/>
      <c r="C6" s="301" t="str">
        <f t="array" ref="C6">XLOOKUP($A13,'Analisis comercial'!A:A,'Analisis comercial'!C:C)</f>
        <v>#N/A</v>
      </c>
      <c r="D6" s="263"/>
      <c r="E6" s="264"/>
      <c r="F6" s="258"/>
      <c r="G6" s="264"/>
      <c r="H6" s="265"/>
      <c r="J6" s="260"/>
      <c r="K6" s="249" t="s">
        <v>957</v>
      </c>
      <c r="L6" s="253" t="s">
        <v>2924</v>
      </c>
      <c r="M6" s="225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55" t="s">
        <v>3736</v>
      </c>
      <c r="B7" s="256"/>
      <c r="C7" s="301" t="str">
        <f t="array" ref="C7">XLOOKUP($A13,'Analisis comercial'!A:A,'Analisis comercial'!B:B)</f>
        <v>#N/A</v>
      </c>
      <c r="D7" s="263"/>
      <c r="E7" s="264"/>
      <c r="F7" s="258"/>
      <c r="G7" s="264"/>
      <c r="H7" s="265"/>
      <c r="J7" s="260"/>
      <c r="K7" s="249" t="s">
        <v>959</v>
      </c>
      <c r="L7" s="253" t="s">
        <v>2925</v>
      </c>
      <c r="M7" s="225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55"/>
      <c r="B8" s="256"/>
      <c r="C8" s="257"/>
      <c r="D8" s="257"/>
      <c r="E8" s="257"/>
      <c r="F8" s="258"/>
      <c r="G8" s="257"/>
      <c r="H8" s="257"/>
      <c r="I8" s="257"/>
      <c r="J8" s="260"/>
      <c r="K8" s="261"/>
      <c r="L8" s="251"/>
      <c r="M8" s="225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55"/>
      <c r="B9" s="256"/>
      <c r="C9" s="262"/>
      <c r="D9" s="263"/>
      <c r="E9" s="264"/>
      <c r="F9" s="265"/>
      <c r="G9" s="264"/>
      <c r="H9" s="482"/>
      <c r="I9" s="483"/>
      <c r="J9" s="260"/>
      <c r="K9" s="260"/>
      <c r="L9" s="251"/>
      <c r="M9" s="225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484" t="s">
        <v>5</v>
      </c>
      <c r="B10" s="485" t="s">
        <v>3737</v>
      </c>
      <c r="C10" s="268" t="s">
        <v>12</v>
      </c>
      <c r="D10" s="485" t="s">
        <v>13</v>
      </c>
      <c r="E10" s="485" t="s">
        <v>14</v>
      </c>
      <c r="F10" s="486" t="s">
        <v>11</v>
      </c>
      <c r="G10" s="487" t="s">
        <v>961</v>
      </c>
      <c r="H10" s="485" t="s">
        <v>962</v>
      </c>
      <c r="I10" s="488" t="s">
        <v>3738</v>
      </c>
      <c r="J10" s="486"/>
      <c r="K10" s="486" t="s">
        <v>25</v>
      </c>
      <c r="L10" s="485" t="s">
        <v>966</v>
      </c>
      <c r="M10" s="489" t="s">
        <v>967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490"/>
      <c r="B11" s="491" t="s">
        <v>968</v>
      </c>
      <c r="C11" s="492"/>
      <c r="D11" s="493"/>
      <c r="E11" s="492"/>
      <c r="F11" s="491"/>
      <c r="G11" s="494" t="s">
        <v>3739</v>
      </c>
      <c r="H11" s="491" t="s">
        <v>3740</v>
      </c>
      <c r="I11" s="491" t="s">
        <v>970</v>
      </c>
      <c r="J11" s="495"/>
      <c r="K11" s="495"/>
      <c r="L11" s="491" t="s">
        <v>14</v>
      </c>
      <c r="M11" s="49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497"/>
      <c r="B12" s="280"/>
      <c r="C12" s="281"/>
      <c r="D12" s="281"/>
      <c r="E12" s="281"/>
      <c r="F12" s="283"/>
      <c r="G12" s="281"/>
      <c r="H12" s="283"/>
      <c r="I12" s="281"/>
      <c r="J12" s="283"/>
      <c r="K12" s="284"/>
      <c r="L12" s="285"/>
      <c r="M12" s="28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87" t="s">
        <v>2923</v>
      </c>
      <c r="B13" s="301" t="str">
        <f t="array" ref="B13">XLOOKUP($A13,'Analisis comercial'!A:A,'Analisis comercial'!C:C)</f>
        <v>#N/A</v>
      </c>
      <c r="C13" s="305" t="str">
        <f t="array" ref="C13">XLOOKUP(A13,'Analisis comercial'!A:A,'Analisis comercial'!I:I)</f>
        <v>#N/A</v>
      </c>
      <c r="D13" s="305" t="str">
        <f t="array" ref="D13">XLOOKUP(A13,'Analisis comercial'!A:A,'Analisis comercial'!J:J)</f>
        <v>#N/A</v>
      </c>
      <c r="E13" s="305" t="str">
        <f t="array" ref="E13">XLOOKUP(A13,'Analisis comercial'!A:A,'Analisis comercial'!K:K)</f>
        <v>#N/A</v>
      </c>
      <c r="F13" s="498" t="str">
        <f t="array" ref="F13">XLOOKUP('Liquidacion con Ag'!$A13,'Analisis comercial'!A:A,'Analisis comercial'!G:G)</f>
        <v>#N/A</v>
      </c>
      <c r="G13" s="288">
        <v>23.89</v>
      </c>
      <c r="H13" s="296">
        <v>40.0</v>
      </c>
      <c r="I13" s="295">
        <v>71.99</v>
      </c>
      <c r="J13" s="296"/>
      <c r="K13" s="297" t="str">
        <f t="array" ref="K13">XLOOKUP('Liquidacion con Ag'!$A13,'Analisis comercial'!A:A,'Analisis comercial'!V:V)</f>
        <v>#N/A</v>
      </c>
      <c r="L13" s="295" t="str">
        <f>+IF(G13&lt;4.5,0,(K13*G13*H13*(I13-2)/100))</f>
        <v>#N/A</v>
      </c>
      <c r="M13" s="298" t="str">
        <f>+ROUND(L13,2)*ROUND(E13,3)</f>
        <v>#N/A</v>
      </c>
      <c r="N13" s="65"/>
      <c r="O13" s="65"/>
      <c r="P13" s="65"/>
      <c r="Q13" s="2"/>
      <c r="R13" s="2"/>
      <c r="S13" s="2"/>
      <c r="T13" s="2"/>
      <c r="U13" s="2"/>
      <c r="V13" s="2"/>
      <c r="W13" s="2"/>
      <c r="X13" s="2"/>
    </row>
    <row r="14">
      <c r="A14" s="287"/>
      <c r="B14" s="301"/>
      <c r="C14" s="305"/>
      <c r="D14" s="305"/>
      <c r="E14" s="305"/>
      <c r="F14" s="498"/>
      <c r="G14" s="288"/>
      <c r="H14" s="296"/>
      <c r="I14" s="295"/>
      <c r="J14" s="296"/>
      <c r="K14" s="297"/>
      <c r="L14" s="295"/>
      <c r="M14" s="298"/>
      <c r="N14" s="65"/>
      <c r="O14" s="65"/>
      <c r="P14" s="65"/>
      <c r="Q14" s="2"/>
      <c r="R14" s="2"/>
      <c r="S14" s="2"/>
      <c r="T14" s="2"/>
      <c r="U14" s="2"/>
      <c r="V14" s="2"/>
      <c r="W14" s="2"/>
      <c r="X14" s="2"/>
    </row>
    <row r="15" ht="16.5" customHeight="1">
      <c r="A15" s="287"/>
      <c r="B15" s="301"/>
      <c r="C15" s="305"/>
      <c r="D15" s="305"/>
      <c r="E15" s="305"/>
      <c r="F15" s="498"/>
      <c r="G15" s="288"/>
      <c r="H15" s="296"/>
      <c r="I15" s="295"/>
      <c r="J15" s="296"/>
      <c r="K15" s="297"/>
      <c r="L15" s="295"/>
      <c r="M15" s="298"/>
      <c r="N15" s="65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87"/>
      <c r="B16" s="301"/>
      <c r="C16" s="305"/>
      <c r="D16" s="305"/>
      <c r="E16" s="305"/>
      <c r="F16" s="498"/>
      <c r="G16" s="288"/>
      <c r="H16" s="296"/>
      <c r="I16" s="295"/>
      <c r="J16" s="296"/>
      <c r="K16" s="297"/>
      <c r="L16" s="295"/>
      <c r="M16" s="298"/>
      <c r="N16" s="65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499"/>
      <c r="B17" s="301"/>
      <c r="C17" s="305"/>
      <c r="D17" s="305"/>
      <c r="E17" s="305"/>
      <c r="F17" s="498"/>
      <c r="G17" s="288"/>
      <c r="H17" s="296"/>
      <c r="I17" s="295"/>
      <c r="J17" s="296"/>
      <c r="K17" s="297"/>
      <c r="L17" s="295"/>
      <c r="M17" s="298"/>
      <c r="N17" s="65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6.5" customHeight="1">
      <c r="A18" s="499"/>
      <c r="B18" s="301"/>
      <c r="C18" s="305"/>
      <c r="D18" s="305"/>
      <c r="E18" s="305"/>
      <c r="F18" s="498"/>
      <c r="G18" s="288"/>
      <c r="H18" s="296"/>
      <c r="I18" s="295"/>
      <c r="J18" s="296"/>
      <c r="K18" s="297"/>
      <c r="L18" s="295"/>
      <c r="M18" s="298"/>
      <c r="N18" s="65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499"/>
      <c r="B19" s="301"/>
      <c r="C19" s="305"/>
      <c r="D19" s="305"/>
      <c r="E19" s="305"/>
      <c r="F19" s="498"/>
      <c r="G19" s="288"/>
      <c r="H19" s="296"/>
      <c r="I19" s="295"/>
      <c r="J19" s="296"/>
      <c r="K19" s="297"/>
      <c r="L19" s="295"/>
      <c r="M19" s="298"/>
      <c r="N19" s="65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499"/>
      <c r="B20" s="301"/>
      <c r="C20" s="305"/>
      <c r="D20" s="305"/>
      <c r="E20" s="305"/>
      <c r="F20" s="498"/>
      <c r="G20" s="288"/>
      <c r="H20" s="296"/>
      <c r="I20" s="295"/>
      <c r="J20" s="296"/>
      <c r="K20" s="297"/>
      <c r="L20" s="295"/>
      <c r="M20" s="298"/>
      <c r="N20" s="65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499"/>
      <c r="B21" s="301"/>
      <c r="C21" s="305"/>
      <c r="D21" s="305"/>
      <c r="E21" s="305"/>
      <c r="F21" s="498"/>
      <c r="G21" s="288"/>
      <c r="H21" s="296"/>
      <c r="I21" s="295"/>
      <c r="J21" s="296"/>
      <c r="K21" s="297"/>
      <c r="L21" s="295"/>
      <c r="M21" s="298"/>
      <c r="N21" s="65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499"/>
      <c r="B22" s="301"/>
      <c r="C22" s="305"/>
      <c r="D22" s="305"/>
      <c r="E22" s="305"/>
      <c r="F22" s="498"/>
      <c r="G22" s="288"/>
      <c r="H22" s="296"/>
      <c r="I22" s="295"/>
      <c r="J22" s="296"/>
      <c r="K22" s="297"/>
      <c r="L22" s="295"/>
      <c r="M22" s="298"/>
      <c r="N22" s="65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6.5" customHeight="1">
      <c r="A23" s="499"/>
      <c r="B23" s="301"/>
      <c r="C23" s="305"/>
      <c r="D23" s="305"/>
      <c r="E23" s="305"/>
      <c r="F23" s="498"/>
      <c r="G23" s="288"/>
      <c r="H23" s="296"/>
      <c r="I23" s="295"/>
      <c r="J23" s="296"/>
      <c r="K23" s="297"/>
      <c r="L23" s="295"/>
      <c r="M23" s="298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20.25" customHeight="1">
      <c r="A24" s="499"/>
      <c r="B24" s="322"/>
      <c r="C24" s="322"/>
      <c r="D24" s="500"/>
      <c r="E24" s="322"/>
      <c r="F24" s="2"/>
      <c r="G24" s="501"/>
      <c r="H24" s="2"/>
      <c r="I24" s="2"/>
      <c r="J24" s="322"/>
      <c r="K24" s="322"/>
      <c r="L24" s="324" t="s">
        <v>975</v>
      </c>
      <c r="M24" s="161" t="str">
        <f>SUM(M13:M23)</f>
        <v>#N/A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499"/>
      <c r="B25" s="322"/>
      <c r="C25" s="502"/>
      <c r="D25" s="321"/>
      <c r="E25" s="322"/>
      <c r="F25" s="322"/>
      <c r="G25" s="322"/>
      <c r="H25" s="322"/>
      <c r="I25" s="322"/>
      <c r="J25" s="2"/>
      <c r="K25" s="2"/>
      <c r="L25" s="324"/>
      <c r="M25" s="32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499"/>
      <c r="B26" s="322"/>
      <c r="C26" s="230"/>
      <c r="D26" s="321"/>
      <c r="E26" s="322"/>
      <c r="F26" s="266"/>
      <c r="G26" s="322"/>
      <c r="H26" s="322"/>
      <c r="I26" s="322"/>
      <c r="J26" s="2"/>
      <c r="K26" s="2"/>
      <c r="L26" s="324"/>
      <c r="M26" s="32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499"/>
      <c r="B27" s="503" t="s">
        <v>3741</v>
      </c>
      <c r="D27" s="321"/>
      <c r="E27" s="322"/>
      <c r="F27" s="266"/>
      <c r="G27" s="322"/>
      <c r="H27" s="322"/>
      <c r="I27" s="322"/>
      <c r="J27" s="266"/>
      <c r="K27" s="266"/>
      <c r="L27" s="324"/>
      <c r="M27" s="32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504"/>
      <c r="B28" s="505" t="s">
        <v>3742</v>
      </c>
      <c r="C28" s="505"/>
      <c r="D28" s="505"/>
      <c r="E28" s="505"/>
      <c r="F28" s="170"/>
      <c r="G28" s="333"/>
      <c r="H28" s="334"/>
      <c r="I28" s="335"/>
      <c r="J28" s="337"/>
      <c r="K28" s="337"/>
      <c r="L28" s="338"/>
      <c r="M28" s="33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65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65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M2"/>
    <mergeCell ref="H9:I9"/>
  </mergeCells>
  <printOptions/>
  <pageMargins bottom="0.0" footer="0.0" header="0.0" left="0.31496062992125984" right="0.31496062992125984" top="0.35433070866141736"/>
  <pageSetup paperSize="9"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.71"/>
    <col customWidth="1" min="2" max="2" width="47.86"/>
    <col customWidth="1" min="3" max="3" width="40.0"/>
    <col customWidth="1" min="4" max="4" width="15.71"/>
    <col customWidth="1" min="5" max="5" width="8.86"/>
    <col customWidth="1" min="6" max="6" width="11.71"/>
    <col customWidth="1" min="7" max="7" width="8.71"/>
    <col customWidth="1" min="8" max="12" width="10.43"/>
    <col customWidth="1" min="13" max="13" width="19.29"/>
    <col customWidth="1" min="14" max="17" width="10.71"/>
    <col customWidth="1" min="18" max="18" width="19.71"/>
    <col customWidth="1" min="19" max="19" width="46.0"/>
    <col customWidth="1" min="20" max="26" width="10.71"/>
  </cols>
  <sheetData>
    <row r="1" ht="21.0" customHeight="1">
      <c r="D1" s="3"/>
      <c r="E1" s="57" t="s">
        <v>3743</v>
      </c>
      <c r="F1" s="141"/>
      <c r="G1" s="141"/>
      <c r="H1" s="141"/>
      <c r="I1" s="141"/>
      <c r="J1" s="141"/>
      <c r="K1" s="141"/>
      <c r="L1" s="141"/>
    </row>
    <row r="2" ht="49.5" customHeight="1">
      <c r="A2" s="506"/>
      <c r="B2" s="507" t="s">
        <v>3744</v>
      </c>
      <c r="C2" s="507" t="s">
        <v>3745</v>
      </c>
      <c r="D2" s="507" t="s">
        <v>9</v>
      </c>
      <c r="E2" s="508" t="s">
        <v>3746</v>
      </c>
      <c r="F2" s="508" t="s">
        <v>3747</v>
      </c>
      <c r="G2" s="508" t="s">
        <v>3748</v>
      </c>
      <c r="H2" s="508" t="s">
        <v>3749</v>
      </c>
      <c r="I2" s="508" t="s">
        <v>3750</v>
      </c>
      <c r="J2" s="508" t="s">
        <v>3751</v>
      </c>
      <c r="K2" s="508" t="s">
        <v>3752</v>
      </c>
      <c r="L2" s="508" t="s">
        <v>3753</v>
      </c>
      <c r="M2" s="508" t="s">
        <v>542</v>
      </c>
      <c r="N2" s="509" t="s">
        <v>3754</v>
      </c>
      <c r="S2" s="510" t="s">
        <v>3755</v>
      </c>
      <c r="T2" s="506"/>
      <c r="U2" s="506"/>
      <c r="V2" s="506"/>
      <c r="W2" s="506"/>
      <c r="X2" s="506"/>
      <c r="Y2" s="506"/>
      <c r="Z2" s="506"/>
    </row>
    <row r="3" ht="14.25" customHeight="1">
      <c r="B3" s="511" t="s">
        <v>79</v>
      </c>
      <c r="C3" s="511"/>
      <c r="D3" s="512">
        <v>1.0421580605E10</v>
      </c>
      <c r="E3" s="513"/>
      <c r="F3" s="514">
        <v>90.0</v>
      </c>
      <c r="G3" s="514"/>
      <c r="H3" s="514">
        <v>30.0</v>
      </c>
      <c r="I3" s="514">
        <v>0.94</v>
      </c>
      <c r="J3" s="514">
        <v>0.019</v>
      </c>
      <c r="K3" s="514">
        <v>0.317</v>
      </c>
      <c r="L3" s="514">
        <v>53.0</v>
      </c>
      <c r="M3" s="513" t="s">
        <v>3756</v>
      </c>
      <c r="N3" s="513" t="s">
        <v>3757</v>
      </c>
      <c r="O3" s="513"/>
      <c r="P3" s="513"/>
      <c r="Q3" s="513"/>
      <c r="R3" s="513"/>
      <c r="S3" s="513"/>
    </row>
    <row r="4" ht="14.25" customHeight="1">
      <c r="B4" s="511" t="s">
        <v>45</v>
      </c>
      <c r="C4" s="511"/>
      <c r="D4" s="512">
        <v>1.0416085884E10</v>
      </c>
      <c r="E4" s="513"/>
      <c r="F4" s="514">
        <v>90.0</v>
      </c>
      <c r="G4" s="514"/>
      <c r="H4" s="514">
        <v>30.0</v>
      </c>
      <c r="I4" s="514">
        <v>0.94</v>
      </c>
      <c r="J4" s="514">
        <v>0.019</v>
      </c>
      <c r="K4" s="514">
        <v>0.317</v>
      </c>
      <c r="L4" s="514">
        <v>53.0</v>
      </c>
      <c r="M4" s="513" t="s">
        <v>3756</v>
      </c>
      <c r="N4" s="513" t="s">
        <v>3757</v>
      </c>
      <c r="O4" s="513"/>
      <c r="P4" s="513"/>
      <c r="Q4" s="513"/>
      <c r="R4" s="513"/>
      <c r="S4" s="513"/>
    </row>
    <row r="5" ht="14.25" customHeight="1">
      <c r="B5" s="511" t="s">
        <v>82</v>
      </c>
      <c r="C5" s="511"/>
      <c r="D5" s="512">
        <v>2.0601620147E10</v>
      </c>
      <c r="E5" s="513"/>
      <c r="F5" s="514">
        <v>90.0</v>
      </c>
      <c r="G5" s="514"/>
      <c r="H5" s="514">
        <v>30.0</v>
      </c>
      <c r="I5" s="514">
        <v>0.94</v>
      </c>
      <c r="J5" s="514">
        <v>0.019</v>
      </c>
      <c r="K5" s="514">
        <v>0.317</v>
      </c>
      <c r="L5" s="514">
        <v>53.0</v>
      </c>
      <c r="M5" s="513" t="s">
        <v>3756</v>
      </c>
      <c r="N5" s="513" t="s">
        <v>3757</v>
      </c>
      <c r="O5" s="513"/>
      <c r="P5" s="513"/>
      <c r="Q5" s="513"/>
      <c r="R5" s="513"/>
      <c r="S5" s="513"/>
    </row>
    <row r="6" ht="14.25" customHeight="1">
      <c r="B6" s="511" t="s">
        <v>57</v>
      </c>
      <c r="C6" s="511"/>
      <c r="D6" s="512">
        <v>2.0610873309E10</v>
      </c>
      <c r="E6" s="513"/>
      <c r="F6" s="514">
        <v>90.0</v>
      </c>
      <c r="G6" s="514"/>
      <c r="H6" s="514">
        <v>30.0</v>
      </c>
      <c r="I6" s="514">
        <v>0.94</v>
      </c>
      <c r="J6" s="514">
        <v>0.019</v>
      </c>
      <c r="K6" s="514">
        <v>0.317</v>
      </c>
      <c r="L6" s="514">
        <v>53.0</v>
      </c>
      <c r="M6" s="513" t="s">
        <v>3756</v>
      </c>
      <c r="N6" s="513" t="s">
        <v>3757</v>
      </c>
      <c r="O6" s="513"/>
      <c r="P6" s="513"/>
      <c r="Q6" s="513"/>
      <c r="R6" s="513"/>
    </row>
    <row r="7" ht="14.25" customHeight="1">
      <c r="B7" s="511" t="s">
        <v>3758</v>
      </c>
      <c r="C7" s="511"/>
      <c r="D7" s="512">
        <v>2.0610873309E10</v>
      </c>
      <c r="E7" s="513"/>
      <c r="F7" s="514">
        <v>90.0</v>
      </c>
      <c r="G7" s="514"/>
      <c r="H7" s="514">
        <v>30.0</v>
      </c>
      <c r="I7" s="514">
        <v>0.94</v>
      </c>
      <c r="J7" s="514">
        <v>0.019</v>
      </c>
      <c r="K7" s="514">
        <v>0.317</v>
      </c>
      <c r="L7" s="514">
        <v>53.0</v>
      </c>
      <c r="M7" s="513" t="s">
        <v>3756</v>
      </c>
      <c r="N7" s="513" t="s">
        <v>3757</v>
      </c>
      <c r="O7" s="513"/>
      <c r="P7" s="513"/>
      <c r="Q7" s="513"/>
      <c r="R7" s="513"/>
    </row>
    <row r="8" ht="14.25" customHeight="1">
      <c r="B8" s="511" t="s">
        <v>3759</v>
      </c>
      <c r="C8" s="511"/>
      <c r="D8" s="512">
        <v>1.0315432397E10</v>
      </c>
      <c r="E8" s="513"/>
      <c r="F8" s="514">
        <v>90.0</v>
      </c>
      <c r="G8" s="514"/>
      <c r="H8" s="514">
        <v>30.0</v>
      </c>
      <c r="I8" s="514">
        <v>0.94</v>
      </c>
      <c r="J8" s="514">
        <v>0.019</v>
      </c>
      <c r="K8" s="514">
        <v>0.317</v>
      </c>
      <c r="L8" s="514">
        <v>53.0</v>
      </c>
      <c r="M8" s="513" t="s">
        <v>3756</v>
      </c>
      <c r="N8" s="513" t="s">
        <v>3757</v>
      </c>
      <c r="O8" s="513"/>
      <c r="P8" s="513"/>
      <c r="Q8" s="513"/>
      <c r="R8" s="513"/>
    </row>
    <row r="9" ht="14.25" customHeight="1">
      <c r="B9" s="511" t="s">
        <v>3760</v>
      </c>
      <c r="C9" s="511"/>
      <c r="D9" s="512">
        <v>1.0473108823E10</v>
      </c>
      <c r="E9" s="513"/>
      <c r="F9" s="514">
        <v>90.0</v>
      </c>
      <c r="G9" s="514"/>
      <c r="H9" s="514">
        <v>30.0</v>
      </c>
      <c r="I9" s="514">
        <v>0.94</v>
      </c>
      <c r="J9" s="514">
        <v>0.019</v>
      </c>
      <c r="K9" s="514">
        <v>0.317</v>
      </c>
      <c r="L9" s="514">
        <v>53.0</v>
      </c>
      <c r="M9" s="513" t="s">
        <v>3756</v>
      </c>
      <c r="N9" s="513" t="s">
        <v>3757</v>
      </c>
      <c r="O9" s="513"/>
      <c r="P9" s="513"/>
      <c r="Q9" s="513"/>
      <c r="R9" s="513"/>
    </row>
    <row r="10" ht="14.25" customHeight="1">
      <c r="B10" s="511" t="s">
        <v>249</v>
      </c>
      <c r="C10" s="511"/>
      <c r="D10" s="512">
        <v>1.0473108823E10</v>
      </c>
      <c r="E10" s="513"/>
      <c r="F10" s="514">
        <v>90.0</v>
      </c>
      <c r="G10" s="514"/>
      <c r="H10" s="514">
        <v>30.0</v>
      </c>
      <c r="I10" s="514">
        <v>0.94</v>
      </c>
      <c r="J10" s="514">
        <v>0.019</v>
      </c>
      <c r="K10" s="514">
        <v>0.317</v>
      </c>
      <c r="L10" s="514">
        <v>53.0</v>
      </c>
      <c r="M10" s="513" t="s">
        <v>3756</v>
      </c>
      <c r="N10" s="513" t="s">
        <v>3757</v>
      </c>
      <c r="O10" s="513"/>
      <c r="P10" s="513"/>
      <c r="Q10" s="513"/>
      <c r="R10" s="513"/>
    </row>
    <row r="11" ht="14.25" customHeight="1">
      <c r="B11" s="511" t="s">
        <v>3761</v>
      </c>
      <c r="C11" s="511"/>
      <c r="D11" s="512">
        <v>2.0612275603E10</v>
      </c>
      <c r="E11" s="513"/>
      <c r="F11" s="514"/>
      <c r="G11" s="514"/>
      <c r="H11" s="514"/>
      <c r="I11" s="514">
        <v>0.94</v>
      </c>
      <c r="J11" s="514">
        <v>0.019</v>
      </c>
      <c r="K11" s="514">
        <v>0.317</v>
      </c>
      <c r="L11" s="514">
        <v>53.0</v>
      </c>
      <c r="M11" s="513" t="s">
        <v>3756</v>
      </c>
      <c r="N11" s="513" t="s">
        <v>3762</v>
      </c>
      <c r="O11" s="513"/>
      <c r="P11" s="513"/>
      <c r="Q11" s="513"/>
      <c r="R11" s="513"/>
    </row>
    <row r="12" ht="14.25" customHeight="1">
      <c r="B12" s="511" t="s">
        <v>2011</v>
      </c>
      <c r="C12" s="511" t="s">
        <v>3763</v>
      </c>
      <c r="D12" s="512">
        <v>2.0535021563E10</v>
      </c>
      <c r="E12" s="513">
        <v>85.0</v>
      </c>
      <c r="F12" s="514">
        <v>100.0</v>
      </c>
      <c r="G12" s="514"/>
      <c r="H12" s="514">
        <v>30.0</v>
      </c>
      <c r="I12" s="514">
        <v>0.94</v>
      </c>
      <c r="J12" s="514">
        <v>0.019</v>
      </c>
      <c r="K12" s="514">
        <v>0.317</v>
      </c>
      <c r="L12" s="514"/>
      <c r="M12" s="513" t="s">
        <v>3764</v>
      </c>
      <c r="N12" s="513" t="s">
        <v>3765</v>
      </c>
      <c r="O12" s="513"/>
      <c r="P12" s="513"/>
      <c r="Q12" s="513"/>
      <c r="R12" s="513"/>
      <c r="S12" s="513"/>
    </row>
    <row r="13" ht="14.25" customHeight="1">
      <c r="B13" s="511" t="s">
        <v>2583</v>
      </c>
      <c r="C13" s="511" t="s">
        <v>3766</v>
      </c>
      <c r="D13" s="512">
        <v>1.023929124E10</v>
      </c>
      <c r="E13" s="513">
        <v>85.0</v>
      </c>
      <c r="F13" s="514">
        <v>100.0</v>
      </c>
      <c r="G13" s="514"/>
      <c r="H13" s="514">
        <v>30.0</v>
      </c>
      <c r="I13" s="514">
        <v>0.94</v>
      </c>
      <c r="J13" s="514">
        <v>0.019</v>
      </c>
      <c r="K13" s="514">
        <v>0.317</v>
      </c>
      <c r="L13" s="514"/>
      <c r="M13" s="513" t="s">
        <v>3764</v>
      </c>
      <c r="N13" s="513" t="s">
        <v>3765</v>
      </c>
      <c r="O13" s="513"/>
      <c r="P13" s="513"/>
      <c r="Q13" s="513"/>
      <c r="R13" s="513"/>
      <c r="S13" s="513"/>
    </row>
    <row r="14" ht="14.25" customHeight="1">
      <c r="B14" s="511" t="s">
        <v>3605</v>
      </c>
      <c r="C14" s="511" t="s">
        <v>3767</v>
      </c>
      <c r="D14" s="512">
        <v>1.077087697E10</v>
      </c>
      <c r="E14" s="513">
        <v>85.0</v>
      </c>
      <c r="F14" s="514">
        <v>100.0</v>
      </c>
      <c r="G14" s="514"/>
      <c r="H14" s="514">
        <v>30.0</v>
      </c>
      <c r="I14" s="514">
        <v>0.94</v>
      </c>
      <c r="J14" s="514">
        <v>0.019</v>
      </c>
      <c r="K14" s="514">
        <v>0.317</v>
      </c>
      <c r="L14" s="514"/>
      <c r="M14" s="513" t="s">
        <v>3764</v>
      </c>
      <c r="N14" s="513" t="s">
        <v>3765</v>
      </c>
      <c r="O14" s="513"/>
      <c r="P14" s="513"/>
      <c r="Q14" s="513"/>
      <c r="R14" s="513"/>
      <c r="S14" s="513"/>
    </row>
    <row r="15" ht="14.25" customHeight="1">
      <c r="B15" s="515" t="s">
        <v>74</v>
      </c>
      <c r="C15" s="515" t="s">
        <v>3768</v>
      </c>
      <c r="D15" s="516">
        <v>1.0082235774E10</v>
      </c>
      <c r="E15" s="2"/>
      <c r="F15" s="141">
        <v>80.0</v>
      </c>
      <c r="G15" s="141"/>
      <c r="H15" s="141">
        <v>10.0</v>
      </c>
      <c r="I15" s="141">
        <v>0.985</v>
      </c>
      <c r="J15" s="141">
        <v>0.007</v>
      </c>
      <c r="K15" s="139">
        <v>0.46</v>
      </c>
      <c r="L15" s="141"/>
      <c r="M15" s="2" t="s">
        <v>3769</v>
      </c>
      <c r="N15" s="2" t="s">
        <v>3770</v>
      </c>
    </row>
    <row r="16" ht="14.25" customHeight="1">
      <c r="B16" s="515" t="s">
        <v>146</v>
      </c>
      <c r="C16" s="515"/>
      <c r="D16" s="516">
        <v>2.0517242919E10</v>
      </c>
      <c r="E16" s="2"/>
      <c r="F16" s="141">
        <v>80.0</v>
      </c>
      <c r="G16" s="141"/>
      <c r="H16" s="141">
        <v>10.0</v>
      </c>
      <c r="I16" s="141">
        <v>0.985</v>
      </c>
      <c r="J16" s="141">
        <v>0.007</v>
      </c>
      <c r="K16" s="139">
        <v>0.46</v>
      </c>
      <c r="L16" s="141"/>
      <c r="M16" s="2" t="s">
        <v>3769</v>
      </c>
      <c r="N16" s="2" t="s">
        <v>3770</v>
      </c>
    </row>
    <row r="17" ht="14.25" customHeight="1">
      <c r="B17" s="517" t="s">
        <v>53</v>
      </c>
      <c r="C17" s="517"/>
      <c r="D17" s="518">
        <v>1.0457401928E10</v>
      </c>
      <c r="E17" s="519">
        <v>90.0</v>
      </c>
      <c r="F17" s="520">
        <v>120.0</v>
      </c>
      <c r="G17" s="520">
        <v>20.0</v>
      </c>
      <c r="H17" s="520">
        <v>30.0</v>
      </c>
      <c r="I17" s="520">
        <v>0.94</v>
      </c>
      <c r="J17" s="520">
        <v>0.035</v>
      </c>
      <c r="K17" s="520">
        <v>0.548</v>
      </c>
      <c r="L17" s="520"/>
      <c r="M17" s="519" t="s">
        <v>2696</v>
      </c>
      <c r="N17" s="519" t="s">
        <v>3762</v>
      </c>
      <c r="O17" s="519"/>
      <c r="P17" s="519"/>
      <c r="Q17" s="519"/>
      <c r="R17" s="519"/>
      <c r="S17" s="519" t="s">
        <v>3771</v>
      </c>
      <c r="T17" s="2" t="s">
        <v>3772</v>
      </c>
    </row>
    <row r="18" ht="14.25" customHeight="1">
      <c r="B18" s="517" t="s">
        <v>225</v>
      </c>
      <c r="C18" s="517" t="s">
        <v>3773</v>
      </c>
      <c r="D18" s="518">
        <v>1.0761932735E10</v>
      </c>
      <c r="E18" s="519">
        <v>90.0</v>
      </c>
      <c r="F18" s="520">
        <v>120.0</v>
      </c>
      <c r="G18" s="520">
        <v>20.0</v>
      </c>
      <c r="H18" s="520">
        <v>30.0</v>
      </c>
      <c r="I18" s="520">
        <v>0.94</v>
      </c>
      <c r="J18" s="520">
        <v>0.035</v>
      </c>
      <c r="K18" s="520">
        <v>0.548</v>
      </c>
      <c r="L18" s="520"/>
      <c r="M18" s="519" t="s">
        <v>2696</v>
      </c>
      <c r="N18" s="519" t="s">
        <v>3762</v>
      </c>
      <c r="O18" s="519"/>
      <c r="P18" s="519"/>
      <c r="Q18" s="519"/>
      <c r="R18" s="519"/>
      <c r="S18" s="519" t="s">
        <v>3771</v>
      </c>
      <c r="T18" s="2" t="s">
        <v>3772</v>
      </c>
    </row>
    <row r="19" ht="14.25" customHeight="1">
      <c r="B19" s="517" t="s">
        <v>2166</v>
      </c>
      <c r="C19" s="517" t="s">
        <v>3774</v>
      </c>
      <c r="D19" s="518">
        <v>1.0408856049E10</v>
      </c>
      <c r="E19" s="519">
        <v>90.0</v>
      </c>
      <c r="F19" s="520">
        <v>120.0</v>
      </c>
      <c r="G19" s="520">
        <v>20.0</v>
      </c>
      <c r="H19" s="520">
        <v>30.0</v>
      </c>
      <c r="I19" s="520">
        <v>0.94</v>
      </c>
      <c r="J19" s="520">
        <v>0.035</v>
      </c>
      <c r="K19" s="520">
        <v>0.548</v>
      </c>
      <c r="L19" s="520"/>
      <c r="M19" s="519" t="s">
        <v>2696</v>
      </c>
      <c r="N19" s="519" t="s">
        <v>3762</v>
      </c>
      <c r="O19" s="519"/>
      <c r="P19" s="519"/>
      <c r="Q19" s="519"/>
      <c r="R19" s="519"/>
      <c r="S19" s="519" t="s">
        <v>3771</v>
      </c>
      <c r="T19" s="2" t="s">
        <v>3772</v>
      </c>
    </row>
    <row r="20" ht="14.25" customHeight="1">
      <c r="B20" s="517" t="s">
        <v>3548</v>
      </c>
      <c r="C20" s="517" t="s">
        <v>3775</v>
      </c>
      <c r="D20" s="518">
        <v>2.0613105621E10</v>
      </c>
      <c r="E20" s="519">
        <v>90.0</v>
      </c>
      <c r="F20" s="520">
        <v>120.0</v>
      </c>
      <c r="G20" s="520">
        <v>20.0</v>
      </c>
      <c r="H20" s="520">
        <v>30.0</v>
      </c>
      <c r="I20" s="520">
        <v>0.94</v>
      </c>
      <c r="J20" s="520">
        <v>0.035</v>
      </c>
      <c r="K20" s="520">
        <v>0.548</v>
      </c>
      <c r="L20" s="520"/>
      <c r="M20" s="519" t="s">
        <v>2696</v>
      </c>
      <c r="N20" s="519" t="s">
        <v>3762</v>
      </c>
      <c r="O20" s="519"/>
      <c r="P20" s="519"/>
      <c r="Q20" s="519"/>
      <c r="R20" s="519"/>
      <c r="S20" s="519" t="s">
        <v>3771</v>
      </c>
      <c r="T20" s="2"/>
    </row>
    <row r="21" ht="14.25" customHeight="1">
      <c r="B21" s="521" t="s">
        <v>306</v>
      </c>
      <c r="C21" s="521" t="s">
        <v>3776</v>
      </c>
      <c r="D21" s="522">
        <v>2.0612921866E10</v>
      </c>
      <c r="E21" s="431">
        <v>80.0</v>
      </c>
      <c r="F21" s="523">
        <v>100.0</v>
      </c>
      <c r="G21" s="523"/>
      <c r="H21" s="523">
        <v>30.0</v>
      </c>
      <c r="I21" s="523">
        <v>0.94</v>
      </c>
      <c r="J21" s="523">
        <v>0.019</v>
      </c>
      <c r="K21" s="523">
        <v>0.317</v>
      </c>
      <c r="L21" s="523">
        <v>10.0</v>
      </c>
      <c r="M21" s="431" t="s">
        <v>3777</v>
      </c>
      <c r="N21" s="431" t="s">
        <v>3762</v>
      </c>
      <c r="O21" s="431"/>
      <c r="P21" s="431"/>
      <c r="Q21" s="431"/>
      <c r="R21" s="431"/>
      <c r="S21" s="431"/>
    </row>
    <row r="22" ht="14.25" customHeight="1">
      <c r="B22" s="521" t="s">
        <v>3122</v>
      </c>
      <c r="C22" s="521" t="s">
        <v>3778</v>
      </c>
      <c r="D22" s="522">
        <v>2.0614635101E10</v>
      </c>
      <c r="E22" s="431">
        <v>80.0</v>
      </c>
      <c r="F22" s="523">
        <v>100.0</v>
      </c>
      <c r="G22" s="523"/>
      <c r="H22" s="523">
        <v>30.0</v>
      </c>
      <c r="I22" s="523">
        <v>0.94</v>
      </c>
      <c r="J22" s="523">
        <v>0.019</v>
      </c>
      <c r="K22" s="523">
        <v>0.317</v>
      </c>
      <c r="L22" s="523">
        <v>10.0</v>
      </c>
      <c r="M22" s="431" t="s">
        <v>3777</v>
      </c>
      <c r="N22" s="431" t="s">
        <v>3762</v>
      </c>
      <c r="O22" s="431"/>
      <c r="P22" s="431"/>
      <c r="Q22" s="431"/>
      <c r="R22" s="431"/>
      <c r="S22" s="431"/>
    </row>
    <row r="23" ht="14.25" customHeight="1">
      <c r="B23" s="524" t="s">
        <v>602</v>
      </c>
      <c r="C23" s="524" t="s">
        <v>3779</v>
      </c>
      <c r="D23" s="525">
        <v>2.0169040231E10</v>
      </c>
      <c r="E23" s="68">
        <v>85.0</v>
      </c>
      <c r="F23" s="478">
        <v>120.0</v>
      </c>
      <c r="G23" s="478">
        <v>20.0</v>
      </c>
      <c r="H23" s="478">
        <v>30.0</v>
      </c>
      <c r="I23" s="478">
        <v>0.94</v>
      </c>
      <c r="J23" s="478">
        <v>0.019</v>
      </c>
      <c r="K23" s="478">
        <v>0.317</v>
      </c>
      <c r="L23" s="478"/>
      <c r="M23" s="68" t="s">
        <v>2662</v>
      </c>
      <c r="N23" s="68" t="s">
        <v>3762</v>
      </c>
      <c r="O23" s="68"/>
      <c r="P23" s="68"/>
      <c r="Q23" s="68"/>
      <c r="R23" s="68"/>
      <c r="S23" s="57" t="s">
        <v>3780</v>
      </c>
    </row>
    <row r="24" ht="14.25" customHeight="1">
      <c r="B24" s="524" t="s">
        <v>665</v>
      </c>
      <c r="C24" s="524" t="s">
        <v>3781</v>
      </c>
      <c r="D24" s="525">
        <v>2.0608774E10</v>
      </c>
      <c r="E24" s="68">
        <v>85.0</v>
      </c>
      <c r="F24" s="478">
        <v>120.0</v>
      </c>
      <c r="G24" s="478">
        <v>20.0</v>
      </c>
      <c r="H24" s="478">
        <v>30.0</v>
      </c>
      <c r="I24" s="478">
        <v>0.94</v>
      </c>
      <c r="J24" s="478">
        <v>0.019</v>
      </c>
      <c r="K24" s="478">
        <v>0.317</v>
      </c>
      <c r="L24" s="478"/>
      <c r="M24" s="68" t="s">
        <v>2662</v>
      </c>
      <c r="N24" s="68" t="s">
        <v>3762</v>
      </c>
      <c r="O24" s="68"/>
      <c r="P24" s="68"/>
      <c r="Q24" s="68"/>
      <c r="R24" s="68"/>
      <c r="S24" s="57" t="s">
        <v>3780</v>
      </c>
    </row>
    <row r="25" ht="14.25" customHeight="1">
      <c r="B25" s="524" t="s">
        <v>2725</v>
      </c>
      <c r="C25" s="524" t="s">
        <v>3782</v>
      </c>
      <c r="D25" s="525" t="s">
        <v>3783</v>
      </c>
      <c r="E25" s="68">
        <v>85.0</v>
      </c>
      <c r="F25" s="478">
        <v>120.0</v>
      </c>
      <c r="G25" s="478">
        <v>20.0</v>
      </c>
      <c r="H25" s="478">
        <v>30.0</v>
      </c>
      <c r="I25" s="478">
        <v>0.94</v>
      </c>
      <c r="J25" s="478">
        <v>0.019</v>
      </c>
      <c r="K25" s="478">
        <v>0.317</v>
      </c>
      <c r="L25" s="478"/>
      <c r="M25" s="68" t="s">
        <v>2662</v>
      </c>
      <c r="N25" s="68" t="s">
        <v>3762</v>
      </c>
      <c r="O25" s="68"/>
      <c r="P25" s="68"/>
      <c r="Q25" s="68"/>
      <c r="R25" s="68"/>
      <c r="S25" s="57" t="s">
        <v>3780</v>
      </c>
    </row>
    <row r="26" ht="14.25" customHeight="1">
      <c r="B26" s="524" t="s">
        <v>756</v>
      </c>
      <c r="C26" s="524" t="s">
        <v>3784</v>
      </c>
      <c r="D26" s="525" t="s">
        <v>3785</v>
      </c>
      <c r="E26" s="68">
        <v>85.0</v>
      </c>
      <c r="F26" s="478">
        <v>120.0</v>
      </c>
      <c r="G26" s="478">
        <v>20.0</v>
      </c>
      <c r="H26" s="478">
        <v>30.0</v>
      </c>
      <c r="I26" s="478">
        <v>0.94</v>
      </c>
      <c r="J26" s="478">
        <v>0.019</v>
      </c>
      <c r="K26" s="478">
        <v>0.317</v>
      </c>
      <c r="L26" s="478"/>
      <c r="M26" s="68" t="s">
        <v>2662</v>
      </c>
      <c r="N26" s="68" t="s">
        <v>3762</v>
      </c>
      <c r="O26" s="68"/>
      <c r="P26" s="68"/>
      <c r="Q26" s="68"/>
      <c r="R26" s="68"/>
      <c r="S26" s="57" t="s">
        <v>3780</v>
      </c>
    </row>
    <row r="27" ht="14.25" customHeight="1">
      <c r="A27" s="2"/>
      <c r="B27" s="68" t="s">
        <v>933</v>
      </c>
      <c r="C27" s="524" t="s">
        <v>3786</v>
      </c>
      <c r="D27" s="525">
        <v>2.060656248E10</v>
      </c>
      <c r="E27" s="68">
        <v>85.0</v>
      </c>
      <c r="F27" s="478">
        <v>120.0</v>
      </c>
      <c r="G27" s="478">
        <v>20.0</v>
      </c>
      <c r="H27" s="478">
        <v>30.0</v>
      </c>
      <c r="I27" s="478">
        <v>0.94</v>
      </c>
      <c r="J27" s="478">
        <v>0.019</v>
      </c>
      <c r="K27" s="478">
        <v>0.317</v>
      </c>
      <c r="L27" s="478"/>
      <c r="M27" s="68" t="s">
        <v>2662</v>
      </c>
      <c r="N27" s="68" t="s">
        <v>3762</v>
      </c>
      <c r="O27" s="68"/>
      <c r="P27" s="68"/>
      <c r="Q27" s="68"/>
      <c r="R27" s="68"/>
      <c r="S27" s="2" t="s">
        <v>3780</v>
      </c>
      <c r="T27" s="2"/>
      <c r="U27" s="2"/>
      <c r="V27" s="2"/>
      <c r="W27" s="2"/>
      <c r="X27" s="2"/>
      <c r="Y27" s="2"/>
      <c r="Z27" s="2"/>
    </row>
    <row r="28" ht="14.25" customHeight="1">
      <c r="B28" s="526" t="s">
        <v>295</v>
      </c>
      <c r="C28" s="526" t="s">
        <v>3787</v>
      </c>
      <c r="D28" s="527">
        <v>2.0601769396E10</v>
      </c>
      <c r="E28" s="528">
        <v>90.0</v>
      </c>
      <c r="F28" s="529">
        <v>120.0</v>
      </c>
      <c r="G28" s="529">
        <v>20.0</v>
      </c>
      <c r="H28" s="529">
        <v>30.0</v>
      </c>
      <c r="I28" s="529">
        <v>0.94</v>
      </c>
      <c r="J28" s="529">
        <v>0.019</v>
      </c>
      <c r="K28" s="529">
        <v>0.317</v>
      </c>
      <c r="L28" s="529"/>
      <c r="M28" s="528" t="s">
        <v>3788</v>
      </c>
      <c r="N28" s="528" t="s">
        <v>3762</v>
      </c>
      <c r="O28" s="528"/>
      <c r="P28" s="528"/>
      <c r="Q28" s="528"/>
      <c r="R28" s="528"/>
      <c r="S28" s="528" t="s">
        <v>3789</v>
      </c>
    </row>
    <row r="29" ht="14.25" customHeight="1">
      <c r="B29" s="515" t="s">
        <v>324</v>
      </c>
      <c r="C29" s="515"/>
      <c r="D29" s="516">
        <v>2.0612937096E10</v>
      </c>
      <c r="E29" s="2">
        <v>90.0</v>
      </c>
      <c r="F29" s="141">
        <v>120.0</v>
      </c>
      <c r="G29" s="141">
        <v>20.0</v>
      </c>
      <c r="H29" s="141">
        <v>30.0</v>
      </c>
      <c r="I29" s="141">
        <v>0.94</v>
      </c>
      <c r="J29" s="141">
        <v>0.019</v>
      </c>
      <c r="K29" s="141">
        <v>0.317</v>
      </c>
      <c r="L29" s="141"/>
      <c r="M29" s="2" t="s">
        <v>2692</v>
      </c>
      <c r="N29" s="2" t="s">
        <v>3762</v>
      </c>
    </row>
    <row r="30" ht="14.25" customHeight="1">
      <c r="B30" s="515" t="s">
        <v>622</v>
      </c>
      <c r="C30" s="515" t="s">
        <v>3790</v>
      </c>
      <c r="D30" s="516">
        <v>2.0612719757E10</v>
      </c>
      <c r="E30" s="2">
        <v>90.0</v>
      </c>
      <c r="F30" s="3">
        <v>120.0</v>
      </c>
      <c r="G30" s="141">
        <v>20.0</v>
      </c>
      <c r="H30" s="141">
        <v>30.0</v>
      </c>
      <c r="I30" s="141">
        <v>0.94</v>
      </c>
      <c r="J30" s="141">
        <v>0.019</v>
      </c>
      <c r="K30" s="141">
        <v>0.317</v>
      </c>
      <c r="L30" s="141"/>
      <c r="M30" s="2" t="s">
        <v>3791</v>
      </c>
      <c r="N30" s="2" t="s">
        <v>3762</v>
      </c>
    </row>
    <row r="31" ht="14.25" customHeight="1">
      <c r="B31" s="515" t="s">
        <v>121</v>
      </c>
      <c r="C31" s="515"/>
      <c r="D31" s="516">
        <v>2.0611329556E10</v>
      </c>
      <c r="E31" s="2">
        <v>90.0</v>
      </c>
      <c r="F31" s="141">
        <v>120.0</v>
      </c>
      <c r="G31" s="141">
        <v>20.0</v>
      </c>
      <c r="H31" s="141">
        <v>30.0</v>
      </c>
      <c r="I31" s="141">
        <v>0.94</v>
      </c>
      <c r="J31" s="141">
        <v>0.019</v>
      </c>
      <c r="K31" s="141">
        <v>0.317</v>
      </c>
      <c r="L31" s="141"/>
      <c r="M31" s="2" t="s">
        <v>3792</v>
      </c>
      <c r="N31" s="2" t="s">
        <v>3762</v>
      </c>
    </row>
    <row r="32" ht="14.25" customHeight="1">
      <c r="B32" s="515" t="s">
        <v>3793</v>
      </c>
      <c r="C32" s="515"/>
      <c r="D32" s="516">
        <v>2.0606102519E10</v>
      </c>
      <c r="E32" s="2">
        <v>90.0</v>
      </c>
      <c r="F32" s="141">
        <v>120.0</v>
      </c>
      <c r="G32" s="141">
        <v>20.0</v>
      </c>
      <c r="H32" s="141">
        <v>30.0</v>
      </c>
      <c r="I32" s="141">
        <v>0.94</v>
      </c>
      <c r="J32" s="141">
        <v>0.019</v>
      </c>
      <c r="K32" s="141">
        <v>0.317</v>
      </c>
      <c r="L32" s="141"/>
      <c r="M32" s="2" t="s">
        <v>3792</v>
      </c>
      <c r="N32" s="2" t="s">
        <v>3762</v>
      </c>
    </row>
    <row r="33" ht="14.25" customHeight="1">
      <c r="B33" s="515" t="s">
        <v>67</v>
      </c>
      <c r="C33" s="515"/>
      <c r="D33" s="516">
        <v>2.060609401E10</v>
      </c>
      <c r="E33" s="2">
        <v>90.0</v>
      </c>
      <c r="F33" s="141">
        <v>120.0</v>
      </c>
      <c r="G33" s="141">
        <v>20.0</v>
      </c>
      <c r="H33" s="141">
        <v>30.0</v>
      </c>
      <c r="I33" s="141">
        <v>0.94</v>
      </c>
      <c r="J33" s="141">
        <v>0.019</v>
      </c>
      <c r="K33" s="141">
        <v>0.317</v>
      </c>
      <c r="L33" s="141"/>
      <c r="M33" s="2" t="s">
        <v>3792</v>
      </c>
      <c r="N33" s="2" t="s">
        <v>3762</v>
      </c>
    </row>
    <row r="34" ht="14.25" customHeight="1">
      <c r="B34" s="515" t="s">
        <v>3794</v>
      </c>
      <c r="C34" s="515"/>
      <c r="D34" s="516">
        <v>2.0611748486E10</v>
      </c>
      <c r="E34" s="2">
        <v>90.0</v>
      </c>
      <c r="F34" s="141">
        <v>120.0</v>
      </c>
      <c r="G34" s="141">
        <v>20.0</v>
      </c>
      <c r="H34" s="141">
        <v>30.0</v>
      </c>
      <c r="I34" s="141">
        <v>0.94</v>
      </c>
      <c r="J34" s="141">
        <v>0.019</v>
      </c>
      <c r="K34" s="141">
        <v>0.317</v>
      </c>
      <c r="L34" s="141"/>
      <c r="M34" s="2" t="s">
        <v>3792</v>
      </c>
      <c r="N34" s="2" t="s">
        <v>3762</v>
      </c>
    </row>
    <row r="35" ht="14.25" customHeight="1">
      <c r="B35" s="515" t="s">
        <v>104</v>
      </c>
      <c r="C35" s="515"/>
      <c r="D35" s="516">
        <v>1.0479968131E10</v>
      </c>
      <c r="E35" s="2">
        <v>90.0</v>
      </c>
      <c r="F35" s="141">
        <v>120.0</v>
      </c>
      <c r="G35" s="141">
        <v>20.0</v>
      </c>
      <c r="H35" s="141">
        <v>30.0</v>
      </c>
      <c r="I35" s="141">
        <v>0.94</v>
      </c>
      <c r="J35" s="141">
        <v>0.019</v>
      </c>
      <c r="K35" s="141">
        <v>0.317</v>
      </c>
      <c r="L35" s="141"/>
      <c r="M35" s="2" t="s">
        <v>3792</v>
      </c>
      <c r="N35" s="2" t="s">
        <v>3762</v>
      </c>
    </row>
    <row r="36" ht="14.25" customHeight="1">
      <c r="B36" s="515" t="s">
        <v>61</v>
      </c>
      <c r="C36" s="515"/>
      <c r="D36" s="516">
        <v>2.0606526599E10</v>
      </c>
      <c r="E36" s="2">
        <v>90.0</v>
      </c>
      <c r="F36" s="141">
        <v>120.0</v>
      </c>
      <c r="G36" s="141">
        <v>20.0</v>
      </c>
      <c r="H36" s="141">
        <v>30.0</v>
      </c>
      <c r="I36" s="141">
        <v>0.94</v>
      </c>
      <c r="J36" s="141">
        <v>0.019</v>
      </c>
      <c r="K36" s="141">
        <v>0.317</v>
      </c>
      <c r="L36" s="141"/>
      <c r="M36" s="2" t="s">
        <v>3792</v>
      </c>
      <c r="N36" s="2" t="s">
        <v>3762</v>
      </c>
    </row>
    <row r="37" ht="14.25" customHeight="1">
      <c r="B37" s="515" t="s">
        <v>3795</v>
      </c>
      <c r="C37" s="515"/>
      <c r="D37" s="516">
        <v>2.060499E10</v>
      </c>
      <c r="E37" s="2">
        <v>90.0</v>
      </c>
      <c r="F37" s="141">
        <v>120.0</v>
      </c>
      <c r="G37" s="141">
        <v>20.0</v>
      </c>
      <c r="H37" s="141">
        <v>30.0</v>
      </c>
      <c r="I37" s="141">
        <v>0.94</v>
      </c>
      <c r="J37" s="141">
        <v>0.019</v>
      </c>
      <c r="K37" s="141">
        <v>0.317</v>
      </c>
      <c r="L37" s="141"/>
      <c r="M37" s="2" t="s">
        <v>3792</v>
      </c>
      <c r="N37" s="2" t="s">
        <v>3762</v>
      </c>
    </row>
    <row r="38" ht="14.25" customHeight="1">
      <c r="B38" s="515" t="s">
        <v>3796</v>
      </c>
      <c r="C38" s="515"/>
      <c r="D38" s="516">
        <v>2.0611739509E10</v>
      </c>
      <c r="E38" s="2">
        <v>90.0</v>
      </c>
      <c r="F38" s="141">
        <v>120.0</v>
      </c>
      <c r="G38" s="141">
        <v>20.0</v>
      </c>
      <c r="H38" s="141">
        <v>30.0</v>
      </c>
      <c r="I38" s="141">
        <v>0.94</v>
      </c>
      <c r="J38" s="141">
        <v>0.019</v>
      </c>
      <c r="K38" s="141">
        <v>0.317</v>
      </c>
      <c r="L38" s="141"/>
      <c r="M38" s="2" t="s">
        <v>3792</v>
      </c>
      <c r="N38" s="2" t="s">
        <v>3762</v>
      </c>
    </row>
    <row r="39" ht="14.25" customHeight="1">
      <c r="B39" s="515" t="s">
        <v>1515</v>
      </c>
      <c r="C39" s="515"/>
      <c r="D39" s="516">
        <v>2.0609542722E10</v>
      </c>
      <c r="E39" s="2">
        <v>90.0</v>
      </c>
      <c r="F39" s="141">
        <v>90.0</v>
      </c>
      <c r="G39" s="141"/>
      <c r="H39" s="141">
        <v>25.0</v>
      </c>
      <c r="I39" s="141">
        <v>0.94</v>
      </c>
      <c r="J39" s="141">
        <v>0.019</v>
      </c>
      <c r="K39" s="141">
        <v>0.317</v>
      </c>
      <c r="L39" s="141"/>
      <c r="M39" s="2" t="s">
        <v>3792</v>
      </c>
      <c r="N39" s="2" t="s">
        <v>3762</v>
      </c>
    </row>
    <row r="40" ht="14.25" customHeight="1">
      <c r="B40" s="515" t="s">
        <v>177</v>
      </c>
      <c r="C40" s="515"/>
      <c r="D40" s="516">
        <v>1.0306762465E10</v>
      </c>
      <c r="E40" s="2">
        <v>90.0</v>
      </c>
      <c r="F40" s="141">
        <v>120.0</v>
      </c>
      <c r="G40" s="141"/>
      <c r="H40" s="141">
        <v>30.0</v>
      </c>
      <c r="I40" s="141">
        <v>0.94</v>
      </c>
      <c r="J40" s="141">
        <v>0.019</v>
      </c>
      <c r="K40" s="141">
        <v>0.317</v>
      </c>
      <c r="L40" s="141"/>
      <c r="M40" s="2" t="s">
        <v>3792</v>
      </c>
      <c r="N40" s="2" t="s">
        <v>3762</v>
      </c>
    </row>
    <row r="41" ht="14.25" customHeight="1">
      <c r="B41" s="515" t="s">
        <v>207</v>
      </c>
      <c r="C41" s="515"/>
      <c r="D41" s="516">
        <v>2.0548542422E10</v>
      </c>
      <c r="E41" s="2">
        <v>75.0</v>
      </c>
      <c r="F41" s="141">
        <v>90.0</v>
      </c>
      <c r="G41" s="141"/>
      <c r="H41" s="141">
        <v>25.0</v>
      </c>
      <c r="I41" s="141">
        <v>0.94</v>
      </c>
      <c r="J41" s="141">
        <v>0.019</v>
      </c>
      <c r="K41" s="141">
        <v>0.317</v>
      </c>
      <c r="L41" s="141"/>
      <c r="M41" s="2" t="s">
        <v>3792</v>
      </c>
      <c r="N41" s="2" t="s">
        <v>3762</v>
      </c>
    </row>
    <row r="42" ht="14.25" customHeight="1">
      <c r="B42" s="515" t="s">
        <v>237</v>
      </c>
      <c r="C42" s="515"/>
      <c r="D42" s="516">
        <v>2.060499E10</v>
      </c>
      <c r="E42" s="2">
        <v>90.0</v>
      </c>
      <c r="F42" s="141">
        <v>120.0</v>
      </c>
      <c r="G42" s="141"/>
      <c r="H42" s="141">
        <v>30.0</v>
      </c>
      <c r="I42" s="141">
        <v>0.94</v>
      </c>
      <c r="J42" s="141">
        <v>0.019</v>
      </c>
      <c r="K42" s="141">
        <v>0.317</v>
      </c>
      <c r="L42" s="141"/>
      <c r="M42" s="2" t="s">
        <v>3792</v>
      </c>
      <c r="N42" s="2" t="s">
        <v>3762</v>
      </c>
    </row>
    <row r="43" ht="14.25" customHeight="1">
      <c r="B43" s="515" t="s">
        <v>264</v>
      </c>
      <c r="C43" s="515"/>
      <c r="D43" s="516">
        <v>2.0606102519E10</v>
      </c>
      <c r="E43" s="2">
        <v>90.0</v>
      </c>
      <c r="F43" s="141">
        <v>120.0</v>
      </c>
      <c r="G43" s="141"/>
      <c r="H43" s="141">
        <v>30.0</v>
      </c>
      <c r="I43" s="141">
        <v>0.94</v>
      </c>
      <c r="J43" s="141">
        <v>0.019</v>
      </c>
      <c r="K43" s="141">
        <v>0.317</v>
      </c>
      <c r="L43" s="141"/>
      <c r="M43" s="2" t="s">
        <v>3792</v>
      </c>
      <c r="N43" s="2" t="s">
        <v>3762</v>
      </c>
    </row>
    <row r="44" ht="14.25" customHeight="1">
      <c r="B44" s="515" t="s">
        <v>254</v>
      </c>
      <c r="C44" s="515"/>
      <c r="D44" s="516">
        <v>2.061100035E10</v>
      </c>
      <c r="E44" s="2">
        <v>90.0</v>
      </c>
      <c r="F44" s="141">
        <v>120.0</v>
      </c>
      <c r="G44" s="141"/>
      <c r="H44" s="141">
        <v>30.0</v>
      </c>
      <c r="I44" s="141">
        <v>0.94</v>
      </c>
      <c r="J44" s="141">
        <v>0.019</v>
      </c>
      <c r="K44" s="141">
        <v>0.317</v>
      </c>
      <c r="L44" s="141"/>
      <c r="M44" s="2" t="s">
        <v>3792</v>
      </c>
      <c r="N44" s="2" t="s">
        <v>3762</v>
      </c>
    </row>
    <row r="45" ht="14.25" customHeight="1">
      <c r="B45" s="515" t="s">
        <v>246</v>
      </c>
      <c r="C45" s="515"/>
      <c r="D45" s="516">
        <v>1.0756747652E10</v>
      </c>
      <c r="E45" s="2">
        <v>90.0</v>
      </c>
      <c r="F45" s="141">
        <v>120.0</v>
      </c>
      <c r="G45" s="141"/>
      <c r="H45" s="141">
        <v>30.0</v>
      </c>
      <c r="I45" s="141">
        <v>0.94</v>
      </c>
      <c r="J45" s="141">
        <v>0.019</v>
      </c>
      <c r="K45" s="141">
        <v>0.317</v>
      </c>
      <c r="L45" s="141"/>
      <c r="M45" s="2" t="s">
        <v>3792</v>
      </c>
      <c r="N45" s="2" t="s">
        <v>3762</v>
      </c>
    </row>
    <row r="46" ht="14.25" customHeight="1">
      <c r="B46" s="515" t="s">
        <v>432</v>
      </c>
      <c r="C46" s="515"/>
      <c r="D46" s="516">
        <v>2.0609578786E10</v>
      </c>
      <c r="E46" s="2">
        <v>90.0</v>
      </c>
      <c r="F46" s="141">
        <v>120.0</v>
      </c>
      <c r="G46" s="141"/>
      <c r="H46" s="141">
        <v>30.0</v>
      </c>
      <c r="I46" s="141">
        <v>0.94</v>
      </c>
      <c r="J46" s="141">
        <v>0.019</v>
      </c>
      <c r="K46" s="141">
        <v>0.317</v>
      </c>
      <c r="L46" s="141"/>
      <c r="M46" s="2" t="s">
        <v>3792</v>
      </c>
      <c r="N46" s="2" t="s">
        <v>3762</v>
      </c>
    </row>
    <row r="47" ht="14.25" customHeight="1">
      <c r="B47" s="515" t="s">
        <v>430</v>
      </c>
      <c r="C47" s="515"/>
      <c r="D47" s="516">
        <v>1.0424767285E10</v>
      </c>
      <c r="E47" s="2">
        <v>90.0</v>
      </c>
      <c r="F47" s="141">
        <v>120.0</v>
      </c>
      <c r="G47" s="141"/>
      <c r="H47" s="141">
        <v>30.0</v>
      </c>
      <c r="I47" s="141">
        <v>0.94</v>
      </c>
      <c r="J47" s="141">
        <v>0.019</v>
      </c>
      <c r="K47" s="141">
        <v>0.317</v>
      </c>
      <c r="L47" s="141"/>
      <c r="M47" s="2" t="s">
        <v>3792</v>
      </c>
      <c r="N47" s="2" t="s">
        <v>3762</v>
      </c>
    </row>
    <row r="48" ht="14.25" customHeight="1">
      <c r="B48" s="515" t="s">
        <v>292</v>
      </c>
      <c r="C48" s="515"/>
      <c r="D48" s="516">
        <v>2.0612791148E10</v>
      </c>
      <c r="E48" s="2">
        <v>90.0</v>
      </c>
      <c r="F48" s="141">
        <v>120.0</v>
      </c>
      <c r="G48" s="141">
        <v>20.0</v>
      </c>
      <c r="H48" s="141">
        <v>30.0</v>
      </c>
      <c r="I48" s="141">
        <v>0.94</v>
      </c>
      <c r="J48" s="141">
        <v>0.019</v>
      </c>
      <c r="K48" s="141">
        <v>0.317</v>
      </c>
      <c r="L48" s="141"/>
      <c r="M48" s="2" t="s">
        <v>3791</v>
      </c>
      <c r="N48" s="2" t="s">
        <v>3762</v>
      </c>
    </row>
    <row r="49" ht="14.25" customHeight="1">
      <c r="B49" s="515" t="s">
        <v>332</v>
      </c>
      <c r="C49" s="515"/>
      <c r="D49" s="516">
        <v>1.044519241E10</v>
      </c>
      <c r="E49" s="2">
        <v>90.0</v>
      </c>
      <c r="F49" s="141"/>
      <c r="G49" s="141"/>
      <c r="H49" s="141"/>
      <c r="I49" s="141">
        <v>0.94</v>
      </c>
      <c r="J49" s="141">
        <v>0.019</v>
      </c>
      <c r="K49" s="141">
        <v>0.317</v>
      </c>
      <c r="L49" s="141"/>
      <c r="M49" s="2" t="s">
        <v>3792</v>
      </c>
      <c r="N49" s="2" t="s">
        <v>3762</v>
      </c>
    </row>
    <row r="50" ht="14.25" customHeight="1">
      <c r="B50" s="515" t="s">
        <v>181</v>
      </c>
      <c r="C50" s="515" t="s">
        <v>3797</v>
      </c>
      <c r="D50" s="516">
        <v>2.0603329059E10</v>
      </c>
      <c r="E50" s="2">
        <v>90.0</v>
      </c>
      <c r="F50" s="141">
        <v>100.0</v>
      </c>
      <c r="G50" s="141"/>
      <c r="H50" s="141">
        <v>30.0</v>
      </c>
      <c r="I50" s="141">
        <v>0.94</v>
      </c>
      <c r="J50" s="141">
        <v>0.019</v>
      </c>
      <c r="K50" s="141">
        <v>0.317</v>
      </c>
      <c r="L50" s="141"/>
      <c r="M50" s="2" t="s">
        <v>3792</v>
      </c>
      <c r="N50" s="2" t="s">
        <v>3762</v>
      </c>
    </row>
    <row r="51" ht="14.25" customHeight="1">
      <c r="B51" s="530" t="s">
        <v>70</v>
      </c>
      <c r="C51" s="530" t="s">
        <v>3798</v>
      </c>
      <c r="D51" s="531">
        <v>2.0606527439E10</v>
      </c>
      <c r="E51" s="532">
        <v>80.0</v>
      </c>
      <c r="F51" s="533">
        <v>110.0</v>
      </c>
      <c r="G51" s="533">
        <v>0.0</v>
      </c>
      <c r="H51" s="533">
        <v>35.0</v>
      </c>
      <c r="I51" s="533">
        <v>0.94</v>
      </c>
      <c r="J51" s="533">
        <v>0.019</v>
      </c>
      <c r="K51" s="533">
        <v>0.317</v>
      </c>
      <c r="L51" s="533"/>
      <c r="M51" s="532" t="s">
        <v>3799</v>
      </c>
      <c r="N51" s="532" t="s">
        <v>3762</v>
      </c>
      <c r="O51" s="532"/>
      <c r="P51" s="532"/>
      <c r="Q51" s="532"/>
      <c r="R51" s="532"/>
      <c r="S51" s="2" t="s">
        <v>3800</v>
      </c>
      <c r="V51" s="2" t="s">
        <v>3801</v>
      </c>
    </row>
    <row r="52" ht="14.25" customHeight="1">
      <c r="B52" s="530" t="s">
        <v>2786</v>
      </c>
      <c r="C52" s="530" t="s">
        <v>3802</v>
      </c>
      <c r="D52" s="531" t="s">
        <v>3803</v>
      </c>
      <c r="E52" s="532">
        <v>80.0</v>
      </c>
      <c r="F52" s="533">
        <v>110.0</v>
      </c>
      <c r="G52" s="533">
        <v>0.0</v>
      </c>
      <c r="H52" s="533">
        <v>35.0</v>
      </c>
      <c r="I52" s="533">
        <v>0.94</v>
      </c>
      <c r="J52" s="533">
        <v>0.019</v>
      </c>
      <c r="K52" s="533">
        <v>0.317</v>
      </c>
      <c r="L52" s="533"/>
      <c r="M52" s="532" t="s">
        <v>3799</v>
      </c>
      <c r="N52" s="532" t="s">
        <v>3762</v>
      </c>
      <c r="O52" s="532"/>
      <c r="P52" s="532"/>
      <c r="Q52" s="532"/>
      <c r="R52" s="532"/>
      <c r="S52" s="2" t="s">
        <v>3800</v>
      </c>
      <c r="V52" s="2"/>
    </row>
    <row r="53" ht="14.25" customHeight="1">
      <c r="B53" s="530" t="s">
        <v>705</v>
      </c>
      <c r="C53" s="530" t="s">
        <v>3804</v>
      </c>
      <c r="D53" s="531">
        <v>2.0614031698E10</v>
      </c>
      <c r="E53" s="532">
        <v>80.0</v>
      </c>
      <c r="F53" s="533">
        <v>110.0</v>
      </c>
      <c r="G53" s="533">
        <v>0.0</v>
      </c>
      <c r="H53" s="533">
        <v>35.0</v>
      </c>
      <c r="I53" s="533">
        <v>0.94</v>
      </c>
      <c r="J53" s="533">
        <v>0.019</v>
      </c>
      <c r="K53" s="533">
        <v>0.317</v>
      </c>
      <c r="L53" s="533"/>
      <c r="M53" s="532" t="s">
        <v>3799</v>
      </c>
      <c r="N53" s="532" t="s">
        <v>3762</v>
      </c>
      <c r="O53" s="532"/>
      <c r="P53" s="532"/>
      <c r="Q53" s="532"/>
      <c r="R53" s="532"/>
      <c r="S53" s="2" t="s">
        <v>3800</v>
      </c>
      <c r="V53" s="2"/>
    </row>
    <row r="54" ht="14.25" customHeight="1">
      <c r="B54" s="530" t="s">
        <v>723</v>
      </c>
      <c r="C54" s="530" t="s">
        <v>3805</v>
      </c>
      <c r="D54" s="531">
        <v>2.060648084E10</v>
      </c>
      <c r="E54" s="532">
        <v>80.0</v>
      </c>
      <c r="F54" s="533">
        <v>110.0</v>
      </c>
      <c r="G54" s="533">
        <v>0.0</v>
      </c>
      <c r="H54" s="533">
        <v>35.0</v>
      </c>
      <c r="I54" s="533">
        <v>0.94</v>
      </c>
      <c r="J54" s="533">
        <v>0.019</v>
      </c>
      <c r="K54" s="533">
        <v>0.317</v>
      </c>
      <c r="L54" s="533"/>
      <c r="M54" s="532" t="s">
        <v>3799</v>
      </c>
      <c r="N54" s="532" t="s">
        <v>3762</v>
      </c>
      <c r="O54" s="532"/>
      <c r="P54" s="532"/>
      <c r="Q54" s="532"/>
      <c r="R54" s="532"/>
      <c r="S54" s="2" t="s">
        <v>3800</v>
      </c>
      <c r="V54" s="2"/>
    </row>
    <row r="55" ht="14.25" customHeight="1">
      <c r="B55" s="530" t="s">
        <v>3351</v>
      </c>
      <c r="C55" s="530" t="s">
        <v>3806</v>
      </c>
      <c r="D55" s="534" t="s">
        <v>3807</v>
      </c>
      <c r="E55" s="532">
        <v>80.0</v>
      </c>
      <c r="F55" s="533">
        <v>110.0</v>
      </c>
      <c r="G55" s="533">
        <v>0.0</v>
      </c>
      <c r="H55" s="533">
        <v>35.0</v>
      </c>
      <c r="I55" s="533">
        <v>0.94</v>
      </c>
      <c r="J55" s="533">
        <v>0.019</v>
      </c>
      <c r="K55" s="533">
        <v>0.317</v>
      </c>
      <c r="L55" s="533"/>
      <c r="M55" s="532" t="s">
        <v>3799</v>
      </c>
      <c r="N55" s="532" t="s">
        <v>3762</v>
      </c>
      <c r="O55" s="532"/>
      <c r="P55" s="532"/>
      <c r="Q55" s="532"/>
      <c r="R55" s="532"/>
      <c r="S55" s="2" t="s">
        <v>3800</v>
      </c>
    </row>
    <row r="56" ht="14.25" customHeight="1">
      <c r="B56" s="535" t="s">
        <v>3392</v>
      </c>
      <c r="C56" s="536" t="s">
        <v>3808</v>
      </c>
      <c r="D56" s="534">
        <v>2.0613170848E10</v>
      </c>
      <c r="E56" s="532">
        <v>80.0</v>
      </c>
      <c r="F56" s="533">
        <v>110.0</v>
      </c>
      <c r="G56" s="533">
        <v>0.0</v>
      </c>
      <c r="H56" s="533">
        <v>35.0</v>
      </c>
      <c r="I56" s="533">
        <v>0.94</v>
      </c>
      <c r="J56" s="533">
        <v>0.019</v>
      </c>
      <c r="K56" s="533">
        <v>0.317</v>
      </c>
      <c r="L56" s="533"/>
      <c r="M56" s="532" t="s">
        <v>3799</v>
      </c>
      <c r="N56" s="532" t="s">
        <v>3762</v>
      </c>
      <c r="O56" s="532"/>
      <c r="P56" s="532"/>
      <c r="Q56" s="532"/>
      <c r="R56" s="532"/>
      <c r="S56" s="2" t="s">
        <v>3800</v>
      </c>
    </row>
    <row r="57" ht="14.25" customHeight="1">
      <c r="B57" s="530" t="s">
        <v>3527</v>
      </c>
      <c r="C57" s="530" t="s">
        <v>3809</v>
      </c>
      <c r="D57" s="531">
        <v>2.0603162812E10</v>
      </c>
      <c r="E57" s="532">
        <v>80.0</v>
      </c>
      <c r="F57" s="533">
        <v>110.0</v>
      </c>
      <c r="G57" s="533">
        <v>0.0</v>
      </c>
      <c r="H57" s="533">
        <v>35.0</v>
      </c>
      <c r="I57" s="533">
        <v>0.94</v>
      </c>
      <c r="J57" s="533">
        <v>0.019</v>
      </c>
      <c r="K57" s="533">
        <v>0.317</v>
      </c>
      <c r="L57" s="533"/>
      <c r="M57" s="532" t="s">
        <v>3799</v>
      </c>
      <c r="N57" s="532" t="s">
        <v>3762</v>
      </c>
      <c r="O57" s="532"/>
      <c r="P57" s="532"/>
      <c r="Q57" s="532"/>
      <c r="R57" s="532"/>
      <c r="S57" s="2" t="s">
        <v>3800</v>
      </c>
    </row>
    <row r="58" ht="14.25" customHeight="1">
      <c r="B58" s="530" t="s">
        <v>787</v>
      </c>
      <c r="C58" s="530" t="s">
        <v>3810</v>
      </c>
      <c r="D58" s="531">
        <v>2.0609653036E10</v>
      </c>
      <c r="E58" s="532">
        <v>80.0</v>
      </c>
      <c r="F58" s="533">
        <v>110.0</v>
      </c>
      <c r="G58" s="533">
        <v>0.0</v>
      </c>
      <c r="H58" s="533">
        <v>35.0</v>
      </c>
      <c r="I58" s="533">
        <v>0.94</v>
      </c>
      <c r="J58" s="533">
        <v>0.019</v>
      </c>
      <c r="K58" s="533">
        <v>0.317</v>
      </c>
      <c r="L58" s="533"/>
      <c r="M58" s="532" t="s">
        <v>3799</v>
      </c>
      <c r="N58" s="532" t="s">
        <v>3762</v>
      </c>
      <c r="O58" s="532"/>
      <c r="P58" s="532"/>
      <c r="Q58" s="532"/>
      <c r="R58" s="532"/>
      <c r="S58" s="2" t="s">
        <v>3800</v>
      </c>
    </row>
    <row r="59" ht="14.25" customHeight="1">
      <c r="B59" s="537" t="s">
        <v>852</v>
      </c>
      <c r="C59" s="537" t="s">
        <v>3784</v>
      </c>
      <c r="D59" s="538">
        <v>2.0610807004E10</v>
      </c>
      <c r="E59" s="539">
        <v>85.0</v>
      </c>
      <c r="F59" s="540">
        <v>120.0</v>
      </c>
      <c r="G59" s="540">
        <v>20.0</v>
      </c>
      <c r="H59" s="540">
        <v>30.0</v>
      </c>
      <c r="I59" s="540">
        <v>0.94</v>
      </c>
      <c r="J59" s="540">
        <v>0.019</v>
      </c>
      <c r="K59" s="540">
        <v>0.317</v>
      </c>
      <c r="L59" s="540"/>
      <c r="M59" s="539" t="s">
        <v>2698</v>
      </c>
      <c r="N59" s="539" t="s">
        <v>3762</v>
      </c>
      <c r="O59" s="539"/>
      <c r="P59" s="539"/>
      <c r="Q59" s="539"/>
      <c r="R59" s="539"/>
      <c r="S59" s="539" t="s">
        <v>3811</v>
      </c>
    </row>
    <row r="60" ht="14.25" customHeight="1">
      <c r="B60" s="541" t="s">
        <v>730</v>
      </c>
      <c r="C60" s="541" t="s">
        <v>3812</v>
      </c>
      <c r="D60" s="542">
        <v>2.0613935151E10</v>
      </c>
      <c r="E60" s="543">
        <v>90.0</v>
      </c>
      <c r="F60" s="544">
        <v>120.0</v>
      </c>
      <c r="G60" s="544">
        <v>20.0</v>
      </c>
      <c r="H60" s="544">
        <v>30.0</v>
      </c>
      <c r="I60" s="544">
        <v>0.94</v>
      </c>
      <c r="J60" s="544">
        <v>0.019</v>
      </c>
      <c r="K60" s="544">
        <v>0.317</v>
      </c>
      <c r="L60" s="544"/>
      <c r="M60" s="543" t="s">
        <v>3813</v>
      </c>
      <c r="N60" s="543" t="s">
        <v>3762</v>
      </c>
      <c r="O60" s="543"/>
      <c r="P60" s="543"/>
      <c r="Q60" s="543"/>
      <c r="R60" s="543"/>
      <c r="S60" s="543" t="s">
        <v>3789</v>
      </c>
      <c r="V60" s="2" t="s">
        <v>3814</v>
      </c>
    </row>
    <row r="61" ht="14.25" customHeight="1">
      <c r="B61" s="541" t="s">
        <v>806</v>
      </c>
      <c r="C61" s="541" t="s">
        <v>3815</v>
      </c>
      <c r="D61" s="542">
        <v>2.061428474E10</v>
      </c>
      <c r="E61" s="543">
        <v>90.0</v>
      </c>
      <c r="F61" s="544">
        <v>120.0</v>
      </c>
      <c r="G61" s="544">
        <v>20.0</v>
      </c>
      <c r="H61" s="544">
        <v>30.0</v>
      </c>
      <c r="I61" s="544">
        <v>0.94</v>
      </c>
      <c r="J61" s="544">
        <v>0.019</v>
      </c>
      <c r="K61" s="544">
        <v>0.317</v>
      </c>
      <c r="L61" s="544"/>
      <c r="M61" s="543" t="s">
        <v>3813</v>
      </c>
      <c r="N61" s="543" t="s">
        <v>3762</v>
      </c>
      <c r="O61" s="543"/>
      <c r="P61" s="543"/>
      <c r="Q61" s="543"/>
      <c r="R61" s="543"/>
      <c r="S61" s="543" t="s">
        <v>3789</v>
      </c>
    </row>
    <row r="62" ht="14.25" customHeight="1">
      <c r="B62" s="515" t="s">
        <v>3816</v>
      </c>
      <c r="C62" s="515"/>
      <c r="D62" s="516">
        <v>1.0404377324E10</v>
      </c>
      <c r="E62" s="2"/>
      <c r="F62" s="141"/>
      <c r="G62" s="141"/>
      <c r="H62" s="141"/>
      <c r="I62" s="141">
        <v>0.94</v>
      </c>
      <c r="J62" s="141">
        <v>0.019</v>
      </c>
      <c r="K62" s="141">
        <v>0.317</v>
      </c>
      <c r="L62" s="141"/>
    </row>
    <row r="63" ht="14.25" customHeight="1">
      <c r="B63" s="515" t="s">
        <v>3817</v>
      </c>
      <c r="C63" s="515"/>
      <c r="D63" s="516">
        <v>2.0612137502E10</v>
      </c>
      <c r="E63" s="2"/>
      <c r="F63" s="141"/>
      <c r="G63" s="141"/>
      <c r="H63" s="141"/>
      <c r="I63" s="141">
        <v>0.94</v>
      </c>
      <c r="J63" s="141">
        <v>0.019</v>
      </c>
      <c r="K63" s="141">
        <v>0.317</v>
      </c>
      <c r="L63" s="141"/>
      <c r="N63" s="2" t="s">
        <v>3765</v>
      </c>
    </row>
    <row r="64" ht="14.25" customHeight="1">
      <c r="B64" s="515" t="s">
        <v>1203</v>
      </c>
      <c r="C64" s="515" t="s">
        <v>3818</v>
      </c>
      <c r="D64" s="516">
        <v>2.0601463173E10</v>
      </c>
      <c r="E64" s="2">
        <v>90.0</v>
      </c>
      <c r="F64" s="141">
        <v>100.0</v>
      </c>
      <c r="G64" s="141"/>
      <c r="H64" s="141">
        <v>30.0</v>
      </c>
      <c r="I64" s="141">
        <v>0.94</v>
      </c>
      <c r="J64" s="141">
        <v>0.019</v>
      </c>
      <c r="K64" s="141">
        <v>0.317</v>
      </c>
      <c r="L64" s="141"/>
      <c r="M64" s="2" t="s">
        <v>3792</v>
      </c>
      <c r="N64" s="2" t="s">
        <v>3762</v>
      </c>
    </row>
    <row r="65" ht="14.25" customHeight="1">
      <c r="B65" s="515" t="s">
        <v>3819</v>
      </c>
      <c r="C65" s="515"/>
      <c r="D65" s="516">
        <v>123456.0</v>
      </c>
      <c r="E65" s="57">
        <v>90.0</v>
      </c>
      <c r="F65" s="141">
        <v>110.0</v>
      </c>
      <c r="G65" s="141"/>
      <c r="H65" s="141">
        <v>30.0</v>
      </c>
      <c r="I65" s="141">
        <v>0.94</v>
      </c>
      <c r="J65" s="141">
        <v>0.019</v>
      </c>
      <c r="K65" s="141">
        <v>0.317</v>
      </c>
      <c r="L65" s="141"/>
      <c r="M65" s="2" t="s">
        <v>3820</v>
      </c>
      <c r="N65" s="2" t="s">
        <v>3762</v>
      </c>
    </row>
    <row r="66" ht="14.25" customHeight="1">
      <c r="B66" s="515" t="s">
        <v>1556</v>
      </c>
      <c r="C66" s="515" t="s">
        <v>3821</v>
      </c>
      <c r="D66" s="516">
        <v>1.0486077447E10</v>
      </c>
      <c r="E66" s="2">
        <v>85.0</v>
      </c>
      <c r="F66" s="141">
        <v>100.0</v>
      </c>
      <c r="G66" s="141"/>
      <c r="H66" s="141">
        <v>30.0</v>
      </c>
      <c r="I66" s="141">
        <v>0.94</v>
      </c>
      <c r="J66" s="141">
        <v>0.019</v>
      </c>
      <c r="K66" s="141">
        <v>0.317</v>
      </c>
      <c r="L66" s="141"/>
      <c r="M66" s="2" t="s">
        <v>3822</v>
      </c>
      <c r="N66" s="2" t="s">
        <v>3762</v>
      </c>
    </row>
    <row r="67" ht="14.25" customHeight="1">
      <c r="B67" s="515" t="s">
        <v>1543</v>
      </c>
      <c r="C67" s="515"/>
      <c r="D67" s="516">
        <v>1.0737057025E10</v>
      </c>
      <c r="E67" s="2">
        <v>85.0</v>
      </c>
      <c r="F67" s="141">
        <v>100.0</v>
      </c>
      <c r="G67" s="141"/>
      <c r="H67" s="141">
        <v>30.0</v>
      </c>
      <c r="I67" s="141">
        <v>0.94</v>
      </c>
      <c r="J67" s="141">
        <v>0.019</v>
      </c>
      <c r="K67" s="141">
        <v>0.317</v>
      </c>
      <c r="L67" s="141"/>
      <c r="M67" s="2" t="s">
        <v>3823</v>
      </c>
      <c r="N67" s="2" t="s">
        <v>3762</v>
      </c>
    </row>
    <row r="68" ht="14.25" customHeight="1">
      <c r="B68" s="515" t="s">
        <v>835</v>
      </c>
      <c r="C68" s="515" t="s">
        <v>3821</v>
      </c>
      <c r="D68" s="516" t="s">
        <v>3824</v>
      </c>
      <c r="E68" s="2">
        <v>90.0</v>
      </c>
      <c r="F68" s="141">
        <v>120.0</v>
      </c>
      <c r="G68" s="141">
        <v>20.0</v>
      </c>
      <c r="H68" s="141">
        <v>30.0</v>
      </c>
      <c r="I68" s="141">
        <v>0.94</v>
      </c>
      <c r="J68" s="141">
        <v>0.024</v>
      </c>
      <c r="K68" s="141">
        <v>0.376</v>
      </c>
      <c r="L68" s="141"/>
      <c r="M68" s="2" t="s">
        <v>3825</v>
      </c>
      <c r="N68" s="68" t="s">
        <v>3757</v>
      </c>
      <c r="O68" s="68"/>
      <c r="P68" s="68"/>
      <c r="Q68" s="68"/>
      <c r="R68" s="68"/>
      <c r="V68" s="57" t="s">
        <v>3826</v>
      </c>
      <c r="W68" s="57" t="s">
        <v>3827</v>
      </c>
      <c r="Z68" s="68" t="s">
        <v>3828</v>
      </c>
    </row>
    <row r="69" ht="14.25" customHeight="1">
      <c r="B69" s="515" t="s">
        <v>2122</v>
      </c>
      <c r="C69" s="515" t="s">
        <v>3829</v>
      </c>
      <c r="D69" s="516">
        <v>2.061428474E10</v>
      </c>
      <c r="E69" s="2">
        <v>90.0</v>
      </c>
      <c r="F69" s="3">
        <v>120.0</v>
      </c>
      <c r="G69" s="141">
        <v>20.0</v>
      </c>
      <c r="H69" s="141">
        <v>30.0</v>
      </c>
      <c r="I69" s="141">
        <v>0.94</v>
      </c>
      <c r="J69" s="141">
        <v>0.019</v>
      </c>
      <c r="K69" s="141">
        <v>0.317</v>
      </c>
      <c r="L69" s="141"/>
      <c r="M69" s="2" t="s">
        <v>3791</v>
      </c>
      <c r="N69" s="2" t="s">
        <v>3762</v>
      </c>
    </row>
    <row r="70" ht="14.25" customHeight="1">
      <c r="B70" s="515" t="s">
        <v>2150</v>
      </c>
      <c r="C70" s="515" t="s">
        <v>3830</v>
      </c>
      <c r="D70" s="516">
        <v>1.0304932789E10</v>
      </c>
      <c r="E70" s="2">
        <v>90.0</v>
      </c>
      <c r="F70" s="141">
        <v>120.0</v>
      </c>
      <c r="G70" s="141">
        <v>0.0</v>
      </c>
      <c r="H70" s="141">
        <v>30.0</v>
      </c>
      <c r="I70" s="141">
        <v>0.94</v>
      </c>
      <c r="J70" s="141">
        <v>0.019</v>
      </c>
      <c r="K70" s="141">
        <v>0.317</v>
      </c>
      <c r="L70" s="141"/>
      <c r="M70" s="2" t="s">
        <v>3825</v>
      </c>
      <c r="N70" s="2" t="s">
        <v>3831</v>
      </c>
      <c r="V70" s="57" t="s">
        <v>3832</v>
      </c>
      <c r="W70" s="57" t="s">
        <v>3833</v>
      </c>
      <c r="Y70" s="57" t="s">
        <v>3834</v>
      </c>
    </row>
    <row r="71" ht="14.25" customHeight="1">
      <c r="B71" s="515" t="s">
        <v>2222</v>
      </c>
      <c r="C71" s="515" t="s">
        <v>3835</v>
      </c>
      <c r="D71" s="516" t="s">
        <v>3836</v>
      </c>
      <c r="E71" s="2">
        <v>90.0</v>
      </c>
      <c r="F71" s="141">
        <v>120.0</v>
      </c>
      <c r="G71" s="141">
        <v>20.0</v>
      </c>
      <c r="H71" s="141">
        <v>30.0</v>
      </c>
      <c r="I71" s="141">
        <v>0.94</v>
      </c>
      <c r="J71" s="141">
        <v>0.019</v>
      </c>
      <c r="K71" s="141">
        <v>0.317</v>
      </c>
      <c r="L71" s="141"/>
      <c r="M71" s="2" t="s">
        <v>3837</v>
      </c>
      <c r="N71" s="2" t="s">
        <v>3762</v>
      </c>
      <c r="S71" s="57" t="s">
        <v>3789</v>
      </c>
      <c r="V71" s="57" t="s">
        <v>3838</v>
      </c>
    </row>
    <row r="72" ht="14.25" customHeight="1">
      <c r="B72" s="515" t="s">
        <v>2545</v>
      </c>
      <c r="C72" s="515" t="s">
        <v>3839</v>
      </c>
      <c r="D72" s="516">
        <v>2.0506072248E10</v>
      </c>
      <c r="F72" s="141">
        <v>80.0</v>
      </c>
      <c r="G72" s="141"/>
      <c r="H72" s="141">
        <v>10.0</v>
      </c>
      <c r="I72" s="141">
        <v>0.985</v>
      </c>
      <c r="J72" s="141">
        <v>0.007</v>
      </c>
      <c r="K72" s="139">
        <v>0.46</v>
      </c>
      <c r="L72" s="141"/>
      <c r="M72" s="2" t="s">
        <v>3769</v>
      </c>
      <c r="N72" s="2" t="s">
        <v>3770</v>
      </c>
    </row>
    <row r="73" ht="14.25" customHeight="1">
      <c r="B73" s="515" t="s">
        <v>3840</v>
      </c>
      <c r="C73" s="515"/>
      <c r="D73" s="516">
        <v>2.0000000001E10</v>
      </c>
      <c r="E73" s="2">
        <v>90.0</v>
      </c>
      <c r="F73" s="3">
        <v>120.0</v>
      </c>
      <c r="G73" s="141">
        <v>20.0</v>
      </c>
      <c r="H73" s="141">
        <v>30.0</v>
      </c>
      <c r="I73" s="141">
        <v>0.94</v>
      </c>
      <c r="J73" s="141">
        <v>0.019</v>
      </c>
      <c r="K73" s="141">
        <v>0.317</v>
      </c>
      <c r="L73" s="141"/>
      <c r="M73" s="2" t="s">
        <v>3840</v>
      </c>
      <c r="N73" s="57" t="s">
        <v>3762</v>
      </c>
    </row>
    <row r="74" ht="14.25" customHeight="1">
      <c r="B74" s="57" t="s">
        <v>3841</v>
      </c>
      <c r="D74" s="516">
        <v>1.060268805E10</v>
      </c>
      <c r="E74" s="2"/>
      <c r="F74" s="141"/>
      <c r="G74" s="141"/>
      <c r="H74" s="141"/>
      <c r="I74" s="141">
        <v>0.94</v>
      </c>
      <c r="J74" s="141">
        <v>0.019</v>
      </c>
      <c r="K74" s="141">
        <v>0.317</v>
      </c>
      <c r="L74" s="141"/>
    </row>
    <row r="75" ht="14.25" customHeight="1">
      <c r="B75" s="515" t="s">
        <v>3842</v>
      </c>
      <c r="C75" s="515"/>
      <c r="D75" s="516">
        <v>2.0611795794E10</v>
      </c>
      <c r="E75" s="2"/>
      <c r="F75" s="141"/>
      <c r="G75" s="141"/>
      <c r="H75" s="141"/>
      <c r="I75" s="141">
        <v>0.94</v>
      </c>
      <c r="J75" s="141">
        <v>0.019</v>
      </c>
      <c r="K75" s="141">
        <v>0.317</v>
      </c>
      <c r="L75" s="141"/>
    </row>
    <row r="76" ht="14.25" customHeight="1">
      <c r="B76" s="515" t="s">
        <v>3843</v>
      </c>
      <c r="C76" s="515"/>
      <c r="D76" s="516">
        <v>1.0800995405E10</v>
      </c>
      <c r="E76" s="2"/>
      <c r="F76" s="141"/>
      <c r="G76" s="141"/>
      <c r="H76" s="141"/>
      <c r="I76" s="141">
        <v>0.94</v>
      </c>
      <c r="J76" s="141">
        <v>0.019</v>
      </c>
      <c r="K76" s="141">
        <v>0.317</v>
      </c>
      <c r="L76" s="141"/>
    </row>
    <row r="77" ht="14.25" customHeight="1">
      <c r="B77" s="515" t="s">
        <v>3844</v>
      </c>
      <c r="C77" s="515"/>
      <c r="D77" s="516">
        <v>2.0554057862E10</v>
      </c>
      <c r="E77" s="2"/>
      <c r="F77" s="141"/>
      <c r="G77" s="141"/>
      <c r="H77" s="141"/>
      <c r="I77" s="141">
        <v>0.94</v>
      </c>
      <c r="J77" s="141">
        <v>0.019</v>
      </c>
      <c r="K77" s="141">
        <v>0.317</v>
      </c>
      <c r="L77" s="141"/>
    </row>
    <row r="78" ht="14.25" customHeight="1">
      <c r="B78" s="515" t="s">
        <v>3845</v>
      </c>
      <c r="C78" s="515"/>
      <c r="D78" s="516">
        <v>1.0403381361E10</v>
      </c>
      <c r="E78" s="2"/>
      <c r="F78" s="141"/>
      <c r="G78" s="141"/>
      <c r="H78" s="141"/>
      <c r="I78" s="141">
        <v>0.94</v>
      </c>
      <c r="J78" s="141">
        <v>0.019</v>
      </c>
      <c r="K78" s="141">
        <v>0.317</v>
      </c>
      <c r="L78" s="141"/>
    </row>
    <row r="79" ht="14.25" customHeight="1">
      <c r="B79" s="515" t="s">
        <v>3846</v>
      </c>
      <c r="C79" s="515"/>
      <c r="D79" s="516">
        <v>2.0609745372E10</v>
      </c>
      <c r="E79" s="2"/>
      <c r="F79" s="141"/>
      <c r="G79" s="141"/>
      <c r="H79" s="141"/>
      <c r="I79" s="141">
        <v>0.94</v>
      </c>
      <c r="J79" s="141">
        <v>0.019</v>
      </c>
      <c r="K79" s="141">
        <v>0.317</v>
      </c>
      <c r="L79" s="141"/>
    </row>
    <row r="80" ht="14.25" customHeight="1">
      <c r="B80" s="515" t="s">
        <v>38</v>
      </c>
      <c r="C80" s="515"/>
      <c r="D80" s="516">
        <v>2.0606534923E10</v>
      </c>
      <c r="E80" s="2"/>
      <c r="F80" s="141"/>
      <c r="G80" s="141"/>
      <c r="H80" s="141"/>
      <c r="I80" s="141">
        <v>0.94</v>
      </c>
      <c r="J80" s="141">
        <v>0.019</v>
      </c>
      <c r="K80" s="141">
        <v>0.317</v>
      </c>
      <c r="L80" s="141"/>
    </row>
    <row r="81" ht="14.25" customHeight="1">
      <c r="B81" s="515" t="s">
        <v>3847</v>
      </c>
      <c r="C81" s="515"/>
      <c r="D81" s="516">
        <v>2.0611424541E10</v>
      </c>
      <c r="E81" s="2"/>
      <c r="F81" s="141"/>
      <c r="G81" s="141"/>
      <c r="H81" s="141"/>
      <c r="I81" s="141">
        <v>0.94</v>
      </c>
      <c r="J81" s="141">
        <v>0.019</v>
      </c>
      <c r="K81" s="141">
        <v>0.317</v>
      </c>
      <c r="L81" s="141"/>
    </row>
    <row r="82" ht="14.25" customHeight="1">
      <c r="D82" s="3"/>
      <c r="F82" s="141"/>
      <c r="G82" s="141"/>
      <c r="H82" s="141"/>
      <c r="I82" s="141"/>
      <c r="J82" s="141"/>
      <c r="K82" s="141"/>
      <c r="L82" s="141"/>
    </row>
    <row r="83" ht="14.25" customHeight="1">
      <c r="B83" s="524" t="s">
        <v>3848</v>
      </c>
      <c r="C83" s="524"/>
      <c r="D83" s="525"/>
      <c r="E83" s="68">
        <v>70.0</v>
      </c>
      <c r="F83" s="478">
        <v>100.0</v>
      </c>
      <c r="G83" s="478"/>
      <c r="H83" s="478">
        <v>20.0</v>
      </c>
      <c r="I83" s="478"/>
      <c r="J83" s="478"/>
      <c r="K83" s="478"/>
      <c r="L83" s="478"/>
      <c r="M83" s="68" t="s">
        <v>3849</v>
      </c>
      <c r="N83" s="2" t="s">
        <v>3765</v>
      </c>
    </row>
    <row r="84" ht="14.25" customHeight="1">
      <c r="D84" s="3"/>
      <c r="F84" s="141"/>
      <c r="G84" s="141"/>
      <c r="H84" s="141"/>
      <c r="I84" s="141"/>
      <c r="J84" s="141"/>
      <c r="K84" s="141"/>
      <c r="L84" s="141"/>
    </row>
    <row r="85" ht="14.25" customHeight="1">
      <c r="D85" s="3"/>
      <c r="F85" s="141"/>
      <c r="G85" s="141"/>
      <c r="H85" s="141"/>
      <c r="I85" s="141"/>
      <c r="J85" s="141"/>
      <c r="K85" s="141"/>
      <c r="L85" s="141"/>
    </row>
    <row r="86" ht="14.25" customHeight="1">
      <c r="D86" s="3"/>
      <c r="F86" s="141"/>
      <c r="G86" s="141"/>
      <c r="H86" s="141"/>
      <c r="I86" s="141"/>
      <c r="J86" s="141"/>
      <c r="K86" s="141"/>
      <c r="L86" s="141"/>
    </row>
    <row r="87" ht="14.25" customHeight="1">
      <c r="D87" s="3"/>
      <c r="F87" s="141"/>
      <c r="G87" s="141"/>
      <c r="H87" s="141"/>
      <c r="I87" s="141"/>
      <c r="J87" s="141"/>
      <c r="K87" s="141"/>
      <c r="L87" s="141"/>
    </row>
    <row r="88" ht="14.25" customHeight="1">
      <c r="D88" s="3"/>
      <c r="F88" s="141"/>
      <c r="G88" s="141"/>
      <c r="H88" s="141"/>
      <c r="I88" s="141"/>
      <c r="J88" s="141"/>
      <c r="K88" s="141"/>
      <c r="L88" s="141"/>
    </row>
    <row r="89" ht="14.25" customHeight="1">
      <c r="D89" s="3"/>
      <c r="F89" s="141"/>
      <c r="G89" s="141"/>
      <c r="H89" s="141"/>
      <c r="I89" s="141"/>
      <c r="J89" s="141"/>
      <c r="K89" s="141"/>
      <c r="L89" s="141"/>
    </row>
    <row r="90" ht="14.25" customHeight="1">
      <c r="D90" s="3"/>
      <c r="F90" s="141"/>
      <c r="G90" s="141"/>
      <c r="H90" s="141"/>
      <c r="I90" s="141"/>
      <c r="J90" s="141"/>
      <c r="K90" s="141"/>
      <c r="L90" s="141"/>
    </row>
    <row r="91" ht="14.25" customHeight="1">
      <c r="D91" s="3"/>
      <c r="F91" s="141"/>
      <c r="G91" s="141"/>
      <c r="H91" s="141"/>
      <c r="I91" s="141"/>
      <c r="J91" s="141"/>
      <c r="K91" s="141"/>
      <c r="L91" s="141"/>
    </row>
    <row r="92" ht="14.25" customHeight="1">
      <c r="D92" s="3"/>
      <c r="F92" s="141"/>
      <c r="G92" s="141"/>
      <c r="H92" s="141"/>
      <c r="I92" s="141"/>
      <c r="J92" s="141"/>
      <c r="K92" s="141"/>
      <c r="L92" s="141"/>
    </row>
    <row r="93" ht="14.25" customHeight="1">
      <c r="D93" s="3"/>
      <c r="F93" s="141"/>
      <c r="G93" s="141"/>
      <c r="H93" s="141"/>
      <c r="I93" s="141"/>
      <c r="J93" s="141"/>
      <c r="K93" s="141"/>
      <c r="L93" s="141"/>
    </row>
    <row r="94" ht="14.25" customHeight="1">
      <c r="D94" s="3"/>
      <c r="F94" s="141"/>
      <c r="G94" s="141"/>
      <c r="H94" s="141"/>
      <c r="I94" s="141"/>
      <c r="J94" s="141"/>
      <c r="K94" s="141"/>
      <c r="L94" s="141"/>
    </row>
    <row r="95" ht="14.25" customHeight="1">
      <c r="D95" s="3"/>
      <c r="F95" s="141"/>
      <c r="G95" s="141"/>
      <c r="H95" s="141"/>
      <c r="I95" s="141"/>
      <c r="J95" s="141"/>
      <c r="K95" s="141"/>
      <c r="L95" s="141"/>
    </row>
    <row r="96" ht="14.25" customHeight="1">
      <c r="D96" s="3"/>
      <c r="F96" s="141"/>
      <c r="G96" s="141"/>
      <c r="H96" s="141"/>
      <c r="I96" s="141"/>
      <c r="J96" s="141"/>
      <c r="K96" s="141"/>
      <c r="L96" s="141"/>
    </row>
    <row r="97" ht="14.25" customHeight="1">
      <c r="D97" s="3"/>
      <c r="F97" s="141"/>
      <c r="G97" s="141"/>
      <c r="H97" s="141"/>
      <c r="I97" s="141"/>
      <c r="J97" s="141"/>
      <c r="K97" s="141"/>
      <c r="L97" s="141"/>
    </row>
    <row r="98" ht="14.25" customHeight="1">
      <c r="D98" s="3"/>
      <c r="F98" s="141"/>
      <c r="G98" s="141"/>
      <c r="H98" s="141"/>
      <c r="I98" s="141"/>
      <c r="J98" s="141"/>
      <c r="K98" s="141"/>
      <c r="L98" s="141"/>
    </row>
    <row r="99" ht="14.25" customHeight="1">
      <c r="D99" s="3"/>
      <c r="F99" s="141"/>
      <c r="G99" s="141"/>
      <c r="H99" s="141"/>
      <c r="I99" s="141"/>
      <c r="J99" s="141"/>
      <c r="K99" s="141"/>
      <c r="L99" s="141"/>
    </row>
    <row r="100" ht="14.25" customHeight="1">
      <c r="D100" s="3"/>
      <c r="F100" s="141"/>
      <c r="G100" s="141"/>
      <c r="H100" s="141"/>
      <c r="I100" s="141"/>
      <c r="J100" s="141"/>
      <c r="K100" s="141"/>
      <c r="L100" s="141"/>
    </row>
    <row r="101" ht="14.25" customHeight="1">
      <c r="D101" s="3"/>
      <c r="F101" s="141"/>
      <c r="G101" s="141"/>
      <c r="H101" s="141"/>
      <c r="I101" s="141"/>
      <c r="J101" s="141"/>
      <c r="K101" s="141"/>
      <c r="L101" s="141"/>
    </row>
    <row r="102" ht="14.25" customHeight="1">
      <c r="D102" s="3"/>
      <c r="F102" s="141"/>
      <c r="G102" s="141"/>
      <c r="H102" s="141"/>
      <c r="I102" s="141"/>
      <c r="J102" s="141"/>
      <c r="K102" s="141"/>
      <c r="L102" s="141"/>
    </row>
    <row r="103" ht="14.25" customHeight="1">
      <c r="D103" s="3"/>
      <c r="F103" s="141"/>
      <c r="G103" s="141"/>
      <c r="H103" s="141"/>
      <c r="I103" s="141"/>
      <c r="J103" s="141"/>
      <c r="K103" s="141"/>
      <c r="L103" s="141"/>
    </row>
    <row r="104" ht="14.25" customHeight="1">
      <c r="D104" s="3"/>
      <c r="F104" s="141"/>
      <c r="G104" s="141"/>
      <c r="H104" s="141"/>
      <c r="I104" s="141"/>
      <c r="J104" s="141"/>
      <c r="K104" s="141"/>
      <c r="L104" s="141"/>
    </row>
    <row r="105" ht="14.25" customHeight="1">
      <c r="D105" s="3"/>
      <c r="F105" s="141"/>
      <c r="G105" s="141"/>
      <c r="H105" s="141"/>
      <c r="I105" s="141"/>
      <c r="J105" s="141"/>
      <c r="K105" s="141"/>
      <c r="L105" s="141"/>
    </row>
    <row r="106" ht="14.25" customHeight="1">
      <c r="D106" s="3"/>
      <c r="F106" s="141"/>
      <c r="G106" s="141"/>
      <c r="H106" s="141"/>
      <c r="I106" s="141"/>
      <c r="J106" s="141"/>
      <c r="K106" s="141"/>
      <c r="L106" s="141"/>
    </row>
    <row r="107" ht="14.25" customHeight="1">
      <c r="D107" s="3"/>
      <c r="F107" s="141"/>
      <c r="G107" s="141"/>
      <c r="H107" s="141"/>
      <c r="I107" s="141"/>
      <c r="J107" s="141"/>
      <c r="K107" s="141"/>
      <c r="L107" s="141"/>
    </row>
    <row r="108" ht="14.25" customHeight="1">
      <c r="D108" s="3"/>
      <c r="F108" s="141"/>
      <c r="G108" s="141"/>
      <c r="H108" s="141"/>
      <c r="I108" s="141"/>
      <c r="J108" s="141"/>
      <c r="K108" s="141"/>
      <c r="L108" s="141"/>
    </row>
    <row r="109" ht="14.25" customHeight="1">
      <c r="D109" s="3"/>
      <c r="F109" s="141"/>
      <c r="G109" s="141"/>
      <c r="H109" s="141"/>
      <c r="I109" s="141"/>
      <c r="J109" s="141"/>
      <c r="K109" s="141"/>
      <c r="L109" s="141"/>
    </row>
    <row r="110" ht="14.25" customHeight="1">
      <c r="D110" s="3"/>
      <c r="F110" s="141"/>
      <c r="G110" s="141"/>
      <c r="H110" s="141"/>
      <c r="I110" s="141"/>
      <c r="J110" s="141"/>
      <c r="K110" s="141"/>
      <c r="L110" s="141"/>
    </row>
    <row r="111" ht="14.25" customHeight="1">
      <c r="D111" s="3"/>
      <c r="F111" s="141"/>
      <c r="G111" s="141"/>
      <c r="H111" s="141"/>
      <c r="I111" s="141"/>
      <c r="J111" s="141"/>
      <c r="K111" s="141"/>
      <c r="L111" s="141"/>
    </row>
    <row r="112" ht="14.25" customHeight="1">
      <c r="D112" s="3"/>
      <c r="F112" s="141"/>
      <c r="G112" s="141"/>
      <c r="H112" s="141"/>
      <c r="I112" s="141"/>
      <c r="J112" s="141"/>
      <c r="K112" s="141"/>
      <c r="L112" s="141"/>
    </row>
    <row r="113" ht="14.25" customHeight="1">
      <c r="D113" s="3"/>
      <c r="F113" s="141"/>
      <c r="G113" s="141"/>
      <c r="H113" s="141"/>
      <c r="I113" s="141"/>
      <c r="J113" s="141"/>
      <c r="K113" s="141"/>
      <c r="L113" s="141"/>
    </row>
    <row r="114" ht="14.25" customHeight="1">
      <c r="D114" s="3"/>
      <c r="F114" s="141"/>
      <c r="G114" s="141"/>
      <c r="H114" s="141"/>
      <c r="I114" s="141"/>
      <c r="J114" s="141"/>
      <c r="K114" s="141"/>
      <c r="L114" s="141"/>
    </row>
    <row r="115" ht="14.25" customHeight="1">
      <c r="D115" s="3"/>
      <c r="F115" s="141"/>
      <c r="G115" s="141"/>
      <c r="H115" s="141"/>
      <c r="I115" s="141"/>
      <c r="J115" s="141"/>
      <c r="K115" s="141"/>
      <c r="L115" s="141"/>
    </row>
    <row r="116" ht="14.25" customHeight="1">
      <c r="D116" s="3"/>
      <c r="F116" s="141"/>
      <c r="G116" s="141"/>
      <c r="H116" s="141"/>
      <c r="I116" s="141"/>
      <c r="J116" s="141"/>
      <c r="K116" s="141"/>
      <c r="L116" s="141"/>
    </row>
    <row r="117" ht="14.25" customHeight="1">
      <c r="D117" s="3"/>
      <c r="F117" s="141"/>
      <c r="G117" s="141"/>
      <c r="H117" s="141"/>
      <c r="I117" s="141"/>
      <c r="J117" s="141"/>
      <c r="K117" s="141"/>
      <c r="L117" s="141"/>
    </row>
    <row r="118" ht="14.25" customHeight="1">
      <c r="D118" s="3"/>
      <c r="F118" s="141"/>
      <c r="G118" s="141"/>
      <c r="H118" s="141"/>
      <c r="I118" s="141"/>
      <c r="J118" s="141"/>
      <c r="K118" s="141"/>
      <c r="L118" s="141"/>
    </row>
    <row r="119" ht="14.25" customHeight="1">
      <c r="D119" s="3"/>
      <c r="F119" s="141"/>
      <c r="G119" s="141"/>
      <c r="H119" s="141"/>
      <c r="I119" s="141"/>
      <c r="J119" s="141"/>
      <c r="K119" s="141"/>
      <c r="L119" s="141"/>
    </row>
    <row r="120" ht="14.25" customHeight="1">
      <c r="D120" s="3"/>
      <c r="F120" s="141"/>
      <c r="G120" s="141"/>
      <c r="H120" s="141"/>
      <c r="I120" s="141"/>
      <c r="J120" s="141"/>
      <c r="K120" s="141"/>
      <c r="L120" s="141"/>
    </row>
    <row r="121" ht="14.25" customHeight="1">
      <c r="D121" s="3"/>
      <c r="F121" s="141"/>
      <c r="G121" s="141"/>
      <c r="H121" s="141"/>
      <c r="I121" s="141"/>
      <c r="J121" s="141"/>
      <c r="K121" s="141"/>
      <c r="L121" s="141"/>
    </row>
    <row r="122" ht="14.25" customHeight="1">
      <c r="D122" s="3"/>
      <c r="F122" s="141"/>
      <c r="G122" s="141"/>
      <c r="H122" s="141"/>
      <c r="I122" s="141"/>
      <c r="J122" s="141"/>
      <c r="K122" s="141"/>
      <c r="L122" s="141"/>
    </row>
    <row r="123" ht="14.25" customHeight="1">
      <c r="D123" s="3"/>
      <c r="F123" s="141"/>
      <c r="G123" s="141"/>
      <c r="H123" s="141"/>
      <c r="I123" s="141"/>
      <c r="J123" s="141"/>
      <c r="K123" s="141"/>
      <c r="L123" s="141"/>
    </row>
    <row r="124" ht="14.25" customHeight="1">
      <c r="D124" s="3"/>
      <c r="F124" s="141"/>
      <c r="G124" s="141"/>
      <c r="H124" s="141"/>
      <c r="I124" s="141"/>
      <c r="J124" s="141"/>
      <c r="K124" s="141"/>
      <c r="L124" s="141"/>
    </row>
    <row r="125" ht="14.25" customHeight="1">
      <c r="D125" s="3"/>
      <c r="F125" s="141"/>
      <c r="G125" s="141"/>
      <c r="H125" s="141"/>
      <c r="I125" s="141"/>
      <c r="J125" s="141"/>
      <c r="K125" s="141"/>
      <c r="L125" s="141"/>
    </row>
    <row r="126" ht="14.25" customHeight="1">
      <c r="D126" s="3"/>
      <c r="F126" s="141"/>
      <c r="G126" s="141"/>
      <c r="H126" s="141"/>
      <c r="I126" s="141"/>
      <c r="J126" s="141"/>
      <c r="K126" s="141"/>
      <c r="L126" s="141"/>
    </row>
    <row r="127" ht="14.25" customHeight="1">
      <c r="D127" s="3"/>
      <c r="F127" s="141"/>
      <c r="G127" s="141"/>
      <c r="H127" s="141"/>
      <c r="I127" s="141"/>
      <c r="J127" s="141"/>
      <c r="K127" s="141"/>
      <c r="L127" s="141"/>
    </row>
    <row r="128" ht="14.25" customHeight="1">
      <c r="D128" s="3"/>
      <c r="F128" s="141"/>
      <c r="G128" s="141"/>
      <c r="H128" s="141"/>
      <c r="I128" s="141"/>
      <c r="J128" s="141"/>
      <c r="K128" s="141"/>
      <c r="L128" s="141"/>
    </row>
    <row r="129" ht="14.25" customHeight="1">
      <c r="D129" s="3"/>
      <c r="F129" s="141"/>
      <c r="G129" s="141"/>
      <c r="H129" s="141"/>
      <c r="I129" s="141"/>
      <c r="J129" s="141"/>
      <c r="K129" s="141"/>
      <c r="L129" s="141"/>
    </row>
    <row r="130" ht="14.25" customHeight="1">
      <c r="D130" s="3"/>
      <c r="F130" s="141"/>
      <c r="G130" s="141"/>
      <c r="H130" s="141"/>
      <c r="I130" s="141"/>
      <c r="J130" s="141"/>
      <c r="K130" s="141"/>
      <c r="L130" s="141"/>
    </row>
    <row r="131" ht="14.25" customHeight="1">
      <c r="D131" s="3"/>
      <c r="F131" s="141"/>
      <c r="G131" s="141"/>
      <c r="H131" s="141"/>
      <c r="I131" s="141"/>
      <c r="J131" s="141"/>
      <c r="K131" s="141"/>
      <c r="L131" s="141"/>
    </row>
    <row r="132" ht="14.25" customHeight="1">
      <c r="D132" s="3"/>
      <c r="F132" s="141"/>
      <c r="G132" s="141"/>
      <c r="H132" s="141"/>
      <c r="I132" s="141"/>
      <c r="J132" s="141"/>
      <c r="K132" s="141"/>
      <c r="L132" s="141"/>
    </row>
    <row r="133" ht="14.25" customHeight="1">
      <c r="D133" s="3"/>
      <c r="F133" s="141"/>
      <c r="G133" s="141"/>
      <c r="H133" s="141"/>
      <c r="I133" s="141"/>
      <c r="J133" s="141"/>
      <c r="K133" s="141"/>
      <c r="L133" s="141"/>
    </row>
    <row r="134" ht="14.25" customHeight="1">
      <c r="D134" s="3"/>
      <c r="F134" s="141"/>
      <c r="G134" s="141"/>
      <c r="H134" s="141"/>
      <c r="I134" s="141"/>
      <c r="J134" s="141"/>
      <c r="K134" s="141"/>
      <c r="L134" s="141"/>
    </row>
    <row r="135" ht="14.25" customHeight="1">
      <c r="D135" s="3"/>
      <c r="F135" s="141"/>
      <c r="G135" s="141"/>
      <c r="H135" s="141"/>
      <c r="I135" s="141"/>
      <c r="J135" s="141"/>
      <c r="K135" s="141"/>
      <c r="L135" s="141"/>
    </row>
    <row r="136" ht="14.25" customHeight="1">
      <c r="D136" s="3"/>
      <c r="F136" s="141"/>
      <c r="G136" s="141"/>
      <c r="H136" s="141"/>
      <c r="I136" s="141"/>
      <c r="J136" s="141"/>
      <c r="K136" s="141"/>
      <c r="L136" s="141"/>
    </row>
    <row r="137" ht="14.25" customHeight="1">
      <c r="D137" s="3"/>
      <c r="F137" s="141"/>
      <c r="G137" s="141"/>
      <c r="H137" s="141"/>
      <c r="I137" s="141"/>
      <c r="J137" s="141"/>
      <c r="K137" s="141"/>
      <c r="L137" s="141"/>
    </row>
    <row r="138" ht="14.25" customHeight="1">
      <c r="D138" s="3"/>
      <c r="F138" s="141"/>
      <c r="G138" s="141"/>
      <c r="H138" s="141"/>
      <c r="I138" s="141"/>
      <c r="J138" s="141"/>
      <c r="K138" s="141"/>
      <c r="L138" s="141"/>
    </row>
    <row r="139" ht="14.25" customHeight="1">
      <c r="D139" s="3"/>
      <c r="F139" s="141"/>
      <c r="G139" s="141"/>
      <c r="H139" s="141"/>
      <c r="I139" s="141"/>
      <c r="J139" s="141"/>
      <c r="K139" s="141"/>
      <c r="L139" s="141"/>
    </row>
    <row r="140" ht="14.25" customHeight="1">
      <c r="D140" s="3"/>
      <c r="F140" s="141"/>
      <c r="G140" s="141"/>
      <c r="H140" s="141"/>
      <c r="I140" s="141"/>
      <c r="J140" s="141"/>
      <c r="K140" s="141"/>
      <c r="L140" s="141"/>
    </row>
    <row r="141" ht="14.25" customHeight="1">
      <c r="D141" s="3"/>
      <c r="F141" s="141"/>
      <c r="G141" s="141"/>
      <c r="H141" s="141"/>
      <c r="I141" s="141"/>
      <c r="J141" s="141"/>
      <c r="K141" s="141"/>
      <c r="L141" s="141"/>
    </row>
    <row r="142" ht="14.25" customHeight="1">
      <c r="D142" s="3"/>
      <c r="F142" s="141"/>
      <c r="G142" s="141"/>
      <c r="H142" s="141"/>
      <c r="I142" s="141"/>
      <c r="J142" s="141"/>
      <c r="K142" s="141"/>
      <c r="L142" s="141"/>
    </row>
    <row r="143" ht="14.25" customHeight="1">
      <c r="D143" s="3"/>
      <c r="F143" s="141"/>
      <c r="G143" s="141"/>
      <c r="H143" s="141"/>
      <c r="I143" s="141"/>
      <c r="J143" s="141"/>
      <c r="K143" s="141"/>
      <c r="L143" s="141"/>
    </row>
    <row r="144" ht="14.25" customHeight="1">
      <c r="D144" s="3"/>
      <c r="F144" s="141"/>
      <c r="G144" s="141"/>
      <c r="H144" s="141"/>
      <c r="I144" s="141"/>
      <c r="J144" s="141"/>
      <c r="K144" s="141"/>
      <c r="L144" s="141"/>
    </row>
    <row r="145" ht="14.25" customHeight="1">
      <c r="D145" s="3"/>
      <c r="F145" s="141"/>
      <c r="G145" s="141"/>
      <c r="H145" s="141"/>
      <c r="I145" s="141"/>
      <c r="J145" s="141"/>
      <c r="K145" s="141"/>
      <c r="L145" s="141"/>
    </row>
    <row r="146" ht="14.25" customHeight="1">
      <c r="D146" s="3"/>
      <c r="F146" s="141"/>
      <c r="G146" s="141"/>
      <c r="H146" s="141"/>
      <c r="I146" s="141"/>
      <c r="J146" s="141"/>
      <c r="K146" s="141"/>
      <c r="L146" s="141"/>
    </row>
    <row r="147" ht="14.25" customHeight="1">
      <c r="D147" s="3"/>
      <c r="F147" s="141"/>
      <c r="G147" s="141"/>
      <c r="H147" s="141"/>
      <c r="I147" s="141"/>
      <c r="J147" s="141"/>
      <c r="K147" s="141"/>
      <c r="L147" s="141"/>
    </row>
    <row r="148" ht="14.25" customHeight="1">
      <c r="D148" s="3"/>
      <c r="F148" s="141"/>
      <c r="G148" s="141"/>
      <c r="H148" s="141"/>
      <c r="I148" s="141"/>
      <c r="J148" s="141"/>
      <c r="K148" s="141"/>
      <c r="L148" s="141"/>
    </row>
    <row r="149" ht="14.25" customHeight="1">
      <c r="D149" s="3"/>
      <c r="F149" s="141"/>
      <c r="G149" s="141"/>
      <c r="H149" s="141"/>
      <c r="I149" s="141"/>
      <c r="J149" s="141"/>
      <c r="K149" s="141"/>
      <c r="L149" s="141"/>
    </row>
    <row r="150" ht="14.25" customHeight="1">
      <c r="D150" s="3"/>
      <c r="F150" s="141"/>
      <c r="G150" s="141"/>
      <c r="H150" s="141"/>
      <c r="I150" s="141"/>
      <c r="J150" s="141"/>
      <c r="K150" s="141"/>
      <c r="L150" s="141"/>
    </row>
    <row r="151" ht="14.25" customHeight="1">
      <c r="D151" s="3"/>
      <c r="F151" s="141"/>
      <c r="G151" s="141"/>
      <c r="H151" s="141"/>
      <c r="I151" s="141"/>
      <c r="J151" s="141"/>
      <c r="K151" s="141"/>
      <c r="L151" s="141"/>
    </row>
    <row r="152" ht="14.25" customHeight="1">
      <c r="D152" s="3"/>
      <c r="F152" s="141"/>
      <c r="G152" s="141"/>
      <c r="H152" s="141"/>
      <c r="I152" s="141"/>
      <c r="J152" s="141"/>
      <c r="K152" s="141"/>
      <c r="L152" s="141"/>
    </row>
    <row r="153" ht="14.25" customHeight="1">
      <c r="D153" s="3"/>
      <c r="F153" s="141"/>
      <c r="G153" s="141"/>
      <c r="H153" s="141"/>
      <c r="I153" s="141"/>
      <c r="J153" s="141"/>
      <c r="K153" s="141"/>
      <c r="L153" s="141"/>
    </row>
    <row r="154" ht="14.25" customHeight="1">
      <c r="D154" s="3"/>
      <c r="F154" s="141"/>
      <c r="G154" s="141"/>
      <c r="H154" s="141"/>
      <c r="I154" s="141"/>
      <c r="J154" s="141"/>
      <c r="K154" s="141"/>
      <c r="L154" s="141"/>
    </row>
    <row r="155" ht="14.25" customHeight="1">
      <c r="D155" s="3"/>
      <c r="F155" s="141"/>
      <c r="G155" s="141"/>
      <c r="H155" s="141"/>
      <c r="I155" s="141"/>
      <c r="J155" s="141"/>
      <c r="K155" s="141"/>
      <c r="L155" s="141"/>
    </row>
    <row r="156" ht="14.25" customHeight="1">
      <c r="D156" s="3"/>
      <c r="F156" s="141"/>
      <c r="G156" s="141"/>
      <c r="H156" s="141"/>
      <c r="I156" s="141"/>
      <c r="J156" s="141"/>
      <c r="K156" s="141"/>
      <c r="L156" s="141"/>
    </row>
    <row r="157" ht="14.25" customHeight="1">
      <c r="D157" s="3"/>
      <c r="F157" s="141"/>
      <c r="G157" s="141"/>
      <c r="H157" s="141"/>
      <c r="I157" s="141"/>
      <c r="J157" s="141"/>
      <c r="K157" s="141"/>
      <c r="L157" s="141"/>
    </row>
    <row r="158" ht="14.25" customHeight="1">
      <c r="D158" s="3"/>
      <c r="F158" s="141"/>
      <c r="G158" s="141"/>
      <c r="H158" s="141"/>
      <c r="I158" s="141"/>
      <c r="J158" s="141"/>
      <c r="K158" s="141"/>
      <c r="L158" s="141"/>
    </row>
    <row r="159" ht="14.25" customHeight="1">
      <c r="D159" s="3"/>
      <c r="F159" s="141"/>
      <c r="G159" s="141"/>
      <c r="H159" s="141"/>
      <c r="I159" s="141"/>
      <c r="J159" s="141"/>
      <c r="K159" s="141"/>
      <c r="L159" s="141"/>
    </row>
    <row r="160" ht="14.25" customHeight="1">
      <c r="D160" s="3"/>
      <c r="F160" s="141"/>
      <c r="G160" s="141"/>
      <c r="H160" s="141"/>
      <c r="I160" s="141"/>
      <c r="J160" s="141"/>
      <c r="K160" s="141"/>
      <c r="L160" s="141"/>
    </row>
    <row r="161" ht="14.25" customHeight="1">
      <c r="D161" s="3"/>
      <c r="F161" s="141"/>
      <c r="G161" s="141"/>
      <c r="H161" s="141"/>
      <c r="I161" s="141"/>
      <c r="J161" s="141"/>
      <c r="K161" s="141"/>
      <c r="L161" s="141"/>
    </row>
    <row r="162" ht="14.25" customHeight="1">
      <c r="D162" s="3"/>
      <c r="F162" s="141"/>
      <c r="G162" s="141"/>
      <c r="H162" s="141"/>
      <c r="I162" s="141"/>
      <c r="J162" s="141"/>
      <c r="K162" s="141"/>
      <c r="L162" s="141"/>
    </row>
    <row r="163" ht="14.25" customHeight="1">
      <c r="D163" s="3"/>
      <c r="F163" s="141"/>
      <c r="G163" s="141"/>
      <c r="H163" s="141"/>
      <c r="I163" s="141"/>
      <c r="J163" s="141"/>
      <c r="K163" s="141"/>
      <c r="L163" s="141"/>
    </row>
    <row r="164" ht="14.25" customHeight="1">
      <c r="D164" s="3"/>
      <c r="F164" s="141"/>
      <c r="G164" s="141"/>
      <c r="H164" s="141"/>
      <c r="I164" s="141"/>
      <c r="J164" s="141"/>
      <c r="K164" s="141"/>
      <c r="L164" s="141"/>
    </row>
    <row r="165" ht="14.25" customHeight="1">
      <c r="D165" s="3"/>
      <c r="F165" s="141"/>
      <c r="G165" s="141"/>
      <c r="H165" s="141"/>
      <c r="I165" s="141"/>
      <c r="J165" s="141"/>
      <c r="K165" s="141"/>
      <c r="L165" s="141"/>
    </row>
    <row r="166" ht="14.25" customHeight="1">
      <c r="D166" s="3"/>
      <c r="F166" s="141"/>
      <c r="G166" s="141"/>
      <c r="H166" s="141"/>
      <c r="I166" s="141"/>
      <c r="J166" s="141"/>
      <c r="K166" s="141"/>
      <c r="L166" s="141"/>
    </row>
    <row r="167" ht="14.25" customHeight="1">
      <c r="D167" s="3"/>
      <c r="F167" s="141"/>
      <c r="G167" s="141"/>
      <c r="H167" s="141"/>
      <c r="I167" s="141"/>
      <c r="J167" s="141"/>
      <c r="K167" s="141"/>
      <c r="L167" s="141"/>
    </row>
    <row r="168" ht="14.25" customHeight="1">
      <c r="D168" s="3"/>
      <c r="F168" s="141"/>
      <c r="G168" s="141"/>
      <c r="H168" s="141"/>
      <c r="I168" s="141"/>
      <c r="J168" s="141"/>
      <c r="K168" s="141"/>
      <c r="L168" s="141"/>
    </row>
    <row r="169" ht="14.25" customHeight="1">
      <c r="D169" s="3"/>
      <c r="F169" s="141"/>
      <c r="G169" s="141"/>
      <c r="H169" s="141"/>
      <c r="I169" s="141"/>
      <c r="J169" s="141"/>
      <c r="K169" s="141"/>
      <c r="L169" s="141"/>
    </row>
    <row r="170" ht="14.25" customHeight="1">
      <c r="D170" s="3"/>
      <c r="F170" s="141"/>
      <c r="G170" s="141"/>
      <c r="H170" s="141"/>
      <c r="I170" s="141"/>
      <c r="J170" s="141"/>
      <c r="K170" s="141"/>
      <c r="L170" s="141"/>
    </row>
    <row r="171" ht="14.25" customHeight="1">
      <c r="D171" s="3"/>
      <c r="F171" s="141"/>
      <c r="G171" s="141"/>
      <c r="H171" s="141"/>
      <c r="I171" s="141"/>
      <c r="J171" s="141"/>
      <c r="K171" s="141"/>
      <c r="L171" s="141"/>
    </row>
    <row r="172" ht="14.25" customHeight="1">
      <c r="D172" s="3"/>
      <c r="F172" s="141"/>
      <c r="G172" s="141"/>
      <c r="H172" s="141"/>
      <c r="I172" s="141"/>
      <c r="J172" s="141"/>
      <c r="K172" s="141"/>
      <c r="L172" s="141"/>
    </row>
    <row r="173" ht="14.25" customHeight="1">
      <c r="D173" s="3"/>
      <c r="F173" s="141"/>
      <c r="G173" s="141"/>
      <c r="H173" s="141"/>
      <c r="I173" s="141"/>
      <c r="J173" s="141"/>
      <c r="K173" s="141"/>
      <c r="L173" s="141"/>
    </row>
    <row r="174" ht="14.25" customHeight="1">
      <c r="D174" s="3"/>
      <c r="F174" s="141"/>
      <c r="G174" s="141"/>
      <c r="H174" s="141"/>
      <c r="I174" s="141"/>
      <c r="J174" s="141"/>
      <c r="K174" s="141"/>
      <c r="L174" s="141"/>
    </row>
    <row r="175" ht="14.25" customHeight="1">
      <c r="D175" s="3"/>
      <c r="F175" s="141"/>
      <c r="G175" s="141"/>
      <c r="H175" s="141"/>
      <c r="I175" s="141"/>
      <c r="J175" s="141"/>
      <c r="K175" s="141"/>
      <c r="L175" s="141"/>
    </row>
    <row r="176" ht="14.25" customHeight="1">
      <c r="D176" s="3"/>
      <c r="F176" s="141"/>
      <c r="G176" s="141"/>
      <c r="H176" s="141"/>
      <c r="I176" s="141"/>
      <c r="J176" s="141"/>
      <c r="K176" s="141"/>
      <c r="L176" s="141"/>
    </row>
    <row r="177" ht="14.25" customHeight="1">
      <c r="D177" s="3"/>
      <c r="F177" s="141"/>
      <c r="G177" s="141"/>
      <c r="H177" s="141"/>
      <c r="I177" s="141"/>
      <c r="J177" s="141"/>
      <c r="K177" s="141"/>
      <c r="L177" s="141"/>
    </row>
    <row r="178" ht="14.25" customHeight="1">
      <c r="D178" s="3"/>
      <c r="F178" s="141"/>
      <c r="G178" s="141"/>
      <c r="H178" s="141"/>
      <c r="I178" s="141"/>
      <c r="J178" s="141"/>
      <c r="K178" s="141"/>
      <c r="L178" s="141"/>
    </row>
    <row r="179" ht="14.25" customHeight="1">
      <c r="D179" s="3"/>
      <c r="F179" s="141"/>
      <c r="G179" s="141"/>
      <c r="H179" s="141"/>
      <c r="I179" s="141"/>
      <c r="J179" s="141"/>
      <c r="K179" s="141"/>
      <c r="L179" s="141"/>
    </row>
    <row r="180" ht="14.25" customHeight="1">
      <c r="D180" s="3"/>
      <c r="F180" s="141"/>
      <c r="G180" s="141"/>
      <c r="H180" s="141"/>
      <c r="I180" s="141"/>
      <c r="J180" s="141"/>
      <c r="K180" s="141"/>
      <c r="L180" s="141"/>
    </row>
    <row r="181" ht="14.25" customHeight="1">
      <c r="D181" s="3"/>
      <c r="F181" s="141"/>
      <c r="G181" s="141"/>
      <c r="H181" s="141"/>
      <c r="I181" s="141"/>
      <c r="J181" s="141"/>
      <c r="K181" s="141"/>
      <c r="L181" s="141"/>
    </row>
    <row r="182" ht="14.25" customHeight="1">
      <c r="D182" s="3"/>
      <c r="F182" s="141"/>
      <c r="G182" s="141"/>
      <c r="H182" s="141"/>
      <c r="I182" s="141"/>
      <c r="J182" s="141"/>
      <c r="K182" s="141"/>
      <c r="L182" s="141"/>
    </row>
    <row r="183" ht="14.25" customHeight="1">
      <c r="D183" s="3"/>
      <c r="F183" s="141"/>
      <c r="G183" s="141"/>
      <c r="H183" s="141"/>
      <c r="I183" s="141"/>
      <c r="J183" s="141"/>
      <c r="K183" s="141"/>
      <c r="L183" s="141"/>
    </row>
    <row r="184" ht="14.25" customHeight="1">
      <c r="D184" s="3"/>
      <c r="F184" s="141"/>
      <c r="G184" s="141"/>
      <c r="H184" s="141"/>
      <c r="I184" s="141"/>
      <c r="J184" s="141"/>
      <c r="K184" s="141"/>
      <c r="L184" s="141"/>
    </row>
    <row r="185" ht="14.25" customHeight="1">
      <c r="D185" s="3"/>
      <c r="F185" s="141"/>
      <c r="G185" s="141"/>
      <c r="H185" s="141"/>
      <c r="I185" s="141"/>
      <c r="J185" s="141"/>
      <c r="K185" s="141"/>
      <c r="L185" s="141"/>
    </row>
    <row r="186" ht="14.25" customHeight="1">
      <c r="D186" s="3"/>
      <c r="F186" s="141"/>
      <c r="G186" s="141"/>
      <c r="H186" s="141"/>
      <c r="I186" s="141"/>
      <c r="J186" s="141"/>
      <c r="K186" s="141"/>
      <c r="L186" s="141"/>
    </row>
    <row r="187" ht="14.25" customHeight="1">
      <c r="D187" s="3"/>
      <c r="F187" s="141"/>
      <c r="G187" s="141"/>
      <c r="H187" s="141"/>
      <c r="I187" s="141"/>
      <c r="J187" s="141"/>
      <c r="K187" s="141"/>
      <c r="L187" s="141"/>
    </row>
    <row r="188" ht="14.25" customHeight="1">
      <c r="D188" s="3"/>
      <c r="F188" s="141"/>
      <c r="G188" s="141"/>
      <c r="H188" s="141"/>
      <c r="I188" s="141"/>
      <c r="J188" s="141"/>
      <c r="K188" s="141"/>
      <c r="L188" s="141"/>
    </row>
    <row r="189" ht="14.25" customHeight="1">
      <c r="D189" s="3"/>
      <c r="F189" s="141"/>
      <c r="G189" s="141"/>
      <c r="H189" s="141"/>
      <c r="I189" s="141"/>
      <c r="J189" s="141"/>
      <c r="K189" s="141"/>
      <c r="L189" s="141"/>
    </row>
    <row r="190" ht="14.25" customHeight="1">
      <c r="D190" s="3"/>
      <c r="F190" s="141"/>
      <c r="G190" s="141"/>
      <c r="H190" s="141"/>
      <c r="I190" s="141"/>
      <c r="J190" s="141"/>
      <c r="K190" s="141"/>
      <c r="L190" s="141"/>
    </row>
    <row r="191" ht="14.25" customHeight="1">
      <c r="D191" s="3"/>
      <c r="F191" s="141"/>
      <c r="G191" s="141"/>
      <c r="H191" s="141"/>
      <c r="I191" s="141"/>
      <c r="J191" s="141"/>
      <c r="K191" s="141"/>
      <c r="L191" s="141"/>
    </row>
    <row r="192" ht="14.25" customHeight="1">
      <c r="D192" s="3"/>
      <c r="F192" s="141"/>
      <c r="G192" s="141"/>
      <c r="H192" s="141"/>
      <c r="I192" s="141"/>
      <c r="J192" s="141"/>
      <c r="K192" s="141"/>
      <c r="L192" s="141"/>
    </row>
    <row r="193" ht="14.25" customHeight="1">
      <c r="D193" s="3"/>
      <c r="F193" s="141"/>
      <c r="G193" s="141"/>
      <c r="H193" s="141"/>
      <c r="I193" s="141"/>
      <c r="J193" s="141"/>
      <c r="K193" s="141"/>
      <c r="L193" s="141"/>
    </row>
    <row r="194" ht="14.25" customHeight="1">
      <c r="D194" s="3"/>
      <c r="F194" s="141"/>
      <c r="G194" s="141"/>
      <c r="H194" s="141"/>
      <c r="I194" s="141"/>
      <c r="J194" s="141"/>
      <c r="K194" s="141"/>
      <c r="L194" s="141"/>
    </row>
    <row r="195" ht="14.25" customHeight="1">
      <c r="D195" s="3"/>
      <c r="F195" s="141"/>
      <c r="G195" s="141"/>
      <c r="H195" s="141"/>
      <c r="I195" s="141"/>
      <c r="J195" s="141"/>
      <c r="K195" s="141"/>
      <c r="L195" s="141"/>
    </row>
    <row r="196" ht="14.25" customHeight="1">
      <c r="D196" s="3"/>
      <c r="F196" s="141"/>
      <c r="G196" s="141"/>
      <c r="H196" s="141"/>
      <c r="I196" s="141"/>
      <c r="J196" s="141"/>
      <c r="K196" s="141"/>
      <c r="L196" s="141"/>
    </row>
    <row r="197" ht="14.25" customHeight="1">
      <c r="D197" s="3"/>
      <c r="F197" s="141"/>
      <c r="G197" s="141"/>
      <c r="H197" s="141"/>
      <c r="I197" s="141"/>
      <c r="J197" s="141"/>
      <c r="K197" s="141"/>
      <c r="L197" s="141"/>
    </row>
    <row r="198" ht="14.25" customHeight="1">
      <c r="D198" s="3"/>
      <c r="F198" s="141"/>
      <c r="G198" s="141"/>
      <c r="H198" s="141"/>
      <c r="I198" s="141"/>
      <c r="J198" s="141"/>
      <c r="K198" s="141"/>
      <c r="L198" s="141"/>
    </row>
    <row r="199" ht="14.25" customHeight="1">
      <c r="D199" s="3"/>
      <c r="F199" s="141"/>
      <c r="G199" s="141"/>
      <c r="H199" s="141"/>
      <c r="I199" s="141"/>
      <c r="J199" s="141"/>
      <c r="K199" s="141"/>
      <c r="L199" s="141"/>
    </row>
    <row r="200" ht="14.25" customHeight="1">
      <c r="D200" s="3"/>
      <c r="F200" s="141"/>
      <c r="G200" s="141"/>
      <c r="H200" s="141"/>
      <c r="I200" s="141"/>
      <c r="J200" s="141"/>
      <c r="K200" s="141"/>
      <c r="L200" s="141"/>
    </row>
    <row r="201" ht="14.25" customHeight="1">
      <c r="D201" s="3"/>
      <c r="F201" s="141"/>
      <c r="G201" s="141"/>
      <c r="H201" s="141"/>
      <c r="I201" s="141"/>
      <c r="J201" s="141"/>
      <c r="K201" s="141"/>
      <c r="L201" s="141"/>
    </row>
    <row r="202" ht="14.25" customHeight="1">
      <c r="D202" s="3"/>
      <c r="F202" s="141"/>
      <c r="G202" s="141"/>
      <c r="H202" s="141"/>
      <c r="I202" s="141"/>
      <c r="J202" s="141"/>
      <c r="K202" s="141"/>
      <c r="L202" s="141"/>
    </row>
    <row r="203" ht="14.25" customHeight="1">
      <c r="D203" s="3"/>
      <c r="F203" s="141"/>
      <c r="G203" s="141"/>
      <c r="H203" s="141"/>
      <c r="I203" s="141"/>
      <c r="J203" s="141"/>
      <c r="K203" s="141"/>
      <c r="L203" s="141"/>
    </row>
    <row r="204" ht="14.25" customHeight="1">
      <c r="D204" s="3"/>
      <c r="F204" s="141"/>
      <c r="G204" s="141"/>
      <c r="H204" s="141"/>
      <c r="I204" s="141"/>
      <c r="J204" s="141"/>
      <c r="K204" s="141"/>
      <c r="L204" s="141"/>
    </row>
    <row r="205" ht="14.25" customHeight="1">
      <c r="D205" s="3"/>
      <c r="F205" s="141"/>
      <c r="G205" s="141"/>
      <c r="H205" s="141"/>
      <c r="I205" s="141"/>
      <c r="J205" s="141"/>
      <c r="K205" s="141"/>
      <c r="L205" s="141"/>
    </row>
    <row r="206" ht="14.25" customHeight="1">
      <c r="D206" s="3"/>
      <c r="F206" s="141"/>
      <c r="G206" s="141"/>
      <c r="H206" s="141"/>
      <c r="I206" s="141"/>
      <c r="J206" s="141"/>
      <c r="K206" s="141"/>
      <c r="L206" s="141"/>
    </row>
    <row r="207" ht="14.25" customHeight="1">
      <c r="D207" s="3"/>
      <c r="F207" s="141"/>
      <c r="G207" s="141"/>
      <c r="H207" s="141"/>
      <c r="I207" s="141"/>
      <c r="J207" s="141"/>
      <c r="K207" s="141"/>
      <c r="L207" s="141"/>
    </row>
    <row r="208" ht="14.25" customHeight="1">
      <c r="D208" s="3"/>
      <c r="F208" s="141"/>
      <c r="G208" s="141"/>
      <c r="H208" s="141"/>
      <c r="I208" s="141"/>
      <c r="J208" s="141"/>
      <c r="K208" s="141"/>
      <c r="L208" s="141"/>
    </row>
    <row r="209" ht="14.25" customHeight="1">
      <c r="D209" s="3"/>
      <c r="F209" s="141"/>
      <c r="G209" s="141"/>
      <c r="H209" s="141"/>
      <c r="I209" s="141"/>
      <c r="J209" s="141"/>
      <c r="K209" s="141"/>
      <c r="L209" s="141"/>
    </row>
    <row r="210" ht="14.25" customHeight="1">
      <c r="D210" s="3"/>
      <c r="F210" s="141"/>
      <c r="G210" s="141"/>
      <c r="H210" s="141"/>
      <c r="I210" s="141"/>
      <c r="J210" s="141"/>
      <c r="K210" s="141"/>
      <c r="L210" s="141"/>
    </row>
    <row r="211" ht="14.25" customHeight="1">
      <c r="D211" s="3"/>
      <c r="F211" s="141"/>
      <c r="G211" s="141"/>
      <c r="H211" s="141"/>
      <c r="I211" s="141"/>
      <c r="J211" s="141"/>
      <c r="K211" s="141"/>
      <c r="L211" s="141"/>
    </row>
    <row r="212" ht="14.25" customHeight="1">
      <c r="D212" s="3"/>
      <c r="F212" s="141"/>
      <c r="G212" s="141"/>
      <c r="H212" s="141"/>
      <c r="I212" s="141"/>
      <c r="J212" s="141"/>
      <c r="K212" s="141"/>
      <c r="L212" s="141"/>
    </row>
    <row r="213" ht="14.25" customHeight="1">
      <c r="D213" s="3"/>
      <c r="F213" s="141"/>
      <c r="G213" s="141"/>
      <c r="H213" s="141"/>
      <c r="I213" s="141"/>
      <c r="J213" s="141"/>
      <c r="K213" s="141"/>
      <c r="L213" s="141"/>
    </row>
    <row r="214" ht="14.25" customHeight="1">
      <c r="D214" s="3"/>
      <c r="F214" s="141"/>
      <c r="G214" s="141"/>
      <c r="H214" s="141"/>
      <c r="I214" s="141"/>
      <c r="J214" s="141"/>
      <c r="K214" s="141"/>
      <c r="L214" s="141"/>
    </row>
    <row r="215" ht="14.25" customHeight="1">
      <c r="D215" s="3"/>
      <c r="F215" s="141"/>
      <c r="G215" s="141"/>
      <c r="H215" s="141"/>
      <c r="I215" s="141"/>
      <c r="J215" s="141"/>
      <c r="K215" s="141"/>
      <c r="L215" s="141"/>
    </row>
    <row r="216" ht="14.25" customHeight="1">
      <c r="D216" s="3"/>
      <c r="F216" s="141"/>
      <c r="G216" s="141"/>
      <c r="H216" s="141"/>
      <c r="I216" s="141"/>
      <c r="J216" s="141"/>
      <c r="K216" s="141"/>
      <c r="L216" s="141"/>
    </row>
    <row r="217" ht="14.25" customHeight="1">
      <c r="D217" s="3"/>
      <c r="F217" s="141"/>
      <c r="G217" s="141"/>
      <c r="H217" s="141"/>
      <c r="I217" s="141"/>
      <c r="J217" s="141"/>
      <c r="K217" s="141"/>
      <c r="L217" s="141"/>
    </row>
    <row r="218" ht="14.25" customHeight="1">
      <c r="D218" s="3"/>
      <c r="F218" s="141"/>
      <c r="G218" s="141"/>
      <c r="H218" s="141"/>
      <c r="I218" s="141"/>
      <c r="J218" s="141"/>
      <c r="K218" s="141"/>
      <c r="L218" s="141"/>
    </row>
    <row r="219" ht="14.25" customHeight="1">
      <c r="D219" s="3"/>
      <c r="F219" s="141"/>
      <c r="G219" s="141"/>
      <c r="H219" s="141"/>
      <c r="I219" s="141"/>
      <c r="J219" s="141"/>
      <c r="K219" s="141"/>
      <c r="L219" s="141"/>
    </row>
    <row r="220" ht="14.25" customHeight="1">
      <c r="D220" s="3"/>
      <c r="F220" s="141"/>
      <c r="G220" s="141"/>
      <c r="H220" s="141"/>
      <c r="I220" s="141"/>
      <c r="J220" s="141"/>
      <c r="K220" s="141"/>
      <c r="L220" s="141"/>
    </row>
    <row r="221" ht="14.25" customHeight="1">
      <c r="D221" s="3"/>
      <c r="F221" s="141"/>
      <c r="G221" s="141"/>
      <c r="H221" s="141"/>
      <c r="I221" s="141"/>
      <c r="J221" s="141"/>
      <c r="K221" s="141"/>
      <c r="L221" s="141"/>
    </row>
    <row r="222" ht="14.25" customHeight="1">
      <c r="D222" s="3"/>
      <c r="F222" s="141"/>
      <c r="G222" s="141"/>
      <c r="H222" s="141"/>
      <c r="I222" s="141"/>
      <c r="J222" s="141"/>
      <c r="K222" s="141"/>
      <c r="L222" s="141"/>
    </row>
    <row r="223" ht="14.25" customHeight="1">
      <c r="D223" s="3"/>
      <c r="F223" s="141"/>
      <c r="G223" s="141"/>
      <c r="H223" s="141"/>
      <c r="I223" s="141"/>
      <c r="J223" s="141"/>
      <c r="K223" s="141"/>
      <c r="L223" s="141"/>
    </row>
    <row r="224" ht="14.25" customHeight="1">
      <c r="D224" s="3"/>
      <c r="F224" s="141"/>
      <c r="G224" s="141"/>
      <c r="H224" s="141"/>
      <c r="I224" s="141"/>
      <c r="J224" s="141"/>
      <c r="K224" s="141"/>
      <c r="L224" s="141"/>
    </row>
    <row r="225" ht="14.25" customHeight="1">
      <c r="D225" s="3"/>
      <c r="F225" s="141"/>
      <c r="G225" s="141"/>
      <c r="H225" s="141"/>
      <c r="I225" s="141"/>
      <c r="J225" s="141"/>
      <c r="K225" s="141"/>
      <c r="L225" s="141"/>
    </row>
    <row r="226" ht="14.25" customHeight="1">
      <c r="D226" s="3"/>
      <c r="F226" s="141"/>
      <c r="G226" s="141"/>
      <c r="H226" s="141"/>
      <c r="I226" s="141"/>
      <c r="J226" s="141"/>
      <c r="K226" s="141"/>
      <c r="L226" s="141"/>
    </row>
    <row r="227" ht="14.25" customHeight="1">
      <c r="D227" s="3"/>
      <c r="F227" s="141"/>
      <c r="G227" s="141"/>
      <c r="H227" s="141"/>
      <c r="I227" s="141"/>
      <c r="J227" s="141"/>
      <c r="K227" s="141"/>
      <c r="L227" s="141"/>
    </row>
    <row r="228" ht="14.25" customHeight="1">
      <c r="D228" s="3"/>
      <c r="F228" s="141"/>
      <c r="G228" s="141"/>
      <c r="H228" s="141"/>
      <c r="I228" s="141"/>
      <c r="J228" s="141"/>
      <c r="K228" s="141"/>
      <c r="L228" s="141"/>
    </row>
    <row r="229" ht="14.25" customHeight="1">
      <c r="D229" s="3"/>
      <c r="F229" s="141"/>
      <c r="G229" s="141"/>
      <c r="H229" s="141"/>
      <c r="I229" s="141"/>
      <c r="J229" s="141"/>
      <c r="K229" s="141"/>
      <c r="L229" s="141"/>
    </row>
    <row r="230" ht="14.25" customHeight="1">
      <c r="D230" s="3"/>
      <c r="F230" s="141"/>
      <c r="G230" s="141"/>
      <c r="H230" s="141"/>
      <c r="I230" s="141"/>
      <c r="J230" s="141"/>
      <c r="K230" s="141"/>
      <c r="L230" s="141"/>
    </row>
    <row r="231" ht="14.25" customHeight="1">
      <c r="D231" s="3"/>
      <c r="F231" s="141"/>
      <c r="G231" s="141"/>
      <c r="H231" s="141"/>
      <c r="I231" s="141"/>
      <c r="J231" s="141"/>
      <c r="K231" s="141"/>
      <c r="L231" s="141"/>
    </row>
    <row r="232" ht="14.25" customHeight="1">
      <c r="D232" s="3"/>
      <c r="F232" s="141"/>
      <c r="G232" s="141"/>
      <c r="H232" s="141"/>
      <c r="I232" s="141"/>
      <c r="J232" s="141"/>
      <c r="K232" s="141"/>
      <c r="L232" s="141"/>
    </row>
    <row r="233" ht="14.25" customHeight="1">
      <c r="D233" s="3"/>
      <c r="F233" s="141"/>
      <c r="G233" s="141"/>
      <c r="H233" s="141"/>
      <c r="I233" s="141"/>
      <c r="J233" s="141"/>
      <c r="K233" s="141"/>
      <c r="L233" s="141"/>
    </row>
    <row r="234" ht="14.25" customHeight="1">
      <c r="D234" s="3"/>
      <c r="F234" s="141"/>
      <c r="G234" s="141"/>
      <c r="H234" s="141"/>
      <c r="I234" s="141"/>
      <c r="J234" s="141"/>
      <c r="K234" s="141"/>
      <c r="L234" s="141"/>
    </row>
    <row r="235" ht="14.25" customHeight="1">
      <c r="D235" s="3"/>
      <c r="F235" s="141"/>
      <c r="G235" s="141"/>
      <c r="H235" s="141"/>
      <c r="I235" s="141"/>
      <c r="J235" s="141"/>
      <c r="K235" s="141"/>
      <c r="L235" s="141"/>
    </row>
    <row r="236" ht="14.25" customHeight="1">
      <c r="D236" s="3"/>
      <c r="F236" s="141"/>
      <c r="G236" s="141"/>
      <c r="H236" s="141"/>
      <c r="I236" s="141"/>
      <c r="J236" s="141"/>
      <c r="K236" s="141"/>
      <c r="L236" s="141"/>
    </row>
    <row r="237" ht="14.25" customHeight="1">
      <c r="D237" s="3"/>
      <c r="F237" s="141"/>
      <c r="G237" s="141"/>
      <c r="H237" s="141"/>
      <c r="I237" s="141"/>
      <c r="J237" s="141"/>
      <c r="K237" s="141"/>
      <c r="L237" s="141"/>
    </row>
    <row r="238" ht="14.25" customHeight="1">
      <c r="D238" s="3"/>
      <c r="F238" s="141"/>
      <c r="G238" s="141"/>
      <c r="H238" s="141"/>
      <c r="I238" s="141"/>
      <c r="J238" s="141"/>
      <c r="K238" s="141"/>
      <c r="L238" s="141"/>
    </row>
    <row r="239" ht="14.25" customHeight="1">
      <c r="D239" s="3"/>
      <c r="F239" s="141"/>
      <c r="G239" s="141"/>
      <c r="H239" s="141"/>
      <c r="I239" s="141"/>
      <c r="J239" s="141"/>
      <c r="K239" s="141"/>
      <c r="L239" s="141"/>
    </row>
    <row r="240" ht="14.25" customHeight="1">
      <c r="D240" s="3"/>
      <c r="F240" s="141"/>
      <c r="G240" s="141"/>
      <c r="H240" s="141"/>
      <c r="I240" s="141"/>
      <c r="J240" s="141"/>
      <c r="K240" s="141"/>
      <c r="L240" s="141"/>
    </row>
    <row r="241" ht="14.25" customHeight="1">
      <c r="D241" s="3"/>
      <c r="F241" s="141"/>
      <c r="G241" s="141"/>
      <c r="H241" s="141"/>
      <c r="I241" s="141"/>
      <c r="J241" s="141"/>
      <c r="K241" s="141"/>
      <c r="L241" s="141"/>
    </row>
    <row r="242" ht="14.25" customHeight="1">
      <c r="D242" s="3"/>
      <c r="F242" s="141"/>
      <c r="G242" s="141"/>
      <c r="H242" s="141"/>
      <c r="I242" s="141"/>
      <c r="J242" s="141"/>
      <c r="K242" s="141"/>
      <c r="L242" s="141"/>
    </row>
    <row r="243" ht="14.25" customHeight="1">
      <c r="D243" s="3"/>
      <c r="F243" s="141"/>
      <c r="G243" s="141"/>
      <c r="H243" s="141"/>
      <c r="I243" s="141"/>
      <c r="J243" s="141"/>
      <c r="K243" s="141"/>
      <c r="L243" s="141"/>
    </row>
    <row r="244" ht="14.25" customHeight="1">
      <c r="D244" s="3"/>
      <c r="F244" s="141"/>
      <c r="G244" s="141"/>
      <c r="H244" s="141"/>
      <c r="I244" s="141"/>
      <c r="J244" s="141"/>
      <c r="K244" s="141"/>
      <c r="L244" s="141"/>
    </row>
    <row r="245" ht="14.25" customHeight="1">
      <c r="D245" s="3"/>
      <c r="F245" s="141"/>
      <c r="G245" s="141"/>
      <c r="H245" s="141"/>
      <c r="I245" s="141"/>
      <c r="J245" s="141"/>
      <c r="K245" s="141"/>
      <c r="L245" s="141"/>
    </row>
    <row r="246" ht="14.25" customHeight="1">
      <c r="D246" s="3"/>
      <c r="F246" s="141"/>
      <c r="G246" s="141"/>
      <c r="H246" s="141"/>
      <c r="I246" s="141"/>
      <c r="J246" s="141"/>
      <c r="K246" s="141"/>
      <c r="L246" s="141"/>
    </row>
    <row r="247" ht="14.25" customHeight="1">
      <c r="D247" s="3"/>
      <c r="F247" s="141"/>
      <c r="G247" s="141"/>
      <c r="H247" s="141"/>
      <c r="I247" s="141"/>
      <c r="J247" s="141"/>
      <c r="K247" s="141"/>
      <c r="L247" s="141"/>
    </row>
    <row r="248" ht="14.25" customHeight="1">
      <c r="D248" s="3"/>
      <c r="F248" s="141"/>
      <c r="G248" s="141"/>
      <c r="H248" s="141"/>
      <c r="I248" s="141"/>
      <c r="J248" s="141"/>
      <c r="K248" s="141"/>
      <c r="L248" s="141"/>
    </row>
    <row r="249" ht="14.25" customHeight="1">
      <c r="D249" s="3"/>
      <c r="F249" s="141"/>
      <c r="G249" s="141"/>
      <c r="H249" s="141"/>
      <c r="I249" s="141"/>
      <c r="J249" s="141"/>
      <c r="K249" s="141"/>
      <c r="L249" s="141"/>
    </row>
    <row r="250" ht="14.25" customHeight="1">
      <c r="D250" s="3"/>
      <c r="F250" s="141"/>
      <c r="G250" s="141"/>
      <c r="H250" s="141"/>
      <c r="I250" s="141"/>
      <c r="J250" s="141"/>
      <c r="K250" s="141"/>
      <c r="L250" s="141"/>
    </row>
    <row r="251" ht="14.25" customHeight="1">
      <c r="D251" s="3"/>
      <c r="F251" s="141"/>
      <c r="G251" s="141"/>
      <c r="H251" s="141"/>
      <c r="I251" s="141"/>
      <c r="J251" s="141"/>
      <c r="K251" s="141"/>
      <c r="L251" s="141"/>
    </row>
    <row r="252" ht="14.25" customHeight="1">
      <c r="D252" s="3"/>
      <c r="F252" s="141"/>
      <c r="G252" s="141"/>
      <c r="H252" s="141"/>
      <c r="I252" s="141"/>
      <c r="J252" s="141"/>
      <c r="K252" s="141"/>
      <c r="L252" s="141"/>
    </row>
    <row r="253" ht="14.25" customHeight="1">
      <c r="D253" s="3"/>
      <c r="F253" s="141"/>
      <c r="G253" s="141"/>
      <c r="H253" s="141"/>
      <c r="I253" s="141"/>
      <c r="J253" s="141"/>
      <c r="K253" s="141"/>
      <c r="L253" s="141"/>
    </row>
    <row r="254" ht="14.25" customHeight="1">
      <c r="D254" s="3"/>
      <c r="F254" s="141"/>
      <c r="G254" s="141"/>
      <c r="H254" s="141"/>
      <c r="I254" s="141"/>
      <c r="J254" s="141"/>
      <c r="K254" s="141"/>
      <c r="L254" s="141"/>
    </row>
    <row r="255" ht="14.25" customHeight="1">
      <c r="D255" s="3"/>
      <c r="F255" s="141"/>
      <c r="G255" s="141"/>
      <c r="H255" s="141"/>
      <c r="I255" s="141"/>
      <c r="J255" s="141"/>
      <c r="K255" s="141"/>
      <c r="L255" s="141"/>
    </row>
    <row r="256" ht="14.25" customHeight="1">
      <c r="D256" s="3"/>
      <c r="F256" s="141"/>
      <c r="G256" s="141"/>
      <c r="H256" s="141"/>
      <c r="I256" s="141"/>
      <c r="J256" s="141"/>
      <c r="K256" s="141"/>
      <c r="L256" s="141"/>
    </row>
    <row r="257" ht="14.25" customHeight="1">
      <c r="D257" s="3"/>
      <c r="F257" s="141"/>
      <c r="G257" s="141"/>
      <c r="H257" s="141"/>
      <c r="I257" s="141"/>
      <c r="J257" s="141"/>
      <c r="K257" s="141"/>
      <c r="L257" s="141"/>
    </row>
    <row r="258" ht="14.25" customHeight="1">
      <c r="D258" s="3"/>
      <c r="F258" s="141"/>
      <c r="G258" s="141"/>
      <c r="H258" s="141"/>
      <c r="I258" s="141"/>
      <c r="J258" s="141"/>
      <c r="K258" s="141"/>
      <c r="L258" s="141"/>
    </row>
    <row r="259" ht="14.25" customHeight="1">
      <c r="D259" s="3"/>
      <c r="F259" s="141"/>
      <c r="G259" s="141"/>
      <c r="H259" s="141"/>
      <c r="I259" s="141"/>
      <c r="J259" s="141"/>
      <c r="K259" s="141"/>
      <c r="L259" s="141"/>
    </row>
    <row r="260" ht="14.25" customHeight="1">
      <c r="D260" s="3"/>
      <c r="F260" s="141"/>
      <c r="G260" s="141"/>
      <c r="H260" s="141"/>
      <c r="I260" s="141"/>
      <c r="J260" s="141"/>
      <c r="K260" s="141"/>
      <c r="L260" s="141"/>
    </row>
    <row r="261" ht="14.25" customHeight="1">
      <c r="D261" s="3"/>
      <c r="F261" s="141"/>
      <c r="G261" s="141"/>
      <c r="H261" s="141"/>
      <c r="I261" s="141"/>
      <c r="J261" s="141"/>
      <c r="K261" s="141"/>
      <c r="L261" s="141"/>
    </row>
    <row r="262" ht="14.25" customHeight="1">
      <c r="D262" s="3"/>
      <c r="F262" s="141"/>
      <c r="G262" s="141"/>
      <c r="H262" s="141"/>
      <c r="I262" s="141"/>
      <c r="J262" s="141"/>
      <c r="K262" s="141"/>
      <c r="L262" s="141"/>
    </row>
    <row r="263" ht="14.25" customHeight="1">
      <c r="D263" s="3"/>
      <c r="F263" s="141"/>
      <c r="G263" s="141"/>
      <c r="H263" s="141"/>
      <c r="I263" s="141"/>
      <c r="J263" s="141"/>
      <c r="K263" s="141"/>
      <c r="L263" s="141"/>
    </row>
    <row r="264" ht="14.25" customHeight="1">
      <c r="D264" s="3"/>
      <c r="F264" s="141"/>
      <c r="G264" s="141"/>
      <c r="H264" s="141"/>
      <c r="I264" s="141"/>
      <c r="J264" s="141"/>
      <c r="K264" s="141"/>
      <c r="L264" s="141"/>
    </row>
    <row r="265" ht="14.25" customHeight="1">
      <c r="D265" s="3"/>
      <c r="F265" s="141"/>
      <c r="G265" s="141"/>
      <c r="H265" s="141"/>
      <c r="I265" s="141"/>
      <c r="J265" s="141"/>
      <c r="K265" s="141"/>
      <c r="L265" s="141"/>
    </row>
    <row r="266" ht="14.25" customHeight="1">
      <c r="D266" s="3"/>
      <c r="F266" s="141"/>
      <c r="G266" s="141"/>
      <c r="H266" s="141"/>
      <c r="I266" s="141"/>
      <c r="J266" s="141"/>
      <c r="K266" s="141"/>
      <c r="L266" s="141"/>
    </row>
    <row r="267" ht="14.25" customHeight="1">
      <c r="D267" s="3"/>
      <c r="F267" s="141"/>
      <c r="G267" s="141"/>
      <c r="H267" s="141"/>
      <c r="I267" s="141"/>
      <c r="J267" s="141"/>
      <c r="K267" s="141"/>
      <c r="L267" s="141"/>
    </row>
    <row r="268" ht="14.25" customHeight="1">
      <c r="D268" s="3"/>
      <c r="F268" s="141"/>
      <c r="G268" s="141"/>
      <c r="H268" s="141"/>
      <c r="I268" s="141"/>
      <c r="J268" s="141"/>
      <c r="K268" s="141"/>
      <c r="L268" s="141"/>
    </row>
    <row r="269" ht="14.25" customHeight="1">
      <c r="D269" s="3"/>
      <c r="F269" s="141"/>
      <c r="G269" s="141"/>
      <c r="H269" s="141"/>
      <c r="I269" s="141"/>
      <c r="J269" s="141"/>
      <c r="K269" s="141"/>
      <c r="L269" s="141"/>
    </row>
    <row r="270" ht="14.25" customHeight="1">
      <c r="D270" s="3"/>
      <c r="F270" s="141"/>
      <c r="G270" s="141"/>
      <c r="H270" s="141"/>
      <c r="I270" s="141"/>
      <c r="J270" s="141"/>
      <c r="K270" s="141"/>
      <c r="L270" s="141"/>
    </row>
    <row r="271" ht="14.25" customHeight="1">
      <c r="D271" s="3"/>
      <c r="F271" s="141"/>
      <c r="G271" s="141"/>
      <c r="H271" s="141"/>
      <c r="I271" s="141"/>
      <c r="J271" s="141"/>
      <c r="K271" s="141"/>
      <c r="L271" s="141"/>
    </row>
    <row r="272" ht="14.25" customHeight="1">
      <c r="D272" s="3"/>
      <c r="F272" s="141"/>
      <c r="G272" s="141"/>
      <c r="H272" s="141"/>
      <c r="I272" s="141"/>
      <c r="J272" s="141"/>
      <c r="K272" s="141"/>
      <c r="L272" s="141"/>
    </row>
    <row r="273" ht="14.25" customHeight="1">
      <c r="D273" s="3"/>
      <c r="F273" s="141"/>
      <c r="G273" s="141"/>
      <c r="H273" s="141"/>
      <c r="I273" s="141"/>
      <c r="J273" s="141"/>
      <c r="K273" s="141"/>
      <c r="L273" s="141"/>
    </row>
    <row r="274" ht="14.25" customHeight="1">
      <c r="D274" s="3"/>
      <c r="F274" s="141"/>
      <c r="G274" s="141"/>
      <c r="H274" s="141"/>
      <c r="I274" s="141"/>
      <c r="J274" s="141"/>
      <c r="K274" s="141"/>
      <c r="L274" s="141"/>
    </row>
    <row r="275" ht="14.25" customHeight="1">
      <c r="D275" s="3"/>
      <c r="F275" s="141"/>
      <c r="G275" s="141"/>
      <c r="H275" s="141"/>
      <c r="I275" s="141"/>
      <c r="J275" s="141"/>
      <c r="K275" s="141"/>
      <c r="L275" s="141"/>
    </row>
    <row r="276" ht="14.25" customHeight="1">
      <c r="D276" s="3"/>
      <c r="F276" s="141"/>
      <c r="G276" s="141"/>
      <c r="H276" s="141"/>
      <c r="I276" s="141"/>
      <c r="J276" s="141"/>
      <c r="K276" s="141"/>
      <c r="L276" s="141"/>
    </row>
    <row r="277" ht="14.25" customHeight="1">
      <c r="D277" s="3"/>
      <c r="F277" s="141"/>
      <c r="G277" s="141"/>
      <c r="H277" s="141"/>
      <c r="I277" s="141"/>
      <c r="J277" s="141"/>
      <c r="K277" s="141"/>
      <c r="L277" s="141"/>
    </row>
    <row r="278" ht="14.25" customHeight="1">
      <c r="D278" s="3"/>
      <c r="F278" s="141"/>
      <c r="G278" s="141"/>
      <c r="H278" s="141"/>
      <c r="I278" s="141"/>
      <c r="J278" s="141"/>
      <c r="K278" s="141"/>
      <c r="L278" s="141"/>
    </row>
    <row r="279" ht="14.25" customHeight="1">
      <c r="D279" s="3"/>
      <c r="F279" s="141"/>
      <c r="G279" s="141"/>
      <c r="H279" s="141"/>
      <c r="I279" s="141"/>
      <c r="J279" s="141"/>
      <c r="K279" s="141"/>
      <c r="L279" s="141"/>
    </row>
    <row r="280" ht="14.25" customHeight="1">
      <c r="D280" s="3"/>
      <c r="F280" s="141"/>
      <c r="G280" s="141"/>
      <c r="H280" s="141"/>
      <c r="I280" s="141"/>
      <c r="J280" s="141"/>
      <c r="K280" s="141"/>
      <c r="L280" s="141"/>
    </row>
    <row r="281" ht="14.25" customHeight="1">
      <c r="D281" s="3"/>
      <c r="F281" s="141"/>
      <c r="G281" s="141"/>
      <c r="H281" s="141"/>
      <c r="I281" s="141"/>
      <c r="J281" s="141"/>
      <c r="K281" s="141"/>
      <c r="L281" s="141"/>
    </row>
    <row r="282" ht="14.25" customHeight="1">
      <c r="D282" s="3"/>
      <c r="F282" s="141"/>
      <c r="G282" s="141"/>
      <c r="H282" s="141"/>
      <c r="I282" s="141"/>
      <c r="J282" s="141"/>
      <c r="K282" s="141"/>
      <c r="L282" s="141"/>
    </row>
    <row r="283" ht="14.25" customHeight="1">
      <c r="D283" s="3"/>
      <c r="F283" s="141"/>
      <c r="G283" s="141"/>
      <c r="H283" s="141"/>
      <c r="I283" s="141"/>
      <c r="J283" s="141"/>
      <c r="K283" s="141"/>
      <c r="L283" s="141"/>
    </row>
    <row r="284" ht="14.25" customHeight="1">
      <c r="D284" s="3"/>
      <c r="F284" s="141"/>
      <c r="G284" s="141"/>
      <c r="H284" s="141"/>
      <c r="I284" s="141"/>
      <c r="J284" s="141"/>
      <c r="K284" s="141"/>
      <c r="L284" s="141"/>
    </row>
    <row r="285" ht="14.25" customHeight="1">
      <c r="D285" s="3"/>
      <c r="F285" s="141"/>
      <c r="G285" s="141"/>
      <c r="H285" s="141"/>
      <c r="I285" s="141"/>
      <c r="J285" s="141"/>
      <c r="K285" s="141"/>
      <c r="L285" s="141"/>
    </row>
    <row r="286" ht="14.25" customHeight="1">
      <c r="D286" s="3"/>
      <c r="F286" s="141"/>
      <c r="G286" s="141"/>
      <c r="H286" s="141"/>
      <c r="I286" s="141"/>
      <c r="J286" s="141"/>
      <c r="K286" s="141"/>
      <c r="L286" s="141"/>
    </row>
    <row r="287" ht="14.25" customHeight="1">
      <c r="D287" s="3"/>
      <c r="F287" s="141"/>
      <c r="G287" s="141"/>
      <c r="H287" s="141"/>
      <c r="I287" s="141"/>
      <c r="J287" s="141"/>
      <c r="K287" s="141"/>
      <c r="L287" s="141"/>
    </row>
    <row r="288" ht="14.25" customHeight="1">
      <c r="D288" s="3"/>
      <c r="F288" s="141"/>
      <c r="G288" s="141"/>
      <c r="H288" s="141"/>
      <c r="I288" s="141"/>
      <c r="J288" s="141"/>
      <c r="K288" s="141"/>
      <c r="L288" s="141"/>
    </row>
    <row r="289" ht="14.25" customHeight="1">
      <c r="D289" s="3"/>
      <c r="F289" s="141"/>
      <c r="G289" s="141"/>
      <c r="H289" s="141"/>
      <c r="I289" s="141"/>
      <c r="J289" s="141"/>
      <c r="K289" s="141"/>
      <c r="L289" s="141"/>
    </row>
    <row r="290" ht="14.25" customHeight="1">
      <c r="D290" s="3"/>
      <c r="F290" s="141"/>
      <c r="G290" s="141"/>
      <c r="H290" s="141"/>
      <c r="I290" s="141"/>
      <c r="J290" s="141"/>
      <c r="K290" s="141"/>
      <c r="L290" s="141"/>
    </row>
    <row r="291" ht="14.25" customHeight="1">
      <c r="D291" s="3"/>
      <c r="F291" s="141"/>
      <c r="G291" s="141"/>
      <c r="H291" s="141"/>
      <c r="I291" s="141"/>
      <c r="J291" s="141"/>
      <c r="K291" s="141"/>
      <c r="L291" s="141"/>
    </row>
    <row r="292" ht="14.25" customHeight="1">
      <c r="D292" s="3"/>
      <c r="F292" s="141"/>
      <c r="G292" s="141"/>
      <c r="H292" s="141"/>
      <c r="I292" s="141"/>
      <c r="J292" s="141"/>
      <c r="K292" s="141"/>
      <c r="L292" s="141"/>
    </row>
    <row r="293" ht="14.25" customHeight="1">
      <c r="D293" s="3"/>
      <c r="F293" s="141"/>
      <c r="G293" s="141"/>
      <c r="H293" s="141"/>
      <c r="I293" s="141"/>
      <c r="J293" s="141"/>
      <c r="K293" s="141"/>
      <c r="L293" s="141"/>
    </row>
    <row r="294" ht="14.25" customHeight="1">
      <c r="D294" s="3"/>
      <c r="F294" s="141"/>
      <c r="G294" s="141"/>
      <c r="H294" s="141"/>
      <c r="I294" s="141"/>
      <c r="J294" s="141"/>
      <c r="K294" s="141"/>
      <c r="L294" s="141"/>
    </row>
    <row r="295" ht="14.25" customHeight="1">
      <c r="D295" s="3"/>
      <c r="F295" s="141"/>
      <c r="G295" s="141"/>
      <c r="H295" s="141"/>
      <c r="I295" s="141"/>
      <c r="J295" s="141"/>
      <c r="K295" s="141"/>
      <c r="L295" s="141"/>
    </row>
    <row r="296" ht="14.25" customHeight="1">
      <c r="D296" s="3"/>
      <c r="F296" s="141"/>
      <c r="G296" s="141"/>
      <c r="H296" s="141"/>
      <c r="I296" s="141"/>
      <c r="J296" s="141"/>
      <c r="K296" s="141"/>
      <c r="L296" s="141"/>
    </row>
    <row r="297" ht="14.25" customHeight="1">
      <c r="D297" s="3"/>
      <c r="F297" s="141"/>
      <c r="G297" s="141"/>
      <c r="H297" s="141"/>
      <c r="I297" s="141"/>
      <c r="J297" s="141"/>
      <c r="K297" s="141"/>
      <c r="L297" s="141"/>
    </row>
    <row r="298" ht="14.25" customHeight="1">
      <c r="D298" s="3"/>
      <c r="F298" s="141"/>
      <c r="G298" s="141"/>
      <c r="H298" s="141"/>
      <c r="I298" s="141"/>
      <c r="J298" s="141"/>
      <c r="K298" s="141"/>
      <c r="L298" s="141"/>
    </row>
    <row r="299" ht="14.25" customHeight="1">
      <c r="D299" s="3"/>
      <c r="F299" s="141"/>
      <c r="G299" s="141"/>
      <c r="H299" s="141"/>
      <c r="I299" s="141"/>
      <c r="J299" s="141"/>
      <c r="K299" s="141"/>
      <c r="L299" s="141"/>
    </row>
    <row r="300" ht="14.25" customHeight="1">
      <c r="D300" s="3"/>
      <c r="F300" s="141"/>
      <c r="G300" s="141"/>
      <c r="H300" s="141"/>
      <c r="I300" s="141"/>
      <c r="J300" s="141"/>
      <c r="K300" s="141"/>
      <c r="L300" s="141"/>
    </row>
    <row r="301" ht="14.25" customHeight="1">
      <c r="D301" s="3"/>
      <c r="F301" s="141"/>
      <c r="G301" s="141"/>
      <c r="H301" s="141"/>
      <c r="I301" s="141"/>
      <c r="J301" s="141"/>
      <c r="K301" s="141"/>
      <c r="L301" s="141"/>
    </row>
    <row r="302" ht="14.25" customHeight="1">
      <c r="D302" s="3"/>
      <c r="F302" s="141"/>
      <c r="G302" s="141"/>
      <c r="H302" s="141"/>
      <c r="I302" s="141"/>
      <c r="J302" s="141"/>
      <c r="K302" s="141"/>
      <c r="L302" s="141"/>
    </row>
    <row r="303" ht="14.25" customHeight="1">
      <c r="D303" s="3"/>
      <c r="F303" s="141"/>
      <c r="G303" s="141"/>
      <c r="H303" s="141"/>
      <c r="I303" s="141"/>
      <c r="J303" s="141"/>
      <c r="K303" s="141"/>
      <c r="L303" s="141"/>
    </row>
    <row r="304" ht="14.25" customHeight="1">
      <c r="D304" s="3"/>
      <c r="F304" s="141"/>
      <c r="G304" s="141"/>
      <c r="H304" s="141"/>
      <c r="I304" s="141"/>
      <c r="J304" s="141"/>
      <c r="K304" s="141"/>
      <c r="L304" s="141"/>
    </row>
    <row r="305" ht="14.25" customHeight="1">
      <c r="D305" s="3"/>
      <c r="F305" s="141"/>
      <c r="G305" s="141"/>
      <c r="H305" s="141"/>
      <c r="I305" s="141"/>
      <c r="J305" s="141"/>
      <c r="K305" s="141"/>
      <c r="L305" s="141"/>
    </row>
    <row r="306" ht="14.25" customHeight="1">
      <c r="D306" s="3"/>
      <c r="F306" s="141"/>
      <c r="G306" s="141"/>
      <c r="H306" s="141"/>
      <c r="I306" s="141"/>
      <c r="J306" s="141"/>
      <c r="K306" s="141"/>
      <c r="L306" s="141"/>
    </row>
    <row r="307" ht="14.25" customHeight="1">
      <c r="D307" s="3"/>
      <c r="F307" s="141"/>
      <c r="G307" s="141"/>
      <c r="H307" s="141"/>
      <c r="I307" s="141"/>
      <c r="J307" s="141"/>
      <c r="K307" s="141"/>
      <c r="L307" s="141"/>
    </row>
    <row r="308" ht="14.25" customHeight="1">
      <c r="D308" s="3"/>
      <c r="F308" s="141"/>
      <c r="G308" s="141"/>
      <c r="H308" s="141"/>
      <c r="I308" s="141"/>
      <c r="J308" s="141"/>
      <c r="K308" s="141"/>
      <c r="L308" s="141"/>
    </row>
    <row r="309" ht="14.25" customHeight="1">
      <c r="D309" s="3"/>
      <c r="F309" s="141"/>
      <c r="G309" s="141"/>
      <c r="H309" s="141"/>
      <c r="I309" s="141"/>
      <c r="J309" s="141"/>
      <c r="K309" s="141"/>
      <c r="L309" s="141"/>
    </row>
    <row r="310" ht="14.25" customHeight="1">
      <c r="D310" s="3"/>
      <c r="F310" s="141"/>
      <c r="G310" s="141"/>
      <c r="H310" s="141"/>
      <c r="I310" s="141"/>
      <c r="J310" s="141"/>
      <c r="K310" s="141"/>
      <c r="L310" s="141"/>
    </row>
    <row r="311" ht="14.25" customHeight="1">
      <c r="D311" s="3"/>
      <c r="F311" s="141"/>
      <c r="G311" s="141"/>
      <c r="H311" s="141"/>
      <c r="I311" s="141"/>
      <c r="J311" s="141"/>
      <c r="K311" s="141"/>
      <c r="L311" s="141"/>
    </row>
    <row r="312" ht="14.25" customHeight="1">
      <c r="D312" s="3"/>
      <c r="F312" s="141"/>
      <c r="G312" s="141"/>
      <c r="H312" s="141"/>
      <c r="I312" s="141"/>
      <c r="J312" s="141"/>
      <c r="K312" s="141"/>
      <c r="L312" s="141"/>
    </row>
    <row r="313" ht="14.25" customHeight="1">
      <c r="D313" s="3"/>
      <c r="F313" s="141"/>
      <c r="G313" s="141"/>
      <c r="H313" s="141"/>
      <c r="I313" s="141"/>
      <c r="J313" s="141"/>
      <c r="K313" s="141"/>
      <c r="L313" s="141"/>
    </row>
    <row r="314" ht="14.25" customHeight="1">
      <c r="D314" s="3"/>
      <c r="F314" s="141"/>
      <c r="G314" s="141"/>
      <c r="H314" s="141"/>
      <c r="I314" s="141"/>
      <c r="J314" s="141"/>
      <c r="K314" s="141"/>
      <c r="L314" s="141"/>
    </row>
    <row r="315" ht="14.25" customHeight="1">
      <c r="D315" s="3"/>
      <c r="F315" s="141"/>
      <c r="G315" s="141"/>
      <c r="H315" s="141"/>
      <c r="I315" s="141"/>
      <c r="J315" s="141"/>
      <c r="K315" s="141"/>
      <c r="L315" s="141"/>
    </row>
    <row r="316" ht="14.25" customHeight="1">
      <c r="D316" s="3"/>
      <c r="F316" s="141"/>
      <c r="G316" s="141"/>
      <c r="H316" s="141"/>
      <c r="I316" s="141"/>
      <c r="J316" s="141"/>
      <c r="K316" s="141"/>
      <c r="L316" s="141"/>
    </row>
    <row r="317" ht="14.25" customHeight="1">
      <c r="D317" s="3"/>
      <c r="F317" s="141"/>
      <c r="G317" s="141"/>
      <c r="H317" s="141"/>
      <c r="I317" s="141"/>
      <c r="J317" s="141"/>
      <c r="K317" s="141"/>
      <c r="L317" s="141"/>
    </row>
    <row r="318" ht="14.25" customHeight="1">
      <c r="D318" s="3"/>
      <c r="F318" s="141"/>
      <c r="G318" s="141"/>
      <c r="H318" s="141"/>
      <c r="I318" s="141"/>
      <c r="J318" s="141"/>
      <c r="K318" s="141"/>
      <c r="L318" s="141"/>
    </row>
    <row r="319" ht="14.25" customHeight="1">
      <c r="D319" s="3"/>
      <c r="F319" s="141"/>
      <c r="G319" s="141"/>
      <c r="H319" s="141"/>
      <c r="I319" s="141"/>
      <c r="J319" s="141"/>
      <c r="K319" s="141"/>
      <c r="L319" s="141"/>
    </row>
    <row r="320" ht="14.25" customHeight="1">
      <c r="D320" s="3"/>
      <c r="F320" s="141"/>
      <c r="G320" s="141"/>
      <c r="H320" s="141"/>
      <c r="I320" s="141"/>
      <c r="J320" s="141"/>
      <c r="K320" s="141"/>
      <c r="L320" s="141"/>
    </row>
    <row r="321" ht="14.25" customHeight="1">
      <c r="D321" s="3"/>
      <c r="F321" s="141"/>
      <c r="G321" s="141"/>
      <c r="H321" s="141"/>
      <c r="I321" s="141"/>
      <c r="J321" s="141"/>
      <c r="K321" s="141"/>
      <c r="L321" s="141"/>
    </row>
    <row r="322" ht="14.25" customHeight="1">
      <c r="D322" s="3"/>
      <c r="F322" s="141"/>
      <c r="G322" s="141"/>
      <c r="H322" s="141"/>
      <c r="I322" s="141"/>
      <c r="J322" s="141"/>
      <c r="K322" s="141"/>
      <c r="L322" s="141"/>
    </row>
    <row r="323" ht="14.25" customHeight="1">
      <c r="D323" s="3"/>
      <c r="F323" s="141"/>
      <c r="G323" s="141"/>
      <c r="H323" s="141"/>
      <c r="I323" s="141"/>
      <c r="J323" s="141"/>
      <c r="K323" s="141"/>
      <c r="L323" s="141"/>
    </row>
    <row r="324" ht="14.25" customHeight="1">
      <c r="D324" s="3"/>
      <c r="F324" s="141"/>
      <c r="G324" s="141"/>
      <c r="H324" s="141"/>
      <c r="I324" s="141"/>
      <c r="J324" s="141"/>
      <c r="K324" s="141"/>
      <c r="L324" s="141"/>
    </row>
    <row r="325" ht="14.25" customHeight="1">
      <c r="D325" s="3"/>
      <c r="F325" s="141"/>
      <c r="G325" s="141"/>
      <c r="H325" s="141"/>
      <c r="I325" s="141"/>
      <c r="J325" s="141"/>
      <c r="K325" s="141"/>
      <c r="L325" s="141"/>
    </row>
    <row r="326" ht="14.25" customHeight="1">
      <c r="D326" s="3"/>
      <c r="F326" s="141"/>
      <c r="G326" s="141"/>
      <c r="H326" s="141"/>
      <c r="I326" s="141"/>
      <c r="J326" s="141"/>
      <c r="K326" s="141"/>
      <c r="L326" s="141"/>
    </row>
    <row r="327" ht="14.25" customHeight="1">
      <c r="D327" s="3"/>
      <c r="F327" s="141"/>
      <c r="G327" s="141"/>
      <c r="H327" s="141"/>
      <c r="I327" s="141"/>
      <c r="J327" s="141"/>
      <c r="K327" s="141"/>
      <c r="L327" s="141"/>
    </row>
    <row r="328" ht="14.25" customHeight="1">
      <c r="D328" s="3"/>
      <c r="F328" s="141"/>
      <c r="G328" s="141"/>
      <c r="H328" s="141"/>
      <c r="I328" s="141"/>
      <c r="J328" s="141"/>
      <c r="K328" s="141"/>
      <c r="L328" s="141"/>
    </row>
    <row r="329" ht="14.25" customHeight="1">
      <c r="D329" s="3"/>
      <c r="F329" s="141"/>
      <c r="G329" s="141"/>
      <c r="H329" s="141"/>
      <c r="I329" s="141"/>
      <c r="J329" s="141"/>
      <c r="K329" s="141"/>
      <c r="L329" s="141"/>
    </row>
    <row r="330" ht="14.25" customHeight="1">
      <c r="D330" s="3"/>
      <c r="F330" s="141"/>
      <c r="G330" s="141"/>
      <c r="H330" s="141"/>
      <c r="I330" s="141"/>
      <c r="J330" s="141"/>
      <c r="K330" s="141"/>
      <c r="L330" s="141"/>
    </row>
    <row r="331" ht="14.25" customHeight="1">
      <c r="D331" s="3"/>
      <c r="F331" s="141"/>
      <c r="G331" s="141"/>
      <c r="H331" s="141"/>
      <c r="I331" s="141"/>
      <c r="J331" s="141"/>
      <c r="K331" s="141"/>
      <c r="L331" s="141"/>
    </row>
    <row r="332" ht="14.25" customHeight="1">
      <c r="D332" s="3"/>
      <c r="F332" s="141"/>
      <c r="G332" s="141"/>
      <c r="H332" s="141"/>
      <c r="I332" s="141"/>
      <c r="J332" s="141"/>
      <c r="K332" s="141"/>
      <c r="L332" s="141"/>
    </row>
    <row r="333" ht="14.25" customHeight="1">
      <c r="D333" s="3"/>
      <c r="F333" s="141"/>
      <c r="G333" s="141"/>
      <c r="H333" s="141"/>
      <c r="I333" s="141"/>
      <c r="J333" s="141"/>
      <c r="K333" s="141"/>
      <c r="L333" s="141"/>
    </row>
    <row r="334" ht="14.25" customHeight="1">
      <c r="D334" s="3"/>
      <c r="F334" s="141"/>
      <c r="G334" s="141"/>
      <c r="H334" s="141"/>
      <c r="I334" s="141"/>
      <c r="J334" s="141"/>
      <c r="K334" s="141"/>
      <c r="L334" s="141"/>
    </row>
    <row r="335" ht="14.25" customHeight="1">
      <c r="D335" s="3"/>
      <c r="F335" s="141"/>
      <c r="G335" s="141"/>
      <c r="H335" s="141"/>
      <c r="I335" s="141"/>
      <c r="J335" s="141"/>
      <c r="K335" s="141"/>
      <c r="L335" s="141"/>
    </row>
    <row r="336" ht="14.25" customHeight="1">
      <c r="D336" s="3"/>
      <c r="F336" s="141"/>
      <c r="G336" s="141"/>
      <c r="H336" s="141"/>
      <c r="I336" s="141"/>
      <c r="J336" s="141"/>
      <c r="K336" s="141"/>
      <c r="L336" s="141"/>
    </row>
    <row r="337" ht="14.25" customHeight="1">
      <c r="D337" s="3"/>
      <c r="F337" s="141"/>
      <c r="G337" s="141"/>
      <c r="H337" s="141"/>
      <c r="I337" s="141"/>
      <c r="J337" s="141"/>
      <c r="K337" s="141"/>
      <c r="L337" s="141"/>
    </row>
    <row r="338" ht="14.25" customHeight="1">
      <c r="D338" s="3"/>
      <c r="F338" s="141"/>
      <c r="G338" s="141"/>
      <c r="H338" s="141"/>
      <c r="I338" s="141"/>
      <c r="J338" s="141"/>
      <c r="K338" s="141"/>
      <c r="L338" s="141"/>
    </row>
    <row r="339" ht="14.25" customHeight="1">
      <c r="D339" s="3"/>
      <c r="F339" s="141"/>
      <c r="G339" s="141"/>
      <c r="H339" s="141"/>
      <c r="I339" s="141"/>
      <c r="J339" s="141"/>
      <c r="K339" s="141"/>
      <c r="L339" s="141"/>
    </row>
    <row r="340" ht="14.25" customHeight="1">
      <c r="D340" s="3"/>
      <c r="F340" s="141"/>
      <c r="G340" s="141"/>
      <c r="H340" s="141"/>
      <c r="I340" s="141"/>
      <c r="J340" s="141"/>
      <c r="K340" s="141"/>
      <c r="L340" s="141"/>
    </row>
    <row r="341" ht="14.25" customHeight="1">
      <c r="D341" s="3"/>
      <c r="F341" s="141"/>
      <c r="G341" s="141"/>
      <c r="H341" s="141"/>
      <c r="I341" s="141"/>
      <c r="J341" s="141"/>
      <c r="K341" s="141"/>
      <c r="L341" s="141"/>
    </row>
    <row r="342" ht="14.25" customHeight="1">
      <c r="D342" s="3"/>
      <c r="F342" s="141"/>
      <c r="G342" s="141"/>
      <c r="H342" s="141"/>
      <c r="I342" s="141"/>
      <c r="J342" s="141"/>
      <c r="K342" s="141"/>
      <c r="L342" s="141"/>
    </row>
    <row r="343" ht="14.25" customHeight="1">
      <c r="D343" s="3"/>
      <c r="F343" s="141"/>
      <c r="G343" s="141"/>
      <c r="H343" s="141"/>
      <c r="I343" s="141"/>
      <c r="J343" s="141"/>
      <c r="K343" s="141"/>
      <c r="L343" s="141"/>
    </row>
    <row r="344" ht="14.25" customHeight="1">
      <c r="D344" s="3"/>
      <c r="F344" s="141"/>
      <c r="G344" s="141"/>
      <c r="H344" s="141"/>
      <c r="I344" s="141"/>
      <c r="J344" s="141"/>
      <c r="K344" s="141"/>
      <c r="L344" s="141"/>
    </row>
    <row r="345" ht="14.25" customHeight="1">
      <c r="D345" s="3"/>
      <c r="F345" s="141"/>
      <c r="G345" s="141"/>
      <c r="H345" s="141"/>
      <c r="I345" s="141"/>
      <c r="J345" s="141"/>
      <c r="K345" s="141"/>
      <c r="L345" s="141"/>
    </row>
    <row r="346" ht="14.25" customHeight="1">
      <c r="D346" s="3"/>
      <c r="F346" s="141"/>
      <c r="G346" s="141"/>
      <c r="H346" s="141"/>
      <c r="I346" s="141"/>
      <c r="J346" s="141"/>
      <c r="K346" s="141"/>
      <c r="L346" s="141"/>
    </row>
    <row r="347" ht="14.25" customHeight="1">
      <c r="D347" s="3"/>
      <c r="F347" s="141"/>
      <c r="G347" s="141"/>
      <c r="H347" s="141"/>
      <c r="I347" s="141"/>
      <c r="J347" s="141"/>
      <c r="K347" s="141"/>
      <c r="L347" s="141"/>
    </row>
    <row r="348" ht="14.25" customHeight="1">
      <c r="D348" s="3"/>
      <c r="F348" s="141"/>
      <c r="G348" s="141"/>
      <c r="H348" s="141"/>
      <c r="I348" s="141"/>
      <c r="J348" s="141"/>
      <c r="K348" s="141"/>
      <c r="L348" s="141"/>
    </row>
    <row r="349" ht="14.25" customHeight="1">
      <c r="D349" s="3"/>
      <c r="F349" s="141"/>
      <c r="G349" s="141"/>
      <c r="H349" s="141"/>
      <c r="I349" s="141"/>
      <c r="J349" s="141"/>
      <c r="K349" s="141"/>
      <c r="L349" s="141"/>
    </row>
    <row r="350" ht="14.25" customHeight="1">
      <c r="D350" s="3"/>
      <c r="F350" s="141"/>
      <c r="G350" s="141"/>
      <c r="H350" s="141"/>
      <c r="I350" s="141"/>
      <c r="J350" s="141"/>
      <c r="K350" s="141"/>
      <c r="L350" s="141"/>
    </row>
    <row r="351" ht="14.25" customHeight="1">
      <c r="D351" s="3"/>
      <c r="F351" s="141"/>
      <c r="G351" s="141"/>
      <c r="H351" s="141"/>
      <c r="I351" s="141"/>
      <c r="J351" s="141"/>
      <c r="K351" s="141"/>
      <c r="L351" s="141"/>
    </row>
    <row r="352" ht="14.25" customHeight="1">
      <c r="D352" s="3"/>
      <c r="F352" s="141"/>
      <c r="G352" s="141"/>
      <c r="H352" s="141"/>
      <c r="I352" s="141"/>
      <c r="J352" s="141"/>
      <c r="K352" s="141"/>
      <c r="L352" s="141"/>
    </row>
    <row r="353" ht="14.25" customHeight="1">
      <c r="D353" s="3"/>
      <c r="F353" s="141"/>
      <c r="G353" s="141"/>
      <c r="H353" s="141"/>
      <c r="I353" s="141"/>
      <c r="J353" s="141"/>
      <c r="K353" s="141"/>
      <c r="L353" s="141"/>
    </row>
    <row r="354" ht="14.25" customHeight="1">
      <c r="D354" s="3"/>
      <c r="F354" s="141"/>
      <c r="G354" s="141"/>
      <c r="H354" s="141"/>
      <c r="I354" s="141"/>
      <c r="J354" s="141"/>
      <c r="K354" s="141"/>
      <c r="L354" s="141"/>
    </row>
    <row r="355" ht="14.25" customHeight="1">
      <c r="D355" s="3"/>
      <c r="F355" s="141"/>
      <c r="G355" s="141"/>
      <c r="H355" s="141"/>
      <c r="I355" s="141"/>
      <c r="J355" s="141"/>
      <c r="K355" s="141"/>
      <c r="L355" s="141"/>
    </row>
    <row r="356" ht="14.25" customHeight="1">
      <c r="D356" s="3"/>
      <c r="F356" s="141"/>
      <c r="G356" s="141"/>
      <c r="H356" s="141"/>
      <c r="I356" s="141"/>
      <c r="J356" s="141"/>
      <c r="K356" s="141"/>
      <c r="L356" s="141"/>
    </row>
    <row r="357" ht="14.25" customHeight="1">
      <c r="D357" s="3"/>
      <c r="F357" s="141"/>
      <c r="G357" s="141"/>
      <c r="H357" s="141"/>
      <c r="I357" s="141"/>
      <c r="J357" s="141"/>
      <c r="K357" s="141"/>
      <c r="L357" s="141"/>
    </row>
    <row r="358" ht="14.25" customHeight="1">
      <c r="D358" s="3"/>
      <c r="F358" s="141"/>
      <c r="G358" s="141"/>
      <c r="H358" s="141"/>
      <c r="I358" s="141"/>
      <c r="J358" s="141"/>
      <c r="K358" s="141"/>
      <c r="L358" s="141"/>
    </row>
    <row r="359" ht="14.25" customHeight="1">
      <c r="D359" s="3"/>
      <c r="F359" s="141"/>
      <c r="G359" s="141"/>
      <c r="H359" s="141"/>
      <c r="I359" s="141"/>
      <c r="J359" s="141"/>
      <c r="K359" s="141"/>
      <c r="L359" s="141"/>
    </row>
    <row r="360" ht="14.25" customHeight="1">
      <c r="D360" s="3"/>
      <c r="F360" s="141"/>
      <c r="G360" s="141"/>
      <c r="H360" s="141"/>
      <c r="I360" s="141"/>
      <c r="J360" s="141"/>
      <c r="K360" s="141"/>
      <c r="L360" s="141"/>
    </row>
    <row r="361" ht="14.25" customHeight="1">
      <c r="D361" s="3"/>
      <c r="F361" s="141"/>
      <c r="G361" s="141"/>
      <c r="H361" s="141"/>
      <c r="I361" s="141"/>
      <c r="J361" s="141"/>
      <c r="K361" s="141"/>
      <c r="L361" s="141"/>
    </row>
    <row r="362" ht="14.25" customHeight="1">
      <c r="D362" s="3"/>
      <c r="F362" s="141"/>
      <c r="G362" s="141"/>
      <c r="H362" s="141"/>
      <c r="I362" s="141"/>
      <c r="J362" s="141"/>
      <c r="K362" s="141"/>
      <c r="L362" s="141"/>
    </row>
    <row r="363" ht="14.25" customHeight="1">
      <c r="D363" s="3"/>
      <c r="F363" s="141"/>
      <c r="G363" s="141"/>
      <c r="H363" s="141"/>
      <c r="I363" s="141"/>
      <c r="J363" s="141"/>
      <c r="K363" s="141"/>
      <c r="L363" s="141"/>
    </row>
    <row r="364" ht="14.25" customHeight="1">
      <c r="D364" s="3"/>
      <c r="F364" s="141"/>
      <c r="G364" s="141"/>
      <c r="H364" s="141"/>
      <c r="I364" s="141"/>
      <c r="J364" s="141"/>
      <c r="K364" s="141"/>
      <c r="L364" s="141"/>
    </row>
    <row r="365" ht="14.25" customHeight="1">
      <c r="D365" s="3"/>
      <c r="F365" s="141"/>
      <c r="G365" s="141"/>
      <c r="H365" s="141"/>
      <c r="I365" s="141"/>
      <c r="J365" s="141"/>
      <c r="K365" s="141"/>
      <c r="L365" s="141"/>
    </row>
    <row r="366" ht="14.25" customHeight="1">
      <c r="D366" s="3"/>
      <c r="F366" s="141"/>
      <c r="G366" s="141"/>
      <c r="H366" s="141"/>
      <c r="I366" s="141"/>
      <c r="J366" s="141"/>
      <c r="K366" s="141"/>
      <c r="L366" s="141"/>
    </row>
    <row r="367" ht="14.25" customHeight="1">
      <c r="D367" s="3"/>
      <c r="F367" s="141"/>
      <c r="G367" s="141"/>
      <c r="H367" s="141"/>
      <c r="I367" s="141"/>
      <c r="J367" s="141"/>
      <c r="K367" s="141"/>
      <c r="L367" s="141"/>
    </row>
    <row r="368" ht="14.25" customHeight="1">
      <c r="D368" s="3"/>
      <c r="F368" s="141"/>
      <c r="G368" s="141"/>
      <c r="H368" s="141"/>
      <c r="I368" s="141"/>
      <c r="J368" s="141"/>
      <c r="K368" s="141"/>
      <c r="L368" s="141"/>
    </row>
    <row r="369" ht="14.25" customHeight="1">
      <c r="D369" s="3"/>
      <c r="F369" s="141"/>
      <c r="G369" s="141"/>
      <c r="H369" s="141"/>
      <c r="I369" s="141"/>
      <c r="J369" s="141"/>
      <c r="K369" s="141"/>
      <c r="L369" s="141"/>
    </row>
    <row r="370" ht="14.25" customHeight="1">
      <c r="D370" s="3"/>
      <c r="F370" s="141"/>
      <c r="G370" s="141"/>
      <c r="H370" s="141"/>
      <c r="I370" s="141"/>
      <c r="J370" s="141"/>
      <c r="K370" s="141"/>
      <c r="L370" s="141"/>
    </row>
    <row r="371" ht="14.25" customHeight="1">
      <c r="D371" s="3"/>
      <c r="F371" s="141"/>
      <c r="G371" s="141"/>
      <c r="H371" s="141"/>
      <c r="I371" s="141"/>
      <c r="J371" s="141"/>
      <c r="K371" s="141"/>
      <c r="L371" s="141"/>
    </row>
    <row r="372" ht="14.25" customHeight="1">
      <c r="D372" s="3"/>
      <c r="F372" s="141"/>
      <c r="G372" s="141"/>
      <c r="H372" s="141"/>
      <c r="I372" s="141"/>
      <c r="J372" s="141"/>
      <c r="K372" s="141"/>
      <c r="L372" s="141"/>
    </row>
    <row r="373" ht="14.25" customHeight="1">
      <c r="D373" s="3"/>
      <c r="F373" s="141"/>
      <c r="G373" s="141"/>
      <c r="H373" s="141"/>
      <c r="I373" s="141"/>
      <c r="J373" s="141"/>
      <c r="K373" s="141"/>
      <c r="L373" s="141"/>
    </row>
    <row r="374" ht="14.25" customHeight="1">
      <c r="D374" s="3"/>
      <c r="F374" s="141"/>
      <c r="G374" s="141"/>
      <c r="H374" s="141"/>
      <c r="I374" s="141"/>
      <c r="J374" s="141"/>
      <c r="K374" s="141"/>
      <c r="L374" s="141"/>
    </row>
    <row r="375" ht="14.25" customHeight="1">
      <c r="D375" s="3"/>
      <c r="F375" s="141"/>
      <c r="G375" s="141"/>
      <c r="H375" s="141"/>
      <c r="I375" s="141"/>
      <c r="J375" s="141"/>
      <c r="K375" s="141"/>
      <c r="L375" s="141"/>
    </row>
    <row r="376" ht="14.25" customHeight="1">
      <c r="D376" s="3"/>
      <c r="F376" s="141"/>
      <c r="G376" s="141"/>
      <c r="H376" s="141"/>
      <c r="I376" s="141"/>
      <c r="J376" s="141"/>
      <c r="K376" s="141"/>
      <c r="L376" s="141"/>
    </row>
    <row r="377" ht="14.25" customHeight="1">
      <c r="D377" s="3"/>
      <c r="F377" s="141"/>
      <c r="G377" s="141"/>
      <c r="H377" s="141"/>
      <c r="I377" s="141"/>
      <c r="J377" s="141"/>
      <c r="K377" s="141"/>
      <c r="L377" s="141"/>
    </row>
    <row r="378" ht="14.25" customHeight="1">
      <c r="D378" s="3"/>
      <c r="F378" s="141"/>
      <c r="G378" s="141"/>
      <c r="H378" s="141"/>
      <c r="I378" s="141"/>
      <c r="J378" s="141"/>
      <c r="K378" s="141"/>
      <c r="L378" s="141"/>
    </row>
    <row r="379" ht="14.25" customHeight="1">
      <c r="D379" s="3"/>
      <c r="F379" s="141"/>
      <c r="G379" s="141"/>
      <c r="H379" s="141"/>
      <c r="I379" s="141"/>
      <c r="J379" s="141"/>
      <c r="K379" s="141"/>
      <c r="L379" s="141"/>
    </row>
    <row r="380" ht="14.25" customHeight="1">
      <c r="D380" s="3"/>
      <c r="F380" s="141"/>
      <c r="G380" s="141"/>
      <c r="H380" s="141"/>
      <c r="I380" s="141"/>
      <c r="J380" s="141"/>
      <c r="K380" s="141"/>
      <c r="L380" s="141"/>
    </row>
    <row r="381" ht="14.25" customHeight="1">
      <c r="D381" s="3"/>
      <c r="F381" s="141"/>
      <c r="G381" s="141"/>
      <c r="H381" s="141"/>
      <c r="I381" s="141"/>
      <c r="J381" s="141"/>
      <c r="K381" s="141"/>
      <c r="L381" s="141"/>
    </row>
    <row r="382" ht="14.25" customHeight="1">
      <c r="D382" s="3"/>
      <c r="F382" s="141"/>
      <c r="G382" s="141"/>
      <c r="H382" s="141"/>
      <c r="I382" s="141"/>
      <c r="J382" s="141"/>
      <c r="K382" s="141"/>
      <c r="L382" s="141"/>
    </row>
    <row r="383" ht="14.25" customHeight="1">
      <c r="D383" s="3"/>
      <c r="F383" s="141"/>
      <c r="G383" s="141"/>
      <c r="H383" s="141"/>
      <c r="I383" s="141"/>
      <c r="J383" s="141"/>
      <c r="K383" s="141"/>
      <c r="L383" s="141"/>
    </row>
    <row r="384" ht="14.25" customHeight="1">
      <c r="D384" s="3"/>
      <c r="F384" s="141"/>
      <c r="G384" s="141"/>
      <c r="H384" s="141"/>
      <c r="I384" s="141"/>
      <c r="J384" s="141"/>
      <c r="K384" s="141"/>
      <c r="L384" s="141"/>
    </row>
    <row r="385" ht="14.25" customHeight="1">
      <c r="D385" s="3"/>
      <c r="F385" s="141"/>
      <c r="G385" s="141"/>
      <c r="H385" s="141"/>
      <c r="I385" s="141"/>
      <c r="J385" s="141"/>
      <c r="K385" s="141"/>
      <c r="L385" s="141"/>
    </row>
    <row r="386" ht="14.25" customHeight="1">
      <c r="D386" s="3"/>
      <c r="F386" s="141"/>
      <c r="G386" s="141"/>
      <c r="H386" s="141"/>
      <c r="I386" s="141"/>
      <c r="J386" s="141"/>
      <c r="K386" s="141"/>
      <c r="L386" s="141"/>
    </row>
    <row r="387" ht="14.25" customHeight="1">
      <c r="D387" s="3"/>
      <c r="F387" s="141"/>
      <c r="G387" s="141"/>
      <c r="H387" s="141"/>
      <c r="I387" s="141"/>
      <c r="J387" s="141"/>
      <c r="K387" s="141"/>
      <c r="L387" s="141"/>
    </row>
    <row r="388" ht="14.25" customHeight="1">
      <c r="D388" s="3"/>
      <c r="F388" s="141"/>
      <c r="G388" s="141"/>
      <c r="H388" s="141"/>
      <c r="I388" s="141"/>
      <c r="J388" s="141"/>
      <c r="K388" s="141"/>
      <c r="L388" s="141"/>
    </row>
    <row r="389" ht="14.25" customHeight="1">
      <c r="D389" s="3"/>
      <c r="F389" s="141"/>
      <c r="G389" s="141"/>
      <c r="H389" s="141"/>
      <c r="I389" s="141"/>
      <c r="J389" s="141"/>
      <c r="K389" s="141"/>
      <c r="L389" s="141"/>
    </row>
    <row r="390" ht="14.25" customHeight="1">
      <c r="D390" s="3"/>
      <c r="F390" s="141"/>
      <c r="G390" s="141"/>
      <c r="H390" s="141"/>
      <c r="I390" s="141"/>
      <c r="J390" s="141"/>
      <c r="K390" s="141"/>
      <c r="L390" s="141"/>
    </row>
    <row r="391" ht="14.25" customHeight="1">
      <c r="D391" s="3"/>
      <c r="F391" s="141"/>
      <c r="G391" s="141"/>
      <c r="H391" s="141"/>
      <c r="I391" s="141"/>
      <c r="J391" s="141"/>
      <c r="K391" s="141"/>
      <c r="L391" s="141"/>
    </row>
    <row r="392" ht="14.25" customHeight="1">
      <c r="D392" s="3"/>
      <c r="F392" s="141"/>
      <c r="G392" s="141"/>
      <c r="H392" s="141"/>
      <c r="I392" s="141"/>
      <c r="J392" s="141"/>
      <c r="K392" s="141"/>
      <c r="L392" s="141"/>
    </row>
    <row r="393" ht="14.25" customHeight="1">
      <c r="D393" s="3"/>
      <c r="F393" s="141"/>
      <c r="G393" s="141"/>
      <c r="H393" s="141"/>
      <c r="I393" s="141"/>
      <c r="J393" s="141"/>
      <c r="K393" s="141"/>
      <c r="L393" s="141"/>
    </row>
    <row r="394" ht="14.25" customHeight="1">
      <c r="D394" s="3"/>
      <c r="F394" s="141"/>
      <c r="G394" s="141"/>
      <c r="H394" s="141"/>
      <c r="I394" s="141"/>
      <c r="J394" s="141"/>
      <c r="K394" s="141"/>
      <c r="L394" s="141"/>
    </row>
    <row r="395" ht="14.25" customHeight="1">
      <c r="D395" s="3"/>
      <c r="F395" s="141"/>
      <c r="G395" s="141"/>
      <c r="H395" s="141"/>
      <c r="I395" s="141"/>
      <c r="J395" s="141"/>
      <c r="K395" s="141"/>
      <c r="L395" s="141"/>
    </row>
    <row r="396" ht="14.25" customHeight="1">
      <c r="D396" s="3"/>
      <c r="F396" s="141"/>
      <c r="G396" s="141"/>
      <c r="H396" s="141"/>
      <c r="I396" s="141"/>
      <c r="J396" s="141"/>
      <c r="K396" s="141"/>
      <c r="L396" s="141"/>
    </row>
    <row r="397" ht="14.25" customHeight="1">
      <c r="D397" s="3"/>
      <c r="F397" s="141"/>
      <c r="G397" s="141"/>
      <c r="H397" s="141"/>
      <c r="I397" s="141"/>
      <c r="J397" s="141"/>
      <c r="K397" s="141"/>
      <c r="L397" s="141"/>
    </row>
    <row r="398" ht="14.25" customHeight="1">
      <c r="D398" s="3"/>
      <c r="F398" s="141"/>
      <c r="G398" s="141"/>
      <c r="H398" s="141"/>
      <c r="I398" s="141"/>
      <c r="J398" s="141"/>
      <c r="K398" s="141"/>
      <c r="L398" s="141"/>
    </row>
    <row r="399" ht="14.25" customHeight="1">
      <c r="D399" s="3"/>
      <c r="F399" s="141"/>
      <c r="G399" s="141"/>
      <c r="H399" s="141"/>
      <c r="I399" s="141"/>
      <c r="J399" s="141"/>
      <c r="K399" s="141"/>
      <c r="L399" s="141"/>
    </row>
    <row r="400" ht="14.25" customHeight="1">
      <c r="D400" s="3"/>
      <c r="F400" s="141"/>
      <c r="G400" s="141"/>
      <c r="H400" s="141"/>
      <c r="I400" s="141"/>
      <c r="J400" s="141"/>
      <c r="K400" s="141"/>
      <c r="L400" s="141"/>
    </row>
    <row r="401" ht="14.25" customHeight="1">
      <c r="D401" s="3"/>
      <c r="F401" s="141"/>
      <c r="G401" s="141"/>
      <c r="H401" s="141"/>
      <c r="I401" s="141"/>
      <c r="J401" s="141"/>
      <c r="K401" s="141"/>
      <c r="L401" s="141"/>
    </row>
    <row r="402" ht="14.25" customHeight="1">
      <c r="D402" s="3"/>
      <c r="F402" s="141"/>
      <c r="G402" s="141"/>
      <c r="H402" s="141"/>
      <c r="I402" s="141"/>
      <c r="J402" s="141"/>
      <c r="K402" s="141"/>
      <c r="L402" s="141"/>
    </row>
    <row r="403" ht="14.25" customHeight="1">
      <c r="D403" s="3"/>
      <c r="F403" s="141"/>
      <c r="G403" s="141"/>
      <c r="H403" s="141"/>
      <c r="I403" s="141"/>
      <c r="J403" s="141"/>
      <c r="K403" s="141"/>
      <c r="L403" s="141"/>
    </row>
    <row r="404" ht="14.25" customHeight="1">
      <c r="D404" s="3"/>
      <c r="F404" s="141"/>
      <c r="G404" s="141"/>
      <c r="H404" s="141"/>
      <c r="I404" s="141"/>
      <c r="J404" s="141"/>
      <c r="K404" s="141"/>
      <c r="L404" s="141"/>
    </row>
    <row r="405" ht="14.25" customHeight="1">
      <c r="D405" s="3"/>
      <c r="F405" s="141"/>
      <c r="G405" s="141"/>
      <c r="H405" s="141"/>
      <c r="I405" s="141"/>
      <c r="J405" s="141"/>
      <c r="K405" s="141"/>
      <c r="L405" s="141"/>
    </row>
    <row r="406" ht="14.25" customHeight="1">
      <c r="D406" s="3"/>
      <c r="F406" s="141"/>
      <c r="G406" s="141"/>
      <c r="H406" s="141"/>
      <c r="I406" s="141"/>
      <c r="J406" s="141"/>
      <c r="K406" s="141"/>
      <c r="L406" s="141"/>
    </row>
    <row r="407" ht="14.25" customHeight="1">
      <c r="D407" s="3"/>
      <c r="F407" s="141"/>
      <c r="G407" s="141"/>
      <c r="H407" s="141"/>
      <c r="I407" s="141"/>
      <c r="J407" s="141"/>
      <c r="K407" s="141"/>
      <c r="L407" s="141"/>
    </row>
    <row r="408" ht="14.25" customHeight="1">
      <c r="D408" s="3"/>
      <c r="F408" s="141"/>
      <c r="G408" s="141"/>
      <c r="H408" s="141"/>
      <c r="I408" s="141"/>
      <c r="J408" s="141"/>
      <c r="K408" s="141"/>
      <c r="L408" s="141"/>
    </row>
    <row r="409" ht="14.25" customHeight="1">
      <c r="D409" s="3"/>
      <c r="F409" s="141"/>
      <c r="G409" s="141"/>
      <c r="H409" s="141"/>
      <c r="I409" s="141"/>
      <c r="J409" s="141"/>
      <c r="K409" s="141"/>
      <c r="L409" s="141"/>
    </row>
    <row r="410" ht="14.25" customHeight="1">
      <c r="D410" s="3"/>
      <c r="F410" s="141"/>
      <c r="G410" s="141"/>
      <c r="H410" s="141"/>
      <c r="I410" s="141"/>
      <c r="J410" s="141"/>
      <c r="K410" s="141"/>
      <c r="L410" s="141"/>
    </row>
    <row r="411" ht="14.25" customHeight="1">
      <c r="D411" s="3"/>
      <c r="F411" s="141"/>
      <c r="G411" s="141"/>
      <c r="H411" s="141"/>
      <c r="I411" s="141"/>
      <c r="J411" s="141"/>
      <c r="K411" s="141"/>
      <c r="L411" s="141"/>
    </row>
    <row r="412" ht="14.25" customHeight="1">
      <c r="D412" s="3"/>
      <c r="F412" s="141"/>
      <c r="G412" s="141"/>
      <c r="H412" s="141"/>
      <c r="I412" s="141"/>
      <c r="J412" s="141"/>
      <c r="K412" s="141"/>
      <c r="L412" s="141"/>
    </row>
    <row r="413" ht="14.25" customHeight="1">
      <c r="D413" s="3"/>
      <c r="F413" s="141"/>
      <c r="G413" s="141"/>
      <c r="H413" s="141"/>
      <c r="I413" s="141"/>
      <c r="J413" s="141"/>
      <c r="K413" s="141"/>
      <c r="L413" s="141"/>
    </row>
    <row r="414" ht="14.25" customHeight="1">
      <c r="D414" s="3"/>
      <c r="F414" s="141"/>
      <c r="G414" s="141"/>
      <c r="H414" s="141"/>
      <c r="I414" s="141"/>
      <c r="J414" s="141"/>
      <c r="K414" s="141"/>
      <c r="L414" s="141"/>
    </row>
    <row r="415" ht="14.25" customHeight="1">
      <c r="D415" s="3"/>
      <c r="F415" s="141"/>
      <c r="G415" s="141"/>
      <c r="H415" s="141"/>
      <c r="I415" s="141"/>
      <c r="J415" s="141"/>
      <c r="K415" s="141"/>
      <c r="L415" s="141"/>
    </row>
    <row r="416" ht="14.25" customHeight="1">
      <c r="D416" s="3"/>
      <c r="F416" s="141"/>
      <c r="G416" s="141"/>
      <c r="H416" s="141"/>
      <c r="I416" s="141"/>
      <c r="J416" s="141"/>
      <c r="K416" s="141"/>
      <c r="L416" s="141"/>
    </row>
    <row r="417" ht="14.25" customHeight="1">
      <c r="D417" s="3"/>
      <c r="F417" s="141"/>
      <c r="G417" s="141"/>
      <c r="H417" s="141"/>
      <c r="I417" s="141"/>
      <c r="J417" s="141"/>
      <c r="K417" s="141"/>
      <c r="L417" s="141"/>
    </row>
    <row r="418" ht="14.25" customHeight="1">
      <c r="D418" s="3"/>
      <c r="F418" s="141"/>
      <c r="G418" s="141"/>
      <c r="H418" s="141"/>
      <c r="I418" s="141"/>
      <c r="J418" s="141"/>
      <c r="K418" s="141"/>
      <c r="L418" s="141"/>
    </row>
    <row r="419" ht="14.25" customHeight="1">
      <c r="D419" s="3"/>
      <c r="F419" s="141"/>
      <c r="G419" s="141"/>
      <c r="H419" s="141"/>
      <c r="I419" s="141"/>
      <c r="J419" s="141"/>
      <c r="K419" s="141"/>
      <c r="L419" s="141"/>
    </row>
    <row r="420" ht="14.25" customHeight="1">
      <c r="D420" s="3"/>
      <c r="F420" s="141"/>
      <c r="G420" s="141"/>
      <c r="H420" s="141"/>
      <c r="I420" s="141"/>
      <c r="J420" s="141"/>
      <c r="K420" s="141"/>
      <c r="L420" s="141"/>
    </row>
    <row r="421" ht="14.25" customHeight="1">
      <c r="D421" s="3"/>
      <c r="F421" s="141"/>
      <c r="G421" s="141"/>
      <c r="H421" s="141"/>
      <c r="I421" s="141"/>
      <c r="J421" s="141"/>
      <c r="K421" s="141"/>
      <c r="L421" s="141"/>
    </row>
    <row r="422" ht="14.25" customHeight="1">
      <c r="D422" s="3"/>
      <c r="F422" s="141"/>
      <c r="G422" s="141"/>
      <c r="H422" s="141"/>
      <c r="I422" s="141"/>
      <c r="J422" s="141"/>
      <c r="K422" s="141"/>
      <c r="L422" s="141"/>
    </row>
    <row r="423" ht="14.25" customHeight="1">
      <c r="D423" s="3"/>
      <c r="F423" s="141"/>
      <c r="G423" s="141"/>
      <c r="H423" s="141"/>
      <c r="I423" s="141"/>
      <c r="J423" s="141"/>
      <c r="K423" s="141"/>
      <c r="L423" s="141"/>
    </row>
    <row r="424" ht="14.25" customHeight="1">
      <c r="D424" s="3"/>
      <c r="F424" s="141"/>
      <c r="G424" s="141"/>
      <c r="H424" s="141"/>
      <c r="I424" s="141"/>
      <c r="J424" s="141"/>
      <c r="K424" s="141"/>
      <c r="L424" s="141"/>
    </row>
    <row r="425" ht="14.25" customHeight="1">
      <c r="D425" s="3"/>
      <c r="F425" s="141"/>
      <c r="G425" s="141"/>
      <c r="H425" s="141"/>
      <c r="I425" s="141"/>
      <c r="J425" s="141"/>
      <c r="K425" s="141"/>
      <c r="L425" s="141"/>
    </row>
    <row r="426" ht="14.25" customHeight="1">
      <c r="D426" s="3"/>
      <c r="F426" s="141"/>
      <c r="G426" s="141"/>
      <c r="H426" s="141"/>
      <c r="I426" s="141"/>
      <c r="J426" s="141"/>
      <c r="K426" s="141"/>
      <c r="L426" s="141"/>
    </row>
    <row r="427" ht="14.25" customHeight="1">
      <c r="D427" s="3"/>
      <c r="F427" s="141"/>
      <c r="G427" s="141"/>
      <c r="H427" s="141"/>
      <c r="I427" s="141"/>
      <c r="J427" s="141"/>
      <c r="K427" s="141"/>
      <c r="L427" s="141"/>
    </row>
    <row r="428" ht="14.25" customHeight="1">
      <c r="D428" s="3"/>
      <c r="F428" s="141"/>
      <c r="G428" s="141"/>
      <c r="H428" s="141"/>
      <c r="I428" s="141"/>
      <c r="J428" s="141"/>
      <c r="K428" s="141"/>
      <c r="L428" s="141"/>
    </row>
    <row r="429" ht="14.25" customHeight="1">
      <c r="D429" s="3"/>
      <c r="F429" s="141"/>
      <c r="G429" s="141"/>
      <c r="H429" s="141"/>
      <c r="I429" s="141"/>
      <c r="J429" s="141"/>
      <c r="K429" s="141"/>
      <c r="L429" s="141"/>
    </row>
    <row r="430" ht="14.25" customHeight="1">
      <c r="D430" s="3"/>
      <c r="F430" s="141"/>
      <c r="G430" s="141"/>
      <c r="H430" s="141"/>
      <c r="I430" s="141"/>
      <c r="J430" s="141"/>
      <c r="K430" s="141"/>
      <c r="L430" s="141"/>
    </row>
    <row r="431" ht="14.25" customHeight="1">
      <c r="D431" s="3"/>
      <c r="F431" s="141"/>
      <c r="G431" s="141"/>
      <c r="H431" s="141"/>
      <c r="I431" s="141"/>
      <c r="J431" s="141"/>
      <c r="K431" s="141"/>
      <c r="L431" s="141"/>
    </row>
    <row r="432" ht="14.25" customHeight="1">
      <c r="D432" s="3"/>
      <c r="F432" s="141"/>
      <c r="G432" s="141"/>
      <c r="H432" s="141"/>
      <c r="I432" s="141"/>
      <c r="J432" s="141"/>
      <c r="K432" s="141"/>
      <c r="L432" s="141"/>
    </row>
    <row r="433" ht="14.25" customHeight="1">
      <c r="D433" s="3"/>
      <c r="F433" s="141"/>
      <c r="G433" s="141"/>
      <c r="H433" s="141"/>
      <c r="I433" s="141"/>
      <c r="J433" s="141"/>
      <c r="K433" s="141"/>
      <c r="L433" s="141"/>
    </row>
    <row r="434" ht="14.25" customHeight="1">
      <c r="D434" s="3"/>
      <c r="F434" s="141"/>
      <c r="G434" s="141"/>
      <c r="H434" s="141"/>
      <c r="I434" s="141"/>
      <c r="J434" s="141"/>
      <c r="K434" s="141"/>
      <c r="L434" s="141"/>
    </row>
    <row r="435" ht="14.25" customHeight="1">
      <c r="D435" s="3"/>
      <c r="F435" s="141"/>
      <c r="G435" s="141"/>
      <c r="H435" s="141"/>
      <c r="I435" s="141"/>
      <c r="J435" s="141"/>
      <c r="K435" s="141"/>
      <c r="L435" s="141"/>
    </row>
    <row r="436" ht="14.25" customHeight="1">
      <c r="D436" s="3"/>
      <c r="F436" s="141"/>
      <c r="G436" s="141"/>
      <c r="H436" s="141"/>
      <c r="I436" s="141"/>
      <c r="J436" s="141"/>
      <c r="K436" s="141"/>
      <c r="L436" s="141"/>
    </row>
    <row r="437" ht="14.25" customHeight="1">
      <c r="D437" s="3"/>
      <c r="F437" s="141"/>
      <c r="G437" s="141"/>
      <c r="H437" s="141"/>
      <c r="I437" s="141"/>
      <c r="J437" s="141"/>
      <c r="K437" s="141"/>
      <c r="L437" s="141"/>
    </row>
    <row r="438" ht="14.25" customHeight="1">
      <c r="D438" s="3"/>
      <c r="F438" s="141"/>
      <c r="G438" s="141"/>
      <c r="H438" s="141"/>
      <c r="I438" s="141"/>
      <c r="J438" s="141"/>
      <c r="K438" s="141"/>
      <c r="L438" s="141"/>
    </row>
    <row r="439" ht="14.25" customHeight="1">
      <c r="D439" s="3"/>
      <c r="F439" s="141"/>
      <c r="G439" s="141"/>
      <c r="H439" s="141"/>
      <c r="I439" s="141"/>
      <c r="J439" s="141"/>
      <c r="K439" s="141"/>
      <c r="L439" s="141"/>
    </row>
    <row r="440" ht="14.25" customHeight="1">
      <c r="D440" s="3"/>
      <c r="F440" s="141"/>
      <c r="G440" s="141"/>
      <c r="H440" s="141"/>
      <c r="I440" s="141"/>
      <c r="J440" s="141"/>
      <c r="K440" s="141"/>
      <c r="L440" s="141"/>
    </row>
    <row r="441" ht="14.25" customHeight="1">
      <c r="D441" s="3"/>
      <c r="F441" s="141"/>
      <c r="G441" s="141"/>
      <c r="H441" s="141"/>
      <c r="I441" s="141"/>
      <c r="J441" s="141"/>
      <c r="K441" s="141"/>
      <c r="L441" s="141"/>
    </row>
    <row r="442" ht="14.25" customHeight="1">
      <c r="D442" s="3"/>
      <c r="F442" s="141"/>
      <c r="G442" s="141"/>
      <c r="H442" s="141"/>
      <c r="I442" s="141"/>
      <c r="J442" s="141"/>
      <c r="K442" s="141"/>
      <c r="L442" s="141"/>
    </row>
    <row r="443" ht="14.25" customHeight="1">
      <c r="D443" s="3"/>
      <c r="F443" s="141"/>
      <c r="G443" s="141"/>
      <c r="H443" s="141"/>
      <c r="I443" s="141"/>
      <c r="J443" s="141"/>
      <c r="K443" s="141"/>
      <c r="L443" s="141"/>
    </row>
    <row r="444" ht="14.25" customHeight="1">
      <c r="D444" s="3"/>
      <c r="F444" s="141"/>
      <c r="G444" s="141"/>
      <c r="H444" s="141"/>
      <c r="I444" s="141"/>
      <c r="J444" s="141"/>
      <c r="K444" s="141"/>
      <c r="L444" s="141"/>
    </row>
    <row r="445" ht="14.25" customHeight="1">
      <c r="D445" s="3"/>
      <c r="F445" s="141"/>
      <c r="G445" s="141"/>
      <c r="H445" s="141"/>
      <c r="I445" s="141"/>
      <c r="J445" s="141"/>
      <c r="K445" s="141"/>
      <c r="L445" s="141"/>
    </row>
    <row r="446" ht="14.25" customHeight="1">
      <c r="D446" s="3"/>
      <c r="F446" s="141"/>
      <c r="G446" s="141"/>
      <c r="H446" s="141"/>
      <c r="I446" s="141"/>
      <c r="J446" s="141"/>
      <c r="K446" s="141"/>
      <c r="L446" s="141"/>
    </row>
    <row r="447" ht="14.25" customHeight="1">
      <c r="D447" s="3"/>
      <c r="F447" s="141"/>
      <c r="G447" s="141"/>
      <c r="H447" s="141"/>
      <c r="I447" s="141"/>
      <c r="J447" s="141"/>
      <c r="K447" s="141"/>
      <c r="L447" s="141"/>
    </row>
    <row r="448" ht="14.25" customHeight="1">
      <c r="D448" s="3"/>
      <c r="F448" s="141"/>
      <c r="G448" s="141"/>
      <c r="H448" s="141"/>
      <c r="I448" s="141"/>
      <c r="J448" s="141"/>
      <c r="K448" s="141"/>
      <c r="L448" s="141"/>
    </row>
    <row r="449" ht="14.25" customHeight="1">
      <c r="D449" s="3"/>
      <c r="F449" s="141"/>
      <c r="G449" s="141"/>
      <c r="H449" s="141"/>
      <c r="I449" s="141"/>
      <c r="J449" s="141"/>
      <c r="K449" s="141"/>
      <c r="L449" s="141"/>
    </row>
    <row r="450" ht="14.25" customHeight="1">
      <c r="D450" s="3"/>
      <c r="F450" s="141"/>
      <c r="G450" s="141"/>
      <c r="H450" s="141"/>
      <c r="I450" s="141"/>
      <c r="J450" s="141"/>
      <c r="K450" s="141"/>
      <c r="L450" s="141"/>
    </row>
    <row r="451" ht="14.25" customHeight="1">
      <c r="D451" s="3"/>
      <c r="F451" s="141"/>
      <c r="G451" s="141"/>
      <c r="H451" s="141"/>
      <c r="I451" s="141"/>
      <c r="J451" s="141"/>
      <c r="K451" s="141"/>
      <c r="L451" s="141"/>
    </row>
    <row r="452" ht="14.25" customHeight="1">
      <c r="D452" s="3"/>
      <c r="F452" s="141"/>
      <c r="G452" s="141"/>
      <c r="H452" s="141"/>
      <c r="I452" s="141"/>
      <c r="J452" s="141"/>
      <c r="K452" s="141"/>
      <c r="L452" s="141"/>
    </row>
    <row r="453" ht="14.25" customHeight="1">
      <c r="D453" s="3"/>
      <c r="F453" s="141"/>
      <c r="G453" s="141"/>
      <c r="H453" s="141"/>
      <c r="I453" s="141"/>
      <c r="J453" s="141"/>
      <c r="K453" s="141"/>
      <c r="L453" s="141"/>
    </row>
    <row r="454" ht="14.25" customHeight="1">
      <c r="D454" s="3"/>
      <c r="F454" s="141"/>
      <c r="G454" s="141"/>
      <c r="H454" s="141"/>
      <c r="I454" s="141"/>
      <c r="J454" s="141"/>
      <c r="K454" s="141"/>
      <c r="L454" s="141"/>
    </row>
    <row r="455" ht="14.25" customHeight="1">
      <c r="D455" s="3"/>
      <c r="F455" s="141"/>
      <c r="G455" s="141"/>
      <c r="H455" s="141"/>
      <c r="I455" s="141"/>
      <c r="J455" s="141"/>
      <c r="K455" s="141"/>
      <c r="L455" s="141"/>
    </row>
    <row r="456" ht="14.25" customHeight="1">
      <c r="D456" s="3"/>
      <c r="F456" s="141"/>
      <c r="G456" s="141"/>
      <c r="H456" s="141"/>
      <c r="I456" s="141"/>
      <c r="J456" s="141"/>
      <c r="K456" s="141"/>
      <c r="L456" s="141"/>
    </row>
    <row r="457" ht="14.25" customHeight="1">
      <c r="D457" s="3"/>
      <c r="F457" s="141"/>
      <c r="G457" s="141"/>
      <c r="H457" s="141"/>
      <c r="I457" s="141"/>
      <c r="J457" s="141"/>
      <c r="K457" s="141"/>
      <c r="L457" s="141"/>
    </row>
    <row r="458" ht="14.25" customHeight="1">
      <c r="D458" s="3"/>
      <c r="F458" s="141"/>
      <c r="G458" s="141"/>
      <c r="H458" s="141"/>
      <c r="I458" s="141"/>
      <c r="J458" s="141"/>
      <c r="K458" s="141"/>
      <c r="L458" s="141"/>
    </row>
    <row r="459" ht="14.25" customHeight="1">
      <c r="D459" s="3"/>
      <c r="F459" s="141"/>
      <c r="G459" s="141"/>
      <c r="H459" s="141"/>
      <c r="I459" s="141"/>
      <c r="J459" s="141"/>
      <c r="K459" s="141"/>
      <c r="L459" s="141"/>
    </row>
    <row r="460" ht="14.25" customHeight="1">
      <c r="D460" s="3"/>
      <c r="F460" s="141"/>
      <c r="G460" s="141"/>
      <c r="H460" s="141"/>
      <c r="I460" s="141"/>
      <c r="J460" s="141"/>
      <c r="K460" s="141"/>
      <c r="L460" s="141"/>
    </row>
    <row r="461" ht="14.25" customHeight="1">
      <c r="D461" s="3"/>
      <c r="F461" s="141"/>
      <c r="G461" s="141"/>
      <c r="H461" s="141"/>
      <c r="I461" s="141"/>
      <c r="J461" s="141"/>
      <c r="K461" s="141"/>
      <c r="L461" s="141"/>
    </row>
    <row r="462" ht="14.25" customHeight="1">
      <c r="D462" s="3"/>
      <c r="F462" s="141"/>
      <c r="G462" s="141"/>
      <c r="H462" s="141"/>
      <c r="I462" s="141"/>
      <c r="J462" s="141"/>
      <c r="K462" s="141"/>
      <c r="L462" s="141"/>
    </row>
    <row r="463" ht="14.25" customHeight="1">
      <c r="D463" s="3"/>
      <c r="F463" s="141"/>
      <c r="G463" s="141"/>
      <c r="H463" s="141"/>
      <c r="I463" s="141"/>
      <c r="J463" s="141"/>
      <c r="K463" s="141"/>
      <c r="L463" s="141"/>
    </row>
    <row r="464" ht="14.25" customHeight="1">
      <c r="D464" s="3"/>
      <c r="F464" s="141"/>
      <c r="G464" s="141"/>
      <c r="H464" s="141"/>
      <c r="I464" s="141"/>
      <c r="J464" s="141"/>
      <c r="K464" s="141"/>
      <c r="L464" s="141"/>
    </row>
    <row r="465" ht="14.25" customHeight="1">
      <c r="D465" s="3"/>
      <c r="F465" s="141"/>
      <c r="G465" s="141"/>
      <c r="H465" s="141"/>
      <c r="I465" s="141"/>
      <c r="J465" s="141"/>
      <c r="K465" s="141"/>
      <c r="L465" s="141"/>
    </row>
    <row r="466" ht="14.25" customHeight="1">
      <c r="D466" s="3"/>
      <c r="F466" s="141"/>
      <c r="G466" s="141"/>
      <c r="H466" s="141"/>
      <c r="I466" s="141"/>
      <c r="J466" s="141"/>
      <c r="K466" s="141"/>
      <c r="L466" s="141"/>
    </row>
    <row r="467" ht="14.25" customHeight="1">
      <c r="D467" s="3"/>
      <c r="F467" s="141"/>
      <c r="G467" s="141"/>
      <c r="H467" s="141"/>
      <c r="I467" s="141"/>
      <c r="J467" s="141"/>
      <c r="K467" s="141"/>
      <c r="L467" s="141"/>
    </row>
    <row r="468" ht="14.25" customHeight="1">
      <c r="D468" s="3"/>
      <c r="F468" s="141"/>
      <c r="G468" s="141"/>
      <c r="H468" s="141"/>
      <c r="I468" s="141"/>
      <c r="J468" s="141"/>
      <c r="K468" s="141"/>
      <c r="L468" s="141"/>
    </row>
    <row r="469" ht="14.25" customHeight="1">
      <c r="D469" s="3"/>
      <c r="F469" s="141"/>
      <c r="G469" s="141"/>
      <c r="H469" s="141"/>
      <c r="I469" s="141"/>
      <c r="J469" s="141"/>
      <c r="K469" s="141"/>
      <c r="L469" s="141"/>
    </row>
    <row r="470" ht="14.25" customHeight="1">
      <c r="D470" s="3"/>
      <c r="F470" s="141"/>
      <c r="G470" s="141"/>
      <c r="H470" s="141"/>
      <c r="I470" s="141"/>
      <c r="J470" s="141"/>
      <c r="K470" s="141"/>
      <c r="L470" s="141"/>
    </row>
    <row r="471" ht="14.25" customHeight="1">
      <c r="D471" s="3"/>
      <c r="F471" s="141"/>
      <c r="G471" s="141"/>
      <c r="H471" s="141"/>
      <c r="I471" s="141"/>
      <c r="J471" s="141"/>
      <c r="K471" s="141"/>
      <c r="L471" s="141"/>
    </row>
    <row r="472" ht="14.25" customHeight="1">
      <c r="D472" s="3"/>
      <c r="F472" s="141"/>
      <c r="G472" s="141"/>
      <c r="H472" s="141"/>
      <c r="I472" s="141"/>
      <c r="J472" s="141"/>
      <c r="K472" s="141"/>
      <c r="L472" s="141"/>
    </row>
    <row r="473" ht="14.25" customHeight="1">
      <c r="D473" s="3"/>
      <c r="F473" s="141"/>
      <c r="G473" s="141"/>
      <c r="H473" s="141"/>
      <c r="I473" s="141"/>
      <c r="J473" s="141"/>
      <c r="K473" s="141"/>
      <c r="L473" s="141"/>
    </row>
    <row r="474" ht="14.25" customHeight="1">
      <c r="D474" s="3"/>
      <c r="F474" s="141"/>
      <c r="G474" s="141"/>
      <c r="H474" s="141"/>
      <c r="I474" s="141"/>
      <c r="J474" s="141"/>
      <c r="K474" s="141"/>
      <c r="L474" s="141"/>
    </row>
    <row r="475" ht="14.25" customHeight="1">
      <c r="D475" s="3"/>
      <c r="F475" s="141"/>
      <c r="G475" s="141"/>
      <c r="H475" s="141"/>
      <c r="I475" s="141"/>
      <c r="J475" s="141"/>
      <c r="K475" s="141"/>
      <c r="L475" s="141"/>
    </row>
    <row r="476" ht="14.25" customHeight="1">
      <c r="D476" s="3"/>
      <c r="F476" s="141"/>
      <c r="G476" s="141"/>
      <c r="H476" s="141"/>
      <c r="I476" s="141"/>
      <c r="J476" s="141"/>
      <c r="K476" s="141"/>
      <c r="L476" s="141"/>
    </row>
    <row r="477" ht="14.25" customHeight="1">
      <c r="D477" s="3"/>
      <c r="F477" s="141"/>
      <c r="G477" s="141"/>
      <c r="H477" s="141"/>
      <c r="I477" s="141"/>
      <c r="J477" s="141"/>
      <c r="K477" s="141"/>
      <c r="L477" s="141"/>
    </row>
    <row r="478" ht="14.25" customHeight="1">
      <c r="D478" s="3"/>
      <c r="F478" s="141"/>
      <c r="G478" s="141"/>
      <c r="H478" s="141"/>
      <c r="I478" s="141"/>
      <c r="J478" s="141"/>
      <c r="K478" s="141"/>
      <c r="L478" s="141"/>
    </row>
    <row r="479" ht="14.25" customHeight="1">
      <c r="D479" s="3"/>
      <c r="F479" s="141"/>
      <c r="G479" s="141"/>
      <c r="H479" s="141"/>
      <c r="I479" s="141"/>
      <c r="J479" s="141"/>
      <c r="K479" s="141"/>
      <c r="L479" s="141"/>
    </row>
    <row r="480" ht="14.25" customHeight="1">
      <c r="D480" s="3"/>
      <c r="F480" s="141"/>
      <c r="G480" s="141"/>
      <c r="H480" s="141"/>
      <c r="I480" s="141"/>
      <c r="J480" s="141"/>
      <c r="K480" s="141"/>
      <c r="L480" s="141"/>
    </row>
    <row r="481" ht="14.25" customHeight="1">
      <c r="D481" s="3"/>
      <c r="F481" s="141"/>
      <c r="G481" s="141"/>
      <c r="H481" s="141"/>
      <c r="I481" s="141"/>
      <c r="J481" s="141"/>
      <c r="K481" s="141"/>
      <c r="L481" s="141"/>
    </row>
    <row r="482" ht="14.25" customHeight="1">
      <c r="D482" s="3"/>
      <c r="F482" s="141"/>
      <c r="G482" s="141"/>
      <c r="H482" s="141"/>
      <c r="I482" s="141"/>
      <c r="J482" s="141"/>
      <c r="K482" s="141"/>
      <c r="L482" s="141"/>
    </row>
    <row r="483" ht="14.25" customHeight="1">
      <c r="D483" s="3"/>
      <c r="F483" s="141"/>
      <c r="G483" s="141"/>
      <c r="H483" s="141"/>
      <c r="I483" s="141"/>
      <c r="J483" s="141"/>
      <c r="K483" s="141"/>
      <c r="L483" s="141"/>
    </row>
    <row r="484" ht="14.25" customHeight="1">
      <c r="D484" s="3"/>
      <c r="F484" s="141"/>
      <c r="G484" s="141"/>
      <c r="H484" s="141"/>
      <c r="I484" s="141"/>
      <c r="J484" s="141"/>
      <c r="K484" s="141"/>
      <c r="L484" s="141"/>
    </row>
    <row r="485" ht="14.25" customHeight="1">
      <c r="D485" s="3"/>
      <c r="F485" s="141"/>
      <c r="G485" s="141"/>
      <c r="H485" s="141"/>
      <c r="I485" s="141"/>
      <c r="J485" s="141"/>
      <c r="K485" s="141"/>
      <c r="L485" s="141"/>
    </row>
    <row r="486" ht="14.25" customHeight="1">
      <c r="D486" s="3"/>
      <c r="F486" s="141"/>
      <c r="G486" s="141"/>
      <c r="H486" s="141"/>
      <c r="I486" s="141"/>
      <c r="J486" s="141"/>
      <c r="K486" s="141"/>
      <c r="L486" s="141"/>
    </row>
    <row r="487" ht="14.25" customHeight="1">
      <c r="D487" s="3"/>
      <c r="F487" s="141"/>
      <c r="G487" s="141"/>
      <c r="H487" s="141"/>
      <c r="I487" s="141"/>
      <c r="J487" s="141"/>
      <c r="K487" s="141"/>
      <c r="L487" s="141"/>
    </row>
    <row r="488" ht="14.25" customHeight="1">
      <c r="D488" s="3"/>
      <c r="F488" s="141"/>
      <c r="G488" s="141"/>
      <c r="H488" s="141"/>
      <c r="I488" s="141"/>
      <c r="J488" s="141"/>
      <c r="K488" s="141"/>
      <c r="L488" s="141"/>
    </row>
    <row r="489" ht="14.25" customHeight="1">
      <c r="D489" s="3"/>
      <c r="F489" s="141"/>
      <c r="G489" s="141"/>
      <c r="H489" s="141"/>
      <c r="I489" s="141"/>
      <c r="J489" s="141"/>
      <c r="K489" s="141"/>
      <c r="L489" s="141"/>
    </row>
    <row r="490" ht="14.25" customHeight="1">
      <c r="D490" s="3"/>
      <c r="F490" s="141"/>
      <c r="G490" s="141"/>
      <c r="H490" s="141"/>
      <c r="I490" s="141"/>
      <c r="J490" s="141"/>
      <c r="K490" s="141"/>
      <c r="L490" s="141"/>
    </row>
    <row r="491" ht="14.25" customHeight="1">
      <c r="D491" s="3"/>
      <c r="F491" s="141"/>
      <c r="G491" s="141"/>
      <c r="H491" s="141"/>
      <c r="I491" s="141"/>
      <c r="J491" s="141"/>
      <c r="K491" s="141"/>
      <c r="L491" s="141"/>
    </row>
    <row r="492" ht="14.25" customHeight="1">
      <c r="D492" s="3"/>
      <c r="F492" s="141"/>
      <c r="G492" s="141"/>
      <c r="H492" s="141"/>
      <c r="I492" s="141"/>
      <c r="J492" s="141"/>
      <c r="K492" s="141"/>
      <c r="L492" s="141"/>
    </row>
    <row r="493" ht="14.25" customHeight="1">
      <c r="D493" s="3"/>
      <c r="F493" s="141"/>
      <c r="G493" s="141"/>
      <c r="H493" s="141"/>
      <c r="I493" s="141"/>
      <c r="J493" s="141"/>
      <c r="K493" s="141"/>
      <c r="L493" s="141"/>
    </row>
    <row r="494" ht="14.25" customHeight="1">
      <c r="D494" s="3"/>
      <c r="F494" s="141"/>
      <c r="G494" s="141"/>
      <c r="H494" s="141"/>
      <c r="I494" s="141"/>
      <c r="J494" s="141"/>
      <c r="K494" s="141"/>
      <c r="L494" s="141"/>
    </row>
    <row r="495" ht="14.25" customHeight="1">
      <c r="D495" s="3"/>
      <c r="F495" s="141"/>
      <c r="G495" s="141"/>
      <c r="H495" s="141"/>
      <c r="I495" s="141"/>
      <c r="J495" s="141"/>
      <c r="K495" s="141"/>
      <c r="L495" s="141"/>
    </row>
    <row r="496" ht="14.25" customHeight="1">
      <c r="D496" s="3"/>
      <c r="F496" s="141"/>
      <c r="G496" s="141"/>
      <c r="H496" s="141"/>
      <c r="I496" s="141"/>
      <c r="J496" s="141"/>
      <c r="K496" s="141"/>
      <c r="L496" s="141"/>
    </row>
    <row r="497" ht="14.25" customHeight="1">
      <c r="D497" s="3"/>
      <c r="F497" s="141"/>
      <c r="G497" s="141"/>
      <c r="H497" s="141"/>
      <c r="I497" s="141"/>
      <c r="J497" s="141"/>
      <c r="K497" s="141"/>
      <c r="L497" s="141"/>
    </row>
    <row r="498" ht="14.25" customHeight="1">
      <c r="D498" s="3"/>
      <c r="F498" s="141"/>
      <c r="G498" s="141"/>
      <c r="H498" s="141"/>
      <c r="I498" s="141"/>
      <c r="J498" s="141"/>
      <c r="K498" s="141"/>
      <c r="L498" s="141"/>
    </row>
    <row r="499" ht="14.25" customHeight="1">
      <c r="D499" s="3"/>
      <c r="F499" s="141"/>
      <c r="G499" s="141"/>
      <c r="H499" s="141"/>
      <c r="I499" s="141"/>
      <c r="J499" s="141"/>
      <c r="K499" s="141"/>
      <c r="L499" s="141"/>
    </row>
    <row r="500" ht="14.25" customHeight="1">
      <c r="D500" s="3"/>
      <c r="F500" s="141"/>
      <c r="G500" s="141"/>
      <c r="H500" s="141"/>
      <c r="I500" s="141"/>
      <c r="J500" s="141"/>
      <c r="K500" s="141"/>
      <c r="L500" s="141"/>
    </row>
    <row r="501" ht="14.25" customHeight="1">
      <c r="D501" s="3"/>
      <c r="F501" s="141"/>
      <c r="G501" s="141"/>
      <c r="H501" s="141"/>
      <c r="I501" s="141"/>
      <c r="J501" s="141"/>
      <c r="K501" s="141"/>
      <c r="L501" s="141"/>
    </row>
    <row r="502" ht="14.25" customHeight="1">
      <c r="D502" s="3"/>
      <c r="F502" s="141"/>
      <c r="G502" s="141"/>
      <c r="H502" s="141"/>
      <c r="I502" s="141"/>
      <c r="J502" s="141"/>
      <c r="K502" s="141"/>
      <c r="L502" s="141"/>
    </row>
    <row r="503" ht="14.25" customHeight="1">
      <c r="D503" s="3"/>
      <c r="F503" s="141"/>
      <c r="G503" s="141"/>
      <c r="H503" s="141"/>
      <c r="I503" s="141"/>
      <c r="J503" s="141"/>
      <c r="K503" s="141"/>
      <c r="L503" s="141"/>
    </row>
    <row r="504" ht="14.25" customHeight="1">
      <c r="D504" s="3"/>
      <c r="F504" s="141"/>
      <c r="G504" s="141"/>
      <c r="H504" s="141"/>
      <c r="I504" s="141"/>
      <c r="J504" s="141"/>
      <c r="K504" s="141"/>
      <c r="L504" s="141"/>
    </row>
    <row r="505" ht="14.25" customHeight="1">
      <c r="D505" s="3"/>
      <c r="F505" s="141"/>
      <c r="G505" s="141"/>
      <c r="H505" s="141"/>
      <c r="I505" s="141"/>
      <c r="J505" s="141"/>
      <c r="K505" s="141"/>
      <c r="L505" s="141"/>
    </row>
    <row r="506" ht="14.25" customHeight="1">
      <c r="D506" s="3"/>
      <c r="F506" s="141"/>
      <c r="G506" s="141"/>
      <c r="H506" s="141"/>
      <c r="I506" s="141"/>
      <c r="J506" s="141"/>
      <c r="K506" s="141"/>
      <c r="L506" s="141"/>
    </row>
    <row r="507" ht="14.25" customHeight="1">
      <c r="D507" s="3"/>
      <c r="F507" s="141"/>
      <c r="G507" s="141"/>
      <c r="H507" s="141"/>
      <c r="I507" s="141"/>
      <c r="J507" s="141"/>
      <c r="K507" s="141"/>
      <c r="L507" s="141"/>
    </row>
    <row r="508" ht="14.25" customHeight="1">
      <c r="D508" s="3"/>
      <c r="F508" s="141"/>
      <c r="G508" s="141"/>
      <c r="H508" s="141"/>
      <c r="I508" s="141"/>
      <c r="J508" s="141"/>
      <c r="K508" s="141"/>
      <c r="L508" s="141"/>
    </row>
    <row r="509" ht="14.25" customHeight="1">
      <c r="D509" s="3"/>
      <c r="F509" s="141"/>
      <c r="G509" s="141"/>
      <c r="H509" s="141"/>
      <c r="I509" s="141"/>
      <c r="J509" s="141"/>
      <c r="K509" s="141"/>
      <c r="L509" s="141"/>
    </row>
    <row r="510" ht="14.25" customHeight="1">
      <c r="D510" s="3"/>
      <c r="F510" s="141"/>
      <c r="G510" s="141"/>
      <c r="H510" s="141"/>
      <c r="I510" s="141"/>
      <c r="J510" s="141"/>
      <c r="K510" s="141"/>
      <c r="L510" s="141"/>
    </row>
    <row r="511" ht="14.25" customHeight="1">
      <c r="D511" s="3"/>
      <c r="F511" s="141"/>
      <c r="G511" s="141"/>
      <c r="H511" s="141"/>
      <c r="I511" s="141"/>
      <c r="J511" s="141"/>
      <c r="K511" s="141"/>
      <c r="L511" s="141"/>
    </row>
    <row r="512" ht="14.25" customHeight="1">
      <c r="D512" s="3"/>
      <c r="F512" s="141"/>
      <c r="G512" s="141"/>
      <c r="H512" s="141"/>
      <c r="I512" s="141"/>
      <c r="J512" s="141"/>
      <c r="K512" s="141"/>
      <c r="L512" s="141"/>
    </row>
    <row r="513" ht="14.25" customHeight="1">
      <c r="D513" s="3"/>
      <c r="F513" s="141"/>
      <c r="G513" s="141"/>
      <c r="H513" s="141"/>
      <c r="I513" s="141"/>
      <c r="J513" s="141"/>
      <c r="K513" s="141"/>
      <c r="L513" s="141"/>
    </row>
    <row r="514" ht="14.25" customHeight="1">
      <c r="D514" s="3"/>
      <c r="F514" s="141"/>
      <c r="G514" s="141"/>
      <c r="H514" s="141"/>
      <c r="I514" s="141"/>
      <c r="J514" s="141"/>
      <c r="K514" s="141"/>
      <c r="L514" s="141"/>
    </row>
    <row r="515" ht="14.25" customHeight="1">
      <c r="D515" s="3"/>
      <c r="F515" s="141"/>
      <c r="G515" s="141"/>
      <c r="H515" s="141"/>
      <c r="I515" s="141"/>
      <c r="J515" s="141"/>
      <c r="K515" s="141"/>
      <c r="L515" s="141"/>
    </row>
    <row r="516" ht="14.25" customHeight="1">
      <c r="D516" s="3"/>
      <c r="F516" s="141"/>
      <c r="G516" s="141"/>
      <c r="H516" s="141"/>
      <c r="I516" s="141"/>
      <c r="J516" s="141"/>
      <c r="K516" s="141"/>
      <c r="L516" s="141"/>
    </row>
    <row r="517" ht="14.25" customHeight="1">
      <c r="D517" s="3"/>
      <c r="F517" s="141"/>
      <c r="G517" s="141"/>
      <c r="H517" s="141"/>
      <c r="I517" s="141"/>
      <c r="J517" s="141"/>
      <c r="K517" s="141"/>
      <c r="L517" s="141"/>
    </row>
    <row r="518" ht="14.25" customHeight="1">
      <c r="D518" s="3"/>
      <c r="F518" s="141"/>
      <c r="G518" s="141"/>
      <c r="H518" s="141"/>
      <c r="I518" s="141"/>
      <c r="J518" s="141"/>
      <c r="K518" s="141"/>
      <c r="L518" s="141"/>
    </row>
    <row r="519" ht="14.25" customHeight="1">
      <c r="D519" s="3"/>
      <c r="F519" s="141"/>
      <c r="G519" s="141"/>
      <c r="H519" s="141"/>
      <c r="I519" s="141"/>
      <c r="J519" s="141"/>
      <c r="K519" s="141"/>
      <c r="L519" s="141"/>
    </row>
    <row r="520" ht="14.25" customHeight="1">
      <c r="D520" s="3"/>
      <c r="F520" s="141"/>
      <c r="G520" s="141"/>
      <c r="H520" s="141"/>
      <c r="I520" s="141"/>
      <c r="J520" s="141"/>
      <c r="K520" s="141"/>
      <c r="L520" s="141"/>
    </row>
    <row r="521" ht="14.25" customHeight="1">
      <c r="D521" s="3"/>
      <c r="F521" s="141"/>
      <c r="G521" s="141"/>
      <c r="H521" s="141"/>
      <c r="I521" s="141"/>
      <c r="J521" s="141"/>
      <c r="K521" s="141"/>
      <c r="L521" s="141"/>
    </row>
    <row r="522" ht="14.25" customHeight="1">
      <c r="D522" s="3"/>
      <c r="F522" s="141"/>
      <c r="G522" s="141"/>
      <c r="H522" s="141"/>
      <c r="I522" s="141"/>
      <c r="J522" s="141"/>
      <c r="K522" s="141"/>
      <c r="L522" s="141"/>
    </row>
    <row r="523" ht="14.25" customHeight="1">
      <c r="D523" s="3"/>
      <c r="F523" s="141"/>
      <c r="G523" s="141"/>
      <c r="H523" s="141"/>
      <c r="I523" s="141"/>
      <c r="J523" s="141"/>
      <c r="K523" s="141"/>
      <c r="L523" s="141"/>
    </row>
    <row r="524" ht="14.25" customHeight="1">
      <c r="D524" s="3"/>
      <c r="F524" s="141"/>
      <c r="G524" s="141"/>
      <c r="H524" s="141"/>
      <c r="I524" s="141"/>
      <c r="J524" s="141"/>
      <c r="K524" s="141"/>
      <c r="L524" s="141"/>
    </row>
    <row r="525" ht="14.25" customHeight="1">
      <c r="D525" s="3"/>
      <c r="F525" s="141"/>
      <c r="G525" s="141"/>
      <c r="H525" s="141"/>
      <c r="I525" s="141"/>
      <c r="J525" s="141"/>
      <c r="K525" s="141"/>
      <c r="L525" s="141"/>
    </row>
    <row r="526" ht="14.25" customHeight="1">
      <c r="D526" s="3"/>
      <c r="F526" s="141"/>
      <c r="G526" s="141"/>
      <c r="H526" s="141"/>
      <c r="I526" s="141"/>
      <c r="J526" s="141"/>
      <c r="K526" s="141"/>
      <c r="L526" s="141"/>
    </row>
    <row r="527" ht="14.25" customHeight="1">
      <c r="D527" s="3"/>
      <c r="F527" s="141"/>
      <c r="G527" s="141"/>
      <c r="H527" s="141"/>
      <c r="I527" s="141"/>
      <c r="J527" s="141"/>
      <c r="K527" s="141"/>
      <c r="L527" s="141"/>
    </row>
    <row r="528" ht="14.25" customHeight="1">
      <c r="D528" s="3"/>
      <c r="F528" s="141"/>
      <c r="G528" s="141"/>
      <c r="H528" s="141"/>
      <c r="I528" s="141"/>
      <c r="J528" s="141"/>
      <c r="K528" s="141"/>
      <c r="L528" s="141"/>
    </row>
    <row r="529" ht="14.25" customHeight="1">
      <c r="D529" s="3"/>
      <c r="F529" s="141"/>
      <c r="G529" s="141"/>
      <c r="H529" s="141"/>
      <c r="I529" s="141"/>
      <c r="J529" s="141"/>
      <c r="K529" s="141"/>
      <c r="L529" s="141"/>
    </row>
    <row r="530" ht="14.25" customHeight="1">
      <c r="D530" s="3"/>
      <c r="F530" s="141"/>
      <c r="G530" s="141"/>
      <c r="H530" s="141"/>
      <c r="I530" s="141"/>
      <c r="J530" s="141"/>
      <c r="K530" s="141"/>
      <c r="L530" s="141"/>
    </row>
    <row r="531" ht="14.25" customHeight="1">
      <c r="D531" s="3"/>
      <c r="F531" s="141"/>
      <c r="G531" s="141"/>
      <c r="H531" s="141"/>
      <c r="I531" s="141"/>
      <c r="J531" s="141"/>
      <c r="K531" s="141"/>
      <c r="L531" s="141"/>
    </row>
    <row r="532" ht="14.25" customHeight="1">
      <c r="D532" s="3"/>
      <c r="F532" s="141"/>
      <c r="G532" s="141"/>
      <c r="H532" s="141"/>
      <c r="I532" s="141"/>
      <c r="J532" s="141"/>
      <c r="K532" s="141"/>
      <c r="L532" s="141"/>
    </row>
    <row r="533" ht="14.25" customHeight="1">
      <c r="D533" s="3"/>
      <c r="F533" s="141"/>
      <c r="G533" s="141"/>
      <c r="H533" s="141"/>
      <c r="I533" s="141"/>
      <c r="J533" s="141"/>
      <c r="K533" s="141"/>
      <c r="L533" s="141"/>
    </row>
    <row r="534" ht="14.25" customHeight="1">
      <c r="D534" s="3"/>
      <c r="F534" s="141"/>
      <c r="G534" s="141"/>
      <c r="H534" s="141"/>
      <c r="I534" s="141"/>
      <c r="J534" s="141"/>
      <c r="K534" s="141"/>
      <c r="L534" s="141"/>
    </row>
    <row r="535" ht="14.25" customHeight="1">
      <c r="D535" s="3"/>
      <c r="F535" s="141"/>
      <c r="G535" s="141"/>
      <c r="H535" s="141"/>
      <c r="I535" s="141"/>
      <c r="J535" s="141"/>
      <c r="K535" s="141"/>
      <c r="L535" s="141"/>
    </row>
    <row r="536" ht="14.25" customHeight="1">
      <c r="D536" s="3"/>
      <c r="F536" s="141"/>
      <c r="G536" s="141"/>
      <c r="H536" s="141"/>
      <c r="I536" s="141"/>
      <c r="J536" s="141"/>
      <c r="K536" s="141"/>
      <c r="L536" s="141"/>
    </row>
    <row r="537" ht="14.25" customHeight="1">
      <c r="D537" s="3"/>
      <c r="F537" s="141"/>
      <c r="G537" s="141"/>
      <c r="H537" s="141"/>
      <c r="I537" s="141"/>
      <c r="J537" s="141"/>
      <c r="K537" s="141"/>
      <c r="L537" s="141"/>
    </row>
    <row r="538" ht="14.25" customHeight="1">
      <c r="D538" s="3"/>
      <c r="F538" s="141"/>
      <c r="G538" s="141"/>
      <c r="H538" s="141"/>
      <c r="I538" s="141"/>
      <c r="J538" s="141"/>
      <c r="K538" s="141"/>
      <c r="L538" s="141"/>
    </row>
    <row r="539" ht="14.25" customHeight="1">
      <c r="D539" s="3"/>
      <c r="F539" s="141"/>
      <c r="G539" s="141"/>
      <c r="H539" s="141"/>
      <c r="I539" s="141"/>
      <c r="J539" s="141"/>
      <c r="K539" s="141"/>
      <c r="L539" s="141"/>
    </row>
    <row r="540" ht="14.25" customHeight="1">
      <c r="D540" s="3"/>
      <c r="F540" s="141"/>
      <c r="G540" s="141"/>
      <c r="H540" s="141"/>
      <c r="I540" s="141"/>
      <c r="J540" s="141"/>
      <c r="K540" s="141"/>
      <c r="L540" s="141"/>
    </row>
    <row r="541" ht="14.25" customHeight="1">
      <c r="D541" s="3"/>
      <c r="F541" s="141"/>
      <c r="G541" s="141"/>
      <c r="H541" s="141"/>
      <c r="I541" s="141"/>
      <c r="J541" s="141"/>
      <c r="K541" s="141"/>
      <c r="L541" s="141"/>
    </row>
    <row r="542" ht="14.25" customHeight="1">
      <c r="D542" s="3"/>
      <c r="F542" s="141"/>
      <c r="G542" s="141"/>
      <c r="H542" s="141"/>
      <c r="I542" s="141"/>
      <c r="J542" s="141"/>
      <c r="K542" s="141"/>
      <c r="L542" s="141"/>
    </row>
    <row r="543" ht="14.25" customHeight="1">
      <c r="D543" s="3"/>
      <c r="F543" s="141"/>
      <c r="G543" s="141"/>
      <c r="H543" s="141"/>
      <c r="I543" s="141"/>
      <c r="J543" s="141"/>
      <c r="K543" s="141"/>
      <c r="L543" s="141"/>
    </row>
    <row r="544" ht="14.25" customHeight="1">
      <c r="D544" s="3"/>
      <c r="F544" s="141"/>
      <c r="G544" s="141"/>
      <c r="H544" s="141"/>
      <c r="I544" s="141"/>
      <c r="J544" s="141"/>
      <c r="K544" s="141"/>
      <c r="L544" s="141"/>
    </row>
    <row r="545" ht="14.25" customHeight="1">
      <c r="D545" s="3"/>
      <c r="F545" s="141"/>
      <c r="G545" s="141"/>
      <c r="H545" s="141"/>
      <c r="I545" s="141"/>
      <c r="J545" s="141"/>
      <c r="K545" s="141"/>
      <c r="L545" s="141"/>
    </row>
    <row r="546" ht="14.25" customHeight="1">
      <c r="D546" s="3"/>
      <c r="F546" s="141"/>
      <c r="G546" s="141"/>
      <c r="H546" s="141"/>
      <c r="I546" s="141"/>
      <c r="J546" s="141"/>
      <c r="K546" s="141"/>
      <c r="L546" s="141"/>
    </row>
    <row r="547" ht="14.25" customHeight="1">
      <c r="D547" s="3"/>
      <c r="F547" s="141"/>
      <c r="G547" s="141"/>
      <c r="H547" s="141"/>
      <c r="I547" s="141"/>
      <c r="J547" s="141"/>
      <c r="K547" s="141"/>
      <c r="L547" s="141"/>
    </row>
    <row r="548" ht="14.25" customHeight="1">
      <c r="D548" s="3"/>
      <c r="F548" s="141"/>
      <c r="G548" s="141"/>
      <c r="H548" s="141"/>
      <c r="I548" s="141"/>
      <c r="J548" s="141"/>
      <c r="K548" s="141"/>
      <c r="L548" s="141"/>
    </row>
    <row r="549" ht="14.25" customHeight="1">
      <c r="D549" s="3"/>
      <c r="F549" s="141"/>
      <c r="G549" s="141"/>
      <c r="H549" s="141"/>
      <c r="I549" s="141"/>
      <c r="J549" s="141"/>
      <c r="K549" s="141"/>
      <c r="L549" s="141"/>
    </row>
    <row r="550" ht="14.25" customHeight="1">
      <c r="D550" s="3"/>
      <c r="F550" s="141"/>
      <c r="G550" s="141"/>
      <c r="H550" s="141"/>
      <c r="I550" s="141"/>
      <c r="J550" s="141"/>
      <c r="K550" s="141"/>
      <c r="L550" s="141"/>
    </row>
    <row r="551" ht="14.25" customHeight="1">
      <c r="D551" s="3"/>
      <c r="F551" s="141"/>
      <c r="G551" s="141"/>
      <c r="H551" s="141"/>
      <c r="I551" s="141"/>
      <c r="J551" s="141"/>
      <c r="K551" s="141"/>
      <c r="L551" s="141"/>
    </row>
    <row r="552" ht="14.25" customHeight="1">
      <c r="D552" s="3"/>
      <c r="F552" s="141"/>
      <c r="G552" s="141"/>
      <c r="H552" s="141"/>
      <c r="I552" s="141"/>
      <c r="J552" s="141"/>
      <c r="K552" s="141"/>
      <c r="L552" s="141"/>
    </row>
    <row r="553" ht="14.25" customHeight="1">
      <c r="D553" s="3"/>
      <c r="F553" s="141"/>
      <c r="G553" s="141"/>
      <c r="H553" s="141"/>
      <c r="I553" s="141"/>
      <c r="J553" s="141"/>
      <c r="K553" s="141"/>
      <c r="L553" s="141"/>
    </row>
    <row r="554" ht="14.25" customHeight="1">
      <c r="D554" s="3"/>
      <c r="F554" s="141"/>
      <c r="G554" s="141"/>
      <c r="H554" s="141"/>
      <c r="I554" s="141"/>
      <c r="J554" s="141"/>
      <c r="K554" s="141"/>
      <c r="L554" s="141"/>
    </row>
    <row r="555" ht="14.25" customHeight="1">
      <c r="D555" s="3"/>
      <c r="F555" s="141"/>
      <c r="G555" s="141"/>
      <c r="H555" s="141"/>
      <c r="I555" s="141"/>
      <c r="J555" s="141"/>
      <c r="K555" s="141"/>
      <c r="L555" s="141"/>
    </row>
    <row r="556" ht="14.25" customHeight="1">
      <c r="D556" s="3"/>
      <c r="F556" s="141"/>
      <c r="G556" s="141"/>
      <c r="H556" s="141"/>
      <c r="I556" s="141"/>
      <c r="J556" s="141"/>
      <c r="K556" s="141"/>
      <c r="L556" s="141"/>
    </row>
    <row r="557" ht="14.25" customHeight="1">
      <c r="D557" s="3"/>
      <c r="F557" s="141"/>
      <c r="G557" s="141"/>
      <c r="H557" s="141"/>
      <c r="I557" s="141"/>
      <c r="J557" s="141"/>
      <c r="K557" s="141"/>
      <c r="L557" s="141"/>
    </row>
    <row r="558" ht="14.25" customHeight="1">
      <c r="D558" s="3"/>
      <c r="F558" s="141"/>
      <c r="G558" s="141"/>
      <c r="H558" s="141"/>
      <c r="I558" s="141"/>
      <c r="J558" s="141"/>
      <c r="K558" s="141"/>
      <c r="L558" s="141"/>
    </row>
    <row r="559" ht="14.25" customHeight="1">
      <c r="D559" s="3"/>
      <c r="F559" s="141"/>
      <c r="G559" s="141"/>
      <c r="H559" s="141"/>
      <c r="I559" s="141"/>
      <c r="J559" s="141"/>
      <c r="K559" s="141"/>
      <c r="L559" s="141"/>
    </row>
    <row r="560" ht="14.25" customHeight="1">
      <c r="D560" s="3"/>
      <c r="F560" s="141"/>
      <c r="G560" s="141"/>
      <c r="H560" s="141"/>
      <c r="I560" s="141"/>
      <c r="J560" s="141"/>
      <c r="K560" s="141"/>
      <c r="L560" s="141"/>
    </row>
    <row r="561" ht="14.25" customHeight="1">
      <c r="D561" s="3"/>
      <c r="F561" s="141"/>
      <c r="G561" s="141"/>
      <c r="H561" s="141"/>
      <c r="I561" s="141"/>
      <c r="J561" s="141"/>
      <c r="K561" s="141"/>
      <c r="L561" s="141"/>
    </row>
    <row r="562" ht="14.25" customHeight="1">
      <c r="D562" s="3"/>
      <c r="F562" s="141"/>
      <c r="G562" s="141"/>
      <c r="H562" s="141"/>
      <c r="I562" s="141"/>
      <c r="J562" s="141"/>
      <c r="K562" s="141"/>
      <c r="L562" s="141"/>
    </row>
    <row r="563" ht="14.25" customHeight="1">
      <c r="D563" s="3"/>
      <c r="F563" s="141"/>
      <c r="G563" s="141"/>
      <c r="H563" s="141"/>
      <c r="I563" s="141"/>
      <c r="J563" s="141"/>
      <c r="K563" s="141"/>
      <c r="L563" s="141"/>
    </row>
    <row r="564" ht="14.25" customHeight="1">
      <c r="D564" s="3"/>
      <c r="F564" s="141"/>
      <c r="G564" s="141"/>
      <c r="H564" s="141"/>
      <c r="I564" s="141"/>
      <c r="J564" s="141"/>
      <c r="K564" s="141"/>
      <c r="L564" s="141"/>
    </row>
    <row r="565" ht="14.25" customHeight="1">
      <c r="D565" s="3"/>
      <c r="F565" s="141"/>
      <c r="G565" s="141"/>
      <c r="H565" s="141"/>
      <c r="I565" s="141"/>
      <c r="J565" s="141"/>
      <c r="K565" s="141"/>
      <c r="L565" s="141"/>
    </row>
    <row r="566" ht="14.25" customHeight="1">
      <c r="D566" s="3"/>
      <c r="F566" s="141"/>
      <c r="G566" s="141"/>
      <c r="H566" s="141"/>
      <c r="I566" s="141"/>
      <c r="J566" s="141"/>
      <c r="K566" s="141"/>
      <c r="L566" s="141"/>
    </row>
    <row r="567" ht="14.25" customHeight="1">
      <c r="D567" s="3"/>
      <c r="F567" s="141"/>
      <c r="G567" s="141"/>
      <c r="H567" s="141"/>
      <c r="I567" s="141"/>
      <c r="J567" s="141"/>
      <c r="K567" s="141"/>
      <c r="L567" s="141"/>
    </row>
    <row r="568" ht="14.25" customHeight="1">
      <c r="D568" s="3"/>
      <c r="F568" s="141"/>
      <c r="G568" s="141"/>
      <c r="H568" s="141"/>
      <c r="I568" s="141"/>
      <c r="J568" s="141"/>
      <c r="K568" s="141"/>
      <c r="L568" s="141"/>
    </row>
    <row r="569" ht="14.25" customHeight="1">
      <c r="D569" s="3"/>
      <c r="F569" s="141"/>
      <c r="G569" s="141"/>
      <c r="H569" s="141"/>
      <c r="I569" s="141"/>
      <c r="J569" s="141"/>
      <c r="K569" s="141"/>
      <c r="L569" s="141"/>
    </row>
    <row r="570" ht="14.25" customHeight="1">
      <c r="D570" s="3"/>
      <c r="F570" s="141"/>
      <c r="G570" s="141"/>
      <c r="H570" s="141"/>
      <c r="I570" s="141"/>
      <c r="J570" s="141"/>
      <c r="K570" s="141"/>
      <c r="L570" s="141"/>
    </row>
    <row r="571" ht="14.25" customHeight="1">
      <c r="D571" s="3"/>
      <c r="F571" s="141"/>
      <c r="G571" s="141"/>
      <c r="H571" s="141"/>
      <c r="I571" s="141"/>
      <c r="J571" s="141"/>
      <c r="K571" s="141"/>
      <c r="L571" s="141"/>
    </row>
    <row r="572" ht="14.25" customHeight="1">
      <c r="D572" s="3"/>
      <c r="F572" s="141"/>
      <c r="G572" s="141"/>
      <c r="H572" s="141"/>
      <c r="I572" s="141"/>
      <c r="J572" s="141"/>
      <c r="K572" s="141"/>
      <c r="L572" s="141"/>
    </row>
    <row r="573" ht="14.25" customHeight="1">
      <c r="D573" s="3"/>
      <c r="F573" s="141"/>
      <c r="G573" s="141"/>
      <c r="H573" s="141"/>
      <c r="I573" s="141"/>
      <c r="J573" s="141"/>
      <c r="K573" s="141"/>
      <c r="L573" s="141"/>
    </row>
    <row r="574" ht="14.25" customHeight="1">
      <c r="D574" s="3"/>
      <c r="F574" s="141"/>
      <c r="G574" s="141"/>
      <c r="H574" s="141"/>
      <c r="I574" s="141"/>
      <c r="J574" s="141"/>
      <c r="K574" s="141"/>
      <c r="L574" s="141"/>
    </row>
    <row r="575" ht="14.25" customHeight="1">
      <c r="D575" s="3"/>
      <c r="F575" s="141"/>
      <c r="G575" s="141"/>
      <c r="H575" s="141"/>
      <c r="I575" s="141"/>
      <c r="J575" s="141"/>
      <c r="K575" s="141"/>
      <c r="L575" s="141"/>
    </row>
    <row r="576" ht="14.25" customHeight="1">
      <c r="D576" s="3"/>
      <c r="F576" s="141"/>
      <c r="G576" s="141"/>
      <c r="H576" s="141"/>
      <c r="I576" s="141"/>
      <c r="J576" s="141"/>
      <c r="K576" s="141"/>
      <c r="L576" s="141"/>
    </row>
    <row r="577" ht="14.25" customHeight="1">
      <c r="D577" s="3"/>
      <c r="F577" s="141"/>
      <c r="G577" s="141"/>
      <c r="H577" s="141"/>
      <c r="I577" s="141"/>
      <c r="J577" s="141"/>
      <c r="K577" s="141"/>
      <c r="L577" s="141"/>
    </row>
    <row r="578" ht="14.25" customHeight="1">
      <c r="D578" s="3"/>
      <c r="F578" s="141"/>
      <c r="G578" s="141"/>
      <c r="H578" s="141"/>
      <c r="I578" s="141"/>
      <c r="J578" s="141"/>
      <c r="K578" s="141"/>
      <c r="L578" s="141"/>
    </row>
    <row r="579" ht="14.25" customHeight="1">
      <c r="D579" s="3"/>
      <c r="F579" s="141"/>
      <c r="G579" s="141"/>
      <c r="H579" s="141"/>
      <c r="I579" s="141"/>
      <c r="J579" s="141"/>
      <c r="K579" s="141"/>
      <c r="L579" s="141"/>
    </row>
    <row r="580" ht="14.25" customHeight="1">
      <c r="D580" s="3"/>
      <c r="F580" s="141"/>
      <c r="G580" s="141"/>
      <c r="H580" s="141"/>
      <c r="I580" s="141"/>
      <c r="J580" s="141"/>
      <c r="K580" s="141"/>
      <c r="L580" s="141"/>
    </row>
    <row r="581" ht="14.25" customHeight="1">
      <c r="D581" s="3"/>
      <c r="F581" s="141"/>
      <c r="G581" s="141"/>
      <c r="H581" s="141"/>
      <c r="I581" s="141"/>
      <c r="J581" s="141"/>
      <c r="K581" s="141"/>
      <c r="L581" s="141"/>
    </row>
    <row r="582" ht="14.25" customHeight="1">
      <c r="D582" s="3"/>
      <c r="F582" s="141"/>
      <c r="G582" s="141"/>
      <c r="H582" s="141"/>
      <c r="I582" s="141"/>
      <c r="J582" s="141"/>
      <c r="K582" s="141"/>
      <c r="L582" s="141"/>
    </row>
    <row r="583" ht="14.25" customHeight="1">
      <c r="D583" s="3"/>
      <c r="F583" s="141"/>
      <c r="G583" s="141"/>
      <c r="H583" s="141"/>
      <c r="I583" s="141"/>
      <c r="J583" s="141"/>
      <c r="K583" s="141"/>
      <c r="L583" s="141"/>
    </row>
    <row r="584" ht="14.25" customHeight="1">
      <c r="D584" s="3"/>
      <c r="F584" s="141"/>
      <c r="G584" s="141"/>
      <c r="H584" s="141"/>
      <c r="I584" s="141"/>
      <c r="J584" s="141"/>
      <c r="K584" s="141"/>
      <c r="L584" s="141"/>
    </row>
    <row r="585" ht="14.25" customHeight="1">
      <c r="D585" s="3"/>
      <c r="F585" s="141"/>
      <c r="G585" s="141"/>
      <c r="H585" s="141"/>
      <c r="I585" s="141"/>
      <c r="J585" s="141"/>
      <c r="K585" s="141"/>
      <c r="L585" s="141"/>
    </row>
    <row r="586" ht="14.25" customHeight="1">
      <c r="D586" s="3"/>
      <c r="F586" s="141"/>
      <c r="G586" s="141"/>
      <c r="H586" s="141"/>
      <c r="I586" s="141"/>
      <c r="J586" s="141"/>
      <c r="K586" s="141"/>
      <c r="L586" s="141"/>
    </row>
    <row r="587" ht="14.25" customHeight="1">
      <c r="D587" s="3"/>
      <c r="F587" s="141"/>
      <c r="G587" s="141"/>
      <c r="H587" s="141"/>
      <c r="I587" s="141"/>
      <c r="J587" s="141"/>
      <c r="K587" s="141"/>
      <c r="L587" s="141"/>
    </row>
    <row r="588" ht="14.25" customHeight="1">
      <c r="D588" s="3"/>
      <c r="F588" s="141"/>
      <c r="G588" s="141"/>
      <c r="H588" s="141"/>
      <c r="I588" s="141"/>
      <c r="J588" s="141"/>
      <c r="K588" s="141"/>
      <c r="L588" s="141"/>
    </row>
    <row r="589" ht="14.25" customHeight="1">
      <c r="D589" s="3"/>
      <c r="F589" s="141"/>
      <c r="G589" s="141"/>
      <c r="H589" s="141"/>
      <c r="I589" s="141"/>
      <c r="J589" s="141"/>
      <c r="K589" s="141"/>
      <c r="L589" s="141"/>
    </row>
    <row r="590" ht="14.25" customHeight="1">
      <c r="D590" s="3"/>
      <c r="F590" s="141"/>
      <c r="G590" s="141"/>
      <c r="H590" s="141"/>
      <c r="I590" s="141"/>
      <c r="J590" s="141"/>
      <c r="K590" s="141"/>
      <c r="L590" s="141"/>
    </row>
    <row r="591" ht="14.25" customHeight="1">
      <c r="D591" s="3"/>
      <c r="F591" s="141"/>
      <c r="G591" s="141"/>
      <c r="H591" s="141"/>
      <c r="I591" s="141"/>
      <c r="J591" s="141"/>
      <c r="K591" s="141"/>
      <c r="L591" s="141"/>
    </row>
    <row r="592" ht="14.25" customHeight="1">
      <c r="D592" s="3"/>
      <c r="F592" s="141"/>
      <c r="G592" s="141"/>
      <c r="H592" s="141"/>
      <c r="I592" s="141"/>
      <c r="J592" s="141"/>
      <c r="K592" s="141"/>
      <c r="L592" s="141"/>
    </row>
    <row r="593" ht="14.25" customHeight="1">
      <c r="D593" s="3"/>
      <c r="F593" s="141"/>
      <c r="G593" s="141"/>
      <c r="H593" s="141"/>
      <c r="I593" s="141"/>
      <c r="J593" s="141"/>
      <c r="K593" s="141"/>
      <c r="L593" s="141"/>
    </row>
    <row r="594" ht="14.25" customHeight="1">
      <c r="D594" s="3"/>
      <c r="F594" s="141"/>
      <c r="G594" s="141"/>
      <c r="H594" s="141"/>
      <c r="I594" s="141"/>
      <c r="J594" s="141"/>
      <c r="K594" s="141"/>
      <c r="L594" s="141"/>
    </row>
    <row r="595" ht="14.25" customHeight="1">
      <c r="D595" s="3"/>
      <c r="F595" s="141"/>
      <c r="G595" s="141"/>
      <c r="H595" s="141"/>
      <c r="I595" s="141"/>
      <c r="J595" s="141"/>
      <c r="K595" s="141"/>
      <c r="L595" s="141"/>
    </row>
    <row r="596" ht="14.25" customHeight="1">
      <c r="D596" s="3"/>
      <c r="F596" s="141"/>
      <c r="G596" s="141"/>
      <c r="H596" s="141"/>
      <c r="I596" s="141"/>
      <c r="J596" s="141"/>
      <c r="K596" s="141"/>
      <c r="L596" s="141"/>
    </row>
    <row r="597" ht="14.25" customHeight="1">
      <c r="D597" s="3"/>
      <c r="F597" s="141"/>
      <c r="G597" s="141"/>
      <c r="H597" s="141"/>
      <c r="I597" s="141"/>
      <c r="J597" s="141"/>
      <c r="K597" s="141"/>
      <c r="L597" s="141"/>
    </row>
    <row r="598" ht="14.25" customHeight="1">
      <c r="D598" s="3"/>
      <c r="F598" s="141"/>
      <c r="G598" s="141"/>
      <c r="H598" s="141"/>
      <c r="I598" s="141"/>
      <c r="J598" s="141"/>
      <c r="K598" s="141"/>
      <c r="L598" s="141"/>
    </row>
    <row r="599" ht="14.25" customHeight="1">
      <c r="D599" s="3"/>
      <c r="F599" s="141"/>
      <c r="G599" s="141"/>
      <c r="H599" s="141"/>
      <c r="I599" s="141"/>
      <c r="J599" s="141"/>
      <c r="K599" s="141"/>
      <c r="L599" s="141"/>
    </row>
    <row r="600" ht="14.25" customHeight="1">
      <c r="D600" s="3"/>
      <c r="F600" s="141"/>
      <c r="G600" s="141"/>
      <c r="H600" s="141"/>
      <c r="I600" s="141"/>
      <c r="J600" s="141"/>
      <c r="K600" s="141"/>
      <c r="L600" s="141"/>
    </row>
    <row r="601" ht="14.25" customHeight="1">
      <c r="D601" s="3"/>
      <c r="F601" s="141"/>
      <c r="G601" s="141"/>
      <c r="H601" s="141"/>
      <c r="I601" s="141"/>
      <c r="J601" s="141"/>
      <c r="K601" s="141"/>
      <c r="L601" s="141"/>
    </row>
    <row r="602" ht="14.25" customHeight="1">
      <c r="D602" s="3"/>
      <c r="F602" s="141"/>
      <c r="G602" s="141"/>
      <c r="H602" s="141"/>
      <c r="I602" s="141"/>
      <c r="J602" s="141"/>
      <c r="K602" s="141"/>
      <c r="L602" s="141"/>
    </row>
    <row r="603" ht="14.25" customHeight="1">
      <c r="D603" s="3"/>
      <c r="F603" s="141"/>
      <c r="G603" s="141"/>
      <c r="H603" s="141"/>
      <c r="I603" s="141"/>
      <c r="J603" s="141"/>
      <c r="K603" s="141"/>
      <c r="L603" s="141"/>
    </row>
    <row r="604" ht="14.25" customHeight="1">
      <c r="D604" s="3"/>
      <c r="F604" s="141"/>
      <c r="G604" s="141"/>
      <c r="H604" s="141"/>
      <c r="I604" s="141"/>
      <c r="J604" s="141"/>
      <c r="K604" s="141"/>
      <c r="L604" s="141"/>
    </row>
    <row r="605" ht="14.25" customHeight="1">
      <c r="D605" s="3"/>
      <c r="F605" s="141"/>
      <c r="G605" s="141"/>
      <c r="H605" s="141"/>
      <c r="I605" s="141"/>
      <c r="J605" s="141"/>
      <c r="K605" s="141"/>
      <c r="L605" s="141"/>
    </row>
    <row r="606" ht="14.25" customHeight="1">
      <c r="D606" s="3"/>
      <c r="F606" s="141"/>
      <c r="G606" s="141"/>
      <c r="H606" s="141"/>
      <c r="I606" s="141"/>
      <c r="J606" s="141"/>
      <c r="K606" s="141"/>
      <c r="L606" s="141"/>
    </row>
    <row r="607" ht="14.25" customHeight="1">
      <c r="D607" s="3"/>
      <c r="F607" s="141"/>
      <c r="G607" s="141"/>
      <c r="H607" s="141"/>
      <c r="I607" s="141"/>
      <c r="J607" s="141"/>
      <c r="K607" s="141"/>
      <c r="L607" s="141"/>
    </row>
    <row r="608" ht="14.25" customHeight="1">
      <c r="D608" s="3"/>
      <c r="F608" s="141"/>
      <c r="G608" s="141"/>
      <c r="H608" s="141"/>
      <c r="I608" s="141"/>
      <c r="J608" s="141"/>
      <c r="K608" s="141"/>
      <c r="L608" s="141"/>
    </row>
    <row r="609" ht="14.25" customHeight="1">
      <c r="D609" s="3"/>
      <c r="F609" s="141"/>
      <c r="G609" s="141"/>
      <c r="H609" s="141"/>
      <c r="I609" s="141"/>
      <c r="J609" s="141"/>
      <c r="K609" s="141"/>
      <c r="L609" s="141"/>
    </row>
    <row r="610" ht="14.25" customHeight="1">
      <c r="D610" s="3"/>
      <c r="F610" s="141"/>
      <c r="G610" s="141"/>
      <c r="H610" s="141"/>
      <c r="I610" s="141"/>
      <c r="J610" s="141"/>
      <c r="K610" s="141"/>
      <c r="L610" s="141"/>
    </row>
    <row r="611" ht="14.25" customHeight="1">
      <c r="D611" s="3"/>
      <c r="F611" s="141"/>
      <c r="G611" s="141"/>
      <c r="H611" s="141"/>
      <c r="I611" s="141"/>
      <c r="J611" s="141"/>
      <c r="K611" s="141"/>
      <c r="L611" s="141"/>
    </row>
    <row r="612" ht="14.25" customHeight="1">
      <c r="D612" s="3"/>
      <c r="F612" s="141"/>
      <c r="G612" s="141"/>
      <c r="H612" s="141"/>
      <c r="I612" s="141"/>
      <c r="J612" s="141"/>
      <c r="K612" s="141"/>
      <c r="L612" s="141"/>
    </row>
    <row r="613" ht="14.25" customHeight="1">
      <c r="D613" s="3"/>
      <c r="F613" s="141"/>
      <c r="G613" s="141"/>
      <c r="H613" s="141"/>
      <c r="I613" s="141"/>
      <c r="J613" s="141"/>
      <c r="K613" s="141"/>
      <c r="L613" s="141"/>
    </row>
    <row r="614" ht="14.25" customHeight="1">
      <c r="D614" s="3"/>
      <c r="F614" s="141"/>
      <c r="G614" s="141"/>
      <c r="H614" s="141"/>
      <c r="I614" s="141"/>
      <c r="J614" s="141"/>
      <c r="K614" s="141"/>
      <c r="L614" s="141"/>
    </row>
    <row r="615" ht="14.25" customHeight="1">
      <c r="D615" s="3"/>
      <c r="F615" s="141"/>
      <c r="G615" s="141"/>
      <c r="H615" s="141"/>
      <c r="I615" s="141"/>
      <c r="J615" s="141"/>
      <c r="K615" s="141"/>
      <c r="L615" s="141"/>
    </row>
    <row r="616" ht="14.25" customHeight="1">
      <c r="D616" s="3"/>
      <c r="F616" s="141"/>
      <c r="G616" s="141"/>
      <c r="H616" s="141"/>
      <c r="I616" s="141"/>
      <c r="J616" s="141"/>
      <c r="K616" s="141"/>
      <c r="L616" s="141"/>
    </row>
    <row r="617" ht="14.25" customHeight="1">
      <c r="D617" s="3"/>
      <c r="F617" s="141"/>
      <c r="G617" s="141"/>
      <c r="H617" s="141"/>
      <c r="I617" s="141"/>
      <c r="J617" s="141"/>
      <c r="K617" s="141"/>
      <c r="L617" s="141"/>
    </row>
    <row r="618" ht="14.25" customHeight="1">
      <c r="D618" s="3"/>
      <c r="F618" s="141"/>
      <c r="G618" s="141"/>
      <c r="H618" s="141"/>
      <c r="I618" s="141"/>
      <c r="J618" s="141"/>
      <c r="K618" s="141"/>
      <c r="L618" s="141"/>
    </row>
    <row r="619" ht="14.25" customHeight="1">
      <c r="D619" s="3"/>
      <c r="F619" s="141"/>
      <c r="G619" s="141"/>
      <c r="H619" s="141"/>
      <c r="I619" s="141"/>
      <c r="J619" s="141"/>
      <c r="K619" s="141"/>
      <c r="L619" s="141"/>
    </row>
    <row r="620" ht="14.25" customHeight="1">
      <c r="D620" s="3"/>
      <c r="F620" s="141"/>
      <c r="G620" s="141"/>
      <c r="H620" s="141"/>
      <c r="I620" s="141"/>
      <c r="J620" s="141"/>
      <c r="K620" s="141"/>
      <c r="L620" s="141"/>
    </row>
    <row r="621" ht="14.25" customHeight="1">
      <c r="D621" s="3"/>
      <c r="F621" s="141"/>
      <c r="G621" s="141"/>
      <c r="H621" s="141"/>
      <c r="I621" s="141"/>
      <c r="J621" s="141"/>
      <c r="K621" s="141"/>
      <c r="L621" s="141"/>
    </row>
    <row r="622" ht="14.25" customHeight="1">
      <c r="D622" s="3"/>
      <c r="F622" s="141"/>
      <c r="G622" s="141"/>
      <c r="H622" s="141"/>
      <c r="I622" s="141"/>
      <c r="J622" s="141"/>
      <c r="K622" s="141"/>
      <c r="L622" s="141"/>
    </row>
    <row r="623" ht="14.25" customHeight="1">
      <c r="D623" s="3"/>
      <c r="F623" s="141"/>
      <c r="G623" s="141"/>
      <c r="H623" s="141"/>
      <c r="I623" s="141"/>
      <c r="J623" s="141"/>
      <c r="K623" s="141"/>
      <c r="L623" s="141"/>
    </row>
    <row r="624" ht="14.25" customHeight="1">
      <c r="D624" s="3"/>
      <c r="F624" s="141"/>
      <c r="G624" s="141"/>
      <c r="H624" s="141"/>
      <c r="I624" s="141"/>
      <c r="J624" s="141"/>
      <c r="K624" s="141"/>
      <c r="L624" s="141"/>
    </row>
    <row r="625" ht="14.25" customHeight="1">
      <c r="D625" s="3"/>
      <c r="F625" s="141"/>
      <c r="G625" s="141"/>
      <c r="H625" s="141"/>
      <c r="I625" s="141"/>
      <c r="J625" s="141"/>
      <c r="K625" s="141"/>
      <c r="L625" s="141"/>
    </row>
    <row r="626" ht="14.25" customHeight="1">
      <c r="D626" s="3"/>
      <c r="F626" s="141"/>
      <c r="G626" s="141"/>
      <c r="H626" s="141"/>
      <c r="I626" s="141"/>
      <c r="J626" s="141"/>
      <c r="K626" s="141"/>
      <c r="L626" s="141"/>
    </row>
    <row r="627" ht="14.25" customHeight="1">
      <c r="D627" s="3"/>
      <c r="F627" s="141"/>
      <c r="G627" s="141"/>
      <c r="H627" s="141"/>
      <c r="I627" s="141"/>
      <c r="J627" s="141"/>
      <c r="K627" s="141"/>
      <c r="L627" s="141"/>
    </row>
    <row r="628" ht="14.25" customHeight="1">
      <c r="D628" s="3"/>
      <c r="F628" s="141"/>
      <c r="G628" s="141"/>
      <c r="H628" s="141"/>
      <c r="I628" s="141"/>
      <c r="J628" s="141"/>
      <c r="K628" s="141"/>
      <c r="L628" s="141"/>
    </row>
    <row r="629" ht="14.25" customHeight="1">
      <c r="D629" s="3"/>
      <c r="F629" s="141"/>
      <c r="G629" s="141"/>
      <c r="H629" s="141"/>
      <c r="I629" s="141"/>
      <c r="J629" s="141"/>
      <c r="K629" s="141"/>
      <c r="L629" s="141"/>
    </row>
    <row r="630" ht="14.25" customHeight="1">
      <c r="D630" s="3"/>
      <c r="F630" s="141"/>
      <c r="G630" s="141"/>
      <c r="H630" s="141"/>
      <c r="I630" s="141"/>
      <c r="J630" s="141"/>
      <c r="K630" s="141"/>
      <c r="L630" s="141"/>
    </row>
    <row r="631" ht="14.25" customHeight="1">
      <c r="D631" s="3"/>
      <c r="F631" s="141"/>
      <c r="G631" s="141"/>
      <c r="H631" s="141"/>
      <c r="I631" s="141"/>
      <c r="J631" s="141"/>
      <c r="K631" s="141"/>
      <c r="L631" s="141"/>
    </row>
    <row r="632" ht="14.25" customHeight="1">
      <c r="D632" s="3"/>
      <c r="F632" s="141"/>
      <c r="G632" s="141"/>
      <c r="H632" s="141"/>
      <c r="I632" s="141"/>
      <c r="J632" s="141"/>
      <c r="K632" s="141"/>
      <c r="L632" s="141"/>
    </row>
    <row r="633" ht="14.25" customHeight="1">
      <c r="D633" s="3"/>
      <c r="F633" s="141"/>
      <c r="G633" s="141"/>
      <c r="H633" s="141"/>
      <c r="I633" s="141"/>
      <c r="J633" s="141"/>
      <c r="K633" s="141"/>
      <c r="L633" s="141"/>
    </row>
    <row r="634" ht="14.25" customHeight="1">
      <c r="D634" s="3"/>
      <c r="F634" s="141"/>
      <c r="G634" s="141"/>
      <c r="H634" s="141"/>
      <c r="I634" s="141"/>
      <c r="J634" s="141"/>
      <c r="K634" s="141"/>
      <c r="L634" s="141"/>
    </row>
    <row r="635" ht="14.25" customHeight="1">
      <c r="D635" s="3"/>
      <c r="F635" s="141"/>
      <c r="G635" s="141"/>
      <c r="H635" s="141"/>
      <c r="I635" s="141"/>
      <c r="J635" s="141"/>
      <c r="K635" s="141"/>
      <c r="L635" s="141"/>
    </row>
    <row r="636" ht="14.25" customHeight="1">
      <c r="D636" s="3"/>
      <c r="F636" s="141"/>
      <c r="G636" s="141"/>
      <c r="H636" s="141"/>
      <c r="I636" s="141"/>
      <c r="J636" s="141"/>
      <c r="K636" s="141"/>
      <c r="L636" s="141"/>
    </row>
    <row r="637" ht="14.25" customHeight="1">
      <c r="D637" s="3"/>
      <c r="F637" s="141"/>
      <c r="G637" s="141"/>
      <c r="H637" s="141"/>
      <c r="I637" s="141"/>
      <c r="J637" s="141"/>
      <c r="K637" s="141"/>
      <c r="L637" s="141"/>
    </row>
    <row r="638" ht="14.25" customHeight="1">
      <c r="D638" s="3"/>
      <c r="F638" s="141"/>
      <c r="G638" s="141"/>
      <c r="H638" s="141"/>
      <c r="I638" s="141"/>
      <c r="J638" s="141"/>
      <c r="K638" s="141"/>
      <c r="L638" s="141"/>
    </row>
    <row r="639" ht="14.25" customHeight="1">
      <c r="D639" s="3"/>
      <c r="F639" s="141"/>
      <c r="G639" s="141"/>
      <c r="H639" s="141"/>
      <c r="I639" s="141"/>
      <c r="J639" s="141"/>
      <c r="K639" s="141"/>
      <c r="L639" s="141"/>
    </row>
    <row r="640" ht="14.25" customHeight="1">
      <c r="D640" s="3"/>
      <c r="F640" s="141"/>
      <c r="G640" s="141"/>
      <c r="H640" s="141"/>
      <c r="I640" s="141"/>
      <c r="J640" s="141"/>
      <c r="K640" s="141"/>
      <c r="L640" s="141"/>
    </row>
    <row r="641" ht="14.25" customHeight="1">
      <c r="D641" s="3"/>
      <c r="F641" s="141"/>
      <c r="G641" s="141"/>
      <c r="H641" s="141"/>
      <c r="I641" s="141"/>
      <c r="J641" s="141"/>
      <c r="K641" s="141"/>
      <c r="L641" s="141"/>
    </row>
    <row r="642" ht="14.25" customHeight="1">
      <c r="D642" s="3"/>
      <c r="F642" s="141"/>
      <c r="G642" s="141"/>
      <c r="H642" s="141"/>
      <c r="I642" s="141"/>
      <c r="J642" s="141"/>
      <c r="K642" s="141"/>
      <c r="L642" s="141"/>
    </row>
    <row r="643" ht="14.25" customHeight="1">
      <c r="D643" s="3"/>
      <c r="F643" s="141"/>
      <c r="G643" s="141"/>
      <c r="H643" s="141"/>
      <c r="I643" s="141"/>
      <c r="J643" s="141"/>
      <c r="K643" s="141"/>
      <c r="L643" s="141"/>
    </row>
    <row r="644" ht="14.25" customHeight="1">
      <c r="D644" s="3"/>
      <c r="F644" s="141"/>
      <c r="G644" s="141"/>
      <c r="H644" s="141"/>
      <c r="I644" s="141"/>
      <c r="J644" s="141"/>
      <c r="K644" s="141"/>
      <c r="L644" s="141"/>
    </row>
    <row r="645" ht="14.25" customHeight="1">
      <c r="D645" s="3"/>
      <c r="F645" s="141"/>
      <c r="G645" s="141"/>
      <c r="H645" s="141"/>
      <c r="I645" s="141"/>
      <c r="J645" s="141"/>
      <c r="K645" s="141"/>
      <c r="L645" s="141"/>
    </row>
    <row r="646" ht="14.25" customHeight="1">
      <c r="D646" s="3"/>
      <c r="F646" s="141"/>
      <c r="G646" s="141"/>
      <c r="H646" s="141"/>
      <c r="I646" s="141"/>
      <c r="J646" s="141"/>
      <c r="K646" s="141"/>
      <c r="L646" s="141"/>
    </row>
    <row r="647" ht="14.25" customHeight="1">
      <c r="D647" s="3"/>
      <c r="F647" s="141"/>
      <c r="G647" s="141"/>
      <c r="H647" s="141"/>
      <c r="I647" s="141"/>
      <c r="J647" s="141"/>
      <c r="K647" s="141"/>
      <c r="L647" s="141"/>
    </row>
    <row r="648" ht="14.25" customHeight="1">
      <c r="D648" s="3"/>
      <c r="F648" s="141"/>
      <c r="G648" s="141"/>
      <c r="H648" s="141"/>
      <c r="I648" s="141"/>
      <c r="J648" s="141"/>
      <c r="K648" s="141"/>
      <c r="L648" s="141"/>
    </row>
    <row r="649" ht="14.25" customHeight="1">
      <c r="D649" s="3"/>
      <c r="F649" s="141"/>
      <c r="G649" s="141"/>
      <c r="H649" s="141"/>
      <c r="I649" s="141"/>
      <c r="J649" s="141"/>
      <c r="K649" s="141"/>
      <c r="L649" s="141"/>
    </row>
    <row r="650" ht="14.25" customHeight="1">
      <c r="D650" s="3"/>
      <c r="F650" s="141"/>
      <c r="G650" s="141"/>
      <c r="H650" s="141"/>
      <c r="I650" s="141"/>
      <c r="J650" s="141"/>
      <c r="K650" s="141"/>
      <c r="L650" s="141"/>
    </row>
    <row r="651" ht="14.25" customHeight="1">
      <c r="D651" s="3"/>
      <c r="F651" s="141"/>
      <c r="G651" s="141"/>
      <c r="H651" s="141"/>
      <c r="I651" s="141"/>
      <c r="J651" s="141"/>
      <c r="K651" s="141"/>
      <c r="L651" s="141"/>
    </row>
    <row r="652" ht="14.25" customHeight="1">
      <c r="D652" s="3"/>
      <c r="F652" s="141"/>
      <c r="G652" s="141"/>
      <c r="H652" s="141"/>
      <c r="I652" s="141"/>
      <c r="J652" s="141"/>
      <c r="K652" s="141"/>
      <c r="L652" s="141"/>
    </row>
    <row r="653" ht="14.25" customHeight="1">
      <c r="D653" s="3"/>
      <c r="F653" s="141"/>
      <c r="G653" s="141"/>
      <c r="H653" s="141"/>
      <c r="I653" s="141"/>
      <c r="J653" s="141"/>
      <c r="K653" s="141"/>
      <c r="L653" s="141"/>
    </row>
    <row r="654" ht="14.25" customHeight="1">
      <c r="D654" s="3"/>
      <c r="F654" s="141"/>
      <c r="G654" s="141"/>
      <c r="H654" s="141"/>
      <c r="I654" s="141"/>
      <c r="J654" s="141"/>
      <c r="K654" s="141"/>
      <c r="L654" s="141"/>
    </row>
    <row r="655" ht="14.25" customHeight="1">
      <c r="D655" s="3"/>
      <c r="F655" s="141"/>
      <c r="G655" s="141"/>
      <c r="H655" s="141"/>
      <c r="I655" s="141"/>
      <c r="J655" s="141"/>
      <c r="K655" s="141"/>
      <c r="L655" s="141"/>
    </row>
    <row r="656" ht="14.25" customHeight="1">
      <c r="D656" s="3"/>
      <c r="F656" s="141"/>
      <c r="G656" s="141"/>
      <c r="H656" s="141"/>
      <c r="I656" s="141"/>
      <c r="J656" s="141"/>
      <c r="K656" s="141"/>
      <c r="L656" s="141"/>
    </row>
    <row r="657" ht="14.25" customHeight="1">
      <c r="D657" s="3"/>
      <c r="F657" s="141"/>
      <c r="G657" s="141"/>
      <c r="H657" s="141"/>
      <c r="I657" s="141"/>
      <c r="J657" s="141"/>
      <c r="K657" s="141"/>
      <c r="L657" s="141"/>
    </row>
    <row r="658" ht="14.25" customHeight="1">
      <c r="D658" s="3"/>
      <c r="F658" s="141"/>
      <c r="G658" s="141"/>
      <c r="H658" s="141"/>
      <c r="I658" s="141"/>
      <c r="J658" s="141"/>
      <c r="K658" s="141"/>
      <c r="L658" s="141"/>
    </row>
    <row r="659" ht="14.25" customHeight="1">
      <c r="D659" s="3"/>
      <c r="F659" s="141"/>
      <c r="G659" s="141"/>
      <c r="H659" s="141"/>
      <c r="I659" s="141"/>
      <c r="J659" s="141"/>
      <c r="K659" s="141"/>
      <c r="L659" s="141"/>
    </row>
    <row r="660" ht="14.25" customHeight="1">
      <c r="D660" s="3"/>
      <c r="F660" s="141"/>
      <c r="G660" s="141"/>
      <c r="H660" s="141"/>
      <c r="I660" s="141"/>
      <c r="J660" s="141"/>
      <c r="K660" s="141"/>
      <c r="L660" s="141"/>
    </row>
    <row r="661" ht="14.25" customHeight="1">
      <c r="D661" s="3"/>
      <c r="F661" s="141"/>
      <c r="G661" s="141"/>
      <c r="H661" s="141"/>
      <c r="I661" s="141"/>
      <c r="J661" s="141"/>
      <c r="K661" s="141"/>
      <c r="L661" s="141"/>
    </row>
    <row r="662" ht="14.25" customHeight="1">
      <c r="D662" s="3"/>
      <c r="F662" s="141"/>
      <c r="G662" s="141"/>
      <c r="H662" s="141"/>
      <c r="I662" s="141"/>
      <c r="J662" s="141"/>
      <c r="K662" s="141"/>
      <c r="L662" s="141"/>
    </row>
    <row r="663" ht="14.25" customHeight="1">
      <c r="D663" s="3"/>
      <c r="F663" s="141"/>
      <c r="G663" s="141"/>
      <c r="H663" s="141"/>
      <c r="I663" s="141"/>
      <c r="J663" s="141"/>
      <c r="K663" s="141"/>
      <c r="L663" s="141"/>
    </row>
    <row r="664" ht="14.25" customHeight="1">
      <c r="D664" s="3"/>
      <c r="F664" s="141"/>
      <c r="G664" s="141"/>
      <c r="H664" s="141"/>
      <c r="I664" s="141"/>
      <c r="J664" s="141"/>
      <c r="K664" s="141"/>
      <c r="L664" s="141"/>
    </row>
    <row r="665" ht="14.25" customHeight="1">
      <c r="D665" s="3"/>
      <c r="F665" s="141"/>
      <c r="G665" s="141"/>
      <c r="H665" s="141"/>
      <c r="I665" s="141"/>
      <c r="J665" s="141"/>
      <c r="K665" s="141"/>
      <c r="L665" s="141"/>
    </row>
    <row r="666" ht="14.25" customHeight="1">
      <c r="D666" s="3"/>
      <c r="F666" s="141"/>
      <c r="G666" s="141"/>
      <c r="H666" s="141"/>
      <c r="I666" s="141"/>
      <c r="J666" s="141"/>
      <c r="K666" s="141"/>
      <c r="L666" s="141"/>
    </row>
    <row r="667" ht="14.25" customHeight="1">
      <c r="D667" s="3"/>
      <c r="F667" s="141"/>
      <c r="G667" s="141"/>
      <c r="H667" s="141"/>
      <c r="I667" s="141"/>
      <c r="J667" s="141"/>
      <c r="K667" s="141"/>
      <c r="L667" s="141"/>
    </row>
    <row r="668" ht="14.25" customHeight="1">
      <c r="D668" s="3"/>
      <c r="F668" s="141"/>
      <c r="G668" s="141"/>
      <c r="H668" s="141"/>
      <c r="I668" s="141"/>
      <c r="J668" s="141"/>
      <c r="K668" s="141"/>
      <c r="L668" s="141"/>
    </row>
    <row r="669" ht="14.25" customHeight="1">
      <c r="D669" s="3"/>
      <c r="F669" s="141"/>
      <c r="G669" s="141"/>
      <c r="H669" s="141"/>
      <c r="I669" s="141"/>
      <c r="J669" s="141"/>
      <c r="K669" s="141"/>
      <c r="L669" s="141"/>
    </row>
    <row r="670" ht="14.25" customHeight="1">
      <c r="D670" s="3"/>
      <c r="F670" s="141"/>
      <c r="G670" s="141"/>
      <c r="H670" s="141"/>
      <c r="I670" s="141"/>
      <c r="J670" s="141"/>
      <c r="K670" s="141"/>
      <c r="L670" s="141"/>
    </row>
    <row r="671" ht="14.25" customHeight="1">
      <c r="D671" s="3"/>
      <c r="F671" s="141"/>
      <c r="G671" s="141"/>
      <c r="H671" s="141"/>
      <c r="I671" s="141"/>
      <c r="J671" s="141"/>
      <c r="K671" s="141"/>
      <c r="L671" s="141"/>
    </row>
    <row r="672" ht="14.25" customHeight="1">
      <c r="D672" s="3"/>
      <c r="F672" s="141"/>
      <c r="G672" s="141"/>
      <c r="H672" s="141"/>
      <c r="I672" s="141"/>
      <c r="J672" s="141"/>
      <c r="K672" s="141"/>
      <c r="L672" s="141"/>
    </row>
    <row r="673" ht="14.25" customHeight="1">
      <c r="D673" s="3"/>
      <c r="F673" s="141"/>
      <c r="G673" s="141"/>
      <c r="H673" s="141"/>
      <c r="I673" s="141"/>
      <c r="J673" s="141"/>
      <c r="K673" s="141"/>
      <c r="L673" s="141"/>
    </row>
    <row r="674" ht="14.25" customHeight="1">
      <c r="D674" s="3"/>
      <c r="F674" s="141"/>
      <c r="G674" s="141"/>
      <c r="H674" s="141"/>
      <c r="I674" s="141"/>
      <c r="J674" s="141"/>
      <c r="K674" s="141"/>
      <c r="L674" s="141"/>
    </row>
    <row r="675" ht="14.25" customHeight="1">
      <c r="D675" s="3"/>
      <c r="F675" s="141"/>
      <c r="G675" s="141"/>
      <c r="H675" s="141"/>
      <c r="I675" s="141"/>
      <c r="J675" s="141"/>
      <c r="K675" s="141"/>
      <c r="L675" s="141"/>
    </row>
    <row r="676" ht="14.25" customHeight="1">
      <c r="D676" s="3"/>
      <c r="F676" s="141"/>
      <c r="G676" s="141"/>
      <c r="H676" s="141"/>
      <c r="I676" s="141"/>
      <c r="J676" s="141"/>
      <c r="K676" s="141"/>
      <c r="L676" s="141"/>
    </row>
    <row r="677" ht="14.25" customHeight="1">
      <c r="D677" s="3"/>
      <c r="F677" s="141"/>
      <c r="G677" s="141"/>
      <c r="H677" s="141"/>
      <c r="I677" s="141"/>
      <c r="J677" s="141"/>
      <c r="K677" s="141"/>
      <c r="L677" s="141"/>
    </row>
    <row r="678" ht="14.25" customHeight="1">
      <c r="D678" s="3"/>
      <c r="F678" s="141"/>
      <c r="G678" s="141"/>
      <c r="H678" s="141"/>
      <c r="I678" s="141"/>
      <c r="J678" s="141"/>
      <c r="K678" s="141"/>
      <c r="L678" s="141"/>
    </row>
    <row r="679" ht="14.25" customHeight="1">
      <c r="D679" s="3"/>
      <c r="F679" s="141"/>
      <c r="G679" s="141"/>
      <c r="H679" s="141"/>
      <c r="I679" s="141"/>
      <c r="J679" s="141"/>
      <c r="K679" s="141"/>
      <c r="L679" s="141"/>
    </row>
    <row r="680" ht="14.25" customHeight="1">
      <c r="D680" s="3"/>
      <c r="F680" s="141"/>
      <c r="G680" s="141"/>
      <c r="H680" s="141"/>
      <c r="I680" s="141"/>
      <c r="J680" s="141"/>
      <c r="K680" s="141"/>
      <c r="L680" s="141"/>
    </row>
    <row r="681" ht="14.25" customHeight="1">
      <c r="D681" s="3"/>
      <c r="F681" s="141"/>
      <c r="G681" s="141"/>
      <c r="H681" s="141"/>
      <c r="I681" s="141"/>
      <c r="J681" s="141"/>
      <c r="K681" s="141"/>
      <c r="L681" s="141"/>
    </row>
    <row r="682" ht="14.25" customHeight="1">
      <c r="D682" s="3"/>
      <c r="F682" s="141"/>
      <c r="G682" s="141"/>
      <c r="H682" s="141"/>
      <c r="I682" s="141"/>
      <c r="J682" s="141"/>
      <c r="K682" s="141"/>
      <c r="L682" s="141"/>
    </row>
    <row r="683" ht="14.25" customHeight="1">
      <c r="D683" s="3"/>
      <c r="F683" s="141"/>
      <c r="G683" s="141"/>
      <c r="H683" s="141"/>
      <c r="I683" s="141"/>
      <c r="J683" s="141"/>
      <c r="K683" s="141"/>
      <c r="L683" s="141"/>
    </row>
    <row r="684" ht="14.25" customHeight="1">
      <c r="D684" s="3"/>
      <c r="F684" s="141"/>
      <c r="G684" s="141"/>
      <c r="H684" s="141"/>
      <c r="I684" s="141"/>
      <c r="J684" s="141"/>
      <c r="K684" s="141"/>
      <c r="L684" s="141"/>
    </row>
    <row r="685" ht="14.25" customHeight="1">
      <c r="D685" s="3"/>
      <c r="F685" s="141"/>
      <c r="G685" s="141"/>
      <c r="H685" s="141"/>
      <c r="I685" s="141"/>
      <c r="J685" s="141"/>
      <c r="K685" s="141"/>
      <c r="L685" s="141"/>
    </row>
    <row r="686" ht="14.25" customHeight="1">
      <c r="D686" s="3"/>
      <c r="F686" s="141"/>
      <c r="G686" s="141"/>
      <c r="H686" s="141"/>
      <c r="I686" s="141"/>
      <c r="J686" s="141"/>
      <c r="K686" s="141"/>
      <c r="L686" s="141"/>
    </row>
    <row r="687" ht="14.25" customHeight="1">
      <c r="D687" s="3"/>
      <c r="F687" s="141"/>
      <c r="G687" s="141"/>
      <c r="H687" s="141"/>
      <c r="I687" s="141"/>
      <c r="J687" s="141"/>
      <c r="K687" s="141"/>
      <c r="L687" s="141"/>
    </row>
    <row r="688" ht="14.25" customHeight="1">
      <c r="D688" s="3"/>
      <c r="F688" s="141"/>
      <c r="G688" s="141"/>
      <c r="H688" s="141"/>
      <c r="I688" s="141"/>
      <c r="J688" s="141"/>
      <c r="K688" s="141"/>
      <c r="L688" s="141"/>
    </row>
    <row r="689" ht="14.25" customHeight="1">
      <c r="D689" s="3"/>
      <c r="F689" s="141"/>
      <c r="G689" s="141"/>
      <c r="H689" s="141"/>
      <c r="I689" s="141"/>
      <c r="J689" s="141"/>
      <c r="K689" s="141"/>
      <c r="L689" s="141"/>
    </row>
    <row r="690" ht="14.25" customHeight="1">
      <c r="D690" s="3"/>
      <c r="F690" s="141"/>
      <c r="G690" s="141"/>
      <c r="H690" s="141"/>
      <c r="I690" s="141"/>
      <c r="J690" s="141"/>
      <c r="K690" s="141"/>
      <c r="L690" s="141"/>
    </row>
    <row r="691" ht="14.25" customHeight="1">
      <c r="D691" s="3"/>
      <c r="F691" s="141"/>
      <c r="G691" s="141"/>
      <c r="H691" s="141"/>
      <c r="I691" s="141"/>
      <c r="J691" s="141"/>
      <c r="K691" s="141"/>
      <c r="L691" s="141"/>
    </row>
    <row r="692" ht="14.25" customHeight="1">
      <c r="D692" s="3"/>
      <c r="F692" s="141"/>
      <c r="G692" s="141"/>
      <c r="H692" s="141"/>
      <c r="I692" s="141"/>
      <c r="J692" s="141"/>
      <c r="K692" s="141"/>
      <c r="L692" s="141"/>
    </row>
    <row r="693" ht="14.25" customHeight="1">
      <c r="D693" s="3"/>
      <c r="F693" s="141"/>
      <c r="G693" s="141"/>
      <c r="H693" s="141"/>
      <c r="I693" s="141"/>
      <c r="J693" s="141"/>
      <c r="K693" s="141"/>
      <c r="L693" s="141"/>
    </row>
    <row r="694" ht="14.25" customHeight="1">
      <c r="D694" s="3"/>
      <c r="F694" s="141"/>
      <c r="G694" s="141"/>
      <c r="H694" s="141"/>
      <c r="I694" s="141"/>
      <c r="J694" s="141"/>
      <c r="K694" s="141"/>
      <c r="L694" s="141"/>
    </row>
    <row r="695" ht="14.25" customHeight="1">
      <c r="D695" s="3"/>
      <c r="F695" s="141"/>
      <c r="G695" s="141"/>
      <c r="H695" s="141"/>
      <c r="I695" s="141"/>
      <c r="J695" s="141"/>
      <c r="K695" s="141"/>
      <c r="L695" s="141"/>
    </row>
    <row r="696" ht="14.25" customHeight="1">
      <c r="D696" s="3"/>
      <c r="F696" s="141"/>
      <c r="G696" s="141"/>
      <c r="H696" s="141"/>
      <c r="I696" s="141"/>
      <c r="J696" s="141"/>
      <c r="K696" s="141"/>
      <c r="L696" s="141"/>
    </row>
    <row r="697" ht="14.25" customHeight="1">
      <c r="D697" s="3"/>
      <c r="F697" s="141"/>
      <c r="G697" s="141"/>
      <c r="H697" s="141"/>
      <c r="I697" s="141"/>
      <c r="J697" s="141"/>
      <c r="K697" s="141"/>
      <c r="L697" s="141"/>
    </row>
    <row r="698" ht="14.25" customHeight="1">
      <c r="D698" s="3"/>
      <c r="F698" s="141"/>
      <c r="G698" s="141"/>
      <c r="H698" s="141"/>
      <c r="I698" s="141"/>
      <c r="J698" s="141"/>
      <c r="K698" s="141"/>
      <c r="L698" s="141"/>
    </row>
    <row r="699" ht="14.25" customHeight="1">
      <c r="D699" s="3"/>
      <c r="F699" s="141"/>
      <c r="G699" s="141"/>
      <c r="H699" s="141"/>
      <c r="I699" s="141"/>
      <c r="J699" s="141"/>
      <c r="K699" s="141"/>
      <c r="L699" s="141"/>
    </row>
    <row r="700" ht="14.25" customHeight="1">
      <c r="D700" s="3"/>
      <c r="F700" s="141"/>
      <c r="G700" s="141"/>
      <c r="H700" s="141"/>
      <c r="I700" s="141"/>
      <c r="J700" s="141"/>
      <c r="K700" s="141"/>
      <c r="L700" s="141"/>
    </row>
    <row r="701" ht="14.25" customHeight="1">
      <c r="D701" s="3"/>
      <c r="F701" s="141"/>
      <c r="G701" s="141"/>
      <c r="H701" s="141"/>
      <c r="I701" s="141"/>
      <c r="J701" s="141"/>
      <c r="K701" s="141"/>
      <c r="L701" s="141"/>
    </row>
    <row r="702" ht="14.25" customHeight="1">
      <c r="D702" s="3"/>
      <c r="F702" s="141"/>
      <c r="G702" s="141"/>
      <c r="H702" s="141"/>
      <c r="I702" s="141"/>
      <c r="J702" s="141"/>
      <c r="K702" s="141"/>
      <c r="L702" s="141"/>
    </row>
    <row r="703" ht="14.25" customHeight="1">
      <c r="D703" s="3"/>
      <c r="F703" s="141"/>
      <c r="G703" s="141"/>
      <c r="H703" s="141"/>
      <c r="I703" s="141"/>
      <c r="J703" s="141"/>
      <c r="K703" s="141"/>
      <c r="L703" s="141"/>
    </row>
    <row r="704" ht="14.25" customHeight="1">
      <c r="D704" s="3"/>
      <c r="F704" s="141"/>
      <c r="G704" s="141"/>
      <c r="H704" s="141"/>
      <c r="I704" s="141"/>
      <c r="J704" s="141"/>
      <c r="K704" s="141"/>
      <c r="L704" s="141"/>
    </row>
    <row r="705" ht="14.25" customHeight="1">
      <c r="D705" s="3"/>
      <c r="F705" s="141"/>
      <c r="G705" s="141"/>
      <c r="H705" s="141"/>
      <c r="I705" s="141"/>
      <c r="J705" s="141"/>
      <c r="K705" s="141"/>
      <c r="L705" s="141"/>
    </row>
    <row r="706" ht="14.25" customHeight="1">
      <c r="D706" s="3"/>
      <c r="F706" s="141"/>
      <c r="G706" s="141"/>
      <c r="H706" s="141"/>
      <c r="I706" s="141"/>
      <c r="J706" s="141"/>
      <c r="K706" s="141"/>
      <c r="L706" s="141"/>
    </row>
    <row r="707" ht="14.25" customHeight="1">
      <c r="D707" s="3"/>
      <c r="F707" s="141"/>
      <c r="G707" s="141"/>
      <c r="H707" s="141"/>
      <c r="I707" s="141"/>
      <c r="J707" s="141"/>
      <c r="K707" s="141"/>
      <c r="L707" s="141"/>
    </row>
    <row r="708" ht="14.25" customHeight="1">
      <c r="D708" s="3"/>
      <c r="F708" s="141"/>
      <c r="G708" s="141"/>
      <c r="H708" s="141"/>
      <c r="I708" s="141"/>
      <c r="J708" s="141"/>
      <c r="K708" s="141"/>
      <c r="L708" s="141"/>
    </row>
    <row r="709" ht="14.25" customHeight="1">
      <c r="D709" s="3"/>
      <c r="F709" s="141"/>
      <c r="G709" s="141"/>
      <c r="H709" s="141"/>
      <c r="I709" s="141"/>
      <c r="J709" s="141"/>
      <c r="K709" s="141"/>
      <c r="L709" s="141"/>
    </row>
    <row r="710" ht="14.25" customHeight="1">
      <c r="D710" s="3"/>
      <c r="F710" s="141"/>
      <c r="G710" s="141"/>
      <c r="H710" s="141"/>
      <c r="I710" s="141"/>
      <c r="J710" s="141"/>
      <c r="K710" s="141"/>
      <c r="L710" s="141"/>
    </row>
    <row r="711" ht="14.25" customHeight="1">
      <c r="D711" s="3"/>
      <c r="F711" s="141"/>
      <c r="G711" s="141"/>
      <c r="H711" s="141"/>
      <c r="I711" s="141"/>
      <c r="J711" s="141"/>
      <c r="K711" s="141"/>
      <c r="L711" s="141"/>
    </row>
    <row r="712" ht="14.25" customHeight="1">
      <c r="D712" s="3"/>
      <c r="F712" s="141"/>
      <c r="G712" s="141"/>
      <c r="H712" s="141"/>
      <c r="I712" s="141"/>
      <c r="J712" s="141"/>
      <c r="K712" s="141"/>
      <c r="L712" s="141"/>
    </row>
    <row r="713" ht="14.25" customHeight="1">
      <c r="D713" s="3"/>
      <c r="F713" s="141"/>
      <c r="G713" s="141"/>
      <c r="H713" s="141"/>
      <c r="I713" s="141"/>
      <c r="J713" s="141"/>
      <c r="K713" s="141"/>
      <c r="L713" s="141"/>
    </row>
    <row r="714" ht="14.25" customHeight="1">
      <c r="D714" s="3"/>
      <c r="F714" s="141"/>
      <c r="G714" s="141"/>
      <c r="H714" s="141"/>
      <c r="I714" s="141"/>
      <c r="J714" s="141"/>
      <c r="K714" s="141"/>
      <c r="L714" s="141"/>
    </row>
    <row r="715" ht="14.25" customHeight="1">
      <c r="D715" s="3"/>
      <c r="F715" s="141"/>
      <c r="G715" s="141"/>
      <c r="H715" s="141"/>
      <c r="I715" s="141"/>
      <c r="J715" s="141"/>
      <c r="K715" s="141"/>
      <c r="L715" s="141"/>
    </row>
    <row r="716" ht="14.25" customHeight="1">
      <c r="D716" s="3"/>
      <c r="F716" s="141"/>
      <c r="G716" s="141"/>
      <c r="H716" s="141"/>
      <c r="I716" s="141"/>
      <c r="J716" s="141"/>
      <c r="K716" s="141"/>
      <c r="L716" s="141"/>
    </row>
    <row r="717" ht="14.25" customHeight="1">
      <c r="D717" s="3"/>
      <c r="F717" s="141"/>
      <c r="G717" s="141"/>
      <c r="H717" s="141"/>
      <c r="I717" s="141"/>
      <c r="J717" s="141"/>
      <c r="K717" s="141"/>
      <c r="L717" s="141"/>
    </row>
    <row r="718" ht="14.25" customHeight="1">
      <c r="D718" s="3"/>
      <c r="F718" s="141"/>
      <c r="G718" s="141"/>
      <c r="H718" s="141"/>
      <c r="I718" s="141"/>
      <c r="J718" s="141"/>
      <c r="K718" s="141"/>
      <c r="L718" s="141"/>
    </row>
    <row r="719" ht="14.25" customHeight="1">
      <c r="D719" s="3"/>
      <c r="F719" s="141"/>
      <c r="G719" s="141"/>
      <c r="H719" s="141"/>
      <c r="I719" s="141"/>
      <c r="J719" s="141"/>
      <c r="K719" s="141"/>
      <c r="L719" s="141"/>
    </row>
    <row r="720" ht="14.25" customHeight="1">
      <c r="D720" s="3"/>
      <c r="F720" s="141"/>
      <c r="G720" s="141"/>
      <c r="H720" s="141"/>
      <c r="I720" s="141"/>
      <c r="J720" s="141"/>
      <c r="K720" s="141"/>
      <c r="L720" s="141"/>
    </row>
    <row r="721" ht="14.25" customHeight="1">
      <c r="D721" s="3"/>
      <c r="F721" s="141"/>
      <c r="G721" s="141"/>
      <c r="H721" s="141"/>
      <c r="I721" s="141"/>
      <c r="J721" s="141"/>
      <c r="K721" s="141"/>
      <c r="L721" s="141"/>
    </row>
    <row r="722" ht="14.25" customHeight="1">
      <c r="D722" s="3"/>
      <c r="F722" s="141"/>
      <c r="G722" s="141"/>
      <c r="H722" s="141"/>
      <c r="I722" s="141"/>
      <c r="J722" s="141"/>
      <c r="K722" s="141"/>
      <c r="L722" s="141"/>
    </row>
    <row r="723" ht="14.25" customHeight="1">
      <c r="D723" s="3"/>
      <c r="F723" s="141"/>
      <c r="G723" s="141"/>
      <c r="H723" s="141"/>
      <c r="I723" s="141"/>
      <c r="J723" s="141"/>
      <c r="K723" s="141"/>
      <c r="L723" s="141"/>
    </row>
    <row r="724" ht="14.25" customHeight="1">
      <c r="D724" s="3"/>
      <c r="F724" s="141"/>
      <c r="G724" s="141"/>
      <c r="H724" s="141"/>
      <c r="I724" s="141"/>
      <c r="J724" s="141"/>
      <c r="K724" s="141"/>
      <c r="L724" s="141"/>
    </row>
    <row r="725" ht="14.25" customHeight="1">
      <c r="D725" s="3"/>
      <c r="F725" s="141"/>
      <c r="G725" s="141"/>
      <c r="H725" s="141"/>
      <c r="I725" s="141"/>
      <c r="J725" s="141"/>
      <c r="K725" s="141"/>
      <c r="L725" s="141"/>
    </row>
    <row r="726" ht="14.25" customHeight="1">
      <c r="D726" s="3"/>
      <c r="F726" s="141"/>
      <c r="G726" s="141"/>
      <c r="H726" s="141"/>
      <c r="I726" s="141"/>
      <c r="J726" s="141"/>
      <c r="K726" s="141"/>
      <c r="L726" s="141"/>
    </row>
    <row r="727" ht="14.25" customHeight="1">
      <c r="D727" s="3"/>
      <c r="F727" s="141"/>
      <c r="G727" s="141"/>
      <c r="H727" s="141"/>
      <c r="I727" s="141"/>
      <c r="J727" s="141"/>
      <c r="K727" s="141"/>
      <c r="L727" s="141"/>
    </row>
    <row r="728" ht="14.25" customHeight="1">
      <c r="D728" s="3"/>
      <c r="F728" s="141"/>
      <c r="G728" s="141"/>
      <c r="H728" s="141"/>
      <c r="I728" s="141"/>
      <c r="J728" s="141"/>
      <c r="K728" s="141"/>
      <c r="L728" s="141"/>
    </row>
    <row r="729" ht="14.25" customHeight="1">
      <c r="D729" s="3"/>
      <c r="F729" s="141"/>
      <c r="G729" s="141"/>
      <c r="H729" s="141"/>
      <c r="I729" s="141"/>
      <c r="J729" s="141"/>
      <c r="K729" s="141"/>
      <c r="L729" s="141"/>
    </row>
    <row r="730" ht="14.25" customHeight="1">
      <c r="D730" s="3"/>
      <c r="F730" s="141"/>
      <c r="G730" s="141"/>
      <c r="H730" s="141"/>
      <c r="I730" s="141"/>
      <c r="J730" s="141"/>
      <c r="K730" s="141"/>
      <c r="L730" s="141"/>
    </row>
    <row r="731" ht="14.25" customHeight="1">
      <c r="D731" s="3"/>
      <c r="F731" s="141"/>
      <c r="G731" s="141"/>
      <c r="H731" s="141"/>
      <c r="I731" s="141"/>
      <c r="J731" s="141"/>
      <c r="K731" s="141"/>
      <c r="L731" s="141"/>
    </row>
    <row r="732" ht="14.25" customHeight="1">
      <c r="D732" s="3"/>
      <c r="F732" s="141"/>
      <c r="G732" s="141"/>
      <c r="H732" s="141"/>
      <c r="I732" s="141"/>
      <c r="J732" s="141"/>
      <c r="K732" s="141"/>
      <c r="L732" s="141"/>
    </row>
    <row r="733" ht="14.25" customHeight="1">
      <c r="D733" s="3"/>
      <c r="F733" s="141"/>
      <c r="G733" s="141"/>
      <c r="H733" s="141"/>
      <c r="I733" s="141"/>
      <c r="J733" s="141"/>
      <c r="K733" s="141"/>
      <c r="L733" s="141"/>
    </row>
    <row r="734" ht="14.25" customHeight="1">
      <c r="D734" s="3"/>
      <c r="F734" s="141"/>
      <c r="G734" s="141"/>
      <c r="H734" s="141"/>
      <c r="I734" s="141"/>
      <c r="J734" s="141"/>
      <c r="K734" s="141"/>
      <c r="L734" s="141"/>
    </row>
    <row r="735" ht="14.25" customHeight="1">
      <c r="D735" s="3"/>
      <c r="F735" s="141"/>
      <c r="G735" s="141"/>
      <c r="H735" s="141"/>
      <c r="I735" s="141"/>
      <c r="J735" s="141"/>
      <c r="K735" s="141"/>
      <c r="L735" s="141"/>
    </row>
    <row r="736" ht="14.25" customHeight="1">
      <c r="D736" s="3"/>
      <c r="F736" s="141"/>
      <c r="G736" s="141"/>
      <c r="H736" s="141"/>
      <c r="I736" s="141"/>
      <c r="J736" s="141"/>
      <c r="K736" s="141"/>
      <c r="L736" s="141"/>
    </row>
    <row r="737" ht="14.25" customHeight="1">
      <c r="D737" s="3"/>
      <c r="F737" s="141"/>
      <c r="G737" s="141"/>
      <c r="H737" s="141"/>
      <c r="I737" s="141"/>
      <c r="J737" s="141"/>
      <c r="K737" s="141"/>
      <c r="L737" s="141"/>
    </row>
    <row r="738" ht="14.25" customHeight="1">
      <c r="D738" s="3"/>
      <c r="F738" s="141"/>
      <c r="G738" s="141"/>
      <c r="H738" s="141"/>
      <c r="I738" s="141"/>
      <c r="J738" s="141"/>
      <c r="K738" s="141"/>
      <c r="L738" s="141"/>
    </row>
    <row r="739" ht="14.25" customHeight="1">
      <c r="D739" s="3"/>
      <c r="F739" s="141"/>
      <c r="G739" s="141"/>
      <c r="H739" s="141"/>
      <c r="I739" s="141"/>
      <c r="J739" s="141"/>
      <c r="K739" s="141"/>
      <c r="L739" s="141"/>
    </row>
    <row r="740" ht="14.25" customHeight="1">
      <c r="D740" s="3"/>
      <c r="F740" s="141"/>
      <c r="G740" s="141"/>
      <c r="H740" s="141"/>
      <c r="I740" s="141"/>
      <c r="J740" s="141"/>
      <c r="K740" s="141"/>
      <c r="L740" s="141"/>
    </row>
    <row r="741" ht="14.25" customHeight="1">
      <c r="D741" s="3"/>
      <c r="F741" s="141"/>
      <c r="G741" s="141"/>
      <c r="H741" s="141"/>
      <c r="I741" s="141"/>
      <c r="J741" s="141"/>
      <c r="K741" s="141"/>
      <c r="L741" s="141"/>
    </row>
    <row r="742" ht="14.25" customHeight="1">
      <c r="D742" s="3"/>
      <c r="F742" s="141"/>
      <c r="G742" s="141"/>
      <c r="H742" s="141"/>
      <c r="I742" s="141"/>
      <c r="J742" s="141"/>
      <c r="K742" s="141"/>
      <c r="L742" s="141"/>
    </row>
    <row r="743" ht="14.25" customHeight="1">
      <c r="D743" s="3"/>
      <c r="F743" s="141"/>
      <c r="G743" s="141"/>
      <c r="H743" s="141"/>
      <c r="I743" s="141"/>
      <c r="J743" s="141"/>
      <c r="K743" s="141"/>
      <c r="L743" s="141"/>
    </row>
    <row r="744" ht="14.25" customHeight="1">
      <c r="D744" s="3"/>
      <c r="F744" s="141"/>
      <c r="G744" s="141"/>
      <c r="H744" s="141"/>
      <c r="I744" s="141"/>
      <c r="J744" s="141"/>
      <c r="K744" s="141"/>
      <c r="L744" s="141"/>
    </row>
    <row r="745" ht="14.25" customHeight="1">
      <c r="D745" s="3"/>
      <c r="F745" s="141"/>
      <c r="G745" s="141"/>
      <c r="H745" s="141"/>
      <c r="I745" s="141"/>
      <c r="J745" s="141"/>
      <c r="K745" s="141"/>
      <c r="L745" s="141"/>
    </row>
    <row r="746" ht="14.25" customHeight="1">
      <c r="D746" s="3"/>
      <c r="F746" s="141"/>
      <c r="G746" s="141"/>
      <c r="H746" s="141"/>
      <c r="I746" s="141"/>
      <c r="J746" s="141"/>
      <c r="K746" s="141"/>
      <c r="L746" s="141"/>
    </row>
    <row r="747" ht="14.25" customHeight="1">
      <c r="D747" s="3"/>
      <c r="F747" s="141"/>
      <c r="G747" s="141"/>
      <c r="H747" s="141"/>
      <c r="I747" s="141"/>
      <c r="J747" s="141"/>
      <c r="K747" s="141"/>
      <c r="L747" s="141"/>
    </row>
    <row r="748" ht="14.25" customHeight="1">
      <c r="D748" s="3"/>
      <c r="F748" s="141"/>
      <c r="G748" s="141"/>
      <c r="H748" s="141"/>
      <c r="I748" s="141"/>
      <c r="J748" s="141"/>
      <c r="K748" s="141"/>
      <c r="L748" s="141"/>
    </row>
    <row r="749" ht="14.25" customHeight="1">
      <c r="D749" s="3"/>
      <c r="F749" s="141"/>
      <c r="G749" s="141"/>
      <c r="H749" s="141"/>
      <c r="I749" s="141"/>
      <c r="J749" s="141"/>
      <c r="K749" s="141"/>
      <c r="L749" s="141"/>
    </row>
    <row r="750" ht="14.25" customHeight="1">
      <c r="D750" s="3"/>
      <c r="F750" s="141"/>
      <c r="G750" s="141"/>
      <c r="H750" s="141"/>
      <c r="I750" s="141"/>
      <c r="J750" s="141"/>
      <c r="K750" s="141"/>
      <c r="L750" s="141"/>
    </row>
    <row r="751" ht="14.25" customHeight="1">
      <c r="D751" s="3"/>
      <c r="F751" s="141"/>
      <c r="G751" s="141"/>
      <c r="H751" s="141"/>
      <c r="I751" s="141"/>
      <c r="J751" s="141"/>
      <c r="K751" s="141"/>
      <c r="L751" s="141"/>
    </row>
    <row r="752" ht="14.25" customHeight="1">
      <c r="D752" s="3"/>
      <c r="F752" s="141"/>
      <c r="G752" s="141"/>
      <c r="H752" s="141"/>
      <c r="I752" s="141"/>
      <c r="J752" s="141"/>
      <c r="K752" s="141"/>
      <c r="L752" s="141"/>
    </row>
    <row r="753" ht="14.25" customHeight="1">
      <c r="D753" s="3"/>
      <c r="F753" s="141"/>
      <c r="G753" s="141"/>
      <c r="H753" s="141"/>
      <c r="I753" s="141"/>
      <c r="J753" s="141"/>
      <c r="K753" s="141"/>
      <c r="L753" s="141"/>
    </row>
    <row r="754" ht="14.25" customHeight="1">
      <c r="D754" s="3"/>
      <c r="F754" s="141"/>
      <c r="G754" s="141"/>
      <c r="H754" s="141"/>
      <c r="I754" s="141"/>
      <c r="J754" s="141"/>
      <c r="K754" s="141"/>
      <c r="L754" s="141"/>
    </row>
    <row r="755" ht="14.25" customHeight="1">
      <c r="D755" s="3"/>
      <c r="F755" s="141"/>
      <c r="G755" s="141"/>
      <c r="H755" s="141"/>
      <c r="I755" s="141"/>
      <c r="J755" s="141"/>
      <c r="K755" s="141"/>
      <c r="L755" s="141"/>
    </row>
    <row r="756" ht="14.25" customHeight="1">
      <c r="D756" s="3"/>
      <c r="F756" s="141"/>
      <c r="G756" s="141"/>
      <c r="H756" s="141"/>
      <c r="I756" s="141"/>
      <c r="J756" s="141"/>
      <c r="K756" s="141"/>
      <c r="L756" s="141"/>
    </row>
    <row r="757" ht="14.25" customHeight="1">
      <c r="D757" s="3"/>
      <c r="F757" s="141"/>
      <c r="G757" s="141"/>
      <c r="H757" s="141"/>
      <c r="I757" s="141"/>
      <c r="J757" s="141"/>
      <c r="K757" s="141"/>
      <c r="L757" s="141"/>
    </row>
    <row r="758" ht="14.25" customHeight="1">
      <c r="D758" s="3"/>
      <c r="F758" s="141"/>
      <c r="G758" s="141"/>
      <c r="H758" s="141"/>
      <c r="I758" s="141"/>
      <c r="J758" s="141"/>
      <c r="K758" s="141"/>
      <c r="L758" s="141"/>
    </row>
    <row r="759" ht="14.25" customHeight="1">
      <c r="D759" s="3"/>
      <c r="F759" s="141"/>
      <c r="G759" s="141"/>
      <c r="H759" s="141"/>
      <c r="I759" s="141"/>
      <c r="J759" s="141"/>
      <c r="K759" s="141"/>
      <c r="L759" s="141"/>
    </row>
    <row r="760" ht="14.25" customHeight="1">
      <c r="D760" s="3"/>
      <c r="F760" s="141"/>
      <c r="G760" s="141"/>
      <c r="H760" s="141"/>
      <c r="I760" s="141"/>
      <c r="J760" s="141"/>
      <c r="K760" s="141"/>
      <c r="L760" s="141"/>
    </row>
    <row r="761" ht="14.25" customHeight="1">
      <c r="D761" s="3"/>
      <c r="F761" s="141"/>
      <c r="G761" s="141"/>
      <c r="H761" s="141"/>
      <c r="I761" s="141"/>
      <c r="J761" s="141"/>
      <c r="K761" s="141"/>
      <c r="L761" s="141"/>
    </row>
    <row r="762" ht="14.25" customHeight="1">
      <c r="D762" s="3"/>
      <c r="F762" s="141"/>
      <c r="G762" s="141"/>
      <c r="H762" s="141"/>
      <c r="I762" s="141"/>
      <c r="J762" s="141"/>
      <c r="K762" s="141"/>
      <c r="L762" s="141"/>
    </row>
    <row r="763" ht="14.25" customHeight="1">
      <c r="D763" s="3"/>
      <c r="F763" s="141"/>
      <c r="G763" s="141"/>
      <c r="H763" s="141"/>
      <c r="I763" s="141"/>
      <c r="J763" s="141"/>
      <c r="K763" s="141"/>
      <c r="L763" s="141"/>
    </row>
    <row r="764" ht="14.25" customHeight="1">
      <c r="D764" s="3"/>
      <c r="F764" s="141"/>
      <c r="G764" s="141"/>
      <c r="H764" s="141"/>
      <c r="I764" s="141"/>
      <c r="J764" s="141"/>
      <c r="K764" s="141"/>
      <c r="L764" s="141"/>
    </row>
    <row r="765" ht="14.25" customHeight="1">
      <c r="D765" s="3"/>
      <c r="F765" s="141"/>
      <c r="G765" s="141"/>
      <c r="H765" s="141"/>
      <c r="I765" s="141"/>
      <c r="J765" s="141"/>
      <c r="K765" s="141"/>
      <c r="L765" s="141"/>
    </row>
    <row r="766" ht="14.25" customHeight="1">
      <c r="D766" s="3"/>
      <c r="F766" s="141"/>
      <c r="G766" s="141"/>
      <c r="H766" s="141"/>
      <c r="I766" s="141"/>
      <c r="J766" s="141"/>
      <c r="K766" s="141"/>
      <c r="L766" s="141"/>
    </row>
    <row r="767" ht="14.25" customHeight="1">
      <c r="D767" s="3"/>
      <c r="F767" s="141"/>
      <c r="G767" s="141"/>
      <c r="H767" s="141"/>
      <c r="I767" s="141"/>
      <c r="J767" s="141"/>
      <c r="K767" s="141"/>
      <c r="L767" s="141"/>
    </row>
    <row r="768" ht="14.25" customHeight="1">
      <c r="D768" s="3"/>
      <c r="F768" s="141"/>
      <c r="G768" s="141"/>
      <c r="H768" s="141"/>
      <c r="I768" s="141"/>
      <c r="J768" s="141"/>
      <c r="K768" s="141"/>
      <c r="L768" s="141"/>
    </row>
    <row r="769" ht="14.25" customHeight="1">
      <c r="D769" s="3"/>
      <c r="F769" s="141"/>
      <c r="G769" s="141"/>
      <c r="H769" s="141"/>
      <c r="I769" s="141"/>
      <c r="J769" s="141"/>
      <c r="K769" s="141"/>
      <c r="L769" s="141"/>
    </row>
    <row r="770" ht="14.25" customHeight="1">
      <c r="D770" s="3"/>
      <c r="F770" s="141"/>
      <c r="G770" s="141"/>
      <c r="H770" s="141"/>
      <c r="I770" s="141"/>
      <c r="J770" s="141"/>
      <c r="K770" s="141"/>
      <c r="L770" s="141"/>
    </row>
    <row r="771" ht="14.25" customHeight="1">
      <c r="D771" s="3"/>
      <c r="F771" s="141"/>
      <c r="G771" s="141"/>
      <c r="H771" s="141"/>
      <c r="I771" s="141"/>
      <c r="J771" s="141"/>
      <c r="K771" s="141"/>
      <c r="L771" s="141"/>
    </row>
    <row r="772" ht="14.25" customHeight="1">
      <c r="D772" s="3"/>
      <c r="F772" s="141"/>
      <c r="G772" s="141"/>
      <c r="H772" s="141"/>
      <c r="I772" s="141"/>
      <c r="J772" s="141"/>
      <c r="K772" s="141"/>
      <c r="L772" s="141"/>
    </row>
    <row r="773" ht="14.25" customHeight="1">
      <c r="D773" s="3"/>
      <c r="F773" s="141"/>
      <c r="G773" s="141"/>
      <c r="H773" s="141"/>
      <c r="I773" s="141"/>
      <c r="J773" s="141"/>
      <c r="K773" s="141"/>
      <c r="L773" s="141"/>
    </row>
    <row r="774" ht="14.25" customHeight="1">
      <c r="D774" s="3"/>
      <c r="F774" s="141"/>
      <c r="G774" s="141"/>
      <c r="H774" s="141"/>
      <c r="I774" s="141"/>
      <c r="J774" s="141"/>
      <c r="K774" s="141"/>
      <c r="L774" s="141"/>
    </row>
    <row r="775" ht="14.25" customHeight="1">
      <c r="D775" s="3"/>
      <c r="F775" s="141"/>
      <c r="G775" s="141"/>
      <c r="H775" s="141"/>
      <c r="I775" s="141"/>
      <c r="J775" s="141"/>
      <c r="K775" s="141"/>
      <c r="L775" s="141"/>
    </row>
    <row r="776" ht="14.25" customHeight="1">
      <c r="D776" s="3"/>
      <c r="F776" s="141"/>
      <c r="G776" s="141"/>
      <c r="H776" s="141"/>
      <c r="I776" s="141"/>
      <c r="J776" s="141"/>
      <c r="K776" s="141"/>
      <c r="L776" s="141"/>
    </row>
    <row r="777" ht="14.25" customHeight="1">
      <c r="D777" s="3"/>
      <c r="F777" s="141"/>
      <c r="G777" s="141"/>
      <c r="H777" s="141"/>
      <c r="I777" s="141"/>
      <c r="J777" s="141"/>
      <c r="K777" s="141"/>
      <c r="L777" s="141"/>
    </row>
    <row r="778" ht="14.25" customHeight="1">
      <c r="D778" s="3"/>
      <c r="F778" s="141"/>
      <c r="G778" s="141"/>
      <c r="H778" s="141"/>
      <c r="I778" s="141"/>
      <c r="J778" s="141"/>
      <c r="K778" s="141"/>
      <c r="L778" s="141"/>
    </row>
    <row r="779" ht="14.25" customHeight="1">
      <c r="D779" s="3"/>
      <c r="F779" s="141"/>
      <c r="G779" s="141"/>
      <c r="H779" s="141"/>
      <c r="I779" s="141"/>
      <c r="J779" s="141"/>
      <c r="K779" s="141"/>
      <c r="L779" s="141"/>
    </row>
    <row r="780" ht="14.25" customHeight="1">
      <c r="D780" s="3"/>
      <c r="F780" s="141"/>
      <c r="G780" s="141"/>
      <c r="H780" s="141"/>
      <c r="I780" s="141"/>
      <c r="J780" s="141"/>
      <c r="K780" s="141"/>
      <c r="L780" s="141"/>
    </row>
    <row r="781" ht="14.25" customHeight="1">
      <c r="D781" s="3"/>
      <c r="F781" s="141"/>
      <c r="G781" s="141"/>
      <c r="H781" s="141"/>
      <c r="I781" s="141"/>
      <c r="J781" s="141"/>
      <c r="K781" s="141"/>
      <c r="L781" s="141"/>
    </row>
    <row r="782" ht="14.25" customHeight="1">
      <c r="D782" s="3"/>
      <c r="F782" s="141"/>
      <c r="G782" s="141"/>
      <c r="H782" s="141"/>
      <c r="I782" s="141"/>
      <c r="J782" s="141"/>
      <c r="K782" s="141"/>
      <c r="L782" s="141"/>
    </row>
    <row r="783" ht="14.25" customHeight="1">
      <c r="D783" s="3"/>
      <c r="F783" s="141"/>
      <c r="G783" s="141"/>
      <c r="H783" s="141"/>
      <c r="I783" s="141"/>
      <c r="J783" s="141"/>
      <c r="K783" s="141"/>
      <c r="L783" s="141"/>
    </row>
    <row r="784" ht="14.25" customHeight="1">
      <c r="D784" s="3"/>
      <c r="F784" s="141"/>
      <c r="G784" s="141"/>
      <c r="H784" s="141"/>
      <c r="I784" s="141"/>
      <c r="J784" s="141"/>
      <c r="K784" s="141"/>
      <c r="L784" s="141"/>
    </row>
    <row r="785" ht="14.25" customHeight="1">
      <c r="D785" s="3"/>
      <c r="F785" s="141"/>
      <c r="G785" s="141"/>
      <c r="H785" s="141"/>
      <c r="I785" s="141"/>
      <c r="J785" s="141"/>
      <c r="K785" s="141"/>
      <c r="L785" s="141"/>
    </row>
    <row r="786" ht="14.25" customHeight="1">
      <c r="D786" s="3"/>
      <c r="F786" s="141"/>
      <c r="G786" s="141"/>
      <c r="H786" s="141"/>
      <c r="I786" s="141"/>
      <c r="J786" s="141"/>
      <c r="K786" s="141"/>
      <c r="L786" s="141"/>
    </row>
    <row r="787" ht="14.25" customHeight="1">
      <c r="D787" s="3"/>
      <c r="F787" s="141"/>
      <c r="G787" s="141"/>
      <c r="H787" s="141"/>
      <c r="I787" s="141"/>
      <c r="J787" s="141"/>
      <c r="K787" s="141"/>
      <c r="L787" s="141"/>
    </row>
    <row r="788" ht="14.25" customHeight="1">
      <c r="D788" s="3"/>
      <c r="F788" s="141"/>
      <c r="G788" s="141"/>
      <c r="H788" s="141"/>
      <c r="I788" s="141"/>
      <c r="J788" s="141"/>
      <c r="K788" s="141"/>
      <c r="L788" s="141"/>
    </row>
    <row r="789" ht="14.25" customHeight="1">
      <c r="D789" s="3"/>
      <c r="F789" s="141"/>
      <c r="G789" s="141"/>
      <c r="H789" s="141"/>
      <c r="I789" s="141"/>
      <c r="J789" s="141"/>
      <c r="K789" s="141"/>
      <c r="L789" s="141"/>
    </row>
    <row r="790" ht="14.25" customHeight="1">
      <c r="D790" s="3"/>
      <c r="F790" s="141"/>
      <c r="G790" s="141"/>
      <c r="H790" s="141"/>
      <c r="I790" s="141"/>
      <c r="J790" s="141"/>
      <c r="K790" s="141"/>
      <c r="L790" s="141"/>
    </row>
    <row r="791" ht="14.25" customHeight="1">
      <c r="D791" s="3"/>
      <c r="F791" s="141"/>
      <c r="G791" s="141"/>
      <c r="H791" s="141"/>
      <c r="I791" s="141"/>
      <c r="J791" s="141"/>
      <c r="K791" s="141"/>
      <c r="L791" s="141"/>
    </row>
    <row r="792" ht="14.25" customHeight="1">
      <c r="D792" s="3"/>
      <c r="F792" s="141"/>
      <c r="G792" s="141"/>
      <c r="H792" s="141"/>
      <c r="I792" s="141"/>
      <c r="J792" s="141"/>
      <c r="K792" s="141"/>
      <c r="L792" s="141"/>
    </row>
    <row r="793" ht="14.25" customHeight="1">
      <c r="D793" s="3"/>
      <c r="F793" s="141"/>
      <c r="G793" s="141"/>
      <c r="H793" s="141"/>
      <c r="I793" s="141"/>
      <c r="J793" s="141"/>
      <c r="K793" s="141"/>
      <c r="L793" s="141"/>
    </row>
    <row r="794" ht="14.25" customHeight="1">
      <c r="D794" s="3"/>
      <c r="F794" s="141"/>
      <c r="G794" s="141"/>
      <c r="H794" s="141"/>
      <c r="I794" s="141"/>
      <c r="J794" s="141"/>
      <c r="K794" s="141"/>
      <c r="L794" s="141"/>
    </row>
    <row r="795" ht="14.25" customHeight="1">
      <c r="D795" s="3"/>
      <c r="F795" s="141"/>
      <c r="G795" s="141"/>
      <c r="H795" s="141"/>
      <c r="I795" s="141"/>
      <c r="J795" s="141"/>
      <c r="K795" s="141"/>
      <c r="L795" s="141"/>
    </row>
    <row r="796" ht="14.25" customHeight="1">
      <c r="D796" s="3"/>
      <c r="F796" s="141"/>
      <c r="G796" s="141"/>
      <c r="H796" s="141"/>
      <c r="I796" s="141"/>
      <c r="J796" s="141"/>
      <c r="K796" s="141"/>
      <c r="L796" s="141"/>
    </row>
    <row r="797" ht="14.25" customHeight="1">
      <c r="D797" s="3"/>
      <c r="F797" s="141"/>
      <c r="G797" s="141"/>
      <c r="H797" s="141"/>
      <c r="I797" s="141"/>
      <c r="J797" s="141"/>
      <c r="K797" s="141"/>
      <c r="L797" s="141"/>
    </row>
    <row r="798" ht="14.25" customHeight="1">
      <c r="D798" s="3"/>
      <c r="F798" s="141"/>
      <c r="G798" s="141"/>
      <c r="H798" s="141"/>
      <c r="I798" s="141"/>
      <c r="J798" s="141"/>
      <c r="K798" s="141"/>
      <c r="L798" s="141"/>
    </row>
    <row r="799" ht="14.25" customHeight="1">
      <c r="D799" s="3"/>
      <c r="F799" s="141"/>
      <c r="G799" s="141"/>
      <c r="H799" s="141"/>
      <c r="I799" s="141"/>
      <c r="J799" s="141"/>
      <c r="K799" s="141"/>
      <c r="L799" s="141"/>
    </row>
    <row r="800" ht="14.25" customHeight="1">
      <c r="D800" s="3"/>
      <c r="F800" s="141"/>
      <c r="G800" s="141"/>
      <c r="H800" s="141"/>
      <c r="I800" s="141"/>
      <c r="J800" s="141"/>
      <c r="K800" s="141"/>
      <c r="L800" s="141"/>
    </row>
    <row r="801" ht="14.25" customHeight="1">
      <c r="D801" s="3"/>
      <c r="F801" s="141"/>
      <c r="G801" s="141"/>
      <c r="H801" s="141"/>
      <c r="I801" s="141"/>
      <c r="J801" s="141"/>
      <c r="K801" s="141"/>
      <c r="L801" s="141"/>
    </row>
    <row r="802" ht="14.25" customHeight="1">
      <c r="D802" s="3"/>
      <c r="F802" s="141"/>
      <c r="G802" s="141"/>
      <c r="H802" s="141"/>
      <c r="I802" s="141"/>
      <c r="J802" s="141"/>
      <c r="K802" s="141"/>
      <c r="L802" s="141"/>
    </row>
    <row r="803" ht="14.25" customHeight="1">
      <c r="D803" s="3"/>
      <c r="F803" s="141"/>
      <c r="G803" s="141"/>
      <c r="H803" s="141"/>
      <c r="I803" s="141"/>
      <c r="J803" s="141"/>
      <c r="K803" s="141"/>
      <c r="L803" s="141"/>
    </row>
    <row r="804" ht="14.25" customHeight="1">
      <c r="D804" s="3"/>
      <c r="F804" s="141"/>
      <c r="G804" s="141"/>
      <c r="H804" s="141"/>
      <c r="I804" s="141"/>
      <c r="J804" s="141"/>
      <c r="K804" s="141"/>
      <c r="L804" s="141"/>
    </row>
    <row r="805" ht="14.25" customHeight="1">
      <c r="D805" s="3"/>
      <c r="F805" s="141"/>
      <c r="G805" s="141"/>
      <c r="H805" s="141"/>
      <c r="I805" s="141"/>
      <c r="J805" s="141"/>
      <c r="K805" s="141"/>
      <c r="L805" s="141"/>
    </row>
    <row r="806" ht="14.25" customHeight="1">
      <c r="D806" s="3"/>
      <c r="F806" s="141"/>
      <c r="G806" s="141"/>
      <c r="H806" s="141"/>
      <c r="I806" s="141"/>
      <c r="J806" s="141"/>
      <c r="K806" s="141"/>
      <c r="L806" s="141"/>
    </row>
    <row r="807" ht="14.25" customHeight="1">
      <c r="D807" s="3"/>
      <c r="F807" s="141"/>
      <c r="G807" s="141"/>
      <c r="H807" s="141"/>
      <c r="I807" s="141"/>
      <c r="J807" s="141"/>
      <c r="K807" s="141"/>
      <c r="L807" s="141"/>
    </row>
    <row r="808" ht="14.25" customHeight="1">
      <c r="D808" s="3"/>
      <c r="F808" s="141"/>
      <c r="G808" s="141"/>
      <c r="H808" s="141"/>
      <c r="I808" s="141"/>
      <c r="J808" s="141"/>
      <c r="K808" s="141"/>
      <c r="L808" s="141"/>
    </row>
    <row r="809" ht="14.25" customHeight="1">
      <c r="D809" s="3"/>
      <c r="F809" s="141"/>
      <c r="G809" s="141"/>
      <c r="H809" s="141"/>
      <c r="I809" s="141"/>
      <c r="J809" s="141"/>
      <c r="K809" s="141"/>
      <c r="L809" s="141"/>
    </row>
    <row r="810" ht="14.25" customHeight="1">
      <c r="D810" s="3"/>
      <c r="F810" s="141"/>
      <c r="G810" s="141"/>
      <c r="H810" s="141"/>
      <c r="I810" s="141"/>
      <c r="J810" s="141"/>
      <c r="K810" s="141"/>
      <c r="L810" s="141"/>
    </row>
    <row r="811" ht="14.25" customHeight="1">
      <c r="D811" s="3"/>
      <c r="F811" s="141"/>
      <c r="G811" s="141"/>
      <c r="H811" s="141"/>
      <c r="I811" s="141"/>
      <c r="J811" s="141"/>
      <c r="K811" s="141"/>
      <c r="L811" s="141"/>
    </row>
    <row r="812" ht="14.25" customHeight="1">
      <c r="D812" s="3"/>
      <c r="F812" s="141"/>
      <c r="G812" s="141"/>
      <c r="H812" s="141"/>
      <c r="I812" s="141"/>
      <c r="J812" s="141"/>
      <c r="K812" s="141"/>
      <c r="L812" s="141"/>
    </row>
    <row r="813" ht="14.25" customHeight="1">
      <c r="D813" s="3"/>
      <c r="F813" s="141"/>
      <c r="G813" s="141"/>
      <c r="H813" s="141"/>
      <c r="I813" s="141"/>
      <c r="J813" s="141"/>
      <c r="K813" s="141"/>
      <c r="L813" s="141"/>
    </row>
    <row r="814" ht="14.25" customHeight="1">
      <c r="D814" s="3"/>
      <c r="F814" s="141"/>
      <c r="G814" s="141"/>
      <c r="H814" s="141"/>
      <c r="I814" s="141"/>
      <c r="J814" s="141"/>
      <c r="K814" s="141"/>
      <c r="L814" s="141"/>
    </row>
    <row r="815" ht="14.25" customHeight="1">
      <c r="D815" s="3"/>
      <c r="F815" s="141"/>
      <c r="G815" s="141"/>
      <c r="H815" s="141"/>
      <c r="I815" s="141"/>
      <c r="J815" s="141"/>
      <c r="K815" s="141"/>
      <c r="L815" s="141"/>
    </row>
    <row r="816" ht="14.25" customHeight="1">
      <c r="D816" s="3"/>
      <c r="F816" s="141"/>
      <c r="G816" s="141"/>
      <c r="H816" s="141"/>
      <c r="I816" s="141"/>
      <c r="J816" s="141"/>
      <c r="K816" s="141"/>
      <c r="L816" s="141"/>
    </row>
    <row r="817" ht="14.25" customHeight="1">
      <c r="D817" s="3"/>
      <c r="F817" s="141"/>
      <c r="G817" s="141"/>
      <c r="H817" s="141"/>
      <c r="I817" s="141"/>
      <c r="J817" s="141"/>
      <c r="K817" s="141"/>
      <c r="L817" s="141"/>
    </row>
    <row r="818" ht="14.25" customHeight="1">
      <c r="D818" s="3"/>
      <c r="F818" s="141"/>
      <c r="G818" s="141"/>
      <c r="H818" s="141"/>
      <c r="I818" s="141"/>
      <c r="J818" s="141"/>
      <c r="K818" s="141"/>
      <c r="L818" s="141"/>
    </row>
    <row r="819" ht="14.25" customHeight="1">
      <c r="D819" s="3"/>
      <c r="F819" s="141"/>
      <c r="G819" s="141"/>
      <c r="H819" s="141"/>
      <c r="I819" s="141"/>
      <c r="J819" s="141"/>
      <c r="K819" s="141"/>
      <c r="L819" s="141"/>
    </row>
    <row r="820" ht="14.25" customHeight="1">
      <c r="D820" s="3"/>
      <c r="F820" s="141"/>
      <c r="G820" s="141"/>
      <c r="H820" s="141"/>
      <c r="I820" s="141"/>
      <c r="J820" s="141"/>
      <c r="K820" s="141"/>
      <c r="L820" s="141"/>
    </row>
    <row r="821" ht="14.25" customHeight="1">
      <c r="D821" s="3"/>
      <c r="F821" s="141"/>
      <c r="G821" s="141"/>
      <c r="H821" s="141"/>
      <c r="I821" s="141"/>
      <c r="J821" s="141"/>
      <c r="K821" s="141"/>
      <c r="L821" s="141"/>
    </row>
    <row r="822" ht="14.25" customHeight="1">
      <c r="D822" s="3"/>
      <c r="F822" s="141"/>
      <c r="G822" s="141"/>
      <c r="H822" s="141"/>
      <c r="I822" s="141"/>
      <c r="J822" s="141"/>
      <c r="K822" s="141"/>
      <c r="L822" s="141"/>
    </row>
    <row r="823" ht="14.25" customHeight="1">
      <c r="D823" s="3"/>
      <c r="F823" s="141"/>
      <c r="G823" s="141"/>
      <c r="H823" s="141"/>
      <c r="I823" s="141"/>
      <c r="J823" s="141"/>
      <c r="K823" s="141"/>
      <c r="L823" s="141"/>
    </row>
    <row r="824" ht="14.25" customHeight="1">
      <c r="D824" s="3"/>
      <c r="F824" s="141"/>
      <c r="G824" s="141"/>
      <c r="H824" s="141"/>
      <c r="I824" s="141"/>
      <c r="J824" s="141"/>
      <c r="K824" s="141"/>
      <c r="L824" s="141"/>
    </row>
    <row r="825" ht="14.25" customHeight="1">
      <c r="D825" s="3"/>
      <c r="F825" s="141"/>
      <c r="G825" s="141"/>
      <c r="H825" s="141"/>
      <c r="I825" s="141"/>
      <c r="J825" s="141"/>
      <c r="K825" s="141"/>
      <c r="L825" s="141"/>
    </row>
    <row r="826" ht="14.25" customHeight="1">
      <c r="D826" s="3"/>
      <c r="F826" s="141"/>
      <c r="G826" s="141"/>
      <c r="H826" s="141"/>
      <c r="I826" s="141"/>
      <c r="J826" s="141"/>
      <c r="K826" s="141"/>
      <c r="L826" s="141"/>
    </row>
    <row r="827" ht="14.25" customHeight="1">
      <c r="D827" s="3"/>
      <c r="F827" s="141"/>
      <c r="G827" s="141"/>
      <c r="H827" s="141"/>
      <c r="I827" s="141"/>
      <c r="J827" s="141"/>
      <c r="K827" s="141"/>
      <c r="L827" s="141"/>
    </row>
    <row r="828" ht="14.25" customHeight="1">
      <c r="D828" s="3"/>
      <c r="F828" s="141"/>
      <c r="G828" s="141"/>
      <c r="H828" s="141"/>
      <c r="I828" s="141"/>
      <c r="J828" s="141"/>
      <c r="K828" s="141"/>
      <c r="L828" s="141"/>
    </row>
    <row r="829" ht="14.25" customHeight="1">
      <c r="D829" s="3"/>
      <c r="F829" s="141"/>
      <c r="G829" s="141"/>
      <c r="H829" s="141"/>
      <c r="I829" s="141"/>
      <c r="J829" s="141"/>
      <c r="K829" s="141"/>
      <c r="L829" s="141"/>
    </row>
    <row r="830" ht="14.25" customHeight="1">
      <c r="D830" s="3"/>
      <c r="F830" s="141"/>
      <c r="G830" s="141"/>
      <c r="H830" s="141"/>
      <c r="I830" s="141"/>
      <c r="J830" s="141"/>
      <c r="K830" s="141"/>
      <c r="L830" s="141"/>
    </row>
    <row r="831" ht="14.25" customHeight="1">
      <c r="D831" s="3"/>
      <c r="F831" s="141"/>
      <c r="G831" s="141"/>
      <c r="H831" s="141"/>
      <c r="I831" s="141"/>
      <c r="J831" s="141"/>
      <c r="K831" s="141"/>
      <c r="L831" s="141"/>
    </row>
    <row r="832" ht="14.25" customHeight="1">
      <c r="D832" s="3"/>
      <c r="F832" s="141"/>
      <c r="G832" s="141"/>
      <c r="H832" s="141"/>
      <c r="I832" s="141"/>
      <c r="J832" s="141"/>
      <c r="K832" s="141"/>
      <c r="L832" s="141"/>
    </row>
    <row r="833" ht="14.25" customHeight="1">
      <c r="D833" s="3"/>
      <c r="F833" s="141"/>
      <c r="G833" s="141"/>
      <c r="H833" s="141"/>
      <c r="I833" s="141"/>
      <c r="J833" s="141"/>
      <c r="K833" s="141"/>
      <c r="L833" s="141"/>
    </row>
    <row r="834" ht="14.25" customHeight="1">
      <c r="D834" s="3"/>
      <c r="F834" s="141"/>
      <c r="G834" s="141"/>
      <c r="H834" s="141"/>
      <c r="I834" s="141"/>
      <c r="J834" s="141"/>
      <c r="K834" s="141"/>
      <c r="L834" s="141"/>
    </row>
    <row r="835" ht="14.25" customHeight="1">
      <c r="D835" s="3"/>
      <c r="F835" s="141"/>
      <c r="G835" s="141"/>
      <c r="H835" s="141"/>
      <c r="I835" s="141"/>
      <c r="J835" s="141"/>
      <c r="K835" s="141"/>
      <c r="L835" s="141"/>
    </row>
    <row r="836" ht="14.25" customHeight="1">
      <c r="D836" s="3"/>
      <c r="F836" s="141"/>
      <c r="G836" s="141"/>
      <c r="H836" s="141"/>
      <c r="I836" s="141"/>
      <c r="J836" s="141"/>
      <c r="K836" s="141"/>
      <c r="L836" s="141"/>
    </row>
    <row r="837" ht="14.25" customHeight="1">
      <c r="D837" s="3"/>
      <c r="F837" s="141"/>
      <c r="G837" s="141"/>
      <c r="H837" s="141"/>
      <c r="I837" s="141"/>
      <c r="J837" s="141"/>
      <c r="K837" s="141"/>
      <c r="L837" s="141"/>
    </row>
    <row r="838" ht="14.25" customHeight="1">
      <c r="D838" s="3"/>
      <c r="F838" s="141"/>
      <c r="G838" s="141"/>
      <c r="H838" s="141"/>
      <c r="I838" s="141"/>
      <c r="J838" s="141"/>
      <c r="K838" s="141"/>
      <c r="L838" s="141"/>
    </row>
    <row r="839" ht="14.25" customHeight="1">
      <c r="D839" s="3"/>
      <c r="F839" s="141"/>
      <c r="G839" s="141"/>
      <c r="H839" s="141"/>
      <c r="I839" s="141"/>
      <c r="J839" s="141"/>
      <c r="K839" s="141"/>
      <c r="L839" s="141"/>
    </row>
    <row r="840" ht="14.25" customHeight="1">
      <c r="D840" s="3"/>
      <c r="F840" s="141"/>
      <c r="G840" s="141"/>
      <c r="H840" s="141"/>
      <c r="I840" s="141"/>
      <c r="J840" s="141"/>
      <c r="K840" s="141"/>
      <c r="L840" s="141"/>
    </row>
    <row r="841" ht="14.25" customHeight="1">
      <c r="D841" s="3"/>
      <c r="F841" s="141"/>
      <c r="G841" s="141"/>
      <c r="H841" s="141"/>
      <c r="I841" s="141"/>
      <c r="J841" s="141"/>
      <c r="K841" s="141"/>
      <c r="L841" s="141"/>
    </row>
    <row r="842" ht="14.25" customHeight="1">
      <c r="D842" s="3"/>
      <c r="F842" s="141"/>
      <c r="G842" s="141"/>
      <c r="H842" s="141"/>
      <c r="I842" s="141"/>
      <c r="J842" s="141"/>
      <c r="K842" s="141"/>
      <c r="L842" s="141"/>
    </row>
    <row r="843" ht="14.25" customHeight="1">
      <c r="D843" s="3"/>
      <c r="F843" s="141"/>
      <c r="G843" s="141"/>
      <c r="H843" s="141"/>
      <c r="I843" s="141"/>
      <c r="J843" s="141"/>
      <c r="K843" s="141"/>
      <c r="L843" s="141"/>
    </row>
    <row r="844" ht="14.25" customHeight="1">
      <c r="D844" s="3"/>
      <c r="F844" s="141"/>
      <c r="G844" s="141"/>
      <c r="H844" s="141"/>
      <c r="I844" s="141"/>
      <c r="J844" s="141"/>
      <c r="K844" s="141"/>
      <c r="L844" s="141"/>
    </row>
    <row r="845" ht="14.25" customHeight="1">
      <c r="D845" s="3"/>
      <c r="F845" s="141"/>
      <c r="G845" s="141"/>
      <c r="H845" s="141"/>
      <c r="I845" s="141"/>
      <c r="J845" s="141"/>
      <c r="K845" s="141"/>
      <c r="L845" s="141"/>
    </row>
    <row r="846" ht="14.25" customHeight="1">
      <c r="D846" s="3"/>
      <c r="F846" s="141"/>
      <c r="G846" s="141"/>
      <c r="H846" s="141"/>
      <c r="I846" s="141"/>
      <c r="J846" s="141"/>
      <c r="K846" s="141"/>
      <c r="L846" s="141"/>
    </row>
    <row r="847" ht="14.25" customHeight="1">
      <c r="D847" s="3"/>
      <c r="F847" s="141"/>
      <c r="G847" s="141"/>
      <c r="H847" s="141"/>
      <c r="I847" s="141"/>
      <c r="J847" s="141"/>
      <c r="K847" s="141"/>
      <c r="L847" s="141"/>
    </row>
    <row r="848" ht="14.25" customHeight="1">
      <c r="D848" s="3"/>
      <c r="F848" s="141"/>
      <c r="G848" s="141"/>
      <c r="H848" s="141"/>
      <c r="I848" s="141"/>
      <c r="J848" s="141"/>
      <c r="K848" s="141"/>
      <c r="L848" s="141"/>
    </row>
    <row r="849" ht="14.25" customHeight="1">
      <c r="D849" s="3"/>
      <c r="F849" s="141"/>
      <c r="G849" s="141"/>
      <c r="H849" s="141"/>
      <c r="I849" s="141"/>
      <c r="J849" s="141"/>
      <c r="K849" s="141"/>
      <c r="L849" s="141"/>
    </row>
    <row r="850" ht="14.25" customHeight="1">
      <c r="D850" s="3"/>
      <c r="F850" s="141"/>
      <c r="G850" s="141"/>
      <c r="H850" s="141"/>
      <c r="I850" s="141"/>
      <c r="J850" s="141"/>
      <c r="K850" s="141"/>
      <c r="L850" s="141"/>
    </row>
    <row r="851" ht="14.25" customHeight="1">
      <c r="D851" s="3"/>
      <c r="F851" s="141"/>
      <c r="G851" s="141"/>
      <c r="H851" s="141"/>
      <c r="I851" s="141"/>
      <c r="J851" s="141"/>
      <c r="K851" s="141"/>
      <c r="L851" s="141"/>
    </row>
    <row r="852" ht="14.25" customHeight="1">
      <c r="D852" s="3"/>
      <c r="F852" s="141"/>
      <c r="G852" s="141"/>
      <c r="H852" s="141"/>
      <c r="I852" s="141"/>
      <c r="J852" s="141"/>
      <c r="K852" s="141"/>
      <c r="L852" s="141"/>
    </row>
    <row r="853" ht="14.25" customHeight="1">
      <c r="D853" s="3"/>
      <c r="F853" s="141"/>
      <c r="G853" s="141"/>
      <c r="H853" s="141"/>
      <c r="I853" s="141"/>
      <c r="J853" s="141"/>
      <c r="K853" s="141"/>
      <c r="L853" s="141"/>
    </row>
    <row r="854" ht="14.25" customHeight="1">
      <c r="D854" s="3"/>
      <c r="F854" s="141"/>
      <c r="G854" s="141"/>
      <c r="H854" s="141"/>
      <c r="I854" s="141"/>
      <c r="J854" s="141"/>
      <c r="K854" s="141"/>
      <c r="L854" s="141"/>
    </row>
    <row r="855" ht="14.25" customHeight="1">
      <c r="D855" s="3"/>
      <c r="F855" s="141"/>
      <c r="G855" s="141"/>
      <c r="H855" s="141"/>
      <c r="I855" s="141"/>
      <c r="J855" s="141"/>
      <c r="K855" s="141"/>
      <c r="L855" s="141"/>
    </row>
    <row r="856" ht="14.25" customHeight="1">
      <c r="D856" s="3"/>
      <c r="F856" s="141"/>
      <c r="G856" s="141"/>
      <c r="H856" s="141"/>
      <c r="I856" s="141"/>
      <c r="J856" s="141"/>
      <c r="K856" s="141"/>
      <c r="L856" s="141"/>
    </row>
    <row r="857" ht="14.25" customHeight="1">
      <c r="D857" s="3"/>
      <c r="F857" s="141"/>
      <c r="G857" s="141"/>
      <c r="H857" s="141"/>
      <c r="I857" s="141"/>
      <c r="J857" s="141"/>
      <c r="K857" s="141"/>
      <c r="L857" s="141"/>
    </row>
    <row r="858" ht="14.25" customHeight="1">
      <c r="D858" s="3"/>
      <c r="F858" s="141"/>
      <c r="G858" s="141"/>
      <c r="H858" s="141"/>
      <c r="I858" s="141"/>
      <c r="J858" s="141"/>
      <c r="K858" s="141"/>
      <c r="L858" s="141"/>
    </row>
    <row r="859" ht="14.25" customHeight="1">
      <c r="D859" s="3"/>
      <c r="F859" s="141"/>
      <c r="G859" s="141"/>
      <c r="H859" s="141"/>
      <c r="I859" s="141"/>
      <c r="J859" s="141"/>
      <c r="K859" s="141"/>
      <c r="L859" s="141"/>
    </row>
    <row r="860" ht="14.25" customHeight="1">
      <c r="D860" s="3"/>
      <c r="F860" s="141"/>
      <c r="G860" s="141"/>
      <c r="H860" s="141"/>
      <c r="I860" s="141"/>
      <c r="J860" s="141"/>
      <c r="K860" s="141"/>
      <c r="L860" s="141"/>
    </row>
    <row r="861" ht="14.25" customHeight="1">
      <c r="D861" s="3"/>
      <c r="F861" s="141"/>
      <c r="G861" s="141"/>
      <c r="H861" s="141"/>
      <c r="I861" s="141"/>
      <c r="J861" s="141"/>
      <c r="K861" s="141"/>
      <c r="L861" s="141"/>
    </row>
    <row r="862" ht="14.25" customHeight="1">
      <c r="D862" s="3"/>
      <c r="F862" s="141"/>
      <c r="G862" s="141"/>
      <c r="H862" s="141"/>
      <c r="I862" s="141"/>
      <c r="J862" s="141"/>
      <c r="K862" s="141"/>
      <c r="L862" s="141"/>
    </row>
    <row r="863" ht="14.25" customHeight="1">
      <c r="D863" s="3"/>
      <c r="F863" s="141"/>
      <c r="G863" s="141"/>
      <c r="H863" s="141"/>
      <c r="I863" s="141"/>
      <c r="J863" s="141"/>
      <c r="K863" s="141"/>
      <c r="L863" s="141"/>
    </row>
    <row r="864" ht="14.25" customHeight="1">
      <c r="D864" s="3"/>
      <c r="F864" s="141"/>
      <c r="G864" s="141"/>
      <c r="H864" s="141"/>
      <c r="I864" s="141"/>
      <c r="J864" s="141"/>
      <c r="K864" s="141"/>
      <c r="L864" s="141"/>
    </row>
    <row r="865" ht="14.25" customHeight="1">
      <c r="D865" s="3"/>
      <c r="F865" s="141"/>
      <c r="G865" s="141"/>
      <c r="H865" s="141"/>
      <c r="I865" s="141"/>
      <c r="J865" s="141"/>
      <c r="K865" s="141"/>
      <c r="L865" s="141"/>
    </row>
    <row r="866" ht="14.25" customHeight="1">
      <c r="D866" s="3"/>
      <c r="F866" s="141"/>
      <c r="G866" s="141"/>
      <c r="H866" s="141"/>
      <c r="I866" s="141"/>
      <c r="J866" s="141"/>
      <c r="K866" s="141"/>
      <c r="L866" s="141"/>
    </row>
    <row r="867" ht="14.25" customHeight="1">
      <c r="D867" s="3"/>
      <c r="F867" s="141"/>
      <c r="G867" s="141"/>
      <c r="H867" s="141"/>
      <c r="I867" s="141"/>
      <c r="J867" s="141"/>
      <c r="K867" s="141"/>
      <c r="L867" s="141"/>
    </row>
    <row r="868" ht="14.25" customHeight="1">
      <c r="D868" s="3"/>
      <c r="F868" s="141"/>
      <c r="G868" s="141"/>
      <c r="H868" s="141"/>
      <c r="I868" s="141"/>
      <c r="J868" s="141"/>
      <c r="K868" s="141"/>
      <c r="L868" s="141"/>
    </row>
    <row r="869" ht="14.25" customHeight="1">
      <c r="D869" s="3"/>
      <c r="F869" s="141"/>
      <c r="G869" s="141"/>
      <c r="H869" s="141"/>
      <c r="I869" s="141"/>
      <c r="J869" s="141"/>
      <c r="K869" s="141"/>
      <c r="L869" s="141"/>
    </row>
    <row r="870" ht="14.25" customHeight="1">
      <c r="D870" s="3"/>
      <c r="F870" s="141"/>
      <c r="G870" s="141"/>
      <c r="H870" s="141"/>
      <c r="I870" s="141"/>
      <c r="J870" s="141"/>
      <c r="K870" s="141"/>
      <c r="L870" s="141"/>
    </row>
    <row r="871" ht="14.25" customHeight="1">
      <c r="D871" s="3"/>
      <c r="F871" s="141"/>
      <c r="G871" s="141"/>
      <c r="H871" s="141"/>
      <c r="I871" s="141"/>
      <c r="J871" s="141"/>
      <c r="K871" s="141"/>
      <c r="L871" s="141"/>
    </row>
    <row r="872" ht="14.25" customHeight="1">
      <c r="D872" s="3"/>
      <c r="F872" s="141"/>
      <c r="G872" s="141"/>
      <c r="H872" s="141"/>
      <c r="I872" s="141"/>
      <c r="J872" s="141"/>
      <c r="K872" s="141"/>
      <c r="L872" s="141"/>
    </row>
    <row r="873" ht="14.25" customHeight="1">
      <c r="D873" s="3"/>
      <c r="F873" s="141"/>
      <c r="G873" s="141"/>
      <c r="H873" s="141"/>
      <c r="I873" s="141"/>
      <c r="J873" s="141"/>
      <c r="K873" s="141"/>
      <c r="L873" s="141"/>
    </row>
    <row r="874" ht="14.25" customHeight="1">
      <c r="D874" s="3"/>
      <c r="F874" s="141"/>
      <c r="G874" s="141"/>
      <c r="H874" s="141"/>
      <c r="I874" s="141"/>
      <c r="J874" s="141"/>
      <c r="K874" s="141"/>
      <c r="L874" s="141"/>
    </row>
    <row r="875" ht="14.25" customHeight="1">
      <c r="D875" s="3"/>
      <c r="F875" s="141"/>
      <c r="G875" s="141"/>
      <c r="H875" s="141"/>
      <c r="I875" s="141"/>
      <c r="J875" s="141"/>
      <c r="K875" s="141"/>
      <c r="L875" s="141"/>
    </row>
    <row r="876" ht="14.25" customHeight="1">
      <c r="D876" s="3"/>
      <c r="F876" s="141"/>
      <c r="G876" s="141"/>
      <c r="H876" s="141"/>
      <c r="I876" s="141"/>
      <c r="J876" s="141"/>
      <c r="K876" s="141"/>
      <c r="L876" s="141"/>
    </row>
    <row r="877" ht="14.25" customHeight="1">
      <c r="D877" s="3"/>
      <c r="F877" s="141"/>
      <c r="G877" s="141"/>
      <c r="H877" s="141"/>
      <c r="I877" s="141"/>
      <c r="J877" s="141"/>
      <c r="K877" s="141"/>
      <c r="L877" s="141"/>
    </row>
    <row r="878" ht="14.25" customHeight="1">
      <c r="D878" s="3"/>
      <c r="F878" s="141"/>
      <c r="G878" s="141"/>
      <c r="H878" s="141"/>
      <c r="I878" s="141"/>
      <c r="J878" s="141"/>
      <c r="K878" s="141"/>
      <c r="L878" s="141"/>
    </row>
    <row r="879" ht="14.25" customHeight="1">
      <c r="D879" s="3"/>
      <c r="F879" s="141"/>
      <c r="G879" s="141"/>
      <c r="H879" s="141"/>
      <c r="I879" s="141"/>
      <c r="J879" s="141"/>
      <c r="K879" s="141"/>
      <c r="L879" s="141"/>
    </row>
    <row r="880" ht="14.25" customHeight="1">
      <c r="D880" s="3"/>
      <c r="F880" s="141"/>
      <c r="G880" s="141"/>
      <c r="H880" s="141"/>
      <c r="I880" s="141"/>
      <c r="J880" s="141"/>
      <c r="K880" s="141"/>
      <c r="L880" s="141"/>
    </row>
    <row r="881" ht="14.25" customHeight="1">
      <c r="D881" s="3"/>
      <c r="F881" s="141"/>
      <c r="G881" s="141"/>
      <c r="H881" s="141"/>
      <c r="I881" s="141"/>
      <c r="J881" s="141"/>
      <c r="K881" s="141"/>
      <c r="L881" s="141"/>
    </row>
    <row r="882" ht="14.25" customHeight="1">
      <c r="D882" s="3"/>
      <c r="F882" s="141"/>
      <c r="G882" s="141"/>
      <c r="H882" s="141"/>
      <c r="I882" s="141"/>
      <c r="J882" s="141"/>
      <c r="K882" s="141"/>
      <c r="L882" s="141"/>
    </row>
    <row r="883" ht="14.25" customHeight="1">
      <c r="D883" s="3"/>
      <c r="F883" s="141"/>
      <c r="G883" s="141"/>
      <c r="H883" s="141"/>
      <c r="I883" s="141"/>
      <c r="J883" s="141"/>
      <c r="K883" s="141"/>
      <c r="L883" s="141"/>
    </row>
    <row r="884" ht="14.25" customHeight="1">
      <c r="D884" s="3"/>
      <c r="F884" s="141"/>
      <c r="G884" s="141"/>
      <c r="H884" s="141"/>
      <c r="I884" s="141"/>
      <c r="J884" s="141"/>
      <c r="K884" s="141"/>
      <c r="L884" s="141"/>
    </row>
    <row r="885" ht="14.25" customHeight="1">
      <c r="D885" s="3"/>
      <c r="F885" s="141"/>
      <c r="G885" s="141"/>
      <c r="H885" s="141"/>
      <c r="I885" s="141"/>
      <c r="J885" s="141"/>
      <c r="K885" s="141"/>
      <c r="L885" s="141"/>
    </row>
    <row r="886" ht="14.25" customHeight="1">
      <c r="D886" s="3"/>
      <c r="F886" s="141"/>
      <c r="G886" s="141"/>
      <c r="H886" s="141"/>
      <c r="I886" s="141"/>
      <c r="J886" s="141"/>
      <c r="K886" s="141"/>
      <c r="L886" s="141"/>
    </row>
    <row r="887" ht="14.25" customHeight="1">
      <c r="D887" s="3"/>
      <c r="F887" s="141"/>
      <c r="G887" s="141"/>
      <c r="H887" s="141"/>
      <c r="I887" s="141"/>
      <c r="J887" s="141"/>
      <c r="K887" s="141"/>
      <c r="L887" s="141"/>
    </row>
    <row r="888" ht="14.25" customHeight="1">
      <c r="D888" s="3"/>
      <c r="F888" s="141"/>
      <c r="G888" s="141"/>
      <c r="H888" s="141"/>
      <c r="I888" s="141"/>
      <c r="J888" s="141"/>
      <c r="K888" s="141"/>
      <c r="L888" s="141"/>
    </row>
    <row r="889" ht="14.25" customHeight="1">
      <c r="D889" s="3"/>
      <c r="F889" s="141"/>
      <c r="G889" s="141"/>
      <c r="H889" s="141"/>
      <c r="I889" s="141"/>
      <c r="J889" s="141"/>
      <c r="K889" s="141"/>
      <c r="L889" s="141"/>
    </row>
    <row r="890" ht="14.25" customHeight="1">
      <c r="D890" s="3"/>
      <c r="F890" s="141"/>
      <c r="G890" s="141"/>
      <c r="H890" s="141"/>
      <c r="I890" s="141"/>
      <c r="J890" s="141"/>
      <c r="K890" s="141"/>
      <c r="L890" s="141"/>
    </row>
    <row r="891" ht="14.25" customHeight="1">
      <c r="D891" s="3"/>
      <c r="F891" s="141"/>
      <c r="G891" s="141"/>
      <c r="H891" s="141"/>
      <c r="I891" s="141"/>
      <c r="J891" s="141"/>
      <c r="K891" s="141"/>
      <c r="L891" s="141"/>
    </row>
    <row r="892" ht="14.25" customHeight="1">
      <c r="D892" s="3"/>
      <c r="F892" s="141"/>
      <c r="G892" s="141"/>
      <c r="H892" s="141"/>
      <c r="I892" s="141"/>
      <c r="J892" s="141"/>
      <c r="K892" s="141"/>
      <c r="L892" s="141"/>
    </row>
    <row r="893" ht="14.25" customHeight="1">
      <c r="D893" s="3"/>
      <c r="F893" s="141"/>
      <c r="G893" s="141"/>
      <c r="H893" s="141"/>
      <c r="I893" s="141"/>
      <c r="J893" s="141"/>
      <c r="K893" s="141"/>
      <c r="L893" s="141"/>
    </row>
    <row r="894" ht="14.25" customHeight="1">
      <c r="D894" s="3"/>
      <c r="F894" s="141"/>
      <c r="G894" s="141"/>
      <c r="H894" s="141"/>
      <c r="I894" s="141"/>
      <c r="J894" s="141"/>
      <c r="K894" s="141"/>
      <c r="L894" s="141"/>
    </row>
    <row r="895" ht="14.25" customHeight="1">
      <c r="D895" s="3"/>
      <c r="F895" s="141"/>
      <c r="G895" s="141"/>
      <c r="H895" s="141"/>
      <c r="I895" s="141"/>
      <c r="J895" s="141"/>
      <c r="K895" s="141"/>
      <c r="L895" s="141"/>
    </row>
    <row r="896" ht="14.25" customHeight="1">
      <c r="D896" s="3"/>
      <c r="F896" s="141"/>
      <c r="G896" s="141"/>
      <c r="H896" s="141"/>
      <c r="I896" s="141"/>
      <c r="J896" s="141"/>
      <c r="K896" s="141"/>
      <c r="L896" s="141"/>
    </row>
    <row r="897" ht="14.25" customHeight="1">
      <c r="D897" s="3"/>
      <c r="F897" s="141"/>
      <c r="G897" s="141"/>
      <c r="H897" s="141"/>
      <c r="I897" s="141"/>
      <c r="J897" s="141"/>
      <c r="K897" s="141"/>
      <c r="L897" s="141"/>
    </row>
    <row r="898" ht="14.25" customHeight="1">
      <c r="D898" s="3"/>
      <c r="F898" s="141"/>
      <c r="G898" s="141"/>
      <c r="H898" s="141"/>
      <c r="I898" s="141"/>
      <c r="J898" s="141"/>
      <c r="K898" s="141"/>
      <c r="L898" s="141"/>
    </row>
    <row r="899" ht="14.25" customHeight="1">
      <c r="D899" s="3"/>
      <c r="F899" s="141"/>
      <c r="G899" s="141"/>
      <c r="H899" s="141"/>
      <c r="I899" s="141"/>
      <c r="J899" s="141"/>
      <c r="K899" s="141"/>
      <c r="L899" s="141"/>
    </row>
    <row r="900" ht="14.25" customHeight="1">
      <c r="D900" s="3"/>
      <c r="F900" s="141"/>
      <c r="G900" s="141"/>
      <c r="H900" s="141"/>
      <c r="I900" s="141"/>
      <c r="J900" s="141"/>
      <c r="K900" s="141"/>
      <c r="L900" s="141"/>
    </row>
    <row r="901" ht="14.25" customHeight="1">
      <c r="D901" s="3"/>
      <c r="F901" s="141"/>
      <c r="G901" s="141"/>
      <c r="H901" s="141"/>
      <c r="I901" s="141"/>
      <c r="J901" s="141"/>
      <c r="K901" s="141"/>
      <c r="L901" s="141"/>
    </row>
    <row r="902" ht="14.25" customHeight="1">
      <c r="D902" s="3"/>
      <c r="F902" s="141"/>
      <c r="G902" s="141"/>
      <c r="H902" s="141"/>
      <c r="I902" s="141"/>
      <c r="J902" s="141"/>
      <c r="K902" s="141"/>
      <c r="L902" s="141"/>
    </row>
    <row r="903" ht="14.25" customHeight="1">
      <c r="D903" s="3"/>
      <c r="F903" s="141"/>
      <c r="G903" s="141"/>
      <c r="H903" s="141"/>
      <c r="I903" s="141"/>
      <c r="J903" s="141"/>
      <c r="K903" s="141"/>
      <c r="L903" s="141"/>
    </row>
    <row r="904" ht="14.25" customHeight="1">
      <c r="D904" s="3"/>
      <c r="F904" s="141"/>
      <c r="G904" s="141"/>
      <c r="H904" s="141"/>
      <c r="I904" s="141"/>
      <c r="J904" s="141"/>
      <c r="K904" s="141"/>
      <c r="L904" s="141"/>
    </row>
    <row r="905" ht="14.25" customHeight="1">
      <c r="D905" s="3"/>
      <c r="F905" s="141"/>
      <c r="G905" s="141"/>
      <c r="H905" s="141"/>
      <c r="I905" s="141"/>
      <c r="J905" s="141"/>
      <c r="K905" s="141"/>
      <c r="L905" s="141"/>
    </row>
    <row r="906" ht="14.25" customHeight="1">
      <c r="D906" s="3"/>
      <c r="F906" s="141"/>
      <c r="G906" s="141"/>
      <c r="H906" s="141"/>
      <c r="I906" s="141"/>
      <c r="J906" s="141"/>
      <c r="K906" s="141"/>
      <c r="L906" s="141"/>
    </row>
    <row r="907" ht="14.25" customHeight="1">
      <c r="D907" s="3"/>
      <c r="F907" s="141"/>
      <c r="G907" s="141"/>
      <c r="H907" s="141"/>
      <c r="I907" s="141"/>
      <c r="J907" s="141"/>
      <c r="K907" s="141"/>
      <c r="L907" s="141"/>
    </row>
    <row r="908" ht="14.25" customHeight="1">
      <c r="D908" s="3"/>
      <c r="F908" s="141"/>
      <c r="G908" s="141"/>
      <c r="H908" s="141"/>
      <c r="I908" s="141"/>
      <c r="J908" s="141"/>
      <c r="K908" s="141"/>
      <c r="L908" s="141"/>
    </row>
    <row r="909" ht="14.25" customHeight="1">
      <c r="D909" s="3"/>
      <c r="F909" s="141"/>
      <c r="G909" s="141"/>
      <c r="H909" s="141"/>
      <c r="I909" s="141"/>
      <c r="J909" s="141"/>
      <c r="K909" s="141"/>
      <c r="L909" s="141"/>
    </row>
    <row r="910" ht="14.25" customHeight="1">
      <c r="D910" s="3"/>
      <c r="F910" s="141"/>
      <c r="G910" s="141"/>
      <c r="H910" s="141"/>
      <c r="I910" s="141"/>
      <c r="J910" s="141"/>
      <c r="K910" s="141"/>
      <c r="L910" s="141"/>
    </row>
    <row r="911" ht="14.25" customHeight="1">
      <c r="D911" s="3"/>
      <c r="F911" s="141"/>
      <c r="G911" s="141"/>
      <c r="H911" s="141"/>
      <c r="I911" s="141"/>
      <c r="J911" s="141"/>
      <c r="K911" s="141"/>
      <c r="L911" s="141"/>
    </row>
    <row r="912" ht="14.25" customHeight="1">
      <c r="D912" s="3"/>
      <c r="F912" s="141"/>
      <c r="G912" s="141"/>
      <c r="H912" s="141"/>
      <c r="I912" s="141"/>
      <c r="J912" s="141"/>
      <c r="K912" s="141"/>
      <c r="L912" s="141"/>
    </row>
    <row r="913" ht="14.25" customHeight="1">
      <c r="D913" s="3"/>
      <c r="F913" s="141"/>
      <c r="G913" s="141"/>
      <c r="H913" s="141"/>
      <c r="I913" s="141"/>
      <c r="J913" s="141"/>
      <c r="K913" s="141"/>
      <c r="L913" s="141"/>
    </row>
    <row r="914" ht="14.25" customHeight="1">
      <c r="D914" s="3"/>
      <c r="F914" s="141"/>
      <c r="G914" s="141"/>
      <c r="H914" s="141"/>
      <c r="I914" s="141"/>
      <c r="J914" s="141"/>
      <c r="K914" s="141"/>
      <c r="L914" s="141"/>
    </row>
    <row r="915" ht="14.25" customHeight="1">
      <c r="D915" s="3"/>
      <c r="F915" s="141"/>
      <c r="G915" s="141"/>
      <c r="H915" s="141"/>
      <c r="I915" s="141"/>
      <c r="J915" s="141"/>
      <c r="K915" s="141"/>
      <c r="L915" s="141"/>
    </row>
    <row r="916" ht="14.25" customHeight="1">
      <c r="D916" s="3"/>
      <c r="F916" s="141"/>
      <c r="G916" s="141"/>
      <c r="H916" s="141"/>
      <c r="I916" s="141"/>
      <c r="J916" s="141"/>
      <c r="K916" s="141"/>
      <c r="L916" s="141"/>
    </row>
    <row r="917" ht="14.25" customHeight="1">
      <c r="D917" s="3"/>
      <c r="F917" s="141"/>
      <c r="G917" s="141"/>
      <c r="H917" s="141"/>
      <c r="I917" s="141"/>
      <c r="J917" s="141"/>
      <c r="K917" s="141"/>
      <c r="L917" s="141"/>
    </row>
    <row r="918" ht="14.25" customHeight="1">
      <c r="D918" s="3"/>
      <c r="F918" s="141"/>
      <c r="G918" s="141"/>
      <c r="H918" s="141"/>
      <c r="I918" s="141"/>
      <c r="J918" s="141"/>
      <c r="K918" s="141"/>
      <c r="L918" s="141"/>
    </row>
    <row r="919" ht="14.25" customHeight="1">
      <c r="D919" s="3"/>
      <c r="F919" s="141"/>
      <c r="G919" s="141"/>
      <c r="H919" s="141"/>
      <c r="I919" s="141"/>
      <c r="J919" s="141"/>
      <c r="K919" s="141"/>
      <c r="L919" s="141"/>
    </row>
    <row r="920" ht="14.25" customHeight="1">
      <c r="D920" s="3"/>
      <c r="F920" s="141"/>
      <c r="G920" s="141"/>
      <c r="H920" s="141"/>
      <c r="I920" s="141"/>
      <c r="J920" s="141"/>
      <c r="K920" s="141"/>
      <c r="L920" s="141"/>
    </row>
    <row r="921" ht="14.25" customHeight="1">
      <c r="D921" s="3"/>
      <c r="F921" s="141"/>
      <c r="G921" s="141"/>
      <c r="H921" s="141"/>
      <c r="I921" s="141"/>
      <c r="J921" s="141"/>
      <c r="K921" s="141"/>
      <c r="L921" s="141"/>
    </row>
    <row r="922" ht="14.25" customHeight="1">
      <c r="D922" s="3"/>
      <c r="F922" s="141"/>
      <c r="G922" s="141"/>
      <c r="H922" s="141"/>
      <c r="I922" s="141"/>
      <c r="J922" s="141"/>
      <c r="K922" s="141"/>
      <c r="L922" s="141"/>
    </row>
    <row r="923" ht="14.25" customHeight="1">
      <c r="D923" s="3"/>
      <c r="F923" s="141"/>
      <c r="G923" s="141"/>
      <c r="H923" s="141"/>
      <c r="I923" s="141"/>
      <c r="J923" s="141"/>
      <c r="K923" s="141"/>
      <c r="L923" s="141"/>
    </row>
    <row r="924" ht="14.25" customHeight="1">
      <c r="D924" s="3"/>
      <c r="F924" s="141"/>
      <c r="G924" s="141"/>
      <c r="H924" s="141"/>
      <c r="I924" s="141"/>
      <c r="J924" s="141"/>
      <c r="K924" s="141"/>
      <c r="L924" s="141"/>
    </row>
    <row r="925" ht="14.25" customHeight="1">
      <c r="D925" s="3"/>
      <c r="F925" s="141"/>
      <c r="G925" s="141"/>
      <c r="H925" s="141"/>
      <c r="I925" s="141"/>
      <c r="J925" s="141"/>
      <c r="K925" s="141"/>
      <c r="L925" s="141"/>
    </row>
    <row r="926" ht="14.25" customHeight="1">
      <c r="D926" s="3"/>
      <c r="F926" s="141"/>
      <c r="G926" s="141"/>
      <c r="H926" s="141"/>
      <c r="I926" s="141"/>
      <c r="J926" s="141"/>
      <c r="K926" s="141"/>
      <c r="L926" s="141"/>
    </row>
    <row r="927" ht="14.25" customHeight="1">
      <c r="D927" s="3"/>
      <c r="F927" s="141"/>
      <c r="G927" s="141"/>
      <c r="H927" s="141"/>
      <c r="I927" s="141"/>
      <c r="J927" s="141"/>
      <c r="K927" s="141"/>
      <c r="L927" s="141"/>
    </row>
    <row r="928" ht="14.25" customHeight="1">
      <c r="D928" s="3"/>
      <c r="F928" s="141"/>
      <c r="G928" s="141"/>
      <c r="H928" s="141"/>
      <c r="I928" s="141"/>
      <c r="J928" s="141"/>
      <c r="K928" s="141"/>
      <c r="L928" s="141"/>
    </row>
    <row r="929" ht="14.25" customHeight="1">
      <c r="D929" s="3"/>
      <c r="F929" s="141"/>
      <c r="G929" s="141"/>
      <c r="H929" s="141"/>
      <c r="I929" s="141"/>
      <c r="J929" s="141"/>
      <c r="K929" s="141"/>
      <c r="L929" s="141"/>
    </row>
    <row r="930" ht="14.25" customHeight="1">
      <c r="D930" s="3"/>
      <c r="F930" s="141"/>
      <c r="G930" s="141"/>
      <c r="H930" s="141"/>
      <c r="I930" s="141"/>
      <c r="J930" s="141"/>
      <c r="K930" s="141"/>
      <c r="L930" s="141"/>
    </row>
    <row r="931" ht="14.25" customHeight="1">
      <c r="D931" s="3"/>
      <c r="F931" s="141"/>
      <c r="G931" s="141"/>
      <c r="H931" s="141"/>
      <c r="I931" s="141"/>
      <c r="J931" s="141"/>
      <c r="K931" s="141"/>
      <c r="L931" s="141"/>
    </row>
    <row r="932" ht="14.25" customHeight="1">
      <c r="D932" s="3"/>
      <c r="F932" s="141"/>
      <c r="G932" s="141"/>
      <c r="H932" s="141"/>
      <c r="I932" s="141"/>
      <c r="J932" s="141"/>
      <c r="K932" s="141"/>
      <c r="L932" s="141"/>
    </row>
    <row r="933" ht="14.25" customHeight="1">
      <c r="D933" s="3"/>
      <c r="F933" s="141"/>
      <c r="G933" s="141"/>
      <c r="H933" s="141"/>
      <c r="I933" s="141"/>
      <c r="J933" s="141"/>
      <c r="K933" s="141"/>
      <c r="L933" s="141"/>
    </row>
    <row r="934" ht="14.25" customHeight="1">
      <c r="D934" s="3"/>
      <c r="F934" s="141"/>
      <c r="G934" s="141"/>
      <c r="H934" s="141"/>
      <c r="I934" s="141"/>
      <c r="J934" s="141"/>
      <c r="K934" s="141"/>
      <c r="L934" s="141"/>
    </row>
    <row r="935" ht="14.25" customHeight="1">
      <c r="D935" s="3"/>
      <c r="F935" s="141"/>
      <c r="G935" s="141"/>
      <c r="H935" s="141"/>
      <c r="I935" s="141"/>
      <c r="J935" s="141"/>
      <c r="K935" s="141"/>
      <c r="L935" s="141"/>
    </row>
    <row r="936" ht="14.25" customHeight="1">
      <c r="D936" s="3"/>
      <c r="F936" s="141"/>
      <c r="G936" s="141"/>
      <c r="H936" s="141"/>
      <c r="I936" s="141"/>
      <c r="J936" s="141"/>
      <c r="K936" s="141"/>
      <c r="L936" s="141"/>
    </row>
    <row r="937" ht="14.25" customHeight="1">
      <c r="D937" s="3"/>
      <c r="F937" s="141"/>
      <c r="G937" s="141"/>
      <c r="H937" s="141"/>
      <c r="I937" s="141"/>
      <c r="J937" s="141"/>
      <c r="K937" s="141"/>
      <c r="L937" s="141"/>
    </row>
    <row r="938" ht="14.25" customHeight="1">
      <c r="D938" s="3"/>
      <c r="F938" s="141"/>
      <c r="G938" s="141"/>
      <c r="H938" s="141"/>
      <c r="I938" s="141"/>
      <c r="J938" s="141"/>
      <c r="K938" s="141"/>
      <c r="L938" s="141"/>
    </row>
    <row r="939" ht="14.25" customHeight="1">
      <c r="D939" s="3"/>
      <c r="F939" s="141"/>
      <c r="G939" s="141"/>
      <c r="H939" s="141"/>
      <c r="I939" s="141"/>
      <c r="J939" s="141"/>
      <c r="K939" s="141"/>
      <c r="L939" s="141"/>
    </row>
    <row r="940" ht="14.25" customHeight="1">
      <c r="D940" s="3"/>
      <c r="F940" s="141"/>
      <c r="G940" s="141"/>
      <c r="H940" s="141"/>
      <c r="I940" s="141"/>
      <c r="J940" s="141"/>
      <c r="K940" s="141"/>
      <c r="L940" s="141"/>
    </row>
    <row r="941" ht="14.25" customHeight="1">
      <c r="D941" s="3"/>
      <c r="F941" s="141"/>
      <c r="G941" s="141"/>
      <c r="H941" s="141"/>
      <c r="I941" s="141"/>
      <c r="J941" s="141"/>
      <c r="K941" s="141"/>
      <c r="L941" s="141"/>
    </row>
    <row r="942" ht="14.25" customHeight="1">
      <c r="D942" s="3"/>
      <c r="F942" s="141"/>
      <c r="G942" s="141"/>
      <c r="H942" s="141"/>
      <c r="I942" s="141"/>
      <c r="J942" s="141"/>
      <c r="K942" s="141"/>
      <c r="L942" s="141"/>
    </row>
    <row r="943" ht="14.25" customHeight="1">
      <c r="D943" s="3"/>
      <c r="F943" s="141"/>
      <c r="G943" s="141"/>
      <c r="H943" s="141"/>
      <c r="I943" s="141"/>
      <c r="J943" s="141"/>
      <c r="K943" s="141"/>
      <c r="L943" s="141"/>
    </row>
    <row r="944" ht="14.25" customHeight="1">
      <c r="D944" s="3"/>
      <c r="F944" s="141"/>
      <c r="G944" s="141"/>
      <c r="H944" s="141"/>
      <c r="I944" s="141"/>
      <c r="J944" s="141"/>
      <c r="K944" s="141"/>
      <c r="L944" s="141"/>
    </row>
    <row r="945" ht="14.25" customHeight="1">
      <c r="D945" s="3"/>
      <c r="F945" s="141"/>
      <c r="G945" s="141"/>
      <c r="H945" s="141"/>
      <c r="I945" s="141"/>
      <c r="J945" s="141"/>
      <c r="K945" s="141"/>
      <c r="L945" s="141"/>
    </row>
    <row r="946" ht="14.25" customHeight="1">
      <c r="D946" s="3"/>
      <c r="F946" s="141"/>
      <c r="G946" s="141"/>
      <c r="H946" s="141"/>
      <c r="I946" s="141"/>
      <c r="J946" s="141"/>
      <c r="K946" s="141"/>
      <c r="L946" s="141"/>
    </row>
    <row r="947" ht="14.25" customHeight="1">
      <c r="D947" s="3"/>
      <c r="F947" s="141"/>
      <c r="G947" s="141"/>
      <c r="H947" s="141"/>
      <c r="I947" s="141"/>
      <c r="J947" s="141"/>
      <c r="K947" s="141"/>
      <c r="L947" s="141"/>
    </row>
    <row r="948" ht="14.25" customHeight="1">
      <c r="D948" s="3"/>
      <c r="F948" s="141"/>
      <c r="G948" s="141"/>
      <c r="H948" s="141"/>
      <c r="I948" s="141"/>
      <c r="J948" s="141"/>
      <c r="K948" s="141"/>
      <c r="L948" s="141"/>
    </row>
    <row r="949" ht="14.25" customHeight="1">
      <c r="D949" s="3"/>
      <c r="F949" s="141"/>
      <c r="G949" s="141"/>
      <c r="H949" s="141"/>
      <c r="I949" s="141"/>
      <c r="J949" s="141"/>
      <c r="K949" s="141"/>
      <c r="L949" s="141"/>
    </row>
    <row r="950" ht="14.25" customHeight="1">
      <c r="D950" s="3"/>
      <c r="F950" s="141"/>
      <c r="G950" s="141"/>
      <c r="H950" s="141"/>
      <c r="I950" s="141"/>
      <c r="J950" s="141"/>
      <c r="K950" s="141"/>
      <c r="L950" s="141"/>
    </row>
    <row r="951" ht="14.25" customHeight="1">
      <c r="D951" s="3"/>
      <c r="F951" s="141"/>
      <c r="G951" s="141"/>
      <c r="H951" s="141"/>
      <c r="I951" s="141"/>
      <c r="J951" s="141"/>
      <c r="K951" s="141"/>
      <c r="L951" s="141"/>
    </row>
    <row r="952" ht="14.25" customHeight="1">
      <c r="D952" s="3"/>
      <c r="F952" s="141"/>
      <c r="G952" s="141"/>
      <c r="H952" s="141"/>
      <c r="I952" s="141"/>
      <c r="J952" s="141"/>
      <c r="K952" s="141"/>
      <c r="L952" s="141"/>
    </row>
    <row r="953" ht="14.25" customHeight="1">
      <c r="D953" s="3"/>
      <c r="F953" s="141"/>
      <c r="G953" s="141"/>
      <c r="H953" s="141"/>
      <c r="I953" s="141"/>
      <c r="J953" s="141"/>
      <c r="K953" s="141"/>
      <c r="L953" s="141"/>
    </row>
    <row r="954" ht="14.25" customHeight="1">
      <c r="D954" s="3"/>
      <c r="F954" s="141"/>
      <c r="G954" s="141"/>
      <c r="H954" s="141"/>
      <c r="I954" s="141"/>
      <c r="J954" s="141"/>
      <c r="K954" s="141"/>
      <c r="L954" s="141"/>
    </row>
    <row r="955" ht="14.25" customHeight="1">
      <c r="D955" s="3"/>
      <c r="F955" s="141"/>
      <c r="G955" s="141"/>
      <c r="H955" s="141"/>
      <c r="I955" s="141"/>
      <c r="J955" s="141"/>
      <c r="K955" s="141"/>
      <c r="L955" s="141"/>
    </row>
    <row r="956" ht="14.25" customHeight="1">
      <c r="D956" s="3"/>
      <c r="F956" s="141"/>
      <c r="G956" s="141"/>
      <c r="H956" s="141"/>
      <c r="I956" s="141"/>
      <c r="J956" s="141"/>
      <c r="K956" s="141"/>
      <c r="L956" s="141"/>
    </row>
    <row r="957" ht="14.25" customHeight="1">
      <c r="D957" s="3"/>
      <c r="F957" s="141"/>
      <c r="G957" s="141"/>
      <c r="H957" s="141"/>
      <c r="I957" s="141"/>
      <c r="J957" s="141"/>
      <c r="K957" s="141"/>
      <c r="L957" s="141"/>
    </row>
    <row r="958" ht="14.25" customHeight="1">
      <c r="D958" s="3"/>
      <c r="F958" s="141"/>
      <c r="G958" s="141"/>
      <c r="H958" s="141"/>
      <c r="I958" s="141"/>
      <c r="J958" s="141"/>
      <c r="K958" s="141"/>
      <c r="L958" s="141"/>
    </row>
    <row r="959" ht="14.25" customHeight="1">
      <c r="D959" s="3"/>
      <c r="F959" s="141"/>
      <c r="G959" s="141"/>
      <c r="H959" s="141"/>
      <c r="I959" s="141"/>
      <c r="J959" s="141"/>
      <c r="K959" s="141"/>
      <c r="L959" s="141"/>
    </row>
    <row r="960" ht="14.25" customHeight="1">
      <c r="D960" s="3"/>
      <c r="F960" s="141"/>
      <c r="G960" s="141"/>
      <c r="H960" s="141"/>
      <c r="I960" s="141"/>
      <c r="J960" s="141"/>
      <c r="K960" s="141"/>
      <c r="L960" s="141"/>
    </row>
    <row r="961" ht="14.25" customHeight="1">
      <c r="D961" s="3"/>
      <c r="F961" s="141"/>
      <c r="G961" s="141"/>
      <c r="H961" s="141"/>
      <c r="I961" s="141"/>
      <c r="J961" s="141"/>
      <c r="K961" s="141"/>
      <c r="L961" s="141"/>
    </row>
    <row r="962" ht="14.25" customHeight="1">
      <c r="D962" s="3"/>
      <c r="F962" s="141"/>
      <c r="G962" s="141"/>
      <c r="H962" s="141"/>
      <c r="I962" s="141"/>
      <c r="J962" s="141"/>
      <c r="K962" s="141"/>
      <c r="L962" s="141"/>
    </row>
    <row r="963" ht="14.25" customHeight="1">
      <c r="D963" s="3"/>
      <c r="F963" s="141"/>
      <c r="G963" s="141"/>
      <c r="H963" s="141"/>
      <c r="I963" s="141"/>
      <c r="J963" s="141"/>
      <c r="K963" s="141"/>
      <c r="L963" s="141"/>
    </row>
    <row r="964" ht="14.25" customHeight="1">
      <c r="D964" s="3"/>
      <c r="F964" s="141"/>
      <c r="G964" s="141"/>
      <c r="H964" s="141"/>
      <c r="I964" s="141"/>
      <c r="J964" s="141"/>
      <c r="K964" s="141"/>
      <c r="L964" s="141"/>
    </row>
    <row r="965" ht="14.25" customHeight="1">
      <c r="D965" s="3"/>
      <c r="F965" s="141"/>
      <c r="G965" s="141"/>
      <c r="H965" s="141"/>
      <c r="I965" s="141"/>
      <c r="J965" s="141"/>
      <c r="K965" s="141"/>
      <c r="L965" s="141"/>
    </row>
    <row r="966" ht="14.25" customHeight="1">
      <c r="D966" s="3"/>
      <c r="F966" s="141"/>
      <c r="G966" s="141"/>
      <c r="H966" s="141"/>
      <c r="I966" s="141"/>
      <c r="J966" s="141"/>
      <c r="K966" s="141"/>
      <c r="L966" s="141"/>
    </row>
    <row r="967" ht="14.25" customHeight="1">
      <c r="D967" s="3"/>
      <c r="F967" s="141"/>
      <c r="G967" s="141"/>
      <c r="H967" s="141"/>
      <c r="I967" s="141"/>
      <c r="J967" s="141"/>
      <c r="K967" s="141"/>
      <c r="L967" s="141"/>
    </row>
    <row r="968" ht="14.25" customHeight="1">
      <c r="D968" s="3"/>
      <c r="F968" s="141"/>
      <c r="G968" s="141"/>
      <c r="H968" s="141"/>
      <c r="I968" s="141"/>
      <c r="J968" s="141"/>
      <c r="K968" s="141"/>
      <c r="L968" s="141"/>
    </row>
    <row r="969" ht="14.25" customHeight="1">
      <c r="D969" s="3"/>
      <c r="F969" s="141"/>
      <c r="G969" s="141"/>
      <c r="H969" s="141"/>
      <c r="I969" s="141"/>
      <c r="J969" s="141"/>
      <c r="K969" s="141"/>
      <c r="L969" s="141"/>
    </row>
    <row r="970" ht="14.25" customHeight="1">
      <c r="D970" s="3"/>
      <c r="F970" s="141"/>
      <c r="G970" s="141"/>
      <c r="H970" s="141"/>
      <c r="I970" s="141"/>
      <c r="J970" s="141"/>
      <c r="K970" s="141"/>
      <c r="L970" s="141"/>
    </row>
    <row r="971" ht="14.25" customHeight="1">
      <c r="D971" s="3"/>
      <c r="F971" s="141"/>
      <c r="G971" s="141"/>
      <c r="H971" s="141"/>
      <c r="I971" s="141"/>
      <c r="J971" s="141"/>
      <c r="K971" s="141"/>
      <c r="L971" s="141"/>
    </row>
    <row r="972" ht="14.25" customHeight="1">
      <c r="D972" s="3"/>
      <c r="F972" s="141"/>
      <c r="G972" s="141"/>
      <c r="H972" s="141"/>
      <c r="I972" s="141"/>
      <c r="J972" s="141"/>
      <c r="K972" s="141"/>
      <c r="L972" s="141"/>
    </row>
    <row r="973" ht="14.25" customHeight="1">
      <c r="D973" s="3"/>
      <c r="F973" s="141"/>
      <c r="G973" s="141"/>
      <c r="H973" s="141"/>
      <c r="I973" s="141"/>
      <c r="J973" s="141"/>
      <c r="K973" s="141"/>
      <c r="L973" s="141"/>
    </row>
    <row r="974" ht="14.25" customHeight="1">
      <c r="D974" s="3"/>
      <c r="F974" s="141"/>
      <c r="G974" s="141"/>
      <c r="H974" s="141"/>
      <c r="I974" s="141"/>
      <c r="J974" s="141"/>
      <c r="K974" s="141"/>
      <c r="L974" s="141"/>
    </row>
    <row r="975" ht="14.25" customHeight="1">
      <c r="D975" s="3"/>
      <c r="F975" s="141"/>
      <c r="G975" s="141"/>
      <c r="H975" s="141"/>
      <c r="I975" s="141"/>
      <c r="J975" s="141"/>
      <c r="K975" s="141"/>
      <c r="L975" s="141"/>
    </row>
    <row r="976" ht="14.25" customHeight="1">
      <c r="D976" s="3"/>
      <c r="F976" s="141"/>
      <c r="G976" s="141"/>
      <c r="H976" s="141"/>
      <c r="I976" s="141"/>
      <c r="J976" s="141"/>
      <c r="K976" s="141"/>
      <c r="L976" s="141"/>
    </row>
    <row r="977" ht="14.25" customHeight="1">
      <c r="D977" s="3"/>
      <c r="F977" s="141"/>
      <c r="G977" s="141"/>
      <c r="H977" s="141"/>
      <c r="I977" s="141"/>
      <c r="J977" s="141"/>
      <c r="K977" s="141"/>
      <c r="L977" s="141"/>
    </row>
    <row r="978" ht="14.25" customHeight="1">
      <c r="D978" s="3"/>
      <c r="F978" s="141"/>
      <c r="G978" s="141"/>
      <c r="H978" s="141"/>
      <c r="I978" s="141"/>
      <c r="J978" s="141"/>
      <c r="K978" s="141"/>
      <c r="L978" s="141"/>
    </row>
    <row r="979" ht="14.25" customHeight="1">
      <c r="D979" s="3"/>
      <c r="F979" s="141"/>
      <c r="G979" s="141"/>
      <c r="H979" s="141"/>
      <c r="I979" s="141"/>
      <c r="J979" s="141"/>
      <c r="K979" s="141"/>
      <c r="L979" s="141"/>
    </row>
    <row r="980" ht="14.25" customHeight="1">
      <c r="D980" s="3"/>
      <c r="F980" s="141"/>
      <c r="G980" s="141"/>
      <c r="H980" s="141"/>
      <c r="I980" s="141"/>
      <c r="J980" s="141"/>
      <c r="K980" s="141"/>
      <c r="L980" s="141"/>
    </row>
    <row r="981" ht="14.25" customHeight="1">
      <c r="D981" s="3"/>
      <c r="F981" s="141"/>
      <c r="G981" s="141"/>
      <c r="H981" s="141"/>
      <c r="I981" s="141"/>
      <c r="J981" s="141"/>
      <c r="K981" s="141"/>
      <c r="L981" s="141"/>
    </row>
    <row r="982" ht="14.25" customHeight="1">
      <c r="D982" s="3"/>
      <c r="F982" s="141"/>
      <c r="G982" s="141"/>
      <c r="H982" s="141"/>
      <c r="I982" s="141"/>
      <c r="J982" s="141"/>
      <c r="K982" s="141"/>
      <c r="L982" s="141"/>
    </row>
    <row r="983" ht="14.25" customHeight="1">
      <c r="D983" s="3"/>
      <c r="F983" s="141"/>
      <c r="G983" s="141"/>
      <c r="H983" s="141"/>
      <c r="I983" s="141"/>
      <c r="J983" s="141"/>
      <c r="K983" s="141"/>
      <c r="L983" s="141"/>
    </row>
    <row r="984" ht="14.25" customHeight="1">
      <c r="D984" s="3"/>
      <c r="F984" s="141"/>
      <c r="G984" s="141"/>
      <c r="H984" s="141"/>
      <c r="I984" s="141"/>
      <c r="J984" s="141"/>
      <c r="K984" s="141"/>
      <c r="L984" s="141"/>
    </row>
    <row r="985" ht="14.25" customHeight="1">
      <c r="D985" s="3"/>
      <c r="F985" s="141"/>
      <c r="G985" s="141"/>
      <c r="H985" s="141"/>
      <c r="I985" s="141"/>
      <c r="J985" s="141"/>
      <c r="K985" s="141"/>
      <c r="L985" s="141"/>
    </row>
    <row r="986" ht="14.25" customHeight="1">
      <c r="D986" s="3"/>
      <c r="F986" s="141"/>
      <c r="G986" s="141"/>
      <c r="H986" s="141"/>
      <c r="I986" s="141"/>
      <c r="J986" s="141"/>
      <c r="K986" s="141"/>
      <c r="L986" s="141"/>
    </row>
    <row r="987" ht="14.25" customHeight="1">
      <c r="D987" s="3"/>
      <c r="F987" s="141"/>
      <c r="G987" s="141"/>
      <c r="H987" s="141"/>
      <c r="I987" s="141"/>
      <c r="J987" s="141"/>
      <c r="K987" s="141"/>
      <c r="L987" s="141"/>
    </row>
    <row r="988" ht="14.25" customHeight="1">
      <c r="D988" s="3"/>
      <c r="F988" s="141"/>
      <c r="G988" s="141"/>
      <c r="H988" s="141"/>
      <c r="I988" s="141"/>
      <c r="J988" s="141"/>
      <c r="K988" s="141"/>
      <c r="L988" s="141"/>
    </row>
    <row r="989" ht="14.25" customHeight="1">
      <c r="D989" s="3"/>
      <c r="F989" s="141"/>
      <c r="G989" s="141"/>
      <c r="H989" s="141"/>
      <c r="I989" s="141"/>
      <c r="J989" s="141"/>
      <c r="K989" s="141"/>
      <c r="L989" s="141"/>
    </row>
    <row r="990" ht="14.25" customHeight="1">
      <c r="D990" s="3"/>
      <c r="F990" s="141"/>
      <c r="G990" s="141"/>
      <c r="H990" s="141"/>
      <c r="I990" s="141"/>
      <c r="J990" s="141"/>
      <c r="K990" s="141"/>
      <c r="L990" s="141"/>
    </row>
    <row r="991" ht="14.25" customHeight="1">
      <c r="D991" s="3"/>
      <c r="F991" s="141"/>
      <c r="G991" s="141"/>
      <c r="H991" s="141"/>
      <c r="I991" s="141"/>
      <c r="J991" s="141"/>
      <c r="K991" s="141"/>
      <c r="L991" s="141"/>
    </row>
    <row r="992" ht="14.25" customHeight="1">
      <c r="D992" s="3"/>
      <c r="F992" s="141"/>
      <c r="G992" s="141"/>
      <c r="H992" s="141"/>
      <c r="I992" s="141"/>
      <c r="J992" s="141"/>
      <c r="K992" s="141"/>
      <c r="L992" s="141"/>
    </row>
    <row r="993" ht="14.25" customHeight="1">
      <c r="D993" s="3"/>
      <c r="F993" s="141"/>
      <c r="G993" s="141"/>
      <c r="H993" s="141"/>
      <c r="I993" s="141"/>
      <c r="J993" s="141"/>
      <c r="K993" s="141"/>
      <c r="L993" s="141"/>
    </row>
    <row r="994" ht="14.25" customHeight="1">
      <c r="D994" s="3"/>
      <c r="F994" s="141"/>
      <c r="G994" s="141"/>
      <c r="H994" s="141"/>
      <c r="I994" s="141"/>
      <c r="J994" s="141"/>
      <c r="K994" s="141"/>
      <c r="L994" s="141"/>
    </row>
    <row r="995" ht="14.25" customHeight="1">
      <c r="D995" s="3"/>
      <c r="F995" s="141"/>
      <c r="G995" s="141"/>
      <c r="H995" s="141"/>
      <c r="I995" s="141"/>
      <c r="J995" s="141"/>
      <c r="K995" s="141"/>
      <c r="L995" s="141"/>
    </row>
    <row r="996" ht="14.25" customHeight="1">
      <c r="D996" s="3"/>
      <c r="F996" s="141"/>
      <c r="G996" s="141"/>
      <c r="H996" s="141"/>
      <c r="I996" s="141"/>
      <c r="J996" s="141"/>
      <c r="K996" s="141"/>
      <c r="L996" s="141"/>
    </row>
    <row r="997" ht="14.25" customHeight="1">
      <c r="D997" s="3"/>
      <c r="F997" s="141"/>
      <c r="G997" s="141"/>
      <c r="H997" s="141"/>
      <c r="I997" s="141"/>
      <c r="J997" s="141"/>
      <c r="K997" s="141"/>
      <c r="L997" s="141"/>
    </row>
    <row r="998" ht="14.25" customHeight="1">
      <c r="D998" s="3"/>
      <c r="F998" s="141"/>
      <c r="G998" s="141"/>
      <c r="H998" s="141"/>
      <c r="I998" s="141"/>
      <c r="J998" s="141"/>
      <c r="K998" s="141"/>
      <c r="L998" s="141"/>
    </row>
    <row r="999" ht="14.25" customHeight="1">
      <c r="D999" s="3"/>
      <c r="F999" s="141"/>
      <c r="G999" s="141"/>
      <c r="H999" s="141"/>
      <c r="I999" s="141"/>
      <c r="J999" s="141"/>
      <c r="K999" s="141"/>
      <c r="L999" s="141"/>
    </row>
    <row r="1000" ht="14.25" customHeight="1">
      <c r="D1000" s="3"/>
      <c r="F1000" s="141"/>
      <c r="G1000" s="141"/>
      <c r="H1000" s="141"/>
      <c r="I1000" s="141"/>
      <c r="J1000" s="141"/>
      <c r="K1000" s="141"/>
      <c r="L1000" s="141"/>
    </row>
  </sheetData>
  <autoFilter ref="$B$2:$M$83"/>
  <mergeCells count="1">
    <mergeCell ref="N2:R2"/>
  </mergeCells>
  <printOptions/>
  <pageMargins bottom="0.75" footer="0.0" header="0.0" left="0.7" right="0.7" top="0.7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5" width="11.57"/>
    <col customWidth="1" min="16" max="16" width="10.86"/>
    <col customWidth="1" min="17" max="26" width="11.57"/>
  </cols>
  <sheetData>
    <row r="1" ht="14.25" customHeight="1">
      <c r="A1" s="149" t="s">
        <v>1161</v>
      </c>
      <c r="B1" s="150"/>
      <c r="C1" s="150"/>
      <c r="D1" s="150"/>
      <c r="E1" s="150"/>
      <c r="F1" s="150"/>
      <c r="G1" s="150"/>
      <c r="H1" s="150"/>
      <c r="I1" s="150"/>
      <c r="J1" s="151"/>
      <c r="L1" s="149" t="s">
        <v>1187</v>
      </c>
      <c r="M1" s="150"/>
      <c r="N1" s="150"/>
      <c r="O1" s="150"/>
      <c r="P1" s="150"/>
      <c r="Q1" s="150"/>
      <c r="R1" s="151"/>
    </row>
    <row r="2" ht="14.25" customHeight="1">
      <c r="D2" s="5">
        <f>SUMPRODUCT(RUMAS!C4:C13,RUMAS!D4:D13)/SUM(RUMAS!C4:C13)</f>
        <v>0.2591717782</v>
      </c>
      <c r="F2" s="146">
        <f>SUMPRODUCT(RUMAS!F4:F13,RUMAS!$C4:$C13)/SUM(RUMAS!$C4:$C13)/100</f>
        <v>0.9447876166</v>
      </c>
      <c r="G2" s="65">
        <f t="shared" ref="G2:H2" si="1">SUM(G4:G13)</f>
        <v>4290.608682</v>
      </c>
      <c r="H2" s="65">
        <f t="shared" si="1"/>
        <v>0</v>
      </c>
    </row>
    <row r="3" ht="14.25" customHeight="1">
      <c r="A3" s="3"/>
      <c r="B3" s="2"/>
      <c r="C3" s="3" t="s">
        <v>14</v>
      </c>
      <c r="D3" s="3" t="s">
        <v>683</v>
      </c>
      <c r="E3" s="143" t="s">
        <v>683</v>
      </c>
      <c r="F3" s="3" t="s">
        <v>685</v>
      </c>
      <c r="G3" s="3" t="s">
        <v>686</v>
      </c>
      <c r="H3" s="3" t="s">
        <v>687</v>
      </c>
      <c r="I3" s="3" t="s">
        <v>698</v>
      </c>
      <c r="J3" s="65" t="s">
        <v>699</v>
      </c>
      <c r="L3" s="3"/>
      <c r="M3" s="2"/>
      <c r="N3" s="3" t="s">
        <v>14</v>
      </c>
      <c r="O3" s="3" t="s">
        <v>683</v>
      </c>
      <c r="P3" s="3" t="s">
        <v>686</v>
      </c>
      <c r="Q3" s="3" t="s">
        <v>700</v>
      </c>
      <c r="R3" s="3" t="s">
        <v>687</v>
      </c>
    </row>
    <row r="4" ht="14.25" customHeight="1">
      <c r="A4" s="152" t="s">
        <v>558</v>
      </c>
      <c r="B4" s="153"/>
      <c r="C4" s="154">
        <f>SUMIF('Analisis comercial'!$AO$4:$AO$283,$A4,'Analisis comercial'!$K$4:$K$283)</f>
        <v>155.754</v>
      </c>
      <c r="D4" s="154">
        <f t="array" ref="D4">+SUMPRODUCT(IF('Analisis comercial'!$AO$4:$AO$283=A4,'Analisis comercial'!$L$4:$L$283*'Analisis comercial'!$K$4:$K$283/C4))</f>
        <v>0.2366118174</v>
      </c>
      <c r="E4" s="155">
        <f t="shared" ref="E4:E15" si="2">31.1035*1.1023*D4*(100-F4)/100</f>
        <v>0.3433791965</v>
      </c>
      <c r="F4" s="157">
        <f t="array" ref="F4">+SUMPRODUCT(IF('Analisis comercial'!$AO$4:$AO$283=A4,('Analisis comercial'!$Q$4:$Q$283*'Analisis comercial'!$AH$4:$AH$283)/SUMIF('Analisis comercial'!$AO$4:$AO$283,$A4,'Analisis comercial'!$AH$4:$AH$283)))</f>
        <v>95.76719287</v>
      </c>
      <c r="G4" s="200">
        <f t="shared" ref="G4:G15" si="3">+D4*31.1035*1.1023*C4</f>
        <v>1263.527531</v>
      </c>
      <c r="H4" s="156">
        <f>SUMIF('Analisis comercial'!$AO$4,$A4,'Analisis comercial'!$AH$4)</f>
        <v>0</v>
      </c>
      <c r="I4" s="157">
        <f>+G4-H4</f>
        <v>1263.527531</v>
      </c>
      <c r="J4" s="158">
        <f>+C4</f>
        <v>155.754</v>
      </c>
      <c r="L4" s="152" t="s">
        <v>558</v>
      </c>
      <c r="M4" s="153"/>
      <c r="N4" s="154">
        <f>SUMIF('Analisis comercial'!$AO$4:$AO$283,$A4,'Analisis comercial'!$K$4:$K$283)</f>
        <v>155.754</v>
      </c>
      <c r="O4" s="154">
        <v>0.44</v>
      </c>
      <c r="P4" s="157">
        <f t="shared" ref="P4:P13" si="4">N4*O4*31.1035*1.1023</f>
        <v>2349.637985</v>
      </c>
      <c r="Q4" s="157">
        <v>50.0</v>
      </c>
      <c r="R4" s="159">
        <f t="shared" ref="R4:R13" si="5">P4*Q4/100</f>
        <v>1174.818993</v>
      </c>
    </row>
    <row r="5" ht="14.25" customHeight="1">
      <c r="A5" s="160" t="s">
        <v>551</v>
      </c>
      <c r="B5" s="146"/>
      <c r="C5" s="6">
        <f>SUMIF('Analisis comercial'!$AO$4:$AO$283,$A5,'Analisis comercial'!$K$4:$K$283)</f>
        <v>160.097</v>
      </c>
      <c r="D5" s="6">
        <f t="array" ref="D5">+SUMPRODUCT(IF('Analisis comercial'!$AO$4:$AO$283=A5,'Analisis comercial'!$L$4:$L$283*'Analisis comercial'!$K$4:$K$283/C5))</f>
        <v>0.2488548942</v>
      </c>
      <c r="E5" s="145">
        <f t="shared" si="2"/>
        <v>0.5259917821</v>
      </c>
      <c r="F5" s="58">
        <f t="array" ref="F5">+SUMPRODUCT(IF('Analisis comercial'!$AO$4:$AO$283=A5,('Analisis comercial'!$Q$4:$Q$283*'Analisis comercial'!$AH$4:$AH$283)/SUMIF('Analisis comercial'!$AO$4:$AO$283,$A5,'Analisis comercial'!$AH$4:$AH$283)))</f>
        <v>93.83513312</v>
      </c>
      <c r="G5" s="65">
        <f t="shared" si="3"/>
        <v>1365.961471</v>
      </c>
      <c r="H5" s="65">
        <f>SUMIF('Analisis comercial'!$AO$4,$A5,'Analisis comercial'!$AH$4)</f>
        <v>0</v>
      </c>
      <c r="I5" s="58">
        <f t="shared" ref="I5:I13" si="6">+I4+G5-H5</f>
        <v>2629.489002</v>
      </c>
      <c r="J5" s="161">
        <f t="shared" ref="J5:J13" si="7">+J4+C5</f>
        <v>315.851</v>
      </c>
      <c r="L5" s="160" t="s">
        <v>551</v>
      </c>
      <c r="M5" s="146"/>
      <c r="N5" s="6">
        <f>SUMIF('Analisis comercial'!$AO$4:$AO$283,$A5,'Analisis comercial'!$K$4:$K$283)</f>
        <v>160.097</v>
      </c>
      <c r="O5" s="6">
        <v>0.0</v>
      </c>
      <c r="P5" s="58">
        <f t="shared" si="4"/>
        <v>0</v>
      </c>
      <c r="Q5" s="58">
        <v>90.0</v>
      </c>
      <c r="R5" s="162">
        <f t="shared" si="5"/>
        <v>0</v>
      </c>
    </row>
    <row r="6" ht="14.25" customHeight="1">
      <c r="A6" s="160" t="s">
        <v>547</v>
      </c>
      <c r="B6" s="146"/>
      <c r="C6" s="6">
        <f>SUMIF('Analisis comercial'!$AO$4:$AO$283,$A6,'Analisis comercial'!$K$4:$K$283)</f>
        <v>167.01</v>
      </c>
      <c r="D6" s="6">
        <f t="array" ref="D6">+SUMPRODUCT(IF('Analisis comercial'!$AO$4:$AO$283=A6,'Analisis comercial'!$L$4:$L$283*'Analisis comercial'!$K$4:$K$283/C6))</f>
        <v>0.2901011017</v>
      </c>
      <c r="E6" s="145">
        <f t="shared" si="2"/>
        <v>0.6073014109</v>
      </c>
      <c r="F6" s="58">
        <f t="array" ref="F6">+SUMPRODUCT(IF('Analisis comercial'!$AO$4:$AO$283=A6,('Analisis comercial'!$Q$4:$Q$283*'Analisis comercial'!$AH$4:$AH$283)/SUMIF('Analisis comercial'!$AO$4:$AO$283,$A6,'Analisis comercial'!$AH$4:$AH$283)))</f>
        <v>93.89415405</v>
      </c>
      <c r="G6" s="65">
        <f t="shared" si="3"/>
        <v>1661.11968</v>
      </c>
      <c r="H6" s="65">
        <f>SUMIF('Analisis comercial'!$AO$4,$A6,'Analisis comercial'!$AH$4)</f>
        <v>0</v>
      </c>
      <c r="I6" s="58">
        <f t="shared" si="6"/>
        <v>4290.608682</v>
      </c>
      <c r="J6" s="161">
        <f t="shared" si="7"/>
        <v>482.861</v>
      </c>
      <c r="L6" s="160" t="s">
        <v>547</v>
      </c>
      <c r="M6" s="146"/>
      <c r="N6" s="6">
        <f>SUMIF('Analisis comercial'!$AO$4:$AO$283,$A6,'Analisis comercial'!$K$4:$K$283)</f>
        <v>167.01</v>
      </c>
      <c r="O6" s="6">
        <v>0.0</v>
      </c>
      <c r="P6" s="58">
        <f t="shared" si="4"/>
        <v>0</v>
      </c>
      <c r="Q6" s="58">
        <v>90.0</v>
      </c>
      <c r="R6" s="162">
        <f t="shared" si="5"/>
        <v>0</v>
      </c>
    </row>
    <row r="7" ht="14.25" customHeight="1">
      <c r="A7" s="160" t="s">
        <v>549</v>
      </c>
      <c r="B7" s="58"/>
      <c r="C7" s="6">
        <f>SUMIF('Analisis comercial'!$AO$4:$AO$283,$A7,'Analisis comercial'!$K$4:$K$283)</f>
        <v>0</v>
      </c>
      <c r="D7" s="6">
        <f t="array" ref="D7">+SUMPRODUCT(IF('Analisis comercial'!$AO$4:$AO$283=A7,'Analisis comercial'!$L$4:$L$283*'Analisis comercial'!$K$4:$K$283/C7))</f>
        <v>0</v>
      </c>
      <c r="E7" s="145">
        <f t="shared" si="2"/>
        <v>0</v>
      </c>
      <c r="F7" s="58">
        <f t="array" ref="F7">+SUMPRODUCT(IF('Analisis comercial'!$AO$4:$AO$283=A7,('Analisis comercial'!$Q$4:$Q$283*'Analisis comercial'!$AH$4:$AH$283)/SUMIF('Analisis comercial'!$AO$4:$AO$283,$A7,'Analisis comercial'!$AH$4:$AH$283)))</f>
        <v>0</v>
      </c>
      <c r="G7" s="65">
        <f t="shared" si="3"/>
        <v>0</v>
      </c>
      <c r="H7" s="65">
        <f>SUMIF('Analisis comercial'!$AO$4,$A7,'Analisis comercial'!$AH$4)</f>
        <v>0</v>
      </c>
      <c r="I7" s="58">
        <f t="shared" si="6"/>
        <v>4290.608682</v>
      </c>
      <c r="J7" s="161">
        <f t="shared" si="7"/>
        <v>482.861</v>
      </c>
      <c r="L7" s="160" t="s">
        <v>549</v>
      </c>
      <c r="M7" s="58"/>
      <c r="N7" s="6">
        <f>SUMIF('Analisis comercial'!$AO$4:$AO$283,$A7,'Analisis comercial'!$K$4:$K$283)</f>
        <v>0</v>
      </c>
      <c r="O7" s="6">
        <v>0.0</v>
      </c>
      <c r="P7" s="58">
        <f t="shared" si="4"/>
        <v>0</v>
      </c>
      <c r="Q7" s="58">
        <v>90.0</v>
      </c>
      <c r="R7" s="162">
        <f t="shared" si="5"/>
        <v>0</v>
      </c>
    </row>
    <row r="8" ht="14.25" customHeight="1">
      <c r="A8" s="160" t="s">
        <v>561</v>
      </c>
      <c r="B8" s="58"/>
      <c r="C8" s="6">
        <f>SUMIF('Analisis comercial'!$AO$4:$AO$283,$A8,'Analisis comercial'!$K$4:$K$283)</f>
        <v>0</v>
      </c>
      <c r="D8" s="6">
        <f t="array" ref="D8">+SUMPRODUCT(IF('Analisis comercial'!$AO$4:$AO$283=A8,'Analisis comercial'!$L$4:$L$283*'Analisis comercial'!$K$4:$K$283/C8))</f>
        <v>0</v>
      </c>
      <c r="E8" s="145">
        <f t="shared" si="2"/>
        <v>0</v>
      </c>
      <c r="F8" s="58">
        <f t="array" ref="F8">+SUMPRODUCT(IF('Analisis comercial'!$AO$4:$AO$283=A8,('Analisis comercial'!$Q$4:$Q$283*'Analisis comercial'!$AH$4:$AH$283)/SUMIF('Analisis comercial'!$AO$4:$AO$283,$A8,'Analisis comercial'!$AH$4:$AH$283)))</f>
        <v>0</v>
      </c>
      <c r="G8" s="65">
        <f t="shared" si="3"/>
        <v>0</v>
      </c>
      <c r="H8" s="65">
        <f>SUMIF('Analisis comercial'!$AO$4,$A8,'Analisis comercial'!$AH$4)</f>
        <v>0</v>
      </c>
      <c r="I8" s="58">
        <f t="shared" si="6"/>
        <v>4290.608682</v>
      </c>
      <c r="J8" s="161">
        <f t="shared" si="7"/>
        <v>482.861</v>
      </c>
      <c r="L8" s="160" t="s">
        <v>561</v>
      </c>
      <c r="M8" s="58"/>
      <c r="N8" s="6">
        <f>SUMIF('Analisis comercial'!$AO$4:$AO$283,$A8,'Analisis comercial'!$K$4:$K$283)</f>
        <v>0</v>
      </c>
      <c r="O8" s="6">
        <v>0.0</v>
      </c>
      <c r="P8" s="58">
        <f t="shared" si="4"/>
        <v>0</v>
      </c>
      <c r="Q8" s="58">
        <v>90.0</v>
      </c>
      <c r="R8" s="162">
        <f t="shared" si="5"/>
        <v>0</v>
      </c>
    </row>
    <row r="9" ht="14.25" customHeight="1">
      <c r="A9" s="160" t="s">
        <v>689</v>
      </c>
      <c r="B9" s="58"/>
      <c r="C9" s="6">
        <f>SUMIF('Analisis comercial'!$AO$4:$AO$283,$A9,'Analisis comercial'!$K$4:$K$283)</f>
        <v>0</v>
      </c>
      <c r="D9" s="6">
        <f t="array" ref="D9">+SUMPRODUCT(IF('Analisis comercial'!$AO$4:$AO$283=A9,'Analisis comercial'!$L$4:$L$283*'Analisis comercial'!$K$4:$K$283/C9))</f>
        <v>0</v>
      </c>
      <c r="E9" s="145">
        <f t="shared" si="2"/>
        <v>0</v>
      </c>
      <c r="F9" s="58">
        <f t="array" ref="F9">+SUMPRODUCT(IF('Analisis comercial'!$AO$4:$AO$283=A9,('Analisis comercial'!$Q$4:$Q$283*'Analisis comercial'!$AH$4:$AH$283)/SUMIF('Analisis comercial'!$AO$4:$AO$283,$A9,'Analisis comercial'!$AH$4:$AH$283)))</f>
        <v>0</v>
      </c>
      <c r="G9" s="65">
        <f t="shared" si="3"/>
        <v>0</v>
      </c>
      <c r="H9" s="65">
        <f>SUMIF('Analisis comercial'!$AO$4,$A9,'Analisis comercial'!$AH$4)</f>
        <v>0</v>
      </c>
      <c r="I9" s="58">
        <f t="shared" si="6"/>
        <v>4290.608682</v>
      </c>
      <c r="J9" s="161">
        <f t="shared" si="7"/>
        <v>482.861</v>
      </c>
      <c r="L9" s="160" t="s">
        <v>689</v>
      </c>
      <c r="M9" s="58"/>
      <c r="N9" s="6">
        <f>SUMIF('Analisis comercial'!$AO$4:$AO$283,$A9,'Analisis comercial'!$K$4:$K$283)</f>
        <v>0</v>
      </c>
      <c r="O9" s="2"/>
      <c r="P9" s="58">
        <f t="shared" si="4"/>
        <v>0</v>
      </c>
      <c r="Q9" s="2"/>
      <c r="R9" s="162">
        <f t="shared" si="5"/>
        <v>0</v>
      </c>
    </row>
    <row r="10" ht="14.25" customHeight="1">
      <c r="A10" s="160" t="s">
        <v>690</v>
      </c>
      <c r="B10" s="146"/>
      <c r="C10" s="6">
        <f>SUMIF('Analisis comercial'!$AO$4:$AO$283,$A10,'Analisis comercial'!$K$4:$K$283)</f>
        <v>0</v>
      </c>
      <c r="D10" s="6">
        <f t="array" ref="D10">+SUMPRODUCT(IF('Analisis comercial'!$AO$4:$AO$283=A10,'Analisis comercial'!$L$4:$L$283*'Analisis comercial'!$K$4:$K$283/C10))</f>
        <v>0</v>
      </c>
      <c r="E10" s="145">
        <f t="shared" si="2"/>
        <v>0</v>
      </c>
      <c r="F10" s="58">
        <f t="array" ref="F10">+SUMPRODUCT(IF('Analisis comercial'!$AO$4:$AO$283=A10,('Analisis comercial'!$Q$4:$Q$283*'Analisis comercial'!$AH$4:$AH$283)/SUMIF('Analisis comercial'!$AO$4:$AO$283,$A10,'Analisis comercial'!$AH$4:$AH$283)))</f>
        <v>0</v>
      </c>
      <c r="G10" s="65">
        <f t="shared" si="3"/>
        <v>0</v>
      </c>
      <c r="H10" s="65">
        <f>SUMIF('Analisis comercial'!$AO$4,$A10,'Analisis comercial'!$AH$4)</f>
        <v>0</v>
      </c>
      <c r="I10" s="58">
        <f t="shared" si="6"/>
        <v>4290.608682</v>
      </c>
      <c r="J10" s="161">
        <f t="shared" si="7"/>
        <v>482.861</v>
      </c>
      <c r="L10" s="160" t="s">
        <v>690</v>
      </c>
      <c r="M10" s="146"/>
      <c r="N10" s="6">
        <f>SUMIF('Analisis comercial'!$AO$4:$AO$283,$A10,'Analisis comercial'!$K$4:$K$283)</f>
        <v>0</v>
      </c>
      <c r="O10" s="2"/>
      <c r="P10" s="58">
        <f t="shared" si="4"/>
        <v>0</v>
      </c>
      <c r="Q10" s="2"/>
      <c r="R10" s="162">
        <f t="shared" si="5"/>
        <v>0</v>
      </c>
    </row>
    <row r="11" ht="14.25" customHeight="1">
      <c r="A11" s="160" t="s">
        <v>691</v>
      </c>
      <c r="B11" s="146"/>
      <c r="C11" s="6">
        <f>SUMIF('Analisis comercial'!$AO$4:$AO$283,$A11,'Analisis comercial'!$K$4:$K$283)</f>
        <v>0</v>
      </c>
      <c r="D11" s="6">
        <f t="array" ref="D11">+SUMPRODUCT(IF('Analisis comercial'!$AO$4:$AO$283=A11,'Analisis comercial'!$L$4:$L$283*'Analisis comercial'!$K$4:$K$283/C11))</f>
        <v>0</v>
      </c>
      <c r="E11" s="145">
        <f t="shared" si="2"/>
        <v>0</v>
      </c>
      <c r="F11" s="58">
        <f t="array" ref="F11">+SUMPRODUCT(IF('Analisis comercial'!$AO$4:$AO$283=A11,('Analisis comercial'!$Q$4:$Q$283*'Analisis comercial'!$AH$4:$AH$283)/SUMIF('Analisis comercial'!$AO$4:$AO$283,$A11,'Analisis comercial'!$AH$4:$AH$283)))</f>
        <v>0</v>
      </c>
      <c r="G11" s="65">
        <f t="shared" si="3"/>
        <v>0</v>
      </c>
      <c r="H11" s="65">
        <f>SUMIF('Analisis comercial'!$AO$4,$A11,'Analisis comercial'!$AH$4)</f>
        <v>0</v>
      </c>
      <c r="I11" s="58">
        <f t="shared" si="6"/>
        <v>4290.608682</v>
      </c>
      <c r="J11" s="161">
        <f t="shared" si="7"/>
        <v>482.861</v>
      </c>
      <c r="L11" s="160" t="s">
        <v>691</v>
      </c>
      <c r="M11" s="146"/>
      <c r="N11" s="6">
        <f>SUMIF('Analisis comercial'!$AO$4:$AO$283,$A11,'Analisis comercial'!$K$4:$K$283)</f>
        <v>0</v>
      </c>
      <c r="O11" s="2"/>
      <c r="P11" s="58">
        <f t="shared" si="4"/>
        <v>0</v>
      </c>
      <c r="Q11" s="2"/>
      <c r="R11" s="162">
        <f t="shared" si="5"/>
        <v>0</v>
      </c>
    </row>
    <row r="12" ht="14.25" customHeight="1">
      <c r="A12" s="160" t="s">
        <v>692</v>
      </c>
      <c r="B12" s="146"/>
      <c r="C12" s="6">
        <f>SUMIF('Analisis comercial'!$AO$4:$AO$283,$A12,'Analisis comercial'!$K$4:$K$283)</f>
        <v>0</v>
      </c>
      <c r="D12" s="6">
        <f t="array" ref="D12">+SUMPRODUCT(IF('Analisis comercial'!$AO$4:$AO$283=A12,'Analisis comercial'!$L$4:$L$283*'Analisis comercial'!$K$4:$K$283/C12))</f>
        <v>0</v>
      </c>
      <c r="E12" s="145">
        <f t="shared" si="2"/>
        <v>0</v>
      </c>
      <c r="F12" s="58">
        <f t="array" ref="F12">+SUMPRODUCT(IF('Analisis comercial'!$AO$4:$AO$283=A12,('Analisis comercial'!$Q$4:$Q$283*'Analisis comercial'!$AH$4:$AH$283)/SUMIF('Analisis comercial'!$AO$4:$AO$283,$A12,'Analisis comercial'!$AH$4:$AH$283)))</f>
        <v>0</v>
      </c>
      <c r="G12" s="65">
        <f t="shared" si="3"/>
        <v>0</v>
      </c>
      <c r="H12" s="65">
        <f>SUMIF('Analisis comercial'!$AO$4,$A12,'Analisis comercial'!$AH$4)</f>
        <v>0</v>
      </c>
      <c r="I12" s="58">
        <f t="shared" si="6"/>
        <v>4290.608682</v>
      </c>
      <c r="J12" s="161">
        <f t="shared" si="7"/>
        <v>482.861</v>
      </c>
      <c r="L12" s="160" t="s">
        <v>692</v>
      </c>
      <c r="M12" s="146"/>
      <c r="N12" s="6">
        <f>SUMIF('Analisis comercial'!$AO$4:$AO$283,$A12,'Analisis comercial'!$K$4:$K$283)</f>
        <v>0</v>
      </c>
      <c r="O12" s="2"/>
      <c r="P12" s="58">
        <f t="shared" si="4"/>
        <v>0</v>
      </c>
      <c r="Q12" s="2"/>
      <c r="R12" s="162">
        <f t="shared" si="5"/>
        <v>0</v>
      </c>
    </row>
    <row r="13" ht="14.25" customHeight="1">
      <c r="A13" s="163" t="s">
        <v>693</v>
      </c>
      <c r="B13" s="164"/>
      <c r="C13" s="165">
        <f>SUMIF('Analisis comercial'!$AO$4:$AO$283,$A13,'Analisis comercial'!$K$4:$K$283)</f>
        <v>0</v>
      </c>
      <c r="D13" s="165">
        <f t="array" ref="D13">+SUMPRODUCT(IF('Analisis comercial'!$AO$4:$AO$283=A13,'Analisis comercial'!$L$4:$L$283*'Analisis comercial'!$K$4:$K$283/C13))</f>
        <v>0</v>
      </c>
      <c r="E13" s="166">
        <f t="shared" si="2"/>
        <v>0</v>
      </c>
      <c r="F13" s="168">
        <f t="array" ref="F13">+SUMPRODUCT(IF('Analisis comercial'!$AO$4:$AO$283=A13,('Analisis comercial'!$Q$4:$Q$283*'Analisis comercial'!$AH$4:$AH$283)/SUMIF('Analisis comercial'!$AO$4:$AO$283,$A13,'Analisis comercial'!$AH$4:$AH$283)))</f>
        <v>0</v>
      </c>
      <c r="G13" s="167">
        <f t="shared" si="3"/>
        <v>0</v>
      </c>
      <c r="H13" s="65">
        <f>SUMIF('Analisis comercial'!$AO$4,$A13,'Analisis comercial'!$AH$4)</f>
        <v>0</v>
      </c>
      <c r="I13" s="168">
        <f t="shared" si="6"/>
        <v>4290.608682</v>
      </c>
      <c r="J13" s="169">
        <f t="shared" si="7"/>
        <v>482.861</v>
      </c>
      <c r="L13" s="163" t="s">
        <v>693</v>
      </c>
      <c r="M13" s="164"/>
      <c r="N13" s="165">
        <f>SUMIF('Analisis comercial'!$AO$4:$AO$283,$A13,'Analisis comercial'!$K$4:$K$283)</f>
        <v>0</v>
      </c>
      <c r="O13" s="170"/>
      <c r="P13" s="168">
        <f t="shared" si="4"/>
        <v>0</v>
      </c>
      <c r="Q13" s="170"/>
      <c r="R13" s="171">
        <f t="shared" si="5"/>
        <v>0</v>
      </c>
    </row>
    <row r="14" ht="14.25" customHeight="1">
      <c r="A14" s="173" t="s">
        <v>701</v>
      </c>
      <c r="B14" s="174"/>
      <c r="C14" s="175">
        <f>SUMIF('Analisis comercial'!$AO$4:$AO$283,$A14,'Analisis comercial'!$K$4:$K$283)</f>
        <v>218.36</v>
      </c>
      <c r="D14" s="175">
        <f t="array" ref="D14">+SUMPRODUCT(IF('Analisis comercial'!$AO$4:$AO$283=A14,'Analisis comercial'!$L$4:$L$283*'Analisis comercial'!$K$4:$K$283/C14))</f>
        <v>0.2054634319</v>
      </c>
      <c r="E14" s="179">
        <f t="shared" si="2"/>
        <v>0.6450470747</v>
      </c>
      <c r="F14" s="177">
        <f t="array" ref="F14">+SUMPRODUCT(IF('Analisis comercial'!$AO$4:$AO$283=A14,('Analisis comercial'!$Q$4:$Q$283*'Analisis comercial'!$AH$4:$AH$283)/SUMIF('Analisis comercial'!$AO$4:$AO$283,$A14,'Analisis comercial'!$AH$4:$AH$283)))</f>
        <v>90.8431141</v>
      </c>
      <c r="G14" s="180">
        <f t="shared" si="3"/>
        <v>1538.213763</v>
      </c>
      <c r="H14" s="180">
        <f t="shared" ref="H14:H15" si="8">+G14*F14/100</f>
        <v>1397.361284</v>
      </c>
      <c r="I14" s="177">
        <f>+I12+G14-H14</f>
        <v>4431.461161</v>
      </c>
      <c r="J14" s="181">
        <f t="shared" ref="J14:J15" si="9">+C14</f>
        <v>218.36</v>
      </c>
      <c r="L14" s="172" t="s">
        <v>701</v>
      </c>
      <c r="M14" s="164"/>
      <c r="N14" s="6">
        <f>SUMIF('Analisis comercial'!$AO$4:$AO$283,$A14,'Analisis comercial'!$K$4:$K$283)</f>
        <v>218.36</v>
      </c>
      <c r="O14" s="170"/>
      <c r="P14" s="168">
        <f t="shared" ref="P14:P15" si="10">SUM(P3:P12)</f>
        <v>2349.637985</v>
      </c>
      <c r="Q14" s="170"/>
      <c r="R14" s="171">
        <f t="shared" ref="R14:R15" si="11">SUM(R3:R12)</f>
        <v>1174.818993</v>
      </c>
    </row>
    <row r="15" ht="14.25" customHeight="1">
      <c r="A15" s="173" t="s">
        <v>702</v>
      </c>
      <c r="B15" s="174"/>
      <c r="C15" s="175">
        <f>SUMIF('Analisis comercial'!$AO$4:$AO$283,$A15,'Analisis comercial'!$K$4:$K$283)</f>
        <v>0</v>
      </c>
      <c r="D15" s="175">
        <f t="array" ref="D15">+SUMPRODUCT(IF('Analisis comercial'!$AO$4:$AO$283=A15,'Analisis comercial'!$L$4:$L$283*'Analisis comercial'!$K$4:$K$283/C15))</f>
        <v>0</v>
      </c>
      <c r="E15" s="179">
        <f t="shared" si="2"/>
        <v>0</v>
      </c>
      <c r="F15" s="177"/>
      <c r="G15" s="180">
        <f t="shared" si="3"/>
        <v>0</v>
      </c>
      <c r="H15" s="180">
        <f t="shared" si="8"/>
        <v>0</v>
      </c>
      <c r="I15" s="177"/>
      <c r="J15" s="181">
        <f t="shared" si="9"/>
        <v>0</v>
      </c>
      <c r="L15" s="173" t="s">
        <v>701</v>
      </c>
      <c r="M15" s="174"/>
      <c r="N15" s="175">
        <f>SUMIF('Analisis comercial'!$AO$4,$A15,'Analisis comercial'!$K$4)</f>
        <v>0</v>
      </c>
      <c r="O15" s="176"/>
      <c r="P15" s="177">
        <f t="shared" si="10"/>
        <v>2349.637985</v>
      </c>
      <c r="Q15" s="176"/>
      <c r="R15" s="178">
        <f t="shared" si="11"/>
        <v>1174.818993</v>
      </c>
    </row>
    <row r="16" ht="14.25" customHeight="1">
      <c r="A16" s="160"/>
      <c r="F16" s="58"/>
      <c r="H16" s="57">
        <f>299+33</f>
        <v>332</v>
      </c>
    </row>
    <row r="17" ht="14.25" customHeight="1"/>
    <row r="18" ht="14.25" customHeight="1">
      <c r="A18" s="68" t="s">
        <v>3850</v>
      </c>
      <c r="B18" s="68"/>
      <c r="C18" s="68"/>
      <c r="D18" s="68"/>
      <c r="E18" s="68"/>
      <c r="F18" s="68"/>
      <c r="G18" s="433">
        <v>5105.683</v>
      </c>
      <c r="H18" s="433">
        <v>4586.785</v>
      </c>
    </row>
    <row r="19" ht="14.25" customHeight="1">
      <c r="A19" s="68" t="s">
        <v>3851</v>
      </c>
      <c r="B19" s="68"/>
      <c r="C19" s="68"/>
      <c r="D19" s="68"/>
      <c r="E19" s="68"/>
      <c r="F19" s="68"/>
      <c r="G19" s="433">
        <f t="shared" ref="G19:H19" si="12">+G2-G18</f>
        <v>-815.0743179</v>
      </c>
      <c r="H19" s="433">
        <f t="shared" si="12"/>
        <v>-4586.785</v>
      </c>
    </row>
    <row r="20" ht="14.25" customHeight="1"/>
    <row r="21" ht="14.25" customHeight="1"/>
    <row r="22" ht="14.25" customHeight="1">
      <c r="F22" s="57">
        <v>100.0</v>
      </c>
      <c r="G22" s="65">
        <v>1.0</v>
      </c>
      <c r="H22" s="57">
        <v>90.0</v>
      </c>
      <c r="I22" s="65">
        <f t="shared" ref="I22:I23" si="13">+F22*G22*H22*31.1035*1.1023/100</f>
        <v>3085.684925</v>
      </c>
      <c r="J22" s="2" t="s">
        <v>3850</v>
      </c>
      <c r="K22" s="146">
        <f>SUMPRODUCT(F22:F23,H22:H23)/F24/100</f>
        <v>0.899009901</v>
      </c>
      <c r="L22" s="65">
        <f>+F24*G24*K22*31.1035*1.1023</f>
        <v>3085.372622</v>
      </c>
      <c r="M22" s="65"/>
    </row>
    <row r="23" ht="14.25" customHeight="1">
      <c r="F23" s="57">
        <v>1.0</v>
      </c>
      <c r="G23" s="65">
        <v>0.1</v>
      </c>
      <c r="H23" s="57">
        <v>80.0</v>
      </c>
      <c r="I23" s="65">
        <f t="shared" si="13"/>
        <v>2.742831044</v>
      </c>
      <c r="J23" s="2" t="s">
        <v>3852</v>
      </c>
      <c r="K23" s="146">
        <f>SUMPRODUCT(I22:I23,H22:H23)/I24/100</f>
        <v>0.8999111901</v>
      </c>
      <c r="L23" s="65">
        <f>+F24*G24*K23*31.1035*1.1023</f>
        <v>3088.465817</v>
      </c>
    </row>
    <row r="24" ht="14.25" customHeight="1">
      <c r="F24" s="57">
        <f>SUM(F22:F23)</f>
        <v>101</v>
      </c>
      <c r="G24" s="65">
        <f>SUMPRODUCT(F22:F23,G22:G23)/F24</f>
        <v>0.9910891089</v>
      </c>
      <c r="I24" s="65">
        <f>SUM(I22:I23)</f>
        <v>3088.427756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J1"/>
    <mergeCell ref="L1:R1"/>
  </mergeCells>
  <printOptions/>
  <pageMargins bottom="0.75" footer="0.0" header="0.0" left="0.7" right="0.7" top="0.7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5.43"/>
    <col customWidth="1" min="3" max="3" width="10.29"/>
    <col customWidth="1" min="4" max="5" width="9.71"/>
    <col customWidth="1" min="6" max="26" width="10.71"/>
  </cols>
  <sheetData>
    <row r="1" ht="14.25" customHeight="1"/>
    <row r="2" ht="14.25" customHeight="1">
      <c r="B2" s="545"/>
      <c r="C2" s="546" t="s">
        <v>3853</v>
      </c>
      <c r="D2" s="546" t="s">
        <v>3854</v>
      </c>
      <c r="E2" s="547" t="s">
        <v>3855</v>
      </c>
    </row>
    <row r="3" ht="14.25" customHeight="1">
      <c r="B3" s="548" t="s">
        <v>3856</v>
      </c>
      <c r="C3" s="146">
        <f>+'Analisis comercial'!Q2/100</f>
        <v>0.9351317912</v>
      </c>
      <c r="D3" s="146">
        <f>+C3</f>
        <v>0.9351317912</v>
      </c>
      <c r="E3" s="549">
        <f>+C3</f>
        <v>0.9351317912</v>
      </c>
    </row>
    <row r="4" ht="14.25" customHeight="1">
      <c r="B4" s="548" t="s">
        <v>3857</v>
      </c>
      <c r="C4" s="425">
        <f>+'Analisis comercial'!K2</f>
        <v>6367.29557</v>
      </c>
      <c r="D4" s="425">
        <v>176.0</v>
      </c>
      <c r="E4" s="550">
        <f t="shared" ref="E4:E6" si="1">+C4-D4</f>
        <v>6191.29557</v>
      </c>
    </row>
    <row r="5" ht="14.25" customHeight="1">
      <c r="B5" s="548" t="s">
        <v>3858</v>
      </c>
      <c r="C5" s="425">
        <f>+'Analisis comercial'!E2</f>
        <v>5440.414</v>
      </c>
      <c r="D5" s="425">
        <v>718.0</v>
      </c>
      <c r="E5" s="550">
        <f t="shared" si="1"/>
        <v>4722.414</v>
      </c>
    </row>
    <row r="6" ht="14.25" customHeight="1">
      <c r="B6" s="548" t="s">
        <v>3859</v>
      </c>
      <c r="C6" s="425">
        <f>+'Analisis comercial'!AM3</f>
        <v>440251.0478</v>
      </c>
      <c r="D6" s="425">
        <v>59817.0</v>
      </c>
      <c r="E6" s="550">
        <f t="shared" si="1"/>
        <v>380434.0478</v>
      </c>
    </row>
    <row r="7" ht="14.25" customHeight="1">
      <c r="B7" s="551"/>
      <c r="C7" s="552"/>
      <c r="D7" s="552"/>
      <c r="E7" s="553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.14"/>
    <col customWidth="1" min="2" max="2" width="12.0"/>
    <col customWidth="1" min="3" max="3" width="16.0"/>
    <col customWidth="1" min="4" max="4" width="16.57"/>
    <col customWidth="1" min="5" max="5" width="12.71"/>
    <col customWidth="1" min="6" max="6" width="13.29"/>
    <col customWidth="1" min="7" max="7" width="15.14"/>
    <col customWidth="1" min="8" max="8" width="13.0"/>
    <col customWidth="1" min="9" max="9" width="14.86"/>
    <col customWidth="1" min="10" max="10" width="7.71"/>
    <col customWidth="1" min="11" max="11" width="20.43"/>
    <col customWidth="1" min="12" max="12" width="15.14"/>
    <col customWidth="1" min="13" max="13" width="10.71"/>
    <col customWidth="1" min="14" max="14" width="14.29"/>
    <col customWidth="1" min="15" max="17" width="10.71"/>
    <col customWidth="1" min="18" max="18" width="16.71"/>
    <col customWidth="1" min="19" max="26" width="10.71"/>
  </cols>
  <sheetData>
    <row r="1" ht="14.25" customHeight="1">
      <c r="F1" s="3"/>
      <c r="G1" s="3"/>
      <c r="H1" s="3"/>
      <c r="I1" s="3"/>
      <c r="J1" s="3"/>
    </row>
    <row r="2" ht="14.25" customHeight="1">
      <c r="B2" s="99" t="s">
        <v>3860</v>
      </c>
      <c r="C2" s="554"/>
      <c r="F2" s="3"/>
      <c r="G2" s="3"/>
      <c r="H2" s="3"/>
      <c r="I2" s="3"/>
      <c r="J2" s="3"/>
    </row>
    <row r="3" ht="14.25" customHeight="1">
      <c r="B3" s="555" t="s">
        <v>3861</v>
      </c>
      <c r="C3" s="556">
        <v>2700.0</v>
      </c>
      <c r="F3" s="3"/>
      <c r="G3" s="3"/>
      <c r="H3" s="3"/>
      <c r="I3" s="3"/>
      <c r="J3" s="3"/>
      <c r="S3" s="3" t="s">
        <v>3862</v>
      </c>
    </row>
    <row r="4" ht="14.25" customHeight="1">
      <c r="B4" s="557" t="s">
        <v>3863</v>
      </c>
      <c r="C4" s="558">
        <v>130.0</v>
      </c>
      <c r="F4" s="3"/>
      <c r="G4" s="3"/>
      <c r="H4" s="3"/>
      <c r="I4" s="3"/>
      <c r="J4" s="3"/>
      <c r="R4" s="57" t="s">
        <v>3864</v>
      </c>
      <c r="S4" s="57">
        <v>1500.0</v>
      </c>
    </row>
    <row r="5" ht="14.25" customHeight="1">
      <c r="B5" s="559"/>
      <c r="C5" s="560"/>
      <c r="D5" s="561" t="s">
        <v>3865</v>
      </c>
      <c r="E5" s="562"/>
      <c r="F5" s="563" t="s">
        <v>3866</v>
      </c>
      <c r="G5" s="564" t="s">
        <v>3867</v>
      </c>
      <c r="H5" s="3"/>
      <c r="I5" s="561" t="s">
        <v>3868</v>
      </c>
      <c r="J5" s="565" t="s">
        <v>3869</v>
      </c>
      <c r="K5" s="566" t="s">
        <v>3870</v>
      </c>
      <c r="R5" s="57" t="s">
        <v>3871</v>
      </c>
      <c r="S5" s="57">
        <v>1500.0</v>
      </c>
    </row>
    <row r="6" ht="14.25" customHeight="1">
      <c r="B6" s="559"/>
      <c r="C6" s="567"/>
      <c r="D6" s="568"/>
      <c r="E6" s="2"/>
      <c r="F6" s="3"/>
      <c r="G6" s="569"/>
      <c r="H6" s="3"/>
      <c r="I6" s="570"/>
      <c r="J6" s="571"/>
      <c r="K6" s="18"/>
    </row>
    <row r="7" ht="14.25" customHeight="1">
      <c r="B7" s="559" t="s">
        <v>3872</v>
      </c>
      <c r="C7" s="560"/>
      <c r="D7" s="572">
        <v>11440.0</v>
      </c>
      <c r="E7" s="2"/>
      <c r="F7" s="3"/>
      <c r="G7" s="573">
        <f t="shared" ref="G7:G9" si="1">+D7*$C$3/31.1035</f>
        <v>993071.5193</v>
      </c>
      <c r="H7" s="3"/>
      <c r="I7" s="570"/>
      <c r="J7" s="571"/>
      <c r="K7" s="18"/>
    </row>
    <row r="8" ht="14.25" customHeight="1">
      <c r="B8" s="559" t="s">
        <v>3873</v>
      </c>
      <c r="C8" s="560"/>
      <c r="D8" s="572">
        <v>3026.0</v>
      </c>
      <c r="E8" s="2"/>
      <c r="F8" s="3"/>
      <c r="G8" s="573">
        <f t="shared" si="1"/>
        <v>262677.8337</v>
      </c>
      <c r="H8" s="3"/>
      <c r="I8" s="570"/>
      <c r="J8" s="571"/>
      <c r="K8" s="18"/>
    </row>
    <row r="9" ht="14.25" customHeight="1">
      <c r="B9" s="574" t="s">
        <v>3874</v>
      </c>
      <c r="C9" s="575"/>
      <c r="D9" s="576">
        <f>+D7-D8</f>
        <v>8414</v>
      </c>
      <c r="E9" s="577"/>
      <c r="F9" s="578">
        <f>1250-421</f>
        <v>829</v>
      </c>
      <c r="G9" s="579">
        <f t="shared" si="1"/>
        <v>730393.6856</v>
      </c>
      <c r="H9" s="3"/>
      <c r="I9" s="580">
        <f>765961-182821</f>
        <v>583140</v>
      </c>
      <c r="J9" s="581">
        <f>+F9*C4</f>
        <v>107770</v>
      </c>
      <c r="K9" s="582">
        <f>+J9+I9</f>
        <v>690910</v>
      </c>
      <c r="L9" s="433">
        <f>+G7-K9</f>
        <v>302161.5193</v>
      </c>
    </row>
    <row r="10" ht="14.25" customHeight="1">
      <c r="F10" s="3"/>
      <c r="G10" s="3"/>
      <c r="H10" s="3"/>
      <c r="I10" s="3"/>
      <c r="J10" s="3"/>
    </row>
    <row r="11" ht="14.25" customHeight="1">
      <c r="B11" s="99" t="s">
        <v>3875</v>
      </c>
      <c r="C11" s="554"/>
      <c r="F11" s="3"/>
      <c r="G11" s="3"/>
      <c r="H11" s="3"/>
      <c r="I11" s="3"/>
      <c r="J11" s="3"/>
    </row>
    <row r="12" ht="14.25" customHeight="1">
      <c r="B12" s="555" t="s">
        <v>3861</v>
      </c>
      <c r="C12" s="556">
        <v>2570.0</v>
      </c>
      <c r="F12" s="3"/>
      <c r="G12" s="3"/>
      <c r="H12" s="3"/>
      <c r="I12" s="3"/>
      <c r="J12" s="3"/>
    </row>
    <row r="13" ht="14.25" customHeight="1">
      <c r="B13" s="583" t="s">
        <v>3863</v>
      </c>
      <c r="C13" s="584">
        <v>130.0</v>
      </c>
      <c r="D13" s="2"/>
      <c r="E13" s="2"/>
      <c r="F13" s="3"/>
      <c r="G13" s="3"/>
      <c r="H13" s="3"/>
      <c r="I13" s="3"/>
      <c r="J13" s="3"/>
    </row>
    <row r="14" ht="14.25" customHeight="1">
      <c r="B14" s="585"/>
      <c r="C14" s="586"/>
      <c r="D14" s="561" t="s">
        <v>3865</v>
      </c>
      <c r="E14" s="562"/>
      <c r="F14" s="563" t="s">
        <v>3866</v>
      </c>
      <c r="G14" s="564" t="s">
        <v>3867</v>
      </c>
      <c r="H14" s="3"/>
      <c r="I14" s="561" t="s">
        <v>3868</v>
      </c>
      <c r="J14" s="565" t="s">
        <v>3869</v>
      </c>
      <c r="K14" s="566" t="s">
        <v>3870</v>
      </c>
    </row>
    <row r="15" ht="14.25" customHeight="1">
      <c r="B15" s="559"/>
      <c r="C15" s="567"/>
      <c r="D15" s="568"/>
      <c r="E15" s="2"/>
      <c r="F15" s="3"/>
      <c r="G15" s="569"/>
      <c r="H15" s="3"/>
      <c r="I15" s="570"/>
      <c r="J15" s="571"/>
      <c r="K15" s="18"/>
    </row>
    <row r="16" ht="14.25" customHeight="1">
      <c r="A16" s="587"/>
      <c r="B16" s="559" t="s">
        <v>3875</v>
      </c>
      <c r="C16" s="560"/>
      <c r="D16" s="572">
        <v>17037.0</v>
      </c>
      <c r="E16" s="2"/>
      <c r="F16" s="3"/>
      <c r="G16" s="573"/>
      <c r="H16" s="3"/>
      <c r="I16" s="570"/>
      <c r="J16" s="571"/>
      <c r="K16" s="18"/>
    </row>
    <row r="17" ht="14.25" customHeight="1">
      <c r="A17" s="587"/>
      <c r="B17" s="559" t="s">
        <v>3876</v>
      </c>
      <c r="C17" s="560"/>
      <c r="D17" s="572">
        <v>3200.0</v>
      </c>
      <c r="E17" s="2"/>
      <c r="F17" s="3"/>
      <c r="G17" s="573"/>
      <c r="H17" s="3"/>
      <c r="I17" s="570"/>
      <c r="J17" s="571"/>
      <c r="K17" s="18"/>
    </row>
    <row r="18" ht="14.25" customHeight="1">
      <c r="A18" s="587"/>
      <c r="B18" s="559" t="s">
        <v>3877</v>
      </c>
      <c r="C18" s="560"/>
      <c r="D18" s="588">
        <f>+D16-D17</f>
        <v>13837</v>
      </c>
      <c r="E18" s="2"/>
      <c r="F18" s="3"/>
      <c r="G18" s="573">
        <f>+D18*$C$12/31.1035</f>
        <v>1143314.739</v>
      </c>
      <c r="H18" s="3"/>
      <c r="I18" s="570"/>
      <c r="J18" s="571"/>
      <c r="K18" s="18"/>
    </row>
    <row r="19" ht="14.25" customHeight="1">
      <c r="A19" s="587"/>
      <c r="B19" s="559" t="s">
        <v>3878</v>
      </c>
      <c r="C19" s="560"/>
      <c r="D19" s="572">
        <f>11996-D17</f>
        <v>8796</v>
      </c>
      <c r="E19" s="2"/>
      <c r="F19" s="3"/>
      <c r="G19" s="573"/>
      <c r="H19" s="3"/>
      <c r="I19" s="570"/>
      <c r="J19" s="571"/>
      <c r="K19" s="18"/>
    </row>
    <row r="20" ht="14.25" customHeight="1">
      <c r="B20" s="574" t="s">
        <v>3874</v>
      </c>
      <c r="C20" s="575"/>
      <c r="D20" s="576">
        <f>+D18-D19</f>
        <v>5041</v>
      </c>
      <c r="E20" s="577"/>
      <c r="F20" s="578">
        <v>1823.0</v>
      </c>
      <c r="G20" s="579"/>
      <c r="H20" s="3"/>
      <c r="I20" s="580">
        <f>1102050-793504</f>
        <v>308546</v>
      </c>
      <c r="J20" s="581">
        <f>+F20*C13</f>
        <v>236990</v>
      </c>
      <c r="K20" s="582">
        <f>+J20+I20</f>
        <v>545536</v>
      </c>
      <c r="L20" s="433">
        <f>+G18-K20</f>
        <v>597778.7395</v>
      </c>
      <c r="M20" s="57">
        <f>+F20-F9</f>
        <v>994</v>
      </c>
      <c r="N20" s="2" t="s">
        <v>3879</v>
      </c>
    </row>
    <row r="21" ht="14.25" customHeight="1">
      <c r="B21" s="559" t="s">
        <v>3880</v>
      </c>
      <c r="F21" s="3"/>
      <c r="G21" s="3"/>
      <c r="H21" s="3"/>
      <c r="I21" s="3"/>
      <c r="J21" s="3"/>
    </row>
    <row r="22" ht="14.25" customHeight="1">
      <c r="B22" s="559" t="s">
        <v>3881</v>
      </c>
      <c r="F22" s="3"/>
      <c r="G22" s="3"/>
      <c r="H22" s="3"/>
      <c r="I22" s="3"/>
      <c r="J22" s="3"/>
    </row>
    <row r="23" ht="14.25" customHeight="1">
      <c r="B23" s="559" t="s">
        <v>3882</v>
      </c>
      <c r="F23" s="3"/>
      <c r="G23" s="3"/>
      <c r="H23" s="3"/>
      <c r="I23" s="3"/>
      <c r="J23" s="3"/>
    </row>
    <row r="24" ht="14.25" customHeight="1">
      <c r="B24" s="559" t="s">
        <v>3883</v>
      </c>
      <c r="F24" s="3"/>
      <c r="G24" s="3"/>
      <c r="H24" s="3"/>
      <c r="I24" s="3"/>
      <c r="J24" s="3"/>
    </row>
    <row r="25" ht="14.25" customHeight="1">
      <c r="F25" s="3"/>
      <c r="G25" s="3"/>
      <c r="H25" s="3"/>
      <c r="I25" s="3"/>
      <c r="J25" s="3"/>
    </row>
    <row r="26" ht="14.25" customHeight="1">
      <c r="B26" s="99" t="s">
        <v>3884</v>
      </c>
      <c r="C26" s="554"/>
      <c r="F26" s="3"/>
      <c r="G26" s="3"/>
      <c r="H26" s="3"/>
      <c r="I26" s="3"/>
      <c r="J26" s="3"/>
    </row>
    <row r="27" ht="14.25" customHeight="1">
      <c r="B27" s="555" t="s">
        <v>3861</v>
      </c>
      <c r="C27" s="556">
        <v>2620.0</v>
      </c>
      <c r="F27" s="3"/>
      <c r="G27" s="3"/>
      <c r="H27" s="3"/>
      <c r="I27" s="3"/>
      <c r="J27" s="3"/>
    </row>
    <row r="28" ht="14.25" customHeight="1">
      <c r="B28" s="583" t="s">
        <v>3863</v>
      </c>
      <c r="C28" s="584">
        <v>130.0</v>
      </c>
      <c r="D28" s="2"/>
      <c r="E28" s="2"/>
      <c r="F28" s="3"/>
      <c r="G28" s="3"/>
      <c r="H28" s="3"/>
      <c r="I28" s="3"/>
      <c r="J28" s="3"/>
    </row>
    <row r="29" ht="14.25" customHeight="1">
      <c r="B29" s="585"/>
      <c r="C29" s="586"/>
      <c r="D29" s="561" t="s">
        <v>3865</v>
      </c>
      <c r="E29" s="565" t="s">
        <v>3866</v>
      </c>
      <c r="F29" s="563" t="s">
        <v>3885</v>
      </c>
      <c r="G29" s="564" t="s">
        <v>3886</v>
      </c>
      <c r="H29" s="561" t="s">
        <v>3867</v>
      </c>
      <c r="I29" s="561" t="s">
        <v>3853</v>
      </c>
      <c r="J29" s="3"/>
      <c r="M29" s="589" t="s">
        <v>3887</v>
      </c>
      <c r="N29" s="590"/>
    </row>
    <row r="30" ht="14.25" customHeight="1">
      <c r="B30" s="559"/>
      <c r="C30" s="567"/>
      <c r="D30" s="568"/>
      <c r="E30" s="591"/>
      <c r="F30" s="13"/>
      <c r="G30" s="592"/>
      <c r="H30" s="570"/>
      <c r="I30" s="570"/>
      <c r="J30" s="3"/>
      <c r="M30" s="593"/>
      <c r="N30" s="594"/>
    </row>
    <row r="31" ht="14.25" customHeight="1">
      <c r="B31" s="559" t="s">
        <v>3884</v>
      </c>
      <c r="C31" s="560"/>
      <c r="D31" s="572">
        <v>9053.0</v>
      </c>
      <c r="E31" s="591"/>
      <c r="F31" s="13"/>
      <c r="G31" s="592"/>
      <c r="H31" s="595">
        <f>+D31*C27/31.1035</f>
        <v>762578.488</v>
      </c>
      <c r="I31" s="596">
        <f>+H31</f>
        <v>762578.488</v>
      </c>
      <c r="J31" s="3"/>
      <c r="M31" s="597" t="s">
        <v>3888</v>
      </c>
      <c r="N31" s="598">
        <v>-231836.0</v>
      </c>
    </row>
    <row r="32" ht="14.25" customHeight="1">
      <c r="B32" s="559" t="s">
        <v>3876</v>
      </c>
      <c r="C32" s="560"/>
      <c r="D32" s="572"/>
      <c r="E32" s="591"/>
      <c r="F32" s="13"/>
      <c r="G32" s="592"/>
      <c r="H32" s="570"/>
      <c r="I32" s="570"/>
      <c r="J32" s="3"/>
      <c r="M32" s="599" t="s">
        <v>3889</v>
      </c>
      <c r="N32" s="600">
        <f>-F35-N31</f>
        <v>-261268</v>
      </c>
    </row>
    <row r="33" ht="14.25" customHeight="1">
      <c r="B33" s="559" t="s">
        <v>3890</v>
      </c>
      <c r="C33" s="560"/>
      <c r="D33" s="588">
        <f>+D31-D32</f>
        <v>9053</v>
      </c>
      <c r="E33" s="591">
        <v>1004.453</v>
      </c>
      <c r="F33" s="13">
        <f>SUM(F34:F35)</f>
        <v>637355</v>
      </c>
      <c r="G33" s="592"/>
      <c r="H33" s="570"/>
      <c r="I33" s="570"/>
      <c r="J33" s="3"/>
      <c r="M33" s="559"/>
      <c r="N33" s="560"/>
    </row>
    <row r="34" ht="14.25" customHeight="1">
      <c r="B34" s="559" t="s">
        <v>3873</v>
      </c>
      <c r="C34" s="560"/>
      <c r="D34" s="572">
        <v>2340.0</v>
      </c>
      <c r="E34" s="591">
        <v>268.92</v>
      </c>
      <c r="F34" s="13">
        <v>144251.0</v>
      </c>
      <c r="G34" s="592">
        <f>+E34*C28</f>
        <v>34959.6</v>
      </c>
      <c r="H34" s="570"/>
      <c r="I34" s="596">
        <f>-G34</f>
        <v>-34959.6</v>
      </c>
      <c r="J34" s="3"/>
      <c r="M34" s="574"/>
      <c r="N34" s="575"/>
    </row>
    <row r="35" ht="14.25" customHeight="1">
      <c r="B35" s="574" t="s">
        <v>3874</v>
      </c>
      <c r="C35" s="575"/>
      <c r="D35" s="576">
        <f t="shared" ref="D35:E35" si="2">+D33-D34</f>
        <v>6713</v>
      </c>
      <c r="E35" s="581">
        <f t="shared" si="2"/>
        <v>735.533</v>
      </c>
      <c r="F35" s="601">
        <f>637355-F34</f>
        <v>493104</v>
      </c>
      <c r="G35" s="602">
        <f>+C28*E35</f>
        <v>95619.29</v>
      </c>
      <c r="H35" s="603"/>
      <c r="I35" s="604">
        <f>-F35-G35</f>
        <v>-588723.29</v>
      </c>
      <c r="J35" s="3"/>
      <c r="K35" s="57" t="s">
        <v>694</v>
      </c>
      <c r="L35" s="433">
        <f>+I31+I34+I35</f>
        <v>138895.598</v>
      </c>
    </row>
    <row r="36" ht="14.25" customHeight="1">
      <c r="F36" s="3"/>
      <c r="G36" s="3"/>
      <c r="H36" s="3"/>
      <c r="I36" s="605"/>
      <c r="J36" s="3"/>
      <c r="K36" s="587" t="s">
        <v>3891</v>
      </c>
      <c r="L36" s="65">
        <f>110.76*2646.5</f>
        <v>293126.34</v>
      </c>
      <c r="M36" s="2" t="s">
        <v>3892</v>
      </c>
    </row>
    <row r="37" ht="14.25" customHeight="1">
      <c r="F37" s="3"/>
      <c r="G37" s="3"/>
      <c r="H37" s="3"/>
      <c r="I37" s="3"/>
      <c r="J37" s="3"/>
      <c r="K37" s="587" t="s">
        <v>3893</v>
      </c>
      <c r="L37" s="65">
        <f>(5800+110)*C27/31.1035</f>
        <v>497828.2187</v>
      </c>
      <c r="M37" s="2" t="s">
        <v>3894</v>
      </c>
    </row>
    <row r="38" ht="14.25" customHeight="1">
      <c r="F38" s="3"/>
      <c r="G38" s="3"/>
      <c r="H38" s="3"/>
      <c r="I38" s="3"/>
      <c r="J38" s="3"/>
    </row>
    <row r="39" ht="14.25" customHeight="1">
      <c r="F39" s="3"/>
      <c r="G39" s="3"/>
      <c r="H39" s="3"/>
      <c r="I39" s="3"/>
      <c r="J39" s="3"/>
      <c r="L39" s="65">
        <f>SUM(L35:L38)</f>
        <v>929850.1566</v>
      </c>
      <c r="M39" s="65"/>
    </row>
    <row r="40" ht="14.25" customHeight="1">
      <c r="F40" s="3"/>
      <c r="G40" s="3"/>
      <c r="H40" s="3"/>
      <c r="I40" s="3"/>
      <c r="J40" s="3"/>
    </row>
    <row r="41" ht="14.25" customHeight="1">
      <c r="F41" s="3"/>
      <c r="G41" s="3"/>
      <c r="H41" s="3"/>
      <c r="I41" s="3"/>
      <c r="J41" s="3"/>
    </row>
    <row r="42" ht="14.25" customHeight="1">
      <c r="F42" s="3"/>
      <c r="G42" s="3"/>
      <c r="H42" s="3"/>
      <c r="I42" s="3"/>
      <c r="J42" s="3"/>
    </row>
    <row r="43" ht="14.25" customHeight="1">
      <c r="B43" s="99" t="s">
        <v>3895</v>
      </c>
      <c r="C43" s="554"/>
      <c r="F43" s="3"/>
      <c r="G43" s="3"/>
      <c r="H43" s="3"/>
      <c r="I43" s="3"/>
      <c r="J43" s="3"/>
    </row>
    <row r="44" ht="14.25" customHeight="1">
      <c r="B44" s="555" t="s">
        <v>3861</v>
      </c>
      <c r="C44" s="556">
        <v>2635.0</v>
      </c>
      <c r="F44" s="3"/>
      <c r="G44" s="3"/>
      <c r="H44" s="3"/>
      <c r="I44" s="3"/>
      <c r="J44" s="3"/>
    </row>
    <row r="45" ht="14.25" customHeight="1">
      <c r="B45" s="583" t="s">
        <v>3863</v>
      </c>
      <c r="C45" s="584">
        <v>130.0</v>
      </c>
      <c r="D45" s="2"/>
      <c r="E45" s="2"/>
      <c r="F45" s="3"/>
      <c r="G45" s="3"/>
      <c r="H45" s="3"/>
      <c r="I45" s="3"/>
      <c r="J45" s="3"/>
    </row>
    <row r="46" ht="14.25" customHeight="1">
      <c r="B46" s="585"/>
      <c r="C46" s="586"/>
      <c r="D46" s="561" t="s">
        <v>3865</v>
      </c>
      <c r="E46" s="565" t="s">
        <v>3866</v>
      </c>
      <c r="F46" s="563" t="s">
        <v>3885</v>
      </c>
      <c r="G46" s="564" t="s">
        <v>3886</v>
      </c>
      <c r="H46" s="561" t="s">
        <v>3867</v>
      </c>
      <c r="I46" s="561" t="s">
        <v>3853</v>
      </c>
      <c r="J46" s="3"/>
      <c r="M46" s="589" t="s">
        <v>3887</v>
      </c>
      <c r="N46" s="590"/>
    </row>
    <row r="47" ht="14.25" customHeight="1">
      <c r="B47" s="559"/>
      <c r="C47" s="567"/>
      <c r="D47" s="568"/>
      <c r="E47" s="591"/>
      <c r="F47" s="13"/>
      <c r="G47" s="592"/>
      <c r="H47" s="570"/>
      <c r="I47" s="570"/>
      <c r="J47" s="3"/>
      <c r="M47" s="593"/>
      <c r="N47" s="594"/>
    </row>
    <row r="48" ht="14.25" customHeight="1">
      <c r="B48" s="559" t="s">
        <v>3896</v>
      </c>
      <c r="C48" s="560"/>
      <c r="D48" s="572">
        <v>12873.0</v>
      </c>
      <c r="E48" s="591"/>
      <c r="F48" s="13"/>
      <c r="G48" s="592"/>
      <c r="H48" s="595">
        <f>+D48*C44/31.1035</f>
        <v>1090563.924</v>
      </c>
      <c r="I48" s="596">
        <f>+H48</f>
        <v>1090563.924</v>
      </c>
      <c r="J48" s="3"/>
      <c r="M48" s="597"/>
      <c r="N48" s="598"/>
    </row>
    <row r="49" ht="14.25" customHeight="1">
      <c r="B49" s="559"/>
      <c r="C49" s="560"/>
      <c r="D49" s="572"/>
      <c r="E49" s="591"/>
      <c r="F49" s="13"/>
      <c r="G49" s="592"/>
      <c r="H49" s="570"/>
      <c r="I49" s="570"/>
      <c r="J49" s="3"/>
      <c r="M49" s="599"/>
      <c r="N49" s="600"/>
    </row>
    <row r="50" ht="14.25" customHeight="1">
      <c r="B50" s="559" t="s">
        <v>3853</v>
      </c>
      <c r="C50" s="560"/>
      <c r="D50" s="588">
        <v>12659.0</v>
      </c>
      <c r="E50" s="591">
        <v>1536.0</v>
      </c>
      <c r="F50" s="13">
        <v>811000.0</v>
      </c>
      <c r="G50" s="592"/>
      <c r="H50" s="570"/>
      <c r="I50" s="570"/>
      <c r="J50" s="3"/>
      <c r="M50" s="559"/>
      <c r="N50" s="560"/>
    </row>
    <row r="51" ht="14.25" customHeight="1">
      <c r="B51" s="559" t="s">
        <v>3873</v>
      </c>
      <c r="C51" s="560"/>
      <c r="D51" s="572">
        <v>6600.0</v>
      </c>
      <c r="E51" s="591">
        <v>740.0</v>
      </c>
      <c r="F51" s="13">
        <v>425000.0</v>
      </c>
      <c r="G51" s="592">
        <f>+E51*C45</f>
        <v>96200</v>
      </c>
      <c r="H51" s="570"/>
      <c r="I51" s="596">
        <f>-G51</f>
        <v>-96200</v>
      </c>
      <c r="J51" s="3"/>
      <c r="M51" s="574"/>
      <c r="N51" s="575"/>
    </row>
    <row r="52" ht="14.25" customHeight="1">
      <c r="B52" s="574" t="s">
        <v>3874</v>
      </c>
      <c r="C52" s="575"/>
      <c r="D52" s="576">
        <f t="shared" ref="D52:F52" si="3">+D50-D51</f>
        <v>6059</v>
      </c>
      <c r="E52" s="581">
        <f t="shared" si="3"/>
        <v>796</v>
      </c>
      <c r="F52" s="601">
        <f t="shared" si="3"/>
        <v>386000</v>
      </c>
      <c r="G52" s="602">
        <f>+C45*E52</f>
        <v>103480</v>
      </c>
      <c r="H52" s="603"/>
      <c r="I52" s="604">
        <f>-F52-G52</f>
        <v>-489480</v>
      </c>
      <c r="J52" s="3"/>
      <c r="K52" s="57" t="s">
        <v>694</v>
      </c>
      <c r="L52" s="606">
        <f>+I48+I51+I52</f>
        <v>504883.9237</v>
      </c>
    </row>
    <row r="53" ht="14.25" customHeight="1">
      <c r="F53" s="3"/>
      <c r="G53" s="3"/>
      <c r="H53" s="3"/>
      <c r="I53" s="605">
        <f>SUM(I47:I52)</f>
        <v>504883.9237</v>
      </c>
      <c r="J53" s="3"/>
      <c r="K53" s="587"/>
      <c r="L53" s="425"/>
      <c r="M53" s="2"/>
    </row>
    <row r="54" ht="14.25" customHeight="1">
      <c r="F54" s="3"/>
      <c r="G54" s="3"/>
      <c r="H54" s="3"/>
      <c r="I54" s="3"/>
      <c r="J54" s="3"/>
      <c r="K54" s="587" t="s">
        <v>3897</v>
      </c>
      <c r="L54" s="425">
        <f>147*C44</f>
        <v>387345</v>
      </c>
      <c r="M54" s="2" t="s">
        <v>3898</v>
      </c>
    </row>
    <row r="55" ht="14.25" customHeight="1">
      <c r="F55" s="3"/>
      <c r="G55" s="3"/>
      <c r="H55" s="3"/>
      <c r="I55" s="3"/>
      <c r="J55" s="3"/>
    </row>
    <row r="56" ht="14.25" customHeight="1">
      <c r="F56" s="3"/>
      <c r="G56" s="3"/>
      <c r="H56" s="3"/>
      <c r="I56" s="3"/>
      <c r="J56" s="3"/>
      <c r="L56" s="65">
        <f>SUM(L52:L55)</f>
        <v>892228.9237</v>
      </c>
      <c r="M56" s="65"/>
    </row>
    <row r="57" ht="14.25" customHeight="1">
      <c r="A57" s="607"/>
      <c r="B57" s="607"/>
      <c r="C57" s="607"/>
      <c r="D57" s="607"/>
      <c r="E57" s="607"/>
      <c r="F57" s="608"/>
      <c r="G57" s="608"/>
      <c r="H57" s="608"/>
      <c r="I57" s="608"/>
      <c r="J57" s="608"/>
      <c r="K57" s="607"/>
      <c r="L57" s="607"/>
      <c r="M57" s="607"/>
      <c r="N57" s="607"/>
      <c r="O57" s="607"/>
      <c r="P57" s="607"/>
      <c r="Q57" s="607"/>
      <c r="R57" s="607"/>
      <c r="S57" s="607"/>
      <c r="T57" s="607"/>
      <c r="U57" s="607"/>
      <c r="V57" s="607"/>
      <c r="W57" s="607"/>
      <c r="X57" s="607"/>
      <c r="Y57" s="607"/>
      <c r="Z57" s="607"/>
    </row>
    <row r="58" ht="14.25" customHeight="1">
      <c r="A58" s="57">
        <v>1.0</v>
      </c>
      <c r="F58" s="3"/>
      <c r="G58" s="3"/>
      <c r="H58" s="3"/>
      <c r="I58" s="3"/>
      <c r="J58" s="3"/>
    </row>
    <row r="59" ht="14.25" customHeight="1">
      <c r="B59" s="99" t="s">
        <v>3895</v>
      </c>
      <c r="C59" s="554"/>
      <c r="F59" s="3"/>
      <c r="G59" s="3"/>
      <c r="H59" s="3"/>
      <c r="I59" s="3"/>
      <c r="J59" s="3"/>
    </row>
    <row r="60" ht="14.25" customHeight="1">
      <c r="B60" s="555" t="s">
        <v>3861</v>
      </c>
      <c r="C60" s="556">
        <v>2635.0</v>
      </c>
      <c r="F60" s="3"/>
      <c r="G60" s="3"/>
      <c r="H60" s="3"/>
      <c r="I60" s="3"/>
      <c r="J60" s="3"/>
    </row>
    <row r="61" ht="14.25" customHeight="1">
      <c r="B61" s="583" t="s">
        <v>3863</v>
      </c>
      <c r="C61" s="584">
        <v>130.0</v>
      </c>
      <c r="D61" s="2"/>
      <c r="E61" s="2"/>
      <c r="F61" s="3"/>
      <c r="G61" s="3"/>
      <c r="H61" s="3"/>
      <c r="I61" s="3"/>
      <c r="J61" s="3"/>
    </row>
    <row r="62" ht="14.25" customHeight="1">
      <c r="B62" s="585"/>
      <c r="C62" s="586"/>
      <c r="D62" s="561" t="s">
        <v>3865</v>
      </c>
      <c r="E62" s="565" t="s">
        <v>3866</v>
      </c>
      <c r="F62" s="563" t="s">
        <v>3885</v>
      </c>
      <c r="G62" s="564" t="s">
        <v>3886</v>
      </c>
      <c r="H62" s="561" t="s">
        <v>3867</v>
      </c>
      <c r="I62" s="561" t="s">
        <v>3853</v>
      </c>
      <c r="J62" s="3"/>
    </row>
    <row r="63" ht="14.25" customHeight="1">
      <c r="B63" s="559"/>
      <c r="C63" s="567"/>
      <c r="D63" s="568"/>
      <c r="E63" s="591"/>
      <c r="F63" s="13"/>
      <c r="G63" s="592"/>
      <c r="H63" s="570"/>
      <c r="I63" s="570"/>
      <c r="J63" s="3"/>
    </row>
    <row r="64" ht="14.25" customHeight="1">
      <c r="B64" s="559" t="s">
        <v>3895</v>
      </c>
      <c r="C64" s="560"/>
      <c r="D64" s="572">
        <v>12873.0</v>
      </c>
      <c r="E64" s="591"/>
      <c r="F64" s="13"/>
      <c r="G64" s="592"/>
      <c r="H64" s="595">
        <f>+D64*C60/31.1035</f>
        <v>1090563.924</v>
      </c>
      <c r="I64" s="596">
        <f>+H64</f>
        <v>1090563.924</v>
      </c>
      <c r="J64" s="3"/>
    </row>
    <row r="65" ht="14.25" customHeight="1">
      <c r="B65" s="559"/>
      <c r="C65" s="560"/>
      <c r="D65" s="572"/>
      <c r="E65" s="591"/>
      <c r="F65" s="13"/>
      <c r="G65" s="592"/>
      <c r="H65" s="570"/>
      <c r="I65" s="570"/>
      <c r="J65" s="3"/>
    </row>
    <row r="66" ht="14.25" customHeight="1">
      <c r="B66" s="559" t="s">
        <v>3853</v>
      </c>
      <c r="C66" s="560"/>
      <c r="D66" s="588">
        <v>12659.0</v>
      </c>
      <c r="E66" s="591">
        <v>1536.0</v>
      </c>
      <c r="F66" s="13">
        <v>811000.0</v>
      </c>
      <c r="G66" s="592"/>
      <c r="H66" s="570"/>
      <c r="I66" s="570"/>
      <c r="J66" s="3"/>
    </row>
    <row r="67" ht="14.25" customHeight="1">
      <c r="B67" s="559" t="s">
        <v>3873</v>
      </c>
      <c r="C67" s="560"/>
      <c r="D67" s="572">
        <v>6600.0</v>
      </c>
      <c r="E67" s="591">
        <v>740.0</v>
      </c>
      <c r="F67" s="13">
        <v>425000.0</v>
      </c>
      <c r="G67" s="592">
        <f>+E67*C61</f>
        <v>96200</v>
      </c>
      <c r="H67" s="570"/>
      <c r="I67" s="596">
        <f>-G67</f>
        <v>-96200</v>
      </c>
      <c r="J67" s="3"/>
    </row>
    <row r="68" ht="14.25" customHeight="1">
      <c r="B68" s="574" t="s">
        <v>3874</v>
      </c>
      <c r="C68" s="575"/>
      <c r="D68" s="576">
        <f t="shared" ref="D68:F68" si="4">+D66-D67</f>
        <v>6059</v>
      </c>
      <c r="E68" s="581">
        <f t="shared" si="4"/>
        <v>796</v>
      </c>
      <c r="F68" s="601">
        <f t="shared" si="4"/>
        <v>386000</v>
      </c>
      <c r="G68" s="602">
        <f>+C61*E68</f>
        <v>103480</v>
      </c>
      <c r="H68" s="603"/>
      <c r="I68" s="604">
        <f>-F68-G68</f>
        <v>-489480</v>
      </c>
      <c r="J68" s="3"/>
    </row>
    <row r="69" ht="14.25" customHeight="1">
      <c r="F69" s="3"/>
      <c r="G69" s="3"/>
      <c r="H69" s="3"/>
      <c r="I69" s="605">
        <f>SUM(I63:I68)</f>
        <v>504883.9237</v>
      </c>
      <c r="J69" s="3"/>
    </row>
    <row r="70" ht="14.25" customHeight="1">
      <c r="A70" s="609" t="s">
        <v>3899</v>
      </c>
      <c r="B70" s="610">
        <v>3.72</v>
      </c>
      <c r="C70" s="611"/>
      <c r="D70" s="612" t="s">
        <v>3900</v>
      </c>
      <c r="E70" s="613" t="s">
        <v>3901</v>
      </c>
      <c r="F70" s="3"/>
      <c r="G70" s="3"/>
      <c r="H70" s="3"/>
      <c r="I70" s="605"/>
      <c r="J70" s="3"/>
    </row>
    <row r="71" ht="14.25" customHeight="1">
      <c r="A71" s="614"/>
      <c r="B71" s="615"/>
      <c r="C71" s="616" t="s">
        <v>3902</v>
      </c>
      <c r="D71" s="617">
        <v>71000.0</v>
      </c>
      <c r="E71" s="618">
        <f>+D71/B$70</f>
        <v>19086.02151</v>
      </c>
      <c r="F71" s="3"/>
      <c r="G71" s="3"/>
      <c r="H71" s="3"/>
      <c r="I71" s="605"/>
      <c r="J71" s="3"/>
    </row>
    <row r="72" ht="14.25" customHeight="1">
      <c r="A72" s="614"/>
      <c r="B72" s="615"/>
      <c r="C72" s="616" t="s">
        <v>3903</v>
      </c>
      <c r="D72" s="617"/>
      <c r="E72" s="618">
        <v>10000.0</v>
      </c>
      <c r="F72" s="3"/>
      <c r="G72" s="3"/>
      <c r="H72" s="587" t="s">
        <v>3904</v>
      </c>
      <c r="I72" s="605">
        <f>147*C60</f>
        <v>387345</v>
      </c>
      <c r="J72" s="3"/>
    </row>
    <row r="73" ht="14.25" customHeight="1">
      <c r="A73" s="614" t="s">
        <v>3905</v>
      </c>
      <c r="B73" s="619">
        <v>1419280.0</v>
      </c>
      <c r="C73" s="616" t="s">
        <v>3906</v>
      </c>
      <c r="D73" s="617">
        <f>3663821-B73</f>
        <v>2244541</v>
      </c>
      <c r="E73" s="618">
        <f>+D73/B$70</f>
        <v>603371.2366</v>
      </c>
      <c r="F73" s="3"/>
      <c r="G73" s="3"/>
      <c r="H73" s="587" t="s">
        <v>3907</v>
      </c>
      <c r="I73" s="605">
        <f>+E75</f>
        <v>632457.2581</v>
      </c>
      <c r="J73" s="13"/>
    </row>
    <row r="74" ht="14.25" customHeight="1">
      <c r="A74" s="620"/>
      <c r="B74" s="621">
        <v>-177193.0</v>
      </c>
      <c r="C74" s="622"/>
      <c r="D74" s="623"/>
      <c r="E74" s="624"/>
      <c r="F74" s="3"/>
      <c r="G74" s="3"/>
      <c r="H74" s="3"/>
      <c r="I74" s="3"/>
      <c r="J74" s="3"/>
    </row>
    <row r="75" ht="14.25" customHeight="1">
      <c r="E75" s="425">
        <f>SUM(E71:E74)</f>
        <v>632457.2581</v>
      </c>
      <c r="F75" s="3"/>
      <c r="G75" s="3"/>
      <c r="H75" s="3"/>
      <c r="I75" s="625">
        <f>+I69+I72+I73</f>
        <v>1524686.182</v>
      </c>
      <c r="J75" s="3"/>
    </row>
    <row r="76" ht="14.25" customHeight="1">
      <c r="A76" s="91"/>
      <c r="B76" s="91"/>
      <c r="C76" s="91"/>
      <c r="D76" s="91"/>
      <c r="E76" s="91"/>
      <c r="F76" s="125"/>
      <c r="G76" s="125"/>
      <c r="H76" s="125"/>
      <c r="I76" s="626"/>
      <c r="J76" s="125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</row>
    <row r="77" ht="14.25" customHeight="1">
      <c r="A77" s="57">
        <v>2.0</v>
      </c>
      <c r="F77" s="3"/>
      <c r="G77" s="3"/>
      <c r="H77" s="3"/>
      <c r="I77" s="605"/>
      <c r="J77" s="3"/>
    </row>
    <row r="78" ht="14.25" customHeight="1">
      <c r="B78" s="99" t="s">
        <v>3908</v>
      </c>
      <c r="C78" s="554"/>
      <c r="F78" s="3"/>
      <c r="G78" s="3"/>
      <c r="H78" s="3"/>
      <c r="I78" s="3"/>
      <c r="J78" s="3"/>
    </row>
    <row r="79" ht="14.25" customHeight="1">
      <c r="B79" s="555" t="s">
        <v>3861</v>
      </c>
      <c r="C79" s="556">
        <v>2690.0</v>
      </c>
      <c r="F79" s="3"/>
      <c r="G79" s="3"/>
      <c r="H79" s="3"/>
      <c r="I79" s="3"/>
      <c r="J79" s="3"/>
    </row>
    <row r="80" ht="14.25" customHeight="1">
      <c r="B80" s="583" t="s">
        <v>3863</v>
      </c>
      <c r="C80" s="584">
        <v>130.0</v>
      </c>
      <c r="D80" s="2"/>
      <c r="E80" s="2"/>
      <c r="F80" s="3"/>
      <c r="G80" s="3"/>
      <c r="H80" s="3"/>
      <c r="I80" s="3"/>
      <c r="J80" s="3"/>
    </row>
    <row r="81" ht="14.25" customHeight="1">
      <c r="B81" s="585"/>
      <c r="C81" s="586"/>
      <c r="D81" s="561" t="s">
        <v>3865</v>
      </c>
      <c r="E81" s="565" t="s">
        <v>3866</v>
      </c>
      <c r="F81" s="563" t="s">
        <v>3885</v>
      </c>
      <c r="G81" s="564" t="s">
        <v>3886</v>
      </c>
      <c r="H81" s="561" t="s">
        <v>3867</v>
      </c>
      <c r="I81" s="561" t="s">
        <v>3853</v>
      </c>
      <c r="J81" s="3"/>
    </row>
    <row r="82" ht="14.25" customHeight="1">
      <c r="B82" s="559"/>
      <c r="C82" s="567"/>
      <c r="D82" s="568"/>
      <c r="E82" s="591"/>
      <c r="F82" s="13"/>
      <c r="G82" s="592"/>
      <c r="H82" s="570"/>
      <c r="I82" s="570"/>
      <c r="J82" s="3"/>
    </row>
    <row r="83" ht="14.25" customHeight="1">
      <c r="B83" s="559" t="s">
        <v>3909</v>
      </c>
      <c r="C83" s="560"/>
      <c r="D83" s="572">
        <v>9894.0</v>
      </c>
      <c r="E83" s="591"/>
      <c r="F83" s="13"/>
      <c r="G83" s="592"/>
      <c r="H83" s="595">
        <f>+D83*C79/31.1035</f>
        <v>855686.9806</v>
      </c>
      <c r="I83" s="596">
        <f>+H83</f>
        <v>855686.9806</v>
      </c>
      <c r="J83" s="3"/>
    </row>
    <row r="84" ht="14.25" customHeight="1">
      <c r="B84" s="559"/>
      <c r="C84" s="560"/>
      <c r="D84" s="572"/>
      <c r="E84" s="591"/>
      <c r="F84" s="13"/>
      <c r="G84" s="592"/>
      <c r="H84" s="570"/>
      <c r="I84" s="570"/>
      <c r="J84" s="3"/>
    </row>
    <row r="85" ht="14.25" customHeight="1">
      <c r="B85" s="559" t="s">
        <v>3853</v>
      </c>
      <c r="C85" s="560"/>
      <c r="D85" s="588">
        <f>+D83</f>
        <v>9894</v>
      </c>
      <c r="E85" s="591">
        <v>959.0</v>
      </c>
      <c r="F85" s="13">
        <v>629217.0</v>
      </c>
      <c r="G85" s="592"/>
      <c r="H85" s="570"/>
      <c r="I85" s="570"/>
      <c r="J85" s="627" t="s">
        <v>3910</v>
      </c>
      <c r="K85" s="628"/>
      <c r="L85" s="628"/>
    </row>
    <row r="86" ht="14.25" customHeight="1">
      <c r="B86" s="559" t="s">
        <v>3873</v>
      </c>
      <c r="C86" s="560"/>
      <c r="D86" s="572">
        <v>6435.0</v>
      </c>
      <c r="E86" s="591">
        <v>496.0</v>
      </c>
      <c r="F86" s="13">
        <v>426706.0</v>
      </c>
      <c r="G86" s="592">
        <f>+E86*C80</f>
        <v>64480</v>
      </c>
      <c r="H86" s="570"/>
      <c r="I86" s="596">
        <f>-G86</f>
        <v>-64480</v>
      </c>
      <c r="J86" s="3"/>
    </row>
    <row r="87" ht="14.25" customHeight="1">
      <c r="B87" s="574" t="s">
        <v>3874</v>
      </c>
      <c r="C87" s="575"/>
      <c r="D87" s="576">
        <f t="shared" ref="D87:E87" si="5">+D85-D86</f>
        <v>3459</v>
      </c>
      <c r="E87" s="581">
        <f t="shared" si="5"/>
        <v>463</v>
      </c>
      <c r="F87" s="601">
        <f>+F85-F86+17760</f>
        <v>220271</v>
      </c>
      <c r="G87" s="602">
        <f>+C80*E87</f>
        <v>60190</v>
      </c>
      <c r="H87" s="603"/>
      <c r="I87" s="604">
        <f>-F87-G87</f>
        <v>-280461</v>
      </c>
      <c r="J87" s="3"/>
    </row>
    <row r="88" ht="14.25" customHeight="1">
      <c r="F88" s="3"/>
      <c r="G88" s="3"/>
      <c r="H88" s="3"/>
      <c r="I88" s="605">
        <f>SUM(I82:I87)</f>
        <v>510745.9806</v>
      </c>
      <c r="J88" s="3"/>
    </row>
    <row r="89" ht="14.25" customHeight="1">
      <c r="A89" s="609" t="s">
        <v>3899</v>
      </c>
      <c r="B89" s="610">
        <v>3.72</v>
      </c>
      <c r="C89" s="611"/>
      <c r="D89" s="612" t="s">
        <v>3900</v>
      </c>
      <c r="E89" s="613" t="s">
        <v>3901</v>
      </c>
      <c r="F89" s="3"/>
      <c r="G89" s="3"/>
      <c r="H89" s="3"/>
      <c r="I89" s="605"/>
      <c r="J89" s="3"/>
    </row>
    <row r="90" ht="14.25" customHeight="1">
      <c r="A90" s="614"/>
      <c r="B90" s="615"/>
      <c r="C90" s="616" t="s">
        <v>3902</v>
      </c>
      <c r="D90" s="617">
        <v>1000.0</v>
      </c>
      <c r="E90" s="618">
        <f>+D90/B$70</f>
        <v>268.8172043</v>
      </c>
      <c r="F90" s="3"/>
      <c r="G90" s="3"/>
      <c r="H90" s="3" t="s">
        <v>3911</v>
      </c>
      <c r="I90" s="605">
        <f>-200000</f>
        <v>-200000</v>
      </c>
      <c r="J90" s="3"/>
    </row>
    <row r="91" ht="14.25" customHeight="1">
      <c r="A91" s="614"/>
      <c r="B91" s="615"/>
      <c r="C91" s="616" t="s">
        <v>3903</v>
      </c>
      <c r="D91" s="617"/>
      <c r="E91" s="618">
        <v>20000.0</v>
      </c>
      <c r="F91" s="3"/>
      <c r="G91" s="3"/>
      <c r="H91" s="587" t="s">
        <v>3912</v>
      </c>
      <c r="I91" s="605">
        <f>168*C79</f>
        <v>451920</v>
      </c>
      <c r="J91" s="3"/>
    </row>
    <row r="92" ht="14.25" customHeight="1">
      <c r="A92" s="614" t="s">
        <v>3905</v>
      </c>
      <c r="B92" s="619">
        <v>1419280.0</v>
      </c>
      <c r="C92" s="616" t="s">
        <v>3906</v>
      </c>
      <c r="D92" s="617">
        <f>4044000</f>
        <v>4044000</v>
      </c>
      <c r="E92" s="618">
        <f>+(D92-B92)/B$70</f>
        <v>705569.8925</v>
      </c>
      <c r="F92" s="3"/>
      <c r="G92" s="3"/>
      <c r="H92" s="587" t="s">
        <v>3907</v>
      </c>
      <c r="I92" s="605">
        <f>+E94</f>
        <v>725838.7097</v>
      </c>
      <c r="J92" s="3"/>
    </row>
    <row r="93" ht="14.25" customHeight="1">
      <c r="A93" s="620"/>
      <c r="B93" s="621">
        <v>177193.0</v>
      </c>
      <c r="C93" s="622"/>
      <c r="D93" s="623"/>
      <c r="E93" s="624"/>
      <c r="F93" s="3"/>
      <c r="G93" s="3"/>
      <c r="H93" s="3"/>
      <c r="I93" s="3"/>
      <c r="J93" s="3"/>
    </row>
    <row r="94" ht="14.25" customHeight="1">
      <c r="E94" s="425">
        <f>SUM(E90:E93)</f>
        <v>725838.7097</v>
      </c>
      <c r="F94" s="3"/>
      <c r="G94" s="3"/>
      <c r="H94" s="3"/>
      <c r="I94" s="625">
        <f>+I88+I91+I92+I90</f>
        <v>1488504.69</v>
      </c>
      <c r="J94" s="3"/>
    </row>
    <row r="95" ht="14.25" customHeight="1">
      <c r="A95" s="91"/>
      <c r="B95" s="91"/>
      <c r="C95" s="91"/>
      <c r="D95" s="91"/>
      <c r="E95" s="91"/>
      <c r="F95" s="125"/>
      <c r="G95" s="125"/>
      <c r="H95" s="125"/>
      <c r="I95" s="125"/>
      <c r="J95" s="125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</row>
    <row r="96" ht="14.25" customHeight="1">
      <c r="A96" s="57">
        <v>3.0</v>
      </c>
      <c r="F96" s="3"/>
      <c r="G96" s="3"/>
      <c r="H96" s="3"/>
      <c r="I96" s="605"/>
      <c r="J96" s="3"/>
    </row>
    <row r="97" ht="14.25" customHeight="1">
      <c r="B97" s="99" t="s">
        <v>3913</v>
      </c>
      <c r="C97" s="554"/>
      <c r="F97" s="3"/>
      <c r="G97" s="3"/>
      <c r="H97" s="3"/>
      <c r="I97" s="3"/>
      <c r="J97" s="3"/>
    </row>
    <row r="98" ht="14.25" customHeight="1">
      <c r="B98" s="555" t="s">
        <v>3861</v>
      </c>
      <c r="C98" s="556">
        <v>3020.0</v>
      </c>
      <c r="F98" s="3"/>
      <c r="G98" s="3"/>
      <c r="H98" s="3"/>
      <c r="I98" s="3"/>
      <c r="J98" s="3"/>
    </row>
    <row r="99" ht="14.25" customHeight="1">
      <c r="B99" s="583" t="s">
        <v>3863</v>
      </c>
      <c r="C99" s="584">
        <v>130.0</v>
      </c>
      <c r="D99" s="2"/>
      <c r="E99" s="2"/>
      <c r="F99" s="3"/>
      <c r="G99" s="3"/>
      <c r="H99" s="3"/>
      <c r="I99" s="3"/>
      <c r="J99" s="3"/>
    </row>
    <row r="100" ht="14.25" customHeight="1">
      <c r="B100" s="152"/>
      <c r="C100" s="629"/>
      <c r="D100" s="630" t="s">
        <v>3865</v>
      </c>
      <c r="E100" s="631" t="s">
        <v>3866</v>
      </c>
      <c r="F100" s="10" t="s">
        <v>3885</v>
      </c>
      <c r="G100" s="632" t="s">
        <v>3886</v>
      </c>
      <c r="H100" s="630" t="s">
        <v>3867</v>
      </c>
      <c r="I100" s="633" t="s">
        <v>3853</v>
      </c>
      <c r="J100" s="3"/>
      <c r="K100" s="634" t="s">
        <v>3914</v>
      </c>
      <c r="L100" s="635"/>
    </row>
    <row r="101" ht="14.25" customHeight="1">
      <c r="B101" s="160"/>
      <c r="C101" s="567"/>
      <c r="D101" s="568"/>
      <c r="E101" s="591"/>
      <c r="F101" s="13"/>
      <c r="G101" s="592"/>
      <c r="H101" s="570"/>
      <c r="I101" s="636"/>
      <c r="J101" s="3"/>
      <c r="K101" s="637" t="s">
        <v>3914</v>
      </c>
      <c r="L101" s="638"/>
    </row>
    <row r="102" ht="14.25" customHeight="1">
      <c r="B102" s="160"/>
      <c r="C102" s="560"/>
      <c r="D102" s="572">
        <v>6775.76</v>
      </c>
      <c r="E102" s="591"/>
      <c r="F102" s="13"/>
      <c r="G102" s="592"/>
      <c r="H102" s="595">
        <f>+D102*C98/31.1035</f>
        <v>657893.6518</v>
      </c>
      <c r="I102" s="639">
        <f>+H102</f>
        <v>657893.6518</v>
      </c>
      <c r="J102" s="3"/>
      <c r="K102" s="637" t="s">
        <v>3915</v>
      </c>
      <c r="L102" s="638"/>
    </row>
    <row r="103" ht="14.25" customHeight="1">
      <c r="B103" s="160"/>
      <c r="C103" s="560"/>
      <c r="D103" s="572"/>
      <c r="E103" s="591"/>
      <c r="F103" s="13"/>
      <c r="G103" s="592"/>
      <c r="H103" s="570"/>
      <c r="I103" s="636"/>
      <c r="J103" s="3"/>
      <c r="K103" s="637" t="s">
        <v>3916</v>
      </c>
      <c r="L103" s="638"/>
    </row>
    <row r="104" ht="14.25" customHeight="1">
      <c r="B104" s="160" t="s">
        <v>3853</v>
      </c>
      <c r="C104" s="560"/>
      <c r="D104" s="588">
        <f>+D102</f>
        <v>6775.76</v>
      </c>
      <c r="E104" s="591">
        <v>686.0</v>
      </c>
      <c r="F104" s="13">
        <v>493595.0</v>
      </c>
      <c r="G104" s="592"/>
      <c r="H104" s="570"/>
      <c r="I104" s="636"/>
      <c r="J104" s="3"/>
      <c r="K104" s="637" t="s">
        <v>3917</v>
      </c>
      <c r="L104" s="638"/>
    </row>
    <row r="105" ht="14.25" customHeight="1">
      <c r="B105" s="160" t="s">
        <v>3873</v>
      </c>
      <c r="C105" s="560"/>
      <c r="D105" s="572">
        <v>3108.49</v>
      </c>
      <c r="E105" s="591">
        <v>355.0</v>
      </c>
      <c r="F105" s="13">
        <v>218681.0</v>
      </c>
      <c r="G105" s="592">
        <f>+E105*C99</f>
        <v>46150</v>
      </c>
      <c r="H105" s="570"/>
      <c r="I105" s="639">
        <f>-G105</f>
        <v>-46150</v>
      </c>
      <c r="J105" s="3"/>
      <c r="K105" s="637"/>
      <c r="L105" s="638"/>
    </row>
    <row r="106" ht="14.25" customHeight="1">
      <c r="B106" s="163" t="s">
        <v>3874</v>
      </c>
      <c r="C106" s="640"/>
      <c r="D106" s="641">
        <f t="shared" ref="D106:E106" si="6">+D104-D105</f>
        <v>3667.27</v>
      </c>
      <c r="E106" s="642">
        <f t="shared" si="6"/>
        <v>331</v>
      </c>
      <c r="F106" s="643">
        <f>+F104-F105+17760</f>
        <v>292674</v>
      </c>
      <c r="G106" s="644">
        <f>+C99*E106</f>
        <v>43030</v>
      </c>
      <c r="H106" s="645"/>
      <c r="I106" s="646">
        <f>-F106-G106</f>
        <v>-335704</v>
      </c>
      <c r="J106" s="3"/>
      <c r="K106" s="647" t="s">
        <v>3918</v>
      </c>
      <c r="L106" s="648">
        <f>SUM(L100:L105)</f>
        <v>0</v>
      </c>
    </row>
    <row r="107" ht="14.25" customHeight="1">
      <c r="F107" s="3"/>
      <c r="G107" s="3"/>
      <c r="H107" s="3"/>
      <c r="I107" s="605">
        <f>SUM(I101:I106)</f>
        <v>276039.6518</v>
      </c>
      <c r="J107" s="3"/>
    </row>
    <row r="108" ht="14.25" customHeight="1">
      <c r="A108" s="609" t="s">
        <v>3899</v>
      </c>
      <c r="B108" s="610">
        <v>3.72</v>
      </c>
      <c r="C108" s="611"/>
      <c r="D108" s="612" t="s">
        <v>3900</v>
      </c>
      <c r="E108" s="613" t="s">
        <v>3901</v>
      </c>
      <c r="F108" s="3"/>
      <c r="G108" s="3"/>
      <c r="H108" s="3"/>
      <c r="I108" s="605"/>
      <c r="J108" s="3"/>
    </row>
    <row r="109" ht="14.25" customHeight="1">
      <c r="A109" s="614"/>
      <c r="B109" s="615"/>
      <c r="C109" s="616" t="s">
        <v>3902</v>
      </c>
      <c r="D109" s="617">
        <v>64243.0</v>
      </c>
      <c r="E109" s="618">
        <f>+D109/B$70</f>
        <v>17269.62366</v>
      </c>
      <c r="F109" s="3"/>
      <c r="G109" s="3"/>
      <c r="H109" s="3" t="s">
        <v>3911</v>
      </c>
      <c r="I109" s="649">
        <f>-L111</f>
        <v>-286720.4301</v>
      </c>
      <c r="J109" s="3"/>
      <c r="K109" s="634" t="s">
        <v>3900</v>
      </c>
      <c r="L109" s="650">
        <v>25000.0</v>
      </c>
    </row>
    <row r="110" ht="14.25" customHeight="1">
      <c r="A110" s="614"/>
      <c r="B110" s="615"/>
      <c r="C110" s="616" t="s">
        <v>3903</v>
      </c>
      <c r="D110" s="617"/>
      <c r="E110" s="618">
        <v>49090.0</v>
      </c>
      <c r="F110" s="3"/>
      <c r="G110" s="3"/>
      <c r="H110" s="587" t="s">
        <v>3919</v>
      </c>
      <c r="I110" s="649">
        <f>176*3020</f>
        <v>531520</v>
      </c>
      <c r="J110" s="3"/>
      <c r="K110" s="637" t="s">
        <v>3901</v>
      </c>
      <c r="L110" s="651">
        <v>280000.0</v>
      </c>
    </row>
    <row r="111" ht="14.25" customHeight="1">
      <c r="A111" s="614" t="s">
        <v>3905</v>
      </c>
      <c r="B111" s="619">
        <v>1419280.0</v>
      </c>
      <c r="C111" s="616" t="s">
        <v>3906</v>
      </c>
      <c r="D111" s="617">
        <f>5182096+(83452*B108)</f>
        <v>5492537.44</v>
      </c>
      <c r="E111" s="618">
        <f>+(D111-B111)/B108</f>
        <v>1094961.677</v>
      </c>
      <c r="F111" s="3"/>
      <c r="G111" s="3"/>
      <c r="H111" s="587" t="s">
        <v>3920</v>
      </c>
      <c r="I111" s="649">
        <f>+E113</f>
        <v>1161321.301</v>
      </c>
      <c r="J111" s="3"/>
      <c r="K111" s="647" t="s">
        <v>3921</v>
      </c>
      <c r="L111" s="652">
        <f>+L110+L109/B108</f>
        <v>286720.4301</v>
      </c>
    </row>
    <row r="112" ht="14.25" customHeight="1">
      <c r="A112" s="620"/>
      <c r="B112" s="621"/>
      <c r="C112" s="622"/>
      <c r="D112" s="623"/>
      <c r="E112" s="624"/>
      <c r="F112" s="3"/>
      <c r="G112" s="3"/>
      <c r="H112" s="587" t="str">
        <f>+K106</f>
        <v>Total proceso chala (gr)</v>
      </c>
      <c r="I112" s="13">
        <f>+L106*C98/31.1035</f>
        <v>0</v>
      </c>
      <c r="J112" s="3"/>
    </row>
    <row r="113" ht="14.25" customHeight="1">
      <c r="E113" s="425">
        <f>SUM(E109:E112)</f>
        <v>1161321.301</v>
      </c>
      <c r="F113" s="3"/>
      <c r="G113" s="3"/>
      <c r="H113" s="3"/>
      <c r="I113" s="653">
        <f>+I107+I110+I111+I109</f>
        <v>1682160.523</v>
      </c>
      <c r="J113" s="3"/>
    </row>
    <row r="114" ht="14.25" customHeight="1">
      <c r="A114" s="91"/>
      <c r="B114" s="91"/>
      <c r="C114" s="91"/>
      <c r="D114" s="91"/>
      <c r="E114" s="91"/>
      <c r="F114" s="125"/>
      <c r="G114" s="125"/>
      <c r="H114" s="125"/>
      <c r="I114" s="125"/>
      <c r="J114" s="125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</row>
    <row r="115" ht="14.25" customHeight="1">
      <c r="F115" s="3"/>
      <c r="G115" s="3"/>
      <c r="H115" s="3"/>
      <c r="I115" s="3"/>
      <c r="J115" s="3"/>
    </row>
    <row r="116" ht="14.25" customHeight="1">
      <c r="F116" s="3"/>
      <c r="G116" s="3"/>
      <c r="H116" s="3"/>
      <c r="I116" s="3"/>
      <c r="J116" s="3"/>
    </row>
    <row r="117" ht="14.25" customHeight="1">
      <c r="F117" s="3"/>
      <c r="G117" s="3"/>
      <c r="H117" s="3"/>
      <c r="I117" s="3"/>
      <c r="J117" s="3"/>
    </row>
    <row r="118" ht="14.25" customHeight="1">
      <c r="F118" s="3"/>
      <c r="G118" s="3"/>
      <c r="H118" s="3"/>
      <c r="I118" s="3"/>
      <c r="J118" s="3"/>
    </row>
    <row r="119" ht="14.25" customHeight="1">
      <c r="F119" s="3"/>
      <c r="G119" s="3"/>
      <c r="H119" s="3"/>
      <c r="I119" s="3"/>
      <c r="J119" s="3"/>
    </row>
    <row r="120" ht="14.25" customHeight="1">
      <c r="F120" s="3"/>
      <c r="G120" s="3"/>
      <c r="H120" s="3"/>
      <c r="I120" s="3"/>
      <c r="J120" s="3"/>
    </row>
    <row r="121" ht="14.25" customHeight="1">
      <c r="F121" s="3"/>
      <c r="G121" s="3"/>
      <c r="H121" s="3"/>
      <c r="I121" s="3"/>
      <c r="J121" s="3"/>
    </row>
    <row r="122" ht="14.25" customHeight="1">
      <c r="F122" s="3"/>
      <c r="G122" s="3"/>
      <c r="H122" s="3"/>
      <c r="I122" s="3"/>
      <c r="J122" s="3"/>
    </row>
    <row r="123" ht="14.25" customHeight="1">
      <c r="F123" s="3"/>
      <c r="G123" s="3"/>
      <c r="H123" s="3"/>
      <c r="I123" s="3"/>
      <c r="J123" s="3"/>
    </row>
    <row r="124" ht="14.25" customHeight="1">
      <c r="F124" s="3"/>
      <c r="G124" s="3"/>
      <c r="H124" s="3"/>
      <c r="I124" s="3"/>
      <c r="J124" s="3"/>
    </row>
    <row r="125" ht="14.25" customHeight="1">
      <c r="F125" s="3"/>
      <c r="G125" s="3"/>
      <c r="H125" s="3"/>
      <c r="I125" s="3"/>
      <c r="J125" s="3"/>
    </row>
    <row r="126" ht="14.25" customHeight="1">
      <c r="F126" s="3"/>
      <c r="G126" s="3"/>
      <c r="H126" s="3"/>
      <c r="I126" s="3"/>
      <c r="J126" s="3"/>
    </row>
    <row r="127" ht="14.25" customHeight="1">
      <c r="F127" s="3"/>
      <c r="G127" s="3"/>
      <c r="H127" s="3"/>
      <c r="I127" s="3"/>
      <c r="J127" s="3"/>
    </row>
    <row r="128" ht="14.25" customHeight="1">
      <c r="F128" s="3"/>
      <c r="G128" s="3"/>
      <c r="H128" s="3"/>
      <c r="I128" s="3"/>
      <c r="J128" s="3"/>
    </row>
    <row r="129" ht="14.25" customHeight="1">
      <c r="F129" s="3"/>
      <c r="G129" s="3"/>
      <c r="H129" s="3"/>
      <c r="I129" s="3"/>
      <c r="J129" s="3"/>
    </row>
    <row r="130" ht="14.25" customHeight="1">
      <c r="F130" s="3"/>
      <c r="G130" s="3"/>
      <c r="H130" s="3"/>
      <c r="I130" s="3"/>
      <c r="J130" s="3"/>
    </row>
    <row r="131" ht="14.25" customHeight="1">
      <c r="F131" s="3"/>
      <c r="G131" s="3"/>
      <c r="H131" s="3"/>
      <c r="I131" s="3"/>
      <c r="J131" s="3"/>
    </row>
    <row r="132" ht="14.25" customHeight="1">
      <c r="F132" s="3"/>
      <c r="G132" s="3"/>
      <c r="H132" s="3"/>
      <c r="I132" s="3"/>
      <c r="J132" s="3"/>
    </row>
    <row r="133" ht="14.25" customHeight="1">
      <c r="F133" s="3"/>
      <c r="G133" s="3"/>
      <c r="H133" s="3"/>
      <c r="I133" s="3"/>
      <c r="J133" s="3"/>
    </row>
    <row r="134" ht="14.25" customHeight="1">
      <c r="F134" s="3"/>
      <c r="G134" s="3"/>
      <c r="H134" s="3"/>
      <c r="I134" s="3"/>
      <c r="J134" s="3"/>
    </row>
    <row r="135" ht="14.25" customHeight="1">
      <c r="F135" s="3"/>
      <c r="G135" s="3"/>
      <c r="H135" s="3"/>
      <c r="I135" s="3"/>
      <c r="J135" s="3"/>
    </row>
    <row r="136" ht="14.25" customHeight="1">
      <c r="F136" s="3"/>
      <c r="G136" s="3"/>
      <c r="H136" s="3"/>
      <c r="I136" s="3"/>
      <c r="J136" s="3"/>
    </row>
    <row r="137" ht="14.25" customHeight="1">
      <c r="F137" s="3"/>
      <c r="G137" s="3"/>
      <c r="H137" s="3"/>
      <c r="I137" s="3"/>
      <c r="J137" s="3"/>
    </row>
    <row r="138" ht="14.25" customHeight="1">
      <c r="F138" s="3"/>
      <c r="G138" s="3"/>
      <c r="H138" s="3"/>
      <c r="I138" s="3"/>
      <c r="J138" s="3"/>
    </row>
    <row r="139" ht="14.25" customHeight="1">
      <c r="F139" s="3"/>
      <c r="G139" s="3"/>
      <c r="H139" s="3"/>
      <c r="I139" s="3"/>
      <c r="J139" s="3"/>
    </row>
    <row r="140" ht="14.25" customHeight="1">
      <c r="F140" s="3"/>
      <c r="G140" s="3"/>
      <c r="H140" s="3"/>
      <c r="I140" s="3"/>
      <c r="J140" s="3"/>
    </row>
    <row r="141" ht="14.25" customHeight="1">
      <c r="F141" s="3"/>
      <c r="G141" s="3"/>
      <c r="H141" s="3"/>
      <c r="I141" s="3"/>
      <c r="J141" s="3"/>
    </row>
    <row r="142" ht="14.25" customHeight="1">
      <c r="F142" s="3"/>
      <c r="G142" s="3"/>
      <c r="H142" s="3"/>
      <c r="I142" s="3"/>
      <c r="J142" s="3"/>
    </row>
    <row r="143" ht="14.25" customHeight="1">
      <c r="F143" s="3"/>
      <c r="G143" s="3"/>
      <c r="H143" s="3"/>
      <c r="I143" s="3"/>
      <c r="J143" s="3"/>
    </row>
    <row r="144" ht="14.25" customHeight="1">
      <c r="F144" s="3"/>
      <c r="G144" s="3"/>
      <c r="H144" s="3"/>
      <c r="I144" s="3"/>
      <c r="J144" s="3"/>
    </row>
    <row r="145" ht="14.25" customHeight="1">
      <c r="F145" s="3"/>
      <c r="G145" s="3"/>
      <c r="H145" s="3"/>
      <c r="I145" s="3"/>
      <c r="J145" s="3"/>
    </row>
    <row r="146" ht="14.25" customHeight="1">
      <c r="F146" s="3"/>
      <c r="G146" s="3"/>
      <c r="H146" s="3"/>
      <c r="I146" s="3"/>
      <c r="J146" s="3"/>
    </row>
    <row r="147" ht="14.25" customHeight="1">
      <c r="F147" s="3"/>
      <c r="G147" s="3"/>
      <c r="H147" s="3"/>
      <c r="I147" s="3"/>
      <c r="J147" s="3"/>
    </row>
    <row r="148" ht="14.25" customHeight="1">
      <c r="F148" s="3"/>
      <c r="G148" s="3"/>
      <c r="H148" s="3"/>
      <c r="I148" s="3"/>
      <c r="J148" s="3"/>
    </row>
    <row r="149" ht="14.25" customHeight="1">
      <c r="F149" s="3"/>
      <c r="G149" s="3"/>
      <c r="H149" s="3"/>
      <c r="I149" s="3"/>
      <c r="J149" s="3"/>
    </row>
    <row r="150" ht="14.25" customHeight="1">
      <c r="F150" s="3"/>
      <c r="G150" s="3"/>
      <c r="H150" s="3"/>
      <c r="I150" s="3"/>
      <c r="J150" s="3"/>
    </row>
    <row r="151" ht="14.25" customHeight="1">
      <c r="F151" s="3"/>
      <c r="G151" s="3"/>
      <c r="H151" s="3"/>
      <c r="I151" s="3"/>
      <c r="J151" s="3"/>
    </row>
    <row r="152" ht="14.25" customHeight="1">
      <c r="F152" s="3"/>
      <c r="G152" s="3"/>
      <c r="H152" s="3"/>
      <c r="I152" s="3"/>
      <c r="J152" s="3"/>
    </row>
    <row r="153" ht="14.25" customHeight="1">
      <c r="F153" s="3"/>
      <c r="G153" s="3"/>
      <c r="H153" s="3"/>
      <c r="I153" s="3"/>
      <c r="J153" s="3"/>
    </row>
    <row r="154" ht="14.25" customHeight="1">
      <c r="F154" s="3"/>
      <c r="G154" s="3"/>
      <c r="H154" s="3"/>
      <c r="I154" s="3"/>
      <c r="J154" s="3"/>
    </row>
    <row r="155" ht="14.25" customHeight="1">
      <c r="F155" s="3"/>
      <c r="G155" s="3"/>
      <c r="H155" s="3"/>
      <c r="I155" s="3"/>
      <c r="J155" s="3"/>
    </row>
    <row r="156" ht="14.25" customHeight="1">
      <c r="F156" s="3"/>
      <c r="G156" s="3"/>
      <c r="H156" s="3"/>
      <c r="I156" s="3"/>
      <c r="J156" s="3"/>
    </row>
    <row r="157" ht="14.25" customHeight="1">
      <c r="F157" s="3"/>
      <c r="G157" s="3"/>
      <c r="H157" s="3"/>
      <c r="I157" s="3"/>
      <c r="J157" s="3"/>
    </row>
    <row r="158" ht="14.25" customHeight="1">
      <c r="F158" s="3"/>
      <c r="G158" s="3"/>
      <c r="H158" s="3"/>
      <c r="I158" s="3"/>
      <c r="J158" s="3"/>
    </row>
    <row r="159" ht="14.25" customHeight="1">
      <c r="F159" s="3"/>
      <c r="G159" s="3"/>
      <c r="H159" s="3"/>
      <c r="I159" s="3"/>
      <c r="J159" s="3"/>
    </row>
    <row r="160" ht="14.25" customHeight="1">
      <c r="F160" s="3"/>
      <c r="G160" s="3"/>
      <c r="H160" s="3"/>
      <c r="I160" s="3"/>
      <c r="J160" s="3"/>
    </row>
    <row r="161" ht="14.25" customHeight="1">
      <c r="F161" s="3"/>
      <c r="G161" s="3"/>
      <c r="H161" s="3"/>
      <c r="I161" s="3"/>
      <c r="J161" s="3"/>
    </row>
    <row r="162" ht="14.25" customHeight="1">
      <c r="F162" s="3"/>
      <c r="G162" s="3"/>
      <c r="H162" s="3"/>
      <c r="I162" s="3"/>
      <c r="J162" s="3"/>
    </row>
    <row r="163" ht="14.25" customHeight="1">
      <c r="F163" s="3"/>
      <c r="G163" s="3"/>
      <c r="H163" s="3"/>
      <c r="I163" s="3"/>
      <c r="J163" s="3"/>
    </row>
    <row r="164" ht="14.25" customHeight="1">
      <c r="F164" s="3"/>
      <c r="G164" s="3"/>
      <c r="H164" s="3"/>
      <c r="I164" s="3"/>
      <c r="J164" s="3"/>
    </row>
    <row r="165" ht="14.25" customHeight="1">
      <c r="F165" s="3"/>
      <c r="G165" s="3"/>
      <c r="H165" s="3"/>
      <c r="I165" s="3"/>
      <c r="J165" s="3"/>
    </row>
    <row r="166" ht="14.25" customHeight="1">
      <c r="F166" s="3"/>
      <c r="G166" s="3"/>
      <c r="H166" s="3"/>
      <c r="I166" s="3"/>
      <c r="J166" s="3"/>
    </row>
    <row r="167" ht="14.25" customHeight="1">
      <c r="F167" s="3"/>
      <c r="G167" s="3"/>
      <c r="H167" s="3"/>
      <c r="I167" s="3"/>
      <c r="J167" s="3"/>
    </row>
    <row r="168" ht="14.25" customHeight="1">
      <c r="F168" s="3"/>
      <c r="G168" s="3"/>
      <c r="H168" s="3"/>
      <c r="I168" s="3"/>
      <c r="J168" s="3"/>
    </row>
    <row r="169" ht="14.25" customHeight="1">
      <c r="F169" s="3"/>
      <c r="G169" s="3"/>
      <c r="H169" s="3"/>
      <c r="I169" s="3"/>
      <c r="J169" s="3"/>
    </row>
    <row r="170" ht="14.25" customHeight="1">
      <c r="F170" s="3"/>
      <c r="G170" s="3"/>
      <c r="H170" s="3"/>
      <c r="I170" s="3"/>
      <c r="J170" s="3"/>
    </row>
    <row r="171" ht="14.25" customHeight="1">
      <c r="F171" s="3"/>
      <c r="G171" s="3"/>
      <c r="H171" s="3"/>
      <c r="I171" s="3"/>
      <c r="J171" s="3"/>
    </row>
    <row r="172" ht="14.25" customHeight="1">
      <c r="F172" s="3"/>
      <c r="G172" s="3"/>
      <c r="H172" s="3"/>
      <c r="I172" s="3"/>
      <c r="J172" s="3"/>
    </row>
    <row r="173" ht="14.25" customHeight="1">
      <c r="F173" s="3"/>
      <c r="G173" s="3"/>
      <c r="H173" s="3"/>
      <c r="I173" s="3"/>
      <c r="J173" s="3"/>
    </row>
    <row r="174" ht="14.25" customHeight="1">
      <c r="F174" s="3"/>
      <c r="G174" s="3"/>
      <c r="H174" s="3"/>
      <c r="I174" s="3"/>
      <c r="J174" s="3"/>
    </row>
    <row r="175" ht="14.25" customHeight="1">
      <c r="F175" s="3"/>
      <c r="G175" s="3"/>
      <c r="H175" s="3"/>
      <c r="I175" s="3"/>
      <c r="J175" s="3"/>
    </row>
    <row r="176" ht="14.25" customHeight="1">
      <c r="F176" s="3"/>
      <c r="G176" s="3"/>
      <c r="H176" s="3"/>
      <c r="I176" s="3"/>
      <c r="J176" s="3"/>
    </row>
    <row r="177" ht="14.25" customHeight="1">
      <c r="F177" s="3"/>
      <c r="G177" s="3"/>
      <c r="H177" s="3"/>
      <c r="I177" s="3"/>
      <c r="J177" s="3"/>
    </row>
    <row r="178" ht="14.25" customHeight="1">
      <c r="F178" s="3"/>
      <c r="G178" s="3"/>
      <c r="H178" s="3"/>
      <c r="I178" s="3"/>
      <c r="J178" s="3"/>
    </row>
    <row r="179" ht="14.25" customHeight="1">
      <c r="F179" s="3"/>
      <c r="G179" s="3"/>
      <c r="H179" s="3"/>
      <c r="I179" s="3"/>
      <c r="J179" s="3"/>
    </row>
    <row r="180" ht="14.25" customHeight="1">
      <c r="F180" s="3"/>
      <c r="G180" s="3"/>
      <c r="H180" s="3"/>
      <c r="I180" s="3"/>
      <c r="J180" s="3"/>
    </row>
    <row r="181" ht="14.25" customHeight="1">
      <c r="F181" s="3"/>
      <c r="G181" s="3"/>
      <c r="H181" s="3"/>
      <c r="I181" s="3"/>
      <c r="J181" s="3"/>
    </row>
    <row r="182" ht="14.25" customHeight="1">
      <c r="F182" s="3"/>
      <c r="G182" s="3"/>
      <c r="H182" s="3"/>
      <c r="I182" s="3"/>
      <c r="J182" s="3"/>
    </row>
    <row r="183" ht="14.25" customHeight="1">
      <c r="F183" s="3"/>
      <c r="G183" s="3"/>
      <c r="H183" s="3"/>
      <c r="I183" s="3"/>
      <c r="J183" s="3"/>
    </row>
    <row r="184" ht="14.25" customHeight="1">
      <c r="F184" s="3"/>
      <c r="G184" s="3"/>
      <c r="H184" s="3"/>
      <c r="I184" s="3"/>
      <c r="J184" s="3"/>
    </row>
    <row r="185" ht="14.25" customHeight="1">
      <c r="F185" s="3"/>
      <c r="G185" s="3"/>
      <c r="H185" s="3"/>
      <c r="I185" s="3"/>
      <c r="J185" s="3"/>
    </row>
    <row r="186" ht="14.25" customHeight="1">
      <c r="F186" s="3"/>
      <c r="G186" s="3"/>
      <c r="H186" s="3"/>
      <c r="I186" s="3"/>
      <c r="J186" s="3"/>
    </row>
    <row r="187" ht="14.25" customHeight="1">
      <c r="F187" s="3"/>
      <c r="G187" s="3"/>
      <c r="H187" s="3"/>
      <c r="I187" s="3"/>
      <c r="J187" s="3"/>
    </row>
    <row r="188" ht="14.25" customHeight="1">
      <c r="F188" s="3"/>
      <c r="G188" s="3"/>
      <c r="H188" s="3"/>
      <c r="I188" s="3"/>
      <c r="J188" s="3"/>
    </row>
    <row r="189" ht="14.25" customHeight="1">
      <c r="F189" s="3"/>
      <c r="G189" s="3"/>
      <c r="H189" s="3"/>
      <c r="I189" s="3"/>
      <c r="J189" s="3"/>
    </row>
    <row r="190" ht="14.25" customHeight="1">
      <c r="F190" s="3"/>
      <c r="G190" s="3"/>
      <c r="H190" s="3"/>
      <c r="I190" s="3"/>
      <c r="J190" s="3"/>
    </row>
    <row r="191" ht="14.25" customHeight="1">
      <c r="F191" s="3"/>
      <c r="G191" s="3"/>
      <c r="H191" s="3"/>
      <c r="I191" s="3"/>
      <c r="J191" s="3"/>
    </row>
    <row r="192" ht="14.25" customHeight="1">
      <c r="F192" s="3"/>
      <c r="G192" s="3"/>
      <c r="H192" s="3"/>
      <c r="I192" s="3"/>
      <c r="J192" s="3"/>
    </row>
    <row r="193" ht="14.25" customHeight="1">
      <c r="F193" s="3"/>
      <c r="G193" s="3"/>
      <c r="H193" s="3"/>
      <c r="I193" s="3"/>
      <c r="J193" s="3"/>
    </row>
    <row r="194" ht="14.25" customHeight="1">
      <c r="F194" s="3"/>
      <c r="G194" s="3"/>
      <c r="H194" s="3"/>
      <c r="I194" s="3"/>
      <c r="J194" s="3"/>
    </row>
    <row r="195" ht="14.25" customHeight="1">
      <c r="F195" s="3"/>
      <c r="G195" s="3"/>
      <c r="H195" s="3"/>
      <c r="I195" s="3"/>
      <c r="J195" s="3"/>
    </row>
    <row r="196" ht="14.25" customHeight="1">
      <c r="F196" s="3"/>
      <c r="G196" s="3"/>
      <c r="H196" s="3"/>
      <c r="I196" s="3"/>
      <c r="J196" s="3"/>
    </row>
    <row r="197" ht="14.25" customHeight="1">
      <c r="F197" s="3"/>
      <c r="G197" s="3"/>
      <c r="H197" s="3"/>
      <c r="I197" s="3"/>
      <c r="J197" s="3"/>
    </row>
    <row r="198" ht="14.25" customHeight="1">
      <c r="F198" s="3"/>
      <c r="G198" s="3"/>
      <c r="H198" s="3"/>
      <c r="I198" s="3"/>
      <c r="J198" s="3"/>
    </row>
    <row r="199" ht="14.25" customHeight="1">
      <c r="F199" s="3"/>
      <c r="G199" s="3"/>
      <c r="H199" s="3"/>
      <c r="I199" s="3"/>
      <c r="J199" s="3"/>
    </row>
    <row r="200" ht="14.25" customHeight="1">
      <c r="F200" s="3"/>
      <c r="G200" s="3"/>
      <c r="H200" s="3"/>
      <c r="I200" s="3"/>
      <c r="J200" s="3"/>
    </row>
    <row r="201" ht="14.25" customHeight="1">
      <c r="F201" s="3"/>
      <c r="G201" s="3"/>
      <c r="H201" s="3"/>
      <c r="I201" s="3"/>
      <c r="J201" s="3"/>
    </row>
    <row r="202" ht="14.25" customHeight="1">
      <c r="F202" s="3"/>
      <c r="G202" s="3"/>
      <c r="H202" s="3"/>
      <c r="I202" s="3"/>
      <c r="J202" s="3"/>
    </row>
    <row r="203" ht="14.25" customHeight="1">
      <c r="F203" s="3"/>
      <c r="G203" s="3"/>
      <c r="H203" s="3"/>
      <c r="I203" s="3"/>
      <c r="J203" s="3"/>
    </row>
    <row r="204" ht="14.25" customHeight="1">
      <c r="F204" s="3"/>
      <c r="G204" s="3"/>
      <c r="H204" s="3"/>
      <c r="I204" s="3"/>
      <c r="J204" s="3"/>
    </row>
    <row r="205" ht="14.25" customHeight="1">
      <c r="F205" s="3"/>
      <c r="G205" s="3"/>
      <c r="H205" s="3"/>
      <c r="I205" s="3"/>
      <c r="J205" s="3"/>
    </row>
    <row r="206" ht="14.25" customHeight="1">
      <c r="F206" s="3"/>
      <c r="G206" s="3"/>
      <c r="H206" s="3"/>
      <c r="I206" s="3"/>
      <c r="J206" s="3"/>
    </row>
    <row r="207" ht="14.25" customHeight="1">
      <c r="F207" s="3"/>
      <c r="G207" s="3"/>
      <c r="H207" s="3"/>
      <c r="I207" s="3"/>
      <c r="J207" s="3"/>
    </row>
    <row r="208" ht="14.25" customHeight="1">
      <c r="F208" s="3"/>
      <c r="G208" s="3"/>
      <c r="H208" s="3"/>
      <c r="I208" s="3"/>
      <c r="J208" s="3"/>
    </row>
    <row r="209" ht="14.25" customHeight="1">
      <c r="F209" s="3"/>
      <c r="G209" s="3"/>
      <c r="H209" s="3"/>
      <c r="I209" s="3"/>
      <c r="J209" s="3"/>
    </row>
    <row r="210" ht="14.25" customHeight="1">
      <c r="F210" s="3"/>
      <c r="G210" s="3"/>
      <c r="H210" s="3"/>
      <c r="I210" s="3"/>
      <c r="J210" s="3"/>
    </row>
    <row r="211" ht="14.25" customHeight="1">
      <c r="F211" s="3"/>
      <c r="G211" s="3"/>
      <c r="H211" s="3"/>
      <c r="I211" s="3"/>
      <c r="J211" s="3"/>
    </row>
    <row r="212" ht="14.25" customHeight="1">
      <c r="F212" s="3"/>
      <c r="G212" s="3"/>
      <c r="H212" s="3"/>
      <c r="I212" s="3"/>
      <c r="J212" s="3"/>
    </row>
    <row r="213" ht="14.25" customHeight="1">
      <c r="F213" s="3"/>
      <c r="G213" s="3"/>
      <c r="H213" s="3"/>
      <c r="I213" s="3"/>
      <c r="J213" s="3"/>
    </row>
    <row r="214" ht="14.25" customHeight="1">
      <c r="F214" s="3"/>
      <c r="G214" s="3"/>
      <c r="H214" s="3"/>
      <c r="I214" s="3"/>
      <c r="J214" s="3"/>
    </row>
    <row r="215" ht="14.25" customHeight="1">
      <c r="F215" s="3"/>
      <c r="G215" s="3"/>
      <c r="H215" s="3"/>
      <c r="I215" s="3"/>
      <c r="J215" s="3"/>
    </row>
    <row r="216" ht="14.25" customHeight="1">
      <c r="F216" s="3"/>
      <c r="G216" s="3"/>
      <c r="H216" s="3"/>
      <c r="I216" s="3"/>
      <c r="J216" s="3"/>
    </row>
    <row r="217" ht="14.25" customHeight="1">
      <c r="F217" s="3"/>
      <c r="G217" s="3"/>
      <c r="H217" s="3"/>
      <c r="I217" s="3"/>
      <c r="J217" s="3"/>
    </row>
    <row r="218" ht="14.25" customHeight="1">
      <c r="F218" s="3"/>
      <c r="G218" s="3"/>
      <c r="H218" s="3"/>
      <c r="I218" s="3"/>
      <c r="J218" s="3"/>
    </row>
    <row r="219" ht="14.25" customHeight="1">
      <c r="F219" s="3"/>
      <c r="G219" s="3"/>
      <c r="H219" s="3"/>
      <c r="I219" s="3"/>
      <c r="J219" s="3"/>
    </row>
    <row r="220" ht="14.25" customHeight="1">
      <c r="F220" s="3"/>
      <c r="G220" s="3"/>
      <c r="H220" s="3"/>
      <c r="I220" s="3"/>
      <c r="J220" s="3"/>
    </row>
    <row r="221" ht="14.25" customHeight="1">
      <c r="F221" s="3"/>
      <c r="G221" s="3"/>
      <c r="H221" s="3"/>
      <c r="I221" s="3"/>
      <c r="J221" s="3"/>
    </row>
    <row r="222" ht="14.25" customHeight="1">
      <c r="F222" s="3"/>
      <c r="G222" s="3"/>
      <c r="H222" s="3"/>
      <c r="I222" s="3"/>
      <c r="J222" s="3"/>
    </row>
    <row r="223" ht="14.25" customHeight="1">
      <c r="F223" s="3"/>
      <c r="G223" s="3"/>
      <c r="H223" s="3"/>
      <c r="I223" s="3"/>
      <c r="J223" s="3"/>
    </row>
    <row r="224" ht="14.25" customHeight="1">
      <c r="F224" s="3"/>
      <c r="G224" s="3"/>
      <c r="H224" s="3"/>
      <c r="I224" s="3"/>
      <c r="J224" s="3"/>
    </row>
    <row r="225" ht="14.25" customHeight="1">
      <c r="F225" s="3"/>
      <c r="G225" s="3"/>
      <c r="H225" s="3"/>
      <c r="I225" s="3"/>
      <c r="J225" s="3"/>
    </row>
    <row r="226" ht="14.25" customHeight="1">
      <c r="F226" s="3"/>
      <c r="G226" s="3"/>
      <c r="H226" s="3"/>
      <c r="I226" s="3"/>
      <c r="J226" s="3"/>
    </row>
    <row r="227" ht="14.25" customHeight="1">
      <c r="F227" s="3"/>
      <c r="G227" s="3"/>
      <c r="H227" s="3"/>
      <c r="I227" s="3"/>
      <c r="J227" s="3"/>
    </row>
    <row r="228" ht="14.25" customHeight="1">
      <c r="F228" s="3"/>
      <c r="G228" s="3"/>
      <c r="H228" s="3"/>
      <c r="I228" s="3"/>
      <c r="J228" s="3"/>
    </row>
    <row r="229" ht="14.25" customHeight="1">
      <c r="F229" s="3"/>
      <c r="G229" s="3"/>
      <c r="H229" s="3"/>
      <c r="I229" s="3"/>
      <c r="J229" s="3"/>
    </row>
    <row r="230" ht="14.25" customHeight="1">
      <c r="F230" s="3"/>
      <c r="G230" s="3"/>
      <c r="H230" s="3"/>
      <c r="I230" s="3"/>
      <c r="J230" s="3"/>
    </row>
    <row r="231" ht="14.25" customHeight="1">
      <c r="F231" s="3"/>
      <c r="G231" s="3"/>
      <c r="H231" s="3"/>
      <c r="I231" s="3"/>
      <c r="J231" s="3"/>
    </row>
    <row r="232" ht="14.25" customHeight="1">
      <c r="F232" s="3"/>
      <c r="G232" s="3"/>
      <c r="H232" s="3"/>
      <c r="I232" s="3"/>
      <c r="J232" s="3"/>
    </row>
    <row r="233" ht="14.25" customHeight="1">
      <c r="F233" s="3"/>
      <c r="G233" s="3"/>
      <c r="H233" s="3"/>
      <c r="I233" s="3"/>
      <c r="J233" s="3"/>
    </row>
    <row r="234" ht="14.25" customHeight="1">
      <c r="F234" s="3"/>
      <c r="G234" s="3"/>
      <c r="H234" s="3"/>
      <c r="I234" s="3"/>
      <c r="J234" s="3"/>
    </row>
    <row r="235" ht="14.25" customHeight="1">
      <c r="F235" s="3"/>
      <c r="G235" s="3"/>
      <c r="H235" s="3"/>
      <c r="I235" s="3"/>
      <c r="J235" s="3"/>
    </row>
    <row r="236" ht="14.25" customHeight="1">
      <c r="F236" s="3"/>
      <c r="G236" s="3"/>
      <c r="H236" s="3"/>
      <c r="I236" s="3"/>
      <c r="J236" s="3"/>
    </row>
    <row r="237" ht="14.25" customHeight="1">
      <c r="F237" s="3"/>
      <c r="G237" s="3"/>
      <c r="H237" s="3"/>
      <c r="I237" s="3"/>
      <c r="J237" s="3"/>
    </row>
    <row r="238" ht="14.25" customHeight="1">
      <c r="F238" s="3"/>
      <c r="G238" s="3"/>
      <c r="H238" s="3"/>
      <c r="I238" s="3"/>
      <c r="J238" s="3"/>
    </row>
    <row r="239" ht="14.25" customHeight="1">
      <c r="F239" s="3"/>
      <c r="G239" s="3"/>
      <c r="H239" s="3"/>
      <c r="I239" s="3"/>
      <c r="J239" s="3"/>
    </row>
    <row r="240" ht="14.25" customHeight="1">
      <c r="F240" s="3"/>
      <c r="G240" s="3"/>
      <c r="H240" s="3"/>
      <c r="I240" s="3"/>
      <c r="J240" s="3"/>
    </row>
    <row r="241" ht="14.25" customHeight="1">
      <c r="F241" s="3"/>
      <c r="G241" s="3"/>
      <c r="H241" s="3"/>
      <c r="I241" s="3"/>
      <c r="J241" s="3"/>
    </row>
    <row r="242" ht="14.25" customHeight="1">
      <c r="F242" s="3"/>
      <c r="G242" s="3"/>
      <c r="H242" s="3"/>
      <c r="I242" s="3"/>
      <c r="J242" s="3"/>
    </row>
    <row r="243" ht="14.25" customHeight="1">
      <c r="F243" s="3"/>
      <c r="G243" s="3"/>
      <c r="H243" s="3"/>
      <c r="I243" s="3"/>
      <c r="J243" s="3"/>
    </row>
    <row r="244" ht="14.25" customHeight="1">
      <c r="F244" s="3"/>
      <c r="G244" s="3"/>
      <c r="H244" s="3"/>
      <c r="I244" s="3"/>
      <c r="J244" s="3"/>
    </row>
    <row r="245" ht="14.25" customHeight="1">
      <c r="F245" s="3"/>
      <c r="G245" s="3"/>
      <c r="H245" s="3"/>
      <c r="I245" s="3"/>
      <c r="J245" s="3"/>
    </row>
    <row r="246" ht="14.25" customHeight="1">
      <c r="F246" s="3"/>
      <c r="G246" s="3"/>
      <c r="H246" s="3"/>
      <c r="I246" s="3"/>
      <c r="J246" s="3"/>
    </row>
    <row r="247" ht="14.25" customHeight="1">
      <c r="F247" s="3"/>
      <c r="G247" s="3"/>
      <c r="H247" s="3"/>
      <c r="I247" s="3"/>
      <c r="J247" s="3"/>
    </row>
    <row r="248" ht="14.25" customHeight="1">
      <c r="F248" s="3"/>
      <c r="G248" s="3"/>
      <c r="H248" s="3"/>
      <c r="I248" s="3"/>
      <c r="J248" s="3"/>
    </row>
    <row r="249" ht="14.25" customHeight="1">
      <c r="F249" s="3"/>
      <c r="G249" s="3"/>
      <c r="H249" s="3"/>
      <c r="I249" s="3"/>
      <c r="J249" s="3"/>
    </row>
    <row r="250" ht="14.25" customHeight="1">
      <c r="F250" s="3"/>
      <c r="G250" s="3"/>
      <c r="H250" s="3"/>
      <c r="I250" s="3"/>
      <c r="J250" s="3"/>
    </row>
    <row r="251" ht="14.25" customHeight="1">
      <c r="F251" s="3"/>
      <c r="G251" s="3"/>
      <c r="H251" s="3"/>
      <c r="I251" s="3"/>
      <c r="J251" s="3"/>
    </row>
    <row r="252" ht="14.25" customHeight="1">
      <c r="F252" s="3"/>
      <c r="G252" s="3"/>
      <c r="H252" s="3"/>
      <c r="I252" s="3"/>
      <c r="J252" s="3"/>
    </row>
    <row r="253" ht="14.25" customHeight="1">
      <c r="F253" s="3"/>
      <c r="G253" s="3"/>
      <c r="H253" s="3"/>
      <c r="I253" s="3"/>
      <c r="J253" s="3"/>
    </row>
    <row r="254" ht="14.25" customHeight="1">
      <c r="F254" s="3"/>
      <c r="G254" s="3"/>
      <c r="H254" s="3"/>
      <c r="I254" s="3"/>
      <c r="J254" s="3"/>
    </row>
    <row r="255" ht="14.25" customHeight="1">
      <c r="F255" s="3"/>
      <c r="G255" s="3"/>
      <c r="H255" s="3"/>
      <c r="I255" s="3"/>
      <c r="J255" s="3"/>
    </row>
    <row r="256" ht="14.25" customHeight="1">
      <c r="F256" s="3"/>
      <c r="G256" s="3"/>
      <c r="H256" s="3"/>
      <c r="I256" s="3"/>
      <c r="J256" s="3"/>
    </row>
    <row r="257" ht="14.25" customHeight="1">
      <c r="F257" s="3"/>
      <c r="G257" s="3"/>
      <c r="H257" s="3"/>
      <c r="I257" s="3"/>
      <c r="J257" s="3"/>
    </row>
    <row r="258" ht="14.25" customHeight="1">
      <c r="F258" s="3"/>
      <c r="G258" s="3"/>
      <c r="H258" s="3"/>
      <c r="I258" s="3"/>
      <c r="J258" s="3"/>
    </row>
    <row r="259" ht="14.25" customHeight="1">
      <c r="F259" s="3"/>
      <c r="G259" s="3"/>
      <c r="H259" s="3"/>
      <c r="I259" s="3"/>
      <c r="J259" s="3"/>
    </row>
    <row r="260" ht="14.25" customHeight="1">
      <c r="F260" s="3"/>
      <c r="G260" s="3"/>
      <c r="H260" s="3"/>
      <c r="I260" s="3"/>
      <c r="J260" s="3"/>
    </row>
    <row r="261" ht="14.25" customHeight="1">
      <c r="F261" s="3"/>
      <c r="G261" s="3"/>
      <c r="H261" s="3"/>
      <c r="I261" s="3"/>
      <c r="J261" s="3"/>
    </row>
    <row r="262" ht="14.25" customHeight="1">
      <c r="F262" s="3"/>
      <c r="G262" s="3"/>
      <c r="H262" s="3"/>
      <c r="I262" s="3"/>
      <c r="J262" s="3"/>
    </row>
    <row r="263" ht="14.25" customHeight="1">
      <c r="F263" s="3"/>
      <c r="G263" s="3"/>
      <c r="H263" s="3"/>
      <c r="I263" s="3"/>
      <c r="J263" s="3"/>
    </row>
    <row r="264" ht="14.25" customHeight="1">
      <c r="F264" s="3"/>
      <c r="G264" s="3"/>
      <c r="H264" s="3"/>
      <c r="I264" s="3"/>
      <c r="J264" s="3"/>
    </row>
    <row r="265" ht="14.25" customHeight="1">
      <c r="F265" s="3"/>
      <c r="G265" s="3"/>
      <c r="H265" s="3"/>
      <c r="I265" s="3"/>
      <c r="J265" s="3"/>
    </row>
    <row r="266" ht="14.25" customHeight="1">
      <c r="F266" s="3"/>
      <c r="G266" s="3"/>
      <c r="H266" s="3"/>
      <c r="I266" s="3"/>
      <c r="J266" s="3"/>
    </row>
    <row r="267" ht="14.25" customHeight="1">
      <c r="F267" s="3"/>
      <c r="G267" s="3"/>
      <c r="H267" s="3"/>
      <c r="I267" s="3"/>
      <c r="J267" s="3"/>
    </row>
    <row r="268" ht="14.25" customHeight="1">
      <c r="F268" s="3"/>
      <c r="G268" s="3"/>
      <c r="H268" s="3"/>
      <c r="I268" s="3"/>
      <c r="J268" s="3"/>
    </row>
    <row r="269" ht="14.25" customHeight="1">
      <c r="F269" s="3"/>
      <c r="G269" s="3"/>
      <c r="H269" s="3"/>
      <c r="I269" s="3"/>
      <c r="J269" s="3"/>
    </row>
    <row r="270" ht="14.25" customHeight="1">
      <c r="F270" s="3"/>
      <c r="G270" s="3"/>
      <c r="H270" s="3"/>
      <c r="I270" s="3"/>
      <c r="J270" s="3"/>
    </row>
    <row r="271" ht="14.25" customHeight="1">
      <c r="F271" s="3"/>
      <c r="G271" s="3"/>
      <c r="H271" s="3"/>
      <c r="I271" s="3"/>
      <c r="J271" s="3"/>
    </row>
    <row r="272" ht="14.25" customHeight="1">
      <c r="F272" s="3"/>
      <c r="G272" s="3"/>
      <c r="H272" s="3"/>
      <c r="I272" s="3"/>
      <c r="J272" s="3"/>
    </row>
    <row r="273" ht="14.25" customHeight="1">
      <c r="F273" s="3"/>
      <c r="G273" s="3"/>
      <c r="H273" s="3"/>
      <c r="I273" s="3"/>
      <c r="J273" s="3"/>
    </row>
    <row r="274" ht="14.25" customHeight="1">
      <c r="F274" s="3"/>
      <c r="G274" s="3"/>
      <c r="H274" s="3"/>
      <c r="I274" s="3"/>
      <c r="J274" s="3"/>
    </row>
    <row r="275" ht="14.25" customHeight="1">
      <c r="F275" s="3"/>
      <c r="G275" s="3"/>
      <c r="H275" s="3"/>
      <c r="I275" s="3"/>
      <c r="J275" s="3"/>
    </row>
    <row r="276" ht="14.25" customHeight="1">
      <c r="F276" s="3"/>
      <c r="G276" s="3"/>
      <c r="H276" s="3"/>
      <c r="I276" s="3"/>
      <c r="J276" s="3"/>
    </row>
    <row r="277" ht="14.25" customHeight="1">
      <c r="F277" s="3"/>
      <c r="G277" s="3"/>
      <c r="H277" s="3"/>
      <c r="I277" s="3"/>
      <c r="J277" s="3"/>
    </row>
    <row r="278" ht="14.25" customHeight="1">
      <c r="F278" s="3"/>
      <c r="G278" s="3"/>
      <c r="H278" s="3"/>
      <c r="I278" s="3"/>
      <c r="J278" s="3"/>
    </row>
    <row r="279" ht="14.25" customHeight="1">
      <c r="F279" s="3"/>
      <c r="G279" s="3"/>
      <c r="H279" s="3"/>
      <c r="I279" s="3"/>
      <c r="J279" s="3"/>
    </row>
    <row r="280" ht="14.25" customHeight="1">
      <c r="F280" s="3"/>
      <c r="G280" s="3"/>
      <c r="H280" s="3"/>
      <c r="I280" s="3"/>
      <c r="J280" s="3"/>
    </row>
    <row r="281" ht="14.25" customHeight="1">
      <c r="F281" s="3"/>
      <c r="G281" s="3"/>
      <c r="H281" s="3"/>
      <c r="I281" s="3"/>
      <c r="J281" s="3"/>
    </row>
    <row r="282" ht="14.25" customHeight="1">
      <c r="F282" s="3"/>
      <c r="G282" s="3"/>
      <c r="H282" s="3"/>
      <c r="I282" s="3"/>
      <c r="J282" s="3"/>
    </row>
    <row r="283" ht="14.25" customHeight="1">
      <c r="F283" s="3"/>
      <c r="G283" s="3"/>
      <c r="H283" s="3"/>
      <c r="I283" s="3"/>
      <c r="J283" s="3"/>
    </row>
    <row r="284" ht="14.25" customHeight="1">
      <c r="F284" s="3"/>
      <c r="G284" s="3"/>
      <c r="H284" s="3"/>
      <c r="I284" s="3"/>
      <c r="J284" s="3"/>
    </row>
    <row r="285" ht="14.25" customHeight="1">
      <c r="F285" s="3"/>
      <c r="G285" s="3"/>
      <c r="H285" s="3"/>
      <c r="I285" s="3"/>
      <c r="J285" s="3"/>
    </row>
    <row r="286" ht="14.25" customHeight="1">
      <c r="F286" s="3"/>
      <c r="G286" s="3"/>
      <c r="H286" s="3"/>
      <c r="I286" s="3"/>
      <c r="J286" s="3"/>
    </row>
    <row r="287" ht="14.25" customHeight="1">
      <c r="F287" s="3"/>
      <c r="G287" s="3"/>
      <c r="H287" s="3"/>
      <c r="I287" s="3"/>
      <c r="J287" s="3"/>
    </row>
    <row r="288" ht="14.25" customHeight="1">
      <c r="F288" s="3"/>
      <c r="G288" s="3"/>
      <c r="H288" s="3"/>
      <c r="I288" s="3"/>
      <c r="J288" s="3"/>
    </row>
    <row r="289" ht="14.25" customHeight="1">
      <c r="F289" s="3"/>
      <c r="G289" s="3"/>
      <c r="H289" s="3"/>
      <c r="I289" s="3"/>
      <c r="J289" s="3"/>
    </row>
    <row r="290" ht="14.25" customHeight="1">
      <c r="F290" s="3"/>
      <c r="G290" s="3"/>
      <c r="H290" s="3"/>
      <c r="I290" s="3"/>
      <c r="J290" s="3"/>
    </row>
    <row r="291" ht="14.25" customHeight="1">
      <c r="F291" s="3"/>
      <c r="G291" s="3"/>
      <c r="H291" s="3"/>
      <c r="I291" s="3"/>
      <c r="J291" s="3"/>
    </row>
    <row r="292" ht="14.25" customHeight="1">
      <c r="F292" s="3"/>
      <c r="G292" s="3"/>
      <c r="H292" s="3"/>
      <c r="I292" s="3"/>
      <c r="J292" s="3"/>
    </row>
    <row r="293" ht="14.25" customHeight="1">
      <c r="F293" s="3"/>
      <c r="G293" s="3"/>
      <c r="H293" s="3"/>
      <c r="I293" s="3"/>
      <c r="J293" s="3"/>
    </row>
    <row r="294" ht="14.25" customHeight="1">
      <c r="F294" s="3"/>
      <c r="G294" s="3"/>
      <c r="H294" s="3"/>
      <c r="I294" s="3"/>
      <c r="J294" s="3"/>
    </row>
    <row r="295" ht="14.25" customHeight="1">
      <c r="F295" s="3"/>
      <c r="G295" s="3"/>
      <c r="H295" s="3"/>
      <c r="I295" s="3"/>
      <c r="J295" s="3"/>
    </row>
    <row r="296" ht="14.25" customHeight="1">
      <c r="F296" s="3"/>
      <c r="G296" s="3"/>
      <c r="H296" s="3"/>
      <c r="I296" s="3"/>
      <c r="J296" s="3"/>
    </row>
    <row r="297" ht="14.25" customHeight="1">
      <c r="F297" s="3"/>
      <c r="G297" s="3"/>
      <c r="H297" s="3"/>
      <c r="I297" s="3"/>
      <c r="J297" s="3"/>
    </row>
    <row r="298" ht="14.25" customHeight="1">
      <c r="F298" s="3"/>
      <c r="G298" s="3"/>
      <c r="H298" s="3"/>
      <c r="I298" s="3"/>
      <c r="J298" s="3"/>
    </row>
    <row r="299" ht="14.25" customHeight="1">
      <c r="F299" s="3"/>
      <c r="G299" s="3"/>
      <c r="H299" s="3"/>
      <c r="I299" s="3"/>
      <c r="J299" s="3"/>
    </row>
    <row r="300" ht="14.25" customHeight="1">
      <c r="F300" s="3"/>
      <c r="G300" s="3"/>
      <c r="H300" s="3"/>
      <c r="I300" s="3"/>
      <c r="J300" s="3"/>
    </row>
    <row r="301" ht="14.25" customHeight="1">
      <c r="F301" s="3"/>
      <c r="G301" s="3"/>
      <c r="H301" s="3"/>
      <c r="I301" s="3"/>
      <c r="J301" s="3"/>
    </row>
    <row r="302" ht="14.25" customHeight="1">
      <c r="F302" s="3"/>
      <c r="G302" s="3"/>
      <c r="H302" s="3"/>
      <c r="I302" s="3"/>
      <c r="J302" s="3"/>
    </row>
    <row r="303" ht="14.25" customHeight="1">
      <c r="F303" s="3"/>
      <c r="G303" s="3"/>
      <c r="H303" s="3"/>
      <c r="I303" s="3"/>
      <c r="J303" s="3"/>
    </row>
    <row r="304" ht="14.25" customHeight="1">
      <c r="F304" s="3"/>
      <c r="G304" s="3"/>
      <c r="H304" s="3"/>
      <c r="I304" s="3"/>
      <c r="J304" s="3"/>
    </row>
    <row r="305" ht="14.25" customHeight="1">
      <c r="F305" s="3"/>
      <c r="G305" s="3"/>
      <c r="H305" s="3"/>
      <c r="I305" s="3"/>
      <c r="J305" s="3"/>
    </row>
    <row r="306" ht="14.25" customHeight="1">
      <c r="F306" s="3"/>
      <c r="G306" s="3"/>
      <c r="H306" s="3"/>
      <c r="I306" s="3"/>
      <c r="J306" s="3"/>
    </row>
    <row r="307" ht="14.25" customHeight="1">
      <c r="F307" s="3"/>
      <c r="G307" s="3"/>
      <c r="H307" s="3"/>
      <c r="I307" s="3"/>
      <c r="J307" s="3"/>
    </row>
    <row r="308" ht="14.25" customHeight="1">
      <c r="F308" s="3"/>
      <c r="G308" s="3"/>
      <c r="H308" s="3"/>
      <c r="I308" s="3"/>
      <c r="J308" s="3"/>
    </row>
    <row r="309" ht="14.25" customHeight="1">
      <c r="F309" s="3"/>
      <c r="G309" s="3"/>
      <c r="H309" s="3"/>
      <c r="I309" s="3"/>
      <c r="J309" s="3"/>
    </row>
    <row r="310" ht="14.25" customHeight="1">
      <c r="F310" s="3"/>
      <c r="G310" s="3"/>
      <c r="H310" s="3"/>
      <c r="I310" s="3"/>
      <c r="J310" s="3"/>
    </row>
    <row r="311" ht="14.25" customHeight="1">
      <c r="F311" s="3"/>
      <c r="G311" s="3"/>
      <c r="H311" s="3"/>
      <c r="I311" s="3"/>
      <c r="J311" s="3"/>
    </row>
    <row r="312" ht="14.25" customHeight="1">
      <c r="F312" s="3"/>
      <c r="G312" s="3"/>
      <c r="H312" s="3"/>
      <c r="I312" s="3"/>
      <c r="J312" s="3"/>
    </row>
    <row r="313" ht="14.25" customHeight="1">
      <c r="F313" s="3"/>
      <c r="G313" s="3"/>
      <c r="H313" s="3"/>
      <c r="I313" s="3"/>
      <c r="J313" s="3"/>
    </row>
    <row r="314" ht="14.25" customHeight="1">
      <c r="F314" s="3"/>
      <c r="G314" s="3"/>
      <c r="H314" s="3"/>
      <c r="I314" s="3"/>
      <c r="J314" s="3"/>
    </row>
    <row r="315" ht="14.25" customHeight="1">
      <c r="F315" s="3"/>
      <c r="G315" s="3"/>
      <c r="H315" s="3"/>
      <c r="I315" s="3"/>
      <c r="J315" s="3"/>
    </row>
    <row r="316" ht="14.25" customHeight="1">
      <c r="F316" s="3"/>
      <c r="G316" s="3"/>
      <c r="H316" s="3"/>
      <c r="I316" s="3"/>
      <c r="J316" s="3"/>
    </row>
    <row r="317" ht="14.25" customHeight="1">
      <c r="F317" s="3"/>
      <c r="G317" s="3"/>
      <c r="H317" s="3"/>
      <c r="I317" s="3"/>
      <c r="J317" s="3"/>
    </row>
    <row r="318" ht="14.25" customHeight="1">
      <c r="F318" s="3"/>
      <c r="G318" s="3"/>
      <c r="H318" s="3"/>
      <c r="I318" s="3"/>
      <c r="J318" s="3"/>
    </row>
    <row r="319" ht="14.25" customHeight="1">
      <c r="F319" s="3"/>
      <c r="G319" s="3"/>
      <c r="H319" s="3"/>
      <c r="I319" s="3"/>
      <c r="J319" s="3"/>
    </row>
    <row r="320" ht="14.25" customHeight="1">
      <c r="F320" s="3"/>
      <c r="G320" s="3"/>
      <c r="H320" s="3"/>
      <c r="I320" s="3"/>
      <c r="J320" s="3"/>
    </row>
    <row r="321" ht="14.25" customHeight="1">
      <c r="F321" s="3"/>
      <c r="G321" s="3"/>
      <c r="H321" s="3"/>
      <c r="I321" s="3"/>
      <c r="J321" s="3"/>
    </row>
    <row r="322" ht="14.25" customHeight="1">
      <c r="F322" s="3"/>
      <c r="G322" s="3"/>
      <c r="H322" s="3"/>
      <c r="I322" s="3"/>
      <c r="J322" s="3"/>
    </row>
    <row r="323" ht="14.25" customHeight="1">
      <c r="F323" s="3"/>
      <c r="G323" s="3"/>
      <c r="H323" s="3"/>
      <c r="I323" s="3"/>
      <c r="J323" s="3"/>
    </row>
    <row r="324" ht="14.25" customHeight="1">
      <c r="F324" s="3"/>
      <c r="G324" s="3"/>
      <c r="H324" s="3"/>
      <c r="I324" s="3"/>
      <c r="J324" s="3"/>
    </row>
    <row r="325" ht="14.25" customHeight="1">
      <c r="F325" s="3"/>
      <c r="G325" s="3"/>
      <c r="H325" s="3"/>
      <c r="I325" s="3"/>
      <c r="J325" s="3"/>
    </row>
    <row r="326" ht="14.25" customHeight="1">
      <c r="F326" s="3"/>
      <c r="G326" s="3"/>
      <c r="H326" s="3"/>
      <c r="I326" s="3"/>
      <c r="J326" s="3"/>
    </row>
    <row r="327" ht="14.25" customHeight="1">
      <c r="F327" s="3"/>
      <c r="G327" s="3"/>
      <c r="H327" s="3"/>
      <c r="I327" s="3"/>
      <c r="J327" s="3"/>
    </row>
    <row r="328" ht="14.25" customHeight="1">
      <c r="F328" s="3"/>
      <c r="G328" s="3"/>
      <c r="H328" s="3"/>
      <c r="I328" s="3"/>
      <c r="J328" s="3"/>
    </row>
    <row r="329" ht="14.25" customHeight="1">
      <c r="F329" s="3"/>
      <c r="G329" s="3"/>
      <c r="H329" s="3"/>
      <c r="I329" s="3"/>
      <c r="J329" s="3"/>
    </row>
    <row r="330" ht="14.25" customHeight="1">
      <c r="F330" s="3"/>
      <c r="G330" s="3"/>
      <c r="H330" s="3"/>
      <c r="I330" s="3"/>
      <c r="J330" s="3"/>
    </row>
    <row r="331" ht="14.25" customHeight="1">
      <c r="F331" s="3"/>
      <c r="G331" s="3"/>
      <c r="H331" s="3"/>
      <c r="I331" s="3"/>
      <c r="J331" s="3"/>
    </row>
    <row r="332" ht="14.25" customHeight="1">
      <c r="F332" s="3"/>
      <c r="G332" s="3"/>
      <c r="H332" s="3"/>
      <c r="I332" s="3"/>
      <c r="J332" s="3"/>
    </row>
    <row r="333" ht="14.25" customHeight="1">
      <c r="F333" s="3"/>
      <c r="G333" s="3"/>
      <c r="H333" s="3"/>
      <c r="I333" s="3"/>
      <c r="J333" s="3"/>
    </row>
    <row r="334" ht="14.25" customHeight="1">
      <c r="F334" s="3"/>
      <c r="G334" s="3"/>
      <c r="H334" s="3"/>
      <c r="I334" s="3"/>
      <c r="J334" s="3"/>
    </row>
    <row r="335" ht="14.25" customHeight="1">
      <c r="F335" s="3"/>
      <c r="G335" s="3"/>
      <c r="H335" s="3"/>
      <c r="I335" s="3"/>
      <c r="J335" s="3"/>
    </row>
    <row r="336" ht="14.25" customHeight="1">
      <c r="F336" s="3"/>
      <c r="G336" s="3"/>
      <c r="H336" s="3"/>
      <c r="I336" s="3"/>
      <c r="J336" s="3"/>
    </row>
    <row r="337" ht="14.25" customHeight="1">
      <c r="F337" s="3"/>
      <c r="G337" s="3"/>
      <c r="H337" s="3"/>
      <c r="I337" s="3"/>
      <c r="J337" s="3"/>
    </row>
    <row r="338" ht="14.25" customHeight="1">
      <c r="F338" s="3"/>
      <c r="G338" s="3"/>
      <c r="H338" s="3"/>
      <c r="I338" s="3"/>
      <c r="J338" s="3"/>
    </row>
    <row r="339" ht="14.25" customHeight="1">
      <c r="F339" s="3"/>
      <c r="G339" s="3"/>
      <c r="H339" s="3"/>
      <c r="I339" s="3"/>
      <c r="J339" s="3"/>
    </row>
    <row r="340" ht="14.25" customHeight="1">
      <c r="F340" s="3"/>
      <c r="G340" s="3"/>
      <c r="H340" s="3"/>
      <c r="I340" s="3"/>
      <c r="J340" s="3"/>
    </row>
    <row r="341" ht="14.25" customHeight="1">
      <c r="F341" s="3"/>
      <c r="G341" s="3"/>
      <c r="H341" s="3"/>
      <c r="I341" s="3"/>
      <c r="J341" s="3"/>
    </row>
    <row r="342" ht="14.25" customHeight="1">
      <c r="F342" s="3"/>
      <c r="G342" s="3"/>
      <c r="H342" s="3"/>
      <c r="I342" s="3"/>
      <c r="J342" s="3"/>
    </row>
    <row r="343" ht="14.25" customHeight="1">
      <c r="F343" s="3"/>
      <c r="G343" s="3"/>
      <c r="H343" s="3"/>
      <c r="I343" s="3"/>
      <c r="J343" s="3"/>
    </row>
    <row r="344" ht="14.25" customHeight="1">
      <c r="F344" s="3"/>
      <c r="G344" s="3"/>
      <c r="H344" s="3"/>
      <c r="I344" s="3"/>
      <c r="J344" s="3"/>
    </row>
    <row r="345" ht="14.25" customHeight="1">
      <c r="F345" s="3"/>
      <c r="G345" s="3"/>
      <c r="H345" s="3"/>
      <c r="I345" s="3"/>
      <c r="J345" s="3"/>
    </row>
    <row r="346" ht="14.25" customHeight="1">
      <c r="F346" s="3"/>
      <c r="G346" s="3"/>
      <c r="H346" s="3"/>
      <c r="I346" s="3"/>
      <c r="J346" s="3"/>
    </row>
    <row r="347" ht="14.25" customHeight="1">
      <c r="F347" s="3"/>
      <c r="G347" s="3"/>
      <c r="H347" s="3"/>
      <c r="I347" s="3"/>
      <c r="J347" s="3"/>
    </row>
    <row r="348" ht="14.25" customHeight="1">
      <c r="F348" s="3"/>
      <c r="G348" s="3"/>
      <c r="H348" s="3"/>
      <c r="I348" s="3"/>
      <c r="J348" s="3"/>
    </row>
    <row r="349" ht="14.25" customHeight="1">
      <c r="F349" s="3"/>
      <c r="G349" s="3"/>
      <c r="H349" s="3"/>
      <c r="I349" s="3"/>
      <c r="J349" s="3"/>
    </row>
    <row r="350" ht="14.25" customHeight="1">
      <c r="F350" s="3"/>
      <c r="G350" s="3"/>
      <c r="H350" s="3"/>
      <c r="I350" s="3"/>
      <c r="J350" s="3"/>
    </row>
    <row r="351" ht="14.25" customHeight="1">
      <c r="F351" s="3"/>
      <c r="G351" s="3"/>
      <c r="H351" s="3"/>
      <c r="I351" s="3"/>
      <c r="J351" s="3"/>
    </row>
    <row r="352" ht="14.25" customHeight="1">
      <c r="F352" s="3"/>
      <c r="G352" s="3"/>
      <c r="H352" s="3"/>
      <c r="I352" s="3"/>
      <c r="J352" s="3"/>
    </row>
    <row r="353" ht="14.25" customHeight="1">
      <c r="F353" s="3"/>
      <c r="G353" s="3"/>
      <c r="H353" s="3"/>
      <c r="I353" s="3"/>
      <c r="J353" s="3"/>
    </row>
    <row r="354" ht="14.25" customHeight="1">
      <c r="F354" s="3"/>
      <c r="G354" s="3"/>
      <c r="H354" s="3"/>
      <c r="I354" s="3"/>
      <c r="J354" s="3"/>
    </row>
    <row r="355" ht="14.25" customHeight="1">
      <c r="F355" s="3"/>
      <c r="G355" s="3"/>
      <c r="H355" s="3"/>
      <c r="I355" s="3"/>
      <c r="J355" s="3"/>
    </row>
    <row r="356" ht="14.25" customHeight="1">
      <c r="F356" s="3"/>
      <c r="G356" s="3"/>
      <c r="H356" s="3"/>
      <c r="I356" s="3"/>
      <c r="J356" s="3"/>
    </row>
    <row r="357" ht="14.25" customHeight="1">
      <c r="F357" s="3"/>
      <c r="G357" s="3"/>
      <c r="H357" s="3"/>
      <c r="I357" s="3"/>
      <c r="J357" s="3"/>
    </row>
    <row r="358" ht="14.25" customHeight="1">
      <c r="F358" s="3"/>
      <c r="G358" s="3"/>
      <c r="H358" s="3"/>
      <c r="I358" s="3"/>
      <c r="J358" s="3"/>
    </row>
    <row r="359" ht="14.25" customHeight="1">
      <c r="F359" s="3"/>
      <c r="G359" s="3"/>
      <c r="H359" s="3"/>
      <c r="I359" s="3"/>
      <c r="J359" s="3"/>
    </row>
    <row r="360" ht="14.25" customHeight="1">
      <c r="F360" s="3"/>
      <c r="G360" s="3"/>
      <c r="H360" s="3"/>
      <c r="I360" s="3"/>
      <c r="J360" s="3"/>
    </row>
    <row r="361" ht="14.25" customHeight="1">
      <c r="F361" s="3"/>
      <c r="G361" s="3"/>
      <c r="H361" s="3"/>
      <c r="I361" s="3"/>
      <c r="J361" s="3"/>
    </row>
    <row r="362" ht="14.25" customHeight="1">
      <c r="F362" s="3"/>
      <c r="G362" s="3"/>
      <c r="H362" s="3"/>
      <c r="I362" s="3"/>
      <c r="J362" s="3"/>
    </row>
    <row r="363" ht="14.25" customHeight="1">
      <c r="F363" s="3"/>
      <c r="G363" s="3"/>
      <c r="H363" s="3"/>
      <c r="I363" s="3"/>
      <c r="J363" s="3"/>
    </row>
    <row r="364" ht="14.25" customHeight="1">
      <c r="F364" s="3"/>
      <c r="G364" s="3"/>
      <c r="H364" s="3"/>
      <c r="I364" s="3"/>
      <c r="J364" s="3"/>
    </row>
    <row r="365" ht="14.25" customHeight="1">
      <c r="F365" s="3"/>
      <c r="G365" s="3"/>
      <c r="H365" s="3"/>
      <c r="I365" s="3"/>
      <c r="J365" s="3"/>
    </row>
    <row r="366" ht="14.25" customHeight="1">
      <c r="F366" s="3"/>
      <c r="G366" s="3"/>
      <c r="H366" s="3"/>
      <c r="I366" s="3"/>
      <c r="J366" s="3"/>
    </row>
    <row r="367" ht="14.25" customHeight="1">
      <c r="F367" s="3"/>
      <c r="G367" s="3"/>
      <c r="H367" s="3"/>
      <c r="I367" s="3"/>
      <c r="J367" s="3"/>
    </row>
    <row r="368" ht="14.25" customHeight="1">
      <c r="F368" s="3"/>
      <c r="G368" s="3"/>
      <c r="H368" s="3"/>
      <c r="I368" s="3"/>
      <c r="J368" s="3"/>
    </row>
    <row r="369" ht="14.25" customHeight="1">
      <c r="F369" s="3"/>
      <c r="G369" s="3"/>
      <c r="H369" s="3"/>
      <c r="I369" s="3"/>
      <c r="J369" s="3"/>
    </row>
    <row r="370" ht="14.25" customHeight="1">
      <c r="F370" s="3"/>
      <c r="G370" s="3"/>
      <c r="H370" s="3"/>
      <c r="I370" s="3"/>
      <c r="J370" s="3"/>
    </row>
    <row r="371" ht="14.25" customHeight="1">
      <c r="F371" s="3"/>
      <c r="G371" s="3"/>
      <c r="H371" s="3"/>
      <c r="I371" s="3"/>
      <c r="J371" s="3"/>
    </row>
    <row r="372" ht="14.25" customHeight="1">
      <c r="F372" s="3"/>
      <c r="G372" s="3"/>
      <c r="H372" s="3"/>
      <c r="I372" s="3"/>
      <c r="J372" s="3"/>
    </row>
    <row r="373" ht="14.25" customHeight="1">
      <c r="F373" s="3"/>
      <c r="G373" s="3"/>
      <c r="H373" s="3"/>
      <c r="I373" s="3"/>
      <c r="J373" s="3"/>
    </row>
    <row r="374" ht="14.25" customHeight="1">
      <c r="F374" s="3"/>
      <c r="G374" s="3"/>
      <c r="H374" s="3"/>
      <c r="I374" s="3"/>
      <c r="J374" s="3"/>
    </row>
    <row r="375" ht="14.25" customHeight="1">
      <c r="F375" s="3"/>
      <c r="G375" s="3"/>
      <c r="H375" s="3"/>
      <c r="I375" s="3"/>
      <c r="J375" s="3"/>
    </row>
    <row r="376" ht="14.25" customHeight="1">
      <c r="F376" s="3"/>
      <c r="G376" s="3"/>
      <c r="H376" s="3"/>
      <c r="I376" s="3"/>
      <c r="J376" s="3"/>
    </row>
    <row r="377" ht="14.25" customHeight="1">
      <c r="F377" s="3"/>
      <c r="G377" s="3"/>
      <c r="H377" s="3"/>
      <c r="I377" s="3"/>
      <c r="J377" s="3"/>
    </row>
    <row r="378" ht="14.25" customHeight="1">
      <c r="F378" s="3"/>
      <c r="G378" s="3"/>
      <c r="H378" s="3"/>
      <c r="I378" s="3"/>
      <c r="J378" s="3"/>
    </row>
    <row r="379" ht="14.25" customHeight="1">
      <c r="F379" s="3"/>
      <c r="G379" s="3"/>
      <c r="H379" s="3"/>
      <c r="I379" s="3"/>
      <c r="J379" s="3"/>
    </row>
    <row r="380" ht="14.25" customHeight="1">
      <c r="F380" s="3"/>
      <c r="G380" s="3"/>
      <c r="H380" s="3"/>
      <c r="I380" s="3"/>
      <c r="J380" s="3"/>
    </row>
    <row r="381" ht="14.25" customHeight="1">
      <c r="F381" s="3"/>
      <c r="G381" s="3"/>
      <c r="H381" s="3"/>
      <c r="I381" s="3"/>
      <c r="J381" s="3"/>
    </row>
    <row r="382" ht="14.25" customHeight="1">
      <c r="F382" s="3"/>
      <c r="G382" s="3"/>
      <c r="H382" s="3"/>
      <c r="I382" s="3"/>
      <c r="J382" s="3"/>
    </row>
    <row r="383" ht="14.25" customHeight="1">
      <c r="F383" s="3"/>
      <c r="G383" s="3"/>
      <c r="H383" s="3"/>
      <c r="I383" s="3"/>
      <c r="J383" s="3"/>
    </row>
    <row r="384" ht="14.25" customHeight="1">
      <c r="F384" s="3"/>
      <c r="G384" s="3"/>
      <c r="H384" s="3"/>
      <c r="I384" s="3"/>
      <c r="J384" s="3"/>
    </row>
    <row r="385" ht="14.25" customHeight="1">
      <c r="F385" s="3"/>
      <c r="G385" s="3"/>
      <c r="H385" s="3"/>
      <c r="I385" s="3"/>
      <c r="J385" s="3"/>
    </row>
    <row r="386" ht="14.25" customHeight="1">
      <c r="F386" s="3"/>
      <c r="G386" s="3"/>
      <c r="H386" s="3"/>
      <c r="I386" s="3"/>
      <c r="J386" s="3"/>
    </row>
    <row r="387" ht="14.25" customHeight="1">
      <c r="F387" s="3"/>
      <c r="G387" s="3"/>
      <c r="H387" s="3"/>
      <c r="I387" s="3"/>
      <c r="J387" s="3"/>
    </row>
    <row r="388" ht="14.25" customHeight="1">
      <c r="F388" s="3"/>
      <c r="G388" s="3"/>
      <c r="H388" s="3"/>
      <c r="I388" s="3"/>
      <c r="J388" s="3"/>
    </row>
    <row r="389" ht="14.25" customHeight="1">
      <c r="F389" s="3"/>
      <c r="G389" s="3"/>
      <c r="H389" s="3"/>
      <c r="I389" s="3"/>
      <c r="J389" s="3"/>
    </row>
    <row r="390" ht="14.25" customHeight="1">
      <c r="F390" s="3"/>
      <c r="G390" s="3"/>
      <c r="H390" s="3"/>
      <c r="I390" s="3"/>
      <c r="J390" s="3"/>
    </row>
    <row r="391" ht="14.25" customHeight="1">
      <c r="F391" s="3"/>
      <c r="G391" s="3"/>
      <c r="H391" s="3"/>
      <c r="I391" s="3"/>
      <c r="J391" s="3"/>
    </row>
    <row r="392" ht="14.25" customHeight="1">
      <c r="F392" s="3"/>
      <c r="G392" s="3"/>
      <c r="H392" s="3"/>
      <c r="I392" s="3"/>
      <c r="J392" s="3"/>
    </row>
    <row r="393" ht="14.25" customHeight="1">
      <c r="F393" s="3"/>
      <c r="G393" s="3"/>
      <c r="H393" s="3"/>
      <c r="I393" s="3"/>
      <c r="J393" s="3"/>
    </row>
    <row r="394" ht="14.25" customHeight="1">
      <c r="F394" s="3"/>
      <c r="G394" s="3"/>
      <c r="H394" s="3"/>
      <c r="I394" s="3"/>
      <c r="J394" s="3"/>
    </row>
    <row r="395" ht="14.25" customHeight="1">
      <c r="F395" s="3"/>
      <c r="G395" s="3"/>
      <c r="H395" s="3"/>
      <c r="I395" s="3"/>
      <c r="J395" s="3"/>
    </row>
    <row r="396" ht="14.25" customHeight="1">
      <c r="F396" s="3"/>
      <c r="G396" s="3"/>
      <c r="H396" s="3"/>
      <c r="I396" s="3"/>
      <c r="J396" s="3"/>
    </row>
    <row r="397" ht="14.25" customHeight="1">
      <c r="F397" s="3"/>
      <c r="G397" s="3"/>
      <c r="H397" s="3"/>
      <c r="I397" s="3"/>
      <c r="J397" s="3"/>
    </row>
    <row r="398" ht="14.25" customHeight="1">
      <c r="F398" s="3"/>
      <c r="G398" s="3"/>
      <c r="H398" s="3"/>
      <c r="I398" s="3"/>
      <c r="J398" s="3"/>
    </row>
    <row r="399" ht="14.25" customHeight="1">
      <c r="F399" s="3"/>
      <c r="G399" s="3"/>
      <c r="H399" s="3"/>
      <c r="I399" s="3"/>
      <c r="J399" s="3"/>
    </row>
    <row r="400" ht="14.25" customHeight="1">
      <c r="F400" s="3"/>
      <c r="G400" s="3"/>
      <c r="H400" s="3"/>
      <c r="I400" s="3"/>
      <c r="J400" s="3"/>
    </row>
    <row r="401" ht="14.25" customHeight="1">
      <c r="F401" s="3"/>
      <c r="G401" s="3"/>
      <c r="H401" s="3"/>
      <c r="I401" s="3"/>
      <c r="J401" s="3"/>
    </row>
    <row r="402" ht="14.25" customHeight="1">
      <c r="F402" s="3"/>
      <c r="G402" s="3"/>
      <c r="H402" s="3"/>
      <c r="I402" s="3"/>
      <c r="J402" s="3"/>
    </row>
    <row r="403" ht="14.25" customHeight="1">
      <c r="F403" s="3"/>
      <c r="G403" s="3"/>
      <c r="H403" s="3"/>
      <c r="I403" s="3"/>
      <c r="J403" s="3"/>
    </row>
    <row r="404" ht="14.25" customHeight="1">
      <c r="F404" s="3"/>
      <c r="G404" s="3"/>
      <c r="H404" s="3"/>
      <c r="I404" s="3"/>
      <c r="J404" s="3"/>
    </row>
    <row r="405" ht="14.25" customHeight="1">
      <c r="F405" s="3"/>
      <c r="G405" s="3"/>
      <c r="H405" s="3"/>
      <c r="I405" s="3"/>
      <c r="J405" s="3"/>
    </row>
    <row r="406" ht="14.25" customHeight="1">
      <c r="F406" s="3"/>
      <c r="G406" s="3"/>
      <c r="H406" s="3"/>
      <c r="I406" s="3"/>
      <c r="J406" s="3"/>
    </row>
    <row r="407" ht="14.25" customHeight="1">
      <c r="F407" s="3"/>
      <c r="G407" s="3"/>
      <c r="H407" s="3"/>
      <c r="I407" s="3"/>
      <c r="J407" s="3"/>
    </row>
    <row r="408" ht="14.25" customHeight="1">
      <c r="F408" s="3"/>
      <c r="G408" s="3"/>
      <c r="H408" s="3"/>
      <c r="I408" s="3"/>
      <c r="J408" s="3"/>
    </row>
    <row r="409" ht="14.25" customHeight="1">
      <c r="F409" s="3"/>
      <c r="G409" s="3"/>
      <c r="H409" s="3"/>
      <c r="I409" s="3"/>
      <c r="J409" s="3"/>
    </row>
    <row r="410" ht="14.25" customHeight="1">
      <c r="F410" s="3"/>
      <c r="G410" s="3"/>
      <c r="H410" s="3"/>
      <c r="I410" s="3"/>
      <c r="J410" s="3"/>
    </row>
    <row r="411" ht="14.25" customHeight="1">
      <c r="F411" s="3"/>
      <c r="G411" s="3"/>
      <c r="H411" s="3"/>
      <c r="I411" s="3"/>
      <c r="J411" s="3"/>
    </row>
    <row r="412" ht="14.25" customHeight="1">
      <c r="F412" s="3"/>
      <c r="G412" s="3"/>
      <c r="H412" s="3"/>
      <c r="I412" s="3"/>
      <c r="J412" s="3"/>
    </row>
    <row r="413" ht="14.25" customHeight="1">
      <c r="F413" s="3"/>
      <c r="G413" s="3"/>
      <c r="H413" s="3"/>
      <c r="I413" s="3"/>
      <c r="J413" s="3"/>
    </row>
    <row r="414" ht="14.25" customHeight="1">
      <c r="F414" s="3"/>
      <c r="G414" s="3"/>
      <c r="H414" s="3"/>
      <c r="I414" s="3"/>
      <c r="J414" s="3"/>
    </row>
    <row r="415" ht="14.25" customHeight="1">
      <c r="F415" s="3"/>
      <c r="G415" s="3"/>
      <c r="H415" s="3"/>
      <c r="I415" s="3"/>
      <c r="J415" s="3"/>
    </row>
    <row r="416" ht="14.25" customHeight="1">
      <c r="F416" s="3"/>
      <c r="G416" s="3"/>
      <c r="H416" s="3"/>
      <c r="I416" s="3"/>
      <c r="J416" s="3"/>
    </row>
    <row r="417" ht="14.25" customHeight="1">
      <c r="F417" s="3"/>
      <c r="G417" s="3"/>
      <c r="H417" s="3"/>
      <c r="I417" s="3"/>
      <c r="J417" s="3"/>
    </row>
    <row r="418" ht="14.25" customHeight="1">
      <c r="F418" s="3"/>
      <c r="G418" s="3"/>
      <c r="H418" s="3"/>
      <c r="I418" s="3"/>
      <c r="J418" s="3"/>
    </row>
    <row r="419" ht="14.25" customHeight="1">
      <c r="F419" s="3"/>
      <c r="G419" s="3"/>
      <c r="H419" s="3"/>
      <c r="I419" s="3"/>
      <c r="J419" s="3"/>
    </row>
    <row r="420" ht="14.25" customHeight="1">
      <c r="F420" s="3"/>
      <c r="G420" s="3"/>
      <c r="H420" s="3"/>
      <c r="I420" s="3"/>
      <c r="J420" s="3"/>
    </row>
    <row r="421" ht="14.25" customHeight="1">
      <c r="F421" s="3"/>
      <c r="G421" s="3"/>
      <c r="H421" s="3"/>
      <c r="I421" s="3"/>
      <c r="J421" s="3"/>
    </row>
    <row r="422" ht="14.25" customHeight="1">
      <c r="F422" s="3"/>
      <c r="G422" s="3"/>
      <c r="H422" s="3"/>
      <c r="I422" s="3"/>
      <c r="J422" s="3"/>
    </row>
    <row r="423" ht="14.25" customHeight="1">
      <c r="F423" s="3"/>
      <c r="G423" s="3"/>
      <c r="H423" s="3"/>
      <c r="I423" s="3"/>
      <c r="J423" s="3"/>
    </row>
    <row r="424" ht="14.25" customHeight="1">
      <c r="F424" s="3"/>
      <c r="G424" s="3"/>
      <c r="H424" s="3"/>
      <c r="I424" s="3"/>
      <c r="J424" s="3"/>
    </row>
    <row r="425" ht="14.25" customHeight="1">
      <c r="F425" s="3"/>
      <c r="G425" s="3"/>
      <c r="H425" s="3"/>
      <c r="I425" s="3"/>
      <c r="J425" s="3"/>
    </row>
    <row r="426" ht="14.25" customHeight="1">
      <c r="F426" s="3"/>
      <c r="G426" s="3"/>
      <c r="H426" s="3"/>
      <c r="I426" s="3"/>
      <c r="J426" s="3"/>
    </row>
    <row r="427" ht="14.25" customHeight="1">
      <c r="F427" s="3"/>
      <c r="G427" s="3"/>
      <c r="H427" s="3"/>
      <c r="I427" s="3"/>
      <c r="J427" s="3"/>
    </row>
    <row r="428" ht="14.25" customHeight="1">
      <c r="F428" s="3"/>
      <c r="G428" s="3"/>
      <c r="H428" s="3"/>
      <c r="I428" s="3"/>
      <c r="J428" s="3"/>
    </row>
    <row r="429" ht="14.25" customHeight="1">
      <c r="F429" s="3"/>
      <c r="G429" s="3"/>
      <c r="H429" s="3"/>
      <c r="I429" s="3"/>
      <c r="J429" s="3"/>
    </row>
    <row r="430" ht="14.25" customHeight="1">
      <c r="F430" s="3"/>
      <c r="G430" s="3"/>
      <c r="H430" s="3"/>
      <c r="I430" s="3"/>
      <c r="J430" s="3"/>
    </row>
    <row r="431" ht="14.25" customHeight="1">
      <c r="F431" s="3"/>
      <c r="G431" s="3"/>
      <c r="H431" s="3"/>
      <c r="I431" s="3"/>
      <c r="J431" s="3"/>
    </row>
    <row r="432" ht="14.25" customHeight="1">
      <c r="F432" s="3"/>
      <c r="G432" s="3"/>
      <c r="H432" s="3"/>
      <c r="I432" s="3"/>
      <c r="J432" s="3"/>
    </row>
    <row r="433" ht="14.25" customHeight="1">
      <c r="F433" s="3"/>
      <c r="G433" s="3"/>
      <c r="H433" s="3"/>
      <c r="I433" s="3"/>
      <c r="J433" s="3"/>
    </row>
    <row r="434" ht="14.25" customHeight="1">
      <c r="F434" s="3"/>
      <c r="G434" s="3"/>
      <c r="H434" s="3"/>
      <c r="I434" s="3"/>
      <c r="J434" s="3"/>
    </row>
    <row r="435" ht="14.25" customHeight="1">
      <c r="F435" s="3"/>
      <c r="G435" s="3"/>
      <c r="H435" s="3"/>
      <c r="I435" s="3"/>
      <c r="J435" s="3"/>
    </row>
    <row r="436" ht="14.25" customHeight="1">
      <c r="F436" s="3"/>
      <c r="G436" s="3"/>
      <c r="H436" s="3"/>
      <c r="I436" s="3"/>
      <c r="J436" s="3"/>
    </row>
    <row r="437" ht="14.25" customHeight="1">
      <c r="F437" s="3"/>
      <c r="G437" s="3"/>
      <c r="H437" s="3"/>
      <c r="I437" s="3"/>
      <c r="J437" s="3"/>
    </row>
    <row r="438" ht="14.25" customHeight="1">
      <c r="F438" s="3"/>
      <c r="G438" s="3"/>
      <c r="H438" s="3"/>
      <c r="I438" s="3"/>
      <c r="J438" s="3"/>
    </row>
    <row r="439" ht="14.25" customHeight="1">
      <c r="F439" s="3"/>
      <c r="G439" s="3"/>
      <c r="H439" s="3"/>
      <c r="I439" s="3"/>
      <c r="J439" s="3"/>
    </row>
    <row r="440" ht="14.25" customHeight="1">
      <c r="F440" s="3"/>
      <c r="G440" s="3"/>
      <c r="H440" s="3"/>
      <c r="I440" s="3"/>
      <c r="J440" s="3"/>
    </row>
    <row r="441" ht="14.25" customHeight="1">
      <c r="F441" s="3"/>
      <c r="G441" s="3"/>
      <c r="H441" s="3"/>
      <c r="I441" s="3"/>
      <c r="J441" s="3"/>
    </row>
    <row r="442" ht="14.25" customHeight="1">
      <c r="F442" s="3"/>
      <c r="G442" s="3"/>
      <c r="H442" s="3"/>
      <c r="I442" s="3"/>
      <c r="J442" s="3"/>
    </row>
    <row r="443" ht="14.25" customHeight="1">
      <c r="F443" s="3"/>
      <c r="G443" s="3"/>
      <c r="H443" s="3"/>
      <c r="I443" s="3"/>
      <c r="J443" s="3"/>
    </row>
    <row r="444" ht="14.25" customHeight="1">
      <c r="F444" s="3"/>
      <c r="G444" s="3"/>
      <c r="H444" s="3"/>
      <c r="I444" s="3"/>
      <c r="J444" s="3"/>
    </row>
    <row r="445" ht="14.25" customHeight="1">
      <c r="F445" s="3"/>
      <c r="G445" s="3"/>
      <c r="H445" s="3"/>
      <c r="I445" s="3"/>
      <c r="J445" s="3"/>
    </row>
    <row r="446" ht="14.25" customHeight="1">
      <c r="F446" s="3"/>
      <c r="G446" s="3"/>
      <c r="H446" s="3"/>
      <c r="I446" s="3"/>
      <c r="J446" s="3"/>
    </row>
    <row r="447" ht="14.25" customHeight="1">
      <c r="F447" s="3"/>
      <c r="G447" s="3"/>
      <c r="H447" s="3"/>
      <c r="I447" s="3"/>
      <c r="J447" s="3"/>
    </row>
    <row r="448" ht="14.25" customHeight="1">
      <c r="F448" s="3"/>
      <c r="G448" s="3"/>
      <c r="H448" s="3"/>
      <c r="I448" s="3"/>
      <c r="J448" s="3"/>
    </row>
    <row r="449" ht="14.25" customHeight="1">
      <c r="F449" s="3"/>
      <c r="G449" s="3"/>
      <c r="H449" s="3"/>
      <c r="I449" s="3"/>
      <c r="J449" s="3"/>
    </row>
    <row r="450" ht="14.25" customHeight="1">
      <c r="F450" s="3"/>
      <c r="G450" s="3"/>
      <c r="H450" s="3"/>
      <c r="I450" s="3"/>
      <c r="J450" s="3"/>
    </row>
    <row r="451" ht="14.25" customHeight="1">
      <c r="F451" s="3"/>
      <c r="G451" s="3"/>
      <c r="H451" s="3"/>
      <c r="I451" s="3"/>
      <c r="J451" s="3"/>
    </row>
    <row r="452" ht="14.25" customHeight="1">
      <c r="F452" s="3"/>
      <c r="G452" s="3"/>
      <c r="H452" s="3"/>
      <c r="I452" s="3"/>
      <c r="J452" s="3"/>
    </row>
    <row r="453" ht="14.25" customHeight="1">
      <c r="F453" s="3"/>
      <c r="G453" s="3"/>
      <c r="H453" s="3"/>
      <c r="I453" s="3"/>
      <c r="J453" s="3"/>
    </row>
    <row r="454" ht="14.25" customHeight="1">
      <c r="F454" s="3"/>
      <c r="G454" s="3"/>
      <c r="H454" s="3"/>
      <c r="I454" s="3"/>
      <c r="J454" s="3"/>
    </row>
    <row r="455" ht="14.25" customHeight="1">
      <c r="F455" s="3"/>
      <c r="G455" s="3"/>
      <c r="H455" s="3"/>
      <c r="I455" s="3"/>
      <c r="J455" s="3"/>
    </row>
    <row r="456" ht="14.25" customHeight="1">
      <c r="F456" s="3"/>
      <c r="G456" s="3"/>
      <c r="H456" s="3"/>
      <c r="I456" s="3"/>
      <c r="J456" s="3"/>
    </row>
    <row r="457" ht="14.25" customHeight="1">
      <c r="F457" s="3"/>
      <c r="G457" s="3"/>
      <c r="H457" s="3"/>
      <c r="I457" s="3"/>
      <c r="J457" s="3"/>
    </row>
    <row r="458" ht="14.25" customHeight="1">
      <c r="F458" s="3"/>
      <c r="G458" s="3"/>
      <c r="H458" s="3"/>
      <c r="I458" s="3"/>
      <c r="J458" s="3"/>
    </row>
    <row r="459" ht="14.25" customHeight="1">
      <c r="F459" s="3"/>
      <c r="G459" s="3"/>
      <c r="H459" s="3"/>
      <c r="I459" s="3"/>
      <c r="J459" s="3"/>
    </row>
    <row r="460" ht="14.25" customHeight="1">
      <c r="F460" s="3"/>
      <c r="G460" s="3"/>
      <c r="H460" s="3"/>
      <c r="I460" s="3"/>
      <c r="J460" s="3"/>
    </row>
    <row r="461" ht="14.25" customHeight="1">
      <c r="F461" s="3"/>
      <c r="G461" s="3"/>
      <c r="H461" s="3"/>
      <c r="I461" s="3"/>
      <c r="J461" s="3"/>
    </row>
    <row r="462" ht="14.25" customHeight="1">
      <c r="F462" s="3"/>
      <c r="G462" s="3"/>
      <c r="H462" s="3"/>
      <c r="I462" s="3"/>
      <c r="J462" s="3"/>
    </row>
    <row r="463" ht="14.25" customHeight="1">
      <c r="F463" s="3"/>
      <c r="G463" s="3"/>
      <c r="H463" s="3"/>
      <c r="I463" s="3"/>
      <c r="J463" s="3"/>
    </row>
    <row r="464" ht="14.25" customHeight="1">
      <c r="F464" s="3"/>
      <c r="G464" s="3"/>
      <c r="H464" s="3"/>
      <c r="I464" s="3"/>
      <c r="J464" s="3"/>
    </row>
    <row r="465" ht="14.25" customHeight="1">
      <c r="F465" s="3"/>
      <c r="G465" s="3"/>
      <c r="H465" s="3"/>
      <c r="I465" s="3"/>
      <c r="J465" s="3"/>
    </row>
    <row r="466" ht="14.25" customHeight="1">
      <c r="F466" s="3"/>
      <c r="G466" s="3"/>
      <c r="H466" s="3"/>
      <c r="I466" s="3"/>
      <c r="J466" s="3"/>
    </row>
    <row r="467" ht="14.25" customHeight="1">
      <c r="F467" s="3"/>
      <c r="G467" s="3"/>
      <c r="H467" s="3"/>
      <c r="I467" s="3"/>
      <c r="J467" s="3"/>
    </row>
    <row r="468" ht="14.25" customHeight="1">
      <c r="F468" s="3"/>
      <c r="G468" s="3"/>
      <c r="H468" s="3"/>
      <c r="I468" s="3"/>
      <c r="J468" s="3"/>
    </row>
    <row r="469" ht="14.25" customHeight="1">
      <c r="F469" s="3"/>
      <c r="G469" s="3"/>
      <c r="H469" s="3"/>
      <c r="I469" s="3"/>
      <c r="J469" s="3"/>
    </row>
    <row r="470" ht="14.25" customHeight="1">
      <c r="F470" s="3"/>
      <c r="G470" s="3"/>
      <c r="H470" s="3"/>
      <c r="I470" s="3"/>
      <c r="J470" s="3"/>
    </row>
    <row r="471" ht="14.25" customHeight="1">
      <c r="F471" s="3"/>
      <c r="G471" s="3"/>
      <c r="H471" s="3"/>
      <c r="I471" s="3"/>
      <c r="J471" s="3"/>
    </row>
    <row r="472" ht="14.25" customHeight="1">
      <c r="F472" s="3"/>
      <c r="G472" s="3"/>
      <c r="H472" s="3"/>
      <c r="I472" s="3"/>
      <c r="J472" s="3"/>
    </row>
    <row r="473" ht="14.25" customHeight="1">
      <c r="F473" s="3"/>
      <c r="G473" s="3"/>
      <c r="H473" s="3"/>
      <c r="I473" s="3"/>
      <c r="J473" s="3"/>
    </row>
    <row r="474" ht="14.25" customHeight="1">
      <c r="F474" s="3"/>
      <c r="G474" s="3"/>
      <c r="H474" s="3"/>
      <c r="I474" s="3"/>
      <c r="J474" s="3"/>
    </row>
    <row r="475" ht="14.25" customHeight="1">
      <c r="F475" s="3"/>
      <c r="G475" s="3"/>
      <c r="H475" s="3"/>
      <c r="I475" s="3"/>
      <c r="J475" s="3"/>
    </row>
    <row r="476" ht="14.25" customHeight="1">
      <c r="F476" s="3"/>
      <c r="G476" s="3"/>
      <c r="H476" s="3"/>
      <c r="I476" s="3"/>
      <c r="J476" s="3"/>
    </row>
    <row r="477" ht="14.25" customHeight="1">
      <c r="F477" s="3"/>
      <c r="G477" s="3"/>
      <c r="H477" s="3"/>
      <c r="I477" s="3"/>
      <c r="J477" s="3"/>
    </row>
    <row r="478" ht="14.25" customHeight="1">
      <c r="F478" s="3"/>
      <c r="G478" s="3"/>
      <c r="H478" s="3"/>
      <c r="I478" s="3"/>
      <c r="J478" s="3"/>
    </row>
    <row r="479" ht="14.25" customHeight="1">
      <c r="F479" s="3"/>
      <c r="G479" s="3"/>
      <c r="H479" s="3"/>
      <c r="I479" s="3"/>
      <c r="J479" s="3"/>
    </row>
    <row r="480" ht="14.25" customHeight="1">
      <c r="F480" s="3"/>
      <c r="G480" s="3"/>
      <c r="H480" s="3"/>
      <c r="I480" s="3"/>
      <c r="J480" s="3"/>
    </row>
    <row r="481" ht="14.25" customHeight="1">
      <c r="F481" s="3"/>
      <c r="G481" s="3"/>
      <c r="H481" s="3"/>
      <c r="I481" s="3"/>
      <c r="J481" s="3"/>
    </row>
    <row r="482" ht="14.25" customHeight="1">
      <c r="F482" s="3"/>
      <c r="G482" s="3"/>
      <c r="H482" s="3"/>
      <c r="I482" s="3"/>
      <c r="J482" s="3"/>
    </row>
    <row r="483" ht="14.25" customHeight="1">
      <c r="F483" s="3"/>
      <c r="G483" s="3"/>
      <c r="H483" s="3"/>
      <c r="I483" s="3"/>
      <c r="J483" s="3"/>
    </row>
    <row r="484" ht="14.25" customHeight="1">
      <c r="F484" s="3"/>
      <c r="G484" s="3"/>
      <c r="H484" s="3"/>
      <c r="I484" s="3"/>
      <c r="J484" s="3"/>
    </row>
    <row r="485" ht="14.25" customHeight="1">
      <c r="F485" s="3"/>
      <c r="G485" s="3"/>
      <c r="H485" s="3"/>
      <c r="I485" s="3"/>
      <c r="J485" s="3"/>
    </row>
    <row r="486" ht="14.25" customHeight="1">
      <c r="F486" s="3"/>
      <c r="G486" s="3"/>
      <c r="H486" s="3"/>
      <c r="I486" s="3"/>
      <c r="J486" s="3"/>
    </row>
    <row r="487" ht="14.25" customHeight="1">
      <c r="F487" s="3"/>
      <c r="G487" s="3"/>
      <c r="H487" s="3"/>
      <c r="I487" s="3"/>
      <c r="J487" s="3"/>
    </row>
    <row r="488" ht="14.25" customHeight="1">
      <c r="F488" s="3"/>
      <c r="G488" s="3"/>
      <c r="H488" s="3"/>
      <c r="I488" s="3"/>
      <c r="J488" s="3"/>
    </row>
    <row r="489" ht="14.25" customHeight="1">
      <c r="F489" s="3"/>
      <c r="G489" s="3"/>
      <c r="H489" s="3"/>
      <c r="I489" s="3"/>
      <c r="J489" s="3"/>
    </row>
    <row r="490" ht="14.25" customHeight="1">
      <c r="F490" s="3"/>
      <c r="G490" s="3"/>
      <c r="H490" s="3"/>
      <c r="I490" s="3"/>
      <c r="J490" s="3"/>
    </row>
    <row r="491" ht="14.25" customHeight="1">
      <c r="F491" s="3"/>
      <c r="G491" s="3"/>
      <c r="H491" s="3"/>
      <c r="I491" s="3"/>
      <c r="J491" s="3"/>
    </row>
    <row r="492" ht="14.25" customHeight="1">
      <c r="F492" s="3"/>
      <c r="G492" s="3"/>
      <c r="H492" s="3"/>
      <c r="I492" s="3"/>
      <c r="J492" s="3"/>
    </row>
    <row r="493" ht="14.25" customHeight="1">
      <c r="F493" s="3"/>
      <c r="G493" s="3"/>
      <c r="H493" s="3"/>
      <c r="I493" s="3"/>
      <c r="J493" s="3"/>
    </row>
    <row r="494" ht="14.25" customHeight="1">
      <c r="F494" s="3"/>
      <c r="G494" s="3"/>
      <c r="H494" s="3"/>
      <c r="I494" s="3"/>
      <c r="J494" s="3"/>
    </row>
    <row r="495" ht="14.25" customHeight="1">
      <c r="F495" s="3"/>
      <c r="G495" s="3"/>
      <c r="H495" s="3"/>
      <c r="I495" s="3"/>
      <c r="J495" s="3"/>
    </row>
    <row r="496" ht="14.25" customHeight="1">
      <c r="F496" s="3"/>
      <c r="G496" s="3"/>
      <c r="H496" s="3"/>
      <c r="I496" s="3"/>
      <c r="J496" s="3"/>
    </row>
    <row r="497" ht="14.25" customHeight="1">
      <c r="F497" s="3"/>
      <c r="G497" s="3"/>
      <c r="H497" s="3"/>
      <c r="I497" s="3"/>
      <c r="J497" s="3"/>
    </row>
    <row r="498" ht="14.25" customHeight="1">
      <c r="F498" s="3"/>
      <c r="G498" s="3"/>
      <c r="H498" s="3"/>
      <c r="I498" s="3"/>
      <c r="J498" s="3"/>
    </row>
    <row r="499" ht="14.25" customHeight="1">
      <c r="F499" s="3"/>
      <c r="G499" s="3"/>
      <c r="H499" s="3"/>
      <c r="I499" s="3"/>
      <c r="J499" s="3"/>
    </row>
    <row r="500" ht="14.25" customHeight="1">
      <c r="F500" s="3"/>
      <c r="G500" s="3"/>
      <c r="H500" s="3"/>
      <c r="I500" s="3"/>
      <c r="J500" s="3"/>
    </row>
    <row r="501" ht="14.25" customHeight="1">
      <c r="F501" s="3"/>
      <c r="G501" s="3"/>
      <c r="H501" s="3"/>
      <c r="I501" s="3"/>
      <c r="J501" s="3"/>
    </row>
    <row r="502" ht="14.25" customHeight="1">
      <c r="F502" s="3"/>
      <c r="G502" s="3"/>
      <c r="H502" s="3"/>
      <c r="I502" s="3"/>
      <c r="J502" s="3"/>
    </row>
    <row r="503" ht="14.25" customHeight="1">
      <c r="F503" s="3"/>
      <c r="G503" s="3"/>
      <c r="H503" s="3"/>
      <c r="I503" s="3"/>
      <c r="J503" s="3"/>
    </row>
    <row r="504" ht="14.25" customHeight="1">
      <c r="F504" s="3"/>
      <c r="G504" s="3"/>
      <c r="H504" s="3"/>
      <c r="I504" s="3"/>
      <c r="J504" s="3"/>
    </row>
    <row r="505" ht="14.25" customHeight="1">
      <c r="F505" s="3"/>
      <c r="G505" s="3"/>
      <c r="H505" s="3"/>
      <c r="I505" s="3"/>
      <c r="J505" s="3"/>
    </row>
    <row r="506" ht="14.25" customHeight="1">
      <c r="F506" s="3"/>
      <c r="G506" s="3"/>
      <c r="H506" s="3"/>
      <c r="I506" s="3"/>
      <c r="J506" s="3"/>
    </row>
    <row r="507" ht="14.25" customHeight="1">
      <c r="F507" s="3"/>
      <c r="G507" s="3"/>
      <c r="H507" s="3"/>
      <c r="I507" s="3"/>
      <c r="J507" s="3"/>
    </row>
    <row r="508" ht="14.25" customHeight="1">
      <c r="F508" s="3"/>
      <c r="G508" s="3"/>
      <c r="H508" s="3"/>
      <c r="I508" s="3"/>
      <c r="J508" s="3"/>
    </row>
    <row r="509" ht="14.25" customHeight="1">
      <c r="F509" s="3"/>
      <c r="G509" s="3"/>
      <c r="H509" s="3"/>
      <c r="I509" s="3"/>
      <c r="J509" s="3"/>
    </row>
    <row r="510" ht="14.25" customHeight="1">
      <c r="F510" s="3"/>
      <c r="G510" s="3"/>
      <c r="H510" s="3"/>
      <c r="I510" s="3"/>
      <c r="J510" s="3"/>
    </row>
    <row r="511" ht="14.25" customHeight="1">
      <c r="F511" s="3"/>
      <c r="G511" s="3"/>
      <c r="H511" s="3"/>
      <c r="I511" s="3"/>
      <c r="J511" s="3"/>
    </row>
    <row r="512" ht="14.25" customHeight="1">
      <c r="F512" s="3"/>
      <c r="G512" s="3"/>
      <c r="H512" s="3"/>
      <c r="I512" s="3"/>
      <c r="J512" s="3"/>
    </row>
    <row r="513" ht="14.25" customHeight="1">
      <c r="F513" s="3"/>
      <c r="G513" s="3"/>
      <c r="H513" s="3"/>
      <c r="I513" s="3"/>
      <c r="J513" s="3"/>
    </row>
    <row r="514" ht="14.25" customHeight="1">
      <c r="F514" s="3"/>
      <c r="G514" s="3"/>
      <c r="H514" s="3"/>
      <c r="I514" s="3"/>
      <c r="J514" s="3"/>
    </row>
    <row r="515" ht="14.25" customHeight="1">
      <c r="F515" s="3"/>
      <c r="G515" s="3"/>
      <c r="H515" s="3"/>
      <c r="I515" s="3"/>
      <c r="J515" s="3"/>
    </row>
    <row r="516" ht="14.25" customHeight="1">
      <c r="F516" s="3"/>
      <c r="G516" s="3"/>
      <c r="H516" s="3"/>
      <c r="I516" s="3"/>
      <c r="J516" s="3"/>
    </row>
    <row r="517" ht="14.25" customHeight="1">
      <c r="F517" s="3"/>
      <c r="G517" s="3"/>
      <c r="H517" s="3"/>
      <c r="I517" s="3"/>
      <c r="J517" s="3"/>
    </row>
    <row r="518" ht="14.25" customHeight="1">
      <c r="F518" s="3"/>
      <c r="G518" s="3"/>
      <c r="H518" s="3"/>
      <c r="I518" s="3"/>
      <c r="J518" s="3"/>
    </row>
    <row r="519" ht="14.25" customHeight="1">
      <c r="F519" s="3"/>
      <c r="G519" s="3"/>
      <c r="H519" s="3"/>
      <c r="I519" s="3"/>
      <c r="J519" s="3"/>
    </row>
    <row r="520" ht="14.25" customHeight="1">
      <c r="F520" s="3"/>
      <c r="G520" s="3"/>
      <c r="H520" s="3"/>
      <c r="I520" s="3"/>
      <c r="J520" s="3"/>
    </row>
    <row r="521" ht="14.25" customHeight="1">
      <c r="F521" s="3"/>
      <c r="G521" s="3"/>
      <c r="H521" s="3"/>
      <c r="I521" s="3"/>
      <c r="J521" s="3"/>
    </row>
    <row r="522" ht="14.25" customHeight="1">
      <c r="F522" s="3"/>
      <c r="G522" s="3"/>
      <c r="H522" s="3"/>
      <c r="I522" s="3"/>
      <c r="J522" s="3"/>
    </row>
    <row r="523" ht="14.25" customHeight="1">
      <c r="F523" s="3"/>
      <c r="G523" s="3"/>
      <c r="H523" s="3"/>
      <c r="I523" s="3"/>
      <c r="J523" s="3"/>
    </row>
    <row r="524" ht="14.25" customHeight="1">
      <c r="F524" s="3"/>
      <c r="G524" s="3"/>
      <c r="H524" s="3"/>
      <c r="I524" s="3"/>
      <c r="J524" s="3"/>
    </row>
    <row r="525" ht="14.25" customHeight="1">
      <c r="F525" s="3"/>
      <c r="G525" s="3"/>
      <c r="H525" s="3"/>
      <c r="I525" s="3"/>
      <c r="J525" s="3"/>
    </row>
    <row r="526" ht="14.25" customHeight="1">
      <c r="F526" s="3"/>
      <c r="G526" s="3"/>
      <c r="H526" s="3"/>
      <c r="I526" s="3"/>
      <c r="J526" s="3"/>
    </row>
    <row r="527" ht="14.25" customHeight="1">
      <c r="F527" s="3"/>
      <c r="G527" s="3"/>
      <c r="H527" s="3"/>
      <c r="I527" s="3"/>
      <c r="J527" s="3"/>
    </row>
    <row r="528" ht="14.25" customHeight="1">
      <c r="F528" s="3"/>
      <c r="G528" s="3"/>
      <c r="H528" s="3"/>
      <c r="I528" s="3"/>
      <c r="J528" s="3"/>
    </row>
    <row r="529" ht="14.25" customHeight="1">
      <c r="F529" s="3"/>
      <c r="G529" s="3"/>
      <c r="H529" s="3"/>
      <c r="I529" s="3"/>
      <c r="J529" s="3"/>
    </row>
    <row r="530" ht="14.25" customHeight="1">
      <c r="F530" s="3"/>
      <c r="G530" s="3"/>
      <c r="H530" s="3"/>
      <c r="I530" s="3"/>
      <c r="J530" s="3"/>
    </row>
    <row r="531" ht="14.25" customHeight="1">
      <c r="F531" s="3"/>
      <c r="G531" s="3"/>
      <c r="H531" s="3"/>
      <c r="I531" s="3"/>
      <c r="J531" s="3"/>
    </row>
    <row r="532" ht="14.25" customHeight="1">
      <c r="F532" s="3"/>
      <c r="G532" s="3"/>
      <c r="H532" s="3"/>
      <c r="I532" s="3"/>
      <c r="J532" s="3"/>
    </row>
    <row r="533" ht="14.25" customHeight="1">
      <c r="F533" s="3"/>
      <c r="G533" s="3"/>
      <c r="H533" s="3"/>
      <c r="I533" s="3"/>
      <c r="J533" s="3"/>
    </row>
    <row r="534" ht="14.25" customHeight="1">
      <c r="F534" s="3"/>
      <c r="G534" s="3"/>
      <c r="H534" s="3"/>
      <c r="I534" s="3"/>
      <c r="J534" s="3"/>
    </row>
    <row r="535" ht="14.25" customHeight="1">
      <c r="F535" s="3"/>
      <c r="G535" s="3"/>
      <c r="H535" s="3"/>
      <c r="I535" s="3"/>
      <c r="J535" s="3"/>
    </row>
    <row r="536" ht="14.25" customHeight="1">
      <c r="F536" s="3"/>
      <c r="G536" s="3"/>
      <c r="H536" s="3"/>
      <c r="I536" s="3"/>
      <c r="J536" s="3"/>
    </row>
    <row r="537" ht="14.25" customHeight="1">
      <c r="F537" s="3"/>
      <c r="G537" s="3"/>
      <c r="H537" s="3"/>
      <c r="I537" s="3"/>
      <c r="J537" s="3"/>
    </row>
    <row r="538" ht="14.25" customHeight="1">
      <c r="F538" s="3"/>
      <c r="G538" s="3"/>
      <c r="H538" s="3"/>
      <c r="I538" s="3"/>
      <c r="J538" s="3"/>
    </row>
    <row r="539" ht="14.25" customHeight="1">
      <c r="F539" s="3"/>
      <c r="G539" s="3"/>
      <c r="H539" s="3"/>
      <c r="I539" s="3"/>
      <c r="J539" s="3"/>
    </row>
    <row r="540" ht="14.25" customHeight="1">
      <c r="F540" s="3"/>
      <c r="G540" s="3"/>
      <c r="H540" s="3"/>
      <c r="I540" s="3"/>
      <c r="J540" s="3"/>
    </row>
    <row r="541" ht="14.25" customHeight="1">
      <c r="F541" s="3"/>
      <c r="G541" s="3"/>
      <c r="H541" s="3"/>
      <c r="I541" s="3"/>
      <c r="J541" s="3"/>
    </row>
    <row r="542" ht="14.25" customHeight="1">
      <c r="F542" s="3"/>
      <c r="G542" s="3"/>
      <c r="H542" s="3"/>
      <c r="I542" s="3"/>
      <c r="J542" s="3"/>
    </row>
    <row r="543" ht="14.25" customHeight="1">
      <c r="F543" s="3"/>
      <c r="G543" s="3"/>
      <c r="H543" s="3"/>
      <c r="I543" s="3"/>
      <c r="J543" s="3"/>
    </row>
    <row r="544" ht="14.25" customHeight="1">
      <c r="F544" s="3"/>
      <c r="G544" s="3"/>
      <c r="H544" s="3"/>
      <c r="I544" s="3"/>
      <c r="J544" s="3"/>
    </row>
    <row r="545" ht="14.25" customHeight="1">
      <c r="F545" s="3"/>
      <c r="G545" s="3"/>
      <c r="H545" s="3"/>
      <c r="I545" s="3"/>
      <c r="J545" s="3"/>
    </row>
    <row r="546" ht="14.25" customHeight="1">
      <c r="F546" s="3"/>
      <c r="G546" s="3"/>
      <c r="H546" s="3"/>
      <c r="I546" s="3"/>
      <c r="J546" s="3"/>
    </row>
    <row r="547" ht="14.25" customHeight="1">
      <c r="F547" s="3"/>
      <c r="G547" s="3"/>
      <c r="H547" s="3"/>
      <c r="I547" s="3"/>
      <c r="J547" s="3"/>
    </row>
    <row r="548" ht="14.25" customHeight="1">
      <c r="F548" s="3"/>
      <c r="G548" s="3"/>
      <c r="H548" s="3"/>
      <c r="I548" s="3"/>
      <c r="J548" s="3"/>
    </row>
    <row r="549" ht="14.25" customHeight="1">
      <c r="F549" s="3"/>
      <c r="G549" s="3"/>
      <c r="H549" s="3"/>
      <c r="I549" s="3"/>
      <c r="J549" s="3"/>
    </row>
    <row r="550" ht="14.25" customHeight="1">
      <c r="F550" s="3"/>
      <c r="G550" s="3"/>
      <c r="H550" s="3"/>
      <c r="I550" s="3"/>
      <c r="J550" s="3"/>
    </row>
    <row r="551" ht="14.25" customHeight="1">
      <c r="F551" s="3"/>
      <c r="G551" s="3"/>
      <c r="H551" s="3"/>
      <c r="I551" s="3"/>
      <c r="J551" s="3"/>
    </row>
    <row r="552" ht="14.25" customHeight="1">
      <c r="F552" s="3"/>
      <c r="G552" s="3"/>
      <c r="H552" s="3"/>
      <c r="I552" s="3"/>
      <c r="J552" s="3"/>
    </row>
    <row r="553" ht="14.25" customHeight="1">
      <c r="F553" s="3"/>
      <c r="G553" s="3"/>
      <c r="H553" s="3"/>
      <c r="I553" s="3"/>
      <c r="J553" s="3"/>
    </row>
    <row r="554" ht="14.25" customHeight="1">
      <c r="F554" s="3"/>
      <c r="G554" s="3"/>
      <c r="H554" s="3"/>
      <c r="I554" s="3"/>
      <c r="J554" s="3"/>
    </row>
    <row r="555" ht="14.25" customHeight="1">
      <c r="F555" s="3"/>
      <c r="G555" s="3"/>
      <c r="H555" s="3"/>
      <c r="I555" s="3"/>
      <c r="J555" s="3"/>
    </row>
    <row r="556" ht="14.25" customHeight="1">
      <c r="F556" s="3"/>
      <c r="G556" s="3"/>
      <c r="H556" s="3"/>
      <c r="I556" s="3"/>
      <c r="J556" s="3"/>
    </row>
    <row r="557" ht="14.25" customHeight="1">
      <c r="F557" s="3"/>
      <c r="G557" s="3"/>
      <c r="H557" s="3"/>
      <c r="I557" s="3"/>
      <c r="J557" s="3"/>
    </row>
    <row r="558" ht="14.25" customHeight="1">
      <c r="F558" s="3"/>
      <c r="G558" s="3"/>
      <c r="H558" s="3"/>
      <c r="I558" s="3"/>
      <c r="J558" s="3"/>
    </row>
    <row r="559" ht="14.25" customHeight="1">
      <c r="F559" s="3"/>
      <c r="G559" s="3"/>
      <c r="H559" s="3"/>
      <c r="I559" s="3"/>
      <c r="J559" s="3"/>
    </row>
    <row r="560" ht="14.25" customHeight="1">
      <c r="F560" s="3"/>
      <c r="G560" s="3"/>
      <c r="H560" s="3"/>
      <c r="I560" s="3"/>
      <c r="J560" s="3"/>
    </row>
    <row r="561" ht="14.25" customHeight="1">
      <c r="F561" s="3"/>
      <c r="G561" s="3"/>
      <c r="H561" s="3"/>
      <c r="I561" s="3"/>
      <c r="J561" s="3"/>
    </row>
    <row r="562" ht="14.25" customHeight="1">
      <c r="F562" s="3"/>
      <c r="G562" s="3"/>
      <c r="H562" s="3"/>
      <c r="I562" s="3"/>
      <c r="J562" s="3"/>
    </row>
    <row r="563" ht="14.25" customHeight="1">
      <c r="F563" s="3"/>
      <c r="G563" s="3"/>
      <c r="H563" s="3"/>
      <c r="I563" s="3"/>
      <c r="J563" s="3"/>
    </row>
    <row r="564" ht="14.25" customHeight="1">
      <c r="F564" s="3"/>
      <c r="G564" s="3"/>
      <c r="H564" s="3"/>
      <c r="I564" s="3"/>
      <c r="J564" s="3"/>
    </row>
    <row r="565" ht="14.25" customHeight="1">
      <c r="F565" s="3"/>
      <c r="G565" s="3"/>
      <c r="H565" s="3"/>
      <c r="I565" s="3"/>
      <c r="J565" s="3"/>
    </row>
    <row r="566" ht="14.25" customHeight="1">
      <c r="F566" s="3"/>
      <c r="G566" s="3"/>
      <c r="H566" s="3"/>
      <c r="I566" s="3"/>
      <c r="J566" s="3"/>
    </row>
    <row r="567" ht="14.25" customHeight="1">
      <c r="F567" s="3"/>
      <c r="G567" s="3"/>
      <c r="H567" s="3"/>
      <c r="I567" s="3"/>
      <c r="J567" s="3"/>
    </row>
    <row r="568" ht="14.25" customHeight="1">
      <c r="F568" s="3"/>
      <c r="G568" s="3"/>
      <c r="H568" s="3"/>
      <c r="I568" s="3"/>
      <c r="J568" s="3"/>
    </row>
    <row r="569" ht="14.25" customHeight="1">
      <c r="F569" s="3"/>
      <c r="G569" s="3"/>
      <c r="H569" s="3"/>
      <c r="I569" s="3"/>
      <c r="J569" s="3"/>
    </row>
    <row r="570" ht="14.25" customHeight="1">
      <c r="F570" s="3"/>
      <c r="G570" s="3"/>
      <c r="H570" s="3"/>
      <c r="I570" s="3"/>
      <c r="J570" s="3"/>
    </row>
    <row r="571" ht="14.25" customHeight="1">
      <c r="F571" s="3"/>
      <c r="G571" s="3"/>
      <c r="H571" s="3"/>
      <c r="I571" s="3"/>
      <c r="J571" s="3"/>
    </row>
    <row r="572" ht="14.25" customHeight="1">
      <c r="F572" s="3"/>
      <c r="G572" s="3"/>
      <c r="H572" s="3"/>
      <c r="I572" s="3"/>
      <c r="J572" s="3"/>
    </row>
    <row r="573" ht="14.25" customHeight="1">
      <c r="F573" s="3"/>
      <c r="G573" s="3"/>
      <c r="H573" s="3"/>
      <c r="I573" s="3"/>
      <c r="J573" s="3"/>
    </row>
    <row r="574" ht="14.25" customHeight="1">
      <c r="F574" s="3"/>
      <c r="G574" s="3"/>
      <c r="H574" s="3"/>
      <c r="I574" s="3"/>
      <c r="J574" s="3"/>
    </row>
    <row r="575" ht="14.25" customHeight="1">
      <c r="F575" s="3"/>
      <c r="G575" s="3"/>
      <c r="H575" s="3"/>
      <c r="I575" s="3"/>
      <c r="J575" s="3"/>
    </row>
    <row r="576" ht="14.25" customHeight="1">
      <c r="F576" s="3"/>
      <c r="G576" s="3"/>
      <c r="H576" s="3"/>
      <c r="I576" s="3"/>
      <c r="J576" s="3"/>
    </row>
    <row r="577" ht="14.25" customHeight="1">
      <c r="F577" s="3"/>
      <c r="G577" s="3"/>
      <c r="H577" s="3"/>
      <c r="I577" s="3"/>
      <c r="J577" s="3"/>
    </row>
    <row r="578" ht="14.25" customHeight="1">
      <c r="F578" s="3"/>
      <c r="G578" s="3"/>
      <c r="H578" s="3"/>
      <c r="I578" s="3"/>
      <c r="J578" s="3"/>
    </row>
    <row r="579" ht="14.25" customHeight="1">
      <c r="F579" s="3"/>
      <c r="G579" s="3"/>
      <c r="H579" s="3"/>
      <c r="I579" s="3"/>
      <c r="J579" s="3"/>
    </row>
    <row r="580" ht="14.25" customHeight="1">
      <c r="F580" s="3"/>
      <c r="G580" s="3"/>
      <c r="H580" s="3"/>
      <c r="I580" s="3"/>
      <c r="J580" s="3"/>
    </row>
    <row r="581" ht="14.25" customHeight="1">
      <c r="F581" s="3"/>
      <c r="G581" s="3"/>
      <c r="H581" s="3"/>
      <c r="I581" s="3"/>
      <c r="J581" s="3"/>
    </row>
    <row r="582" ht="14.25" customHeight="1">
      <c r="F582" s="3"/>
      <c r="G582" s="3"/>
      <c r="H582" s="3"/>
      <c r="I582" s="3"/>
      <c r="J582" s="3"/>
    </row>
    <row r="583" ht="14.25" customHeight="1">
      <c r="F583" s="3"/>
      <c r="G583" s="3"/>
      <c r="H583" s="3"/>
      <c r="I583" s="3"/>
      <c r="J583" s="3"/>
    </row>
    <row r="584" ht="14.25" customHeight="1">
      <c r="F584" s="3"/>
      <c r="G584" s="3"/>
      <c r="H584" s="3"/>
      <c r="I584" s="3"/>
      <c r="J584" s="3"/>
    </row>
    <row r="585" ht="14.25" customHeight="1">
      <c r="F585" s="3"/>
      <c r="G585" s="3"/>
      <c r="H585" s="3"/>
      <c r="I585" s="3"/>
      <c r="J585" s="3"/>
    </row>
    <row r="586" ht="14.25" customHeight="1">
      <c r="F586" s="3"/>
      <c r="G586" s="3"/>
      <c r="H586" s="3"/>
      <c r="I586" s="3"/>
      <c r="J586" s="3"/>
    </row>
    <row r="587" ht="14.25" customHeight="1">
      <c r="F587" s="3"/>
      <c r="G587" s="3"/>
      <c r="H587" s="3"/>
      <c r="I587" s="3"/>
      <c r="J587" s="3"/>
    </row>
    <row r="588" ht="14.25" customHeight="1">
      <c r="F588" s="3"/>
      <c r="G588" s="3"/>
      <c r="H588" s="3"/>
      <c r="I588" s="3"/>
      <c r="J588" s="3"/>
    </row>
    <row r="589" ht="14.25" customHeight="1">
      <c r="F589" s="3"/>
      <c r="G589" s="3"/>
      <c r="H589" s="3"/>
      <c r="I589" s="3"/>
      <c r="J589" s="3"/>
    </row>
    <row r="590" ht="14.25" customHeight="1">
      <c r="F590" s="3"/>
      <c r="G590" s="3"/>
      <c r="H590" s="3"/>
      <c r="I590" s="3"/>
      <c r="J590" s="3"/>
    </row>
    <row r="591" ht="14.25" customHeight="1">
      <c r="F591" s="3"/>
      <c r="G591" s="3"/>
      <c r="H591" s="3"/>
      <c r="I591" s="3"/>
      <c r="J591" s="3"/>
    </row>
    <row r="592" ht="14.25" customHeight="1">
      <c r="F592" s="3"/>
      <c r="G592" s="3"/>
      <c r="H592" s="3"/>
      <c r="I592" s="3"/>
      <c r="J592" s="3"/>
    </row>
    <row r="593" ht="14.25" customHeight="1">
      <c r="F593" s="3"/>
      <c r="G593" s="3"/>
      <c r="H593" s="3"/>
      <c r="I593" s="3"/>
      <c r="J593" s="3"/>
    </row>
    <row r="594" ht="14.25" customHeight="1">
      <c r="F594" s="3"/>
      <c r="G594" s="3"/>
      <c r="H594" s="3"/>
      <c r="I594" s="3"/>
      <c r="J594" s="3"/>
    </row>
    <row r="595" ht="14.25" customHeight="1">
      <c r="F595" s="3"/>
      <c r="G595" s="3"/>
      <c r="H595" s="3"/>
      <c r="I595" s="3"/>
      <c r="J595" s="3"/>
    </row>
    <row r="596" ht="14.25" customHeight="1">
      <c r="F596" s="3"/>
      <c r="G596" s="3"/>
      <c r="H596" s="3"/>
      <c r="I596" s="3"/>
      <c r="J596" s="3"/>
    </row>
    <row r="597" ht="14.25" customHeight="1">
      <c r="F597" s="3"/>
      <c r="G597" s="3"/>
      <c r="H597" s="3"/>
      <c r="I597" s="3"/>
      <c r="J597" s="3"/>
    </row>
    <row r="598" ht="14.25" customHeight="1">
      <c r="F598" s="3"/>
      <c r="G598" s="3"/>
      <c r="H598" s="3"/>
      <c r="I598" s="3"/>
      <c r="J598" s="3"/>
    </row>
    <row r="599" ht="14.25" customHeight="1">
      <c r="F599" s="3"/>
      <c r="G599" s="3"/>
      <c r="H599" s="3"/>
      <c r="I599" s="3"/>
      <c r="J599" s="3"/>
    </row>
    <row r="600" ht="14.25" customHeight="1">
      <c r="F600" s="3"/>
      <c r="G600" s="3"/>
      <c r="H600" s="3"/>
      <c r="I600" s="3"/>
      <c r="J600" s="3"/>
    </row>
    <row r="601" ht="14.25" customHeight="1">
      <c r="F601" s="3"/>
      <c r="G601" s="3"/>
      <c r="H601" s="3"/>
      <c r="I601" s="3"/>
      <c r="J601" s="3"/>
    </row>
    <row r="602" ht="14.25" customHeight="1">
      <c r="F602" s="3"/>
      <c r="G602" s="3"/>
      <c r="H602" s="3"/>
      <c r="I602" s="3"/>
      <c r="J602" s="3"/>
    </row>
    <row r="603" ht="14.25" customHeight="1">
      <c r="F603" s="3"/>
      <c r="G603" s="3"/>
      <c r="H603" s="3"/>
      <c r="I603" s="3"/>
      <c r="J603" s="3"/>
    </row>
    <row r="604" ht="14.25" customHeight="1">
      <c r="F604" s="3"/>
      <c r="G604" s="3"/>
      <c r="H604" s="3"/>
      <c r="I604" s="3"/>
      <c r="J604" s="3"/>
    </row>
    <row r="605" ht="14.25" customHeight="1">
      <c r="F605" s="3"/>
      <c r="G605" s="3"/>
      <c r="H605" s="3"/>
      <c r="I605" s="3"/>
      <c r="J605" s="3"/>
    </row>
    <row r="606" ht="14.25" customHeight="1">
      <c r="F606" s="3"/>
      <c r="G606" s="3"/>
      <c r="H606" s="3"/>
      <c r="I606" s="3"/>
      <c r="J606" s="3"/>
    </row>
    <row r="607" ht="14.25" customHeight="1">
      <c r="F607" s="3"/>
      <c r="G607" s="3"/>
      <c r="H607" s="3"/>
      <c r="I607" s="3"/>
      <c r="J607" s="3"/>
    </row>
    <row r="608" ht="14.25" customHeight="1">
      <c r="F608" s="3"/>
      <c r="G608" s="3"/>
      <c r="H608" s="3"/>
      <c r="I608" s="3"/>
      <c r="J608" s="3"/>
    </row>
    <row r="609" ht="14.25" customHeight="1">
      <c r="F609" s="3"/>
      <c r="G609" s="3"/>
      <c r="H609" s="3"/>
      <c r="I609" s="3"/>
      <c r="J609" s="3"/>
    </row>
    <row r="610" ht="14.25" customHeight="1">
      <c r="F610" s="3"/>
      <c r="G610" s="3"/>
      <c r="H610" s="3"/>
      <c r="I610" s="3"/>
      <c r="J610" s="3"/>
    </row>
    <row r="611" ht="14.25" customHeight="1">
      <c r="F611" s="3"/>
      <c r="G611" s="3"/>
      <c r="H611" s="3"/>
      <c r="I611" s="3"/>
      <c r="J611" s="3"/>
    </row>
    <row r="612" ht="14.25" customHeight="1">
      <c r="F612" s="3"/>
      <c r="G612" s="3"/>
      <c r="H612" s="3"/>
      <c r="I612" s="3"/>
      <c r="J612" s="3"/>
    </row>
    <row r="613" ht="14.25" customHeight="1">
      <c r="F613" s="3"/>
      <c r="G613" s="3"/>
      <c r="H613" s="3"/>
      <c r="I613" s="3"/>
      <c r="J613" s="3"/>
    </row>
    <row r="614" ht="14.25" customHeight="1">
      <c r="F614" s="3"/>
      <c r="G614" s="3"/>
      <c r="H614" s="3"/>
      <c r="I614" s="3"/>
      <c r="J614" s="3"/>
    </row>
    <row r="615" ht="14.25" customHeight="1">
      <c r="F615" s="3"/>
      <c r="G615" s="3"/>
      <c r="H615" s="3"/>
      <c r="I615" s="3"/>
      <c r="J615" s="3"/>
    </row>
    <row r="616" ht="14.25" customHeight="1">
      <c r="F616" s="3"/>
      <c r="G616" s="3"/>
      <c r="H616" s="3"/>
      <c r="I616" s="3"/>
      <c r="J616" s="3"/>
    </row>
    <row r="617" ht="14.25" customHeight="1">
      <c r="F617" s="3"/>
      <c r="G617" s="3"/>
      <c r="H617" s="3"/>
      <c r="I617" s="3"/>
      <c r="J617" s="3"/>
    </row>
    <row r="618" ht="14.25" customHeight="1">
      <c r="F618" s="3"/>
      <c r="G618" s="3"/>
      <c r="H618" s="3"/>
      <c r="I618" s="3"/>
      <c r="J618" s="3"/>
    </row>
    <row r="619" ht="14.25" customHeight="1">
      <c r="F619" s="3"/>
      <c r="G619" s="3"/>
      <c r="H619" s="3"/>
      <c r="I619" s="3"/>
      <c r="J619" s="3"/>
    </row>
    <row r="620" ht="14.25" customHeight="1">
      <c r="F620" s="3"/>
      <c r="G620" s="3"/>
      <c r="H620" s="3"/>
      <c r="I620" s="3"/>
      <c r="J620" s="3"/>
    </row>
    <row r="621" ht="14.25" customHeight="1">
      <c r="F621" s="3"/>
      <c r="G621" s="3"/>
      <c r="H621" s="3"/>
      <c r="I621" s="3"/>
      <c r="J621" s="3"/>
    </row>
    <row r="622" ht="14.25" customHeight="1">
      <c r="F622" s="3"/>
      <c r="G622" s="3"/>
      <c r="H622" s="3"/>
      <c r="I622" s="3"/>
      <c r="J622" s="3"/>
    </row>
    <row r="623" ht="14.25" customHeight="1">
      <c r="F623" s="3"/>
      <c r="G623" s="3"/>
      <c r="H623" s="3"/>
      <c r="I623" s="3"/>
      <c r="J623" s="3"/>
    </row>
    <row r="624" ht="14.25" customHeight="1">
      <c r="F624" s="3"/>
      <c r="G624" s="3"/>
      <c r="H624" s="3"/>
      <c r="I624" s="3"/>
      <c r="J624" s="3"/>
    </row>
    <row r="625" ht="14.25" customHeight="1">
      <c r="F625" s="3"/>
      <c r="G625" s="3"/>
      <c r="H625" s="3"/>
      <c r="I625" s="3"/>
      <c r="J625" s="3"/>
    </row>
    <row r="626" ht="14.25" customHeight="1">
      <c r="F626" s="3"/>
      <c r="G626" s="3"/>
      <c r="H626" s="3"/>
      <c r="I626" s="3"/>
      <c r="J626" s="3"/>
    </row>
    <row r="627" ht="14.25" customHeight="1">
      <c r="F627" s="3"/>
      <c r="G627" s="3"/>
      <c r="H627" s="3"/>
      <c r="I627" s="3"/>
      <c r="J627" s="3"/>
    </row>
    <row r="628" ht="14.25" customHeight="1">
      <c r="F628" s="3"/>
      <c r="G628" s="3"/>
      <c r="H628" s="3"/>
      <c r="I628" s="3"/>
      <c r="J628" s="3"/>
    </row>
    <row r="629" ht="14.25" customHeight="1">
      <c r="F629" s="3"/>
      <c r="G629" s="3"/>
      <c r="H629" s="3"/>
      <c r="I629" s="3"/>
      <c r="J629" s="3"/>
    </row>
    <row r="630" ht="14.25" customHeight="1">
      <c r="F630" s="3"/>
      <c r="G630" s="3"/>
      <c r="H630" s="3"/>
      <c r="I630" s="3"/>
      <c r="J630" s="3"/>
    </row>
    <row r="631" ht="14.25" customHeight="1">
      <c r="F631" s="3"/>
      <c r="G631" s="3"/>
      <c r="H631" s="3"/>
      <c r="I631" s="3"/>
      <c r="J631" s="3"/>
    </row>
    <row r="632" ht="14.25" customHeight="1">
      <c r="F632" s="3"/>
      <c r="G632" s="3"/>
      <c r="H632" s="3"/>
      <c r="I632" s="3"/>
      <c r="J632" s="3"/>
    </row>
    <row r="633" ht="14.25" customHeight="1">
      <c r="F633" s="3"/>
      <c r="G633" s="3"/>
      <c r="H633" s="3"/>
      <c r="I633" s="3"/>
      <c r="J633" s="3"/>
    </row>
    <row r="634" ht="14.25" customHeight="1">
      <c r="F634" s="3"/>
      <c r="G634" s="3"/>
      <c r="H634" s="3"/>
      <c r="I634" s="3"/>
      <c r="J634" s="3"/>
    </row>
    <row r="635" ht="14.25" customHeight="1">
      <c r="F635" s="3"/>
      <c r="G635" s="3"/>
      <c r="H635" s="3"/>
      <c r="I635" s="3"/>
      <c r="J635" s="3"/>
    </row>
    <row r="636" ht="14.25" customHeight="1">
      <c r="F636" s="3"/>
      <c r="G636" s="3"/>
      <c r="H636" s="3"/>
      <c r="I636" s="3"/>
      <c r="J636" s="3"/>
    </row>
    <row r="637" ht="14.25" customHeight="1">
      <c r="F637" s="3"/>
      <c r="G637" s="3"/>
      <c r="H637" s="3"/>
      <c r="I637" s="3"/>
      <c r="J637" s="3"/>
    </row>
    <row r="638" ht="14.25" customHeight="1">
      <c r="F638" s="3"/>
      <c r="G638" s="3"/>
      <c r="H638" s="3"/>
      <c r="I638" s="3"/>
      <c r="J638" s="3"/>
    </row>
    <row r="639" ht="14.25" customHeight="1">
      <c r="F639" s="3"/>
      <c r="G639" s="3"/>
      <c r="H639" s="3"/>
      <c r="I639" s="3"/>
      <c r="J639" s="3"/>
    </row>
    <row r="640" ht="14.25" customHeight="1">
      <c r="F640" s="3"/>
      <c r="G640" s="3"/>
      <c r="H640" s="3"/>
      <c r="I640" s="3"/>
      <c r="J640" s="3"/>
    </row>
    <row r="641" ht="14.25" customHeight="1">
      <c r="F641" s="3"/>
      <c r="G641" s="3"/>
      <c r="H641" s="3"/>
      <c r="I641" s="3"/>
      <c r="J641" s="3"/>
    </row>
    <row r="642" ht="14.25" customHeight="1">
      <c r="F642" s="3"/>
      <c r="G642" s="3"/>
      <c r="H642" s="3"/>
      <c r="I642" s="3"/>
      <c r="J642" s="3"/>
    </row>
    <row r="643" ht="14.25" customHeight="1">
      <c r="F643" s="3"/>
      <c r="G643" s="3"/>
      <c r="H643" s="3"/>
      <c r="I643" s="3"/>
      <c r="J643" s="3"/>
    </row>
    <row r="644" ht="14.25" customHeight="1">
      <c r="F644" s="3"/>
      <c r="G644" s="3"/>
      <c r="H644" s="3"/>
      <c r="I644" s="3"/>
      <c r="J644" s="3"/>
    </row>
    <row r="645" ht="14.25" customHeight="1">
      <c r="F645" s="3"/>
      <c r="G645" s="3"/>
      <c r="H645" s="3"/>
      <c r="I645" s="3"/>
      <c r="J645" s="3"/>
    </row>
    <row r="646" ht="14.25" customHeight="1">
      <c r="F646" s="3"/>
      <c r="G646" s="3"/>
      <c r="H646" s="3"/>
      <c r="I646" s="3"/>
      <c r="J646" s="3"/>
    </row>
    <row r="647" ht="14.25" customHeight="1">
      <c r="F647" s="3"/>
      <c r="G647" s="3"/>
      <c r="H647" s="3"/>
      <c r="I647" s="3"/>
      <c r="J647" s="3"/>
    </row>
    <row r="648" ht="14.25" customHeight="1">
      <c r="F648" s="3"/>
      <c r="G648" s="3"/>
      <c r="H648" s="3"/>
      <c r="I648" s="3"/>
      <c r="J648" s="3"/>
    </row>
    <row r="649" ht="14.25" customHeight="1">
      <c r="F649" s="3"/>
      <c r="G649" s="3"/>
      <c r="H649" s="3"/>
      <c r="I649" s="3"/>
      <c r="J649" s="3"/>
    </row>
    <row r="650" ht="14.25" customHeight="1">
      <c r="F650" s="3"/>
      <c r="G650" s="3"/>
      <c r="H650" s="3"/>
      <c r="I650" s="3"/>
      <c r="J650" s="3"/>
    </row>
    <row r="651" ht="14.25" customHeight="1">
      <c r="F651" s="3"/>
      <c r="G651" s="3"/>
      <c r="H651" s="3"/>
      <c r="I651" s="3"/>
      <c r="J651" s="3"/>
    </row>
    <row r="652" ht="14.25" customHeight="1">
      <c r="F652" s="3"/>
      <c r="G652" s="3"/>
      <c r="H652" s="3"/>
      <c r="I652" s="3"/>
      <c r="J652" s="3"/>
    </row>
    <row r="653" ht="14.25" customHeight="1">
      <c r="F653" s="3"/>
      <c r="G653" s="3"/>
      <c r="H653" s="3"/>
      <c r="I653" s="3"/>
      <c r="J653" s="3"/>
    </row>
    <row r="654" ht="14.25" customHeight="1">
      <c r="F654" s="3"/>
      <c r="G654" s="3"/>
      <c r="H654" s="3"/>
      <c r="I654" s="3"/>
      <c r="J654" s="3"/>
    </row>
    <row r="655" ht="14.25" customHeight="1">
      <c r="F655" s="3"/>
      <c r="G655" s="3"/>
      <c r="H655" s="3"/>
      <c r="I655" s="3"/>
      <c r="J655" s="3"/>
    </row>
    <row r="656" ht="14.25" customHeight="1">
      <c r="F656" s="3"/>
      <c r="G656" s="3"/>
      <c r="H656" s="3"/>
      <c r="I656" s="3"/>
      <c r="J656" s="3"/>
    </row>
    <row r="657" ht="14.25" customHeight="1">
      <c r="F657" s="3"/>
      <c r="G657" s="3"/>
      <c r="H657" s="3"/>
      <c r="I657" s="3"/>
      <c r="J657" s="3"/>
    </row>
    <row r="658" ht="14.25" customHeight="1">
      <c r="F658" s="3"/>
      <c r="G658" s="3"/>
      <c r="H658" s="3"/>
      <c r="I658" s="3"/>
      <c r="J658" s="3"/>
    </row>
    <row r="659" ht="14.25" customHeight="1">
      <c r="F659" s="3"/>
      <c r="G659" s="3"/>
      <c r="H659" s="3"/>
      <c r="I659" s="3"/>
      <c r="J659" s="3"/>
    </row>
    <row r="660" ht="14.25" customHeight="1">
      <c r="F660" s="3"/>
      <c r="G660" s="3"/>
      <c r="H660" s="3"/>
      <c r="I660" s="3"/>
      <c r="J660" s="3"/>
    </row>
    <row r="661" ht="14.25" customHeight="1">
      <c r="F661" s="3"/>
      <c r="G661" s="3"/>
      <c r="H661" s="3"/>
      <c r="I661" s="3"/>
      <c r="J661" s="3"/>
    </row>
    <row r="662" ht="14.25" customHeight="1">
      <c r="F662" s="3"/>
      <c r="G662" s="3"/>
      <c r="H662" s="3"/>
      <c r="I662" s="3"/>
      <c r="J662" s="3"/>
    </row>
    <row r="663" ht="14.25" customHeight="1">
      <c r="F663" s="3"/>
      <c r="G663" s="3"/>
      <c r="H663" s="3"/>
      <c r="I663" s="3"/>
      <c r="J663" s="3"/>
    </row>
    <row r="664" ht="14.25" customHeight="1">
      <c r="F664" s="3"/>
      <c r="G664" s="3"/>
      <c r="H664" s="3"/>
      <c r="I664" s="3"/>
      <c r="J664" s="3"/>
    </row>
    <row r="665" ht="14.25" customHeight="1">
      <c r="F665" s="3"/>
      <c r="G665" s="3"/>
      <c r="H665" s="3"/>
      <c r="I665" s="3"/>
      <c r="J665" s="3"/>
    </row>
    <row r="666" ht="14.25" customHeight="1">
      <c r="F666" s="3"/>
      <c r="G666" s="3"/>
      <c r="H666" s="3"/>
      <c r="I666" s="3"/>
      <c r="J666" s="3"/>
    </row>
    <row r="667" ht="14.25" customHeight="1">
      <c r="F667" s="3"/>
      <c r="G667" s="3"/>
      <c r="H667" s="3"/>
      <c r="I667" s="3"/>
      <c r="J667" s="3"/>
    </row>
    <row r="668" ht="14.25" customHeight="1">
      <c r="F668" s="3"/>
      <c r="G668" s="3"/>
      <c r="H668" s="3"/>
      <c r="I668" s="3"/>
      <c r="J668" s="3"/>
    </row>
    <row r="669" ht="14.25" customHeight="1">
      <c r="F669" s="3"/>
      <c r="G669" s="3"/>
      <c r="H669" s="3"/>
      <c r="I669" s="3"/>
      <c r="J669" s="3"/>
    </row>
    <row r="670" ht="14.25" customHeight="1">
      <c r="F670" s="3"/>
      <c r="G670" s="3"/>
      <c r="H670" s="3"/>
      <c r="I670" s="3"/>
      <c r="J670" s="3"/>
    </row>
    <row r="671" ht="14.25" customHeight="1">
      <c r="F671" s="3"/>
      <c r="G671" s="3"/>
      <c r="H671" s="3"/>
      <c r="I671" s="3"/>
      <c r="J671" s="3"/>
    </row>
    <row r="672" ht="14.25" customHeight="1">
      <c r="F672" s="3"/>
      <c r="G672" s="3"/>
      <c r="H672" s="3"/>
      <c r="I672" s="3"/>
      <c r="J672" s="3"/>
    </row>
    <row r="673" ht="14.25" customHeight="1">
      <c r="F673" s="3"/>
      <c r="G673" s="3"/>
      <c r="H673" s="3"/>
      <c r="I673" s="3"/>
      <c r="J673" s="3"/>
    </row>
    <row r="674" ht="14.25" customHeight="1">
      <c r="F674" s="3"/>
      <c r="G674" s="3"/>
      <c r="H674" s="3"/>
      <c r="I674" s="3"/>
      <c r="J674" s="3"/>
    </row>
    <row r="675" ht="14.25" customHeight="1">
      <c r="F675" s="3"/>
      <c r="G675" s="3"/>
      <c r="H675" s="3"/>
      <c r="I675" s="3"/>
      <c r="J675" s="3"/>
    </row>
    <row r="676" ht="14.25" customHeight="1">
      <c r="F676" s="3"/>
      <c r="G676" s="3"/>
      <c r="H676" s="3"/>
      <c r="I676" s="3"/>
      <c r="J676" s="3"/>
    </row>
    <row r="677" ht="14.25" customHeight="1">
      <c r="F677" s="3"/>
      <c r="G677" s="3"/>
      <c r="H677" s="3"/>
      <c r="I677" s="3"/>
      <c r="J677" s="3"/>
    </row>
    <row r="678" ht="14.25" customHeight="1">
      <c r="F678" s="3"/>
      <c r="G678" s="3"/>
      <c r="H678" s="3"/>
      <c r="I678" s="3"/>
      <c r="J678" s="3"/>
    </row>
    <row r="679" ht="14.25" customHeight="1">
      <c r="F679" s="3"/>
      <c r="G679" s="3"/>
      <c r="H679" s="3"/>
      <c r="I679" s="3"/>
      <c r="J679" s="3"/>
    </row>
    <row r="680" ht="14.25" customHeight="1">
      <c r="F680" s="3"/>
      <c r="G680" s="3"/>
      <c r="H680" s="3"/>
      <c r="I680" s="3"/>
      <c r="J680" s="3"/>
    </row>
    <row r="681" ht="14.25" customHeight="1">
      <c r="F681" s="3"/>
      <c r="G681" s="3"/>
      <c r="H681" s="3"/>
      <c r="I681" s="3"/>
      <c r="J681" s="3"/>
    </row>
    <row r="682" ht="14.25" customHeight="1">
      <c r="F682" s="3"/>
      <c r="G682" s="3"/>
      <c r="H682" s="3"/>
      <c r="I682" s="3"/>
      <c r="J682" s="3"/>
    </row>
    <row r="683" ht="14.25" customHeight="1">
      <c r="F683" s="3"/>
      <c r="G683" s="3"/>
      <c r="H683" s="3"/>
      <c r="I683" s="3"/>
      <c r="J683" s="3"/>
    </row>
    <row r="684" ht="14.25" customHeight="1">
      <c r="F684" s="3"/>
      <c r="G684" s="3"/>
      <c r="H684" s="3"/>
      <c r="I684" s="3"/>
      <c r="J684" s="3"/>
    </row>
    <row r="685" ht="14.25" customHeight="1">
      <c r="F685" s="3"/>
      <c r="G685" s="3"/>
      <c r="H685" s="3"/>
      <c r="I685" s="3"/>
      <c r="J685" s="3"/>
    </row>
    <row r="686" ht="14.25" customHeight="1">
      <c r="F686" s="3"/>
      <c r="G686" s="3"/>
      <c r="H686" s="3"/>
      <c r="I686" s="3"/>
      <c r="J686" s="3"/>
    </row>
    <row r="687" ht="14.25" customHeight="1">
      <c r="F687" s="3"/>
      <c r="G687" s="3"/>
      <c r="H687" s="3"/>
      <c r="I687" s="3"/>
      <c r="J687" s="3"/>
    </row>
    <row r="688" ht="14.25" customHeight="1">
      <c r="F688" s="3"/>
      <c r="G688" s="3"/>
      <c r="H688" s="3"/>
      <c r="I688" s="3"/>
      <c r="J688" s="3"/>
    </row>
    <row r="689" ht="14.25" customHeight="1">
      <c r="F689" s="3"/>
      <c r="G689" s="3"/>
      <c r="H689" s="3"/>
      <c r="I689" s="3"/>
      <c r="J689" s="3"/>
    </row>
    <row r="690" ht="14.25" customHeight="1">
      <c r="F690" s="3"/>
      <c r="G690" s="3"/>
      <c r="H690" s="3"/>
      <c r="I690" s="3"/>
      <c r="J690" s="3"/>
    </row>
    <row r="691" ht="14.25" customHeight="1">
      <c r="F691" s="3"/>
      <c r="G691" s="3"/>
      <c r="H691" s="3"/>
      <c r="I691" s="3"/>
      <c r="J691" s="3"/>
    </row>
    <row r="692" ht="14.25" customHeight="1">
      <c r="F692" s="3"/>
      <c r="G692" s="3"/>
      <c r="H692" s="3"/>
      <c r="I692" s="3"/>
      <c r="J692" s="3"/>
    </row>
    <row r="693" ht="14.25" customHeight="1">
      <c r="F693" s="3"/>
      <c r="G693" s="3"/>
      <c r="H693" s="3"/>
      <c r="I693" s="3"/>
      <c r="J693" s="3"/>
    </row>
    <row r="694" ht="14.25" customHeight="1">
      <c r="F694" s="3"/>
      <c r="G694" s="3"/>
      <c r="H694" s="3"/>
      <c r="I694" s="3"/>
      <c r="J694" s="3"/>
    </row>
    <row r="695" ht="14.25" customHeight="1">
      <c r="F695" s="3"/>
      <c r="G695" s="3"/>
      <c r="H695" s="3"/>
      <c r="I695" s="3"/>
      <c r="J695" s="3"/>
    </row>
    <row r="696" ht="14.25" customHeight="1">
      <c r="F696" s="3"/>
      <c r="G696" s="3"/>
      <c r="H696" s="3"/>
      <c r="I696" s="3"/>
      <c r="J696" s="3"/>
    </row>
    <row r="697" ht="14.25" customHeight="1">
      <c r="F697" s="3"/>
      <c r="G697" s="3"/>
      <c r="H697" s="3"/>
      <c r="I697" s="3"/>
      <c r="J697" s="3"/>
    </row>
    <row r="698" ht="14.25" customHeight="1">
      <c r="F698" s="3"/>
      <c r="G698" s="3"/>
      <c r="H698" s="3"/>
      <c r="I698" s="3"/>
      <c r="J698" s="3"/>
    </row>
    <row r="699" ht="14.25" customHeight="1">
      <c r="F699" s="3"/>
      <c r="G699" s="3"/>
      <c r="H699" s="3"/>
      <c r="I699" s="3"/>
      <c r="J699" s="3"/>
    </row>
    <row r="700" ht="14.25" customHeight="1">
      <c r="F700" s="3"/>
      <c r="G700" s="3"/>
      <c r="H700" s="3"/>
      <c r="I700" s="3"/>
      <c r="J700" s="3"/>
    </row>
    <row r="701" ht="14.25" customHeight="1">
      <c r="F701" s="3"/>
      <c r="G701" s="3"/>
      <c r="H701" s="3"/>
      <c r="I701" s="3"/>
      <c r="J701" s="3"/>
    </row>
    <row r="702" ht="14.25" customHeight="1">
      <c r="F702" s="3"/>
      <c r="G702" s="3"/>
      <c r="H702" s="3"/>
      <c r="I702" s="3"/>
      <c r="J702" s="3"/>
    </row>
    <row r="703" ht="14.25" customHeight="1">
      <c r="F703" s="3"/>
      <c r="G703" s="3"/>
      <c r="H703" s="3"/>
      <c r="I703" s="3"/>
      <c r="J703" s="3"/>
    </row>
    <row r="704" ht="14.25" customHeight="1">
      <c r="F704" s="3"/>
      <c r="G704" s="3"/>
      <c r="H704" s="3"/>
      <c r="I704" s="3"/>
      <c r="J704" s="3"/>
    </row>
    <row r="705" ht="14.25" customHeight="1">
      <c r="F705" s="3"/>
      <c r="G705" s="3"/>
      <c r="H705" s="3"/>
      <c r="I705" s="3"/>
      <c r="J705" s="3"/>
    </row>
    <row r="706" ht="14.25" customHeight="1">
      <c r="F706" s="3"/>
      <c r="G706" s="3"/>
      <c r="H706" s="3"/>
      <c r="I706" s="3"/>
      <c r="J706" s="3"/>
    </row>
    <row r="707" ht="14.25" customHeight="1">
      <c r="F707" s="3"/>
      <c r="G707" s="3"/>
      <c r="H707" s="3"/>
      <c r="I707" s="3"/>
      <c r="J707" s="3"/>
    </row>
    <row r="708" ht="14.25" customHeight="1">
      <c r="F708" s="3"/>
      <c r="G708" s="3"/>
      <c r="H708" s="3"/>
      <c r="I708" s="3"/>
      <c r="J708" s="3"/>
    </row>
    <row r="709" ht="14.25" customHeight="1">
      <c r="F709" s="3"/>
      <c r="G709" s="3"/>
      <c r="H709" s="3"/>
      <c r="I709" s="3"/>
      <c r="J709" s="3"/>
    </row>
    <row r="710" ht="14.25" customHeight="1">
      <c r="F710" s="3"/>
      <c r="G710" s="3"/>
      <c r="H710" s="3"/>
      <c r="I710" s="3"/>
      <c r="J710" s="3"/>
    </row>
    <row r="711" ht="14.25" customHeight="1">
      <c r="F711" s="3"/>
      <c r="G711" s="3"/>
      <c r="H711" s="3"/>
      <c r="I711" s="3"/>
      <c r="J711" s="3"/>
    </row>
    <row r="712" ht="14.25" customHeight="1">
      <c r="F712" s="3"/>
      <c r="G712" s="3"/>
      <c r="H712" s="3"/>
      <c r="I712" s="3"/>
      <c r="J712" s="3"/>
    </row>
    <row r="713" ht="14.25" customHeight="1">
      <c r="F713" s="3"/>
      <c r="G713" s="3"/>
      <c r="H713" s="3"/>
      <c r="I713" s="3"/>
      <c r="J713" s="3"/>
    </row>
    <row r="714" ht="14.25" customHeight="1">
      <c r="F714" s="3"/>
      <c r="G714" s="3"/>
      <c r="H714" s="3"/>
      <c r="I714" s="3"/>
      <c r="J714" s="3"/>
    </row>
    <row r="715" ht="14.25" customHeight="1">
      <c r="F715" s="3"/>
      <c r="G715" s="3"/>
      <c r="H715" s="3"/>
      <c r="I715" s="3"/>
      <c r="J715" s="3"/>
    </row>
    <row r="716" ht="14.25" customHeight="1">
      <c r="F716" s="3"/>
      <c r="G716" s="3"/>
      <c r="H716" s="3"/>
      <c r="I716" s="3"/>
      <c r="J716" s="3"/>
    </row>
    <row r="717" ht="14.25" customHeight="1">
      <c r="F717" s="3"/>
      <c r="G717" s="3"/>
      <c r="H717" s="3"/>
      <c r="I717" s="3"/>
      <c r="J717" s="3"/>
    </row>
    <row r="718" ht="14.25" customHeight="1">
      <c r="F718" s="3"/>
      <c r="G718" s="3"/>
      <c r="H718" s="3"/>
      <c r="I718" s="3"/>
      <c r="J718" s="3"/>
    </row>
    <row r="719" ht="14.25" customHeight="1">
      <c r="F719" s="3"/>
      <c r="G719" s="3"/>
      <c r="H719" s="3"/>
      <c r="I719" s="3"/>
      <c r="J719" s="3"/>
    </row>
    <row r="720" ht="14.25" customHeight="1">
      <c r="F720" s="3"/>
      <c r="G720" s="3"/>
      <c r="H720" s="3"/>
      <c r="I720" s="3"/>
      <c r="J720" s="3"/>
    </row>
    <row r="721" ht="14.25" customHeight="1">
      <c r="F721" s="3"/>
      <c r="G721" s="3"/>
      <c r="H721" s="3"/>
      <c r="I721" s="3"/>
      <c r="J721" s="3"/>
    </row>
    <row r="722" ht="14.25" customHeight="1">
      <c r="F722" s="3"/>
      <c r="G722" s="3"/>
      <c r="H722" s="3"/>
      <c r="I722" s="3"/>
      <c r="J722" s="3"/>
    </row>
    <row r="723" ht="14.25" customHeight="1">
      <c r="F723" s="3"/>
      <c r="G723" s="3"/>
      <c r="H723" s="3"/>
      <c r="I723" s="3"/>
      <c r="J723" s="3"/>
    </row>
    <row r="724" ht="14.25" customHeight="1">
      <c r="F724" s="3"/>
      <c r="G724" s="3"/>
      <c r="H724" s="3"/>
      <c r="I724" s="3"/>
      <c r="J724" s="3"/>
    </row>
    <row r="725" ht="14.25" customHeight="1">
      <c r="F725" s="3"/>
      <c r="G725" s="3"/>
      <c r="H725" s="3"/>
      <c r="I725" s="3"/>
      <c r="J725" s="3"/>
    </row>
    <row r="726" ht="14.25" customHeight="1">
      <c r="F726" s="3"/>
      <c r="G726" s="3"/>
      <c r="H726" s="3"/>
      <c r="I726" s="3"/>
      <c r="J726" s="3"/>
    </row>
    <row r="727" ht="14.25" customHeight="1">
      <c r="F727" s="3"/>
      <c r="G727" s="3"/>
      <c r="H727" s="3"/>
      <c r="I727" s="3"/>
      <c r="J727" s="3"/>
    </row>
    <row r="728" ht="14.25" customHeight="1">
      <c r="F728" s="3"/>
      <c r="G728" s="3"/>
      <c r="H728" s="3"/>
      <c r="I728" s="3"/>
      <c r="J728" s="3"/>
    </row>
    <row r="729" ht="14.25" customHeight="1">
      <c r="F729" s="3"/>
      <c r="G729" s="3"/>
      <c r="H729" s="3"/>
      <c r="I729" s="3"/>
      <c r="J729" s="3"/>
    </row>
    <row r="730" ht="14.25" customHeight="1">
      <c r="F730" s="3"/>
      <c r="G730" s="3"/>
      <c r="H730" s="3"/>
      <c r="I730" s="3"/>
      <c r="J730" s="3"/>
    </row>
    <row r="731" ht="14.25" customHeight="1">
      <c r="F731" s="3"/>
      <c r="G731" s="3"/>
      <c r="H731" s="3"/>
      <c r="I731" s="3"/>
      <c r="J731" s="3"/>
    </row>
    <row r="732" ht="14.25" customHeight="1">
      <c r="F732" s="3"/>
      <c r="G732" s="3"/>
      <c r="H732" s="3"/>
      <c r="I732" s="3"/>
      <c r="J732" s="3"/>
    </row>
    <row r="733" ht="14.25" customHeight="1">
      <c r="F733" s="3"/>
      <c r="G733" s="3"/>
      <c r="H733" s="3"/>
      <c r="I733" s="3"/>
      <c r="J733" s="3"/>
    </row>
    <row r="734" ht="14.25" customHeight="1">
      <c r="F734" s="3"/>
      <c r="G734" s="3"/>
      <c r="H734" s="3"/>
      <c r="I734" s="3"/>
      <c r="J734" s="3"/>
    </row>
    <row r="735" ht="14.25" customHeight="1">
      <c r="F735" s="3"/>
      <c r="G735" s="3"/>
      <c r="H735" s="3"/>
      <c r="I735" s="3"/>
      <c r="J735" s="3"/>
    </row>
    <row r="736" ht="14.25" customHeight="1">
      <c r="F736" s="3"/>
      <c r="G736" s="3"/>
      <c r="H736" s="3"/>
      <c r="I736" s="3"/>
      <c r="J736" s="3"/>
    </row>
    <row r="737" ht="14.25" customHeight="1">
      <c r="F737" s="3"/>
      <c r="G737" s="3"/>
      <c r="H737" s="3"/>
      <c r="I737" s="3"/>
      <c r="J737" s="3"/>
    </row>
    <row r="738" ht="14.25" customHeight="1">
      <c r="F738" s="3"/>
      <c r="G738" s="3"/>
      <c r="H738" s="3"/>
      <c r="I738" s="3"/>
      <c r="J738" s="3"/>
    </row>
    <row r="739" ht="14.25" customHeight="1">
      <c r="F739" s="3"/>
      <c r="G739" s="3"/>
      <c r="H739" s="3"/>
      <c r="I739" s="3"/>
      <c r="J739" s="3"/>
    </row>
    <row r="740" ht="14.25" customHeight="1">
      <c r="F740" s="3"/>
      <c r="G740" s="3"/>
      <c r="H740" s="3"/>
      <c r="I740" s="3"/>
      <c r="J740" s="3"/>
    </row>
    <row r="741" ht="14.25" customHeight="1">
      <c r="F741" s="3"/>
      <c r="G741" s="3"/>
      <c r="H741" s="3"/>
      <c r="I741" s="3"/>
      <c r="J741" s="3"/>
    </row>
    <row r="742" ht="14.25" customHeight="1">
      <c r="F742" s="3"/>
      <c r="G742" s="3"/>
      <c r="H742" s="3"/>
      <c r="I742" s="3"/>
      <c r="J742" s="3"/>
    </row>
    <row r="743" ht="14.25" customHeight="1">
      <c r="F743" s="3"/>
      <c r="G743" s="3"/>
      <c r="H743" s="3"/>
      <c r="I743" s="3"/>
      <c r="J743" s="3"/>
    </row>
    <row r="744" ht="14.25" customHeight="1">
      <c r="F744" s="3"/>
      <c r="G744" s="3"/>
      <c r="H744" s="3"/>
      <c r="I744" s="3"/>
      <c r="J744" s="3"/>
    </row>
    <row r="745" ht="14.25" customHeight="1">
      <c r="F745" s="3"/>
      <c r="G745" s="3"/>
      <c r="H745" s="3"/>
      <c r="I745" s="3"/>
      <c r="J745" s="3"/>
    </row>
    <row r="746" ht="14.25" customHeight="1">
      <c r="F746" s="3"/>
      <c r="G746" s="3"/>
      <c r="H746" s="3"/>
      <c r="I746" s="3"/>
      <c r="J746" s="3"/>
    </row>
    <row r="747" ht="14.25" customHeight="1">
      <c r="F747" s="3"/>
      <c r="G747" s="3"/>
      <c r="H747" s="3"/>
      <c r="I747" s="3"/>
      <c r="J747" s="3"/>
    </row>
    <row r="748" ht="14.25" customHeight="1">
      <c r="F748" s="3"/>
      <c r="G748" s="3"/>
      <c r="H748" s="3"/>
      <c r="I748" s="3"/>
      <c r="J748" s="3"/>
    </row>
    <row r="749" ht="14.25" customHeight="1">
      <c r="F749" s="3"/>
      <c r="G749" s="3"/>
      <c r="H749" s="3"/>
      <c r="I749" s="3"/>
      <c r="J749" s="3"/>
    </row>
    <row r="750" ht="14.25" customHeight="1">
      <c r="F750" s="3"/>
      <c r="G750" s="3"/>
      <c r="H750" s="3"/>
      <c r="I750" s="3"/>
      <c r="J750" s="3"/>
    </row>
    <row r="751" ht="14.25" customHeight="1">
      <c r="F751" s="3"/>
      <c r="G751" s="3"/>
      <c r="H751" s="3"/>
      <c r="I751" s="3"/>
      <c r="J751" s="3"/>
    </row>
    <row r="752" ht="14.25" customHeight="1">
      <c r="F752" s="3"/>
      <c r="G752" s="3"/>
      <c r="H752" s="3"/>
      <c r="I752" s="3"/>
      <c r="J752" s="3"/>
    </row>
    <row r="753" ht="14.25" customHeight="1">
      <c r="F753" s="3"/>
      <c r="G753" s="3"/>
      <c r="H753" s="3"/>
      <c r="I753" s="3"/>
      <c r="J753" s="3"/>
    </row>
    <row r="754" ht="14.25" customHeight="1">
      <c r="F754" s="3"/>
      <c r="G754" s="3"/>
      <c r="H754" s="3"/>
      <c r="I754" s="3"/>
      <c r="J754" s="3"/>
    </row>
    <row r="755" ht="14.25" customHeight="1">
      <c r="F755" s="3"/>
      <c r="G755" s="3"/>
      <c r="H755" s="3"/>
      <c r="I755" s="3"/>
      <c r="J755" s="3"/>
    </row>
    <row r="756" ht="14.25" customHeight="1">
      <c r="F756" s="3"/>
      <c r="G756" s="3"/>
      <c r="H756" s="3"/>
      <c r="I756" s="3"/>
      <c r="J756" s="3"/>
    </row>
    <row r="757" ht="14.25" customHeight="1">
      <c r="F757" s="3"/>
      <c r="G757" s="3"/>
      <c r="H757" s="3"/>
      <c r="I757" s="3"/>
      <c r="J757" s="3"/>
    </row>
    <row r="758" ht="14.25" customHeight="1">
      <c r="F758" s="3"/>
      <c r="G758" s="3"/>
      <c r="H758" s="3"/>
      <c r="I758" s="3"/>
      <c r="J758" s="3"/>
    </row>
    <row r="759" ht="14.25" customHeight="1">
      <c r="F759" s="3"/>
      <c r="G759" s="3"/>
      <c r="H759" s="3"/>
      <c r="I759" s="3"/>
      <c r="J759" s="3"/>
    </row>
    <row r="760" ht="14.25" customHeight="1">
      <c r="F760" s="3"/>
      <c r="G760" s="3"/>
      <c r="H760" s="3"/>
      <c r="I760" s="3"/>
      <c r="J760" s="3"/>
    </row>
    <row r="761" ht="14.25" customHeight="1">
      <c r="F761" s="3"/>
      <c r="G761" s="3"/>
      <c r="H761" s="3"/>
      <c r="I761" s="3"/>
      <c r="J761" s="3"/>
    </row>
    <row r="762" ht="14.25" customHeight="1">
      <c r="F762" s="3"/>
      <c r="G762" s="3"/>
      <c r="H762" s="3"/>
      <c r="I762" s="3"/>
      <c r="J762" s="3"/>
    </row>
    <row r="763" ht="14.25" customHeight="1">
      <c r="F763" s="3"/>
      <c r="G763" s="3"/>
      <c r="H763" s="3"/>
      <c r="I763" s="3"/>
      <c r="J763" s="3"/>
    </row>
    <row r="764" ht="14.25" customHeight="1">
      <c r="F764" s="3"/>
      <c r="G764" s="3"/>
      <c r="H764" s="3"/>
      <c r="I764" s="3"/>
      <c r="J764" s="3"/>
    </row>
    <row r="765" ht="14.25" customHeight="1">
      <c r="F765" s="3"/>
      <c r="G765" s="3"/>
      <c r="H765" s="3"/>
      <c r="I765" s="3"/>
      <c r="J765" s="3"/>
    </row>
    <row r="766" ht="14.25" customHeight="1">
      <c r="F766" s="3"/>
      <c r="G766" s="3"/>
      <c r="H766" s="3"/>
      <c r="I766" s="3"/>
      <c r="J766" s="3"/>
    </row>
    <row r="767" ht="14.25" customHeight="1">
      <c r="F767" s="3"/>
      <c r="G767" s="3"/>
      <c r="H767" s="3"/>
      <c r="I767" s="3"/>
      <c r="J767" s="3"/>
    </row>
    <row r="768" ht="14.25" customHeight="1">
      <c r="F768" s="3"/>
      <c r="G768" s="3"/>
      <c r="H768" s="3"/>
      <c r="I768" s="3"/>
      <c r="J768" s="3"/>
    </row>
    <row r="769" ht="14.25" customHeight="1">
      <c r="F769" s="3"/>
      <c r="G769" s="3"/>
      <c r="H769" s="3"/>
      <c r="I769" s="3"/>
      <c r="J769" s="3"/>
    </row>
    <row r="770" ht="14.25" customHeight="1">
      <c r="F770" s="3"/>
      <c r="G770" s="3"/>
      <c r="H770" s="3"/>
      <c r="I770" s="3"/>
      <c r="J770" s="3"/>
    </row>
    <row r="771" ht="14.25" customHeight="1">
      <c r="F771" s="3"/>
      <c r="G771" s="3"/>
      <c r="H771" s="3"/>
      <c r="I771" s="3"/>
      <c r="J771" s="3"/>
    </row>
    <row r="772" ht="14.25" customHeight="1">
      <c r="F772" s="3"/>
      <c r="G772" s="3"/>
      <c r="H772" s="3"/>
      <c r="I772" s="3"/>
      <c r="J772" s="3"/>
    </row>
    <row r="773" ht="14.25" customHeight="1">
      <c r="F773" s="3"/>
      <c r="G773" s="3"/>
      <c r="H773" s="3"/>
      <c r="I773" s="3"/>
      <c r="J773" s="3"/>
    </row>
    <row r="774" ht="14.25" customHeight="1">
      <c r="F774" s="3"/>
      <c r="G774" s="3"/>
      <c r="H774" s="3"/>
      <c r="I774" s="3"/>
      <c r="J774" s="3"/>
    </row>
    <row r="775" ht="14.25" customHeight="1">
      <c r="F775" s="3"/>
      <c r="G775" s="3"/>
      <c r="H775" s="3"/>
      <c r="I775" s="3"/>
      <c r="J775" s="3"/>
    </row>
    <row r="776" ht="14.25" customHeight="1">
      <c r="F776" s="3"/>
      <c r="G776" s="3"/>
      <c r="H776" s="3"/>
      <c r="I776" s="3"/>
      <c r="J776" s="3"/>
    </row>
    <row r="777" ht="14.25" customHeight="1">
      <c r="F777" s="3"/>
      <c r="G777" s="3"/>
      <c r="H777" s="3"/>
      <c r="I777" s="3"/>
      <c r="J777" s="3"/>
    </row>
    <row r="778" ht="14.25" customHeight="1">
      <c r="F778" s="3"/>
      <c r="G778" s="3"/>
      <c r="H778" s="3"/>
      <c r="I778" s="3"/>
      <c r="J778" s="3"/>
    </row>
    <row r="779" ht="14.25" customHeight="1">
      <c r="F779" s="3"/>
      <c r="G779" s="3"/>
      <c r="H779" s="3"/>
      <c r="I779" s="3"/>
      <c r="J779" s="3"/>
    </row>
    <row r="780" ht="14.25" customHeight="1">
      <c r="F780" s="3"/>
      <c r="G780" s="3"/>
      <c r="H780" s="3"/>
      <c r="I780" s="3"/>
      <c r="J780" s="3"/>
    </row>
    <row r="781" ht="14.25" customHeight="1">
      <c r="F781" s="3"/>
      <c r="G781" s="3"/>
      <c r="H781" s="3"/>
      <c r="I781" s="3"/>
      <c r="J781" s="3"/>
    </row>
    <row r="782" ht="14.25" customHeight="1">
      <c r="F782" s="3"/>
      <c r="G782" s="3"/>
      <c r="H782" s="3"/>
      <c r="I782" s="3"/>
      <c r="J782" s="3"/>
    </row>
    <row r="783" ht="14.25" customHeight="1">
      <c r="F783" s="3"/>
      <c r="G783" s="3"/>
      <c r="H783" s="3"/>
      <c r="I783" s="3"/>
      <c r="J783" s="3"/>
    </row>
    <row r="784" ht="14.25" customHeight="1">
      <c r="F784" s="3"/>
      <c r="G784" s="3"/>
      <c r="H784" s="3"/>
      <c r="I784" s="3"/>
      <c r="J784" s="3"/>
    </row>
    <row r="785" ht="14.25" customHeight="1">
      <c r="F785" s="3"/>
      <c r="G785" s="3"/>
      <c r="H785" s="3"/>
      <c r="I785" s="3"/>
      <c r="J785" s="3"/>
    </row>
    <row r="786" ht="14.25" customHeight="1">
      <c r="F786" s="3"/>
      <c r="G786" s="3"/>
      <c r="H786" s="3"/>
      <c r="I786" s="3"/>
      <c r="J786" s="3"/>
    </row>
    <row r="787" ht="14.25" customHeight="1">
      <c r="F787" s="3"/>
      <c r="G787" s="3"/>
      <c r="H787" s="3"/>
      <c r="I787" s="3"/>
      <c r="J787" s="3"/>
    </row>
    <row r="788" ht="14.25" customHeight="1">
      <c r="F788" s="3"/>
      <c r="G788" s="3"/>
      <c r="H788" s="3"/>
      <c r="I788" s="3"/>
      <c r="J788" s="3"/>
    </row>
    <row r="789" ht="14.25" customHeight="1">
      <c r="F789" s="3"/>
      <c r="G789" s="3"/>
      <c r="H789" s="3"/>
      <c r="I789" s="3"/>
      <c r="J789" s="3"/>
    </row>
    <row r="790" ht="14.25" customHeight="1">
      <c r="F790" s="3"/>
      <c r="G790" s="3"/>
      <c r="H790" s="3"/>
      <c r="I790" s="3"/>
      <c r="J790" s="3"/>
    </row>
    <row r="791" ht="14.25" customHeight="1">
      <c r="F791" s="3"/>
      <c r="G791" s="3"/>
      <c r="H791" s="3"/>
      <c r="I791" s="3"/>
      <c r="J791" s="3"/>
    </row>
    <row r="792" ht="14.25" customHeight="1">
      <c r="F792" s="3"/>
      <c r="G792" s="3"/>
      <c r="H792" s="3"/>
      <c r="I792" s="3"/>
      <c r="J792" s="3"/>
    </row>
    <row r="793" ht="14.25" customHeight="1">
      <c r="F793" s="3"/>
      <c r="G793" s="3"/>
      <c r="H793" s="3"/>
      <c r="I793" s="3"/>
      <c r="J793" s="3"/>
    </row>
    <row r="794" ht="14.25" customHeight="1">
      <c r="F794" s="3"/>
      <c r="G794" s="3"/>
      <c r="H794" s="3"/>
      <c r="I794" s="3"/>
      <c r="J794" s="3"/>
    </row>
    <row r="795" ht="14.25" customHeight="1">
      <c r="F795" s="3"/>
      <c r="G795" s="3"/>
      <c r="H795" s="3"/>
      <c r="I795" s="3"/>
      <c r="J795" s="3"/>
    </row>
    <row r="796" ht="14.25" customHeight="1">
      <c r="F796" s="3"/>
      <c r="G796" s="3"/>
      <c r="H796" s="3"/>
      <c r="I796" s="3"/>
      <c r="J796" s="3"/>
    </row>
    <row r="797" ht="14.25" customHeight="1">
      <c r="F797" s="3"/>
      <c r="G797" s="3"/>
      <c r="H797" s="3"/>
      <c r="I797" s="3"/>
      <c r="J797" s="3"/>
    </row>
    <row r="798" ht="14.25" customHeight="1">
      <c r="F798" s="3"/>
      <c r="G798" s="3"/>
      <c r="H798" s="3"/>
      <c r="I798" s="3"/>
      <c r="J798" s="3"/>
    </row>
    <row r="799" ht="14.25" customHeight="1">
      <c r="F799" s="3"/>
      <c r="G799" s="3"/>
      <c r="H799" s="3"/>
      <c r="I799" s="3"/>
      <c r="J799" s="3"/>
    </row>
    <row r="800" ht="14.25" customHeight="1">
      <c r="F800" s="3"/>
      <c r="G800" s="3"/>
      <c r="H800" s="3"/>
      <c r="I800" s="3"/>
      <c r="J800" s="3"/>
    </row>
    <row r="801" ht="14.25" customHeight="1">
      <c r="F801" s="3"/>
      <c r="G801" s="3"/>
      <c r="H801" s="3"/>
      <c r="I801" s="3"/>
      <c r="J801" s="3"/>
    </row>
    <row r="802" ht="14.25" customHeight="1">
      <c r="F802" s="3"/>
      <c r="G802" s="3"/>
      <c r="H802" s="3"/>
      <c r="I802" s="3"/>
      <c r="J802" s="3"/>
    </row>
    <row r="803" ht="14.25" customHeight="1">
      <c r="F803" s="3"/>
      <c r="G803" s="3"/>
      <c r="H803" s="3"/>
      <c r="I803" s="3"/>
      <c r="J803" s="3"/>
    </row>
    <row r="804" ht="14.25" customHeight="1">
      <c r="F804" s="3"/>
      <c r="G804" s="3"/>
      <c r="H804" s="3"/>
      <c r="I804" s="3"/>
      <c r="J804" s="3"/>
    </row>
    <row r="805" ht="14.25" customHeight="1">
      <c r="F805" s="3"/>
      <c r="G805" s="3"/>
      <c r="H805" s="3"/>
      <c r="I805" s="3"/>
      <c r="J805" s="3"/>
    </row>
    <row r="806" ht="14.25" customHeight="1">
      <c r="F806" s="3"/>
      <c r="G806" s="3"/>
      <c r="H806" s="3"/>
      <c r="I806" s="3"/>
      <c r="J806" s="3"/>
    </row>
    <row r="807" ht="14.25" customHeight="1">
      <c r="F807" s="3"/>
      <c r="G807" s="3"/>
      <c r="H807" s="3"/>
      <c r="I807" s="3"/>
      <c r="J807" s="3"/>
    </row>
    <row r="808" ht="14.25" customHeight="1">
      <c r="F808" s="3"/>
      <c r="G808" s="3"/>
      <c r="H808" s="3"/>
      <c r="I808" s="3"/>
      <c r="J808" s="3"/>
    </row>
    <row r="809" ht="14.25" customHeight="1">
      <c r="F809" s="3"/>
      <c r="G809" s="3"/>
      <c r="H809" s="3"/>
      <c r="I809" s="3"/>
      <c r="J809" s="3"/>
    </row>
    <row r="810" ht="14.25" customHeight="1">
      <c r="F810" s="3"/>
      <c r="G810" s="3"/>
      <c r="H810" s="3"/>
      <c r="I810" s="3"/>
      <c r="J810" s="3"/>
    </row>
    <row r="811" ht="14.25" customHeight="1">
      <c r="F811" s="3"/>
      <c r="G811" s="3"/>
      <c r="H811" s="3"/>
      <c r="I811" s="3"/>
      <c r="J811" s="3"/>
    </row>
    <row r="812" ht="14.25" customHeight="1">
      <c r="F812" s="3"/>
      <c r="G812" s="3"/>
      <c r="H812" s="3"/>
      <c r="I812" s="3"/>
      <c r="J812" s="3"/>
    </row>
    <row r="813" ht="14.25" customHeight="1">
      <c r="F813" s="3"/>
      <c r="G813" s="3"/>
      <c r="H813" s="3"/>
      <c r="I813" s="3"/>
      <c r="J813" s="3"/>
    </row>
    <row r="814" ht="14.25" customHeight="1">
      <c r="F814" s="3"/>
      <c r="G814" s="3"/>
      <c r="H814" s="3"/>
      <c r="I814" s="3"/>
      <c r="J814" s="3"/>
    </row>
    <row r="815" ht="14.25" customHeight="1">
      <c r="F815" s="3"/>
      <c r="G815" s="3"/>
      <c r="H815" s="3"/>
      <c r="I815" s="3"/>
      <c r="J815" s="3"/>
    </row>
    <row r="816" ht="14.25" customHeight="1">
      <c r="F816" s="3"/>
      <c r="G816" s="3"/>
      <c r="H816" s="3"/>
      <c r="I816" s="3"/>
      <c r="J816" s="3"/>
    </row>
    <row r="817" ht="14.25" customHeight="1">
      <c r="F817" s="3"/>
      <c r="G817" s="3"/>
      <c r="H817" s="3"/>
      <c r="I817" s="3"/>
      <c r="J817" s="3"/>
    </row>
    <row r="818" ht="14.25" customHeight="1">
      <c r="F818" s="3"/>
      <c r="G818" s="3"/>
      <c r="H818" s="3"/>
      <c r="I818" s="3"/>
      <c r="J818" s="3"/>
    </row>
    <row r="819" ht="14.25" customHeight="1">
      <c r="F819" s="3"/>
      <c r="G819" s="3"/>
      <c r="H819" s="3"/>
      <c r="I819" s="3"/>
      <c r="J819" s="3"/>
    </row>
    <row r="820" ht="14.25" customHeight="1">
      <c r="F820" s="3"/>
      <c r="G820" s="3"/>
      <c r="H820" s="3"/>
      <c r="I820" s="3"/>
      <c r="J820" s="3"/>
    </row>
    <row r="821" ht="14.25" customHeight="1">
      <c r="F821" s="3"/>
      <c r="G821" s="3"/>
      <c r="H821" s="3"/>
      <c r="I821" s="3"/>
      <c r="J821" s="3"/>
    </row>
    <row r="822" ht="14.25" customHeight="1">
      <c r="F822" s="3"/>
      <c r="G822" s="3"/>
      <c r="H822" s="3"/>
      <c r="I822" s="3"/>
      <c r="J822" s="3"/>
    </row>
    <row r="823" ht="14.25" customHeight="1">
      <c r="F823" s="3"/>
      <c r="G823" s="3"/>
      <c r="H823" s="3"/>
      <c r="I823" s="3"/>
      <c r="J823" s="3"/>
    </row>
    <row r="824" ht="14.25" customHeight="1">
      <c r="F824" s="3"/>
      <c r="G824" s="3"/>
      <c r="H824" s="3"/>
      <c r="I824" s="3"/>
      <c r="J824" s="3"/>
    </row>
    <row r="825" ht="14.25" customHeight="1">
      <c r="F825" s="3"/>
      <c r="G825" s="3"/>
      <c r="H825" s="3"/>
      <c r="I825" s="3"/>
      <c r="J825" s="3"/>
    </row>
    <row r="826" ht="14.25" customHeight="1">
      <c r="F826" s="3"/>
      <c r="G826" s="3"/>
      <c r="H826" s="3"/>
      <c r="I826" s="3"/>
      <c r="J826" s="3"/>
    </row>
    <row r="827" ht="14.25" customHeight="1">
      <c r="F827" s="3"/>
      <c r="G827" s="3"/>
      <c r="H827" s="3"/>
      <c r="I827" s="3"/>
      <c r="J827" s="3"/>
    </row>
    <row r="828" ht="14.25" customHeight="1">
      <c r="F828" s="3"/>
      <c r="G828" s="3"/>
      <c r="H828" s="3"/>
      <c r="I828" s="3"/>
      <c r="J828" s="3"/>
    </row>
    <row r="829" ht="14.25" customHeight="1">
      <c r="F829" s="3"/>
      <c r="G829" s="3"/>
      <c r="H829" s="3"/>
      <c r="I829" s="3"/>
      <c r="J829" s="3"/>
    </row>
    <row r="830" ht="14.25" customHeight="1">
      <c r="F830" s="3"/>
      <c r="G830" s="3"/>
      <c r="H830" s="3"/>
      <c r="I830" s="3"/>
      <c r="J830" s="3"/>
    </row>
    <row r="831" ht="14.25" customHeight="1">
      <c r="F831" s="3"/>
      <c r="G831" s="3"/>
      <c r="H831" s="3"/>
      <c r="I831" s="3"/>
      <c r="J831" s="3"/>
    </row>
    <row r="832" ht="14.25" customHeight="1">
      <c r="F832" s="3"/>
      <c r="G832" s="3"/>
      <c r="H832" s="3"/>
      <c r="I832" s="3"/>
      <c r="J832" s="3"/>
    </row>
    <row r="833" ht="14.25" customHeight="1">
      <c r="F833" s="3"/>
      <c r="G833" s="3"/>
      <c r="H833" s="3"/>
      <c r="I833" s="3"/>
      <c r="J833" s="3"/>
    </row>
    <row r="834" ht="14.25" customHeight="1">
      <c r="F834" s="3"/>
      <c r="G834" s="3"/>
      <c r="H834" s="3"/>
      <c r="I834" s="3"/>
      <c r="J834" s="3"/>
    </row>
    <row r="835" ht="14.25" customHeight="1">
      <c r="F835" s="3"/>
      <c r="G835" s="3"/>
      <c r="H835" s="3"/>
      <c r="I835" s="3"/>
      <c r="J835" s="3"/>
    </row>
    <row r="836" ht="14.25" customHeight="1">
      <c r="F836" s="3"/>
      <c r="G836" s="3"/>
      <c r="H836" s="3"/>
      <c r="I836" s="3"/>
      <c r="J836" s="3"/>
    </row>
    <row r="837" ht="14.25" customHeight="1">
      <c r="F837" s="3"/>
      <c r="G837" s="3"/>
      <c r="H837" s="3"/>
      <c r="I837" s="3"/>
      <c r="J837" s="3"/>
    </row>
    <row r="838" ht="14.25" customHeight="1">
      <c r="F838" s="3"/>
      <c r="G838" s="3"/>
      <c r="H838" s="3"/>
      <c r="I838" s="3"/>
      <c r="J838" s="3"/>
    </row>
    <row r="839" ht="14.25" customHeight="1">
      <c r="F839" s="3"/>
      <c r="G839" s="3"/>
      <c r="H839" s="3"/>
      <c r="I839" s="3"/>
      <c r="J839" s="3"/>
    </row>
    <row r="840" ht="14.25" customHeight="1">
      <c r="F840" s="3"/>
      <c r="G840" s="3"/>
      <c r="H840" s="3"/>
      <c r="I840" s="3"/>
      <c r="J840" s="3"/>
    </row>
    <row r="841" ht="14.25" customHeight="1">
      <c r="F841" s="3"/>
      <c r="G841" s="3"/>
      <c r="H841" s="3"/>
      <c r="I841" s="3"/>
      <c r="J841" s="3"/>
    </row>
    <row r="842" ht="14.25" customHeight="1">
      <c r="F842" s="3"/>
      <c r="G842" s="3"/>
      <c r="H842" s="3"/>
      <c r="I842" s="3"/>
      <c r="J842" s="3"/>
    </row>
    <row r="843" ht="14.25" customHeight="1">
      <c r="F843" s="3"/>
      <c r="G843" s="3"/>
      <c r="H843" s="3"/>
      <c r="I843" s="3"/>
      <c r="J843" s="3"/>
    </row>
    <row r="844" ht="14.25" customHeight="1">
      <c r="F844" s="3"/>
      <c r="G844" s="3"/>
      <c r="H844" s="3"/>
      <c r="I844" s="3"/>
      <c r="J844" s="3"/>
    </row>
    <row r="845" ht="14.25" customHeight="1">
      <c r="F845" s="3"/>
      <c r="G845" s="3"/>
      <c r="H845" s="3"/>
      <c r="I845" s="3"/>
      <c r="J845" s="3"/>
    </row>
    <row r="846" ht="14.25" customHeight="1">
      <c r="F846" s="3"/>
      <c r="G846" s="3"/>
      <c r="H846" s="3"/>
      <c r="I846" s="3"/>
      <c r="J846" s="3"/>
    </row>
    <row r="847" ht="14.25" customHeight="1">
      <c r="F847" s="3"/>
      <c r="G847" s="3"/>
      <c r="H847" s="3"/>
      <c r="I847" s="3"/>
      <c r="J847" s="3"/>
    </row>
    <row r="848" ht="14.25" customHeight="1">
      <c r="F848" s="3"/>
      <c r="G848" s="3"/>
      <c r="H848" s="3"/>
      <c r="I848" s="3"/>
      <c r="J848" s="3"/>
    </row>
    <row r="849" ht="14.25" customHeight="1">
      <c r="F849" s="3"/>
      <c r="G849" s="3"/>
      <c r="H849" s="3"/>
      <c r="I849" s="3"/>
      <c r="J849" s="3"/>
    </row>
    <row r="850" ht="14.25" customHeight="1">
      <c r="F850" s="3"/>
      <c r="G850" s="3"/>
      <c r="H850" s="3"/>
      <c r="I850" s="3"/>
      <c r="J850" s="3"/>
    </row>
    <row r="851" ht="14.25" customHeight="1">
      <c r="F851" s="3"/>
      <c r="G851" s="3"/>
      <c r="H851" s="3"/>
      <c r="I851" s="3"/>
      <c r="J851" s="3"/>
    </row>
    <row r="852" ht="14.25" customHeight="1">
      <c r="F852" s="3"/>
      <c r="G852" s="3"/>
      <c r="H852" s="3"/>
      <c r="I852" s="3"/>
      <c r="J852" s="3"/>
    </row>
    <row r="853" ht="14.25" customHeight="1">
      <c r="F853" s="3"/>
      <c r="G853" s="3"/>
      <c r="H853" s="3"/>
      <c r="I853" s="3"/>
      <c r="J853" s="3"/>
    </row>
    <row r="854" ht="14.25" customHeight="1">
      <c r="F854" s="3"/>
      <c r="G854" s="3"/>
      <c r="H854" s="3"/>
      <c r="I854" s="3"/>
      <c r="J854" s="3"/>
    </row>
    <row r="855" ht="14.25" customHeight="1">
      <c r="F855" s="3"/>
      <c r="G855" s="3"/>
      <c r="H855" s="3"/>
      <c r="I855" s="3"/>
      <c r="J855" s="3"/>
    </row>
    <row r="856" ht="14.25" customHeight="1">
      <c r="F856" s="3"/>
      <c r="G856" s="3"/>
      <c r="H856" s="3"/>
      <c r="I856" s="3"/>
      <c r="J856" s="3"/>
    </row>
    <row r="857" ht="14.25" customHeight="1">
      <c r="F857" s="3"/>
      <c r="G857" s="3"/>
      <c r="H857" s="3"/>
      <c r="I857" s="3"/>
      <c r="J857" s="3"/>
    </row>
    <row r="858" ht="14.25" customHeight="1">
      <c r="F858" s="3"/>
      <c r="G858" s="3"/>
      <c r="H858" s="3"/>
      <c r="I858" s="3"/>
      <c r="J858" s="3"/>
    </row>
    <row r="859" ht="14.25" customHeight="1">
      <c r="F859" s="3"/>
      <c r="G859" s="3"/>
      <c r="H859" s="3"/>
      <c r="I859" s="3"/>
      <c r="J859" s="3"/>
    </row>
    <row r="860" ht="14.25" customHeight="1">
      <c r="F860" s="3"/>
      <c r="G860" s="3"/>
      <c r="H860" s="3"/>
      <c r="I860" s="3"/>
      <c r="J860" s="3"/>
    </row>
    <row r="861" ht="14.25" customHeight="1">
      <c r="F861" s="3"/>
      <c r="G861" s="3"/>
      <c r="H861" s="3"/>
      <c r="I861" s="3"/>
      <c r="J861" s="3"/>
    </row>
    <row r="862" ht="14.25" customHeight="1">
      <c r="F862" s="3"/>
      <c r="G862" s="3"/>
      <c r="H862" s="3"/>
      <c r="I862" s="3"/>
      <c r="J862" s="3"/>
    </row>
    <row r="863" ht="14.25" customHeight="1">
      <c r="F863" s="3"/>
      <c r="G863" s="3"/>
      <c r="H863" s="3"/>
      <c r="I863" s="3"/>
      <c r="J863" s="3"/>
    </row>
    <row r="864" ht="14.25" customHeight="1">
      <c r="F864" s="3"/>
      <c r="G864" s="3"/>
      <c r="H864" s="3"/>
      <c r="I864" s="3"/>
      <c r="J864" s="3"/>
    </row>
    <row r="865" ht="14.25" customHeight="1">
      <c r="F865" s="3"/>
      <c r="G865" s="3"/>
      <c r="H865" s="3"/>
      <c r="I865" s="3"/>
      <c r="J865" s="3"/>
    </row>
    <row r="866" ht="14.25" customHeight="1">
      <c r="F866" s="3"/>
      <c r="G866" s="3"/>
      <c r="H866" s="3"/>
      <c r="I866" s="3"/>
      <c r="J866" s="3"/>
    </row>
    <row r="867" ht="14.25" customHeight="1">
      <c r="F867" s="3"/>
      <c r="G867" s="3"/>
      <c r="H867" s="3"/>
      <c r="I867" s="3"/>
      <c r="J867" s="3"/>
    </row>
    <row r="868" ht="14.25" customHeight="1">
      <c r="F868" s="3"/>
      <c r="G868" s="3"/>
      <c r="H868" s="3"/>
      <c r="I868" s="3"/>
      <c r="J868" s="3"/>
    </row>
    <row r="869" ht="14.25" customHeight="1">
      <c r="F869" s="3"/>
      <c r="G869" s="3"/>
      <c r="H869" s="3"/>
      <c r="I869" s="3"/>
      <c r="J869" s="3"/>
    </row>
    <row r="870" ht="14.25" customHeight="1">
      <c r="F870" s="3"/>
      <c r="G870" s="3"/>
      <c r="H870" s="3"/>
      <c r="I870" s="3"/>
      <c r="J870" s="3"/>
    </row>
    <row r="871" ht="14.25" customHeight="1">
      <c r="F871" s="3"/>
      <c r="G871" s="3"/>
      <c r="H871" s="3"/>
      <c r="I871" s="3"/>
      <c r="J871" s="3"/>
    </row>
    <row r="872" ht="14.25" customHeight="1">
      <c r="F872" s="3"/>
      <c r="G872" s="3"/>
      <c r="H872" s="3"/>
      <c r="I872" s="3"/>
      <c r="J872" s="3"/>
    </row>
    <row r="873" ht="14.25" customHeight="1">
      <c r="F873" s="3"/>
      <c r="G873" s="3"/>
      <c r="H873" s="3"/>
      <c r="I873" s="3"/>
      <c r="J873" s="3"/>
    </row>
    <row r="874" ht="14.25" customHeight="1">
      <c r="F874" s="3"/>
      <c r="G874" s="3"/>
      <c r="H874" s="3"/>
      <c r="I874" s="3"/>
      <c r="J874" s="3"/>
    </row>
    <row r="875" ht="14.25" customHeight="1">
      <c r="F875" s="3"/>
      <c r="G875" s="3"/>
      <c r="H875" s="3"/>
      <c r="I875" s="3"/>
      <c r="J875" s="3"/>
    </row>
    <row r="876" ht="14.25" customHeight="1">
      <c r="F876" s="3"/>
      <c r="G876" s="3"/>
      <c r="H876" s="3"/>
      <c r="I876" s="3"/>
      <c r="J876" s="3"/>
    </row>
    <row r="877" ht="14.25" customHeight="1">
      <c r="F877" s="3"/>
      <c r="G877" s="3"/>
      <c r="H877" s="3"/>
      <c r="I877" s="3"/>
      <c r="J877" s="3"/>
    </row>
    <row r="878" ht="14.25" customHeight="1">
      <c r="F878" s="3"/>
      <c r="G878" s="3"/>
      <c r="H878" s="3"/>
      <c r="I878" s="3"/>
      <c r="J878" s="3"/>
    </row>
    <row r="879" ht="14.25" customHeight="1">
      <c r="F879" s="3"/>
      <c r="G879" s="3"/>
      <c r="H879" s="3"/>
      <c r="I879" s="3"/>
      <c r="J879" s="3"/>
    </row>
    <row r="880" ht="14.25" customHeight="1">
      <c r="F880" s="3"/>
      <c r="G880" s="3"/>
      <c r="H880" s="3"/>
      <c r="I880" s="3"/>
      <c r="J880" s="3"/>
    </row>
    <row r="881" ht="14.25" customHeight="1">
      <c r="F881" s="3"/>
      <c r="G881" s="3"/>
      <c r="H881" s="3"/>
      <c r="I881" s="3"/>
      <c r="J881" s="3"/>
    </row>
    <row r="882" ht="14.25" customHeight="1">
      <c r="F882" s="3"/>
      <c r="G882" s="3"/>
      <c r="H882" s="3"/>
      <c r="I882" s="3"/>
      <c r="J882" s="3"/>
    </row>
    <row r="883" ht="14.25" customHeight="1">
      <c r="F883" s="3"/>
      <c r="G883" s="3"/>
      <c r="H883" s="3"/>
      <c r="I883" s="3"/>
      <c r="J883" s="3"/>
    </row>
    <row r="884" ht="14.25" customHeight="1">
      <c r="F884" s="3"/>
      <c r="G884" s="3"/>
      <c r="H884" s="3"/>
      <c r="I884" s="3"/>
      <c r="J884" s="3"/>
    </row>
    <row r="885" ht="14.25" customHeight="1">
      <c r="F885" s="3"/>
      <c r="G885" s="3"/>
      <c r="H885" s="3"/>
      <c r="I885" s="3"/>
      <c r="J885" s="3"/>
    </row>
    <row r="886" ht="14.25" customHeight="1">
      <c r="F886" s="3"/>
      <c r="G886" s="3"/>
      <c r="H886" s="3"/>
      <c r="I886" s="3"/>
      <c r="J886" s="3"/>
    </row>
    <row r="887" ht="14.25" customHeight="1">
      <c r="F887" s="3"/>
      <c r="G887" s="3"/>
      <c r="H887" s="3"/>
      <c r="I887" s="3"/>
      <c r="J887" s="3"/>
    </row>
    <row r="888" ht="14.25" customHeight="1">
      <c r="F888" s="3"/>
      <c r="G888" s="3"/>
      <c r="H888" s="3"/>
      <c r="I888" s="3"/>
      <c r="J888" s="3"/>
    </row>
    <row r="889" ht="14.25" customHeight="1">
      <c r="F889" s="3"/>
      <c r="G889" s="3"/>
      <c r="H889" s="3"/>
      <c r="I889" s="3"/>
      <c r="J889" s="3"/>
    </row>
    <row r="890" ht="14.25" customHeight="1">
      <c r="F890" s="3"/>
      <c r="G890" s="3"/>
      <c r="H890" s="3"/>
      <c r="I890" s="3"/>
      <c r="J890" s="3"/>
    </row>
    <row r="891" ht="14.25" customHeight="1">
      <c r="F891" s="3"/>
      <c r="G891" s="3"/>
      <c r="H891" s="3"/>
      <c r="I891" s="3"/>
      <c r="J891" s="3"/>
    </row>
    <row r="892" ht="14.25" customHeight="1">
      <c r="F892" s="3"/>
      <c r="G892" s="3"/>
      <c r="H892" s="3"/>
      <c r="I892" s="3"/>
      <c r="J892" s="3"/>
    </row>
    <row r="893" ht="14.25" customHeight="1">
      <c r="F893" s="3"/>
      <c r="G893" s="3"/>
      <c r="H893" s="3"/>
      <c r="I893" s="3"/>
      <c r="J893" s="3"/>
    </row>
    <row r="894" ht="14.25" customHeight="1">
      <c r="F894" s="3"/>
      <c r="G894" s="3"/>
      <c r="H894" s="3"/>
      <c r="I894" s="3"/>
      <c r="J894" s="3"/>
    </row>
    <row r="895" ht="14.25" customHeight="1">
      <c r="F895" s="3"/>
      <c r="G895" s="3"/>
      <c r="H895" s="3"/>
      <c r="I895" s="3"/>
      <c r="J895" s="3"/>
    </row>
    <row r="896" ht="14.25" customHeight="1">
      <c r="F896" s="3"/>
      <c r="G896" s="3"/>
      <c r="H896" s="3"/>
      <c r="I896" s="3"/>
      <c r="J896" s="3"/>
    </row>
    <row r="897" ht="14.25" customHeight="1">
      <c r="F897" s="3"/>
      <c r="G897" s="3"/>
      <c r="H897" s="3"/>
      <c r="I897" s="3"/>
      <c r="J897" s="3"/>
    </row>
    <row r="898" ht="14.25" customHeight="1">
      <c r="F898" s="3"/>
      <c r="G898" s="3"/>
      <c r="H898" s="3"/>
      <c r="I898" s="3"/>
      <c r="J898" s="3"/>
    </row>
    <row r="899" ht="14.25" customHeight="1">
      <c r="F899" s="3"/>
      <c r="G899" s="3"/>
      <c r="H899" s="3"/>
      <c r="I899" s="3"/>
      <c r="J899" s="3"/>
    </row>
    <row r="900" ht="14.25" customHeight="1">
      <c r="F900" s="3"/>
      <c r="G900" s="3"/>
      <c r="H900" s="3"/>
      <c r="I900" s="3"/>
      <c r="J900" s="3"/>
    </row>
    <row r="901" ht="14.25" customHeight="1">
      <c r="F901" s="3"/>
      <c r="G901" s="3"/>
      <c r="H901" s="3"/>
      <c r="I901" s="3"/>
      <c r="J901" s="3"/>
    </row>
    <row r="902" ht="14.25" customHeight="1">
      <c r="F902" s="3"/>
      <c r="G902" s="3"/>
      <c r="H902" s="3"/>
      <c r="I902" s="3"/>
      <c r="J902" s="3"/>
    </row>
    <row r="903" ht="14.25" customHeight="1">
      <c r="F903" s="3"/>
      <c r="G903" s="3"/>
      <c r="H903" s="3"/>
      <c r="I903" s="3"/>
      <c r="J903" s="3"/>
    </row>
    <row r="904" ht="14.25" customHeight="1">
      <c r="F904" s="3"/>
      <c r="G904" s="3"/>
      <c r="H904" s="3"/>
      <c r="I904" s="3"/>
      <c r="J904" s="3"/>
    </row>
    <row r="905" ht="14.25" customHeight="1">
      <c r="F905" s="3"/>
      <c r="G905" s="3"/>
      <c r="H905" s="3"/>
      <c r="I905" s="3"/>
      <c r="J905" s="3"/>
    </row>
    <row r="906" ht="14.25" customHeight="1">
      <c r="F906" s="3"/>
      <c r="G906" s="3"/>
      <c r="H906" s="3"/>
      <c r="I906" s="3"/>
      <c r="J906" s="3"/>
    </row>
    <row r="907" ht="14.25" customHeight="1">
      <c r="F907" s="3"/>
      <c r="G907" s="3"/>
      <c r="H907" s="3"/>
      <c r="I907" s="3"/>
      <c r="J907" s="3"/>
    </row>
    <row r="908" ht="14.25" customHeight="1">
      <c r="F908" s="3"/>
      <c r="G908" s="3"/>
      <c r="H908" s="3"/>
      <c r="I908" s="3"/>
      <c r="J908" s="3"/>
    </row>
    <row r="909" ht="14.25" customHeight="1">
      <c r="F909" s="3"/>
      <c r="G909" s="3"/>
      <c r="H909" s="3"/>
      <c r="I909" s="3"/>
      <c r="J909" s="3"/>
    </row>
    <row r="910" ht="14.25" customHeight="1">
      <c r="F910" s="3"/>
      <c r="G910" s="3"/>
      <c r="H910" s="3"/>
      <c r="I910" s="3"/>
      <c r="J910" s="3"/>
    </row>
    <row r="911" ht="14.25" customHeight="1">
      <c r="F911" s="3"/>
      <c r="G911" s="3"/>
      <c r="H911" s="3"/>
      <c r="I911" s="3"/>
      <c r="J911" s="3"/>
    </row>
    <row r="912" ht="14.25" customHeight="1">
      <c r="F912" s="3"/>
      <c r="G912" s="3"/>
      <c r="H912" s="3"/>
      <c r="I912" s="3"/>
      <c r="J912" s="3"/>
    </row>
    <row r="913" ht="14.25" customHeight="1">
      <c r="F913" s="3"/>
      <c r="G913" s="3"/>
      <c r="H913" s="3"/>
      <c r="I913" s="3"/>
      <c r="J913" s="3"/>
    </row>
    <row r="914" ht="14.25" customHeight="1">
      <c r="F914" s="3"/>
      <c r="G914" s="3"/>
      <c r="H914" s="3"/>
      <c r="I914" s="3"/>
      <c r="J914" s="3"/>
    </row>
    <row r="915" ht="14.25" customHeight="1">
      <c r="F915" s="3"/>
      <c r="G915" s="3"/>
      <c r="H915" s="3"/>
      <c r="I915" s="3"/>
      <c r="J915" s="3"/>
    </row>
    <row r="916" ht="14.25" customHeight="1">
      <c r="F916" s="3"/>
      <c r="G916" s="3"/>
      <c r="H916" s="3"/>
      <c r="I916" s="3"/>
      <c r="J916" s="3"/>
    </row>
    <row r="917" ht="14.25" customHeight="1">
      <c r="F917" s="3"/>
      <c r="G917" s="3"/>
      <c r="H917" s="3"/>
      <c r="I917" s="3"/>
      <c r="J917" s="3"/>
    </row>
    <row r="918" ht="14.25" customHeight="1">
      <c r="F918" s="3"/>
      <c r="G918" s="3"/>
      <c r="H918" s="3"/>
      <c r="I918" s="3"/>
      <c r="J918" s="3"/>
    </row>
    <row r="919" ht="14.25" customHeight="1">
      <c r="F919" s="3"/>
      <c r="G919" s="3"/>
      <c r="H919" s="3"/>
      <c r="I919" s="3"/>
      <c r="J919" s="3"/>
    </row>
    <row r="920" ht="14.25" customHeight="1">
      <c r="F920" s="3"/>
      <c r="G920" s="3"/>
      <c r="H920" s="3"/>
      <c r="I920" s="3"/>
      <c r="J920" s="3"/>
    </row>
    <row r="921" ht="14.25" customHeight="1">
      <c r="F921" s="3"/>
      <c r="G921" s="3"/>
      <c r="H921" s="3"/>
      <c r="I921" s="3"/>
      <c r="J921" s="3"/>
    </row>
    <row r="922" ht="14.25" customHeight="1">
      <c r="F922" s="3"/>
      <c r="G922" s="3"/>
      <c r="H922" s="3"/>
      <c r="I922" s="3"/>
      <c r="J922" s="3"/>
    </row>
    <row r="923" ht="14.25" customHeight="1">
      <c r="F923" s="3"/>
      <c r="G923" s="3"/>
      <c r="H923" s="3"/>
      <c r="I923" s="3"/>
      <c r="J923" s="3"/>
    </row>
    <row r="924" ht="14.25" customHeight="1">
      <c r="F924" s="3"/>
      <c r="G924" s="3"/>
      <c r="H924" s="3"/>
      <c r="I924" s="3"/>
      <c r="J924" s="3"/>
    </row>
    <row r="925" ht="14.25" customHeight="1">
      <c r="F925" s="3"/>
      <c r="G925" s="3"/>
      <c r="H925" s="3"/>
      <c r="I925" s="3"/>
      <c r="J925" s="3"/>
    </row>
    <row r="926" ht="14.25" customHeight="1">
      <c r="F926" s="3"/>
      <c r="G926" s="3"/>
      <c r="H926" s="3"/>
      <c r="I926" s="3"/>
      <c r="J926" s="3"/>
    </row>
    <row r="927" ht="14.25" customHeight="1">
      <c r="F927" s="3"/>
      <c r="G927" s="3"/>
      <c r="H927" s="3"/>
      <c r="I927" s="3"/>
      <c r="J927" s="3"/>
    </row>
    <row r="928" ht="14.25" customHeight="1">
      <c r="F928" s="3"/>
      <c r="G928" s="3"/>
      <c r="H928" s="3"/>
      <c r="I928" s="3"/>
      <c r="J928" s="3"/>
    </row>
    <row r="929" ht="14.25" customHeight="1">
      <c r="F929" s="3"/>
      <c r="G929" s="3"/>
      <c r="H929" s="3"/>
      <c r="I929" s="3"/>
      <c r="J929" s="3"/>
    </row>
    <row r="930" ht="14.25" customHeight="1">
      <c r="F930" s="3"/>
      <c r="G930" s="3"/>
      <c r="H930" s="3"/>
      <c r="I930" s="3"/>
      <c r="J930" s="3"/>
    </row>
    <row r="931" ht="14.25" customHeight="1">
      <c r="F931" s="3"/>
      <c r="G931" s="3"/>
      <c r="H931" s="3"/>
      <c r="I931" s="3"/>
      <c r="J931" s="3"/>
    </row>
    <row r="932" ht="14.25" customHeight="1">
      <c r="F932" s="3"/>
      <c r="G932" s="3"/>
      <c r="H932" s="3"/>
      <c r="I932" s="3"/>
      <c r="J932" s="3"/>
    </row>
    <row r="933" ht="14.25" customHeight="1">
      <c r="F933" s="3"/>
      <c r="G933" s="3"/>
      <c r="H933" s="3"/>
      <c r="I933" s="3"/>
      <c r="J933" s="3"/>
    </row>
    <row r="934" ht="14.25" customHeight="1">
      <c r="F934" s="3"/>
      <c r="G934" s="3"/>
      <c r="H934" s="3"/>
      <c r="I934" s="3"/>
      <c r="J934" s="3"/>
    </row>
    <row r="935" ht="14.25" customHeight="1">
      <c r="F935" s="3"/>
      <c r="G935" s="3"/>
      <c r="H935" s="3"/>
      <c r="I935" s="3"/>
      <c r="J935" s="3"/>
    </row>
    <row r="936" ht="14.25" customHeight="1">
      <c r="F936" s="3"/>
      <c r="G936" s="3"/>
      <c r="H936" s="3"/>
      <c r="I936" s="3"/>
      <c r="J936" s="3"/>
    </row>
    <row r="937" ht="14.25" customHeight="1">
      <c r="F937" s="3"/>
      <c r="G937" s="3"/>
      <c r="H937" s="3"/>
      <c r="I937" s="3"/>
      <c r="J937" s="3"/>
    </row>
    <row r="938" ht="14.25" customHeight="1">
      <c r="F938" s="3"/>
      <c r="G938" s="3"/>
      <c r="H938" s="3"/>
      <c r="I938" s="3"/>
      <c r="J938" s="3"/>
    </row>
    <row r="939" ht="14.25" customHeight="1">
      <c r="F939" s="3"/>
      <c r="G939" s="3"/>
      <c r="H939" s="3"/>
      <c r="I939" s="3"/>
      <c r="J939" s="3"/>
    </row>
    <row r="940" ht="14.25" customHeight="1">
      <c r="F940" s="3"/>
      <c r="G940" s="3"/>
      <c r="H940" s="3"/>
      <c r="I940" s="3"/>
      <c r="J940" s="3"/>
    </row>
    <row r="941" ht="14.25" customHeight="1">
      <c r="F941" s="3"/>
      <c r="G941" s="3"/>
      <c r="H941" s="3"/>
      <c r="I941" s="3"/>
      <c r="J941" s="3"/>
    </row>
    <row r="942" ht="14.25" customHeight="1">
      <c r="F942" s="3"/>
      <c r="G942" s="3"/>
      <c r="H942" s="3"/>
      <c r="I942" s="3"/>
      <c r="J942" s="3"/>
    </row>
    <row r="943" ht="14.25" customHeight="1">
      <c r="F943" s="3"/>
      <c r="G943" s="3"/>
      <c r="H943" s="3"/>
      <c r="I943" s="3"/>
      <c r="J943" s="3"/>
    </row>
    <row r="944" ht="14.25" customHeight="1">
      <c r="F944" s="3"/>
      <c r="G944" s="3"/>
      <c r="H944" s="3"/>
      <c r="I944" s="3"/>
      <c r="J944" s="3"/>
    </row>
    <row r="945" ht="14.25" customHeight="1">
      <c r="F945" s="3"/>
      <c r="G945" s="3"/>
      <c r="H945" s="3"/>
      <c r="I945" s="3"/>
      <c r="J945" s="3"/>
    </row>
    <row r="946" ht="14.25" customHeight="1">
      <c r="F946" s="3"/>
      <c r="G946" s="3"/>
      <c r="H946" s="3"/>
      <c r="I946" s="3"/>
      <c r="J946" s="3"/>
    </row>
    <row r="947" ht="14.25" customHeight="1">
      <c r="F947" s="3"/>
      <c r="G947" s="3"/>
      <c r="H947" s="3"/>
      <c r="I947" s="3"/>
      <c r="J947" s="3"/>
    </row>
    <row r="948" ht="14.25" customHeight="1">
      <c r="F948" s="3"/>
      <c r="G948" s="3"/>
      <c r="H948" s="3"/>
      <c r="I948" s="3"/>
      <c r="J948" s="3"/>
    </row>
    <row r="949" ht="14.25" customHeight="1">
      <c r="F949" s="3"/>
      <c r="G949" s="3"/>
      <c r="H949" s="3"/>
      <c r="I949" s="3"/>
      <c r="J949" s="3"/>
    </row>
    <row r="950" ht="14.25" customHeight="1">
      <c r="F950" s="3"/>
      <c r="G950" s="3"/>
      <c r="H950" s="3"/>
      <c r="I950" s="3"/>
      <c r="J950" s="3"/>
    </row>
    <row r="951" ht="14.25" customHeight="1">
      <c r="F951" s="3"/>
      <c r="G951" s="3"/>
      <c r="H951" s="3"/>
      <c r="I951" s="3"/>
      <c r="J951" s="3"/>
    </row>
    <row r="952" ht="14.25" customHeight="1">
      <c r="F952" s="3"/>
      <c r="G952" s="3"/>
      <c r="H952" s="3"/>
      <c r="I952" s="3"/>
      <c r="J952" s="3"/>
    </row>
    <row r="953" ht="14.25" customHeight="1">
      <c r="F953" s="3"/>
      <c r="G953" s="3"/>
      <c r="H953" s="3"/>
      <c r="I953" s="3"/>
      <c r="J953" s="3"/>
    </row>
    <row r="954" ht="14.25" customHeight="1">
      <c r="F954" s="3"/>
      <c r="G954" s="3"/>
      <c r="H954" s="3"/>
      <c r="I954" s="3"/>
      <c r="J954" s="3"/>
    </row>
    <row r="955" ht="14.25" customHeight="1">
      <c r="F955" s="3"/>
      <c r="G955" s="3"/>
      <c r="H955" s="3"/>
      <c r="I955" s="3"/>
      <c r="J955" s="3"/>
    </row>
    <row r="956" ht="14.25" customHeight="1">
      <c r="F956" s="3"/>
      <c r="G956" s="3"/>
      <c r="H956" s="3"/>
      <c r="I956" s="3"/>
      <c r="J956" s="3"/>
    </row>
    <row r="957" ht="14.25" customHeight="1">
      <c r="F957" s="3"/>
      <c r="G957" s="3"/>
      <c r="H957" s="3"/>
      <c r="I957" s="3"/>
      <c r="J957" s="3"/>
    </row>
    <row r="958" ht="14.25" customHeight="1">
      <c r="F958" s="3"/>
      <c r="G958" s="3"/>
      <c r="H958" s="3"/>
      <c r="I958" s="3"/>
      <c r="J958" s="3"/>
    </row>
    <row r="959" ht="14.25" customHeight="1">
      <c r="F959" s="3"/>
      <c r="G959" s="3"/>
      <c r="H959" s="3"/>
      <c r="I959" s="3"/>
      <c r="J959" s="3"/>
    </row>
    <row r="960" ht="14.25" customHeight="1">
      <c r="F960" s="3"/>
      <c r="G960" s="3"/>
      <c r="H960" s="3"/>
      <c r="I960" s="3"/>
      <c r="J960" s="3"/>
    </row>
    <row r="961" ht="14.25" customHeight="1">
      <c r="F961" s="3"/>
      <c r="G961" s="3"/>
      <c r="H961" s="3"/>
      <c r="I961" s="3"/>
      <c r="J961" s="3"/>
    </row>
    <row r="962" ht="14.25" customHeight="1">
      <c r="F962" s="3"/>
      <c r="G962" s="3"/>
      <c r="H962" s="3"/>
      <c r="I962" s="3"/>
      <c r="J962" s="3"/>
    </row>
    <row r="963" ht="14.25" customHeight="1">
      <c r="F963" s="3"/>
      <c r="G963" s="3"/>
      <c r="H963" s="3"/>
      <c r="I963" s="3"/>
      <c r="J963" s="3"/>
    </row>
    <row r="964" ht="14.25" customHeight="1">
      <c r="F964" s="3"/>
      <c r="G964" s="3"/>
      <c r="H964" s="3"/>
      <c r="I964" s="3"/>
      <c r="J964" s="3"/>
    </row>
    <row r="965" ht="14.25" customHeight="1">
      <c r="F965" s="3"/>
      <c r="G965" s="3"/>
      <c r="H965" s="3"/>
      <c r="I965" s="3"/>
      <c r="J965" s="3"/>
    </row>
    <row r="966" ht="14.25" customHeight="1">
      <c r="F966" s="3"/>
      <c r="G966" s="3"/>
      <c r="H966" s="3"/>
      <c r="I966" s="3"/>
      <c r="J966" s="3"/>
    </row>
    <row r="967" ht="14.25" customHeight="1">
      <c r="F967" s="3"/>
      <c r="G967" s="3"/>
      <c r="H967" s="3"/>
      <c r="I967" s="3"/>
      <c r="J967" s="3"/>
    </row>
    <row r="968" ht="14.25" customHeight="1">
      <c r="F968" s="3"/>
      <c r="G968" s="3"/>
      <c r="H968" s="3"/>
      <c r="I968" s="3"/>
      <c r="J968" s="3"/>
    </row>
    <row r="969" ht="14.25" customHeight="1">
      <c r="F969" s="3"/>
      <c r="G969" s="3"/>
      <c r="H969" s="3"/>
      <c r="I969" s="3"/>
      <c r="J969" s="3"/>
    </row>
    <row r="970" ht="14.25" customHeight="1">
      <c r="F970" s="3"/>
      <c r="G970" s="3"/>
      <c r="H970" s="3"/>
      <c r="I970" s="3"/>
      <c r="J970" s="3"/>
    </row>
    <row r="971" ht="14.25" customHeight="1">
      <c r="F971" s="3"/>
      <c r="G971" s="3"/>
      <c r="H971" s="3"/>
      <c r="I971" s="3"/>
      <c r="J971" s="3"/>
    </row>
    <row r="972" ht="14.25" customHeight="1">
      <c r="F972" s="3"/>
      <c r="G972" s="3"/>
      <c r="H972" s="3"/>
      <c r="I972" s="3"/>
      <c r="J972" s="3"/>
    </row>
    <row r="973" ht="14.25" customHeight="1">
      <c r="F973" s="3"/>
      <c r="G973" s="3"/>
      <c r="H973" s="3"/>
      <c r="I973" s="3"/>
      <c r="J973" s="3"/>
    </row>
    <row r="974" ht="14.25" customHeight="1">
      <c r="F974" s="3"/>
      <c r="G974" s="3"/>
      <c r="H974" s="3"/>
      <c r="I974" s="3"/>
      <c r="J974" s="3"/>
    </row>
    <row r="975" ht="14.25" customHeight="1">
      <c r="F975" s="3"/>
      <c r="G975" s="3"/>
      <c r="H975" s="3"/>
      <c r="I975" s="3"/>
      <c r="J975" s="3"/>
    </row>
    <row r="976" ht="14.25" customHeight="1">
      <c r="F976" s="3"/>
      <c r="G976" s="3"/>
      <c r="H976" s="3"/>
      <c r="I976" s="3"/>
      <c r="J976" s="3"/>
    </row>
    <row r="977" ht="14.25" customHeight="1">
      <c r="F977" s="3"/>
      <c r="G977" s="3"/>
      <c r="H977" s="3"/>
      <c r="I977" s="3"/>
      <c r="J977" s="3"/>
    </row>
    <row r="978" ht="14.25" customHeight="1">
      <c r="F978" s="3"/>
      <c r="G978" s="3"/>
      <c r="H978" s="3"/>
      <c r="I978" s="3"/>
      <c r="J978" s="3"/>
    </row>
    <row r="979" ht="14.25" customHeight="1">
      <c r="F979" s="3"/>
      <c r="G979" s="3"/>
      <c r="H979" s="3"/>
      <c r="I979" s="3"/>
      <c r="J979" s="3"/>
    </row>
    <row r="980" ht="14.25" customHeight="1">
      <c r="F980" s="3"/>
      <c r="G980" s="3"/>
      <c r="H980" s="3"/>
      <c r="I980" s="3"/>
      <c r="J980" s="3"/>
    </row>
    <row r="981" ht="14.25" customHeight="1">
      <c r="F981" s="3"/>
      <c r="G981" s="3"/>
      <c r="H981" s="3"/>
      <c r="I981" s="3"/>
      <c r="J981" s="3"/>
    </row>
    <row r="982" ht="14.25" customHeight="1">
      <c r="F982" s="3"/>
      <c r="G982" s="3"/>
      <c r="H982" s="3"/>
      <c r="I982" s="3"/>
      <c r="J982" s="3"/>
    </row>
    <row r="983" ht="14.25" customHeight="1">
      <c r="F983" s="3"/>
      <c r="G983" s="3"/>
      <c r="H983" s="3"/>
      <c r="I983" s="3"/>
      <c r="J983" s="3"/>
    </row>
    <row r="984" ht="14.25" customHeight="1">
      <c r="F984" s="3"/>
      <c r="G984" s="3"/>
      <c r="H984" s="3"/>
      <c r="I984" s="3"/>
      <c r="J984" s="3"/>
    </row>
    <row r="985" ht="14.25" customHeight="1">
      <c r="F985" s="3"/>
      <c r="G985" s="3"/>
      <c r="H985" s="3"/>
      <c r="I985" s="3"/>
      <c r="J985" s="3"/>
    </row>
    <row r="986" ht="14.25" customHeight="1">
      <c r="F986" s="3"/>
      <c r="G986" s="3"/>
      <c r="H986" s="3"/>
      <c r="I986" s="3"/>
      <c r="J986" s="3"/>
    </row>
    <row r="987" ht="14.25" customHeight="1">
      <c r="F987" s="3"/>
      <c r="G987" s="3"/>
      <c r="H987" s="3"/>
      <c r="I987" s="3"/>
      <c r="J987" s="3"/>
    </row>
    <row r="988" ht="14.25" customHeight="1">
      <c r="F988" s="3"/>
      <c r="G988" s="3"/>
      <c r="H988" s="3"/>
      <c r="I988" s="3"/>
      <c r="J988" s="3"/>
    </row>
    <row r="989" ht="14.25" customHeight="1">
      <c r="F989" s="3"/>
      <c r="G989" s="3"/>
      <c r="H989" s="3"/>
      <c r="I989" s="3"/>
      <c r="J989" s="3"/>
    </row>
    <row r="990" ht="14.25" customHeight="1">
      <c r="F990" s="3"/>
      <c r="G990" s="3"/>
      <c r="H990" s="3"/>
      <c r="I990" s="3"/>
      <c r="J990" s="3"/>
    </row>
    <row r="991" ht="14.25" customHeight="1">
      <c r="F991" s="3"/>
      <c r="G991" s="3"/>
      <c r="H991" s="3"/>
      <c r="I991" s="3"/>
      <c r="J991" s="3"/>
    </row>
    <row r="992" ht="14.25" customHeight="1">
      <c r="F992" s="3"/>
      <c r="G992" s="3"/>
      <c r="H992" s="3"/>
      <c r="I992" s="3"/>
      <c r="J992" s="3"/>
    </row>
    <row r="993" ht="14.25" customHeight="1">
      <c r="F993" s="3"/>
      <c r="G993" s="3"/>
      <c r="H993" s="3"/>
      <c r="I993" s="3"/>
      <c r="J993" s="3"/>
    </row>
    <row r="994" ht="14.25" customHeight="1">
      <c r="F994" s="3"/>
      <c r="G994" s="3"/>
      <c r="H994" s="3"/>
      <c r="I994" s="3"/>
      <c r="J994" s="3"/>
    </row>
    <row r="995" ht="14.25" customHeight="1">
      <c r="F995" s="3"/>
      <c r="G995" s="3"/>
      <c r="H995" s="3"/>
      <c r="I995" s="3"/>
      <c r="J995" s="3"/>
    </row>
    <row r="996" ht="14.25" customHeight="1">
      <c r="F996" s="3"/>
      <c r="G996" s="3"/>
      <c r="H996" s="3"/>
      <c r="I996" s="3"/>
      <c r="J996" s="3"/>
    </row>
    <row r="997" ht="14.25" customHeight="1">
      <c r="F997" s="3"/>
      <c r="G997" s="3"/>
      <c r="H997" s="3"/>
      <c r="I997" s="3"/>
      <c r="J997" s="3"/>
    </row>
    <row r="998" ht="14.25" customHeight="1">
      <c r="F998" s="3"/>
      <c r="G998" s="3"/>
      <c r="H998" s="3"/>
      <c r="I998" s="3"/>
      <c r="J998" s="3"/>
    </row>
    <row r="999" ht="14.25" customHeight="1">
      <c r="F999" s="3"/>
      <c r="G999" s="3"/>
      <c r="H999" s="3"/>
      <c r="I999" s="3"/>
      <c r="J999" s="3"/>
    </row>
    <row r="1000" ht="14.25" customHeight="1">
      <c r="F1000" s="3"/>
      <c r="G1000" s="3"/>
      <c r="H1000" s="3"/>
      <c r="I1000" s="3"/>
      <c r="J1000" s="3"/>
    </row>
  </sheetData>
  <printOptions/>
  <pageMargins bottom="0.75" footer="0.0" header="0.0" left="0.7" right="0.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4" width="10.71"/>
    <col customWidth="1" min="5" max="5" width="11.57"/>
    <col customWidth="1" min="6" max="6" width="4.29"/>
    <col customWidth="1" min="7" max="8" width="10.71"/>
    <col customWidth="1" min="9" max="9" width="11.29"/>
    <col customWidth="1" min="10" max="10" width="14.29"/>
    <col customWidth="1" min="11" max="11" width="11.29"/>
    <col customWidth="1" min="12" max="13" width="10.71"/>
    <col customWidth="1" min="14" max="14" width="9.29"/>
    <col customWidth="1" min="15" max="15" width="10.71"/>
  </cols>
  <sheetData>
    <row r="1" ht="14.25" customHeight="1">
      <c r="E1" s="2"/>
      <c r="F1" s="2"/>
    </row>
    <row r="2" ht="14.25" customHeight="1">
      <c r="E2" s="2"/>
      <c r="F2" s="2"/>
    </row>
    <row r="3" ht="14.25" customHeight="1">
      <c r="E3" s="2"/>
      <c r="F3" s="2"/>
    </row>
    <row r="4" ht="14.25" customHeight="1">
      <c r="E4" s="2"/>
      <c r="F4" s="2"/>
      <c r="G4" s="2" t="s">
        <v>3922</v>
      </c>
    </row>
    <row r="5" ht="14.25" customHeight="1">
      <c r="E5" s="2"/>
      <c r="F5" s="2"/>
    </row>
    <row r="6" ht="14.25" customHeight="1">
      <c r="B6" s="2" t="s">
        <v>3923</v>
      </c>
      <c r="C6" s="197">
        <v>179.654</v>
      </c>
      <c r="D6" s="6">
        <v>170.0</v>
      </c>
      <c r="E6" s="65">
        <v>2516.6</v>
      </c>
      <c r="F6" s="6"/>
      <c r="G6" s="6">
        <v>170.0</v>
      </c>
      <c r="H6" s="65">
        <v>2516.6</v>
      </c>
    </row>
    <row r="7" ht="14.25" customHeight="1">
      <c r="D7" s="6">
        <f>+C6-D6</f>
        <v>9.654</v>
      </c>
      <c r="E7" s="65">
        <v>2520.3</v>
      </c>
      <c r="F7" s="6"/>
      <c r="G7" s="6">
        <v>11.0</v>
      </c>
      <c r="H7" s="65">
        <v>2520.3</v>
      </c>
    </row>
    <row r="8" ht="14.25" customHeight="1">
      <c r="D8" s="195">
        <f>SUM(D6:D7)</f>
        <v>179.654</v>
      </c>
      <c r="E8" s="6"/>
      <c r="F8" s="6"/>
      <c r="G8" s="6">
        <v>200.0</v>
      </c>
      <c r="H8" s="65">
        <v>2558.0</v>
      </c>
    </row>
    <row r="9" ht="14.25" customHeight="1">
      <c r="D9" s="6"/>
      <c r="E9" s="6"/>
      <c r="F9" s="6"/>
      <c r="G9" s="6">
        <v>4.0</v>
      </c>
      <c r="H9" s="65">
        <v>2616.0</v>
      </c>
    </row>
    <row r="10" ht="14.25" customHeight="1">
      <c r="D10" s="6"/>
      <c r="E10" s="6"/>
      <c r="F10" s="6"/>
      <c r="G10" s="6">
        <v>142.0</v>
      </c>
      <c r="H10" s="65">
        <v>2646.7</v>
      </c>
    </row>
    <row r="11" ht="14.25" customHeight="1">
      <c r="F11" s="6"/>
      <c r="G11" s="6">
        <v>138.0</v>
      </c>
      <c r="H11" s="65">
        <v>2720.0</v>
      </c>
      <c r="I11" s="654">
        <v>45586.0</v>
      </c>
    </row>
    <row r="12" ht="14.25" customHeight="1">
      <c r="F12" s="6"/>
      <c r="G12" s="6">
        <v>270.0</v>
      </c>
      <c r="H12" s="65">
        <v>2741.5</v>
      </c>
      <c r="I12" s="654">
        <v>45601.0</v>
      </c>
    </row>
    <row r="13" ht="14.25" customHeight="1">
      <c r="F13" s="6"/>
      <c r="G13" s="6">
        <v>110.0</v>
      </c>
      <c r="H13" s="65">
        <v>2646.5</v>
      </c>
      <c r="I13" s="654">
        <v>45616.0</v>
      </c>
      <c r="J13" s="57">
        <v>11.0</v>
      </c>
      <c r="K13" s="57" t="s">
        <v>3924</v>
      </c>
    </row>
    <row r="14" ht="14.25" customHeight="1">
      <c r="F14" s="6"/>
      <c r="G14" s="6">
        <v>207.0</v>
      </c>
      <c r="H14" s="65">
        <v>2651.9</v>
      </c>
      <c r="I14" s="654">
        <v>45630.0</v>
      </c>
      <c r="J14" s="57">
        <v>12.0</v>
      </c>
      <c r="K14" s="57" t="s">
        <v>3924</v>
      </c>
      <c r="L14" s="65">
        <f>6871.95*0.9366/31.1035</f>
        <v>206.9306789</v>
      </c>
    </row>
    <row r="15" ht="14.25" customHeight="1">
      <c r="F15" s="6"/>
      <c r="G15" s="6">
        <v>147.0</v>
      </c>
      <c r="H15" s="65">
        <v>2635.0</v>
      </c>
      <c r="I15" s="654">
        <v>45644.0</v>
      </c>
      <c r="J15" s="57">
        <v>13.0</v>
      </c>
      <c r="K15" s="57" t="s">
        <v>3924</v>
      </c>
      <c r="L15" s="65">
        <f>5111.96*0.8959/31.1035</f>
        <v>147.2440389</v>
      </c>
    </row>
    <row r="16" ht="14.25" customHeight="1">
      <c r="F16" s="2"/>
      <c r="G16" s="6">
        <v>168.0</v>
      </c>
      <c r="H16" s="65">
        <v>2617.5</v>
      </c>
      <c r="I16" s="654">
        <v>45657.0</v>
      </c>
      <c r="J16" s="57">
        <v>14.0</v>
      </c>
    </row>
    <row r="17" ht="14.25" customHeight="1">
      <c r="F17" s="2"/>
      <c r="G17" s="6">
        <v>168.0</v>
      </c>
      <c r="H17" s="65">
        <v>2689.0</v>
      </c>
      <c r="I17" s="654">
        <v>45667.0</v>
      </c>
      <c r="J17" s="57">
        <v>15.0</v>
      </c>
    </row>
    <row r="18" ht="14.25" customHeight="1">
      <c r="F18" s="2"/>
      <c r="G18" s="6">
        <v>11.67</v>
      </c>
      <c r="H18" s="65">
        <v>2667.8</v>
      </c>
      <c r="I18" s="654">
        <v>45672.0</v>
      </c>
      <c r="J18" s="57">
        <v>15.0</v>
      </c>
    </row>
    <row r="19" ht="14.25" customHeight="1">
      <c r="F19" s="2"/>
      <c r="G19" s="6">
        <v>225.0</v>
      </c>
      <c r="H19" s="65">
        <v>2758.0</v>
      </c>
      <c r="I19" s="654">
        <v>45679.0</v>
      </c>
      <c r="J19" s="57">
        <v>16.0</v>
      </c>
    </row>
    <row r="20" ht="14.25" customHeight="1">
      <c r="F20" s="2"/>
      <c r="G20" s="145">
        <v>225.0</v>
      </c>
      <c r="H20" s="433">
        <v>2758.5</v>
      </c>
      <c r="I20" s="655">
        <v>45686.0</v>
      </c>
      <c r="J20" s="68">
        <v>16.0</v>
      </c>
      <c r="K20" s="68"/>
      <c r="L20" s="68"/>
      <c r="M20" s="68" t="s">
        <v>3925</v>
      </c>
    </row>
    <row r="21" ht="14.25" customHeight="1">
      <c r="F21" s="2"/>
      <c r="G21" s="6">
        <v>212.0</v>
      </c>
      <c r="H21" s="65">
        <v>2820.0</v>
      </c>
      <c r="I21" s="654">
        <v>45691.0</v>
      </c>
      <c r="J21" s="57">
        <v>17.0</v>
      </c>
      <c r="M21" s="68" t="s">
        <v>3925</v>
      </c>
    </row>
    <row r="22" ht="14.25" customHeight="1">
      <c r="F22" s="2"/>
      <c r="G22" s="6">
        <v>197.0</v>
      </c>
      <c r="H22" s="65">
        <v>2891.0</v>
      </c>
      <c r="I22" s="654">
        <v>45714.0</v>
      </c>
      <c r="J22" s="57">
        <v>18.0</v>
      </c>
      <c r="M22" s="68" t="s">
        <v>3925</v>
      </c>
    </row>
    <row r="23" ht="14.25" customHeight="1">
      <c r="F23" s="2"/>
      <c r="G23" s="6"/>
      <c r="H23" s="65"/>
      <c r="M23" s="68" t="s">
        <v>3925</v>
      </c>
    </row>
    <row r="24" ht="14.25" customHeight="1">
      <c r="F24" s="2"/>
      <c r="G24" s="6"/>
      <c r="H24" s="65"/>
      <c r="M24" s="68"/>
    </row>
    <row r="25" ht="14.25" customHeight="1">
      <c r="F25" s="2"/>
      <c r="G25" s="6"/>
      <c r="H25" s="65"/>
      <c r="M25" s="68"/>
    </row>
    <row r="26" ht="14.25" customHeight="1">
      <c r="F26" s="2"/>
    </row>
    <row r="27" ht="14.25" customHeight="1">
      <c r="B27" s="2" t="s">
        <v>3926</v>
      </c>
      <c r="C27" s="197">
        <v>202.871</v>
      </c>
      <c r="D27" s="6">
        <f>+G7-D7</f>
        <v>1.346</v>
      </c>
      <c r="E27" s="65">
        <v>2520.3</v>
      </c>
      <c r="F27" s="2"/>
    </row>
    <row r="28" ht="14.25" customHeight="1">
      <c r="D28" s="6">
        <v>200.0</v>
      </c>
      <c r="E28" s="65">
        <v>2558.0</v>
      </c>
      <c r="F28" s="2"/>
    </row>
    <row r="29" ht="14.25" customHeight="1">
      <c r="D29" s="6">
        <f>+C27-D28-D27</f>
        <v>1.525</v>
      </c>
      <c r="E29" s="65">
        <v>2616.0</v>
      </c>
      <c r="F29" s="2"/>
    </row>
    <row r="30" ht="14.25" customHeight="1">
      <c r="D30" s="195">
        <f>SUM(D27:D29)</f>
        <v>202.871</v>
      </c>
      <c r="E30" s="6"/>
      <c r="F30" s="2"/>
    </row>
    <row r="31" ht="14.25" customHeight="1">
      <c r="D31" s="6"/>
      <c r="E31" s="6"/>
      <c r="F31" s="2"/>
    </row>
    <row r="32" ht="14.25" customHeight="1">
      <c r="B32" s="2" t="s">
        <v>3927</v>
      </c>
      <c r="C32" s="197">
        <v>142.423</v>
      </c>
      <c r="D32" s="6">
        <v>2.475</v>
      </c>
      <c r="E32" s="65">
        <v>2616.0</v>
      </c>
      <c r="F32" s="2"/>
      <c r="G32" s="57">
        <v>0.2</v>
      </c>
      <c r="H32" s="65">
        <f t="shared" ref="H32:H33" si="1">+E32*(100-G32)/100</f>
        <v>2610.768</v>
      </c>
      <c r="I32" s="65">
        <f t="shared" ref="I32:I33" si="2">+H32*D32</f>
        <v>6461.6508</v>
      </c>
    </row>
    <row r="33" ht="14.25" customHeight="1">
      <c r="D33" s="6">
        <v>139.948</v>
      </c>
      <c r="E33" s="65">
        <v>2646.7</v>
      </c>
      <c r="F33" s="2"/>
      <c r="G33" s="57">
        <v>0.2</v>
      </c>
      <c r="H33" s="65">
        <f t="shared" si="1"/>
        <v>2641.4066</v>
      </c>
      <c r="I33" s="65">
        <f t="shared" si="2"/>
        <v>369659.5709</v>
      </c>
    </row>
    <row r="34" ht="14.25" customHeight="1">
      <c r="D34" s="6">
        <f>SUM(D32:D33)</f>
        <v>142.423</v>
      </c>
      <c r="E34" s="65"/>
      <c r="F34" s="2"/>
    </row>
    <row r="35" ht="14.25" customHeight="1">
      <c r="E35" s="2"/>
      <c r="F35" s="2"/>
      <c r="I35" s="82">
        <f>SUM(I32:I34)</f>
        <v>376121.2217</v>
      </c>
    </row>
    <row r="36" ht="14.25" customHeight="1">
      <c r="E36" s="2"/>
      <c r="F36" s="2"/>
    </row>
    <row r="37" ht="14.25" customHeight="1">
      <c r="B37" s="57" t="s">
        <v>3928</v>
      </c>
      <c r="D37" s="6">
        <f>-D33+G10</f>
        <v>2.052</v>
      </c>
      <c r="E37" s="65">
        <f>+H10</f>
        <v>2646.7</v>
      </c>
      <c r="F37" s="2"/>
      <c r="G37" s="57">
        <v>0.2</v>
      </c>
      <c r="H37" s="65">
        <f t="shared" ref="H37:H38" si="3">+E37*(100-G37)/100</f>
        <v>2641.4066</v>
      </c>
      <c r="I37" s="65">
        <f t="shared" ref="I37:I38" si="4">+H37*D37</f>
        <v>5420.166343</v>
      </c>
    </row>
    <row r="38" ht="14.25" customHeight="1">
      <c r="D38" s="6">
        <f>137.08-D37</f>
        <v>135.028</v>
      </c>
      <c r="E38" s="65">
        <v>2720.0</v>
      </c>
      <c r="F38" s="2"/>
      <c r="G38" s="57">
        <v>0.2</v>
      </c>
      <c r="H38" s="65">
        <f t="shared" si="3"/>
        <v>2714.56</v>
      </c>
      <c r="I38" s="65">
        <f t="shared" si="4"/>
        <v>366541.6077</v>
      </c>
    </row>
    <row r="39" ht="14.25" customHeight="1">
      <c r="E39" s="2"/>
      <c r="F39" s="2"/>
    </row>
    <row r="40" ht="14.25" customHeight="1">
      <c r="E40" s="2"/>
      <c r="F40" s="2"/>
      <c r="I40" s="82">
        <f>SUM(I37:I39)</f>
        <v>371961.774</v>
      </c>
    </row>
    <row r="41" ht="14.25" customHeight="1">
      <c r="B41" s="2"/>
      <c r="E41" s="2"/>
      <c r="F41" s="2"/>
    </row>
    <row r="42" ht="14.25" customHeight="1">
      <c r="B42" s="2" t="s">
        <v>3929</v>
      </c>
      <c r="D42" s="5">
        <f>+G11-D38</f>
        <v>2.972</v>
      </c>
      <c r="E42" s="65">
        <f>+E38</f>
        <v>2720</v>
      </c>
      <c r="F42" s="2"/>
      <c r="G42" s="57">
        <v>0.2</v>
      </c>
      <c r="H42" s="65">
        <f t="shared" ref="H42:H43" si="5">+E42*(100-G42)/100</f>
        <v>2714.56</v>
      </c>
      <c r="I42" s="65">
        <f t="shared" ref="I42:I43" si="6">+H42*D42</f>
        <v>8067.67232</v>
      </c>
    </row>
    <row r="43" ht="14.25" customHeight="1">
      <c r="D43" s="5">
        <f>269.199-D42</f>
        <v>266.227</v>
      </c>
      <c r="E43" s="65">
        <v>2741.5</v>
      </c>
      <c r="F43" s="2"/>
      <c r="G43" s="57">
        <v>0.2</v>
      </c>
      <c r="H43" s="65">
        <f t="shared" si="5"/>
        <v>2736.017</v>
      </c>
      <c r="I43" s="65">
        <f t="shared" si="6"/>
        <v>728401.5979</v>
      </c>
    </row>
    <row r="44" ht="14.25" customHeight="1">
      <c r="E44" s="2"/>
      <c r="F44" s="2"/>
    </row>
    <row r="45" ht="14.25" customHeight="1">
      <c r="E45" s="2"/>
      <c r="F45" s="2"/>
      <c r="I45" s="82">
        <f>SUM(I42:I44)</f>
        <v>736469.2702</v>
      </c>
    </row>
    <row r="46" ht="14.25" customHeight="1">
      <c r="E46" s="2"/>
      <c r="F46" s="2"/>
    </row>
    <row r="47" ht="14.25" customHeight="1">
      <c r="B47" s="2" t="s">
        <v>3930</v>
      </c>
      <c r="D47" s="5">
        <f>+G12-D43</f>
        <v>3.773</v>
      </c>
      <c r="E47" s="65">
        <f>+E43</f>
        <v>2741.5</v>
      </c>
      <c r="F47" s="2"/>
      <c r="G47" s="57">
        <v>0.2</v>
      </c>
      <c r="H47" s="65">
        <f t="shared" ref="H47:H48" si="7">+E47*(100-G47)/100</f>
        <v>2736.017</v>
      </c>
      <c r="I47" s="65">
        <f t="shared" ref="I47:I48" si="8">+H47*D47</f>
        <v>10322.99214</v>
      </c>
    </row>
    <row r="48" ht="14.25" customHeight="1">
      <c r="D48" s="5">
        <f>110.296-D47</f>
        <v>106.523</v>
      </c>
      <c r="E48" s="65">
        <f>+H13</f>
        <v>2646.5</v>
      </c>
      <c r="F48" s="2"/>
      <c r="G48" s="57">
        <v>0.2</v>
      </c>
      <c r="H48" s="65">
        <f t="shared" si="7"/>
        <v>2641.207</v>
      </c>
      <c r="I48" s="65">
        <f t="shared" si="8"/>
        <v>281349.2933</v>
      </c>
    </row>
    <row r="49" ht="14.25" customHeight="1">
      <c r="E49" s="2"/>
      <c r="F49" s="2"/>
    </row>
    <row r="50" ht="14.25" customHeight="1">
      <c r="E50" s="2"/>
      <c r="F50" s="2"/>
      <c r="I50" s="82">
        <f>SUM(I47:I49)</f>
        <v>291672.2854</v>
      </c>
    </row>
    <row r="51" ht="14.25" customHeight="1">
      <c r="E51" s="2"/>
      <c r="F51" s="2"/>
    </row>
    <row r="52" ht="14.25" customHeight="1">
      <c r="E52" s="2"/>
      <c r="F52" s="2"/>
    </row>
    <row r="53" ht="14.25" customHeight="1">
      <c r="B53" s="2" t="s">
        <v>3931</v>
      </c>
      <c r="D53" s="5">
        <f>+G13-D48</f>
        <v>3.477</v>
      </c>
      <c r="E53" s="65">
        <f t="shared" ref="E53:E54" si="9">+H13</f>
        <v>2646.5</v>
      </c>
      <c r="F53" s="2"/>
      <c r="G53" s="57">
        <v>0.2</v>
      </c>
      <c r="H53" s="65">
        <f t="shared" ref="H53:H54" si="10">+E53*(100-G53)/100</f>
        <v>2641.207</v>
      </c>
      <c r="I53" s="65">
        <f t="shared" ref="I53:I54" si="11">+H53*D53</f>
        <v>9183.476739</v>
      </c>
    </row>
    <row r="54" ht="14.25" customHeight="1">
      <c r="D54" s="5">
        <f>206.412-D53</f>
        <v>202.935</v>
      </c>
      <c r="E54" s="65">
        <f t="shared" si="9"/>
        <v>2651.9</v>
      </c>
      <c r="F54" s="2"/>
      <c r="G54" s="57">
        <v>0.2</v>
      </c>
      <c r="H54" s="65">
        <f t="shared" si="10"/>
        <v>2646.5962</v>
      </c>
      <c r="I54" s="65">
        <f t="shared" si="11"/>
        <v>537086.9998</v>
      </c>
    </row>
    <row r="55" ht="14.25" customHeight="1">
      <c r="E55" s="2"/>
      <c r="F55" s="2"/>
    </row>
    <row r="56" ht="14.25" customHeight="1">
      <c r="E56" s="2"/>
      <c r="F56" s="2"/>
      <c r="I56" s="82">
        <f>SUM(I53:I55)</f>
        <v>546270.4766</v>
      </c>
    </row>
    <row r="57" ht="14.25" customHeight="1">
      <c r="E57" s="2"/>
      <c r="F57" s="2"/>
    </row>
    <row r="58" ht="14.25" customHeight="1">
      <c r="E58" s="2"/>
      <c r="F58" s="2"/>
    </row>
    <row r="59" ht="14.25" customHeight="1">
      <c r="B59" s="2" t="s">
        <v>3932</v>
      </c>
      <c r="D59" s="5">
        <f>+G14-D54</f>
        <v>4.065</v>
      </c>
      <c r="E59" s="65">
        <f>+E54</f>
        <v>2651.9</v>
      </c>
      <c r="F59" s="2"/>
      <c r="G59" s="57">
        <v>0.2</v>
      </c>
      <c r="H59" s="65">
        <f t="shared" ref="H59:H60" si="12">+E59*(100-G59)/100</f>
        <v>2646.5962</v>
      </c>
      <c r="I59" s="65">
        <f t="shared" ref="I59:I60" si="13">+H59*D59</f>
        <v>10758.41355</v>
      </c>
    </row>
    <row r="60" ht="14.25" customHeight="1">
      <c r="D60" s="5">
        <f>146.797-D59</f>
        <v>142.732</v>
      </c>
      <c r="E60" s="65">
        <f>+H15</f>
        <v>2635</v>
      </c>
      <c r="F60" s="2"/>
      <c r="G60" s="57">
        <v>0.2</v>
      </c>
      <c r="H60" s="65">
        <f t="shared" si="12"/>
        <v>2629.73</v>
      </c>
      <c r="I60" s="65">
        <f t="shared" si="13"/>
        <v>375346.6224</v>
      </c>
    </row>
    <row r="61" ht="14.25" customHeight="1">
      <c r="E61" s="2"/>
      <c r="F61" s="2"/>
    </row>
    <row r="62" ht="14.25" customHeight="1">
      <c r="E62" s="2"/>
      <c r="F62" s="2"/>
      <c r="I62" s="82">
        <f>SUM(I59:I61)</f>
        <v>386105.0359</v>
      </c>
    </row>
    <row r="63" ht="14.25" customHeight="1">
      <c r="E63" s="2"/>
      <c r="F63" s="2"/>
    </row>
    <row r="64" ht="14.25" customHeight="1">
      <c r="B64" s="2" t="s">
        <v>3933</v>
      </c>
      <c r="D64" s="5">
        <f>+G15-D60</f>
        <v>4.268</v>
      </c>
      <c r="E64" s="65">
        <f t="shared" ref="E64:E65" si="14">+H15</f>
        <v>2635</v>
      </c>
      <c r="F64" s="2"/>
      <c r="G64" s="57">
        <v>0.2</v>
      </c>
      <c r="H64" s="65">
        <f t="shared" ref="H64:H65" si="15">+E64*(100-G64)/100</f>
        <v>2629.73</v>
      </c>
      <c r="I64" s="65">
        <f t="shared" ref="I64:I65" si="16">+H64*D64</f>
        <v>11223.68764</v>
      </c>
    </row>
    <row r="65" ht="14.25" customHeight="1">
      <c r="D65" s="5">
        <f>167.953-D64</f>
        <v>163.685</v>
      </c>
      <c r="E65" s="65">
        <f t="shared" si="14"/>
        <v>2617.5</v>
      </c>
      <c r="F65" s="2"/>
      <c r="G65" s="57">
        <v>0.2</v>
      </c>
      <c r="H65" s="65">
        <f t="shared" si="15"/>
        <v>2612.265</v>
      </c>
      <c r="I65" s="65">
        <f t="shared" si="16"/>
        <v>427588.5965</v>
      </c>
    </row>
    <row r="66" ht="14.25" customHeight="1">
      <c r="E66" s="2"/>
      <c r="F66" s="2"/>
    </row>
    <row r="67" ht="14.25" customHeight="1">
      <c r="E67" s="2"/>
      <c r="F67" s="2"/>
      <c r="I67" s="82">
        <f>SUM(I64:I66)</f>
        <v>438812.2842</v>
      </c>
    </row>
    <row r="68" ht="14.25" customHeight="1">
      <c r="E68" s="2"/>
      <c r="F68" s="2"/>
    </row>
    <row r="69" ht="14.25" customHeight="1">
      <c r="E69" s="2"/>
      <c r="F69" s="2"/>
    </row>
    <row r="70" ht="14.25" customHeight="1">
      <c r="B70" s="2" t="s">
        <v>3934</v>
      </c>
      <c r="D70" s="5">
        <f>+G16-D65</f>
        <v>4.315</v>
      </c>
      <c r="E70" s="65">
        <f>+E65</f>
        <v>2617.5</v>
      </c>
      <c r="F70" s="2"/>
      <c r="G70" s="57">
        <v>0.2</v>
      </c>
      <c r="H70" s="65">
        <f t="shared" ref="H70:H72" si="18">+E70*(100-G70)/100</f>
        <v>2612.265</v>
      </c>
      <c r="I70" s="65">
        <f t="shared" ref="I70:I72" si="19">+H70*D70</f>
        <v>11271.92347</v>
      </c>
    </row>
    <row r="71" ht="14.25" customHeight="1">
      <c r="D71" s="5">
        <f t="shared" ref="D71:E71" si="17">+G17</f>
        <v>168</v>
      </c>
      <c r="E71" s="65">
        <f t="shared" si="17"/>
        <v>2689</v>
      </c>
      <c r="F71" s="2"/>
      <c r="G71" s="57">
        <v>0.2</v>
      </c>
      <c r="H71" s="65">
        <f t="shared" si="18"/>
        <v>2683.622</v>
      </c>
      <c r="I71" s="65">
        <f t="shared" si="19"/>
        <v>450848.496</v>
      </c>
    </row>
    <row r="72" ht="14.25" customHeight="1">
      <c r="D72" s="5">
        <f>178.825-D70-D71</f>
        <v>6.51</v>
      </c>
      <c r="E72" s="65">
        <v>2667.8</v>
      </c>
      <c r="F72" s="2"/>
      <c r="G72" s="57">
        <v>0.2</v>
      </c>
      <c r="H72" s="65">
        <f t="shared" si="18"/>
        <v>2662.4644</v>
      </c>
      <c r="I72" s="65">
        <f t="shared" si="19"/>
        <v>17332.64324</v>
      </c>
    </row>
    <row r="73" ht="14.25" customHeight="1">
      <c r="E73" s="2"/>
      <c r="F73" s="2"/>
      <c r="I73" s="82"/>
    </row>
    <row r="74" ht="14.25" customHeight="1">
      <c r="E74" s="2"/>
      <c r="F74" s="2"/>
      <c r="I74" s="82">
        <f>SUM(I70:I73)</f>
        <v>479453.0627</v>
      </c>
    </row>
    <row r="75" ht="14.2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4.25" customHeight="1">
      <c r="E76" s="2"/>
      <c r="F76" s="2"/>
      <c r="I76" s="65"/>
    </row>
    <row r="77" ht="14.25" customHeight="1">
      <c r="B77" s="2" t="s">
        <v>3935</v>
      </c>
      <c r="D77" s="5">
        <f t="shared" ref="D77:E77" si="20">+G20</f>
        <v>225</v>
      </c>
      <c r="E77" s="5">
        <f t="shared" si="20"/>
        <v>2758.5</v>
      </c>
      <c r="F77" s="2"/>
      <c r="G77" s="57">
        <v>0.45</v>
      </c>
      <c r="H77" s="65">
        <f t="shared" ref="H77:H78" si="21">+E77*(100-G77)/100</f>
        <v>2746.08675</v>
      </c>
      <c r="I77" s="65">
        <f t="shared" ref="I77:I78" si="22">+H77*D77</f>
        <v>617869.5188</v>
      </c>
      <c r="J77" s="65">
        <f t="shared" ref="J77:J78" si="23">+D77*E77</f>
        <v>620662.5</v>
      </c>
    </row>
    <row r="78" ht="14.25" customHeight="1">
      <c r="D78" s="5">
        <v>1.103</v>
      </c>
      <c r="E78" s="5">
        <f>+H21</f>
        <v>2820</v>
      </c>
      <c r="F78" s="2"/>
      <c r="G78" s="57">
        <v>0.45</v>
      </c>
      <c r="H78" s="65">
        <f t="shared" si="21"/>
        <v>2807.31</v>
      </c>
      <c r="I78" s="65">
        <f t="shared" si="22"/>
        <v>3096.46293</v>
      </c>
      <c r="J78" s="65">
        <f t="shared" si="23"/>
        <v>3110.46</v>
      </c>
    </row>
    <row r="79" ht="14.25" customHeight="1">
      <c r="D79" s="82">
        <f>+D77+D78</f>
        <v>226.103</v>
      </c>
      <c r="E79" s="2"/>
      <c r="F79" s="2"/>
      <c r="I79" s="82"/>
      <c r="J79" s="65">
        <f>SUM(J77:J78)</f>
        <v>623772.96</v>
      </c>
      <c r="K79" s="65">
        <f>+J79*0.9955</f>
        <v>620965.9817</v>
      </c>
    </row>
    <row r="80" ht="14.25" customHeight="1">
      <c r="E80" s="2"/>
      <c r="F80" s="2"/>
      <c r="I80" s="82">
        <f>SUM(I77:I79)</f>
        <v>620965.9817</v>
      </c>
    </row>
    <row r="81" ht="14.25" customHeight="1">
      <c r="E81" s="2"/>
      <c r="F81" s="2"/>
    </row>
    <row r="82" ht="14.25" customHeight="1">
      <c r="B82" s="2" t="s">
        <v>3936</v>
      </c>
      <c r="D82" s="5">
        <v>200.9</v>
      </c>
      <c r="E82" s="5">
        <f>+H21</f>
        <v>2820</v>
      </c>
      <c r="F82" s="2"/>
      <c r="G82" s="58">
        <v>0.6</v>
      </c>
      <c r="H82" s="65">
        <f>+ROUND(E82*(100-G82)/100,2)</f>
        <v>2803.08</v>
      </c>
      <c r="I82" s="65">
        <f t="shared" ref="I82:I83" si="24">+H82*D82</f>
        <v>563138.772</v>
      </c>
    </row>
    <row r="83" ht="14.25" customHeight="1">
      <c r="D83" s="5"/>
      <c r="E83" s="5"/>
      <c r="F83" s="2"/>
      <c r="G83" s="58">
        <v>0.6</v>
      </c>
      <c r="H83" s="65">
        <f>+E83*(100-G83)/100</f>
        <v>0</v>
      </c>
      <c r="I83" s="65">
        <f t="shared" si="24"/>
        <v>0</v>
      </c>
    </row>
    <row r="84" ht="14.25" customHeight="1">
      <c r="E84" s="2"/>
      <c r="F84" s="2"/>
      <c r="I84" s="82"/>
    </row>
    <row r="85" ht="14.25" customHeight="1">
      <c r="E85" s="2"/>
      <c r="F85" s="2"/>
      <c r="I85" s="82">
        <f>SUM(I82:I84)</f>
        <v>563138.772</v>
      </c>
    </row>
    <row r="86" ht="14.25" customHeight="1">
      <c r="E86" s="2"/>
      <c r="F86" s="2"/>
    </row>
    <row r="87" ht="14.25" customHeight="1">
      <c r="E87" s="2"/>
      <c r="F87" s="2"/>
    </row>
    <row r="88" ht="14.25" customHeight="1">
      <c r="B88" s="2" t="s">
        <v>3937</v>
      </c>
      <c r="D88" s="5">
        <f>+O88</f>
        <v>197.3592744</v>
      </c>
      <c r="E88" s="5">
        <f>+H22</f>
        <v>2891</v>
      </c>
      <c r="F88" s="2"/>
      <c r="G88" s="58">
        <v>0.6</v>
      </c>
      <c r="H88" s="65">
        <f>+ROUND(E88*(100-G88)/100,2)</f>
        <v>2873.65</v>
      </c>
      <c r="I88" s="65">
        <f t="shared" ref="I88:I89" si="25">+H88*D88</f>
        <v>567141.4789</v>
      </c>
      <c r="L88" s="5">
        <v>90.208</v>
      </c>
      <c r="M88" s="65">
        <v>6804.9</v>
      </c>
      <c r="N88" s="65">
        <f>+M88*L88/100</f>
        <v>6138.564192</v>
      </c>
      <c r="O88" s="65">
        <f>+N88/31.1035</f>
        <v>197.3592744</v>
      </c>
    </row>
    <row r="89" ht="14.25" customHeight="1">
      <c r="D89" s="5"/>
      <c r="E89" s="5"/>
      <c r="F89" s="2"/>
      <c r="G89" s="58">
        <v>0.6</v>
      </c>
      <c r="H89" s="65">
        <f>+E89*(100-G89)/100</f>
        <v>0</v>
      </c>
      <c r="I89" s="65">
        <f t="shared" si="25"/>
        <v>0</v>
      </c>
    </row>
    <row r="90" ht="14.25" customHeight="1">
      <c r="E90" s="2"/>
      <c r="F90" s="2"/>
      <c r="I90" s="82"/>
    </row>
    <row r="91" ht="14.25" customHeight="1">
      <c r="E91" s="2"/>
      <c r="F91" s="2"/>
      <c r="I91" s="82">
        <f>SUM(I88:I90)</f>
        <v>567141.4789</v>
      </c>
    </row>
    <row r="92" ht="14.25" customHeight="1">
      <c r="E92" s="2"/>
      <c r="F92" s="2"/>
    </row>
    <row r="93" ht="14.25" customHeight="1">
      <c r="E93" s="2"/>
      <c r="F93" s="2"/>
    </row>
    <row r="94" ht="14.25" customHeight="1">
      <c r="E94" s="2"/>
      <c r="F94" s="2"/>
    </row>
    <row r="95" ht="14.25" customHeight="1">
      <c r="E95" s="2"/>
      <c r="F95" s="2"/>
    </row>
    <row r="96" ht="14.25" customHeight="1">
      <c r="E96" s="2"/>
      <c r="F96" s="2"/>
    </row>
    <row r="97" ht="14.25" customHeight="1">
      <c r="E97" s="2"/>
      <c r="F97" s="2"/>
    </row>
    <row r="98" ht="14.25" customHeight="1">
      <c r="E98" s="2"/>
      <c r="F98" s="2"/>
    </row>
    <row r="99" ht="14.25" customHeight="1">
      <c r="E99" s="2"/>
      <c r="F99" s="2"/>
    </row>
    <row r="100" ht="14.25" customHeight="1">
      <c r="E100" s="2"/>
      <c r="F100" s="2"/>
    </row>
    <row r="101" ht="14.25" customHeight="1">
      <c r="E101" s="2"/>
      <c r="F101" s="2"/>
    </row>
    <row r="102" ht="14.25" customHeight="1">
      <c r="E102" s="2"/>
      <c r="F102" s="2"/>
    </row>
    <row r="103" ht="14.25" customHeight="1">
      <c r="E103" s="2"/>
      <c r="F103" s="2"/>
    </row>
    <row r="104" ht="14.25" customHeight="1">
      <c r="A104" s="57" t="s">
        <v>3938</v>
      </c>
      <c r="B104" s="656">
        <v>45968.0</v>
      </c>
      <c r="C104" s="65">
        <v>165.0</v>
      </c>
      <c r="D104" s="65">
        <v>4000.0</v>
      </c>
      <c r="E104" s="2"/>
      <c r="F104" s="2"/>
    </row>
    <row r="105" ht="14.25" customHeight="1">
      <c r="A105" s="57" t="s">
        <v>3939</v>
      </c>
      <c r="B105" s="656">
        <v>45987.0</v>
      </c>
      <c r="C105" s="65">
        <v>178.0</v>
      </c>
      <c r="D105" s="65">
        <v>4192.0</v>
      </c>
      <c r="E105" s="2"/>
      <c r="F105" s="2"/>
    </row>
    <row r="106" ht="14.25" customHeight="1">
      <c r="A106" s="57" t="s">
        <v>3940</v>
      </c>
      <c r="B106" s="656">
        <v>46001.0</v>
      </c>
      <c r="C106" s="65">
        <v>130.0</v>
      </c>
      <c r="D106" s="65">
        <v>4200.0</v>
      </c>
      <c r="E106" s="2"/>
      <c r="F106" s="2"/>
    </row>
    <row r="107" ht="14.25" customHeight="1">
      <c r="A107" s="57" t="s">
        <v>3941</v>
      </c>
      <c r="B107" s="656">
        <v>46003.0</v>
      </c>
      <c r="C107" s="65">
        <v>165.0</v>
      </c>
      <c r="D107" s="65">
        <v>4413.0</v>
      </c>
      <c r="E107" s="2"/>
      <c r="F107" s="2"/>
    </row>
    <row r="108" ht="14.25" customHeight="1">
      <c r="A108" s="57" t="s">
        <v>3942</v>
      </c>
      <c r="B108" s="656">
        <v>46015.0</v>
      </c>
      <c r="C108" s="65">
        <v>150.0</v>
      </c>
      <c r="D108" s="65">
        <v>4460.0</v>
      </c>
      <c r="E108" s="2"/>
      <c r="F108" s="2"/>
    </row>
    <row r="109" ht="14.25" customHeight="1">
      <c r="A109" s="57" t="s">
        <v>3943</v>
      </c>
      <c r="B109" s="656">
        <v>46034.0</v>
      </c>
      <c r="C109" s="65">
        <v>170.0</v>
      </c>
      <c r="D109" s="65">
        <v>4610.0</v>
      </c>
      <c r="E109" s="2"/>
      <c r="F109" s="2"/>
    </row>
    <row r="110" ht="14.25" customHeight="1">
      <c r="A110" s="57" t="s">
        <v>3944</v>
      </c>
      <c r="B110" s="656">
        <v>46049.0</v>
      </c>
      <c r="C110" s="65">
        <v>135.0</v>
      </c>
      <c r="D110" s="65">
        <v>5090.0</v>
      </c>
      <c r="E110" s="2"/>
      <c r="F110" s="2"/>
    </row>
    <row r="111" ht="14.25" customHeight="1">
      <c r="A111" s="57" t="s">
        <v>3945</v>
      </c>
      <c r="B111" s="656">
        <v>46062.0</v>
      </c>
      <c r="C111" s="65">
        <v>174.0</v>
      </c>
      <c r="D111" s="65">
        <v>5006.0</v>
      </c>
      <c r="E111" s="2"/>
      <c r="F111" s="2"/>
    </row>
    <row r="112" ht="14.25" customHeight="1">
      <c r="A112" s="57" t="s">
        <v>3946</v>
      </c>
      <c r="B112" s="656"/>
      <c r="C112" s="65"/>
      <c r="D112" s="65"/>
      <c r="E112" s="2"/>
      <c r="F112" s="2"/>
    </row>
    <row r="113" ht="14.25" customHeight="1">
      <c r="A113" s="57" t="s">
        <v>3947</v>
      </c>
      <c r="B113" s="656"/>
      <c r="C113" s="65"/>
      <c r="D113" s="65"/>
      <c r="E113" s="2"/>
      <c r="F113" s="2"/>
    </row>
    <row r="114" ht="14.25" customHeight="1">
      <c r="A114" s="57" t="s">
        <v>3948</v>
      </c>
      <c r="B114" s="656"/>
      <c r="C114" s="65"/>
      <c r="D114" s="65"/>
      <c r="E114" s="2"/>
      <c r="F114" s="2"/>
    </row>
    <row r="115" ht="14.25" customHeight="1">
      <c r="A115" s="57" t="s">
        <v>3949</v>
      </c>
      <c r="B115" s="656"/>
      <c r="C115" s="65"/>
      <c r="D115" s="65"/>
      <c r="E115" s="2"/>
      <c r="F115" s="2"/>
    </row>
    <row r="116" ht="14.25" customHeight="1">
      <c r="A116" s="57" t="s">
        <v>3950</v>
      </c>
      <c r="B116" s="656"/>
      <c r="C116" s="65"/>
      <c r="D116" s="65"/>
      <c r="E116" s="2"/>
      <c r="F116" s="2"/>
    </row>
    <row r="117" ht="14.25" customHeight="1">
      <c r="A117" s="57" t="s">
        <v>3951</v>
      </c>
      <c r="B117" s="656"/>
      <c r="C117" s="65"/>
      <c r="D117" s="65"/>
      <c r="E117" s="2"/>
      <c r="F117" s="2"/>
    </row>
    <row r="118" ht="14.25" customHeight="1">
      <c r="A118" s="57" t="s">
        <v>3952</v>
      </c>
      <c r="B118" s="656"/>
      <c r="C118" s="65"/>
      <c r="D118" s="65"/>
      <c r="E118" s="2"/>
      <c r="F118" s="2"/>
    </row>
    <row r="119" ht="14.25" customHeight="1">
      <c r="A119" s="57" t="s">
        <v>3953</v>
      </c>
      <c r="B119" s="656"/>
      <c r="C119" s="65"/>
      <c r="D119" s="65"/>
      <c r="E119" s="2"/>
      <c r="F119" s="2"/>
    </row>
    <row r="120" ht="14.25" customHeight="1">
      <c r="A120" s="57" t="s">
        <v>3954</v>
      </c>
      <c r="B120" s="656"/>
      <c r="C120" s="65"/>
      <c r="D120" s="65"/>
      <c r="E120" s="2"/>
      <c r="F120" s="2"/>
    </row>
    <row r="121" ht="14.25" customHeight="1">
      <c r="E121" s="2"/>
      <c r="F121" s="2"/>
    </row>
    <row r="122" ht="14.25" customHeight="1">
      <c r="E122" s="2"/>
      <c r="F122" s="2"/>
    </row>
    <row r="123" ht="14.25" customHeight="1">
      <c r="E123" s="2"/>
      <c r="F123" s="2"/>
    </row>
    <row r="124" ht="14.25" customHeight="1">
      <c r="E124" s="2"/>
      <c r="F124" s="2"/>
    </row>
    <row r="125" ht="14.25" customHeight="1">
      <c r="E125" s="2"/>
      <c r="F125" s="2"/>
    </row>
    <row r="126" ht="14.25" customHeight="1">
      <c r="E126" s="2"/>
      <c r="F126" s="2"/>
    </row>
    <row r="127" ht="14.25" customHeight="1">
      <c r="E127" s="2"/>
      <c r="F127" s="2"/>
    </row>
    <row r="128" ht="14.25" customHeight="1">
      <c r="E128" s="2"/>
      <c r="F128" s="2"/>
    </row>
    <row r="129" ht="14.25" customHeight="1">
      <c r="E129" s="2"/>
      <c r="F129" s="2"/>
    </row>
    <row r="130" ht="14.25" customHeight="1">
      <c r="E130" s="2"/>
      <c r="F130" s="2"/>
    </row>
    <row r="131" ht="14.25" customHeight="1">
      <c r="E131" s="2"/>
      <c r="F131" s="2"/>
    </row>
    <row r="132" ht="14.25" customHeight="1">
      <c r="E132" s="2"/>
      <c r="F132" s="2"/>
    </row>
    <row r="133" ht="14.25" customHeight="1">
      <c r="E133" s="2"/>
      <c r="F133" s="2"/>
    </row>
    <row r="134" ht="14.25" customHeight="1">
      <c r="E134" s="2"/>
      <c r="F134" s="2"/>
    </row>
    <row r="135" ht="14.25" customHeight="1">
      <c r="E135" s="2"/>
      <c r="F135" s="2"/>
    </row>
    <row r="136" ht="14.25" customHeight="1">
      <c r="E136" s="2"/>
      <c r="F136" s="2"/>
    </row>
    <row r="137" ht="14.25" customHeight="1">
      <c r="E137" s="2"/>
      <c r="F137" s="2"/>
    </row>
    <row r="138" ht="14.25" customHeight="1">
      <c r="E138" s="2"/>
      <c r="F138" s="2"/>
    </row>
    <row r="139" ht="14.25" customHeight="1">
      <c r="E139" s="2"/>
      <c r="F139" s="2"/>
    </row>
    <row r="140" ht="14.25" customHeight="1">
      <c r="E140" s="2"/>
      <c r="F140" s="2"/>
    </row>
    <row r="141" ht="14.25" customHeight="1">
      <c r="E141" s="2"/>
      <c r="F141" s="2"/>
    </row>
    <row r="142" ht="14.25" customHeight="1">
      <c r="E142" s="2"/>
      <c r="F142" s="2"/>
    </row>
    <row r="143" ht="14.25" customHeight="1">
      <c r="E143" s="2"/>
      <c r="F143" s="2"/>
    </row>
    <row r="144" ht="14.25" customHeight="1">
      <c r="E144" s="2"/>
      <c r="F144" s="2"/>
    </row>
    <row r="145" ht="14.25" customHeight="1">
      <c r="E145" s="2"/>
      <c r="F145" s="2"/>
    </row>
    <row r="146" ht="14.25" customHeight="1">
      <c r="E146" s="2"/>
      <c r="F146" s="2"/>
    </row>
    <row r="147" ht="14.25" customHeight="1">
      <c r="E147" s="2"/>
      <c r="F147" s="2"/>
    </row>
    <row r="148" ht="14.25" customHeight="1">
      <c r="E148" s="2"/>
      <c r="F148" s="2"/>
    </row>
    <row r="149" ht="14.25" customHeight="1">
      <c r="E149" s="2"/>
      <c r="F149" s="2"/>
    </row>
    <row r="150" ht="14.25" customHeight="1">
      <c r="E150" s="2"/>
      <c r="F150" s="2"/>
    </row>
    <row r="151" ht="14.25" customHeight="1">
      <c r="E151" s="2"/>
      <c r="F151" s="2"/>
    </row>
    <row r="152" ht="14.25" customHeight="1">
      <c r="E152" s="2"/>
      <c r="F152" s="2"/>
    </row>
    <row r="153" ht="14.25" customHeight="1">
      <c r="E153" s="2"/>
      <c r="F153" s="2"/>
    </row>
    <row r="154" ht="14.25" customHeight="1">
      <c r="E154" s="2"/>
      <c r="F154" s="2"/>
    </row>
    <row r="155" ht="14.25" customHeight="1">
      <c r="E155" s="2"/>
      <c r="F155" s="2"/>
    </row>
    <row r="156" ht="14.25" customHeight="1">
      <c r="E156" s="2"/>
      <c r="F156" s="2"/>
    </row>
    <row r="157" ht="14.25" customHeight="1">
      <c r="E157" s="2"/>
      <c r="F157" s="2"/>
    </row>
    <row r="158" ht="14.25" customHeight="1">
      <c r="E158" s="2"/>
      <c r="F158" s="2"/>
    </row>
    <row r="159" ht="14.25" customHeight="1">
      <c r="E159" s="2"/>
      <c r="F159" s="2"/>
    </row>
    <row r="160" ht="14.25" customHeight="1">
      <c r="E160" s="2"/>
      <c r="F160" s="2"/>
    </row>
    <row r="161" ht="14.25" customHeight="1">
      <c r="E161" s="2"/>
      <c r="F161" s="2"/>
    </row>
    <row r="162" ht="14.25" customHeight="1">
      <c r="E162" s="2"/>
      <c r="F162" s="2"/>
    </row>
    <row r="163" ht="14.25" customHeight="1">
      <c r="E163" s="2"/>
      <c r="F163" s="2"/>
    </row>
    <row r="164" ht="14.25" customHeight="1">
      <c r="E164" s="2"/>
      <c r="F164" s="2"/>
    </row>
    <row r="165" ht="14.25" customHeight="1">
      <c r="E165" s="2"/>
      <c r="F165" s="2"/>
    </row>
    <row r="166" ht="14.25" customHeight="1">
      <c r="E166" s="2"/>
      <c r="F166" s="2"/>
    </row>
    <row r="167" ht="14.25" customHeight="1">
      <c r="E167" s="2"/>
      <c r="F167" s="2"/>
    </row>
    <row r="168" ht="14.25" customHeight="1">
      <c r="E168" s="2"/>
      <c r="F168" s="2"/>
    </row>
    <row r="169" ht="14.25" customHeight="1">
      <c r="E169" s="2"/>
      <c r="F169" s="2"/>
    </row>
    <row r="170" ht="14.25" customHeight="1">
      <c r="E170" s="2"/>
      <c r="F170" s="2"/>
    </row>
    <row r="171" ht="14.25" customHeight="1">
      <c r="E171" s="2"/>
      <c r="F171" s="2"/>
    </row>
    <row r="172" ht="14.25" customHeight="1">
      <c r="E172" s="2"/>
      <c r="F172" s="2"/>
    </row>
    <row r="173" ht="14.25" customHeight="1">
      <c r="E173" s="2"/>
      <c r="F173" s="2"/>
    </row>
    <row r="174" ht="14.25" customHeight="1">
      <c r="E174" s="2"/>
      <c r="F174" s="2"/>
    </row>
    <row r="175" ht="14.25" customHeight="1">
      <c r="E175" s="2"/>
      <c r="F175" s="2"/>
    </row>
    <row r="176" ht="14.25" customHeight="1">
      <c r="E176" s="2"/>
      <c r="F176" s="2"/>
    </row>
    <row r="177" ht="14.25" customHeight="1">
      <c r="E177" s="2"/>
      <c r="F177" s="2"/>
    </row>
    <row r="178" ht="14.25" customHeight="1">
      <c r="E178" s="2"/>
      <c r="F178" s="2"/>
    </row>
    <row r="179" ht="14.25" customHeight="1">
      <c r="E179" s="2"/>
      <c r="F179" s="2"/>
    </row>
    <row r="180" ht="14.25" customHeight="1">
      <c r="E180" s="2"/>
      <c r="F180" s="2"/>
    </row>
    <row r="181" ht="14.25" customHeight="1">
      <c r="E181" s="2"/>
      <c r="F181" s="2"/>
    </row>
    <row r="182" ht="14.25" customHeight="1">
      <c r="E182" s="2"/>
      <c r="F182" s="2"/>
    </row>
    <row r="183" ht="14.25" customHeight="1">
      <c r="E183" s="2"/>
      <c r="F183" s="2"/>
    </row>
    <row r="184" ht="14.25" customHeight="1">
      <c r="E184" s="2"/>
      <c r="F184" s="2"/>
    </row>
    <row r="185" ht="14.25" customHeight="1">
      <c r="E185" s="2"/>
      <c r="F185" s="2"/>
    </row>
    <row r="186" ht="14.25" customHeight="1">
      <c r="E186" s="2"/>
      <c r="F186" s="2"/>
    </row>
    <row r="187" ht="14.25" customHeight="1">
      <c r="E187" s="2"/>
      <c r="F187" s="2"/>
    </row>
    <row r="188" ht="14.25" customHeight="1">
      <c r="E188" s="2"/>
      <c r="F188" s="2"/>
    </row>
    <row r="189" ht="14.25" customHeight="1">
      <c r="E189" s="2"/>
      <c r="F189" s="2"/>
    </row>
    <row r="190" ht="14.25" customHeight="1">
      <c r="E190" s="2"/>
      <c r="F190" s="2"/>
    </row>
    <row r="191" ht="14.25" customHeight="1">
      <c r="E191" s="2"/>
      <c r="F191" s="2"/>
    </row>
    <row r="192" ht="14.25" customHeight="1">
      <c r="E192" s="2"/>
      <c r="F192" s="2"/>
    </row>
    <row r="193" ht="14.25" customHeight="1">
      <c r="E193" s="2"/>
      <c r="F193" s="2"/>
    </row>
    <row r="194" ht="14.25" customHeight="1">
      <c r="E194" s="2"/>
      <c r="F194" s="2"/>
    </row>
    <row r="195" ht="14.25" customHeight="1">
      <c r="E195" s="2"/>
      <c r="F195" s="2"/>
    </row>
    <row r="196" ht="14.25" customHeight="1">
      <c r="E196" s="2"/>
      <c r="F196" s="2"/>
    </row>
    <row r="197" ht="14.25" customHeight="1">
      <c r="E197" s="2"/>
      <c r="F197" s="2"/>
    </row>
    <row r="198" ht="14.25" customHeight="1">
      <c r="E198" s="2"/>
      <c r="F198" s="2"/>
    </row>
    <row r="199" ht="14.25" customHeight="1">
      <c r="E199" s="2"/>
      <c r="F199" s="2"/>
    </row>
    <row r="200" ht="14.25" customHeight="1">
      <c r="E200" s="2"/>
      <c r="F200" s="2"/>
    </row>
    <row r="201" ht="14.25" customHeight="1">
      <c r="E201" s="2"/>
      <c r="F201" s="2"/>
    </row>
    <row r="202" ht="14.25" customHeight="1">
      <c r="E202" s="2"/>
      <c r="F202" s="2"/>
    </row>
    <row r="203" ht="14.25" customHeight="1">
      <c r="E203" s="2"/>
      <c r="F203" s="2"/>
    </row>
    <row r="204" ht="14.25" customHeight="1">
      <c r="E204" s="2"/>
      <c r="F204" s="2"/>
    </row>
    <row r="205" ht="14.25" customHeight="1">
      <c r="E205" s="2"/>
      <c r="F205" s="2"/>
    </row>
    <row r="206" ht="14.25" customHeight="1">
      <c r="E206" s="2"/>
      <c r="F206" s="2"/>
    </row>
    <row r="207" ht="14.25" customHeight="1">
      <c r="E207" s="2"/>
      <c r="F207" s="2"/>
    </row>
    <row r="208" ht="14.25" customHeight="1">
      <c r="E208" s="2"/>
      <c r="F208" s="2"/>
    </row>
    <row r="209" ht="14.25" customHeight="1">
      <c r="E209" s="2"/>
      <c r="F209" s="2"/>
    </row>
    <row r="210" ht="14.25" customHeight="1">
      <c r="E210" s="2"/>
      <c r="F210" s="2"/>
    </row>
    <row r="211" ht="14.25" customHeight="1">
      <c r="E211" s="2"/>
      <c r="F211" s="2"/>
    </row>
    <row r="212" ht="14.25" customHeight="1">
      <c r="E212" s="2"/>
      <c r="F212" s="2"/>
    </row>
    <row r="213" ht="14.25" customHeight="1">
      <c r="E213" s="2"/>
      <c r="F213" s="2"/>
    </row>
    <row r="214" ht="14.25" customHeight="1">
      <c r="E214" s="2"/>
      <c r="F214" s="2"/>
    </row>
    <row r="215" ht="14.25" customHeight="1">
      <c r="E215" s="2"/>
      <c r="F215" s="2"/>
    </row>
    <row r="216" ht="14.25" customHeight="1">
      <c r="E216" s="2"/>
      <c r="F216" s="2"/>
    </row>
    <row r="217" ht="14.25" customHeight="1">
      <c r="E217" s="2"/>
      <c r="F217" s="2"/>
    </row>
    <row r="218" ht="14.25" customHeight="1">
      <c r="E218" s="2"/>
      <c r="F218" s="2"/>
    </row>
    <row r="219" ht="14.25" customHeight="1">
      <c r="E219" s="2"/>
      <c r="F219" s="2"/>
    </row>
    <row r="220" ht="14.25" customHeight="1">
      <c r="E220" s="2"/>
      <c r="F220" s="2"/>
    </row>
    <row r="221" ht="14.25" customHeight="1">
      <c r="E221" s="2"/>
      <c r="F221" s="2"/>
    </row>
    <row r="222" ht="14.25" customHeight="1">
      <c r="E222" s="2"/>
      <c r="F222" s="2"/>
    </row>
    <row r="223" ht="14.25" customHeight="1">
      <c r="E223" s="2"/>
      <c r="F223" s="2"/>
    </row>
    <row r="224" ht="14.25" customHeight="1">
      <c r="E224" s="2"/>
      <c r="F224" s="2"/>
    </row>
    <row r="225" ht="14.25" customHeight="1">
      <c r="E225" s="2"/>
      <c r="F225" s="2"/>
    </row>
    <row r="226" ht="14.25" customHeight="1">
      <c r="E226" s="2"/>
      <c r="F226" s="2"/>
    </row>
    <row r="227" ht="14.25" customHeight="1">
      <c r="E227" s="2"/>
      <c r="F227" s="2"/>
    </row>
    <row r="228" ht="14.25" customHeight="1">
      <c r="E228" s="2"/>
      <c r="F228" s="2"/>
    </row>
    <row r="229" ht="14.25" customHeight="1">
      <c r="E229" s="2"/>
      <c r="F229" s="2"/>
    </row>
    <row r="230" ht="14.25" customHeight="1">
      <c r="E230" s="2"/>
      <c r="F230" s="2"/>
    </row>
    <row r="231" ht="14.25" customHeight="1">
      <c r="E231" s="2"/>
      <c r="F231" s="2"/>
    </row>
    <row r="232" ht="14.25" customHeight="1">
      <c r="E232" s="2"/>
      <c r="F232" s="2"/>
    </row>
    <row r="233" ht="14.25" customHeight="1">
      <c r="E233" s="2"/>
      <c r="F233" s="2"/>
    </row>
    <row r="234" ht="14.25" customHeight="1">
      <c r="E234" s="2"/>
      <c r="F234" s="2"/>
    </row>
    <row r="235" ht="14.25" customHeight="1">
      <c r="E235" s="2"/>
      <c r="F235" s="2"/>
    </row>
    <row r="236" ht="14.25" customHeight="1">
      <c r="E236" s="2"/>
      <c r="F236" s="2"/>
    </row>
    <row r="237" ht="14.25" customHeight="1">
      <c r="E237" s="2"/>
      <c r="F237" s="2"/>
    </row>
    <row r="238" ht="14.25" customHeight="1">
      <c r="E238" s="2"/>
      <c r="F238" s="2"/>
    </row>
    <row r="239" ht="14.25" customHeight="1">
      <c r="E239" s="2"/>
      <c r="F239" s="2"/>
    </row>
    <row r="240" ht="14.25" customHeight="1">
      <c r="E240" s="2"/>
      <c r="F240" s="2"/>
    </row>
    <row r="241" ht="14.25" customHeight="1">
      <c r="E241" s="2"/>
      <c r="F241" s="2"/>
    </row>
    <row r="242" ht="14.25" customHeight="1">
      <c r="E242" s="2"/>
      <c r="F242" s="2"/>
    </row>
    <row r="243" ht="14.25" customHeight="1">
      <c r="E243" s="2"/>
      <c r="F243" s="2"/>
    </row>
    <row r="244" ht="14.25" customHeight="1">
      <c r="E244" s="2"/>
      <c r="F244" s="2"/>
    </row>
    <row r="245" ht="14.25" customHeight="1">
      <c r="E245" s="2"/>
      <c r="F245" s="2"/>
    </row>
    <row r="246" ht="14.25" customHeight="1">
      <c r="E246" s="2"/>
      <c r="F246" s="2"/>
    </row>
    <row r="247" ht="14.25" customHeight="1">
      <c r="E247" s="2"/>
      <c r="F247" s="2"/>
    </row>
    <row r="248" ht="14.25" customHeight="1">
      <c r="E248" s="2"/>
      <c r="F248" s="2"/>
    </row>
    <row r="249" ht="14.25" customHeight="1">
      <c r="E249" s="2"/>
      <c r="F249" s="2"/>
    </row>
    <row r="250" ht="14.25" customHeight="1">
      <c r="E250" s="2"/>
      <c r="F250" s="2"/>
    </row>
    <row r="251" ht="14.25" customHeight="1">
      <c r="E251" s="2"/>
      <c r="F251" s="2"/>
    </row>
    <row r="252" ht="14.25" customHeight="1">
      <c r="E252" s="2"/>
      <c r="F252" s="2"/>
    </row>
    <row r="253" ht="14.25" customHeight="1">
      <c r="E253" s="2"/>
      <c r="F253" s="2"/>
    </row>
    <row r="254" ht="14.25" customHeight="1">
      <c r="E254" s="2"/>
      <c r="F254" s="2"/>
    </row>
    <row r="255" ht="14.25" customHeight="1">
      <c r="E255" s="2"/>
      <c r="F255" s="2"/>
    </row>
    <row r="256" ht="14.25" customHeight="1">
      <c r="E256" s="2"/>
      <c r="F256" s="2"/>
    </row>
    <row r="257" ht="14.25" customHeight="1">
      <c r="E257" s="2"/>
      <c r="F257" s="2"/>
    </row>
    <row r="258" ht="14.25" customHeight="1">
      <c r="E258" s="2"/>
      <c r="F258" s="2"/>
    </row>
    <row r="259" ht="14.25" customHeight="1">
      <c r="E259" s="2"/>
      <c r="F259" s="2"/>
    </row>
    <row r="260" ht="14.25" customHeight="1">
      <c r="E260" s="2"/>
      <c r="F260" s="2"/>
    </row>
    <row r="261" ht="14.25" customHeight="1">
      <c r="E261" s="2"/>
      <c r="F261" s="2"/>
    </row>
    <row r="262" ht="14.25" customHeight="1">
      <c r="E262" s="2"/>
      <c r="F262" s="2"/>
    </row>
    <row r="263" ht="14.25" customHeight="1">
      <c r="E263" s="2"/>
      <c r="F263" s="2"/>
    </row>
    <row r="264" ht="14.25" customHeight="1">
      <c r="E264" s="2"/>
      <c r="F264" s="2"/>
    </row>
    <row r="265" ht="14.25" customHeight="1">
      <c r="E265" s="2"/>
      <c r="F265" s="2"/>
    </row>
    <row r="266" ht="14.25" customHeight="1">
      <c r="E266" s="2"/>
      <c r="F266" s="2"/>
    </row>
    <row r="267" ht="14.25" customHeight="1">
      <c r="E267" s="2"/>
      <c r="F267" s="2"/>
    </row>
    <row r="268" ht="14.25" customHeight="1">
      <c r="E268" s="2"/>
      <c r="F268" s="2"/>
    </row>
    <row r="269" ht="14.25" customHeight="1">
      <c r="E269" s="2"/>
      <c r="F269" s="2"/>
    </row>
    <row r="270" ht="14.25" customHeight="1">
      <c r="E270" s="2"/>
      <c r="F270" s="2"/>
    </row>
    <row r="271" ht="14.25" customHeight="1">
      <c r="E271" s="2"/>
      <c r="F271" s="2"/>
    </row>
    <row r="272" ht="14.25" customHeight="1">
      <c r="E272" s="2"/>
      <c r="F272" s="2"/>
    </row>
    <row r="273" ht="14.25" customHeight="1">
      <c r="E273" s="2"/>
      <c r="F273" s="2"/>
    </row>
    <row r="274" ht="14.25" customHeight="1">
      <c r="E274" s="2"/>
      <c r="F274" s="2"/>
    </row>
    <row r="275" ht="14.25" customHeight="1">
      <c r="E275" s="2"/>
      <c r="F275" s="2"/>
    </row>
    <row r="276" ht="14.25" customHeight="1">
      <c r="E276" s="2"/>
      <c r="F276" s="2"/>
    </row>
    <row r="277" ht="14.25" customHeight="1">
      <c r="E277" s="2"/>
      <c r="F277" s="2"/>
    </row>
    <row r="278" ht="14.25" customHeight="1">
      <c r="E278" s="2"/>
      <c r="F278" s="2"/>
    </row>
    <row r="279" ht="14.25" customHeight="1">
      <c r="E279" s="2"/>
      <c r="F279" s="2"/>
    </row>
    <row r="280" ht="14.25" customHeight="1">
      <c r="E280" s="2"/>
      <c r="F280" s="2"/>
    </row>
    <row r="281" ht="14.25" customHeight="1">
      <c r="E281" s="2"/>
      <c r="F281" s="2"/>
    </row>
    <row r="282" ht="14.25" customHeight="1">
      <c r="E282" s="2"/>
      <c r="F282" s="2"/>
    </row>
    <row r="283" ht="14.25" customHeight="1">
      <c r="E283" s="2"/>
      <c r="F283" s="2"/>
    </row>
    <row r="284" ht="14.25" customHeight="1">
      <c r="E284" s="2"/>
      <c r="F284" s="2"/>
    </row>
    <row r="285" ht="14.25" customHeight="1">
      <c r="E285" s="2"/>
      <c r="F285" s="2"/>
    </row>
    <row r="286" ht="14.25" customHeight="1">
      <c r="E286" s="2"/>
      <c r="F286" s="2"/>
    </row>
    <row r="287" ht="14.25" customHeight="1">
      <c r="E287" s="2"/>
      <c r="F287" s="2"/>
    </row>
    <row r="288" ht="14.25" customHeight="1">
      <c r="E288" s="2"/>
      <c r="F288" s="2"/>
    </row>
    <row r="289" ht="14.25" customHeight="1">
      <c r="E289" s="2"/>
      <c r="F289" s="2"/>
    </row>
    <row r="290" ht="14.25" customHeight="1">
      <c r="E290" s="2"/>
      <c r="F290" s="2"/>
    </row>
    <row r="291" ht="14.25" customHeight="1">
      <c r="E291" s="2"/>
      <c r="F291" s="2"/>
    </row>
    <row r="292" ht="14.25" customHeight="1">
      <c r="E292" s="2"/>
      <c r="F292" s="2"/>
    </row>
    <row r="293" ht="14.25" customHeight="1">
      <c r="E293" s="2"/>
      <c r="F293" s="2"/>
    </row>
    <row r="294" ht="14.25" customHeight="1">
      <c r="E294" s="2"/>
      <c r="F294" s="2"/>
    </row>
    <row r="295" ht="14.25" customHeight="1">
      <c r="E295" s="2"/>
      <c r="F295" s="2"/>
    </row>
    <row r="296" ht="14.25" customHeight="1">
      <c r="E296" s="2"/>
      <c r="F296" s="2"/>
    </row>
    <row r="297" ht="14.25" customHeight="1">
      <c r="E297" s="2"/>
      <c r="F297" s="2"/>
    </row>
    <row r="298" ht="14.25" customHeight="1">
      <c r="E298" s="2"/>
      <c r="F298" s="2"/>
    </row>
    <row r="299" ht="14.25" customHeight="1">
      <c r="E299" s="2"/>
      <c r="F299" s="2"/>
    </row>
    <row r="300" ht="14.25" customHeight="1">
      <c r="E300" s="2"/>
      <c r="F300" s="2"/>
    </row>
    <row r="301" ht="14.25" customHeight="1">
      <c r="E301" s="2"/>
      <c r="F301" s="2"/>
    </row>
    <row r="302" ht="14.25" customHeight="1">
      <c r="E302" s="2"/>
      <c r="F302" s="2"/>
    </row>
    <row r="303" ht="14.25" customHeight="1">
      <c r="E303" s="2"/>
      <c r="F303" s="2"/>
    </row>
    <row r="304" ht="14.25" customHeight="1">
      <c r="E304" s="2"/>
      <c r="F304" s="2"/>
    </row>
    <row r="305" ht="14.25" customHeight="1">
      <c r="E305" s="2"/>
      <c r="F305" s="2"/>
    </row>
    <row r="306" ht="14.25" customHeight="1">
      <c r="E306" s="2"/>
      <c r="F306" s="2"/>
    </row>
    <row r="307" ht="14.25" customHeight="1">
      <c r="E307" s="2"/>
      <c r="F307" s="2"/>
    </row>
    <row r="308" ht="14.25" customHeight="1">
      <c r="E308" s="2"/>
      <c r="F308" s="2"/>
    </row>
    <row r="309" ht="14.25" customHeight="1">
      <c r="E309" s="2"/>
      <c r="F309" s="2"/>
    </row>
    <row r="310" ht="14.25" customHeight="1">
      <c r="E310" s="2"/>
      <c r="F310" s="2"/>
    </row>
    <row r="311" ht="14.25" customHeight="1">
      <c r="E311" s="2"/>
      <c r="F311" s="2"/>
    </row>
    <row r="312" ht="14.25" customHeight="1">
      <c r="E312" s="2"/>
      <c r="F312" s="2"/>
    </row>
    <row r="313" ht="14.25" customHeight="1">
      <c r="E313" s="2"/>
      <c r="F313" s="2"/>
    </row>
    <row r="314" ht="14.25" customHeight="1">
      <c r="E314" s="2"/>
      <c r="F314" s="2"/>
    </row>
    <row r="315" ht="14.25" customHeight="1">
      <c r="E315" s="2"/>
      <c r="F315" s="2"/>
    </row>
    <row r="316" ht="14.25" customHeight="1">
      <c r="E316" s="2"/>
      <c r="F316" s="2"/>
    </row>
    <row r="317" ht="14.25" customHeight="1">
      <c r="E317" s="2"/>
      <c r="F317" s="2"/>
    </row>
    <row r="318" ht="14.25" customHeight="1">
      <c r="E318" s="2"/>
      <c r="F318" s="2"/>
    </row>
    <row r="319" ht="14.25" customHeight="1">
      <c r="E319" s="2"/>
      <c r="F319" s="2"/>
    </row>
    <row r="320" ht="14.25" customHeight="1">
      <c r="E320" s="2"/>
      <c r="F320" s="2"/>
    </row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 fitToPage="1"/>
  </sheetPr>
  <sheetViews>
    <sheetView showGridLines="0" workbookViewId="0">
      <pane xSplit="5.0" ySplit="7.0" topLeftCell="F8" activePane="bottomRight" state="frozen"/>
      <selection activeCell="F1" sqref="F1" pane="topRight"/>
      <selection activeCell="A8" sqref="A8" pane="bottomLeft"/>
      <selection activeCell="F8" sqref="F8" pane="bottomRight"/>
    </sheetView>
  </sheetViews>
  <sheetFormatPr customHeight="1" defaultColWidth="14.43" defaultRowHeight="15.0"/>
  <cols>
    <col customWidth="1" min="1" max="1" width="4.14"/>
    <col customWidth="1" min="2" max="3" width="17.57"/>
    <col customWidth="1" min="4" max="4" width="19.0"/>
    <col customWidth="1" min="5" max="7" width="8.43"/>
    <col customWidth="1" min="8" max="9" width="10.71"/>
    <col customWidth="1" min="10" max="13" width="9.57"/>
    <col customWidth="1" min="14" max="14" width="26.57"/>
    <col customWidth="1" min="15" max="15" width="12.29"/>
    <col customWidth="1" min="16" max="16" width="10.71"/>
    <col customWidth="1" min="17" max="28" width="8.71"/>
    <col customWidth="1" min="29" max="35" width="11.57"/>
  </cols>
  <sheetData>
    <row r="1" ht="14.25" customHeight="1">
      <c r="A1" s="657" t="s">
        <v>3955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4.25" customHeight="1">
      <c r="A2" s="658" t="s">
        <v>3956</v>
      </c>
      <c r="D2" s="659"/>
      <c r="E2" s="659"/>
      <c r="F2" s="660" t="s">
        <v>3957</v>
      </c>
      <c r="J2" s="659"/>
      <c r="K2" s="659"/>
      <c r="L2" s="659"/>
      <c r="M2" s="659"/>
      <c r="N2" s="659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ht="14.25" customHeight="1">
      <c r="A3" s="658" t="s">
        <v>3958</v>
      </c>
      <c r="D3" s="659"/>
      <c r="E3" s="659"/>
      <c r="F3" s="659"/>
      <c r="G3" s="659"/>
      <c r="H3" s="659"/>
      <c r="I3" s="661"/>
      <c r="J3" s="659"/>
      <c r="K3" s="659"/>
      <c r="L3" s="659"/>
      <c r="M3" s="659"/>
      <c r="N3" s="659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ht="14.25" customHeight="1">
      <c r="A4" s="662" t="s">
        <v>3959</v>
      </c>
      <c r="D4" s="659"/>
      <c r="E4" s="659"/>
      <c r="F4" s="659"/>
      <c r="G4" s="659"/>
      <c r="H4" s="659"/>
      <c r="I4" s="661"/>
      <c r="J4" s="661"/>
      <c r="K4" s="661"/>
      <c r="L4" s="659"/>
      <c r="M4" s="659"/>
      <c r="N4" s="659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14.25" customHeight="1">
      <c r="A5" s="663"/>
      <c r="B5" s="664"/>
      <c r="C5" s="663"/>
      <c r="D5" s="663"/>
      <c r="E5" s="663"/>
      <c r="F5" s="663"/>
      <c r="G5" s="663"/>
      <c r="H5" s="663"/>
      <c r="I5" s="663"/>
      <c r="J5" s="663"/>
      <c r="K5" s="663"/>
      <c r="L5" s="663"/>
      <c r="M5" s="663"/>
      <c r="N5" s="663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14.25" customHeight="1">
      <c r="A6" s="665" t="s">
        <v>1003</v>
      </c>
      <c r="B6" s="666" t="s">
        <v>3960</v>
      </c>
      <c r="C6" s="666" t="s">
        <v>3961</v>
      </c>
      <c r="D6" s="666" t="s">
        <v>3962</v>
      </c>
      <c r="E6" s="667" t="s">
        <v>3963</v>
      </c>
      <c r="F6" s="666" t="s">
        <v>14</v>
      </c>
      <c r="G6" s="666" t="s">
        <v>3964</v>
      </c>
      <c r="H6" s="668" t="s">
        <v>3965</v>
      </c>
      <c r="I6" s="669"/>
      <c r="J6" s="668" t="s">
        <v>3966</v>
      </c>
      <c r="K6" s="669"/>
      <c r="L6" s="668" t="s">
        <v>3967</v>
      </c>
      <c r="M6" s="669"/>
      <c r="N6" s="670" t="s">
        <v>3968</v>
      </c>
      <c r="O6" s="2"/>
      <c r="P6" s="671"/>
      <c r="Q6" s="671"/>
      <c r="R6" s="672"/>
      <c r="S6" s="672"/>
      <c r="T6" s="672"/>
      <c r="U6" s="672"/>
      <c r="V6" s="672"/>
      <c r="W6" s="672"/>
      <c r="X6" s="672"/>
      <c r="Y6" s="672"/>
      <c r="Z6" s="672"/>
      <c r="AA6" s="672"/>
      <c r="AB6" s="672"/>
      <c r="AC6" s="672"/>
      <c r="AD6" s="672"/>
      <c r="AE6" s="672"/>
      <c r="AF6" s="672"/>
      <c r="AG6" s="672"/>
      <c r="AH6" s="672"/>
      <c r="AI6" s="672"/>
    </row>
    <row r="7" ht="14.25" customHeight="1">
      <c r="A7" s="673"/>
      <c r="B7" s="674"/>
      <c r="C7" s="674"/>
      <c r="D7" s="674"/>
      <c r="E7" s="675"/>
      <c r="F7" s="674"/>
      <c r="G7" s="676"/>
      <c r="H7" s="677" t="s">
        <v>3861</v>
      </c>
      <c r="I7" s="677" t="s">
        <v>3969</v>
      </c>
      <c r="J7" s="677" t="s">
        <v>3861</v>
      </c>
      <c r="K7" s="677" t="s">
        <v>3969</v>
      </c>
      <c r="L7" s="677" t="s">
        <v>3861</v>
      </c>
      <c r="M7" s="677" t="s">
        <v>3969</v>
      </c>
      <c r="N7" s="678"/>
      <c r="O7" s="2"/>
      <c r="P7" s="672"/>
      <c r="Q7" s="679"/>
      <c r="R7" s="679"/>
      <c r="S7" s="679"/>
      <c r="T7" s="680"/>
      <c r="U7" s="679"/>
      <c r="V7" s="679"/>
      <c r="W7" s="672"/>
      <c r="X7" s="672"/>
      <c r="Y7" s="672"/>
      <c r="Z7" s="672"/>
      <c r="AA7" s="672"/>
      <c r="AB7" s="672"/>
      <c r="AC7" s="672"/>
      <c r="AD7" s="672"/>
      <c r="AE7" s="672"/>
      <c r="AF7" s="672"/>
      <c r="AG7" s="672"/>
      <c r="AH7" s="672"/>
      <c r="AI7" s="672"/>
    </row>
    <row r="8" ht="14.25" customHeight="1">
      <c r="A8" s="681">
        <v>1.0</v>
      </c>
      <c r="B8" s="682" t="s">
        <v>3970</v>
      </c>
      <c r="C8" s="683" t="s">
        <v>3971</v>
      </c>
      <c r="D8" s="684" t="s">
        <v>3972</v>
      </c>
      <c r="E8" s="685"/>
      <c r="F8" s="686">
        <f>+'RUMAS C- 26'!C14</f>
        <v>0</v>
      </c>
      <c r="G8" s="687"/>
      <c r="H8" s="688">
        <f>+'RUMAS C- 26'!D14</f>
        <v>0</v>
      </c>
      <c r="I8" s="688"/>
      <c r="J8" s="689">
        <f>+'RUMAS C- 26'!G14</f>
        <v>0</v>
      </c>
      <c r="K8" s="689">
        <f t="shared" ref="K8:K9" si="1">+F8*I8*34.285*0.5</f>
        <v>0</v>
      </c>
      <c r="L8" s="689">
        <f>+'RUMAS C- 26'!H14</f>
        <v>0</v>
      </c>
      <c r="M8" s="689">
        <f>+K8/31.10347</f>
        <v>0</v>
      </c>
      <c r="N8" s="690"/>
      <c r="O8" s="2"/>
      <c r="P8" s="672"/>
      <c r="Q8" s="679"/>
      <c r="R8" s="679"/>
      <c r="S8" s="136"/>
      <c r="T8" s="691"/>
      <c r="U8" s="136"/>
      <c r="V8" s="679"/>
      <c r="W8" s="672"/>
      <c r="X8" s="672"/>
      <c r="Y8" s="672"/>
      <c r="Z8" s="672"/>
      <c r="AA8" s="672"/>
      <c r="AB8" s="672"/>
      <c r="AC8" s="672"/>
      <c r="AD8" s="672"/>
      <c r="AE8" s="672"/>
      <c r="AF8" s="672"/>
      <c r="AG8" s="672"/>
      <c r="AH8" s="672"/>
      <c r="AI8" s="672"/>
    </row>
    <row r="9" ht="14.25" customHeight="1">
      <c r="A9" s="681">
        <v>2.0</v>
      </c>
      <c r="B9" s="682" t="s">
        <v>3970</v>
      </c>
      <c r="C9" s="683" t="s">
        <v>3971</v>
      </c>
      <c r="D9" s="684" t="s">
        <v>3973</v>
      </c>
      <c r="E9" s="685"/>
      <c r="F9" s="686">
        <f>+'RUMAS C- 26'!C15</f>
        <v>5666.07457</v>
      </c>
      <c r="G9" s="687"/>
      <c r="H9" s="688"/>
      <c r="I9" s="688"/>
      <c r="J9" s="689">
        <f>+F9*H9*34.285*0.97</f>
        <v>0</v>
      </c>
      <c r="K9" s="686">
        <f t="shared" si="1"/>
        <v>0</v>
      </c>
      <c r="L9" s="686">
        <f t="shared" ref="L9:M9" si="2">+J9/31.10347</f>
        <v>0</v>
      </c>
      <c r="M9" s="689">
        <f t="shared" si="2"/>
        <v>0</v>
      </c>
      <c r="N9" s="690"/>
      <c r="O9" s="2"/>
      <c r="P9" s="672"/>
      <c r="Q9" s="679"/>
      <c r="R9" s="679"/>
      <c r="S9" s="136"/>
      <c r="T9" s="691"/>
      <c r="U9" s="136"/>
      <c r="V9" s="679"/>
      <c r="W9" s="672"/>
      <c r="X9" s="672"/>
      <c r="Y9" s="672"/>
      <c r="Z9" s="672"/>
      <c r="AA9" s="672"/>
      <c r="AB9" s="672"/>
      <c r="AC9" s="672"/>
      <c r="AD9" s="672"/>
      <c r="AE9" s="672"/>
      <c r="AF9" s="672"/>
      <c r="AG9" s="672"/>
      <c r="AH9" s="672"/>
      <c r="AI9" s="672"/>
    </row>
    <row r="10" ht="14.25" customHeight="1">
      <c r="A10" s="681">
        <v>3.0</v>
      </c>
      <c r="B10" s="682" t="s">
        <v>3970</v>
      </c>
      <c r="C10" s="683" t="s">
        <v>3974</v>
      </c>
      <c r="D10" s="684" t="s">
        <v>3975</v>
      </c>
      <c r="E10" s="685"/>
      <c r="F10" s="686">
        <f>+'RUMAS C- 26'!C4</f>
        <v>102.751</v>
      </c>
      <c r="G10" s="687"/>
      <c r="H10" s="688">
        <f>+'RUMAS C- 26'!D4</f>
        <v>0.2777271462</v>
      </c>
      <c r="I10" s="688"/>
      <c r="J10" s="689">
        <f>+'RUMAS C- 26'!G4</f>
        <v>978.3932732</v>
      </c>
      <c r="K10" s="686">
        <f>+'RUMAS C- 26'!P4</f>
        <v>412.1743752</v>
      </c>
      <c r="L10" s="686">
        <f>+'RUMAS C- 26'!H4</f>
        <v>912.2256255</v>
      </c>
      <c r="M10" s="689">
        <f>+'RUMAS C- 26'!R4</f>
        <v>370.9569377</v>
      </c>
      <c r="N10" s="690"/>
      <c r="O10" s="2"/>
      <c r="P10" s="672"/>
      <c r="Q10" s="679"/>
      <c r="R10" s="679"/>
      <c r="S10" s="136"/>
      <c r="T10" s="691"/>
      <c r="U10" s="136"/>
      <c r="V10" s="679"/>
      <c r="W10" s="672"/>
      <c r="X10" s="672"/>
      <c r="Y10" s="672"/>
      <c r="Z10" s="672"/>
      <c r="AA10" s="672"/>
      <c r="AB10" s="672"/>
      <c r="AC10" s="672"/>
      <c r="AD10" s="672"/>
      <c r="AE10" s="672"/>
      <c r="AF10" s="672"/>
      <c r="AG10" s="672"/>
      <c r="AH10" s="672"/>
      <c r="AI10" s="672"/>
    </row>
    <row r="11" ht="14.25" customHeight="1">
      <c r="A11" s="681">
        <v>4.0</v>
      </c>
      <c r="B11" s="682" t="s">
        <v>3970</v>
      </c>
      <c r="C11" s="683" t="s">
        <v>3974</v>
      </c>
      <c r="D11" s="684" t="s">
        <v>3976</v>
      </c>
      <c r="E11" s="685"/>
      <c r="F11" s="686"/>
      <c r="G11" s="687"/>
      <c r="H11" s="688"/>
      <c r="I11" s="688"/>
      <c r="J11" s="689"/>
      <c r="K11" s="686"/>
      <c r="L11" s="686"/>
      <c r="M11" s="689">
        <f>+'RUMAS C- 26'!R5</f>
        <v>574.6364887</v>
      </c>
      <c r="N11" s="690"/>
      <c r="O11" s="2"/>
      <c r="P11" s="672"/>
      <c r="Q11" s="679"/>
      <c r="R11" s="679"/>
      <c r="S11" s="136"/>
      <c r="T11" s="691"/>
      <c r="U11" s="136"/>
      <c r="V11" s="679"/>
      <c r="W11" s="672"/>
      <c r="X11" s="672"/>
      <c r="Y11" s="672"/>
      <c r="Z11" s="672"/>
      <c r="AA11" s="672"/>
      <c r="AB11" s="672"/>
      <c r="AC11" s="672"/>
      <c r="AD11" s="672"/>
      <c r="AE11" s="672"/>
      <c r="AF11" s="672"/>
      <c r="AG11" s="672"/>
      <c r="AH11" s="672"/>
      <c r="AI11" s="672"/>
    </row>
    <row r="12" ht="14.25" customHeight="1">
      <c r="A12" s="681">
        <v>5.0</v>
      </c>
      <c r="B12" s="682" t="s">
        <v>3970</v>
      </c>
      <c r="C12" s="683" t="s">
        <v>3974</v>
      </c>
      <c r="D12" s="684" t="s">
        <v>3977</v>
      </c>
      <c r="E12" s="685"/>
      <c r="F12" s="686">
        <f>+'RUMAS C- 26'!C6</f>
        <v>100.846</v>
      </c>
      <c r="G12" s="687"/>
      <c r="H12" s="688">
        <f>+'RUMAS C- 26'!D6</f>
        <v>0.3053799258</v>
      </c>
      <c r="I12" s="688"/>
      <c r="J12" s="689">
        <f>+'RUMAS C- 26'!G6</f>
        <v>1055.864605</v>
      </c>
      <c r="K12" s="686">
        <f>+'RUMAS C- 26'!P6</f>
        <v>414.9053092</v>
      </c>
      <c r="L12" s="686">
        <f>+'RUMAS C- 26'!H6</f>
        <v>891.0588974</v>
      </c>
      <c r="M12" s="689">
        <f>+'RUMAS C- 26'!R6</f>
        <v>373.4147783</v>
      </c>
      <c r="N12" s="692" t="s">
        <v>3978</v>
      </c>
      <c r="O12" s="2"/>
      <c r="P12" s="672"/>
      <c r="Q12" s="679"/>
      <c r="R12" s="679"/>
      <c r="S12" s="136"/>
      <c r="T12" s="691"/>
      <c r="U12" s="136"/>
      <c r="V12" s="679"/>
      <c r="W12" s="672"/>
      <c r="X12" s="672"/>
      <c r="Y12" s="672"/>
      <c r="Z12" s="672"/>
      <c r="AA12" s="672"/>
      <c r="AB12" s="672"/>
      <c r="AC12" s="672"/>
      <c r="AD12" s="672"/>
      <c r="AE12" s="672"/>
      <c r="AF12" s="672"/>
      <c r="AG12" s="672"/>
      <c r="AH12" s="672"/>
      <c r="AI12" s="672"/>
    </row>
    <row r="13" ht="14.25" customHeight="1">
      <c r="A13" s="681">
        <v>6.0</v>
      </c>
      <c r="B13" s="682" t="s">
        <v>3970</v>
      </c>
      <c r="C13" s="683" t="s">
        <v>3974</v>
      </c>
      <c r="D13" s="684" t="s">
        <v>3979</v>
      </c>
      <c r="E13" s="685"/>
      <c r="F13" s="686">
        <f>+'RUMAS C- 26'!C7</f>
        <v>104.409</v>
      </c>
      <c r="G13" s="687"/>
      <c r="H13" s="688">
        <f>+'RUMAS C- 26'!D7</f>
        <v>0.234456589</v>
      </c>
      <c r="I13" s="688"/>
      <c r="J13" s="689">
        <f>+'RUMAS C- 26'!G7</f>
        <v>839.284974</v>
      </c>
      <c r="K13" s="686">
        <f>+'RUMAS C- 26'!P7</f>
        <v>4020.00656</v>
      </c>
      <c r="L13" s="686">
        <f>+'RUMAS C- 26'!H7</f>
        <v>756.6343128</v>
      </c>
      <c r="M13" s="689">
        <f>+'RUMAS C- 26'!R7</f>
        <v>3618.005904</v>
      </c>
      <c r="N13" s="693">
        <f>SUM(M10:M14)</f>
        <v>6781.76381</v>
      </c>
      <c r="O13" s="2"/>
      <c r="P13" s="672"/>
      <c r="Q13" s="679"/>
      <c r="R13" s="679"/>
      <c r="S13" s="136"/>
      <c r="T13" s="691"/>
      <c r="U13" s="136"/>
      <c r="V13" s="679"/>
      <c r="W13" s="672"/>
      <c r="X13" s="672"/>
      <c r="Y13" s="672"/>
      <c r="Z13" s="672"/>
      <c r="AA13" s="672"/>
      <c r="AB13" s="672"/>
      <c r="AC13" s="672"/>
      <c r="AD13" s="672"/>
      <c r="AE13" s="672"/>
      <c r="AF13" s="672"/>
      <c r="AG13" s="672"/>
      <c r="AH13" s="672"/>
      <c r="AI13" s="672"/>
    </row>
    <row r="14" ht="14.25" customHeight="1">
      <c r="A14" s="681">
        <v>7.0</v>
      </c>
      <c r="B14" s="682" t="s">
        <v>3970</v>
      </c>
      <c r="C14" s="683" t="s">
        <v>3974</v>
      </c>
      <c r="D14" s="684" t="s">
        <v>3980</v>
      </c>
      <c r="E14" s="685"/>
      <c r="F14" s="686">
        <f>+'RUMAS C- 26'!C8</f>
        <v>103.612</v>
      </c>
      <c r="G14" s="687"/>
      <c r="H14" s="688">
        <f>+'RUMAS C- 26'!D8</f>
        <v>0.2521791781</v>
      </c>
      <c r="I14" s="688"/>
      <c r="J14" s="689">
        <f>+'RUMAS C- 26'!G8</f>
        <v>895.8356701</v>
      </c>
      <c r="K14" s="686">
        <f>+'RUMAS C- 26'!P8</f>
        <v>2049.721891</v>
      </c>
      <c r="L14" s="686">
        <f>+'RUMAS C- 26'!H8</f>
        <v>850.9006822</v>
      </c>
      <c r="M14" s="689">
        <f>+'RUMAS C- 26'!R8</f>
        <v>1844.749702</v>
      </c>
      <c r="N14" s="692" t="s">
        <v>3981</v>
      </c>
      <c r="O14" s="2"/>
      <c r="P14" s="672"/>
      <c r="Q14" s="679"/>
      <c r="R14" s="679"/>
      <c r="S14" s="136"/>
      <c r="T14" s="691"/>
      <c r="U14" s="136"/>
      <c r="V14" s="679"/>
      <c r="W14" s="672"/>
      <c r="X14" s="672"/>
      <c r="Y14" s="672"/>
      <c r="Z14" s="672"/>
      <c r="AA14" s="672"/>
      <c r="AB14" s="672"/>
      <c r="AC14" s="672"/>
      <c r="AD14" s="672"/>
      <c r="AE14" s="672"/>
      <c r="AF14" s="672"/>
      <c r="AG14" s="672"/>
      <c r="AH14" s="672"/>
      <c r="AI14" s="672"/>
    </row>
    <row r="15" ht="14.25" customHeight="1">
      <c r="A15" s="681">
        <v>8.0</v>
      </c>
      <c r="B15" s="682" t="s">
        <v>3970</v>
      </c>
      <c r="C15" s="683" t="s">
        <v>3974</v>
      </c>
      <c r="D15" s="684" t="s">
        <v>3982</v>
      </c>
      <c r="E15" s="685"/>
      <c r="F15" s="686">
        <f>+'RUMAS C- 26'!C9</f>
        <v>82.117</v>
      </c>
      <c r="G15" s="687"/>
      <c r="H15" s="688">
        <f>+'RUMAS C- 26'!D9</f>
        <v>0.2744804973</v>
      </c>
      <c r="I15" s="688"/>
      <c r="J15" s="689">
        <f>+'RUMAS C- 26'!G9</f>
        <v>772.7760182</v>
      </c>
      <c r="K15" s="686">
        <f>+'RUMAS C- 26'!P9</f>
        <v>0</v>
      </c>
      <c r="L15" s="686">
        <f>+'RUMAS C- 26'!H9</f>
        <v>751.68195</v>
      </c>
      <c r="M15" s="689">
        <f>+'RUMAS C- 26'!R9</f>
        <v>0</v>
      </c>
      <c r="N15" s="694">
        <f>SUM(L10:L15)</f>
        <v>4162.501468</v>
      </c>
      <c r="O15" s="65">
        <f>+N15+L43+L44+L45+L47+L48</f>
        <v>5025.133432</v>
      </c>
      <c r="P15" s="672"/>
      <c r="Q15" s="679"/>
      <c r="R15" s="679"/>
      <c r="S15" s="136"/>
      <c r="T15" s="691"/>
      <c r="U15" s="136"/>
      <c r="V15" s="679"/>
      <c r="W15" s="672"/>
      <c r="X15" s="672"/>
      <c r="Y15" s="672"/>
      <c r="Z15" s="672"/>
      <c r="AA15" s="672"/>
      <c r="AB15" s="672"/>
      <c r="AC15" s="672"/>
      <c r="AD15" s="672"/>
      <c r="AE15" s="672"/>
      <c r="AF15" s="672"/>
      <c r="AG15" s="672"/>
      <c r="AH15" s="672"/>
      <c r="AI15" s="672"/>
    </row>
    <row r="16" ht="14.25" customHeight="1">
      <c r="A16" s="681">
        <v>9.0</v>
      </c>
      <c r="B16" s="695" t="s">
        <v>3983</v>
      </c>
      <c r="C16" s="696" t="s">
        <v>3984</v>
      </c>
      <c r="D16" s="697" t="s">
        <v>3985</v>
      </c>
      <c r="E16" s="698"/>
      <c r="F16" s="699">
        <v>0.0</v>
      </c>
      <c r="G16" s="700"/>
      <c r="H16" s="701">
        <v>0.0</v>
      </c>
      <c r="I16" s="701"/>
      <c r="J16" s="699">
        <f>+F16*H16*34.285*0.97</f>
        <v>0</v>
      </c>
      <c r="K16" s="699">
        <f t="shared" ref="K16:K21" si="4">+F16*I16*34.285*0.5</f>
        <v>0</v>
      </c>
      <c r="L16" s="699">
        <f t="shared" ref="L16:M16" si="3">+J16/31.10347</f>
        <v>0</v>
      </c>
      <c r="M16" s="699">
        <f t="shared" si="3"/>
        <v>0</v>
      </c>
      <c r="N16" s="690"/>
      <c r="O16" s="702"/>
      <c r="P16" s="703"/>
      <c r="Q16" s="704"/>
      <c r="R16" s="704"/>
      <c r="S16" s="136"/>
      <c r="T16" s="705"/>
      <c r="U16" s="136"/>
      <c r="V16" s="705"/>
      <c r="W16" s="706"/>
      <c r="X16" s="63"/>
      <c r="Y16" s="63"/>
      <c r="Z16" s="63"/>
      <c r="AA16" s="63"/>
      <c r="AB16" s="63"/>
      <c r="AC16" s="63"/>
      <c r="AD16" s="672"/>
      <c r="AE16" s="672"/>
      <c r="AF16" s="672"/>
      <c r="AG16" s="672"/>
      <c r="AH16" s="672"/>
      <c r="AI16" s="672"/>
    </row>
    <row r="17" ht="14.25" customHeight="1">
      <c r="A17" s="681">
        <v>10.0</v>
      </c>
      <c r="B17" s="707" t="s">
        <v>3983</v>
      </c>
      <c r="C17" s="683" t="s">
        <v>3986</v>
      </c>
      <c r="D17" s="684" t="s">
        <v>3987</v>
      </c>
      <c r="E17" s="685"/>
      <c r="F17" s="686"/>
      <c r="G17" s="685"/>
      <c r="H17" s="688"/>
      <c r="I17" s="688"/>
      <c r="J17" s="686">
        <v>0.0</v>
      </c>
      <c r="K17" s="708">
        <f t="shared" si="4"/>
        <v>0</v>
      </c>
      <c r="L17" s="709">
        <f t="shared" ref="L17:M17" si="5">+J17/31.10347</f>
        <v>0</v>
      </c>
      <c r="M17" s="709">
        <f t="shared" si="5"/>
        <v>0</v>
      </c>
      <c r="N17" s="690"/>
      <c r="O17" s="2"/>
      <c r="P17" s="2"/>
      <c r="Q17" s="2"/>
      <c r="R17" s="2"/>
      <c r="S17" s="63"/>
      <c r="T17" s="63"/>
      <c r="U17" s="136"/>
      <c r="V17" s="63"/>
      <c r="W17" s="63"/>
      <c r="X17" s="63"/>
      <c r="Y17" s="710"/>
      <c r="Z17" s="711"/>
      <c r="AA17" s="63"/>
      <c r="AB17" s="63"/>
      <c r="AC17" s="63"/>
      <c r="AD17" s="672"/>
      <c r="AE17" s="672"/>
      <c r="AF17" s="672"/>
      <c r="AG17" s="672"/>
      <c r="AH17" s="672"/>
      <c r="AI17" s="672"/>
    </row>
    <row r="18" ht="14.25" customHeight="1">
      <c r="A18" s="681">
        <v>11.0</v>
      </c>
      <c r="B18" s="712" t="s">
        <v>3983</v>
      </c>
      <c r="C18" s="713" t="s">
        <v>3988</v>
      </c>
      <c r="D18" s="714" t="s">
        <v>3987</v>
      </c>
      <c r="E18" s="715"/>
      <c r="F18" s="716"/>
      <c r="G18" s="715"/>
      <c r="H18" s="717"/>
      <c r="I18" s="717"/>
      <c r="J18" s="686">
        <v>0.0</v>
      </c>
      <c r="K18" s="718">
        <f t="shared" si="4"/>
        <v>0</v>
      </c>
      <c r="L18" s="719">
        <f t="shared" ref="L18:M18" si="6">+J18/31.10347</f>
        <v>0</v>
      </c>
      <c r="M18" s="719">
        <f t="shared" si="6"/>
        <v>0</v>
      </c>
      <c r="N18" s="720"/>
      <c r="O18" s="2"/>
      <c r="P18" s="2"/>
      <c r="Q18" s="2"/>
      <c r="R18" s="2"/>
      <c r="S18" s="63"/>
      <c r="T18" s="63"/>
      <c r="U18" s="136"/>
      <c r="V18" s="63"/>
      <c r="W18" s="63"/>
      <c r="X18" s="63"/>
      <c r="Y18" s="710"/>
      <c r="Z18" s="711"/>
      <c r="AA18" s="63"/>
      <c r="AB18" s="63"/>
      <c r="AC18" s="63"/>
      <c r="AD18" s="672"/>
      <c r="AE18" s="672"/>
      <c r="AF18" s="672"/>
      <c r="AG18" s="672"/>
      <c r="AH18" s="672"/>
      <c r="AI18" s="672"/>
    </row>
    <row r="19" ht="14.25" customHeight="1">
      <c r="A19" s="681">
        <v>12.0</v>
      </c>
      <c r="B19" s="721" t="s">
        <v>3989</v>
      </c>
      <c r="C19" s="722" t="s">
        <v>3990</v>
      </c>
      <c r="D19" s="722" t="s">
        <v>3987</v>
      </c>
      <c r="E19" s="685"/>
      <c r="F19" s="689"/>
      <c r="G19" s="685"/>
      <c r="H19" s="723"/>
      <c r="I19" s="723"/>
      <c r="J19" s="686">
        <v>0.0</v>
      </c>
      <c r="K19" s="724">
        <f t="shared" si="4"/>
        <v>0</v>
      </c>
      <c r="L19" s="725">
        <f t="shared" ref="L19:L32" si="7">+J19/31.10347</f>
        <v>0</v>
      </c>
      <c r="M19" s="725">
        <v>0.0</v>
      </c>
      <c r="N19" s="726"/>
      <c r="O19" s="2"/>
      <c r="P19" s="2"/>
      <c r="Q19" s="2"/>
      <c r="R19" s="2"/>
      <c r="S19" s="63"/>
      <c r="T19" s="63"/>
      <c r="U19" s="136"/>
      <c r="V19" s="63"/>
      <c r="W19" s="63"/>
      <c r="X19" s="63"/>
      <c r="Y19" s="710"/>
      <c r="Z19" s="711"/>
      <c r="AA19" s="63"/>
      <c r="AB19" s="63"/>
      <c r="AC19" s="63"/>
      <c r="AD19" s="672"/>
      <c r="AE19" s="672"/>
      <c r="AF19" s="672"/>
      <c r="AG19" s="672"/>
      <c r="AH19" s="672"/>
      <c r="AI19" s="672"/>
    </row>
    <row r="20" ht="14.25" customHeight="1">
      <c r="A20" s="681">
        <v>13.0</v>
      </c>
      <c r="B20" s="707" t="s">
        <v>3983</v>
      </c>
      <c r="C20" s="684" t="s">
        <v>3991</v>
      </c>
      <c r="D20" s="684" t="s">
        <v>3987</v>
      </c>
      <c r="E20" s="685"/>
      <c r="F20" s="686"/>
      <c r="G20" s="685"/>
      <c r="H20" s="688"/>
      <c r="I20" s="688"/>
      <c r="J20" s="686">
        <v>0.0</v>
      </c>
      <c r="K20" s="708">
        <f t="shared" si="4"/>
        <v>0</v>
      </c>
      <c r="L20" s="709">
        <f t="shared" si="7"/>
        <v>0</v>
      </c>
      <c r="M20" s="709">
        <f t="shared" ref="M20:M32" si="8">+K20/31.10347</f>
        <v>0</v>
      </c>
      <c r="N20" s="727"/>
      <c r="O20" s="2"/>
      <c r="P20" s="2"/>
      <c r="Q20" s="2"/>
      <c r="R20" s="2"/>
      <c r="S20" s="63"/>
      <c r="T20" s="63"/>
      <c r="U20" s="136"/>
      <c r="V20" s="63"/>
      <c r="W20" s="63"/>
      <c r="X20" s="63"/>
      <c r="Y20" s="710"/>
      <c r="Z20" s="711"/>
      <c r="AA20" s="63"/>
      <c r="AB20" s="63"/>
      <c r="AC20" s="63"/>
      <c r="AD20" s="672"/>
      <c r="AE20" s="672"/>
      <c r="AF20" s="672"/>
      <c r="AG20" s="672"/>
      <c r="AH20" s="672"/>
      <c r="AI20" s="672"/>
    </row>
    <row r="21" ht="14.25" customHeight="1">
      <c r="A21" s="681">
        <v>14.0</v>
      </c>
      <c r="B21" s="712" t="s">
        <v>3983</v>
      </c>
      <c r="C21" s="714" t="s">
        <v>3992</v>
      </c>
      <c r="D21" s="714" t="s">
        <v>3987</v>
      </c>
      <c r="E21" s="715"/>
      <c r="F21" s="716"/>
      <c r="G21" s="715"/>
      <c r="H21" s="728"/>
      <c r="I21" s="728"/>
      <c r="J21" s="686">
        <v>0.0</v>
      </c>
      <c r="K21" s="718">
        <f t="shared" si="4"/>
        <v>0</v>
      </c>
      <c r="L21" s="719">
        <f t="shared" si="7"/>
        <v>0</v>
      </c>
      <c r="M21" s="719">
        <f t="shared" si="8"/>
        <v>0</v>
      </c>
      <c r="N21" s="729"/>
      <c r="O21" s="2"/>
      <c r="P21" s="2"/>
      <c r="Q21" s="2"/>
      <c r="R21" s="2"/>
      <c r="S21" s="63"/>
      <c r="T21" s="63"/>
      <c r="U21" s="136"/>
      <c r="V21" s="63"/>
      <c r="W21" s="63"/>
      <c r="X21" s="63"/>
      <c r="Y21" s="710"/>
      <c r="Z21" s="711"/>
      <c r="AA21" s="63"/>
      <c r="AB21" s="63"/>
      <c r="AC21" s="63"/>
      <c r="AD21" s="672"/>
      <c r="AE21" s="672"/>
      <c r="AF21" s="672"/>
      <c r="AG21" s="672"/>
      <c r="AH21" s="672"/>
      <c r="AI21" s="672"/>
    </row>
    <row r="22" ht="14.25" customHeight="1">
      <c r="A22" s="681">
        <v>15.0</v>
      </c>
      <c r="B22" s="730" t="s">
        <v>3993</v>
      </c>
      <c r="C22" s="731" t="s">
        <v>3994</v>
      </c>
      <c r="D22" s="731" t="s">
        <v>3995</v>
      </c>
      <c r="E22" s="732"/>
      <c r="F22" s="689"/>
      <c r="G22" s="733"/>
      <c r="H22" s="689"/>
      <c r="I22" s="689"/>
      <c r="J22" s="689">
        <f t="shared" ref="J22:J24" si="9">+F22*H22*34.285</f>
        <v>0</v>
      </c>
      <c r="K22" s="689">
        <f t="shared" ref="K22:K24" si="10">+F22*I22*34.28569*0.99</f>
        <v>0</v>
      </c>
      <c r="L22" s="689">
        <f t="shared" si="7"/>
        <v>0</v>
      </c>
      <c r="M22" s="689">
        <f t="shared" si="8"/>
        <v>0</v>
      </c>
      <c r="N22" s="734"/>
      <c r="O22" s="2"/>
      <c r="P22" s="2"/>
      <c r="Q22" s="2"/>
      <c r="R22" s="2"/>
      <c r="S22" s="63"/>
      <c r="T22" s="711"/>
      <c r="U22" s="136"/>
      <c r="V22" s="711"/>
      <c r="W22" s="711"/>
      <c r="X22" s="444"/>
      <c r="Y22" s="444"/>
      <c r="Z22" s="711"/>
      <c r="AA22" s="63"/>
      <c r="AB22" s="63"/>
      <c r="AC22" s="63"/>
      <c r="AD22" s="672"/>
      <c r="AE22" s="672"/>
      <c r="AF22" s="672"/>
      <c r="AG22" s="672"/>
      <c r="AH22" s="672"/>
      <c r="AI22" s="672"/>
    </row>
    <row r="23" ht="14.25" customHeight="1">
      <c r="A23" s="681">
        <v>16.0</v>
      </c>
      <c r="B23" s="735" t="s">
        <v>3993</v>
      </c>
      <c r="C23" s="684" t="s">
        <v>3996</v>
      </c>
      <c r="D23" s="684" t="s">
        <v>3995</v>
      </c>
      <c r="E23" s="736"/>
      <c r="F23" s="686"/>
      <c r="G23" s="733"/>
      <c r="H23" s="689"/>
      <c r="I23" s="689"/>
      <c r="J23" s="689">
        <f t="shared" si="9"/>
        <v>0</v>
      </c>
      <c r="K23" s="686">
        <f t="shared" si="10"/>
        <v>0</v>
      </c>
      <c r="L23" s="686">
        <f t="shared" si="7"/>
        <v>0</v>
      </c>
      <c r="M23" s="686">
        <f t="shared" si="8"/>
        <v>0</v>
      </c>
      <c r="N23" s="681"/>
      <c r="O23" s="2"/>
      <c r="P23" s="2"/>
      <c r="Q23" s="2"/>
      <c r="R23" s="2"/>
      <c r="S23" s="63"/>
      <c r="T23" s="63"/>
      <c r="U23" s="136"/>
      <c r="V23" s="737"/>
      <c r="W23" s="737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</row>
    <row r="24" ht="14.25" customHeight="1">
      <c r="A24" s="681">
        <v>17.0</v>
      </c>
      <c r="B24" s="735" t="s">
        <v>3993</v>
      </c>
      <c r="C24" s="684" t="s">
        <v>3997</v>
      </c>
      <c r="D24" s="684" t="s">
        <v>3995</v>
      </c>
      <c r="E24" s="736"/>
      <c r="F24" s="686"/>
      <c r="G24" s="733"/>
      <c r="H24" s="689"/>
      <c r="I24" s="689"/>
      <c r="J24" s="689">
        <f t="shared" si="9"/>
        <v>0</v>
      </c>
      <c r="K24" s="686">
        <f t="shared" si="10"/>
        <v>0</v>
      </c>
      <c r="L24" s="686">
        <f t="shared" si="7"/>
        <v>0</v>
      </c>
      <c r="M24" s="686">
        <f t="shared" si="8"/>
        <v>0</v>
      </c>
      <c r="N24" s="738"/>
      <c r="O24" s="2"/>
      <c r="P24" s="2"/>
      <c r="Q24" s="2"/>
      <c r="R24" s="2"/>
      <c r="S24" s="63"/>
      <c r="T24" s="737"/>
      <c r="U24" s="136"/>
      <c r="V24" s="63"/>
      <c r="W24" s="737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</row>
    <row r="25" ht="14.25" customHeight="1">
      <c r="A25" s="681">
        <v>18.0</v>
      </c>
      <c r="B25" s="739" t="s">
        <v>3993</v>
      </c>
      <c r="C25" s="697" t="s">
        <v>3994</v>
      </c>
      <c r="D25" s="697" t="s">
        <v>3998</v>
      </c>
      <c r="E25" s="686"/>
      <c r="F25" s="740"/>
      <c r="G25" s="698"/>
      <c r="H25" s="689"/>
      <c r="I25" s="689"/>
      <c r="J25" s="689">
        <f t="shared" ref="J25:J27" si="11">+(H25*E25)</f>
        <v>0</v>
      </c>
      <c r="K25" s="689">
        <f t="shared" ref="K25:K27" si="12">+(I25*E25)*0.99</f>
        <v>0</v>
      </c>
      <c r="L25" s="689">
        <f t="shared" si="7"/>
        <v>0</v>
      </c>
      <c r="M25" s="689">
        <f t="shared" si="8"/>
        <v>0</v>
      </c>
      <c r="N25" s="681"/>
      <c r="O25" s="2"/>
      <c r="P25" s="2"/>
      <c r="Q25" s="2"/>
      <c r="R25" s="2"/>
      <c r="S25" s="63"/>
      <c r="T25" s="706"/>
      <c r="U25" s="136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</row>
    <row r="26" ht="14.25" customHeight="1">
      <c r="A26" s="681">
        <v>19.0</v>
      </c>
      <c r="B26" s="735" t="s">
        <v>3993</v>
      </c>
      <c r="C26" s="684" t="s">
        <v>3996</v>
      </c>
      <c r="D26" s="684" t="s">
        <v>3998</v>
      </c>
      <c r="E26" s="686"/>
      <c r="F26" s="736"/>
      <c r="G26" s="685"/>
      <c r="H26" s="689"/>
      <c r="I26" s="689"/>
      <c r="J26" s="689">
        <f t="shared" si="11"/>
        <v>0</v>
      </c>
      <c r="K26" s="686">
        <f t="shared" si="12"/>
        <v>0</v>
      </c>
      <c r="L26" s="686">
        <f t="shared" si="7"/>
        <v>0</v>
      </c>
      <c r="M26" s="686">
        <f t="shared" si="8"/>
        <v>0</v>
      </c>
      <c r="N26" s="681"/>
      <c r="O26" s="741"/>
      <c r="P26" s="703"/>
      <c r="Q26" s="704"/>
      <c r="R26" s="63"/>
      <c r="S26" s="706"/>
      <c r="T26" s="706"/>
      <c r="U26" s="136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</row>
    <row r="27" ht="14.25" customHeight="1">
      <c r="A27" s="681">
        <v>20.0</v>
      </c>
      <c r="B27" s="735" t="s">
        <v>3993</v>
      </c>
      <c r="C27" s="684" t="s">
        <v>3997</v>
      </c>
      <c r="D27" s="684" t="s">
        <v>3998</v>
      </c>
      <c r="E27" s="686"/>
      <c r="F27" s="736"/>
      <c r="G27" s="685"/>
      <c r="H27" s="689"/>
      <c r="I27" s="689"/>
      <c r="J27" s="689">
        <f t="shared" si="11"/>
        <v>0</v>
      </c>
      <c r="K27" s="686">
        <f t="shared" si="12"/>
        <v>0</v>
      </c>
      <c r="L27" s="686">
        <f t="shared" si="7"/>
        <v>0</v>
      </c>
      <c r="M27" s="686">
        <f t="shared" si="8"/>
        <v>0</v>
      </c>
      <c r="N27" s="742"/>
      <c r="O27" s="741"/>
      <c r="P27" s="703"/>
      <c r="Q27" s="704"/>
      <c r="R27" s="63"/>
      <c r="S27" s="706"/>
      <c r="T27" s="706"/>
      <c r="U27" s="136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</row>
    <row r="28" ht="14.25" customHeight="1">
      <c r="A28" s="681">
        <v>21.0</v>
      </c>
      <c r="B28" s="695" t="s">
        <v>3993</v>
      </c>
      <c r="C28" s="697" t="s">
        <v>3994</v>
      </c>
      <c r="D28" s="697" t="s">
        <v>3999</v>
      </c>
      <c r="E28" s="698"/>
      <c r="F28" s="698"/>
      <c r="G28" s="686"/>
      <c r="H28" s="689"/>
      <c r="I28" s="689"/>
      <c r="J28" s="699">
        <f t="shared" ref="J28:J30" si="13">G28*H28*0.95</f>
        <v>0</v>
      </c>
      <c r="K28" s="743">
        <f t="shared" ref="K28:K30" si="14">G28*I28*0.95</f>
        <v>0</v>
      </c>
      <c r="L28" s="743">
        <f t="shared" si="7"/>
        <v>0</v>
      </c>
      <c r="M28" s="743">
        <f t="shared" si="8"/>
        <v>0</v>
      </c>
      <c r="N28" s="744"/>
      <c r="O28" s="741"/>
      <c r="P28" s="745"/>
      <c r="Q28" s="2"/>
      <c r="R28" s="2"/>
      <c r="S28" s="706"/>
      <c r="T28" s="706"/>
      <c r="U28" s="136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</row>
    <row r="29" ht="14.25" customHeight="1">
      <c r="A29" s="681">
        <v>22.0</v>
      </c>
      <c r="B29" s="707" t="s">
        <v>3993</v>
      </c>
      <c r="C29" s="684" t="s">
        <v>3996</v>
      </c>
      <c r="D29" s="684" t="s">
        <v>3999</v>
      </c>
      <c r="E29" s="685"/>
      <c r="F29" s="685"/>
      <c r="G29" s="686"/>
      <c r="H29" s="689"/>
      <c r="I29" s="689"/>
      <c r="J29" s="689">
        <f t="shared" si="13"/>
        <v>0</v>
      </c>
      <c r="K29" s="746">
        <f t="shared" si="14"/>
        <v>0</v>
      </c>
      <c r="L29" s="746">
        <f t="shared" si="7"/>
        <v>0</v>
      </c>
      <c r="M29" s="746">
        <f t="shared" si="8"/>
        <v>0</v>
      </c>
      <c r="N29" s="747"/>
      <c r="O29" s="741"/>
      <c r="P29" s="745"/>
      <c r="Q29" s="748"/>
      <c r="R29" s="749"/>
      <c r="S29" s="63"/>
      <c r="T29" s="706"/>
      <c r="U29" s="136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</row>
    <row r="30" ht="14.25" customHeight="1">
      <c r="A30" s="681">
        <v>23.0</v>
      </c>
      <c r="B30" s="712" t="s">
        <v>3993</v>
      </c>
      <c r="C30" s="714" t="s">
        <v>3997</v>
      </c>
      <c r="D30" s="714" t="s">
        <v>3999</v>
      </c>
      <c r="E30" s="715"/>
      <c r="F30" s="715"/>
      <c r="G30" s="686"/>
      <c r="H30" s="689"/>
      <c r="I30" s="689"/>
      <c r="J30" s="750">
        <f t="shared" si="13"/>
        <v>0</v>
      </c>
      <c r="K30" s="751">
        <f t="shared" si="14"/>
        <v>0</v>
      </c>
      <c r="L30" s="751">
        <f t="shared" si="7"/>
        <v>0</v>
      </c>
      <c r="M30" s="751">
        <f t="shared" si="8"/>
        <v>0</v>
      </c>
      <c r="N30" s="752"/>
      <c r="O30" s="741"/>
      <c r="P30" s="745"/>
      <c r="Q30" s="2"/>
      <c r="R30" s="2"/>
      <c r="S30" s="63"/>
      <c r="T30" s="706"/>
      <c r="U30" s="136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</row>
    <row r="31" ht="14.25" customHeight="1">
      <c r="A31" s="681">
        <v>24.0</v>
      </c>
      <c r="B31" s="695" t="s">
        <v>4000</v>
      </c>
      <c r="C31" s="697" t="s">
        <v>4001</v>
      </c>
      <c r="D31" s="697" t="s">
        <v>3999</v>
      </c>
      <c r="E31" s="753"/>
      <c r="F31" s="753"/>
      <c r="G31" s="686"/>
      <c r="H31" s="689"/>
      <c r="I31" s="689"/>
      <c r="J31" s="699">
        <f t="shared" ref="J31:J32" si="15">G31*H31</f>
        <v>0</v>
      </c>
      <c r="K31" s="743">
        <f t="shared" ref="K31:K32" si="16">G31*I31*0.99</f>
        <v>0</v>
      </c>
      <c r="L31" s="743">
        <f t="shared" si="7"/>
        <v>0</v>
      </c>
      <c r="M31" s="743">
        <f t="shared" si="8"/>
        <v>0</v>
      </c>
      <c r="N31" s="754"/>
      <c r="O31" s="741"/>
      <c r="P31" s="745"/>
      <c r="Q31" s="2"/>
      <c r="R31" s="2"/>
      <c r="S31" s="63"/>
      <c r="T31" s="706"/>
      <c r="U31" s="136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</row>
    <row r="32" ht="14.25" customHeight="1">
      <c r="A32" s="681">
        <v>25.0</v>
      </c>
      <c r="B32" s="712" t="s">
        <v>4000</v>
      </c>
      <c r="C32" s="714" t="s">
        <v>4002</v>
      </c>
      <c r="D32" s="714" t="s">
        <v>3999</v>
      </c>
      <c r="E32" s="755"/>
      <c r="F32" s="755"/>
      <c r="G32" s="751"/>
      <c r="H32" s="756"/>
      <c r="I32" s="756"/>
      <c r="J32" s="699">
        <f t="shared" si="15"/>
        <v>0</v>
      </c>
      <c r="K32" s="751">
        <f t="shared" si="16"/>
        <v>0</v>
      </c>
      <c r="L32" s="743">
        <f t="shared" si="7"/>
        <v>0</v>
      </c>
      <c r="M32" s="751">
        <f t="shared" si="8"/>
        <v>0</v>
      </c>
      <c r="N32" s="752"/>
      <c r="O32" s="741"/>
      <c r="P32" s="745"/>
      <c r="Q32" s="2"/>
      <c r="R32" s="2"/>
      <c r="S32" s="63"/>
      <c r="T32" s="706"/>
      <c r="U32" s="136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</row>
    <row r="33" ht="14.25" customHeight="1">
      <c r="A33" s="681">
        <v>26.0</v>
      </c>
      <c r="B33" s="757" t="s">
        <v>4003</v>
      </c>
      <c r="C33" s="731" t="s">
        <v>4004</v>
      </c>
      <c r="D33" s="731" t="s">
        <v>4005</v>
      </c>
      <c r="E33" s="758"/>
      <c r="F33" s="758"/>
      <c r="G33" s="746"/>
      <c r="H33" s="759"/>
      <c r="I33" s="759"/>
      <c r="J33" s="760"/>
      <c r="K33" s="760"/>
      <c r="L33" s="760"/>
      <c r="M33" s="760"/>
      <c r="N33" s="761"/>
      <c r="O33" s="63"/>
      <c r="P33" s="703"/>
      <c r="Q33" s="704"/>
      <c r="R33" s="63"/>
      <c r="S33" s="63"/>
      <c r="T33" s="63"/>
      <c r="U33" s="136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</row>
    <row r="34" ht="14.25" customHeight="1">
      <c r="A34" s="681">
        <v>27.0</v>
      </c>
      <c r="B34" s="757" t="s">
        <v>4003</v>
      </c>
      <c r="C34" s="684" t="s">
        <v>4006</v>
      </c>
      <c r="D34" s="731" t="s">
        <v>4005</v>
      </c>
      <c r="E34" s="736"/>
      <c r="F34" s="736"/>
      <c r="G34" s="746"/>
      <c r="H34" s="759"/>
      <c r="I34" s="759"/>
      <c r="J34" s="760"/>
      <c r="K34" s="760"/>
      <c r="L34" s="746"/>
      <c r="M34" s="746"/>
      <c r="N34" s="762"/>
      <c r="O34" s="63"/>
      <c r="P34" s="703"/>
      <c r="Q34" s="704"/>
      <c r="R34" s="63"/>
      <c r="S34" s="63"/>
      <c r="T34" s="63"/>
      <c r="U34" s="136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</row>
    <row r="35" ht="14.25" customHeight="1">
      <c r="A35" s="681">
        <v>28.0</v>
      </c>
      <c r="B35" s="757" t="s">
        <v>4003</v>
      </c>
      <c r="C35" s="684" t="s">
        <v>4007</v>
      </c>
      <c r="D35" s="731" t="s">
        <v>4005</v>
      </c>
      <c r="E35" s="736"/>
      <c r="F35" s="736"/>
      <c r="G35" s="746"/>
      <c r="H35" s="759"/>
      <c r="I35" s="759"/>
      <c r="J35" s="760"/>
      <c r="K35" s="760"/>
      <c r="L35" s="746"/>
      <c r="M35" s="746"/>
      <c r="N35" s="763"/>
      <c r="O35" s="63"/>
      <c r="P35" s="703"/>
      <c r="Q35" s="704"/>
      <c r="R35" s="63"/>
      <c r="S35" s="63"/>
      <c r="T35" s="63"/>
      <c r="U35" s="136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</row>
    <row r="36" ht="14.25" customHeight="1">
      <c r="A36" s="681">
        <v>29.0</v>
      </c>
      <c r="B36" s="757" t="s">
        <v>4003</v>
      </c>
      <c r="C36" s="764" t="s">
        <v>4008</v>
      </c>
      <c r="D36" s="731" t="s">
        <v>4005</v>
      </c>
      <c r="E36" s="765"/>
      <c r="F36" s="765"/>
      <c r="G36" s="746"/>
      <c r="H36" s="759"/>
      <c r="I36" s="766"/>
      <c r="J36" s="760"/>
      <c r="K36" s="760"/>
      <c r="L36" s="767"/>
      <c r="M36" s="767"/>
      <c r="N36" s="761"/>
      <c r="O36" s="63"/>
      <c r="P36" s="703"/>
      <c r="Q36" s="704"/>
      <c r="R36" s="63"/>
      <c r="S36" s="63"/>
      <c r="T36" s="63"/>
      <c r="U36" s="136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</row>
    <row r="37" ht="14.25" customHeight="1">
      <c r="A37" s="768">
        <v>30.0</v>
      </c>
      <c r="B37" s="769" t="s">
        <v>4009</v>
      </c>
      <c r="C37" s="770" t="s">
        <v>4010</v>
      </c>
      <c r="D37" s="771" t="s">
        <v>4011</v>
      </c>
      <c r="E37" s="772"/>
      <c r="F37" s="773"/>
      <c r="G37" s="774">
        <v>4098.0</v>
      </c>
      <c r="H37" s="775">
        <v>0.13</v>
      </c>
      <c r="I37" s="775">
        <v>99.327</v>
      </c>
      <c r="J37" s="776"/>
      <c r="K37" s="776"/>
      <c r="L37" s="774">
        <f t="shared" ref="L37:L45" si="17">+G37*H37/100</f>
        <v>5.3274</v>
      </c>
      <c r="M37" s="774">
        <f t="shared" ref="M37:M45" si="18">+G37*I37/100</f>
        <v>4070.42046</v>
      </c>
      <c r="N37" s="777" t="s">
        <v>4012</v>
      </c>
      <c r="O37" s="63"/>
      <c r="P37" s="703"/>
      <c r="Q37" s="704"/>
      <c r="R37" s="63"/>
      <c r="S37" s="63"/>
      <c r="T37" s="63"/>
      <c r="U37" s="136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</row>
    <row r="38" ht="14.25" customHeight="1">
      <c r="A38" s="768">
        <v>31.0</v>
      </c>
      <c r="B38" s="769" t="s">
        <v>4009</v>
      </c>
      <c r="C38" s="770" t="s">
        <v>4010</v>
      </c>
      <c r="D38" s="771" t="s">
        <v>4013</v>
      </c>
      <c r="E38" s="772"/>
      <c r="F38" s="773"/>
      <c r="G38" s="774">
        <v>6470.0</v>
      </c>
      <c r="H38" s="775">
        <v>0.128</v>
      </c>
      <c r="I38" s="775">
        <v>98.76</v>
      </c>
      <c r="J38" s="776"/>
      <c r="K38" s="776"/>
      <c r="L38" s="774">
        <f t="shared" si="17"/>
        <v>8.2816</v>
      </c>
      <c r="M38" s="774">
        <f t="shared" si="18"/>
        <v>6389.772</v>
      </c>
      <c r="N38" s="778">
        <f>SUM(L37:L46)</f>
        <v>159.5938559</v>
      </c>
      <c r="O38" s="2"/>
      <c r="P38" s="2"/>
      <c r="Q38" s="2"/>
      <c r="R38" s="63"/>
      <c r="S38" s="63"/>
      <c r="T38" s="63"/>
      <c r="U38" s="136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</row>
    <row r="39" ht="14.25" customHeight="1">
      <c r="A39" s="768">
        <v>32.0</v>
      </c>
      <c r="B39" s="769" t="s">
        <v>4009</v>
      </c>
      <c r="C39" s="770" t="s">
        <v>4010</v>
      </c>
      <c r="D39" s="771" t="s">
        <v>4014</v>
      </c>
      <c r="E39" s="772"/>
      <c r="F39" s="773"/>
      <c r="G39" s="774">
        <v>449.67</v>
      </c>
      <c r="H39" s="775">
        <v>0.639</v>
      </c>
      <c r="I39" s="775">
        <v>98.588</v>
      </c>
      <c r="J39" s="776"/>
      <c r="K39" s="776"/>
      <c r="L39" s="774">
        <f t="shared" si="17"/>
        <v>2.8733913</v>
      </c>
      <c r="M39" s="774">
        <f t="shared" si="18"/>
        <v>443.3206596</v>
      </c>
      <c r="N39" s="777" t="s">
        <v>4015</v>
      </c>
      <c r="O39" s="63"/>
      <c r="P39" s="703"/>
      <c r="Q39" s="704"/>
      <c r="R39" s="63"/>
      <c r="S39" s="63"/>
      <c r="T39" s="63"/>
      <c r="U39" s="136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</row>
    <row r="40" ht="14.25" customHeight="1">
      <c r="A40" s="768">
        <v>33.0</v>
      </c>
      <c r="B40" s="769" t="s">
        <v>4009</v>
      </c>
      <c r="C40" s="770" t="s">
        <v>4010</v>
      </c>
      <c r="D40" s="771" t="s">
        <v>4016</v>
      </c>
      <c r="E40" s="772"/>
      <c r="F40" s="773"/>
      <c r="G40" s="774">
        <v>5571.57</v>
      </c>
      <c r="H40" s="775">
        <v>0.028</v>
      </c>
      <c r="I40" s="775">
        <v>98.285</v>
      </c>
      <c r="J40" s="776"/>
      <c r="K40" s="776"/>
      <c r="L40" s="774">
        <f t="shared" si="17"/>
        <v>1.5600396</v>
      </c>
      <c r="M40" s="774">
        <f t="shared" si="18"/>
        <v>5476.017575</v>
      </c>
      <c r="N40" s="778">
        <f>SUM(M37:M46)</f>
        <v>26511.45496</v>
      </c>
      <c r="O40" s="2"/>
      <c r="P40" s="2"/>
      <c r="Q40" s="2"/>
      <c r="R40" s="63"/>
      <c r="S40" s="63"/>
      <c r="T40" s="63"/>
      <c r="U40" s="136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</row>
    <row r="41" ht="14.25" customHeight="1">
      <c r="A41" s="768">
        <v>34.0</v>
      </c>
      <c r="B41" s="769" t="s">
        <v>4009</v>
      </c>
      <c r="C41" s="770" t="s">
        <v>4010</v>
      </c>
      <c r="D41" s="771" t="s">
        <v>4016</v>
      </c>
      <c r="E41" s="772"/>
      <c r="F41" s="773"/>
      <c r="G41" s="774">
        <v>5997.82</v>
      </c>
      <c r="H41" s="775">
        <v>0.026</v>
      </c>
      <c r="I41" s="775">
        <v>98.444</v>
      </c>
      <c r="J41" s="776"/>
      <c r="K41" s="776"/>
      <c r="L41" s="774">
        <f t="shared" si="17"/>
        <v>1.5594332</v>
      </c>
      <c r="M41" s="774">
        <f t="shared" si="18"/>
        <v>5904.493921</v>
      </c>
      <c r="N41" s="779"/>
      <c r="O41" s="2"/>
      <c r="P41" s="2"/>
      <c r="Q41" s="2"/>
      <c r="R41" s="63"/>
      <c r="S41" s="63"/>
      <c r="T41" s="63"/>
      <c r="U41" s="136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</row>
    <row r="42" ht="14.25" customHeight="1">
      <c r="A42" s="768">
        <v>35.0</v>
      </c>
      <c r="B42" s="769" t="s">
        <v>4009</v>
      </c>
      <c r="C42" s="770" t="s">
        <v>4010</v>
      </c>
      <c r="D42" s="771" t="s">
        <v>4016</v>
      </c>
      <c r="E42" s="772"/>
      <c r="F42" s="773"/>
      <c r="G42" s="774">
        <v>4063.03</v>
      </c>
      <c r="H42" s="775">
        <v>0.025</v>
      </c>
      <c r="I42" s="775">
        <v>98.899</v>
      </c>
      <c r="J42" s="776"/>
      <c r="K42" s="776"/>
      <c r="L42" s="774">
        <f t="shared" si="17"/>
        <v>1.0157575</v>
      </c>
      <c r="M42" s="774">
        <f t="shared" si="18"/>
        <v>4018.29604</v>
      </c>
      <c r="N42" s="779"/>
      <c r="O42" s="2"/>
      <c r="P42" s="2"/>
      <c r="Q42" s="2"/>
      <c r="R42" s="63"/>
      <c r="S42" s="63"/>
      <c r="T42" s="63"/>
      <c r="U42" s="136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</row>
    <row r="43" ht="14.25" customHeight="1">
      <c r="A43" s="768">
        <v>36.0</v>
      </c>
      <c r="B43" s="769" t="s">
        <v>4009</v>
      </c>
      <c r="C43" s="770" t="s">
        <v>4010</v>
      </c>
      <c r="D43" s="771" t="s">
        <v>4017</v>
      </c>
      <c r="E43" s="772"/>
      <c r="F43" s="773"/>
      <c r="G43" s="774">
        <v>225.41</v>
      </c>
      <c r="H43" s="775">
        <v>27.921</v>
      </c>
      <c r="I43" s="775">
        <v>62.475</v>
      </c>
      <c r="J43" s="774"/>
      <c r="K43" s="774"/>
      <c r="L43" s="780">
        <f t="shared" si="17"/>
        <v>62.9367261</v>
      </c>
      <c r="M43" s="774">
        <f t="shared" si="18"/>
        <v>140.8248975</v>
      </c>
      <c r="N43" s="777"/>
      <c r="O43" s="63"/>
      <c r="P43" s="703"/>
      <c r="Q43" s="704"/>
      <c r="R43" s="63"/>
      <c r="S43" s="63"/>
      <c r="T43" s="63"/>
      <c r="U43" s="136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</row>
    <row r="44" ht="14.25" customHeight="1">
      <c r="A44" s="768">
        <v>37.0</v>
      </c>
      <c r="B44" s="769" t="s">
        <v>4009</v>
      </c>
      <c r="C44" s="770" t="s">
        <v>4010</v>
      </c>
      <c r="D44" s="771" t="s">
        <v>4018</v>
      </c>
      <c r="E44" s="772"/>
      <c r="F44" s="773"/>
      <c r="G44" s="774">
        <v>80.5</v>
      </c>
      <c r="H44" s="775">
        <v>61.599</v>
      </c>
      <c r="I44" s="775">
        <v>9.542</v>
      </c>
      <c r="J44" s="774"/>
      <c r="K44" s="774"/>
      <c r="L44" s="780">
        <f t="shared" si="17"/>
        <v>49.587195</v>
      </c>
      <c r="M44" s="774">
        <f t="shared" si="18"/>
        <v>7.68131</v>
      </c>
      <c r="N44" s="777"/>
      <c r="O44" s="63"/>
      <c r="P44" s="703"/>
      <c r="Q44" s="704"/>
      <c r="R44" s="63"/>
      <c r="S44" s="63"/>
      <c r="T44" s="63"/>
      <c r="U44" s="136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</row>
    <row r="45" ht="14.25" customHeight="1">
      <c r="A45" s="768">
        <v>38.0</v>
      </c>
      <c r="B45" s="769" t="s">
        <v>4009</v>
      </c>
      <c r="C45" s="770" t="s">
        <v>4010</v>
      </c>
      <c r="D45" s="771" t="s">
        <v>4019</v>
      </c>
      <c r="E45" s="772"/>
      <c r="F45" s="773"/>
      <c r="G45" s="774">
        <v>180.92</v>
      </c>
      <c r="H45" s="775">
        <v>14.621</v>
      </c>
      <c r="I45" s="775">
        <v>33.511</v>
      </c>
      <c r="J45" s="774"/>
      <c r="K45" s="774"/>
      <c r="L45" s="780">
        <f t="shared" si="17"/>
        <v>26.4523132</v>
      </c>
      <c r="M45" s="774">
        <f t="shared" si="18"/>
        <v>60.6281012</v>
      </c>
      <c r="N45" s="777"/>
      <c r="O45" s="63"/>
      <c r="P45" s="703"/>
      <c r="Q45" s="704"/>
      <c r="R45" s="63"/>
      <c r="S45" s="63"/>
      <c r="T45" s="63"/>
      <c r="U45" s="136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</row>
    <row r="46" ht="14.25" customHeight="1">
      <c r="A46" s="768">
        <v>39.0</v>
      </c>
      <c r="B46" s="769" t="s">
        <v>4009</v>
      </c>
      <c r="C46" s="770" t="s">
        <v>4010</v>
      </c>
      <c r="D46" s="771" t="s">
        <v>4020</v>
      </c>
      <c r="E46" s="772"/>
      <c r="F46" s="773"/>
      <c r="G46" s="774">
        <v>2405.8</v>
      </c>
      <c r="H46" s="775" t="s">
        <v>4021</v>
      </c>
      <c r="I46" s="775" t="s">
        <v>4021</v>
      </c>
      <c r="J46" s="774"/>
      <c r="K46" s="774"/>
      <c r="L46" s="781"/>
      <c r="M46" s="781"/>
      <c r="N46" s="779"/>
      <c r="O46" s="2"/>
      <c r="P46" s="2"/>
      <c r="Q46" s="2"/>
      <c r="R46" s="63"/>
      <c r="S46" s="63"/>
      <c r="T46" s="63"/>
      <c r="U46" s="136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</row>
    <row r="47" ht="14.25" customHeight="1">
      <c r="A47" s="768">
        <v>40.0</v>
      </c>
      <c r="B47" s="782" t="s">
        <v>4022</v>
      </c>
      <c r="C47" s="731" t="s">
        <v>4023</v>
      </c>
      <c r="D47" s="731" t="s">
        <v>4024</v>
      </c>
      <c r="E47" s="783"/>
      <c r="F47" s="784"/>
      <c r="G47" s="743">
        <v>1636.47</v>
      </c>
      <c r="H47" s="785">
        <v>0.259</v>
      </c>
      <c r="I47" s="785"/>
      <c r="J47" s="2"/>
      <c r="K47" s="760">
        <f t="shared" ref="K47:K48" si="19">G47*I47</f>
        <v>0</v>
      </c>
      <c r="L47" s="786">
        <f>+H47*G47</f>
        <v>423.84573</v>
      </c>
      <c r="M47" s="760">
        <f t="shared" ref="M47:M48" si="20">+K47/31.10347</f>
        <v>0</v>
      </c>
      <c r="N47" s="763"/>
      <c r="O47" s="2"/>
      <c r="P47" s="2"/>
      <c r="Q47" s="2"/>
      <c r="R47" s="63"/>
      <c r="S47" s="63"/>
      <c r="T47" s="63"/>
      <c r="U47" s="136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</row>
    <row r="48" ht="14.25" customHeight="1">
      <c r="A48" s="768">
        <v>41.0</v>
      </c>
      <c r="B48" s="787" t="s">
        <v>4025</v>
      </c>
      <c r="C48" s="684" t="s">
        <v>4026</v>
      </c>
      <c r="D48" s="684"/>
      <c r="E48" s="783"/>
      <c r="F48" s="784"/>
      <c r="G48" s="751"/>
      <c r="H48" s="785"/>
      <c r="I48" s="788"/>
      <c r="J48" s="746"/>
      <c r="K48" s="746">
        <f t="shared" si="19"/>
        <v>0</v>
      </c>
      <c r="L48" s="789">
        <v>299.81</v>
      </c>
      <c r="M48" s="746">
        <f t="shared" si="20"/>
        <v>0</v>
      </c>
      <c r="N48" s="744"/>
      <c r="O48" s="2"/>
      <c r="P48" s="2"/>
      <c r="Q48" s="2"/>
      <c r="R48" s="63"/>
      <c r="S48" s="63"/>
      <c r="T48" s="63"/>
      <c r="U48" s="136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</row>
    <row r="49" ht="14.25" customHeight="1">
      <c r="A49" s="768">
        <v>42.0</v>
      </c>
      <c r="B49" s="787" t="s">
        <v>4025</v>
      </c>
      <c r="C49" s="684" t="s">
        <v>4027</v>
      </c>
      <c r="D49" s="684"/>
      <c r="E49" s="783"/>
      <c r="F49" s="784"/>
      <c r="G49" s="751"/>
      <c r="H49" s="785"/>
      <c r="I49" s="788"/>
      <c r="J49" s="746"/>
      <c r="K49" s="746">
        <v>0.0</v>
      </c>
      <c r="L49" s="746">
        <v>31.506</v>
      </c>
      <c r="M49" s="746">
        <v>0.0</v>
      </c>
      <c r="N49" s="744"/>
      <c r="O49" s="2"/>
      <c r="P49" s="2"/>
      <c r="Q49" s="2"/>
      <c r="R49" s="63"/>
      <c r="S49" s="63"/>
      <c r="T49" s="63"/>
      <c r="U49" s="136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</row>
    <row r="50" ht="14.25" customHeight="1">
      <c r="A50" s="768">
        <v>43.0</v>
      </c>
      <c r="B50" s="787" t="s">
        <v>4025</v>
      </c>
      <c r="C50" s="684"/>
      <c r="D50" s="684"/>
      <c r="E50" s="783"/>
      <c r="F50" s="784"/>
      <c r="G50" s="751"/>
      <c r="H50" s="785">
        <v>0.01</v>
      </c>
      <c r="I50" s="788"/>
      <c r="J50" s="746"/>
      <c r="K50" s="746">
        <v>0.0</v>
      </c>
      <c r="L50" s="746"/>
      <c r="M50" s="746">
        <v>0.0</v>
      </c>
      <c r="N50" s="744"/>
      <c r="O50" s="2"/>
      <c r="P50" s="2"/>
      <c r="Q50" s="2"/>
      <c r="R50" s="63"/>
      <c r="S50" s="63"/>
      <c r="T50" s="63"/>
      <c r="U50" s="136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</row>
    <row r="51" ht="14.25" customHeight="1">
      <c r="A51" s="790"/>
      <c r="B51" s="791" t="s">
        <v>4028</v>
      </c>
      <c r="C51" s="792"/>
      <c r="D51" s="792"/>
      <c r="E51" s="792"/>
      <c r="F51" s="792"/>
      <c r="G51" s="793"/>
      <c r="H51" s="794"/>
      <c r="I51" s="794"/>
      <c r="J51" s="795">
        <f>SUM(J8:J50)</f>
        <v>4542.15454</v>
      </c>
      <c r="K51" s="795">
        <f t="shared" ref="K51:M51" si="21">SUM(K16:K50)</f>
        <v>0</v>
      </c>
      <c r="L51" s="795">
        <f t="shared" si="21"/>
        <v>914.7555859</v>
      </c>
      <c r="M51" s="795">
        <f t="shared" si="21"/>
        <v>26511.45496</v>
      </c>
      <c r="N51" s="796"/>
      <c r="O51" s="63"/>
      <c r="P51" s="703"/>
      <c r="Q51" s="704"/>
      <c r="R51" s="63"/>
      <c r="S51" s="63"/>
      <c r="T51" s="63"/>
      <c r="U51" s="136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</row>
    <row r="52" ht="14.25" customHeight="1">
      <c r="A52" s="797"/>
      <c r="B52" s="797"/>
      <c r="C52" s="798"/>
      <c r="D52" s="798"/>
      <c r="E52" s="798"/>
      <c r="F52" s="798"/>
      <c r="G52" s="798"/>
      <c r="H52" s="798"/>
      <c r="I52" s="798"/>
      <c r="J52" s="799"/>
      <c r="K52" s="798"/>
      <c r="L52" s="798"/>
      <c r="M52" s="798"/>
      <c r="N52" s="798"/>
      <c r="O52" s="63"/>
      <c r="P52" s="703"/>
      <c r="Q52" s="704"/>
      <c r="R52" s="63"/>
      <c r="S52" s="63"/>
      <c r="T52" s="63"/>
      <c r="U52" s="136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</row>
    <row r="53" ht="14.25" customHeight="1">
      <c r="A53" s="798" t="s">
        <v>4029</v>
      </c>
      <c r="B53" s="798"/>
      <c r="C53" s="798"/>
      <c r="D53" s="798"/>
      <c r="E53" s="798"/>
      <c r="F53" s="798"/>
      <c r="G53" s="798"/>
      <c r="H53" s="798"/>
      <c r="I53" s="798"/>
      <c r="J53" s="799"/>
      <c r="K53" s="798"/>
      <c r="L53" s="798"/>
      <c r="M53" s="798"/>
      <c r="N53" s="798"/>
      <c r="O53" s="63"/>
      <c r="P53" s="703"/>
      <c r="Q53" s="704"/>
      <c r="R53" s="63"/>
      <c r="S53" s="63"/>
      <c r="T53" s="63"/>
      <c r="U53" s="136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</row>
    <row r="54" ht="14.25" customHeight="1">
      <c r="A54" s="681">
        <v>32.0</v>
      </c>
      <c r="B54" s="800" t="s">
        <v>4030</v>
      </c>
      <c r="C54" s="801" t="s">
        <v>4030</v>
      </c>
      <c r="D54" s="800" t="s">
        <v>4031</v>
      </c>
      <c r="E54" s="802"/>
      <c r="F54" s="803">
        <f>+F16</f>
        <v>0</v>
      </c>
      <c r="G54" s="802"/>
      <c r="H54" s="804">
        <v>0.033440364021895375</v>
      </c>
      <c r="I54" s="804"/>
      <c r="J54" s="803">
        <f>+F54*H54*34.285</f>
        <v>0</v>
      </c>
      <c r="K54" s="803"/>
      <c r="L54" s="805">
        <f t="shared" ref="L54:M54" si="22">+J54/31.10347</f>
        <v>0</v>
      </c>
      <c r="M54" s="805">
        <f t="shared" si="22"/>
        <v>0</v>
      </c>
      <c r="N54" s="744"/>
      <c r="O54" s="63"/>
      <c r="P54" s="703"/>
      <c r="Q54" s="704"/>
      <c r="R54" s="63"/>
      <c r="S54" s="63"/>
      <c r="T54" s="63"/>
      <c r="U54" s="136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63"/>
      <c r="P55" s="703"/>
      <c r="Q55" s="704"/>
      <c r="R55" s="63"/>
      <c r="S55" s="63"/>
      <c r="T55" s="63"/>
      <c r="U55" s="136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63"/>
      <c r="P56" s="703"/>
      <c r="Q56" s="704"/>
      <c r="R56" s="63"/>
      <c r="S56" s="63"/>
      <c r="T56" s="63"/>
      <c r="U56" s="136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63"/>
      <c r="P57" s="703"/>
      <c r="Q57" s="704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63"/>
      <c r="P58" s="703"/>
      <c r="Q58" s="704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</row>
    <row r="59" ht="14.25" customHeight="1">
      <c r="A59" s="2"/>
      <c r="B59" s="2"/>
      <c r="C59" s="2"/>
      <c r="D59" s="2"/>
      <c r="E59" s="56"/>
      <c r="F59" s="806"/>
      <c r="G59" s="806"/>
      <c r="H59" s="806"/>
      <c r="I59" s="806"/>
      <c r="J59" s="806"/>
      <c r="K59" s="807"/>
      <c r="L59" s="745"/>
      <c r="M59" s="745"/>
      <c r="N59" s="2"/>
      <c r="O59" s="63"/>
      <c r="P59" s="703"/>
      <c r="Q59" s="704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</row>
    <row r="60" ht="14.25" customHeight="1">
      <c r="A60" s="2"/>
      <c r="B60" s="2"/>
      <c r="C60" s="2"/>
      <c r="D60" s="2"/>
      <c r="E60" s="56"/>
      <c r="F60" s="806"/>
      <c r="G60" s="806"/>
      <c r="H60" s="806"/>
      <c r="I60" s="806"/>
      <c r="J60" s="806"/>
      <c r="K60" s="808"/>
      <c r="L60" s="745"/>
      <c r="M60" s="745"/>
      <c r="N60" s="2"/>
      <c r="O60" s="63"/>
      <c r="P60" s="703"/>
      <c r="Q60" s="704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</row>
    <row r="61" ht="14.25" customHeight="1">
      <c r="A61" s="2"/>
      <c r="B61" s="2"/>
      <c r="C61" s="2"/>
      <c r="D61" s="2"/>
      <c r="E61" s="56"/>
      <c r="F61" s="806"/>
      <c r="G61" s="806"/>
      <c r="H61" s="806"/>
      <c r="I61" s="806"/>
      <c r="J61" s="806"/>
      <c r="K61" s="808"/>
      <c r="L61" s="745"/>
      <c r="M61" s="745"/>
      <c r="N61" s="2"/>
      <c r="O61" s="63"/>
      <c r="P61" s="703"/>
      <c r="Q61" s="704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</row>
    <row r="62" ht="14.25" customHeight="1">
      <c r="A62" s="2"/>
      <c r="B62" s="2"/>
      <c r="C62" s="2"/>
      <c r="D62" s="2"/>
      <c r="E62" s="56"/>
      <c r="F62" s="806"/>
      <c r="G62" s="806"/>
      <c r="H62" s="806"/>
      <c r="I62" s="806"/>
      <c r="J62" s="806"/>
      <c r="K62" s="808"/>
      <c r="L62" s="745"/>
      <c r="M62" s="745"/>
      <c r="N62" s="2"/>
      <c r="O62" s="63"/>
      <c r="P62" s="703"/>
      <c r="Q62" s="704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</row>
    <row r="63" ht="14.25" customHeight="1">
      <c r="A63" s="2"/>
      <c r="B63" s="2"/>
      <c r="C63" s="2"/>
      <c r="D63" s="2"/>
      <c r="E63" s="56"/>
      <c r="F63" s="806"/>
      <c r="G63" s="806"/>
      <c r="H63" s="806"/>
      <c r="I63" s="806"/>
      <c r="J63" s="806"/>
      <c r="K63" s="745"/>
      <c r="L63" s="745"/>
      <c r="M63" s="745"/>
      <c r="N63" s="2"/>
      <c r="O63" s="63"/>
      <c r="P63" s="703"/>
      <c r="Q63" s="704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</row>
    <row r="64" ht="14.25" customHeight="1">
      <c r="A64" s="2"/>
      <c r="B64" s="2"/>
      <c r="C64" s="2"/>
      <c r="D64" s="2"/>
      <c r="E64" s="56"/>
      <c r="F64" s="806"/>
      <c r="G64" s="806"/>
      <c r="H64" s="806"/>
      <c r="I64" s="806"/>
      <c r="J64" s="806"/>
      <c r="K64" s="745"/>
      <c r="L64" s="745"/>
      <c r="M64" s="745"/>
      <c r="N64" s="2"/>
      <c r="O64" s="63"/>
      <c r="P64" s="703"/>
      <c r="Q64" s="704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</row>
    <row r="65" ht="14.25" customHeight="1">
      <c r="A65" s="2"/>
      <c r="B65" s="2"/>
      <c r="C65" s="2"/>
      <c r="D65" s="2"/>
      <c r="E65" s="56"/>
      <c r="F65" s="806"/>
      <c r="G65" s="806"/>
      <c r="H65" s="806"/>
      <c r="I65" s="806"/>
      <c r="J65" s="806"/>
      <c r="K65" s="745"/>
      <c r="L65" s="745"/>
      <c r="M65" s="745"/>
      <c r="N65" s="2"/>
      <c r="O65" s="63"/>
      <c r="P65" s="703"/>
      <c r="Q65" s="704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</row>
    <row r="66" ht="14.25" customHeight="1">
      <c r="A66" s="2"/>
      <c r="B66" s="2"/>
      <c r="C66" s="2"/>
      <c r="D66" s="2"/>
      <c r="E66" s="56"/>
      <c r="F66" s="806"/>
      <c r="G66" s="806"/>
      <c r="H66" s="806"/>
      <c r="I66" s="806"/>
      <c r="J66" s="806"/>
      <c r="K66" s="745"/>
      <c r="L66" s="745"/>
      <c r="M66" s="745"/>
      <c r="N66" s="2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</row>
    <row r="67" ht="14.25" customHeight="1">
      <c r="A67" s="2"/>
      <c r="B67" s="2"/>
      <c r="C67" s="2"/>
      <c r="D67" s="2"/>
      <c r="E67" s="56"/>
      <c r="F67" s="806"/>
      <c r="G67" s="806"/>
      <c r="H67" s="806"/>
      <c r="I67" s="806"/>
      <c r="J67" s="806"/>
      <c r="K67" s="745"/>
      <c r="L67" s="745"/>
      <c r="M67" s="745"/>
      <c r="N67" s="2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</row>
    <row r="68" ht="14.25" customHeight="1">
      <c r="A68" s="2"/>
      <c r="B68" s="2"/>
      <c r="C68" s="2"/>
      <c r="D68" s="2"/>
      <c r="E68" s="56"/>
      <c r="F68" s="745"/>
      <c r="G68" s="809"/>
      <c r="H68" s="745"/>
      <c r="I68" s="745"/>
      <c r="J68" s="745"/>
      <c r="K68" s="745"/>
      <c r="L68" s="745"/>
      <c r="M68" s="745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ht="14.25" customHeight="1">
      <c r="A69" s="2"/>
      <c r="B69" s="2"/>
      <c r="C69" s="2"/>
      <c r="D69" s="2"/>
      <c r="E69" s="2"/>
      <c r="F69" s="809"/>
      <c r="G69" s="809"/>
      <c r="H69" s="745"/>
      <c r="I69" s="745"/>
      <c r="J69" s="745"/>
      <c r="K69" s="745"/>
      <c r="L69" s="745"/>
      <c r="M69" s="745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ht="14.25" customHeight="1">
      <c r="A70" s="2"/>
      <c r="B70" s="2"/>
      <c r="C70" s="2"/>
      <c r="D70" s="2"/>
      <c r="E70" s="2"/>
      <c r="F70" s="809"/>
      <c r="G70" s="809"/>
      <c r="H70" s="745"/>
      <c r="I70" s="745"/>
      <c r="J70" s="745"/>
      <c r="K70" s="745"/>
      <c r="L70" s="745"/>
      <c r="M70" s="745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ht="14.25" customHeight="1">
      <c r="A71" s="2"/>
      <c r="B71" s="2"/>
      <c r="C71" s="2"/>
      <c r="D71" s="2"/>
      <c r="E71" s="2"/>
      <c r="F71" s="810"/>
      <c r="G71" s="809"/>
      <c r="H71" s="703"/>
      <c r="I71" s="703"/>
      <c r="J71" s="703"/>
      <c r="K71" s="703"/>
      <c r="L71" s="703"/>
      <c r="M71" s="703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ht="14.25" customHeight="1">
      <c r="A72" s="2"/>
      <c r="B72" s="2"/>
      <c r="C72" s="2"/>
      <c r="D72" s="2"/>
      <c r="E72" s="2"/>
      <c r="F72" s="810"/>
      <c r="G72" s="745"/>
      <c r="H72" s="703"/>
      <c r="I72" s="703"/>
      <c r="J72" s="703"/>
      <c r="K72" s="703"/>
      <c r="L72" s="703"/>
      <c r="M72" s="703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ht="14.25" customHeight="1">
      <c r="A73" s="2"/>
      <c r="B73" s="2"/>
      <c r="C73" s="2"/>
      <c r="D73" s="2"/>
      <c r="E73" s="56"/>
      <c r="F73" s="810"/>
      <c r="G73" s="745"/>
      <c r="H73" s="703"/>
      <c r="I73" s="703"/>
      <c r="J73" s="703"/>
      <c r="K73" s="703"/>
      <c r="L73" s="703"/>
      <c r="M73" s="703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ht="14.25" customHeight="1">
      <c r="A74" s="2"/>
      <c r="B74" s="2"/>
      <c r="C74" s="2"/>
      <c r="D74" s="2"/>
      <c r="E74" s="56"/>
      <c r="F74" s="809"/>
      <c r="G74" s="745"/>
      <c r="H74" s="745"/>
      <c r="I74" s="745"/>
      <c r="J74" s="811"/>
      <c r="K74" s="745"/>
      <c r="L74" s="745"/>
      <c r="M74" s="745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ht="14.25" customHeight="1">
      <c r="A75" s="2"/>
      <c r="B75" s="2"/>
      <c r="C75" s="2"/>
      <c r="D75" s="2"/>
      <c r="E75" s="56"/>
      <c r="F75" s="809"/>
      <c r="G75" s="745"/>
      <c r="H75" s="745"/>
      <c r="I75" s="809"/>
      <c r="J75" s="811"/>
      <c r="K75" s="745"/>
      <c r="L75" s="745"/>
      <c r="M75" s="745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ht="14.25" customHeight="1">
      <c r="A76" s="2"/>
      <c r="B76" s="2"/>
      <c r="C76" s="2"/>
      <c r="D76" s="2"/>
      <c r="E76" s="56"/>
      <c r="F76" s="809"/>
      <c r="G76" s="745"/>
      <c r="H76" s="745"/>
      <c r="I76" s="809"/>
      <c r="J76" s="811"/>
      <c r="K76" s="745"/>
      <c r="L76" s="745"/>
      <c r="M76" s="745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ht="14.25" customHeight="1">
      <c r="A77" s="2"/>
      <c r="B77" s="2"/>
      <c r="C77" s="2"/>
      <c r="D77" s="2"/>
      <c r="E77" s="56"/>
      <c r="F77" s="809"/>
      <c r="G77" s="745"/>
      <c r="H77" s="745"/>
      <c r="I77" s="809"/>
      <c r="J77" s="745"/>
      <c r="K77" s="745"/>
      <c r="L77" s="745"/>
      <c r="M77" s="745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ht="14.25" customHeight="1">
      <c r="A78" s="2"/>
      <c r="B78" s="2"/>
      <c r="C78" s="2"/>
      <c r="D78" s="2"/>
      <c r="E78" s="56"/>
      <c r="F78" s="745"/>
      <c r="G78" s="745"/>
      <c r="H78" s="745"/>
      <c r="I78" s="809"/>
      <c r="J78" s="745"/>
      <c r="K78" s="745"/>
      <c r="L78" s="745"/>
      <c r="M78" s="745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ht="14.25" customHeight="1">
      <c r="A79" s="2"/>
      <c r="B79" s="2"/>
      <c r="C79" s="2"/>
      <c r="D79" s="2"/>
      <c r="E79" s="56"/>
      <c r="F79" s="745"/>
      <c r="G79" s="745"/>
      <c r="H79" s="745"/>
      <c r="I79" s="809"/>
      <c r="J79" s="745"/>
      <c r="K79" s="745"/>
      <c r="L79" s="745"/>
      <c r="M79" s="745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ht="14.25" customHeight="1">
      <c r="A80" s="2"/>
      <c r="B80" s="2"/>
      <c r="C80" s="2"/>
      <c r="D80" s="2"/>
      <c r="E80" s="56"/>
      <c r="F80" s="745"/>
      <c r="G80" s="745"/>
      <c r="H80" s="745"/>
      <c r="I80" s="809"/>
      <c r="J80" s="745"/>
      <c r="K80" s="745"/>
      <c r="L80" s="745"/>
      <c r="M80" s="745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ht="14.25" customHeight="1">
      <c r="A81" s="2"/>
      <c r="B81" s="2"/>
      <c r="C81" s="2"/>
      <c r="D81" s="2"/>
      <c r="E81" s="56"/>
      <c r="F81" s="2"/>
      <c r="G81" s="2"/>
      <c r="H81" s="2"/>
      <c r="I81" s="56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5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5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</sheetData>
  <mergeCells count="20">
    <mergeCell ref="C6:C7"/>
    <mergeCell ref="D6:D7"/>
    <mergeCell ref="E6:E7"/>
    <mergeCell ref="F6:F7"/>
    <mergeCell ref="E22:E24"/>
    <mergeCell ref="F25:F27"/>
    <mergeCell ref="E33:E36"/>
    <mergeCell ref="F33:F36"/>
    <mergeCell ref="G6:G7"/>
    <mergeCell ref="H6:I6"/>
    <mergeCell ref="J6:K6"/>
    <mergeCell ref="L6:M6"/>
    <mergeCell ref="A1:N1"/>
    <mergeCell ref="A2:C2"/>
    <mergeCell ref="F2:I2"/>
    <mergeCell ref="A3:C3"/>
    <mergeCell ref="A4:C4"/>
    <mergeCell ref="A6:A7"/>
    <mergeCell ref="B6:B7"/>
    <mergeCell ref="N6:N7"/>
  </mergeCells>
  <conditionalFormatting sqref="E25:E27 F8:F24 K47:L47">
    <cfRule type="cellIs" dxfId="1" priority="1" operator="lessThan">
      <formula>1</formula>
    </cfRule>
  </conditionalFormatting>
  <conditionalFormatting sqref="F54">
    <cfRule type="cellIs" dxfId="1" priority="2" operator="lessThan">
      <formula>1</formula>
    </cfRule>
  </conditionalFormatting>
  <conditionalFormatting sqref="G28:G50 J48:K49">
    <cfRule type="cellIs" dxfId="1" priority="3" operator="lessThan">
      <formula>1</formula>
    </cfRule>
  </conditionalFormatting>
  <conditionalFormatting sqref="H22:I31">
    <cfRule type="cellIs" dxfId="1" priority="4" operator="lessThan">
      <formula>1</formula>
    </cfRule>
  </conditionalFormatting>
  <conditionalFormatting sqref="H47:I50">
    <cfRule type="cellIs" dxfId="2" priority="5" operator="equal">
      <formula>0</formula>
    </cfRule>
  </conditionalFormatting>
  <conditionalFormatting sqref="J17:J21">
    <cfRule type="cellIs" dxfId="1" priority="6" operator="lessThan">
      <formula>1</formula>
    </cfRule>
  </conditionalFormatting>
  <conditionalFormatting sqref="J22:K46">
    <cfRule type="cellIs" dxfId="1" priority="7" operator="lessThan">
      <formula>1</formula>
    </cfRule>
  </conditionalFormatting>
  <conditionalFormatting sqref="J54:K54">
    <cfRule type="cellIs" dxfId="1" priority="8" operator="lessThan">
      <formula>1</formula>
    </cfRule>
  </conditionalFormatting>
  <conditionalFormatting sqref="J8:M16">
    <cfRule type="cellIs" dxfId="1" priority="9" operator="lessThan">
      <formula>1</formula>
    </cfRule>
  </conditionalFormatting>
  <conditionalFormatting sqref="J50:M50">
    <cfRule type="cellIs" dxfId="1" priority="10" operator="lessThan">
      <formula>1</formula>
    </cfRule>
  </conditionalFormatting>
  <conditionalFormatting sqref="L22:M45">
    <cfRule type="cellIs" dxfId="1" priority="11" operator="lessThan">
      <formula>1</formula>
    </cfRule>
  </conditionalFormatting>
  <conditionalFormatting sqref="L47:M49">
    <cfRule type="cellIs" dxfId="1" priority="12" operator="lessThan">
      <formula>1</formula>
    </cfRule>
  </conditionalFormatting>
  <printOptions/>
  <pageMargins bottom="0.75" footer="0.0" header="0.0" left="0.7" right="0.7" top="0.75"/>
  <pageSetup paperSize="9" orientation="landscape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7.86"/>
    <col customWidth="1" min="2" max="2" width="9.71"/>
    <col customWidth="1" min="3" max="3" width="10.57"/>
    <col customWidth="1" min="4" max="4" width="11.71"/>
    <col customWidth="1" min="5" max="5" width="14.0"/>
    <col customWidth="1" min="6" max="6" width="14.86"/>
    <col customWidth="1" min="7" max="7" width="12.71"/>
    <col customWidth="1" min="8" max="8" width="11.43"/>
    <col customWidth="1" min="9" max="10" width="13.0"/>
    <col customWidth="1" min="11" max="11" width="13.29"/>
    <col customWidth="1" min="12" max="12" width="11.57"/>
    <col customWidth="1" min="13" max="13" width="12.86"/>
    <col customWidth="1" min="14" max="14" width="11.71"/>
    <col customWidth="1" min="15" max="15" width="15.0"/>
    <col customWidth="1" min="16" max="16" width="24.0"/>
  </cols>
  <sheetData>
    <row r="1" ht="14.25" customHeight="1">
      <c r="C1" s="65"/>
      <c r="D1" s="65"/>
      <c r="N1" s="3"/>
      <c r="O1" s="3"/>
    </row>
    <row r="2" ht="14.25" customHeight="1">
      <c r="A2" s="2"/>
      <c r="C2" s="65"/>
      <c r="D2" s="65"/>
      <c r="I2" s="65">
        <f>SUMPRODUCT(E5:E26,I5:I26)/SUM(E5:E26)</f>
        <v>89.2448021</v>
      </c>
      <c r="J2" s="65">
        <f>SUMPRODUCT(E5:E26,J5:J26)/SUM(E5:E26)</f>
        <v>83.22773948</v>
      </c>
      <c r="N2" s="3"/>
      <c r="O2" s="3"/>
    </row>
    <row r="3" ht="14.25" customHeight="1">
      <c r="A3" s="812" t="s">
        <v>4032</v>
      </c>
      <c r="B3" s="10" t="s">
        <v>4033</v>
      </c>
      <c r="C3" s="12" t="s">
        <v>4034</v>
      </c>
      <c r="D3" s="12" t="s">
        <v>3866</v>
      </c>
      <c r="E3" s="9" t="s">
        <v>4035</v>
      </c>
      <c r="F3" s="9" t="s">
        <v>4036</v>
      </c>
      <c r="G3" s="9" t="s">
        <v>4037</v>
      </c>
      <c r="H3" s="9" t="s">
        <v>4038</v>
      </c>
      <c r="I3" s="9" t="s">
        <v>4039</v>
      </c>
      <c r="J3" s="9" t="s">
        <v>4039</v>
      </c>
      <c r="K3" s="566" t="s">
        <v>4040</v>
      </c>
      <c r="L3" s="566" t="s">
        <v>2</v>
      </c>
      <c r="M3" s="3"/>
      <c r="N3" s="812" t="s">
        <v>4041</v>
      </c>
      <c r="O3" s="813"/>
    </row>
    <row r="4" ht="14.25" customHeight="1">
      <c r="A4" s="814" t="s">
        <v>4042</v>
      </c>
      <c r="B4" s="204"/>
      <c r="C4" s="815"/>
      <c r="D4" s="815"/>
      <c r="E4" s="816" t="s">
        <v>4043</v>
      </c>
      <c r="F4" s="816" t="s">
        <v>4044</v>
      </c>
      <c r="G4" s="816" t="s">
        <v>4045</v>
      </c>
      <c r="H4" s="816"/>
      <c r="I4" s="816" t="s">
        <v>4046</v>
      </c>
      <c r="J4" s="816" t="s">
        <v>4047</v>
      </c>
      <c r="K4" s="817" t="s">
        <v>4048</v>
      </c>
      <c r="L4" s="817" t="s">
        <v>970</v>
      </c>
      <c r="M4" s="3" t="s">
        <v>3853</v>
      </c>
      <c r="N4" s="814" t="s">
        <v>4046</v>
      </c>
      <c r="O4" s="818" t="s">
        <v>4049</v>
      </c>
    </row>
    <row r="5" ht="14.25" customHeight="1">
      <c r="A5" s="122" t="s">
        <v>4050</v>
      </c>
      <c r="B5" s="819">
        <v>45405.0</v>
      </c>
      <c r="C5" s="21">
        <f>+'1.1'!I2</f>
        <v>455.61</v>
      </c>
      <c r="D5" s="21">
        <f>+'1.1'!K2</f>
        <v>411.146105</v>
      </c>
      <c r="E5" s="820">
        <f t="shared" ref="E5:E25" si="1">100*F5/I5</f>
        <v>4391.530077</v>
      </c>
      <c r="F5" s="21">
        <f>+'1.1'!AH2</f>
        <v>4004.054963</v>
      </c>
      <c r="G5" s="21">
        <f>+'1.1'!AJ3</f>
        <v>3869.473544</v>
      </c>
      <c r="H5" s="21">
        <v>4317.09</v>
      </c>
      <c r="I5" s="821">
        <f>+'1.1'!Q$2</f>
        <v>91.17676285</v>
      </c>
      <c r="J5" s="822">
        <f t="shared" ref="J5:J25" si="2">100*H5/E5</f>
        <v>98.30491707</v>
      </c>
      <c r="K5" s="21">
        <f>+'1.1'!AG2</f>
        <v>75.76761616</v>
      </c>
      <c r="L5" s="21">
        <f>+'1.1'!AI$3</f>
        <v>128.9472583</v>
      </c>
      <c r="M5" s="122">
        <f t="shared" ref="M5:M25" si="3">+L5+K5</f>
        <v>204.7148744</v>
      </c>
      <c r="N5" s="823">
        <v>80.0</v>
      </c>
      <c r="O5" s="824">
        <v>53.0</v>
      </c>
      <c r="P5" s="65"/>
    </row>
    <row r="6" ht="14.25" customHeight="1">
      <c r="A6" s="122" t="s">
        <v>4051</v>
      </c>
      <c r="B6" s="819">
        <v>45418.0</v>
      </c>
      <c r="C6" s="21">
        <f>+'1.2'!I2</f>
        <v>306.89</v>
      </c>
      <c r="D6" s="21">
        <f>+'1.2'!K2</f>
        <v>278.88074</v>
      </c>
      <c r="E6" s="820">
        <f t="shared" si="1"/>
        <v>6464.026863</v>
      </c>
      <c r="F6" s="21">
        <f>+'1.2'!AH2</f>
        <v>5725.002015</v>
      </c>
      <c r="G6" s="21">
        <f>+'1.2'!AJ3</f>
        <v>5688.201699</v>
      </c>
      <c r="H6" s="21">
        <f>5567.3</f>
        <v>5567.3</v>
      </c>
      <c r="I6" s="821">
        <f>+'1.2'!Q$2</f>
        <v>88.5671136</v>
      </c>
      <c r="J6" s="821">
        <f t="shared" si="2"/>
        <v>86.12742673</v>
      </c>
      <c r="K6" s="21">
        <f>+'1.2'!AG2</f>
        <v>109.5661648</v>
      </c>
      <c r="L6" s="21">
        <f>+'1.2'!AI$3</f>
        <v>154.6353013</v>
      </c>
      <c r="M6" s="122">
        <f t="shared" si="3"/>
        <v>264.2014661</v>
      </c>
      <c r="N6" s="825">
        <v>80.0</v>
      </c>
      <c r="O6" s="826">
        <v>53.0</v>
      </c>
      <c r="P6" s="65"/>
    </row>
    <row r="7">
      <c r="A7" s="3" t="s">
        <v>4052</v>
      </c>
      <c r="B7" s="819">
        <v>45455.0</v>
      </c>
      <c r="C7" s="21">
        <f>+'2'!I$2</f>
        <v>419.18</v>
      </c>
      <c r="D7" s="21">
        <f>+'2'!K2</f>
        <v>387.677732</v>
      </c>
      <c r="E7" s="820">
        <f t="shared" si="1"/>
        <v>8155.096125</v>
      </c>
      <c r="F7" s="21">
        <f>+'2'!AH$2</f>
        <v>7027.639873</v>
      </c>
      <c r="G7" s="21">
        <f>+'2'!AJ$3</f>
        <v>7058.066779</v>
      </c>
      <c r="H7" s="21">
        <f>6655.92</f>
        <v>6655.92</v>
      </c>
      <c r="I7" s="821">
        <f>+'2'!Q$2</f>
        <v>86.17482572</v>
      </c>
      <c r="J7" s="821">
        <f t="shared" si="2"/>
        <v>81.61669584</v>
      </c>
      <c r="K7" s="21">
        <f>+'2'!AG$2</f>
        <v>71.6243454</v>
      </c>
      <c r="L7" s="21">
        <f>+'2'!AI$3</f>
        <v>96.89514439</v>
      </c>
      <c r="M7" s="122">
        <f t="shared" si="3"/>
        <v>168.5194898</v>
      </c>
      <c r="N7" s="825">
        <v>80.0</v>
      </c>
      <c r="O7" s="826">
        <v>53.0</v>
      </c>
      <c r="P7" s="65"/>
    </row>
    <row r="8" ht="14.25" customHeight="1">
      <c r="A8" s="125" t="s">
        <v>4053</v>
      </c>
      <c r="B8" s="819">
        <v>45478.0</v>
      </c>
      <c r="C8" s="21">
        <f>+'3'!I$2</f>
        <v>562.46</v>
      </c>
      <c r="D8" s="21">
        <f>+'3'!K$2</f>
        <v>529.821213</v>
      </c>
      <c r="E8" s="820">
        <f t="shared" si="1"/>
        <v>8601.764446</v>
      </c>
      <c r="F8" s="21">
        <f>+'3'!AH$2</f>
        <v>7512.967208</v>
      </c>
      <c r="G8" s="21">
        <f>+'3'!AJ$3</f>
        <v>7486.189324</v>
      </c>
      <c r="H8" s="20">
        <f>(218.388*31.1035)</f>
        <v>6792.631158</v>
      </c>
      <c r="I8" s="821">
        <f>+'3'!Q$2</f>
        <v>87.34216398</v>
      </c>
      <c r="J8" s="821">
        <f t="shared" si="2"/>
        <v>78.96788154</v>
      </c>
      <c r="K8" s="21">
        <f>+'3'!AG$2</f>
        <v>67.75504359</v>
      </c>
      <c r="L8" s="21">
        <f>+'3'!AI$3</f>
        <v>72.58279487</v>
      </c>
      <c r="M8" s="122">
        <f t="shared" si="3"/>
        <v>140.3378385</v>
      </c>
      <c r="N8" s="825">
        <v>80.0</v>
      </c>
      <c r="O8" s="826">
        <v>53.0</v>
      </c>
      <c r="P8" s="65"/>
    </row>
    <row r="9" ht="14.25" customHeight="1">
      <c r="A9" s="125" t="s">
        <v>4054</v>
      </c>
      <c r="B9" s="819">
        <v>45502.0</v>
      </c>
      <c r="C9" s="21">
        <f>+'4'!I$2</f>
        <v>376.22</v>
      </c>
      <c r="D9" s="21">
        <f>+'4'!K$2</f>
        <v>358.707908</v>
      </c>
      <c r="E9" s="820">
        <f t="shared" si="1"/>
        <v>5251.407192</v>
      </c>
      <c r="F9" s="21">
        <f>+'4'!AH$2</f>
        <v>4645.838309</v>
      </c>
      <c r="G9" s="21">
        <f>+'4'!AJ$3</f>
        <v>4604.9025</v>
      </c>
      <c r="H9" s="20">
        <f>4507.98</f>
        <v>4507.98</v>
      </c>
      <c r="I9" s="821">
        <f>+'4'!Q$2</f>
        <v>88.46844549</v>
      </c>
      <c r="J9" s="821">
        <f t="shared" si="2"/>
        <v>85.84327657</v>
      </c>
      <c r="K9" s="21">
        <f>+'4'!AG$2</f>
        <v>80.82830071</v>
      </c>
      <c r="L9" s="21">
        <f>+'4'!AI$3</f>
        <v>89.8075739</v>
      </c>
      <c r="M9" s="122">
        <f t="shared" si="3"/>
        <v>170.6358746</v>
      </c>
      <c r="N9" s="825">
        <v>80.0</v>
      </c>
      <c r="O9" s="826">
        <v>53.0</v>
      </c>
      <c r="P9" s="65"/>
    </row>
    <row r="10" ht="14.25" customHeight="1">
      <c r="A10" s="143" t="s">
        <v>4055</v>
      </c>
      <c r="B10" s="827">
        <v>45533.0</v>
      </c>
      <c r="C10" s="821">
        <f>+'5'!I$2</f>
        <v>454.18</v>
      </c>
      <c r="D10" s="821">
        <f>+'5'!K$2</f>
        <v>430.888058</v>
      </c>
      <c r="E10" s="820">
        <f t="shared" si="1"/>
        <v>6557.812216</v>
      </c>
      <c r="F10" s="821">
        <f>+'5'!AH$2</f>
        <v>5877.008165</v>
      </c>
      <c r="G10" s="821">
        <f>+'5'!AJ$3</f>
        <v>5730.100892</v>
      </c>
      <c r="H10" s="821">
        <f>5587.87</f>
        <v>5587.87</v>
      </c>
      <c r="I10" s="821">
        <f>+'5'!Q$2</f>
        <v>89.61842716</v>
      </c>
      <c r="J10" s="821">
        <f t="shared" si="2"/>
        <v>85.20936275</v>
      </c>
      <c r="K10" s="821">
        <f>+'5'!AG$2</f>
        <v>41.8144224</v>
      </c>
      <c r="L10" s="821">
        <f>+'5'!AI$3</f>
        <v>106.7955075</v>
      </c>
      <c r="M10" s="115">
        <f t="shared" si="3"/>
        <v>148.6099298</v>
      </c>
      <c r="N10" s="828">
        <v>80.0</v>
      </c>
      <c r="O10" s="826">
        <v>53.0</v>
      </c>
      <c r="P10" s="433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ht="14.25" customHeight="1">
      <c r="A11" s="3" t="s">
        <v>4056</v>
      </c>
      <c r="B11" s="819">
        <v>45557.0</v>
      </c>
      <c r="C11" s="21">
        <f>+'6'!I$2</f>
        <v>358.08</v>
      </c>
      <c r="D11" s="21">
        <f>+'6'!K$2</f>
        <v>332.568594</v>
      </c>
      <c r="E11" s="820">
        <f t="shared" si="1"/>
        <v>6409.131503</v>
      </c>
      <c r="F11" s="21">
        <f>+'6'!AH$2</f>
        <v>5741.423386</v>
      </c>
      <c r="G11" s="21">
        <f>+'6'!AJ$3</f>
        <v>5597.832125</v>
      </c>
      <c r="H11" s="20">
        <v>6309.98</v>
      </c>
      <c r="I11" s="821">
        <f>+'6'!Q$2</f>
        <v>89.58192515</v>
      </c>
      <c r="J11" s="822">
        <f t="shared" si="2"/>
        <v>98.45296507</v>
      </c>
      <c r="K11" s="21">
        <f>+'6'!AG$2</f>
        <v>80.73377663</v>
      </c>
      <c r="L11" s="21">
        <f>+'6'!AI$3</f>
        <v>106.4588051</v>
      </c>
      <c r="M11" s="122">
        <f t="shared" si="3"/>
        <v>187.1925817</v>
      </c>
      <c r="N11" s="825">
        <v>80.0</v>
      </c>
      <c r="O11" s="826">
        <v>53.0</v>
      </c>
      <c r="P11" s="65"/>
    </row>
    <row r="12" ht="14.25" customHeight="1">
      <c r="A12" s="3" t="s">
        <v>4057</v>
      </c>
      <c r="B12" s="819">
        <v>45581.0</v>
      </c>
      <c r="C12" s="21">
        <f>+'7'!I$2</f>
        <v>415.74</v>
      </c>
      <c r="D12" s="21">
        <f>+'7'!K$2</f>
        <v>403.9267</v>
      </c>
      <c r="E12" s="820">
        <f t="shared" si="1"/>
        <v>5462.021638</v>
      </c>
      <c r="F12" s="21">
        <f>+'7'!AH$2</f>
        <v>4888.941127</v>
      </c>
      <c r="G12" s="21">
        <f>+'7'!AJ$3</f>
        <v>4730.156496</v>
      </c>
      <c r="H12" s="21">
        <v>4730.0</v>
      </c>
      <c r="I12" s="821">
        <f>+'7'!Q$2</f>
        <v>89.50790479</v>
      </c>
      <c r="J12" s="821">
        <f t="shared" si="2"/>
        <v>86.59797258</v>
      </c>
      <c r="K12" s="821">
        <f>+'7'!AG$2</f>
        <v>79.8170547</v>
      </c>
      <c r="L12" s="821">
        <f>+'7'!AI$3</f>
        <v>94.55992863</v>
      </c>
      <c r="M12" s="122">
        <f t="shared" si="3"/>
        <v>174.3769833</v>
      </c>
      <c r="N12" s="825">
        <v>80.0</v>
      </c>
      <c r="O12" s="826">
        <v>53.0</v>
      </c>
      <c r="P12" s="65"/>
    </row>
    <row r="13" ht="14.25" customHeight="1">
      <c r="A13" s="3" t="s">
        <v>4058</v>
      </c>
      <c r="B13" s="819">
        <v>45588.0</v>
      </c>
      <c r="C13" s="21">
        <f>+'8'!I$2</f>
        <v>636.85</v>
      </c>
      <c r="D13" s="21">
        <f>+'8'!K$2</f>
        <v>621.16369</v>
      </c>
      <c r="E13" s="820">
        <f t="shared" si="1"/>
        <v>5733.083177</v>
      </c>
      <c r="F13" s="21">
        <f>+'8'!AH$2</f>
        <v>5135.266768</v>
      </c>
      <c r="G13" s="21">
        <f>+'8'!AJ$3</f>
        <v>5056.397697</v>
      </c>
      <c r="H13" s="20">
        <v>4263.65</v>
      </c>
      <c r="I13" s="821">
        <f>+'8'!Q$2</f>
        <v>89.57251464</v>
      </c>
      <c r="J13" s="821">
        <f t="shared" si="2"/>
        <v>74.36923325</v>
      </c>
      <c r="K13" s="821">
        <f>+'8'!AG$2</f>
        <v>46.11085976</v>
      </c>
      <c r="L13" s="821">
        <f>+'8'!AI$3</f>
        <v>48.72501755</v>
      </c>
      <c r="M13" s="122">
        <f t="shared" si="3"/>
        <v>94.83587731</v>
      </c>
      <c r="N13" s="825">
        <v>80.0</v>
      </c>
      <c r="O13" s="826">
        <v>53.0</v>
      </c>
      <c r="P13" s="65"/>
    </row>
    <row r="14" ht="14.25" customHeight="1">
      <c r="A14" s="3" t="s">
        <v>4059</v>
      </c>
      <c r="B14" s="819">
        <v>45601.0</v>
      </c>
      <c r="C14" s="21">
        <f>+'9'!I$2</f>
        <v>580.23</v>
      </c>
      <c r="D14" s="21">
        <f>+'9'!K$2</f>
        <v>559.149232</v>
      </c>
      <c r="E14" s="820">
        <f t="shared" si="1"/>
        <v>6102.95031</v>
      </c>
      <c r="F14" s="21">
        <f>+'9'!AH$3</f>
        <v>5431.188726</v>
      </c>
      <c r="G14" s="21">
        <f>+'9'!AJ$3</f>
        <v>5304.717504</v>
      </c>
      <c r="H14" s="20">
        <v>5247.9</v>
      </c>
      <c r="I14" s="821">
        <f>+'9'!Q$2</f>
        <v>88.99283871</v>
      </c>
      <c r="J14" s="821">
        <f t="shared" si="2"/>
        <v>85.98955805</v>
      </c>
      <c r="K14" s="21">
        <f>+'9'!AG$2</f>
        <v>69.05138687</v>
      </c>
      <c r="L14" s="21">
        <f>+'9'!AI$3</f>
        <v>64.71488802</v>
      </c>
      <c r="M14" s="122">
        <f t="shared" si="3"/>
        <v>133.7662749</v>
      </c>
      <c r="N14" s="825">
        <v>80.0</v>
      </c>
      <c r="O14" s="826">
        <v>53.0</v>
      </c>
      <c r="P14" s="65"/>
    </row>
    <row r="15" ht="14.25" customHeight="1">
      <c r="A15" s="3" t="s">
        <v>4060</v>
      </c>
      <c r="B15" s="819">
        <v>45617.0</v>
      </c>
      <c r="C15" s="21">
        <f>+'10'!I$2</f>
        <v>818.17</v>
      </c>
      <c r="D15" s="21">
        <f>+'10'!K$2</f>
        <v>782.588818</v>
      </c>
      <c r="E15" s="820">
        <f t="shared" si="1"/>
        <v>4488.686879</v>
      </c>
      <c r="F15" s="21">
        <f>+'10'!AH$3-3200</f>
        <v>4015.495017</v>
      </c>
      <c r="G15" s="21">
        <f>+'10'!AJ$3-3200</f>
        <v>3910.736598</v>
      </c>
      <c r="H15" s="20">
        <v>3430.58</v>
      </c>
      <c r="I15" s="821">
        <f>+'10'!Q$2</f>
        <v>89.45812271</v>
      </c>
      <c r="J15" s="821">
        <f t="shared" si="2"/>
        <v>76.42725127</v>
      </c>
      <c r="K15" s="21">
        <f>+'10'!AG$2</f>
        <v>54.25076402</v>
      </c>
      <c r="L15" s="21">
        <f>+'10'!AI$3</f>
        <v>16.33517542</v>
      </c>
      <c r="M15" s="122">
        <f t="shared" si="3"/>
        <v>70.58593944</v>
      </c>
      <c r="N15" s="825">
        <v>80.0</v>
      </c>
      <c r="O15" s="826">
        <v>53.0</v>
      </c>
      <c r="P15" s="65"/>
    </row>
    <row r="16" ht="14.25" customHeight="1">
      <c r="A16" s="3" t="s">
        <v>4061</v>
      </c>
      <c r="B16" s="819"/>
      <c r="C16" s="21">
        <f>+'11'!I$2</f>
        <v>636.52</v>
      </c>
      <c r="D16" s="21">
        <f>+'11'!K$2</f>
        <v>593.357866</v>
      </c>
      <c r="E16" s="820">
        <f t="shared" si="1"/>
        <v>6874.890603</v>
      </c>
      <c r="F16" s="21">
        <f>+'11'!AH$3</f>
        <v>6150.651391</v>
      </c>
      <c r="G16" s="21">
        <f>+'11'!AJ$3</f>
        <v>6065.371727</v>
      </c>
      <c r="H16" s="20">
        <f>207*31.1035</f>
        <v>6438.4245</v>
      </c>
      <c r="I16" s="821">
        <f>+'11'!Q$2</f>
        <v>89.46544383</v>
      </c>
      <c r="J16" s="821">
        <f t="shared" si="2"/>
        <v>93.65130112</v>
      </c>
      <c r="K16" s="21">
        <f>+'11'!AG$2</f>
        <v>55.31599952</v>
      </c>
      <c r="L16" s="21">
        <f>+'11'!AI$3</f>
        <v>33.66261694</v>
      </c>
      <c r="M16" s="122">
        <f t="shared" si="3"/>
        <v>88.97861645</v>
      </c>
      <c r="N16" s="825">
        <v>80.0</v>
      </c>
      <c r="O16" s="826">
        <v>53.0</v>
      </c>
      <c r="P16" s="65" t="s">
        <v>4062</v>
      </c>
    </row>
    <row r="17" ht="14.25" customHeight="1">
      <c r="A17" s="3" t="s">
        <v>4063</v>
      </c>
      <c r="B17" s="819">
        <v>45645.0</v>
      </c>
      <c r="C17" s="21">
        <f>+'12'!I$2</f>
        <v>507.82</v>
      </c>
      <c r="D17" s="21">
        <f>+'12'!K$2</f>
        <v>486.93731</v>
      </c>
      <c r="E17" s="820">
        <f t="shared" si="1"/>
        <v>5786.626628</v>
      </c>
      <c r="F17" s="21">
        <f>+'12'!AH$3</f>
        <v>5176.536525</v>
      </c>
      <c r="G17" s="21">
        <f>+'12'!AJ$3</f>
        <v>5036.865219</v>
      </c>
      <c r="H17" s="829">
        <v>4565.89</v>
      </c>
      <c r="I17" s="821">
        <f>+'12'!Q$2</f>
        <v>89.45689533</v>
      </c>
      <c r="J17" s="821">
        <f t="shared" si="2"/>
        <v>78.90417499</v>
      </c>
      <c r="K17" s="21">
        <f>+'12'!AG$2</f>
        <v>72.85983938</v>
      </c>
      <c r="L17" s="21">
        <f>+'12'!AI$3</f>
        <v>26.98099419</v>
      </c>
      <c r="M17" s="122">
        <f t="shared" si="3"/>
        <v>99.84083357</v>
      </c>
      <c r="N17" s="825">
        <v>80.0</v>
      </c>
      <c r="O17" s="826">
        <v>53.0</v>
      </c>
    </row>
    <row r="18" ht="14.25" customHeight="1">
      <c r="A18" s="131" t="s">
        <v>4064</v>
      </c>
      <c r="B18" s="819">
        <v>45659.0</v>
      </c>
      <c r="C18" s="21">
        <f>+'14'!I$2</f>
        <v>746.87</v>
      </c>
      <c r="D18" s="21">
        <f>+'14'!K$2</f>
        <v>694.493674</v>
      </c>
      <c r="E18" s="820">
        <f t="shared" si="1"/>
        <v>6303.536982</v>
      </c>
      <c r="F18" s="21">
        <f>+'14'!AH$3</f>
        <v>5640.356446</v>
      </c>
      <c r="G18" s="21">
        <f>+'14'!AJ$3</f>
        <v>5677.979674</v>
      </c>
      <c r="H18" s="830">
        <v>5222.0</v>
      </c>
      <c r="I18" s="821">
        <f>+'14'!Q$2</f>
        <v>89.47923145</v>
      </c>
      <c r="J18" s="821">
        <f t="shared" si="2"/>
        <v>82.84237904</v>
      </c>
      <c r="K18" s="21">
        <f>+'14'!AG$2</f>
        <v>33.41671612</v>
      </c>
      <c r="L18" s="21">
        <f>+'14'!AI$3</f>
        <v>21.13785971</v>
      </c>
      <c r="M18" s="122">
        <f t="shared" si="3"/>
        <v>54.55457583</v>
      </c>
      <c r="N18" s="825">
        <v>80.0</v>
      </c>
      <c r="O18" s="826">
        <v>53.0</v>
      </c>
      <c r="P18" s="65"/>
      <c r="R18" s="65"/>
    </row>
    <row r="19" ht="14.25" customHeight="1">
      <c r="A19" s="3" t="s">
        <v>4065</v>
      </c>
      <c r="B19" s="819">
        <v>45672.0</v>
      </c>
      <c r="C19" s="21">
        <f>+'15'!I$2</f>
        <v>789.85</v>
      </c>
      <c r="D19" s="21">
        <f>+'15'!K$2</f>
        <v>720.825365</v>
      </c>
      <c r="E19" s="820">
        <f t="shared" si="1"/>
        <v>7309.8376</v>
      </c>
      <c r="F19" s="21">
        <f>+'15'!AH$3</f>
        <v>6549.031685</v>
      </c>
      <c r="G19" s="21">
        <f>+'15'!AJ$3</f>
        <v>6471.696923</v>
      </c>
      <c r="H19" s="830">
        <v>5588.5</v>
      </c>
      <c r="I19" s="821">
        <f>+'15'!Q$2</f>
        <v>89.59202713</v>
      </c>
      <c r="J19" s="821">
        <f t="shared" si="2"/>
        <v>76.45176686</v>
      </c>
      <c r="K19" s="21">
        <f>+'15'!AG$2</f>
        <v>51.38636429</v>
      </c>
      <c r="L19" s="21">
        <f>+'15'!AI$3</f>
        <v>39.39149576</v>
      </c>
      <c r="M19" s="122">
        <f t="shared" si="3"/>
        <v>90.77786005</v>
      </c>
      <c r="N19" s="825">
        <v>80.0</v>
      </c>
      <c r="O19" s="826">
        <v>53.0</v>
      </c>
      <c r="P19" s="65"/>
      <c r="R19" s="65"/>
    </row>
    <row r="20" ht="14.25" customHeight="1">
      <c r="A20" s="3" t="s">
        <v>4066</v>
      </c>
      <c r="B20" s="819"/>
      <c r="C20" s="21">
        <f>+'16'!I$2</f>
        <v>692.66</v>
      </c>
      <c r="D20" s="21">
        <f>+'16'!K$2</f>
        <v>646.028369</v>
      </c>
      <c r="E20" s="820">
        <f t="shared" si="1"/>
        <v>8099.577256</v>
      </c>
      <c r="F20" s="21">
        <f>+'16'!AH$3</f>
        <v>7252.52423</v>
      </c>
      <c r="G20" s="21">
        <f>+'16'!AJ$3</f>
        <v>7203.041939</v>
      </c>
      <c r="H20" s="830">
        <f>7521*0.9351</f>
        <v>7032.8871</v>
      </c>
      <c r="I20" s="821">
        <f>+'16'!Q$2</f>
        <v>89.54200942</v>
      </c>
      <c r="J20" s="821">
        <f t="shared" si="2"/>
        <v>86.83029839</v>
      </c>
      <c r="K20" s="21">
        <f>+'16'!AG$2</f>
        <v>52.86163005</v>
      </c>
      <c r="L20" s="21">
        <f>+'16'!AI$3</f>
        <v>84.00269406</v>
      </c>
      <c r="M20" s="122">
        <f t="shared" si="3"/>
        <v>136.8643241</v>
      </c>
      <c r="N20" s="825">
        <v>80.0</v>
      </c>
      <c r="O20" s="826">
        <v>53.0</v>
      </c>
      <c r="R20" s="65">
        <f t="shared" ref="R20:R25" si="4">+M20*D20</f>
        <v>88418.23608</v>
      </c>
    </row>
    <row r="21" ht="14.25" customHeight="1">
      <c r="A21" s="3" t="s">
        <v>4067</v>
      </c>
      <c r="B21" s="819">
        <v>45693.0</v>
      </c>
      <c r="C21" s="21">
        <f>+'17'!I$2</f>
        <v>702.8</v>
      </c>
      <c r="D21" s="21">
        <f>+'17'!K$2</f>
        <v>667.447417</v>
      </c>
      <c r="E21" s="820">
        <f t="shared" si="1"/>
        <v>8345.441614</v>
      </c>
      <c r="F21" s="21">
        <f>+'17'!AH$3</f>
        <v>7503.746493</v>
      </c>
      <c r="G21" s="21">
        <f>+'17'!AJ$3</f>
        <v>7351.008945</v>
      </c>
      <c r="H21" s="831">
        <f>(6663.33*0.9385)</f>
        <v>6253.535205</v>
      </c>
      <c r="I21" s="821">
        <f>+'17'!Q$2</f>
        <v>89.91431299</v>
      </c>
      <c r="J21" s="821">
        <f t="shared" si="2"/>
        <v>74.9335445</v>
      </c>
      <c r="K21" s="21">
        <f>+'17'!AG$2</f>
        <v>68.04761992</v>
      </c>
      <c r="L21" s="21">
        <f>+'17'!AI$3</f>
        <v>92.39303101</v>
      </c>
      <c r="M21" s="122">
        <f t="shared" si="3"/>
        <v>160.4406509</v>
      </c>
      <c r="N21" s="825">
        <v>80.0</v>
      </c>
      <c r="O21" s="826">
        <v>53.0</v>
      </c>
      <c r="P21" s="65" t="s">
        <v>4068</v>
      </c>
      <c r="Q21" s="65"/>
      <c r="R21" s="65">
        <f t="shared" si="4"/>
        <v>107085.698</v>
      </c>
    </row>
    <row r="22" ht="14.25" customHeight="1">
      <c r="A22" s="3" t="s">
        <v>4069</v>
      </c>
      <c r="B22" s="819">
        <v>45714.0</v>
      </c>
      <c r="C22" s="21">
        <f>+'18'!I$2</f>
        <v>629.56</v>
      </c>
      <c r="D22" s="21">
        <f>+'18'!K$2</f>
        <v>604.607355</v>
      </c>
      <c r="E22" s="820">
        <f t="shared" si="1"/>
        <v>7542.394004</v>
      </c>
      <c r="F22" s="21">
        <f>+'18'!AH$3</f>
        <v>6791.730345</v>
      </c>
      <c r="G22" s="21">
        <f>+'18'!AJ$3</f>
        <v>6638.772535</v>
      </c>
      <c r="H22" s="831">
        <v>6138.564192</v>
      </c>
      <c r="I22" s="821">
        <f>+'18'!Q$2</f>
        <v>90.04740857</v>
      </c>
      <c r="J22" s="821">
        <f t="shared" si="2"/>
        <v>81.38747709</v>
      </c>
      <c r="K22" s="21">
        <f>+'18'!AG$2</f>
        <v>66.03892226</v>
      </c>
      <c r="L22" s="21">
        <f>+'18'!AI$3</f>
        <v>61.11747544</v>
      </c>
      <c r="M22" s="122">
        <f t="shared" si="3"/>
        <v>127.1563977</v>
      </c>
      <c r="N22" s="825">
        <v>80.0</v>
      </c>
      <c r="O22" s="826">
        <v>53.0</v>
      </c>
      <c r="P22" s="65" t="s">
        <v>4070</v>
      </c>
      <c r="Q22" s="65"/>
      <c r="R22" s="65">
        <f t="shared" si="4"/>
        <v>76879.69328</v>
      </c>
    </row>
    <row r="23" ht="14.25" customHeight="1">
      <c r="A23" s="3" t="s">
        <v>4071</v>
      </c>
      <c r="B23" s="819">
        <v>45735.0</v>
      </c>
      <c r="C23" s="21">
        <f>+'19'!I$2</f>
        <v>506.49</v>
      </c>
      <c r="D23" s="21">
        <f>+'19'!K$2</f>
        <v>474.261348</v>
      </c>
      <c r="E23" s="820">
        <f t="shared" si="1"/>
        <v>7404.974278</v>
      </c>
      <c r="F23" s="21">
        <f>+'19'!AH$3</f>
        <v>6647.391844</v>
      </c>
      <c r="G23" s="21">
        <f>+'19'!AJ$3</f>
        <v>6628.608726</v>
      </c>
      <c r="H23" s="831">
        <v>6604.43</v>
      </c>
      <c r="I23" s="821">
        <f>+'19'!Q$2</f>
        <v>89.76927662</v>
      </c>
      <c r="J23" s="821">
        <f t="shared" si="2"/>
        <v>89.18910116</v>
      </c>
      <c r="K23" s="21">
        <f>+'19'!AG$2</f>
        <v>51.89594985</v>
      </c>
      <c r="L23" s="21">
        <f>+'19'!AI$3</f>
        <v>104.6325823</v>
      </c>
      <c r="M23" s="122">
        <f t="shared" si="3"/>
        <v>156.5285322</v>
      </c>
      <c r="N23" s="825">
        <v>80.0</v>
      </c>
      <c r="O23" s="826">
        <v>53.0</v>
      </c>
      <c r="P23" s="65"/>
      <c r="Q23" s="65"/>
      <c r="R23" s="65">
        <f t="shared" si="4"/>
        <v>74235.43266</v>
      </c>
    </row>
    <row r="24" ht="14.25" customHeight="1">
      <c r="A24" s="3" t="s">
        <v>4072</v>
      </c>
      <c r="B24" s="819"/>
      <c r="C24" s="21">
        <f>+'20'!I$2</f>
        <v>553.66</v>
      </c>
      <c r="D24" s="21">
        <f>+'20'!K$2</f>
        <v>503.199697</v>
      </c>
      <c r="E24" s="820">
        <f t="shared" si="1"/>
        <v>5730.77929</v>
      </c>
      <c r="F24" s="21">
        <f>+'20'!AH$3</f>
        <v>5160.910278</v>
      </c>
      <c r="G24" s="21">
        <f>+'20'!AJ$3</f>
        <v>5107.568947</v>
      </c>
      <c r="H24" s="831">
        <v>4866.14</v>
      </c>
      <c r="I24" s="821">
        <f>+'20'!Q$2</f>
        <v>90.05599443</v>
      </c>
      <c r="J24" s="821">
        <f t="shared" si="2"/>
        <v>84.91236103</v>
      </c>
      <c r="K24" s="21">
        <f>+'20'!AG$2</f>
        <v>47.98468093</v>
      </c>
      <c r="L24" s="21">
        <f>+'20'!AI$3</f>
        <v>73.19675821</v>
      </c>
      <c r="M24" s="122">
        <f t="shared" si="3"/>
        <v>121.1814391</v>
      </c>
      <c r="N24" s="825">
        <v>80.0</v>
      </c>
      <c r="O24" s="826">
        <v>53.0</v>
      </c>
      <c r="P24" s="65"/>
      <c r="Q24" s="65"/>
      <c r="R24" s="65">
        <f t="shared" si="4"/>
        <v>60978.46346</v>
      </c>
    </row>
    <row r="25" ht="14.25" customHeight="1">
      <c r="A25" s="3" t="s">
        <v>4073</v>
      </c>
      <c r="B25" s="819"/>
      <c r="C25" s="21">
        <f>+'21'!I$2</f>
        <v>694.28</v>
      </c>
      <c r="D25" s="21">
        <f>+'21'!K$2</f>
        <v>651.11548</v>
      </c>
      <c r="E25" s="820">
        <f t="shared" si="1"/>
        <v>6411.70361</v>
      </c>
      <c r="F25" s="21">
        <f>+'21'!AH$3</f>
        <v>5768.992387</v>
      </c>
      <c r="G25" s="21">
        <f>+'21'!AJ$3</f>
        <v>5607.695084</v>
      </c>
      <c r="H25" s="831">
        <v>4256.34</v>
      </c>
      <c r="I25" s="821">
        <f>+'21'!Q$2</f>
        <v>89.97596798</v>
      </c>
      <c r="J25" s="821">
        <f t="shared" si="2"/>
        <v>66.38391696</v>
      </c>
      <c r="K25" s="21">
        <f>+'21'!AG$2</f>
        <v>63.40145593</v>
      </c>
      <c r="L25" s="21">
        <f>+'21'!AI$3</f>
        <v>41.79887492</v>
      </c>
      <c r="M25" s="122">
        <f t="shared" si="3"/>
        <v>105.2003308</v>
      </c>
      <c r="N25" s="825">
        <v>80.0</v>
      </c>
      <c r="O25" s="826">
        <v>53.0</v>
      </c>
      <c r="P25" s="65"/>
      <c r="Q25" s="65"/>
      <c r="R25" s="65">
        <f t="shared" si="4"/>
        <v>68497.56391</v>
      </c>
    </row>
    <row r="26" ht="14.25" customHeight="1">
      <c r="C26" s="832"/>
      <c r="D26" s="832"/>
      <c r="E26" s="833"/>
      <c r="F26" s="832"/>
      <c r="G26" s="834"/>
      <c r="H26" s="834"/>
      <c r="I26" s="834"/>
      <c r="J26" s="834"/>
      <c r="K26" s="834"/>
      <c r="L26" s="834"/>
      <c r="N26" s="835"/>
      <c r="O26" s="836"/>
      <c r="R26" s="65"/>
    </row>
    <row r="27" ht="14.25" customHeight="1">
      <c r="C27" s="65"/>
      <c r="D27" s="65"/>
      <c r="E27" s="65"/>
      <c r="M27" s="122"/>
      <c r="N27" s="13"/>
      <c r="O27" s="3"/>
    </row>
    <row r="28" ht="14.25" customHeight="1">
      <c r="C28" s="65"/>
      <c r="D28" s="65"/>
      <c r="H28" s="65"/>
      <c r="N28" s="3"/>
      <c r="O28" s="3"/>
    </row>
    <row r="29" ht="14.25" customHeight="1">
      <c r="A29" s="812" t="s">
        <v>4032</v>
      </c>
      <c r="B29" s="10" t="s">
        <v>4033</v>
      </c>
      <c r="C29" s="12" t="s">
        <v>4034</v>
      </c>
      <c r="D29" s="12" t="s">
        <v>3866</v>
      </c>
      <c r="E29" s="9" t="s">
        <v>4035</v>
      </c>
      <c r="F29" s="9" t="s">
        <v>4036</v>
      </c>
      <c r="G29" s="9" t="s">
        <v>4037</v>
      </c>
      <c r="H29" s="9" t="s">
        <v>4038</v>
      </c>
      <c r="I29" s="9" t="s">
        <v>4039</v>
      </c>
      <c r="J29" s="9" t="s">
        <v>4074</v>
      </c>
      <c r="K29" s="566" t="s">
        <v>4040</v>
      </c>
      <c r="L29" s="566" t="s">
        <v>2</v>
      </c>
      <c r="M29" s="3"/>
      <c r="N29" s="812" t="s">
        <v>4041</v>
      </c>
      <c r="O29" s="813"/>
    </row>
    <row r="30" ht="14.25" customHeight="1">
      <c r="A30" s="814" t="s">
        <v>4042</v>
      </c>
      <c r="B30" s="204"/>
      <c r="C30" s="815"/>
      <c r="D30" s="815"/>
      <c r="E30" s="816" t="s">
        <v>4043</v>
      </c>
      <c r="F30" s="816" t="s">
        <v>4044</v>
      </c>
      <c r="G30" s="816" t="s">
        <v>4045</v>
      </c>
      <c r="H30" s="816"/>
      <c r="I30" s="816" t="s">
        <v>4046</v>
      </c>
      <c r="J30" s="816" t="s">
        <v>4075</v>
      </c>
      <c r="K30" s="817" t="s">
        <v>4048</v>
      </c>
      <c r="L30" s="817" t="s">
        <v>970</v>
      </c>
      <c r="M30" s="3" t="s">
        <v>3853</v>
      </c>
      <c r="N30" s="814" t="s">
        <v>4046</v>
      </c>
      <c r="O30" s="818" t="s">
        <v>4049</v>
      </c>
    </row>
    <row r="31" ht="14.25" customHeight="1">
      <c r="A31" s="122" t="s">
        <v>4076</v>
      </c>
      <c r="B31" s="819"/>
      <c r="C31" s="21">
        <f>+'27'!$I$2</f>
        <v>564.87</v>
      </c>
      <c r="D31" s="21">
        <f>+'27'!$K$2</f>
        <v>522.673</v>
      </c>
      <c r="E31" s="820">
        <f>+'27'!$E$1</f>
        <v>4916.842</v>
      </c>
      <c r="F31" s="21">
        <f>+'27'!$E$2</f>
        <v>4586.863</v>
      </c>
      <c r="G31" s="21">
        <f>+'27'!$AK$3</f>
        <v>4264.415072</v>
      </c>
      <c r="H31" s="21"/>
      <c r="I31" s="821">
        <f>+'27'!$G$2</f>
        <v>93.49837349</v>
      </c>
      <c r="J31" s="837">
        <f>+'27'!BC27</f>
        <v>-520.494</v>
      </c>
      <c r="K31" s="21">
        <f>+'27'!$AG$2</f>
        <v>110.92588</v>
      </c>
      <c r="L31" s="21">
        <f>+'27'!$AJ$3</f>
        <v>24.47025048</v>
      </c>
      <c r="M31" s="122">
        <f t="shared" ref="M31:M42" si="5">+L31+K31</f>
        <v>135.3961305</v>
      </c>
      <c r="N31" s="823">
        <v>80.0</v>
      </c>
      <c r="O31" s="824">
        <v>53.0</v>
      </c>
    </row>
    <row r="32" ht="14.25" customHeight="1">
      <c r="A32" s="122" t="s">
        <v>4076</v>
      </c>
      <c r="B32" s="819"/>
      <c r="C32" s="21">
        <f>+'28'!$I$2</f>
        <v>557.81</v>
      </c>
      <c r="D32" s="21">
        <f>+'28'!$K$2</f>
        <v>523.207</v>
      </c>
      <c r="E32" s="820">
        <f>+'28'!$E$1</f>
        <v>5138.948</v>
      </c>
      <c r="F32" s="21">
        <f>+'28'!$E$2</f>
        <v>4707.252</v>
      </c>
      <c r="G32" s="21">
        <f>+'28'!$AK$3</f>
        <v>4330.568589</v>
      </c>
      <c r="H32" s="21"/>
      <c r="I32" s="821">
        <f>+'28'!$G$2</f>
        <v>91.87814547</v>
      </c>
      <c r="J32" s="837">
        <f>+'28'!BC29</f>
        <v>96.869</v>
      </c>
      <c r="K32" s="21">
        <f>+'28'!$AG$2</f>
        <v>134.5901879</v>
      </c>
      <c r="L32" s="21">
        <f>+'28'!$AJ$3</f>
        <v>115.4294508</v>
      </c>
      <c r="M32" s="122">
        <f t="shared" si="5"/>
        <v>250.0196388</v>
      </c>
      <c r="N32" s="823">
        <v>80.0</v>
      </c>
      <c r="O32" s="824">
        <v>53.0</v>
      </c>
    </row>
    <row r="33" ht="14.25" customHeight="1">
      <c r="A33" s="122" t="s">
        <v>4077</v>
      </c>
      <c r="B33" s="819"/>
      <c r="C33" s="21">
        <f>+'29'!$I$2</f>
        <v>552.74</v>
      </c>
      <c r="D33" s="21">
        <f>+'29'!$K$2</f>
        <v>530.517</v>
      </c>
      <c r="E33" s="820">
        <f>+'29'!$E$1</f>
        <v>5431.243</v>
      </c>
      <c r="F33" s="21">
        <f>+'29'!$E$2</f>
        <v>4955.718</v>
      </c>
      <c r="G33" s="21">
        <f>+'29'!$AK$3</f>
        <v>4510.249492</v>
      </c>
      <c r="H33" s="21"/>
      <c r="I33" s="821">
        <f>+'29'!$G$2</f>
        <v>91.80646456</v>
      </c>
      <c r="J33" s="837">
        <f>+'29'!BD28</f>
        <v>-23.128</v>
      </c>
      <c r="K33" s="21">
        <f>+'29'!$AG$2</f>
        <v>164.9469638</v>
      </c>
      <c r="L33" s="21">
        <f>+'29'!$AJ$3</f>
        <v>32.39418399</v>
      </c>
      <c r="M33" s="122">
        <f t="shared" si="5"/>
        <v>197.3411477</v>
      </c>
      <c r="N33" s="825">
        <v>80.0</v>
      </c>
      <c r="O33" s="826">
        <v>53.0</v>
      </c>
    </row>
    <row r="34" ht="14.25" customHeight="1">
      <c r="A34" s="122" t="s">
        <v>4078</v>
      </c>
      <c r="B34" s="819"/>
      <c r="C34" s="21">
        <f>+'30'!$I$2</f>
        <v>548.95</v>
      </c>
      <c r="D34" s="21">
        <f>+'30'!$K$2</f>
        <v>521.298</v>
      </c>
      <c r="E34" s="820">
        <f>+'30'!$E$1</f>
        <v>5588.609</v>
      </c>
      <c r="F34" s="21">
        <f>+'30'!$E$2</f>
        <v>4807.248</v>
      </c>
      <c r="G34" s="21">
        <f>+'30'!$AK$3</f>
        <v>4439.820125</v>
      </c>
      <c r="H34" s="21"/>
      <c r="I34" s="821">
        <f>+'30'!$G$2</f>
        <v>87.88038707</v>
      </c>
      <c r="J34" s="837">
        <f>+'30'!BC29</f>
        <v>0.578</v>
      </c>
      <c r="K34" s="21">
        <f>+'30'!$AG$2</f>
        <v>148.6872068</v>
      </c>
      <c r="L34" s="21">
        <f>+'30'!$AJ$3</f>
        <v>-7.38099347</v>
      </c>
      <c r="M34" s="122">
        <f t="shared" si="5"/>
        <v>141.3062133</v>
      </c>
      <c r="N34" s="825">
        <v>80.0</v>
      </c>
      <c r="O34" s="826">
        <v>53.0</v>
      </c>
    </row>
    <row r="35" ht="14.25" customHeight="1">
      <c r="A35" s="122" t="s">
        <v>4079</v>
      </c>
      <c r="B35" s="819"/>
      <c r="C35" s="21">
        <f>+'31'!$I$2</f>
        <v>555.13</v>
      </c>
      <c r="D35" s="21">
        <f>+'31'!$K$2</f>
        <v>507.58</v>
      </c>
      <c r="E35" s="820">
        <f>+'31'!$E$1</f>
        <v>5543.302</v>
      </c>
      <c r="F35" s="21">
        <f>+'31'!$E$2</f>
        <v>5021.509</v>
      </c>
      <c r="G35" s="21">
        <f>+'31'!$AK$3</f>
        <v>4686.818829</v>
      </c>
      <c r="H35" s="21"/>
      <c r="I35" s="821">
        <f>+'31'!$G$2</f>
        <v>91.24449299</v>
      </c>
      <c r="J35" s="837">
        <f>+'31'!BC28</f>
        <v>190.33</v>
      </c>
      <c r="K35" s="21">
        <f>+'31'!$AG$2</f>
        <v>121.8325415</v>
      </c>
      <c r="L35" s="21">
        <f>+'31'!$AJ$3</f>
        <v>69.70235857</v>
      </c>
      <c r="M35" s="122">
        <f t="shared" si="5"/>
        <v>191.5349</v>
      </c>
      <c r="N35" s="825">
        <v>80.0</v>
      </c>
      <c r="O35" s="826">
        <v>53.0</v>
      </c>
    </row>
    <row r="36" ht="14.25" customHeight="1">
      <c r="A36" s="122" t="s">
        <v>4080</v>
      </c>
      <c r="B36" s="819"/>
      <c r="C36" s="21">
        <f>+'32'!$I$2</f>
        <v>558.09</v>
      </c>
      <c r="D36" s="21">
        <f>+'32'!$K$2</f>
        <v>524.958</v>
      </c>
      <c r="E36" s="820">
        <f>+'32'!$E$1</f>
        <v>5110.337</v>
      </c>
      <c r="F36" s="21">
        <f>+'32'!$E$2</f>
        <v>4806.492</v>
      </c>
      <c r="G36" s="21">
        <f>+'32'!$AK$3</f>
        <v>4396.097196</v>
      </c>
      <c r="H36" s="21"/>
      <c r="I36" s="821">
        <f>+'32'!$G$2</f>
        <v>94.26516511</v>
      </c>
      <c r="J36" s="837">
        <f>+'32'!BC28</f>
        <v>138.072</v>
      </c>
      <c r="K36" s="21">
        <f>+'32'!$AG$2</f>
        <v>159.2074054</v>
      </c>
      <c r="L36" s="21">
        <f>+'32'!$AJ$3</f>
        <v>65.73716588</v>
      </c>
      <c r="M36" s="122">
        <f t="shared" si="5"/>
        <v>224.9445713</v>
      </c>
      <c r="N36" s="825">
        <v>80.0</v>
      </c>
      <c r="O36" s="826">
        <v>53.0</v>
      </c>
    </row>
    <row r="37" ht="14.25" customHeight="1">
      <c r="A37" s="122" t="s">
        <v>4081</v>
      </c>
      <c r="B37" s="827"/>
      <c r="C37" s="21">
        <f>+'33'!$I$2</f>
        <v>568.4</v>
      </c>
      <c r="D37" s="21">
        <f>+'33'!$K$2</f>
        <v>529.264</v>
      </c>
      <c r="E37" s="820">
        <f>+'33'!$E$1</f>
        <v>5636.921</v>
      </c>
      <c r="F37" s="21">
        <f>+'33'!$E$2</f>
        <v>5082.384</v>
      </c>
      <c r="G37" s="21">
        <f>+'33'!$AK$3</f>
        <v>4666.420633</v>
      </c>
      <c r="H37" s="21"/>
      <c r="I37" s="821">
        <f>+'33'!$G$2</f>
        <v>90.90871499</v>
      </c>
      <c r="J37" s="837">
        <f>+'33'!BC28</f>
        <v>95.066</v>
      </c>
      <c r="K37" s="21">
        <f>+'33'!$AG$2</f>
        <v>174.014328</v>
      </c>
      <c r="L37" s="21">
        <f>+'33'!$AJ$3</f>
        <v>92.81245435</v>
      </c>
      <c r="M37" s="115">
        <f t="shared" si="5"/>
        <v>266.8267824</v>
      </c>
      <c r="N37" s="828">
        <v>80.0</v>
      </c>
      <c r="O37" s="826">
        <v>53.0</v>
      </c>
    </row>
    <row r="38" ht="14.25" customHeight="1">
      <c r="A38" s="122" t="s">
        <v>4082</v>
      </c>
      <c r="B38" s="819"/>
      <c r="C38" s="21">
        <f>+'34'!$I$2</f>
        <v>468.81</v>
      </c>
      <c r="D38" s="21">
        <f>+'34'!$K$2</f>
        <v>434.398</v>
      </c>
      <c r="E38" s="820">
        <f>+'34'!$E$1</f>
        <v>4738.365</v>
      </c>
      <c r="F38" s="21">
        <f>+'34'!$E$2</f>
        <v>4321.235</v>
      </c>
      <c r="G38" s="21">
        <f>+'34'!$AK$3</f>
        <v>3950.003899</v>
      </c>
      <c r="H38" s="21"/>
      <c r="I38" s="821">
        <f>+'34'!$G$2</f>
        <v>91.47824255</v>
      </c>
      <c r="J38" s="837">
        <f>+'34'!BC28</f>
        <v>197.166</v>
      </c>
      <c r="K38" s="21">
        <f>+'34'!$AG$2</f>
        <v>169.123854</v>
      </c>
      <c r="L38" s="21">
        <f>+'34'!$AJ$3</f>
        <v>92.32391734</v>
      </c>
      <c r="M38" s="122">
        <f t="shared" si="5"/>
        <v>261.4477714</v>
      </c>
      <c r="N38" s="825">
        <v>80.0</v>
      </c>
      <c r="O38" s="826">
        <v>53.0</v>
      </c>
    </row>
    <row r="39" ht="14.25" customHeight="1">
      <c r="A39" s="122" t="s">
        <v>4083</v>
      </c>
      <c r="B39" s="819"/>
      <c r="C39" s="21">
        <f>+'35'!$I$2</f>
        <v>494.82</v>
      </c>
      <c r="D39" s="21">
        <f>+'35'!$K$2</f>
        <v>452.232</v>
      </c>
      <c r="E39" s="820">
        <f>+'35'!$E$1</f>
        <v>5065.865</v>
      </c>
      <c r="F39" s="21">
        <f>+'35'!$E$2</f>
        <v>4578.661</v>
      </c>
      <c r="G39" s="21">
        <f>+'35'!$AK$3</f>
        <v>4131.891643</v>
      </c>
      <c r="H39" s="21"/>
      <c r="I39" s="821">
        <f>+'35'!$G$2</f>
        <v>90.99909122</v>
      </c>
      <c r="J39" s="837">
        <f>+'35'!BC28</f>
        <v>211.452</v>
      </c>
      <c r="K39" s="21">
        <f>+'35'!$AG$2</f>
        <v>201.2267376</v>
      </c>
      <c r="L39" s="21">
        <f>+'35'!$AJ$3</f>
        <v>106.333854</v>
      </c>
      <c r="M39" s="122">
        <f t="shared" si="5"/>
        <v>307.5605916</v>
      </c>
      <c r="N39" s="825">
        <v>80.0</v>
      </c>
      <c r="O39" s="826">
        <v>53.0</v>
      </c>
    </row>
    <row r="40" ht="14.25" customHeight="1">
      <c r="A40" s="122" t="s">
        <v>4084</v>
      </c>
      <c r="B40" s="819"/>
      <c r="C40" s="21">
        <f>+'36'!$I$2</f>
        <v>411.38</v>
      </c>
      <c r="D40" s="21">
        <f>+'36'!$K$2</f>
        <v>379.852</v>
      </c>
      <c r="E40" s="820">
        <f>+'36'!$E$1</f>
        <v>4356.509</v>
      </c>
      <c r="F40" s="21">
        <f>+'36'!$E$2</f>
        <v>4034.222</v>
      </c>
      <c r="G40" s="21">
        <f>+'36'!$AK$3</f>
        <v>3679.012929</v>
      </c>
      <c r="H40" s="21"/>
      <c r="I40" s="821">
        <f>+'36'!$G$2</f>
        <v>92.9009695</v>
      </c>
      <c r="J40" s="837">
        <f>+'36'!BC34</f>
        <v>229.312</v>
      </c>
      <c r="K40" s="21">
        <f>+'36'!$AG$2</f>
        <v>202.5019409</v>
      </c>
      <c r="L40" s="21">
        <f>+'36'!$AJ$3</f>
        <v>257.682519</v>
      </c>
      <c r="M40" s="122">
        <f t="shared" si="5"/>
        <v>460.1844599</v>
      </c>
      <c r="N40" s="825">
        <v>80.0</v>
      </c>
      <c r="O40" s="826">
        <v>53.0</v>
      </c>
    </row>
    <row r="41" ht="14.25" customHeight="1">
      <c r="A41" s="122" t="s">
        <v>4085</v>
      </c>
      <c r="B41" s="819"/>
      <c r="C41" s="21">
        <f>+'37'!$I$2</f>
        <v>594.28</v>
      </c>
      <c r="D41" s="21">
        <f>+'37'!$K$2</f>
        <v>527.095</v>
      </c>
      <c r="E41" s="820">
        <f>+'37'!$E$1</f>
        <v>6059.911</v>
      </c>
      <c r="F41" s="21">
        <f>+'37'!$E$2</f>
        <v>5522.872</v>
      </c>
      <c r="G41" s="21" t="str">
        <f>+'37'!$AK$3</f>
        <v>#N/A</v>
      </c>
      <c r="H41" s="21"/>
      <c r="I41" s="821">
        <f>+'37'!$G$2</f>
        <v>91.58263538</v>
      </c>
      <c r="J41" s="837">
        <f>+'37'!BC34</f>
        <v>120.821</v>
      </c>
      <c r="K41" s="21" t="str">
        <f>+'37'!$AG$2</f>
        <v>#N/A</v>
      </c>
      <c r="L41" s="21" t="str">
        <f>+'37'!$AJ$3</f>
        <v>#N/A</v>
      </c>
      <c r="M41" s="122" t="str">
        <f t="shared" si="5"/>
        <v>#N/A</v>
      </c>
      <c r="N41" s="825">
        <v>80.0</v>
      </c>
      <c r="O41" s="826">
        <v>53.0</v>
      </c>
    </row>
    <row r="42" ht="14.25" customHeight="1">
      <c r="A42" s="122" t="s">
        <v>4086</v>
      </c>
      <c r="B42" s="819"/>
      <c r="C42" s="21">
        <f>+'38'!$I$2</f>
        <v>509.91</v>
      </c>
      <c r="D42" s="21">
        <f>+'38'!$K$2</f>
        <v>452.481</v>
      </c>
      <c r="E42" s="820">
        <f>+'38'!$E$1</f>
        <v>5181.502</v>
      </c>
      <c r="F42" s="21">
        <f>+'38'!$E$2</f>
        <v>4808.437</v>
      </c>
      <c r="G42" s="21" t="str">
        <f>+'38'!$AK$3</f>
        <v>#N/A</v>
      </c>
      <c r="H42" s="21"/>
      <c r="I42" s="821">
        <f>+'38'!$G$2</f>
        <v>93.23059833</v>
      </c>
      <c r="J42" s="837">
        <f>+'38'!BC34</f>
        <v>-121.257</v>
      </c>
      <c r="K42" s="21" t="str">
        <f>+'38'!$AG$2</f>
        <v>#N/A</v>
      </c>
      <c r="L42" s="21" t="str">
        <f>+'38'!$AJ$3</f>
        <v>#N/A</v>
      </c>
      <c r="M42" s="122" t="str">
        <f t="shared" si="5"/>
        <v>#N/A</v>
      </c>
      <c r="N42" s="825">
        <v>80.0</v>
      </c>
      <c r="O42" s="826">
        <v>53.0</v>
      </c>
    </row>
    <row r="43" ht="14.25" customHeight="1">
      <c r="A43" s="122" t="s">
        <v>4087</v>
      </c>
      <c r="B43" s="819"/>
      <c r="C43" s="21"/>
      <c r="D43" s="21"/>
      <c r="E43" s="820"/>
      <c r="F43" s="21"/>
      <c r="G43" s="21"/>
      <c r="H43" s="21"/>
      <c r="I43" s="821"/>
      <c r="J43" s="837"/>
      <c r="K43" s="21"/>
      <c r="L43" s="21"/>
      <c r="M43" s="122"/>
      <c r="N43" s="825"/>
      <c r="O43" s="826"/>
    </row>
    <row r="44" ht="14.25" customHeight="1">
      <c r="A44" s="122" t="s">
        <v>4088</v>
      </c>
      <c r="B44" s="819"/>
      <c r="C44" s="21"/>
      <c r="D44" s="21"/>
      <c r="E44" s="820"/>
      <c r="F44" s="21"/>
      <c r="G44" s="21"/>
      <c r="H44" s="21"/>
      <c r="I44" s="821"/>
      <c r="J44" s="837"/>
      <c r="K44" s="21"/>
      <c r="L44" s="21"/>
      <c r="M44" s="122"/>
      <c r="N44" s="825"/>
      <c r="O44" s="826"/>
    </row>
    <row r="45" ht="14.25" customHeight="1">
      <c r="A45" s="122" t="s">
        <v>4089</v>
      </c>
      <c r="B45" s="819"/>
      <c r="C45" s="21"/>
      <c r="D45" s="21"/>
      <c r="E45" s="820"/>
      <c r="F45" s="21"/>
      <c r="G45" s="21"/>
      <c r="H45" s="21"/>
      <c r="I45" s="821"/>
      <c r="J45" s="837"/>
      <c r="K45" s="21"/>
      <c r="L45" s="21"/>
      <c r="M45" s="122"/>
      <c r="N45" s="825"/>
      <c r="O45" s="826"/>
    </row>
    <row r="46" ht="14.25" customHeight="1">
      <c r="A46" s="122" t="s">
        <v>4090</v>
      </c>
      <c r="B46" s="819"/>
      <c r="C46" s="21"/>
      <c r="D46" s="21"/>
      <c r="E46" s="820"/>
      <c r="F46" s="21"/>
      <c r="G46" s="21"/>
      <c r="H46" s="21"/>
      <c r="I46" s="821"/>
      <c r="J46" s="837"/>
      <c r="K46" s="21"/>
      <c r="L46" s="21"/>
      <c r="M46" s="122"/>
      <c r="N46" s="825"/>
      <c r="O46" s="826"/>
    </row>
    <row r="47" ht="14.25" customHeight="1">
      <c r="A47" s="122" t="s">
        <v>4091</v>
      </c>
      <c r="B47" s="819"/>
      <c r="C47" s="21"/>
      <c r="D47" s="21"/>
      <c r="E47" s="820"/>
      <c r="F47" s="21"/>
      <c r="G47" s="21"/>
      <c r="H47" s="21"/>
      <c r="I47" s="821"/>
      <c r="J47" s="837"/>
      <c r="K47" s="21"/>
      <c r="L47" s="21"/>
      <c r="M47" s="122"/>
      <c r="N47" s="825"/>
      <c r="O47" s="826"/>
    </row>
    <row r="48" ht="14.25" customHeight="1">
      <c r="A48" s="122" t="s">
        <v>4092</v>
      </c>
      <c r="B48" s="819"/>
      <c r="C48" s="21"/>
      <c r="D48" s="21"/>
      <c r="E48" s="820"/>
      <c r="F48" s="21"/>
      <c r="G48" s="21"/>
      <c r="H48" s="21"/>
      <c r="I48" s="821"/>
      <c r="J48" s="837"/>
      <c r="K48" s="21"/>
      <c r="L48" s="21"/>
      <c r="M48" s="122"/>
      <c r="N48" s="825"/>
      <c r="O48" s="826"/>
    </row>
    <row r="49" ht="14.25" customHeight="1">
      <c r="A49" s="122" t="s">
        <v>4093</v>
      </c>
      <c r="B49" s="819"/>
      <c r="C49" s="21"/>
      <c r="D49" s="21"/>
      <c r="E49" s="820"/>
      <c r="F49" s="21"/>
      <c r="G49" s="21"/>
      <c r="H49" s="21"/>
      <c r="I49" s="821"/>
      <c r="J49" s="837"/>
      <c r="K49" s="21"/>
      <c r="L49" s="21"/>
      <c r="M49" s="122"/>
      <c r="N49" s="825"/>
      <c r="O49" s="826"/>
    </row>
    <row r="50" ht="14.25" customHeight="1">
      <c r="A50" s="122" t="s">
        <v>4094</v>
      </c>
      <c r="B50" s="819"/>
      <c r="C50" s="21"/>
      <c r="D50" s="21"/>
      <c r="E50" s="820"/>
      <c r="F50" s="21"/>
      <c r="G50" s="21"/>
      <c r="H50" s="21"/>
      <c r="I50" s="821"/>
      <c r="J50" s="837"/>
      <c r="K50" s="21"/>
      <c r="L50" s="21"/>
      <c r="M50" s="122"/>
      <c r="N50" s="825"/>
      <c r="O50" s="826"/>
    </row>
    <row r="51" ht="14.25" customHeight="1">
      <c r="A51" s="122" t="s">
        <v>4095</v>
      </c>
      <c r="B51" s="819"/>
      <c r="C51" s="21"/>
      <c r="D51" s="21"/>
      <c r="E51" s="820"/>
      <c r="F51" s="21"/>
      <c r="G51" s="21"/>
      <c r="H51" s="21"/>
      <c r="I51" s="821"/>
      <c r="J51" s="837"/>
      <c r="K51" s="21"/>
      <c r="L51" s="21"/>
      <c r="M51" s="122"/>
      <c r="N51" s="825"/>
      <c r="O51" s="826"/>
    </row>
    <row r="52" ht="14.25" customHeight="1">
      <c r="A52" s="122" t="s">
        <v>4096</v>
      </c>
      <c r="B52" s="819"/>
      <c r="C52" s="21"/>
      <c r="D52" s="21"/>
      <c r="E52" s="820"/>
      <c r="F52" s="21"/>
      <c r="G52" s="21"/>
      <c r="H52" s="21"/>
      <c r="I52" s="821"/>
      <c r="J52" s="837"/>
      <c r="K52" s="21"/>
      <c r="L52" s="21"/>
      <c r="M52" s="122"/>
      <c r="N52" s="825"/>
      <c r="O52" s="826"/>
    </row>
    <row r="53" ht="14.25" customHeight="1">
      <c r="A53" s="122" t="s">
        <v>4097</v>
      </c>
      <c r="C53" s="832"/>
      <c r="D53" s="832"/>
      <c r="E53" s="833"/>
      <c r="F53" s="832"/>
      <c r="G53" s="834"/>
      <c r="H53" s="834"/>
      <c r="I53" s="834"/>
      <c r="J53" s="838"/>
      <c r="K53" s="834"/>
      <c r="L53" s="834"/>
      <c r="N53" s="835"/>
      <c r="O53" s="836"/>
    </row>
    <row r="54" ht="14.25" customHeight="1">
      <c r="C54" s="65"/>
      <c r="D54" s="65"/>
      <c r="N54" s="3"/>
      <c r="O54" s="3"/>
    </row>
    <row r="55" ht="14.25" customHeight="1">
      <c r="C55" s="65"/>
      <c r="D55" s="65"/>
      <c r="N55" s="3"/>
      <c r="O55" s="3"/>
    </row>
    <row r="56" ht="14.25" customHeight="1">
      <c r="C56" s="65"/>
      <c r="D56" s="65"/>
      <c r="N56" s="3"/>
      <c r="O56" s="3"/>
    </row>
    <row r="57" ht="14.25" customHeight="1">
      <c r="C57" s="65"/>
      <c r="D57" s="65"/>
      <c r="N57" s="3"/>
      <c r="O57" s="3"/>
    </row>
    <row r="58" ht="14.25" customHeight="1">
      <c r="C58" s="65"/>
      <c r="D58" s="65"/>
      <c r="N58" s="3"/>
      <c r="O58" s="3"/>
    </row>
    <row r="59" ht="14.25" customHeight="1">
      <c r="C59" s="65"/>
      <c r="D59" s="65"/>
      <c r="N59" s="3"/>
      <c r="O59" s="3"/>
    </row>
    <row r="60" ht="14.25" customHeight="1">
      <c r="C60" s="65"/>
      <c r="D60" s="65"/>
      <c r="N60" s="3"/>
      <c r="O60" s="3"/>
    </row>
    <row r="61" ht="14.25" customHeight="1">
      <c r="C61" s="65"/>
      <c r="D61" s="65"/>
      <c r="N61" s="3"/>
      <c r="O61" s="3"/>
    </row>
    <row r="62" ht="14.25" customHeight="1">
      <c r="C62" s="65"/>
      <c r="D62" s="65"/>
      <c r="N62" s="3"/>
      <c r="O62" s="3"/>
    </row>
    <row r="63" ht="14.25" customHeight="1">
      <c r="C63" s="65"/>
      <c r="D63" s="65"/>
      <c r="N63" s="3"/>
      <c r="O63" s="3"/>
    </row>
    <row r="64" ht="14.25" customHeight="1">
      <c r="C64" s="65"/>
      <c r="D64" s="65"/>
      <c r="N64" s="3"/>
      <c r="O64" s="3"/>
    </row>
    <row r="65" ht="14.25" customHeight="1">
      <c r="C65" s="65"/>
      <c r="D65" s="65"/>
      <c r="N65" s="3"/>
      <c r="O65" s="3"/>
    </row>
    <row r="66" ht="14.25" customHeight="1">
      <c r="C66" s="65"/>
      <c r="D66" s="65"/>
      <c r="N66" s="3"/>
      <c r="O66" s="3"/>
    </row>
    <row r="67" ht="14.25" customHeight="1">
      <c r="C67" s="65"/>
      <c r="D67" s="65"/>
      <c r="N67" s="3"/>
      <c r="O67" s="3"/>
    </row>
    <row r="68" ht="14.25" customHeight="1">
      <c r="C68" s="65"/>
      <c r="D68" s="65"/>
      <c r="N68" s="3"/>
      <c r="O68" s="3"/>
    </row>
    <row r="69" ht="14.25" customHeight="1">
      <c r="C69" s="65"/>
      <c r="D69" s="65"/>
      <c r="N69" s="3"/>
      <c r="O69" s="3"/>
    </row>
    <row r="70" ht="14.25" customHeight="1">
      <c r="C70" s="65"/>
      <c r="D70" s="65"/>
      <c r="N70" s="3"/>
      <c r="O70" s="3"/>
    </row>
    <row r="71" ht="14.25" customHeight="1">
      <c r="C71" s="65"/>
      <c r="D71" s="65"/>
      <c r="N71" s="3"/>
      <c r="O71" s="3"/>
    </row>
    <row r="72" ht="14.25" customHeight="1">
      <c r="C72" s="65"/>
      <c r="D72" s="65"/>
      <c r="N72" s="3"/>
      <c r="O72" s="3"/>
    </row>
    <row r="73" ht="14.25" customHeight="1">
      <c r="C73" s="65"/>
      <c r="D73" s="65"/>
      <c r="N73" s="3"/>
      <c r="O73" s="3"/>
    </row>
    <row r="74" ht="14.25" customHeight="1">
      <c r="C74" s="65"/>
      <c r="D74" s="65"/>
      <c r="N74" s="3"/>
      <c r="O74" s="3"/>
    </row>
    <row r="75" ht="14.25" customHeight="1">
      <c r="C75" s="65"/>
      <c r="D75" s="65"/>
      <c r="N75" s="3"/>
      <c r="O75" s="3"/>
    </row>
    <row r="76" ht="14.25" customHeight="1">
      <c r="C76" s="65"/>
      <c r="D76" s="65"/>
      <c r="N76" s="3"/>
      <c r="O76" s="3"/>
    </row>
    <row r="77" ht="14.25" customHeight="1">
      <c r="C77" s="65"/>
      <c r="D77" s="65"/>
      <c r="N77" s="3"/>
      <c r="O77" s="3"/>
    </row>
    <row r="78" ht="14.25" customHeight="1">
      <c r="C78" s="65"/>
      <c r="D78" s="65"/>
      <c r="N78" s="3"/>
      <c r="O78" s="3"/>
    </row>
    <row r="79" ht="14.25" customHeight="1">
      <c r="C79" s="65"/>
      <c r="D79" s="65"/>
      <c r="N79" s="3"/>
      <c r="O79" s="3"/>
    </row>
    <row r="80" ht="14.25" customHeight="1">
      <c r="C80" s="65"/>
      <c r="D80" s="65"/>
      <c r="N80" s="3"/>
      <c r="O80" s="3"/>
    </row>
    <row r="81" ht="14.25" customHeight="1">
      <c r="C81" s="65"/>
      <c r="D81" s="65"/>
      <c r="N81" s="3"/>
      <c r="O81" s="3"/>
    </row>
    <row r="82" ht="14.25" customHeight="1">
      <c r="C82" s="65"/>
      <c r="D82" s="65"/>
      <c r="N82" s="3"/>
      <c r="O82" s="3"/>
    </row>
    <row r="83" ht="14.25" customHeight="1">
      <c r="C83" s="65"/>
      <c r="D83" s="65"/>
      <c r="N83" s="3"/>
      <c r="O83" s="3"/>
    </row>
    <row r="84" ht="14.25" customHeight="1">
      <c r="C84" s="65"/>
      <c r="D84" s="65"/>
      <c r="N84" s="3"/>
      <c r="O84" s="3"/>
    </row>
    <row r="85" ht="14.25" customHeight="1">
      <c r="C85" s="65"/>
      <c r="D85" s="65"/>
      <c r="N85" s="3"/>
      <c r="O85" s="3"/>
    </row>
    <row r="86" ht="14.25" customHeight="1">
      <c r="C86" s="65"/>
      <c r="D86" s="65"/>
      <c r="N86" s="3"/>
      <c r="O86" s="3"/>
    </row>
    <row r="87" ht="14.25" customHeight="1">
      <c r="C87" s="65"/>
      <c r="D87" s="65"/>
      <c r="N87" s="3"/>
      <c r="O87" s="3"/>
    </row>
    <row r="88" ht="14.25" customHeight="1">
      <c r="C88" s="65"/>
      <c r="D88" s="65"/>
      <c r="N88" s="3"/>
      <c r="O88" s="3"/>
    </row>
    <row r="89" ht="14.25" customHeight="1">
      <c r="C89" s="65"/>
      <c r="D89" s="65"/>
      <c r="N89" s="3"/>
      <c r="O89" s="3"/>
    </row>
    <row r="90" ht="14.25" customHeight="1">
      <c r="C90" s="65"/>
      <c r="D90" s="65"/>
      <c r="N90" s="3"/>
      <c r="O90" s="3"/>
    </row>
    <row r="91" ht="14.25" customHeight="1">
      <c r="C91" s="65"/>
      <c r="D91" s="65"/>
      <c r="N91" s="3"/>
      <c r="O91" s="3"/>
    </row>
    <row r="92" ht="14.25" customHeight="1">
      <c r="C92" s="65"/>
      <c r="D92" s="65"/>
      <c r="N92" s="3"/>
      <c r="O92" s="3"/>
    </row>
    <row r="93" ht="14.25" customHeight="1">
      <c r="C93" s="65"/>
      <c r="D93" s="65"/>
      <c r="N93" s="3"/>
      <c r="O93" s="3"/>
    </row>
    <row r="94" ht="14.25" customHeight="1">
      <c r="C94" s="65"/>
      <c r="D94" s="65"/>
      <c r="N94" s="3"/>
      <c r="O94" s="3"/>
    </row>
    <row r="95" ht="14.25" customHeight="1">
      <c r="C95" s="65"/>
      <c r="D95" s="65"/>
      <c r="N95" s="3"/>
      <c r="O95" s="3"/>
    </row>
    <row r="96" ht="14.25" customHeight="1">
      <c r="C96" s="65"/>
      <c r="D96" s="65"/>
      <c r="N96" s="3"/>
      <c r="O96" s="3"/>
    </row>
    <row r="97" ht="14.25" customHeight="1">
      <c r="C97" s="65"/>
      <c r="D97" s="65"/>
      <c r="N97" s="3"/>
      <c r="O97" s="3"/>
    </row>
    <row r="98" ht="14.25" customHeight="1">
      <c r="C98" s="65"/>
      <c r="D98" s="65"/>
      <c r="N98" s="3"/>
      <c r="O98" s="3"/>
    </row>
    <row r="99" ht="14.25" customHeight="1">
      <c r="C99" s="65"/>
      <c r="D99" s="65"/>
      <c r="N99" s="3"/>
      <c r="O99" s="3"/>
    </row>
    <row r="100" ht="14.25" customHeight="1">
      <c r="C100" s="65"/>
      <c r="D100" s="65"/>
      <c r="N100" s="3"/>
      <c r="O100" s="3"/>
    </row>
    <row r="101" ht="14.25" customHeight="1">
      <c r="C101" s="65"/>
      <c r="D101" s="65"/>
      <c r="N101" s="3"/>
      <c r="O101" s="3"/>
    </row>
    <row r="102" ht="14.25" customHeight="1">
      <c r="C102" s="65"/>
      <c r="D102" s="65"/>
      <c r="N102" s="3"/>
      <c r="O102" s="3"/>
    </row>
    <row r="103" ht="14.25" customHeight="1">
      <c r="C103" s="65"/>
      <c r="D103" s="65"/>
      <c r="N103" s="3"/>
      <c r="O103" s="3"/>
    </row>
    <row r="104" ht="14.25" customHeight="1">
      <c r="C104" s="65"/>
      <c r="D104" s="65"/>
      <c r="N104" s="3"/>
      <c r="O104" s="3"/>
    </row>
    <row r="105" ht="14.25" customHeight="1">
      <c r="C105" s="65"/>
      <c r="D105" s="65"/>
      <c r="N105" s="3"/>
      <c r="O105" s="3"/>
    </row>
    <row r="106" ht="14.25" customHeight="1">
      <c r="C106" s="65"/>
      <c r="D106" s="65"/>
      <c r="N106" s="3"/>
      <c r="O106" s="3"/>
    </row>
    <row r="107" ht="14.25" customHeight="1">
      <c r="C107" s="65"/>
      <c r="D107" s="65"/>
      <c r="N107" s="3"/>
      <c r="O107" s="3"/>
    </row>
    <row r="108" ht="14.25" customHeight="1">
      <c r="C108" s="65"/>
      <c r="D108" s="65"/>
      <c r="N108" s="3"/>
      <c r="O108" s="3"/>
    </row>
    <row r="109" ht="14.25" customHeight="1">
      <c r="C109" s="65"/>
      <c r="D109" s="65"/>
      <c r="N109" s="3"/>
      <c r="O109" s="3"/>
    </row>
    <row r="110" ht="14.25" customHeight="1">
      <c r="C110" s="65"/>
      <c r="D110" s="65"/>
      <c r="N110" s="3"/>
      <c r="O110" s="3"/>
    </row>
    <row r="111" ht="14.25" customHeight="1">
      <c r="C111" s="65"/>
      <c r="D111" s="65"/>
      <c r="N111" s="3"/>
      <c r="O111" s="3"/>
    </row>
    <row r="112" ht="14.25" customHeight="1">
      <c r="C112" s="65"/>
      <c r="D112" s="65"/>
      <c r="N112" s="3"/>
      <c r="O112" s="3"/>
    </row>
    <row r="113" ht="14.25" customHeight="1">
      <c r="C113" s="65"/>
      <c r="D113" s="65"/>
      <c r="N113" s="3"/>
      <c r="O113" s="3"/>
    </row>
    <row r="114" ht="14.25" customHeight="1">
      <c r="C114" s="65"/>
      <c r="D114" s="65"/>
      <c r="N114" s="3"/>
      <c r="O114" s="3"/>
    </row>
    <row r="115" ht="14.25" customHeight="1">
      <c r="C115" s="65"/>
      <c r="D115" s="65"/>
      <c r="N115" s="3"/>
      <c r="O115" s="3"/>
    </row>
    <row r="116" ht="14.25" customHeight="1">
      <c r="C116" s="65"/>
      <c r="D116" s="65"/>
      <c r="N116" s="3"/>
      <c r="O116" s="3"/>
    </row>
    <row r="117" ht="14.25" customHeight="1">
      <c r="C117" s="65"/>
      <c r="D117" s="65"/>
      <c r="N117" s="3"/>
      <c r="O117" s="3"/>
    </row>
    <row r="118" ht="14.25" customHeight="1">
      <c r="C118" s="65"/>
      <c r="D118" s="65"/>
      <c r="N118" s="3"/>
      <c r="O118" s="3"/>
    </row>
    <row r="119" ht="14.25" customHeight="1">
      <c r="C119" s="65"/>
      <c r="D119" s="65"/>
      <c r="N119" s="3"/>
      <c r="O119" s="3"/>
    </row>
    <row r="120" ht="14.25" customHeight="1">
      <c r="C120" s="65"/>
      <c r="D120" s="65"/>
      <c r="N120" s="3"/>
      <c r="O120" s="3"/>
    </row>
    <row r="121" ht="14.25" customHeight="1">
      <c r="C121" s="65"/>
      <c r="D121" s="65"/>
      <c r="N121" s="3"/>
      <c r="O121" s="3"/>
    </row>
    <row r="122" ht="14.25" customHeight="1">
      <c r="C122" s="65"/>
      <c r="D122" s="65"/>
      <c r="N122" s="3"/>
      <c r="O122" s="3"/>
    </row>
    <row r="123" ht="14.25" customHeight="1">
      <c r="C123" s="65"/>
      <c r="D123" s="65"/>
      <c r="N123" s="3"/>
      <c r="O123" s="3"/>
    </row>
    <row r="124" ht="14.25" customHeight="1">
      <c r="C124" s="65"/>
      <c r="D124" s="65"/>
      <c r="N124" s="3"/>
      <c r="O124" s="3"/>
    </row>
    <row r="125" ht="14.25" customHeight="1">
      <c r="C125" s="65"/>
      <c r="D125" s="65"/>
      <c r="N125" s="3"/>
      <c r="O125" s="3"/>
    </row>
    <row r="126" ht="14.25" customHeight="1">
      <c r="C126" s="65"/>
      <c r="D126" s="65"/>
      <c r="N126" s="3"/>
      <c r="O126" s="3"/>
    </row>
    <row r="127" ht="14.25" customHeight="1">
      <c r="C127" s="65"/>
      <c r="D127" s="65"/>
      <c r="N127" s="3"/>
      <c r="O127" s="3"/>
    </row>
    <row r="128" ht="14.25" customHeight="1">
      <c r="C128" s="65"/>
      <c r="D128" s="65"/>
      <c r="N128" s="3"/>
      <c r="O128" s="3"/>
    </row>
    <row r="129" ht="14.25" customHeight="1">
      <c r="C129" s="65"/>
      <c r="D129" s="65"/>
      <c r="N129" s="3"/>
      <c r="O129" s="3"/>
    </row>
    <row r="130" ht="14.25" customHeight="1">
      <c r="C130" s="65"/>
      <c r="D130" s="65"/>
      <c r="N130" s="3"/>
      <c r="O130" s="3"/>
    </row>
    <row r="131" ht="14.25" customHeight="1">
      <c r="C131" s="65"/>
      <c r="D131" s="65"/>
      <c r="N131" s="3"/>
      <c r="O131" s="3"/>
    </row>
    <row r="132" ht="14.25" customHeight="1">
      <c r="C132" s="65"/>
      <c r="D132" s="65"/>
      <c r="N132" s="3"/>
      <c r="O132" s="3"/>
    </row>
    <row r="133" ht="14.25" customHeight="1">
      <c r="C133" s="65"/>
      <c r="D133" s="65"/>
      <c r="N133" s="3"/>
      <c r="O133" s="3"/>
    </row>
    <row r="134" ht="14.25" customHeight="1">
      <c r="C134" s="65"/>
      <c r="D134" s="65"/>
      <c r="N134" s="3"/>
      <c r="O134" s="3"/>
    </row>
    <row r="135" ht="14.25" customHeight="1">
      <c r="C135" s="65"/>
      <c r="D135" s="65"/>
      <c r="N135" s="3"/>
      <c r="O135" s="3"/>
    </row>
    <row r="136" ht="14.25" customHeight="1">
      <c r="C136" s="65"/>
      <c r="D136" s="65"/>
      <c r="N136" s="3"/>
      <c r="O136" s="3"/>
    </row>
    <row r="137" ht="14.25" customHeight="1">
      <c r="C137" s="65"/>
      <c r="D137" s="65"/>
      <c r="N137" s="3"/>
      <c r="O137" s="3"/>
    </row>
    <row r="138" ht="14.25" customHeight="1">
      <c r="C138" s="65"/>
      <c r="D138" s="65"/>
      <c r="N138" s="3"/>
      <c r="O138" s="3"/>
    </row>
    <row r="139" ht="14.25" customHeight="1">
      <c r="C139" s="65"/>
      <c r="D139" s="65"/>
      <c r="N139" s="3"/>
      <c r="O139" s="3"/>
    </row>
    <row r="140" ht="14.25" customHeight="1">
      <c r="C140" s="65"/>
      <c r="D140" s="65"/>
      <c r="N140" s="3"/>
      <c r="O140" s="3"/>
    </row>
    <row r="141" ht="14.25" customHeight="1">
      <c r="C141" s="65"/>
      <c r="D141" s="65"/>
      <c r="N141" s="3"/>
      <c r="O141" s="3"/>
    </row>
    <row r="142" ht="14.25" customHeight="1">
      <c r="C142" s="65"/>
      <c r="D142" s="65"/>
      <c r="N142" s="3"/>
      <c r="O142" s="3"/>
    </row>
    <row r="143" ht="14.25" customHeight="1">
      <c r="C143" s="65"/>
      <c r="D143" s="65"/>
      <c r="N143" s="3"/>
      <c r="O143" s="3"/>
    </row>
    <row r="144" ht="14.25" customHeight="1">
      <c r="C144" s="65"/>
      <c r="D144" s="65"/>
      <c r="N144" s="3"/>
      <c r="O144" s="3"/>
    </row>
    <row r="145" ht="14.25" customHeight="1">
      <c r="C145" s="65"/>
      <c r="D145" s="65"/>
      <c r="N145" s="3"/>
      <c r="O145" s="3"/>
    </row>
    <row r="146" ht="14.25" customHeight="1">
      <c r="C146" s="65"/>
      <c r="D146" s="65"/>
      <c r="N146" s="3"/>
      <c r="O146" s="3"/>
    </row>
    <row r="147" ht="14.25" customHeight="1">
      <c r="C147" s="65"/>
      <c r="D147" s="65"/>
      <c r="N147" s="3"/>
      <c r="O147" s="3"/>
    </row>
    <row r="148" ht="14.25" customHeight="1">
      <c r="C148" s="65"/>
      <c r="D148" s="65"/>
      <c r="N148" s="3"/>
      <c r="O148" s="3"/>
    </row>
    <row r="149" ht="14.25" customHeight="1">
      <c r="C149" s="65"/>
      <c r="D149" s="65"/>
      <c r="N149" s="3"/>
      <c r="O149" s="3"/>
    </row>
    <row r="150" ht="14.25" customHeight="1">
      <c r="C150" s="65"/>
      <c r="D150" s="65"/>
      <c r="N150" s="3"/>
      <c r="O150" s="3"/>
    </row>
    <row r="151" ht="14.25" customHeight="1">
      <c r="C151" s="65"/>
      <c r="D151" s="65"/>
      <c r="N151" s="3"/>
      <c r="O151" s="3"/>
    </row>
    <row r="152" ht="14.25" customHeight="1">
      <c r="C152" s="65"/>
      <c r="D152" s="65"/>
      <c r="N152" s="3"/>
      <c r="O152" s="3"/>
    </row>
    <row r="153" ht="14.25" customHeight="1">
      <c r="C153" s="65"/>
      <c r="D153" s="65"/>
      <c r="N153" s="3"/>
      <c r="O153" s="3"/>
    </row>
    <row r="154" ht="14.25" customHeight="1">
      <c r="C154" s="65"/>
      <c r="D154" s="65"/>
      <c r="N154" s="3"/>
      <c r="O154" s="3"/>
    </row>
    <row r="155" ht="14.25" customHeight="1">
      <c r="C155" s="65"/>
      <c r="D155" s="65"/>
      <c r="N155" s="3"/>
      <c r="O155" s="3"/>
    </row>
    <row r="156" ht="14.25" customHeight="1">
      <c r="C156" s="65"/>
      <c r="D156" s="65"/>
      <c r="N156" s="3"/>
      <c r="O156" s="3"/>
    </row>
    <row r="157" ht="14.25" customHeight="1">
      <c r="C157" s="65"/>
      <c r="D157" s="65"/>
      <c r="N157" s="3"/>
      <c r="O157" s="3"/>
    </row>
    <row r="158" ht="14.25" customHeight="1">
      <c r="C158" s="65"/>
      <c r="D158" s="65"/>
      <c r="N158" s="3"/>
      <c r="O158" s="3"/>
    </row>
    <row r="159" ht="14.25" customHeight="1">
      <c r="C159" s="65"/>
      <c r="D159" s="65"/>
      <c r="N159" s="3"/>
      <c r="O159" s="3"/>
    </row>
    <row r="160" ht="14.25" customHeight="1">
      <c r="C160" s="65"/>
      <c r="D160" s="65"/>
      <c r="N160" s="3"/>
      <c r="O160" s="3"/>
    </row>
    <row r="161" ht="14.25" customHeight="1">
      <c r="C161" s="65"/>
      <c r="D161" s="65"/>
      <c r="N161" s="3"/>
      <c r="O161" s="3"/>
    </row>
    <row r="162" ht="14.25" customHeight="1">
      <c r="C162" s="65"/>
      <c r="D162" s="65"/>
      <c r="N162" s="3"/>
      <c r="O162" s="3"/>
    </row>
    <row r="163" ht="14.25" customHeight="1">
      <c r="C163" s="65"/>
      <c r="D163" s="65"/>
      <c r="N163" s="3"/>
      <c r="O163" s="3"/>
    </row>
    <row r="164" ht="14.25" customHeight="1">
      <c r="C164" s="65"/>
      <c r="D164" s="65"/>
      <c r="N164" s="3"/>
      <c r="O164" s="3"/>
    </row>
    <row r="165" ht="14.25" customHeight="1">
      <c r="C165" s="65"/>
      <c r="D165" s="65"/>
      <c r="N165" s="3"/>
      <c r="O165" s="3"/>
    </row>
    <row r="166" ht="14.25" customHeight="1">
      <c r="C166" s="65"/>
      <c r="D166" s="65"/>
      <c r="N166" s="3"/>
      <c r="O166" s="3"/>
    </row>
    <row r="167" ht="14.25" customHeight="1">
      <c r="C167" s="65"/>
      <c r="D167" s="65"/>
      <c r="N167" s="3"/>
      <c r="O167" s="3"/>
    </row>
    <row r="168" ht="14.25" customHeight="1">
      <c r="C168" s="65"/>
      <c r="D168" s="65"/>
      <c r="N168" s="3"/>
      <c r="O168" s="3"/>
    </row>
    <row r="169" ht="14.25" customHeight="1">
      <c r="C169" s="65"/>
      <c r="D169" s="65"/>
      <c r="N169" s="3"/>
      <c r="O169" s="3"/>
    </row>
    <row r="170" ht="14.25" customHeight="1">
      <c r="C170" s="65"/>
      <c r="D170" s="65"/>
      <c r="N170" s="3"/>
      <c r="O170" s="3"/>
    </row>
    <row r="171" ht="14.25" customHeight="1">
      <c r="C171" s="65"/>
      <c r="D171" s="65"/>
      <c r="N171" s="3"/>
      <c r="O171" s="3"/>
    </row>
    <row r="172" ht="14.25" customHeight="1">
      <c r="C172" s="65"/>
      <c r="D172" s="65"/>
      <c r="N172" s="3"/>
      <c r="O172" s="3"/>
    </row>
    <row r="173" ht="14.25" customHeight="1">
      <c r="C173" s="65"/>
      <c r="D173" s="65"/>
      <c r="N173" s="3"/>
      <c r="O173" s="3"/>
    </row>
    <row r="174" ht="14.25" customHeight="1">
      <c r="C174" s="65"/>
      <c r="D174" s="65"/>
      <c r="N174" s="3"/>
      <c r="O174" s="3"/>
    </row>
    <row r="175" ht="14.25" customHeight="1">
      <c r="C175" s="65"/>
      <c r="D175" s="65"/>
      <c r="N175" s="3"/>
      <c r="O175" s="3"/>
    </row>
    <row r="176" ht="14.25" customHeight="1">
      <c r="C176" s="65"/>
      <c r="D176" s="65"/>
      <c r="N176" s="3"/>
      <c r="O176" s="3"/>
    </row>
    <row r="177" ht="14.25" customHeight="1">
      <c r="C177" s="65"/>
      <c r="D177" s="65"/>
      <c r="N177" s="3"/>
      <c r="O177" s="3"/>
    </row>
    <row r="178" ht="14.25" customHeight="1">
      <c r="C178" s="65"/>
      <c r="D178" s="65"/>
      <c r="N178" s="3"/>
      <c r="O178" s="3"/>
    </row>
    <row r="179" ht="14.25" customHeight="1">
      <c r="C179" s="65"/>
      <c r="D179" s="65"/>
      <c r="N179" s="3"/>
      <c r="O179" s="3"/>
    </row>
    <row r="180" ht="14.25" customHeight="1">
      <c r="C180" s="65"/>
      <c r="D180" s="65"/>
      <c r="N180" s="3"/>
      <c r="O180" s="3"/>
    </row>
    <row r="181" ht="14.25" customHeight="1">
      <c r="C181" s="65"/>
      <c r="D181" s="65"/>
      <c r="N181" s="3"/>
      <c r="O181" s="3"/>
    </row>
    <row r="182" ht="14.25" customHeight="1">
      <c r="C182" s="65"/>
      <c r="D182" s="65"/>
      <c r="N182" s="3"/>
      <c r="O182" s="3"/>
    </row>
    <row r="183" ht="14.25" customHeight="1">
      <c r="C183" s="65"/>
      <c r="D183" s="65"/>
      <c r="N183" s="3"/>
      <c r="O183" s="3"/>
    </row>
    <row r="184" ht="14.25" customHeight="1">
      <c r="C184" s="65"/>
      <c r="D184" s="65"/>
      <c r="N184" s="3"/>
      <c r="O184" s="3"/>
    </row>
    <row r="185" ht="14.25" customHeight="1">
      <c r="C185" s="65"/>
      <c r="D185" s="65"/>
      <c r="N185" s="3"/>
      <c r="O185" s="3"/>
    </row>
    <row r="186" ht="14.25" customHeight="1">
      <c r="C186" s="65"/>
      <c r="D186" s="65"/>
      <c r="N186" s="3"/>
      <c r="O186" s="3"/>
    </row>
    <row r="187" ht="15.75" customHeight="1">
      <c r="N187" s="3"/>
      <c r="O187" s="3"/>
    </row>
    <row r="188" ht="15.75" customHeight="1">
      <c r="N188" s="3"/>
      <c r="O188" s="3"/>
    </row>
    <row r="189" ht="15.75" customHeight="1">
      <c r="N189" s="3"/>
      <c r="O189" s="3"/>
    </row>
    <row r="190" ht="15.75" customHeight="1">
      <c r="N190" s="3"/>
      <c r="O190" s="3"/>
    </row>
    <row r="191" ht="15.75" customHeight="1">
      <c r="N191" s="3"/>
      <c r="O191" s="3"/>
    </row>
    <row r="192" ht="15.75" customHeight="1">
      <c r="N192" s="3"/>
      <c r="O192" s="3"/>
    </row>
    <row r="193" ht="15.75" customHeight="1">
      <c r="N193" s="3"/>
      <c r="O193" s="3"/>
    </row>
    <row r="194" ht="15.75" customHeight="1">
      <c r="N194" s="3"/>
      <c r="O194" s="3"/>
    </row>
    <row r="195" ht="15.75" customHeight="1">
      <c r="N195" s="3"/>
      <c r="O195" s="3"/>
    </row>
    <row r="196" ht="15.75" customHeight="1">
      <c r="N196" s="3"/>
      <c r="O196" s="3"/>
    </row>
    <row r="197" ht="15.75" customHeight="1">
      <c r="N197" s="3"/>
      <c r="O197" s="3"/>
    </row>
    <row r="198" ht="15.75" customHeight="1">
      <c r="N198" s="3"/>
      <c r="O198" s="3"/>
    </row>
    <row r="199" ht="15.75" customHeight="1">
      <c r="N199" s="3"/>
      <c r="O199" s="3"/>
    </row>
    <row r="200" ht="15.75" customHeight="1">
      <c r="N200" s="3"/>
      <c r="O200" s="3"/>
    </row>
    <row r="201" ht="15.75" customHeight="1">
      <c r="N201" s="3"/>
      <c r="O201" s="3"/>
    </row>
    <row r="202" ht="15.75" customHeight="1">
      <c r="N202" s="3"/>
      <c r="O202" s="3"/>
    </row>
    <row r="203" ht="15.75" customHeight="1">
      <c r="N203" s="3"/>
      <c r="O203" s="3"/>
    </row>
    <row r="204" ht="15.75" customHeight="1">
      <c r="N204" s="3"/>
      <c r="O204" s="3"/>
    </row>
    <row r="205" ht="15.75" customHeight="1">
      <c r="N205" s="3"/>
      <c r="O205" s="3"/>
    </row>
    <row r="206" ht="15.75" customHeight="1">
      <c r="N206" s="3"/>
      <c r="O206" s="3"/>
    </row>
    <row r="207" ht="15.75" customHeight="1">
      <c r="N207" s="3"/>
      <c r="O207" s="3"/>
    </row>
    <row r="208" ht="15.75" customHeight="1">
      <c r="N208" s="3"/>
      <c r="O208" s="3"/>
    </row>
    <row r="209" ht="15.75" customHeight="1">
      <c r="N209" s="3"/>
      <c r="O209" s="3"/>
    </row>
    <row r="210" ht="15.75" customHeight="1">
      <c r="N210" s="3"/>
      <c r="O210" s="3"/>
    </row>
    <row r="211" ht="15.75" customHeight="1">
      <c r="N211" s="3"/>
      <c r="O211" s="3"/>
    </row>
    <row r="212" ht="15.75" customHeight="1">
      <c r="N212" s="3"/>
      <c r="O212" s="3"/>
    </row>
    <row r="213" ht="15.75" customHeight="1">
      <c r="N213" s="3"/>
      <c r="O213" s="3"/>
    </row>
    <row r="214" ht="15.75" customHeight="1">
      <c r="N214" s="3"/>
      <c r="O214" s="3"/>
    </row>
    <row r="215" ht="15.75" customHeight="1">
      <c r="N215" s="3"/>
      <c r="O215" s="3"/>
    </row>
    <row r="216" ht="15.75" customHeight="1">
      <c r="N216" s="3"/>
      <c r="O216" s="3"/>
    </row>
    <row r="217" ht="15.75" customHeight="1">
      <c r="N217" s="3"/>
      <c r="O217" s="3"/>
    </row>
    <row r="218" ht="15.75" customHeight="1">
      <c r="N218" s="3"/>
      <c r="O218" s="3"/>
    </row>
    <row r="219" ht="15.75" customHeight="1">
      <c r="N219" s="3"/>
      <c r="O219" s="3"/>
    </row>
    <row r="220" ht="15.75" customHeight="1">
      <c r="N220" s="3"/>
      <c r="O220" s="3"/>
    </row>
    <row r="221" ht="15.75" customHeight="1">
      <c r="N221" s="3"/>
      <c r="O221" s="3"/>
    </row>
    <row r="222" ht="15.75" customHeight="1">
      <c r="N222" s="3"/>
      <c r="O222" s="3"/>
    </row>
    <row r="223" ht="15.75" customHeight="1">
      <c r="N223" s="3"/>
      <c r="O223" s="3"/>
    </row>
    <row r="224" ht="15.75" customHeight="1">
      <c r="N224" s="3"/>
      <c r="O224" s="3"/>
    </row>
    <row r="225" ht="15.75" customHeight="1">
      <c r="N225" s="3"/>
      <c r="O225" s="3"/>
    </row>
    <row r="226" ht="15.75" customHeight="1">
      <c r="N226" s="3"/>
      <c r="O226" s="3"/>
    </row>
    <row r="227" ht="15.75" customHeight="1">
      <c r="N227" s="3"/>
      <c r="O227" s="3"/>
    </row>
    <row r="228" ht="15.75" customHeight="1">
      <c r="N228" s="3"/>
      <c r="O228" s="3"/>
    </row>
    <row r="229" ht="15.75" customHeight="1">
      <c r="N229" s="3"/>
      <c r="O229" s="3"/>
    </row>
    <row r="230" ht="15.75" customHeight="1">
      <c r="N230" s="3"/>
      <c r="O230" s="3"/>
    </row>
    <row r="231" ht="15.75" customHeight="1">
      <c r="N231" s="3"/>
      <c r="O231" s="3"/>
    </row>
    <row r="232" ht="15.75" customHeight="1">
      <c r="N232" s="3"/>
      <c r="O232" s="3"/>
    </row>
    <row r="233" ht="15.75" customHeight="1">
      <c r="N233" s="3"/>
      <c r="O233" s="3"/>
    </row>
    <row r="234" ht="15.75" customHeight="1">
      <c r="N234" s="3"/>
      <c r="O234" s="3"/>
    </row>
    <row r="235" ht="15.75" customHeight="1">
      <c r="N235" s="3"/>
      <c r="O235" s="3"/>
    </row>
    <row r="236" ht="15.75" customHeight="1">
      <c r="N236" s="3"/>
      <c r="O236" s="3"/>
    </row>
    <row r="237" ht="15.75" customHeight="1">
      <c r="N237" s="3"/>
      <c r="O237" s="3"/>
    </row>
    <row r="238" ht="15.75" customHeight="1">
      <c r="N238" s="3"/>
      <c r="O238" s="3"/>
    </row>
    <row r="239" ht="15.75" customHeight="1">
      <c r="N239" s="3"/>
      <c r="O239" s="3"/>
    </row>
    <row r="240" ht="15.75" customHeight="1">
      <c r="N240" s="3"/>
      <c r="O240" s="3"/>
    </row>
    <row r="241" ht="15.75" customHeight="1">
      <c r="N241" s="3"/>
      <c r="O241" s="3"/>
    </row>
    <row r="242" ht="15.75" customHeight="1">
      <c r="N242" s="3"/>
      <c r="O242" s="3"/>
    </row>
    <row r="243" ht="15.75" customHeight="1">
      <c r="N243" s="3"/>
      <c r="O243" s="3"/>
    </row>
    <row r="244" ht="15.75" customHeight="1">
      <c r="N244" s="3"/>
      <c r="O244" s="3"/>
    </row>
    <row r="245" ht="15.75" customHeight="1">
      <c r="N245" s="3"/>
      <c r="O245" s="3"/>
    </row>
    <row r="246" ht="15.75" customHeight="1">
      <c r="N246" s="3"/>
      <c r="O246" s="3"/>
    </row>
    <row r="247" ht="15.75" customHeight="1">
      <c r="N247" s="3"/>
      <c r="O247" s="3"/>
    </row>
    <row r="248" ht="15.75" customHeight="1">
      <c r="N248" s="3"/>
      <c r="O248" s="3"/>
    </row>
    <row r="249" ht="15.75" customHeight="1">
      <c r="N249" s="3"/>
      <c r="O249" s="3"/>
    </row>
    <row r="250" ht="15.75" customHeight="1">
      <c r="N250" s="3"/>
      <c r="O250" s="3"/>
    </row>
    <row r="251" ht="15.75" customHeight="1">
      <c r="N251" s="3"/>
      <c r="O251" s="3"/>
    </row>
    <row r="252" ht="15.75" customHeight="1">
      <c r="N252" s="3"/>
      <c r="O252" s="3"/>
    </row>
    <row r="253" ht="15.75" customHeight="1">
      <c r="N253" s="3"/>
      <c r="O253" s="3"/>
    </row>
    <row r="254" ht="15.75" customHeight="1">
      <c r="N254" s="3"/>
      <c r="O254" s="3"/>
    </row>
    <row r="255" ht="15.75" customHeight="1">
      <c r="N255" s="3"/>
      <c r="O255" s="3"/>
    </row>
    <row r="256" ht="15.75" customHeight="1">
      <c r="N256" s="3"/>
      <c r="O256" s="3"/>
    </row>
    <row r="257" ht="15.75" customHeight="1">
      <c r="N257" s="3"/>
      <c r="O257" s="3"/>
    </row>
    <row r="258" ht="15.75" customHeight="1">
      <c r="N258" s="3"/>
      <c r="O258" s="3"/>
    </row>
    <row r="259" ht="15.75" customHeight="1">
      <c r="N259" s="3"/>
      <c r="O259" s="3"/>
    </row>
    <row r="260" ht="15.75" customHeight="1">
      <c r="N260" s="3"/>
      <c r="O260" s="3"/>
    </row>
    <row r="261" ht="15.75" customHeight="1">
      <c r="N261" s="3"/>
      <c r="O261" s="3"/>
    </row>
    <row r="262" ht="15.75" customHeight="1">
      <c r="N262" s="3"/>
      <c r="O262" s="3"/>
    </row>
    <row r="263" ht="15.75" customHeight="1">
      <c r="N263" s="3"/>
      <c r="O263" s="3"/>
    </row>
    <row r="264" ht="15.75" customHeight="1">
      <c r="N264" s="3"/>
      <c r="O264" s="3"/>
    </row>
    <row r="265" ht="15.75" customHeight="1">
      <c r="N265" s="3"/>
      <c r="O265" s="3"/>
    </row>
    <row r="266" ht="15.75" customHeight="1">
      <c r="N266" s="3"/>
      <c r="O266" s="3"/>
    </row>
    <row r="267" ht="15.75" customHeight="1">
      <c r="N267" s="3"/>
      <c r="O267" s="3"/>
    </row>
    <row r="268" ht="15.75" customHeight="1">
      <c r="N268" s="3"/>
      <c r="O268" s="3"/>
    </row>
    <row r="269" ht="15.75" customHeight="1">
      <c r="N269" s="3"/>
      <c r="O269" s="3"/>
    </row>
    <row r="270" ht="15.75" customHeight="1">
      <c r="N270" s="3"/>
      <c r="O270" s="3"/>
    </row>
    <row r="271" ht="15.75" customHeight="1">
      <c r="N271" s="3"/>
      <c r="O271" s="3"/>
    </row>
    <row r="272" ht="15.75" customHeight="1">
      <c r="N272" s="3"/>
      <c r="O272" s="3"/>
    </row>
    <row r="273" ht="15.75" customHeight="1">
      <c r="N273" s="3"/>
      <c r="O273" s="3"/>
    </row>
    <row r="274" ht="15.75" customHeight="1">
      <c r="N274" s="3"/>
      <c r="O274" s="3"/>
    </row>
    <row r="275" ht="15.75" customHeight="1">
      <c r="N275" s="3"/>
      <c r="O275" s="3"/>
    </row>
    <row r="276" ht="15.75" customHeight="1">
      <c r="N276" s="3"/>
      <c r="O276" s="3"/>
    </row>
    <row r="277" ht="15.75" customHeight="1">
      <c r="N277" s="3"/>
      <c r="O277" s="3"/>
    </row>
    <row r="278" ht="15.75" customHeight="1">
      <c r="N278" s="3"/>
      <c r="O278" s="3"/>
    </row>
    <row r="279" ht="15.75" customHeight="1">
      <c r="N279" s="3"/>
      <c r="O279" s="3"/>
    </row>
    <row r="280" ht="15.75" customHeight="1">
      <c r="N280" s="3"/>
      <c r="O280" s="3"/>
    </row>
    <row r="281" ht="15.75" customHeight="1">
      <c r="N281" s="3"/>
      <c r="O281" s="3"/>
    </row>
    <row r="282" ht="15.75" customHeight="1">
      <c r="N282" s="3"/>
      <c r="O282" s="3"/>
    </row>
    <row r="283" ht="15.75" customHeight="1">
      <c r="N283" s="3"/>
      <c r="O283" s="3"/>
    </row>
    <row r="284" ht="15.75" customHeight="1">
      <c r="N284" s="3"/>
      <c r="O284" s="3"/>
    </row>
    <row r="285" ht="15.75" customHeight="1">
      <c r="N285" s="3"/>
      <c r="O285" s="3"/>
    </row>
    <row r="286" ht="15.75" customHeight="1">
      <c r="N286" s="3"/>
      <c r="O286" s="3"/>
    </row>
    <row r="287" ht="15.75" customHeight="1">
      <c r="N287" s="3"/>
      <c r="O287" s="3"/>
    </row>
    <row r="288" ht="15.75" customHeight="1">
      <c r="N288" s="3"/>
      <c r="O288" s="3"/>
    </row>
    <row r="289" ht="15.75" customHeight="1">
      <c r="N289" s="3"/>
      <c r="O289" s="3"/>
    </row>
    <row r="290" ht="15.75" customHeight="1">
      <c r="N290" s="3"/>
      <c r="O290" s="3"/>
    </row>
    <row r="291" ht="15.75" customHeight="1">
      <c r="N291" s="3"/>
      <c r="O291" s="3"/>
    </row>
    <row r="292" ht="15.75" customHeight="1">
      <c r="N292" s="3"/>
      <c r="O292" s="3"/>
    </row>
    <row r="293" ht="15.75" customHeight="1">
      <c r="N293" s="3"/>
      <c r="O293" s="3"/>
    </row>
    <row r="294" ht="15.75" customHeight="1">
      <c r="N294" s="3"/>
      <c r="O294" s="3"/>
    </row>
    <row r="295" ht="15.75" customHeight="1">
      <c r="N295" s="3"/>
      <c r="O295" s="3"/>
    </row>
    <row r="296" ht="15.75" customHeight="1">
      <c r="N296" s="3"/>
      <c r="O296" s="3"/>
    </row>
    <row r="297" ht="15.75" customHeight="1">
      <c r="N297" s="3"/>
      <c r="O297" s="3"/>
    </row>
    <row r="298" ht="15.75" customHeight="1">
      <c r="N298" s="3"/>
      <c r="O298" s="3"/>
    </row>
    <row r="299" ht="15.75" customHeight="1">
      <c r="N299" s="3"/>
      <c r="O299" s="3"/>
    </row>
    <row r="300" ht="15.75" customHeight="1">
      <c r="N300" s="3"/>
      <c r="O300" s="3"/>
    </row>
    <row r="301" ht="15.75" customHeight="1">
      <c r="N301" s="3"/>
      <c r="O301" s="3"/>
    </row>
    <row r="302" ht="15.75" customHeight="1">
      <c r="N302" s="3"/>
      <c r="O302" s="3"/>
    </row>
    <row r="303" ht="15.75" customHeight="1">
      <c r="N303" s="3"/>
      <c r="O303" s="3"/>
    </row>
    <row r="304" ht="15.75" customHeight="1">
      <c r="N304" s="3"/>
      <c r="O304" s="3"/>
    </row>
    <row r="305" ht="15.75" customHeight="1">
      <c r="N305" s="3"/>
      <c r="O305" s="3"/>
    </row>
    <row r="306" ht="15.75" customHeight="1">
      <c r="N306" s="3"/>
      <c r="O306" s="3"/>
    </row>
    <row r="307" ht="15.75" customHeight="1">
      <c r="N307" s="3"/>
      <c r="O307" s="3"/>
    </row>
    <row r="308" ht="15.75" customHeight="1">
      <c r="N308" s="3"/>
      <c r="O308" s="3"/>
    </row>
    <row r="309" ht="15.75" customHeight="1">
      <c r="N309" s="3"/>
      <c r="O309" s="3"/>
    </row>
    <row r="310" ht="15.75" customHeight="1">
      <c r="N310" s="3"/>
      <c r="O310" s="3"/>
    </row>
    <row r="311" ht="15.75" customHeight="1">
      <c r="N311" s="3"/>
      <c r="O311" s="3"/>
    </row>
    <row r="312" ht="15.75" customHeight="1">
      <c r="N312" s="3"/>
      <c r="O312" s="3"/>
    </row>
    <row r="313" ht="15.75" customHeight="1">
      <c r="N313" s="3"/>
      <c r="O313" s="3"/>
    </row>
    <row r="314" ht="15.75" customHeight="1">
      <c r="N314" s="3"/>
      <c r="O314" s="3"/>
    </row>
    <row r="315" ht="15.75" customHeight="1">
      <c r="N315" s="3"/>
      <c r="O315" s="3"/>
    </row>
    <row r="316" ht="15.75" customHeight="1">
      <c r="N316" s="3"/>
      <c r="O316" s="3"/>
    </row>
    <row r="317" ht="15.75" customHeight="1">
      <c r="N317" s="3"/>
      <c r="O317" s="3"/>
    </row>
    <row r="318" ht="15.75" customHeight="1">
      <c r="N318" s="3"/>
      <c r="O318" s="3"/>
    </row>
    <row r="319" ht="15.75" customHeight="1">
      <c r="N319" s="3"/>
      <c r="O319" s="3"/>
    </row>
    <row r="320" ht="15.75" customHeight="1">
      <c r="N320" s="3"/>
      <c r="O320" s="3"/>
    </row>
    <row r="321" ht="15.75" customHeight="1">
      <c r="N321" s="3"/>
      <c r="O321" s="3"/>
    </row>
    <row r="322" ht="15.75" customHeight="1">
      <c r="N322" s="3"/>
      <c r="O322" s="3"/>
    </row>
    <row r="323" ht="15.75" customHeight="1">
      <c r="N323" s="3"/>
      <c r="O323" s="3"/>
    </row>
    <row r="324" ht="15.75" customHeight="1">
      <c r="N324" s="3"/>
      <c r="O324" s="3"/>
    </row>
    <row r="325" ht="15.75" customHeight="1">
      <c r="N325" s="3"/>
      <c r="O325" s="3"/>
    </row>
    <row r="326" ht="15.75" customHeight="1">
      <c r="N326" s="3"/>
      <c r="O326" s="3"/>
    </row>
    <row r="327" ht="15.75" customHeight="1">
      <c r="N327" s="3"/>
      <c r="O327" s="3"/>
    </row>
    <row r="328" ht="15.75" customHeight="1">
      <c r="N328" s="3"/>
      <c r="O328" s="3"/>
    </row>
    <row r="329" ht="15.75" customHeight="1">
      <c r="N329" s="3"/>
      <c r="O329" s="3"/>
    </row>
    <row r="330" ht="15.75" customHeight="1">
      <c r="N330" s="3"/>
      <c r="O330" s="3"/>
    </row>
    <row r="331" ht="15.75" customHeight="1">
      <c r="N331" s="3"/>
      <c r="O331" s="3"/>
    </row>
    <row r="332" ht="15.75" customHeight="1">
      <c r="N332" s="3"/>
      <c r="O332" s="3"/>
    </row>
    <row r="333" ht="15.75" customHeight="1">
      <c r="N333" s="3"/>
      <c r="O333" s="3"/>
    </row>
    <row r="334" ht="15.75" customHeight="1">
      <c r="N334" s="3"/>
      <c r="O334" s="3"/>
    </row>
    <row r="335" ht="15.75" customHeight="1">
      <c r="N335" s="3"/>
      <c r="O335" s="3"/>
    </row>
    <row r="336" ht="15.75" customHeight="1">
      <c r="N336" s="3"/>
      <c r="O336" s="3"/>
    </row>
    <row r="337" ht="15.75" customHeight="1">
      <c r="N337" s="3"/>
      <c r="O337" s="3"/>
    </row>
    <row r="338" ht="15.75" customHeight="1">
      <c r="N338" s="3"/>
      <c r="O338" s="3"/>
    </row>
    <row r="339" ht="15.75" customHeight="1">
      <c r="N339" s="3"/>
      <c r="O339" s="3"/>
    </row>
    <row r="340" ht="15.75" customHeight="1">
      <c r="N340" s="3"/>
      <c r="O340" s="3"/>
    </row>
    <row r="341" ht="15.75" customHeight="1">
      <c r="N341" s="3"/>
      <c r="O341" s="3"/>
    </row>
    <row r="342" ht="15.75" customHeight="1">
      <c r="N342" s="3"/>
      <c r="O342" s="3"/>
    </row>
    <row r="343" ht="15.75" customHeight="1">
      <c r="N343" s="3"/>
      <c r="O343" s="3"/>
    </row>
    <row r="344" ht="15.75" customHeight="1">
      <c r="N344" s="3"/>
      <c r="O344" s="3"/>
    </row>
    <row r="345" ht="15.75" customHeight="1">
      <c r="N345" s="3"/>
      <c r="O345" s="3"/>
    </row>
    <row r="346" ht="15.75" customHeight="1">
      <c r="N346" s="3"/>
      <c r="O346" s="3"/>
    </row>
    <row r="347" ht="15.75" customHeight="1">
      <c r="N347" s="3"/>
      <c r="O347" s="3"/>
    </row>
    <row r="348" ht="15.75" customHeight="1">
      <c r="N348" s="3"/>
      <c r="O348" s="3"/>
    </row>
    <row r="349" ht="15.75" customHeight="1">
      <c r="N349" s="3"/>
      <c r="O349" s="3"/>
    </row>
    <row r="350" ht="15.75" customHeight="1">
      <c r="N350" s="3"/>
      <c r="O350" s="3"/>
    </row>
    <row r="351" ht="15.75" customHeight="1">
      <c r="N351" s="3"/>
      <c r="O351" s="3"/>
    </row>
    <row r="352" ht="15.75" customHeight="1">
      <c r="N352" s="3"/>
      <c r="O352" s="3"/>
    </row>
    <row r="353" ht="15.75" customHeight="1">
      <c r="N353" s="3"/>
      <c r="O353" s="3"/>
    </row>
    <row r="354" ht="15.75" customHeight="1">
      <c r="N354" s="3"/>
      <c r="O354" s="3"/>
    </row>
    <row r="355" ht="15.75" customHeight="1">
      <c r="N355" s="3"/>
      <c r="O355" s="3"/>
    </row>
    <row r="356" ht="15.75" customHeight="1">
      <c r="N356" s="3"/>
      <c r="O356" s="3"/>
    </row>
    <row r="357" ht="15.75" customHeight="1">
      <c r="N357" s="3"/>
      <c r="O357" s="3"/>
    </row>
    <row r="358" ht="15.75" customHeight="1">
      <c r="N358" s="3"/>
      <c r="O358" s="3"/>
    </row>
    <row r="359" ht="15.75" customHeight="1">
      <c r="N359" s="3"/>
      <c r="O359" s="3"/>
    </row>
    <row r="360" ht="15.75" customHeight="1">
      <c r="N360" s="3"/>
      <c r="O360" s="3"/>
    </row>
    <row r="361" ht="15.75" customHeight="1">
      <c r="N361" s="3"/>
      <c r="O361" s="3"/>
    </row>
    <row r="362" ht="15.75" customHeight="1">
      <c r="N362" s="3"/>
      <c r="O362" s="3"/>
    </row>
    <row r="363" ht="15.75" customHeight="1">
      <c r="N363" s="3"/>
      <c r="O363" s="3"/>
    </row>
    <row r="364" ht="15.75" customHeight="1">
      <c r="N364" s="3"/>
      <c r="O364" s="3"/>
    </row>
    <row r="365" ht="15.75" customHeight="1">
      <c r="N365" s="3"/>
      <c r="O365" s="3"/>
    </row>
    <row r="366" ht="15.75" customHeight="1">
      <c r="N366" s="3"/>
      <c r="O366" s="3"/>
    </row>
    <row r="367" ht="15.75" customHeight="1">
      <c r="N367" s="3"/>
      <c r="O367" s="3"/>
    </row>
    <row r="368" ht="15.75" customHeight="1">
      <c r="N368" s="3"/>
      <c r="O368" s="3"/>
    </row>
    <row r="369" ht="15.75" customHeight="1">
      <c r="N369" s="3"/>
      <c r="O369" s="3"/>
    </row>
    <row r="370" ht="15.75" customHeight="1">
      <c r="N370" s="3"/>
      <c r="O370" s="3"/>
    </row>
    <row r="371" ht="15.75" customHeight="1">
      <c r="N371" s="3"/>
      <c r="O371" s="3"/>
    </row>
    <row r="372" ht="15.75" customHeight="1">
      <c r="N372" s="3"/>
      <c r="O372" s="3"/>
    </row>
    <row r="373" ht="15.75" customHeight="1">
      <c r="N373" s="3"/>
      <c r="O373" s="3"/>
    </row>
    <row r="374" ht="15.75" customHeight="1">
      <c r="N374" s="3"/>
      <c r="O374" s="3"/>
    </row>
    <row r="375" ht="15.75" customHeight="1">
      <c r="N375" s="3"/>
      <c r="O375" s="3"/>
    </row>
    <row r="376" ht="15.75" customHeight="1">
      <c r="N376" s="3"/>
      <c r="O376" s="3"/>
    </row>
    <row r="377" ht="15.75" customHeight="1">
      <c r="N377" s="3"/>
      <c r="O377" s="3"/>
    </row>
    <row r="378" ht="15.75" customHeight="1">
      <c r="N378" s="3"/>
      <c r="O378" s="3"/>
    </row>
    <row r="379" ht="15.75" customHeight="1">
      <c r="N379" s="3"/>
      <c r="O379" s="3"/>
    </row>
    <row r="380" ht="15.75" customHeight="1">
      <c r="N380" s="3"/>
      <c r="O380" s="3"/>
    </row>
    <row r="381" ht="15.75" customHeight="1">
      <c r="N381" s="3"/>
      <c r="O381" s="3"/>
    </row>
    <row r="382" ht="15.75" customHeight="1">
      <c r="N382" s="3"/>
      <c r="O382" s="3"/>
    </row>
    <row r="383" ht="15.75" customHeight="1">
      <c r="N383" s="3"/>
      <c r="O383" s="3"/>
    </row>
    <row r="384" ht="15.75" customHeight="1">
      <c r="N384" s="3"/>
      <c r="O384" s="3"/>
    </row>
    <row r="385" ht="15.75" customHeight="1">
      <c r="N385" s="3"/>
      <c r="O385" s="3"/>
    </row>
    <row r="386" ht="15.75" customHeight="1">
      <c r="N386" s="3"/>
      <c r="O386" s="3"/>
    </row>
    <row r="387" ht="15.75" customHeight="1">
      <c r="N387" s="3"/>
      <c r="O387" s="3"/>
    </row>
    <row r="388" ht="15.75" customHeight="1">
      <c r="N388" s="3"/>
      <c r="O388" s="3"/>
    </row>
    <row r="389" ht="15.75" customHeight="1">
      <c r="N389" s="3"/>
      <c r="O389" s="3"/>
    </row>
    <row r="390" ht="15.75" customHeight="1">
      <c r="N390" s="3"/>
      <c r="O390" s="3"/>
    </row>
    <row r="391" ht="15.75" customHeight="1">
      <c r="N391" s="3"/>
      <c r="O391" s="3"/>
    </row>
    <row r="392" ht="15.75" customHeight="1">
      <c r="N392" s="3"/>
      <c r="O392" s="3"/>
    </row>
    <row r="393" ht="15.75" customHeight="1">
      <c r="N393" s="3"/>
      <c r="O393" s="3"/>
    </row>
    <row r="394" ht="15.75" customHeight="1">
      <c r="N394" s="3"/>
      <c r="O394" s="3"/>
    </row>
    <row r="395" ht="15.75" customHeight="1">
      <c r="N395" s="3"/>
      <c r="O395" s="3"/>
    </row>
    <row r="396" ht="15.75" customHeight="1">
      <c r="N396" s="3"/>
      <c r="O396" s="3"/>
    </row>
    <row r="397" ht="15.75" customHeight="1">
      <c r="N397" s="3"/>
      <c r="O397" s="3"/>
    </row>
    <row r="398" ht="15.75" customHeight="1">
      <c r="N398" s="3"/>
      <c r="O398" s="3"/>
    </row>
    <row r="399" ht="15.75" customHeight="1">
      <c r="N399" s="3"/>
      <c r="O399" s="3"/>
    </row>
    <row r="400" ht="15.75" customHeight="1">
      <c r="N400" s="3"/>
      <c r="O400" s="3"/>
    </row>
    <row r="401" ht="15.75" customHeight="1">
      <c r="N401" s="3"/>
      <c r="O401" s="3"/>
    </row>
    <row r="402" ht="15.75" customHeight="1">
      <c r="N402" s="3"/>
      <c r="O402" s="3"/>
    </row>
    <row r="403" ht="15.75" customHeight="1">
      <c r="N403" s="3"/>
      <c r="O403" s="3"/>
    </row>
    <row r="404" ht="15.75" customHeight="1">
      <c r="N404" s="3"/>
      <c r="O404" s="3"/>
    </row>
    <row r="405" ht="15.75" customHeight="1">
      <c r="N405" s="3"/>
      <c r="O405" s="3"/>
    </row>
    <row r="406" ht="15.75" customHeight="1">
      <c r="N406" s="3"/>
      <c r="O406" s="3"/>
    </row>
    <row r="407" ht="15.75" customHeight="1">
      <c r="N407" s="3"/>
      <c r="O407" s="3"/>
    </row>
    <row r="408" ht="15.75" customHeight="1">
      <c r="N408" s="3"/>
      <c r="O408" s="3"/>
    </row>
    <row r="409" ht="15.75" customHeight="1">
      <c r="N409" s="3"/>
      <c r="O409" s="3"/>
    </row>
    <row r="410" ht="15.75" customHeight="1">
      <c r="N410" s="3"/>
      <c r="O410" s="3"/>
    </row>
    <row r="411" ht="15.75" customHeight="1">
      <c r="N411" s="3"/>
      <c r="O411" s="3"/>
    </row>
    <row r="412" ht="15.75" customHeight="1">
      <c r="N412" s="3"/>
      <c r="O412" s="3"/>
    </row>
    <row r="413" ht="15.75" customHeight="1">
      <c r="N413" s="3"/>
      <c r="O413" s="3"/>
    </row>
    <row r="414" ht="15.75" customHeight="1">
      <c r="N414" s="3"/>
      <c r="O414" s="3"/>
    </row>
    <row r="415" ht="15.75" customHeight="1">
      <c r="N415" s="3"/>
      <c r="O415" s="3"/>
    </row>
    <row r="416" ht="15.75" customHeight="1">
      <c r="N416" s="3"/>
      <c r="O416" s="3"/>
    </row>
    <row r="417" ht="15.75" customHeight="1">
      <c r="N417" s="3"/>
      <c r="O417" s="3"/>
    </row>
    <row r="418" ht="15.75" customHeight="1">
      <c r="N418" s="3"/>
      <c r="O418" s="3"/>
    </row>
    <row r="419" ht="15.75" customHeight="1">
      <c r="N419" s="3"/>
      <c r="O419" s="3"/>
    </row>
    <row r="420" ht="15.75" customHeight="1">
      <c r="N420" s="3"/>
      <c r="O420" s="3"/>
    </row>
    <row r="421" ht="15.75" customHeight="1">
      <c r="N421" s="3"/>
      <c r="O421" s="3"/>
    </row>
    <row r="422" ht="15.75" customHeight="1">
      <c r="N422" s="3"/>
      <c r="O422" s="3"/>
    </row>
    <row r="423" ht="15.75" customHeight="1">
      <c r="N423" s="3"/>
      <c r="O423" s="3"/>
    </row>
    <row r="424" ht="15.75" customHeight="1">
      <c r="N424" s="3"/>
      <c r="O424" s="3"/>
    </row>
    <row r="425" ht="15.75" customHeight="1">
      <c r="N425" s="3"/>
      <c r="O425" s="3"/>
    </row>
    <row r="426" ht="15.75" customHeight="1">
      <c r="N426" s="3"/>
      <c r="O426" s="3"/>
    </row>
    <row r="427" ht="15.75" customHeight="1">
      <c r="N427" s="3"/>
      <c r="O427" s="3"/>
    </row>
    <row r="428" ht="15.75" customHeight="1">
      <c r="N428" s="3"/>
      <c r="O428" s="3"/>
    </row>
    <row r="429" ht="15.75" customHeight="1">
      <c r="N429" s="3"/>
      <c r="O429" s="3"/>
    </row>
    <row r="430" ht="15.75" customHeight="1">
      <c r="N430" s="3"/>
      <c r="O430" s="3"/>
    </row>
    <row r="431" ht="15.75" customHeight="1">
      <c r="N431" s="3"/>
      <c r="O431" s="3"/>
    </row>
    <row r="432" ht="15.75" customHeight="1">
      <c r="N432" s="3"/>
      <c r="O432" s="3"/>
    </row>
    <row r="433" ht="15.75" customHeight="1">
      <c r="N433" s="3"/>
      <c r="O433" s="3"/>
    </row>
    <row r="434" ht="15.75" customHeight="1">
      <c r="N434" s="3"/>
      <c r="O434" s="3"/>
    </row>
    <row r="435" ht="15.75" customHeight="1">
      <c r="N435" s="3"/>
      <c r="O435" s="3"/>
    </row>
    <row r="436" ht="15.75" customHeight="1">
      <c r="N436" s="3"/>
      <c r="O436" s="3"/>
    </row>
    <row r="437" ht="15.75" customHeight="1">
      <c r="N437" s="3"/>
      <c r="O437" s="3"/>
    </row>
    <row r="438" ht="15.75" customHeight="1">
      <c r="N438" s="3"/>
      <c r="O438" s="3"/>
    </row>
    <row r="439" ht="15.75" customHeight="1">
      <c r="N439" s="3"/>
      <c r="O439" s="3"/>
    </row>
    <row r="440" ht="15.75" customHeight="1">
      <c r="N440" s="3"/>
      <c r="O440" s="3"/>
    </row>
    <row r="441" ht="15.75" customHeight="1">
      <c r="N441" s="3"/>
      <c r="O441" s="3"/>
    </row>
    <row r="442" ht="15.75" customHeight="1">
      <c r="N442" s="3"/>
      <c r="O442" s="3"/>
    </row>
    <row r="443" ht="15.75" customHeight="1">
      <c r="N443" s="3"/>
      <c r="O443" s="3"/>
    </row>
    <row r="444" ht="15.75" customHeight="1">
      <c r="N444" s="3"/>
      <c r="O444" s="3"/>
    </row>
    <row r="445" ht="15.75" customHeight="1">
      <c r="N445" s="3"/>
      <c r="O445" s="3"/>
    </row>
    <row r="446" ht="15.75" customHeight="1">
      <c r="N446" s="3"/>
      <c r="O446" s="3"/>
    </row>
    <row r="447" ht="15.75" customHeight="1">
      <c r="N447" s="3"/>
      <c r="O447" s="3"/>
    </row>
    <row r="448" ht="15.75" customHeight="1">
      <c r="N448" s="3"/>
      <c r="O448" s="3"/>
    </row>
    <row r="449" ht="15.75" customHeight="1">
      <c r="N449" s="3"/>
      <c r="O449" s="3"/>
    </row>
    <row r="450" ht="15.75" customHeight="1">
      <c r="N450" s="3"/>
      <c r="O450" s="3"/>
    </row>
    <row r="451" ht="15.75" customHeight="1">
      <c r="N451" s="3"/>
      <c r="O451" s="3"/>
    </row>
    <row r="452" ht="15.75" customHeight="1">
      <c r="N452" s="3"/>
      <c r="O452" s="3"/>
    </row>
    <row r="453" ht="15.75" customHeight="1">
      <c r="N453" s="3"/>
      <c r="O453" s="3"/>
    </row>
    <row r="454" ht="15.75" customHeight="1">
      <c r="N454" s="3"/>
      <c r="O454" s="3"/>
    </row>
    <row r="455" ht="15.75" customHeight="1">
      <c r="N455" s="3"/>
      <c r="O455" s="3"/>
    </row>
    <row r="456" ht="15.75" customHeight="1">
      <c r="N456" s="3"/>
      <c r="O456" s="3"/>
    </row>
    <row r="457" ht="15.75" customHeight="1">
      <c r="N457" s="3"/>
      <c r="O457" s="3"/>
    </row>
    <row r="458" ht="15.75" customHeight="1">
      <c r="N458" s="3"/>
      <c r="O458" s="3"/>
    </row>
    <row r="459" ht="15.75" customHeight="1">
      <c r="N459" s="3"/>
      <c r="O459" s="3"/>
    </row>
    <row r="460" ht="15.75" customHeight="1">
      <c r="N460" s="3"/>
      <c r="O460" s="3"/>
    </row>
    <row r="461" ht="15.75" customHeight="1">
      <c r="N461" s="3"/>
      <c r="O461" s="3"/>
    </row>
    <row r="462" ht="15.75" customHeight="1">
      <c r="N462" s="3"/>
      <c r="O462" s="3"/>
    </row>
    <row r="463" ht="15.75" customHeight="1">
      <c r="N463" s="3"/>
      <c r="O463" s="3"/>
    </row>
    <row r="464" ht="15.75" customHeight="1">
      <c r="N464" s="3"/>
      <c r="O464" s="3"/>
    </row>
    <row r="465" ht="15.75" customHeight="1">
      <c r="N465" s="3"/>
      <c r="O465" s="3"/>
    </row>
    <row r="466" ht="15.75" customHeight="1">
      <c r="N466" s="3"/>
      <c r="O466" s="3"/>
    </row>
    <row r="467" ht="15.75" customHeight="1">
      <c r="N467" s="3"/>
      <c r="O467" s="3"/>
    </row>
    <row r="468" ht="15.75" customHeight="1">
      <c r="N468" s="3"/>
      <c r="O468" s="3"/>
    </row>
    <row r="469" ht="15.75" customHeight="1">
      <c r="N469" s="3"/>
      <c r="O469" s="3"/>
    </row>
    <row r="470" ht="15.75" customHeight="1">
      <c r="N470" s="3"/>
      <c r="O470" s="3"/>
    </row>
    <row r="471" ht="15.75" customHeight="1">
      <c r="N471" s="3"/>
      <c r="O471" s="3"/>
    </row>
    <row r="472" ht="15.75" customHeight="1">
      <c r="N472" s="3"/>
      <c r="O472" s="3"/>
    </row>
    <row r="473" ht="15.75" customHeight="1">
      <c r="N473" s="3"/>
      <c r="O473" s="3"/>
    </row>
    <row r="474" ht="15.75" customHeight="1">
      <c r="N474" s="3"/>
      <c r="O474" s="3"/>
    </row>
    <row r="475" ht="15.75" customHeight="1">
      <c r="N475" s="3"/>
      <c r="O475" s="3"/>
    </row>
    <row r="476" ht="15.75" customHeight="1">
      <c r="N476" s="3"/>
      <c r="O476" s="3"/>
    </row>
    <row r="477" ht="15.75" customHeight="1">
      <c r="N477" s="3"/>
      <c r="O477" s="3"/>
    </row>
    <row r="478" ht="15.75" customHeight="1">
      <c r="N478" s="3"/>
      <c r="O478" s="3"/>
    </row>
    <row r="479" ht="15.75" customHeight="1">
      <c r="N479" s="3"/>
      <c r="O479" s="3"/>
    </row>
    <row r="480" ht="15.75" customHeight="1">
      <c r="N480" s="3"/>
      <c r="O480" s="3"/>
    </row>
    <row r="481" ht="15.75" customHeight="1">
      <c r="N481" s="3"/>
      <c r="O481" s="3"/>
    </row>
    <row r="482" ht="15.75" customHeight="1">
      <c r="N482" s="3"/>
      <c r="O482" s="3"/>
    </row>
    <row r="483" ht="15.75" customHeight="1">
      <c r="N483" s="3"/>
      <c r="O483" s="3"/>
    </row>
    <row r="484" ht="15.75" customHeight="1">
      <c r="N484" s="3"/>
      <c r="O484" s="3"/>
    </row>
    <row r="485" ht="15.75" customHeight="1">
      <c r="N485" s="3"/>
      <c r="O485" s="3"/>
    </row>
    <row r="486" ht="15.75" customHeight="1">
      <c r="N486" s="3"/>
      <c r="O486" s="3"/>
    </row>
    <row r="487" ht="15.75" customHeight="1">
      <c r="N487" s="3"/>
      <c r="O487" s="3"/>
    </row>
    <row r="488" ht="15.75" customHeight="1">
      <c r="N488" s="3"/>
      <c r="O488" s="3"/>
    </row>
    <row r="489" ht="15.75" customHeight="1">
      <c r="N489" s="3"/>
      <c r="O489" s="3"/>
    </row>
    <row r="490" ht="15.75" customHeight="1">
      <c r="N490" s="3"/>
      <c r="O490" s="3"/>
    </row>
    <row r="491" ht="15.75" customHeight="1">
      <c r="N491" s="3"/>
      <c r="O491" s="3"/>
    </row>
    <row r="492" ht="15.75" customHeight="1">
      <c r="N492" s="3"/>
      <c r="O492" s="3"/>
    </row>
    <row r="493" ht="15.75" customHeight="1">
      <c r="N493" s="3"/>
      <c r="O493" s="3"/>
    </row>
    <row r="494" ht="15.75" customHeight="1">
      <c r="N494" s="3"/>
      <c r="O494" s="3"/>
    </row>
    <row r="495" ht="15.75" customHeight="1">
      <c r="N495" s="3"/>
      <c r="O495" s="3"/>
    </row>
    <row r="496" ht="15.75" customHeight="1">
      <c r="N496" s="3"/>
      <c r="O496" s="3"/>
    </row>
    <row r="497" ht="15.75" customHeight="1">
      <c r="N497" s="3"/>
      <c r="O497" s="3"/>
    </row>
    <row r="498" ht="15.75" customHeight="1">
      <c r="N498" s="3"/>
      <c r="O498" s="3"/>
    </row>
    <row r="499" ht="15.75" customHeight="1">
      <c r="N499" s="3"/>
      <c r="O499" s="3"/>
    </row>
    <row r="500" ht="15.75" customHeight="1">
      <c r="N500" s="3"/>
      <c r="O500" s="3"/>
    </row>
    <row r="501" ht="15.75" customHeight="1">
      <c r="N501" s="3"/>
      <c r="O501" s="3"/>
    </row>
    <row r="502" ht="15.75" customHeight="1">
      <c r="N502" s="3"/>
      <c r="O502" s="3"/>
    </row>
    <row r="503" ht="15.75" customHeight="1">
      <c r="N503" s="3"/>
      <c r="O503" s="3"/>
    </row>
    <row r="504" ht="15.75" customHeight="1">
      <c r="N504" s="3"/>
      <c r="O504" s="3"/>
    </row>
    <row r="505" ht="15.75" customHeight="1">
      <c r="N505" s="3"/>
      <c r="O505" s="3"/>
    </row>
    <row r="506" ht="15.75" customHeight="1">
      <c r="N506" s="3"/>
      <c r="O506" s="3"/>
    </row>
    <row r="507" ht="15.75" customHeight="1">
      <c r="N507" s="3"/>
      <c r="O507" s="3"/>
    </row>
    <row r="508" ht="15.75" customHeight="1">
      <c r="N508" s="3"/>
      <c r="O508" s="3"/>
    </row>
    <row r="509" ht="15.75" customHeight="1">
      <c r="N509" s="3"/>
      <c r="O509" s="3"/>
    </row>
    <row r="510" ht="15.75" customHeight="1">
      <c r="N510" s="3"/>
      <c r="O510" s="3"/>
    </row>
    <row r="511" ht="15.75" customHeight="1">
      <c r="N511" s="3"/>
      <c r="O511" s="3"/>
    </row>
    <row r="512" ht="15.75" customHeight="1">
      <c r="N512" s="3"/>
      <c r="O512" s="3"/>
    </row>
    <row r="513" ht="15.75" customHeight="1">
      <c r="N513" s="3"/>
      <c r="O513" s="3"/>
    </row>
    <row r="514" ht="15.75" customHeight="1">
      <c r="N514" s="3"/>
      <c r="O514" s="3"/>
    </row>
    <row r="515" ht="15.75" customHeight="1">
      <c r="N515" s="3"/>
      <c r="O515" s="3"/>
    </row>
    <row r="516" ht="15.75" customHeight="1">
      <c r="N516" s="3"/>
      <c r="O516" s="3"/>
    </row>
    <row r="517" ht="15.75" customHeight="1">
      <c r="N517" s="3"/>
      <c r="O517" s="3"/>
    </row>
    <row r="518" ht="15.75" customHeight="1">
      <c r="N518" s="3"/>
      <c r="O518" s="3"/>
    </row>
    <row r="519" ht="15.75" customHeight="1">
      <c r="N519" s="3"/>
      <c r="O519" s="3"/>
    </row>
    <row r="520" ht="15.75" customHeight="1">
      <c r="N520" s="3"/>
      <c r="O520" s="3"/>
    </row>
    <row r="521" ht="15.75" customHeight="1">
      <c r="N521" s="3"/>
      <c r="O521" s="3"/>
    </row>
    <row r="522" ht="15.75" customHeight="1">
      <c r="N522" s="3"/>
      <c r="O522" s="3"/>
    </row>
    <row r="523" ht="15.75" customHeight="1">
      <c r="N523" s="3"/>
      <c r="O523" s="3"/>
    </row>
    <row r="524" ht="15.75" customHeight="1">
      <c r="N524" s="3"/>
      <c r="O524" s="3"/>
    </row>
    <row r="525" ht="15.75" customHeight="1">
      <c r="N525" s="3"/>
      <c r="O525" s="3"/>
    </row>
    <row r="526" ht="15.75" customHeight="1">
      <c r="N526" s="3"/>
      <c r="O526" s="3"/>
    </row>
    <row r="527" ht="15.75" customHeight="1">
      <c r="N527" s="3"/>
      <c r="O527" s="3"/>
    </row>
    <row r="528" ht="15.75" customHeight="1">
      <c r="N528" s="3"/>
      <c r="O528" s="3"/>
    </row>
    <row r="529" ht="15.75" customHeight="1">
      <c r="N529" s="3"/>
      <c r="O529" s="3"/>
    </row>
    <row r="530" ht="15.75" customHeight="1">
      <c r="N530" s="3"/>
      <c r="O530" s="3"/>
    </row>
    <row r="531" ht="15.75" customHeight="1">
      <c r="N531" s="3"/>
      <c r="O531" s="3"/>
    </row>
    <row r="532" ht="15.75" customHeight="1">
      <c r="N532" s="3"/>
      <c r="O532" s="3"/>
    </row>
    <row r="533" ht="15.75" customHeight="1">
      <c r="N533" s="3"/>
      <c r="O533" s="3"/>
    </row>
    <row r="534" ht="15.75" customHeight="1">
      <c r="N534" s="3"/>
      <c r="O534" s="3"/>
    </row>
    <row r="535" ht="15.75" customHeight="1">
      <c r="N535" s="3"/>
      <c r="O535" s="3"/>
    </row>
    <row r="536" ht="15.75" customHeight="1">
      <c r="N536" s="3"/>
      <c r="O536" s="3"/>
    </row>
    <row r="537" ht="15.75" customHeight="1">
      <c r="N537" s="3"/>
      <c r="O537" s="3"/>
    </row>
    <row r="538" ht="15.75" customHeight="1">
      <c r="N538" s="3"/>
      <c r="O538" s="3"/>
    </row>
    <row r="539" ht="15.75" customHeight="1">
      <c r="N539" s="3"/>
      <c r="O539" s="3"/>
    </row>
    <row r="540" ht="15.75" customHeight="1">
      <c r="N540" s="3"/>
      <c r="O540" s="3"/>
    </row>
    <row r="541" ht="15.75" customHeight="1">
      <c r="N541" s="3"/>
      <c r="O541" s="3"/>
    </row>
    <row r="542" ht="15.75" customHeight="1">
      <c r="N542" s="3"/>
      <c r="O542" s="3"/>
    </row>
    <row r="543" ht="15.75" customHeight="1">
      <c r="N543" s="3"/>
      <c r="O543" s="3"/>
    </row>
    <row r="544" ht="15.75" customHeight="1">
      <c r="N544" s="3"/>
      <c r="O544" s="3"/>
    </row>
    <row r="545" ht="15.75" customHeight="1">
      <c r="N545" s="3"/>
      <c r="O545" s="3"/>
    </row>
    <row r="546" ht="15.75" customHeight="1">
      <c r="N546" s="3"/>
      <c r="O546" s="3"/>
    </row>
    <row r="547" ht="15.75" customHeight="1">
      <c r="N547" s="3"/>
      <c r="O547" s="3"/>
    </row>
    <row r="548" ht="15.75" customHeight="1">
      <c r="N548" s="3"/>
      <c r="O548" s="3"/>
    </row>
    <row r="549" ht="15.75" customHeight="1">
      <c r="N549" s="3"/>
      <c r="O549" s="3"/>
    </row>
    <row r="550" ht="15.75" customHeight="1">
      <c r="N550" s="3"/>
      <c r="O550" s="3"/>
    </row>
    <row r="551" ht="15.75" customHeight="1">
      <c r="N551" s="3"/>
      <c r="O551" s="3"/>
    </row>
    <row r="552" ht="15.75" customHeight="1">
      <c r="N552" s="3"/>
      <c r="O552" s="3"/>
    </row>
    <row r="553" ht="15.75" customHeight="1">
      <c r="N553" s="3"/>
      <c r="O553" s="3"/>
    </row>
    <row r="554" ht="15.75" customHeight="1">
      <c r="N554" s="3"/>
      <c r="O554" s="3"/>
    </row>
    <row r="555" ht="15.75" customHeight="1">
      <c r="N555" s="3"/>
      <c r="O555" s="3"/>
    </row>
    <row r="556" ht="15.75" customHeight="1">
      <c r="N556" s="3"/>
      <c r="O556" s="3"/>
    </row>
    <row r="557" ht="15.75" customHeight="1">
      <c r="N557" s="3"/>
      <c r="O557" s="3"/>
    </row>
    <row r="558" ht="15.75" customHeight="1">
      <c r="N558" s="3"/>
      <c r="O558" s="3"/>
    </row>
    <row r="559" ht="15.75" customHeight="1">
      <c r="N559" s="3"/>
      <c r="O559" s="3"/>
    </row>
    <row r="560" ht="15.75" customHeight="1">
      <c r="N560" s="3"/>
      <c r="O560" s="3"/>
    </row>
    <row r="561" ht="15.75" customHeight="1">
      <c r="N561" s="3"/>
      <c r="O561" s="3"/>
    </row>
    <row r="562" ht="15.75" customHeight="1">
      <c r="N562" s="3"/>
      <c r="O562" s="3"/>
    </row>
    <row r="563" ht="15.75" customHeight="1">
      <c r="N563" s="3"/>
      <c r="O563" s="3"/>
    </row>
    <row r="564" ht="15.75" customHeight="1">
      <c r="N564" s="3"/>
      <c r="O564" s="3"/>
    </row>
    <row r="565" ht="15.75" customHeight="1">
      <c r="N565" s="3"/>
      <c r="O565" s="3"/>
    </row>
    <row r="566" ht="15.75" customHeight="1">
      <c r="N566" s="3"/>
      <c r="O566" s="3"/>
    </row>
    <row r="567" ht="15.75" customHeight="1">
      <c r="N567" s="3"/>
      <c r="O567" s="3"/>
    </row>
    <row r="568" ht="15.75" customHeight="1">
      <c r="N568" s="3"/>
      <c r="O568" s="3"/>
    </row>
    <row r="569" ht="15.75" customHeight="1">
      <c r="N569" s="3"/>
      <c r="O569" s="3"/>
    </row>
    <row r="570" ht="15.75" customHeight="1">
      <c r="N570" s="3"/>
      <c r="O570" s="3"/>
    </row>
    <row r="571" ht="15.75" customHeight="1">
      <c r="N571" s="3"/>
      <c r="O571" s="3"/>
    </row>
    <row r="572" ht="15.75" customHeight="1">
      <c r="N572" s="3"/>
      <c r="O572" s="3"/>
    </row>
    <row r="573" ht="15.75" customHeight="1">
      <c r="N573" s="3"/>
      <c r="O573" s="3"/>
    </row>
    <row r="574" ht="15.75" customHeight="1">
      <c r="N574" s="3"/>
      <c r="O574" s="3"/>
    </row>
    <row r="575" ht="15.75" customHeight="1">
      <c r="N575" s="3"/>
      <c r="O575" s="3"/>
    </row>
    <row r="576" ht="15.75" customHeight="1">
      <c r="N576" s="3"/>
      <c r="O576" s="3"/>
    </row>
    <row r="577" ht="15.75" customHeight="1">
      <c r="N577" s="3"/>
      <c r="O577" s="3"/>
    </row>
    <row r="578" ht="15.75" customHeight="1">
      <c r="N578" s="3"/>
      <c r="O578" s="3"/>
    </row>
    <row r="579" ht="15.75" customHeight="1">
      <c r="N579" s="3"/>
      <c r="O579" s="3"/>
    </row>
    <row r="580" ht="15.75" customHeight="1">
      <c r="N580" s="3"/>
      <c r="O580" s="3"/>
    </row>
    <row r="581" ht="15.75" customHeight="1">
      <c r="N581" s="3"/>
      <c r="O581" s="3"/>
    </row>
    <row r="582" ht="15.75" customHeight="1">
      <c r="N582" s="3"/>
      <c r="O582" s="3"/>
    </row>
    <row r="583" ht="15.75" customHeight="1">
      <c r="N583" s="3"/>
      <c r="O583" s="3"/>
    </row>
    <row r="584" ht="15.75" customHeight="1">
      <c r="N584" s="3"/>
      <c r="O584" s="3"/>
    </row>
    <row r="585" ht="15.75" customHeight="1">
      <c r="N585" s="3"/>
      <c r="O585" s="3"/>
    </row>
    <row r="586" ht="15.75" customHeight="1">
      <c r="N586" s="3"/>
      <c r="O586" s="3"/>
    </row>
    <row r="587" ht="15.75" customHeight="1">
      <c r="N587" s="3"/>
      <c r="O587" s="3"/>
    </row>
    <row r="588" ht="15.75" customHeight="1">
      <c r="N588" s="3"/>
      <c r="O588" s="3"/>
    </row>
    <row r="589" ht="15.75" customHeight="1">
      <c r="N589" s="3"/>
      <c r="O589" s="3"/>
    </row>
    <row r="590" ht="15.75" customHeight="1">
      <c r="N590" s="3"/>
      <c r="O590" s="3"/>
    </row>
    <row r="591" ht="15.75" customHeight="1">
      <c r="N591" s="3"/>
      <c r="O591" s="3"/>
    </row>
    <row r="592" ht="15.75" customHeight="1">
      <c r="N592" s="3"/>
      <c r="O592" s="3"/>
    </row>
    <row r="593" ht="15.75" customHeight="1">
      <c r="N593" s="3"/>
      <c r="O593" s="3"/>
    </row>
    <row r="594" ht="15.75" customHeight="1">
      <c r="N594" s="3"/>
      <c r="O594" s="3"/>
    </row>
    <row r="595" ht="15.75" customHeight="1">
      <c r="N595" s="3"/>
      <c r="O595" s="3"/>
    </row>
    <row r="596" ht="15.75" customHeight="1">
      <c r="N596" s="3"/>
      <c r="O596" s="3"/>
    </row>
    <row r="597" ht="15.75" customHeight="1">
      <c r="N597" s="3"/>
      <c r="O597" s="3"/>
    </row>
    <row r="598" ht="15.75" customHeight="1">
      <c r="N598" s="3"/>
      <c r="O598" s="3"/>
    </row>
    <row r="599" ht="15.75" customHeight="1">
      <c r="N599" s="3"/>
      <c r="O599" s="3"/>
    </row>
    <row r="600" ht="15.75" customHeight="1">
      <c r="N600" s="3"/>
      <c r="O600" s="3"/>
    </row>
    <row r="601" ht="15.75" customHeight="1">
      <c r="N601" s="3"/>
      <c r="O601" s="3"/>
    </row>
    <row r="602" ht="15.75" customHeight="1">
      <c r="N602" s="3"/>
      <c r="O602" s="3"/>
    </row>
    <row r="603" ht="15.75" customHeight="1">
      <c r="N603" s="3"/>
      <c r="O603" s="3"/>
    </row>
    <row r="604" ht="15.75" customHeight="1">
      <c r="N604" s="3"/>
      <c r="O604" s="3"/>
    </row>
    <row r="605" ht="15.75" customHeight="1">
      <c r="N605" s="3"/>
      <c r="O605" s="3"/>
    </row>
    <row r="606" ht="15.75" customHeight="1">
      <c r="N606" s="3"/>
      <c r="O606" s="3"/>
    </row>
    <row r="607" ht="15.75" customHeight="1">
      <c r="N607" s="3"/>
      <c r="O607" s="3"/>
    </row>
    <row r="608" ht="15.75" customHeight="1">
      <c r="N608" s="3"/>
      <c r="O608" s="3"/>
    </row>
    <row r="609" ht="15.75" customHeight="1">
      <c r="N609" s="3"/>
      <c r="O609" s="3"/>
    </row>
    <row r="610" ht="15.75" customHeight="1">
      <c r="N610" s="3"/>
      <c r="O610" s="3"/>
    </row>
    <row r="611" ht="15.75" customHeight="1">
      <c r="N611" s="3"/>
      <c r="O611" s="3"/>
    </row>
    <row r="612" ht="15.75" customHeight="1">
      <c r="N612" s="3"/>
      <c r="O612" s="3"/>
    </row>
    <row r="613" ht="15.75" customHeight="1">
      <c r="N613" s="3"/>
      <c r="O613" s="3"/>
    </row>
    <row r="614" ht="15.75" customHeight="1">
      <c r="N614" s="3"/>
      <c r="O614" s="3"/>
    </row>
    <row r="615" ht="15.75" customHeight="1">
      <c r="N615" s="3"/>
      <c r="O615" s="3"/>
    </row>
    <row r="616" ht="15.75" customHeight="1">
      <c r="N616" s="3"/>
      <c r="O616" s="3"/>
    </row>
    <row r="617" ht="15.75" customHeight="1">
      <c r="N617" s="3"/>
      <c r="O617" s="3"/>
    </row>
    <row r="618" ht="15.75" customHeight="1">
      <c r="N618" s="3"/>
      <c r="O618" s="3"/>
    </row>
    <row r="619" ht="15.75" customHeight="1">
      <c r="N619" s="3"/>
      <c r="O619" s="3"/>
    </row>
    <row r="620" ht="15.75" customHeight="1">
      <c r="N620" s="3"/>
      <c r="O620" s="3"/>
    </row>
    <row r="621" ht="15.75" customHeight="1">
      <c r="N621" s="3"/>
      <c r="O621" s="3"/>
    </row>
    <row r="622" ht="15.75" customHeight="1">
      <c r="N622" s="3"/>
      <c r="O622" s="3"/>
    </row>
    <row r="623" ht="15.75" customHeight="1">
      <c r="N623" s="3"/>
      <c r="O623" s="3"/>
    </row>
    <row r="624" ht="15.75" customHeight="1">
      <c r="N624" s="3"/>
      <c r="O624" s="3"/>
    </row>
    <row r="625" ht="15.75" customHeight="1">
      <c r="N625" s="3"/>
      <c r="O625" s="3"/>
    </row>
    <row r="626" ht="15.75" customHeight="1">
      <c r="N626" s="3"/>
      <c r="O626" s="3"/>
    </row>
    <row r="627" ht="15.75" customHeight="1">
      <c r="N627" s="3"/>
      <c r="O627" s="3"/>
    </row>
    <row r="628" ht="15.75" customHeight="1">
      <c r="N628" s="3"/>
      <c r="O628" s="3"/>
    </row>
    <row r="629" ht="15.75" customHeight="1">
      <c r="N629" s="3"/>
      <c r="O629" s="3"/>
    </row>
    <row r="630" ht="15.75" customHeight="1">
      <c r="N630" s="3"/>
      <c r="O630" s="3"/>
    </row>
    <row r="631" ht="15.75" customHeight="1">
      <c r="N631" s="3"/>
      <c r="O631" s="3"/>
    </row>
    <row r="632" ht="15.75" customHeight="1">
      <c r="N632" s="3"/>
      <c r="O632" s="3"/>
    </row>
    <row r="633" ht="15.75" customHeight="1">
      <c r="N633" s="3"/>
      <c r="O633" s="3"/>
    </row>
    <row r="634" ht="15.75" customHeight="1">
      <c r="N634" s="3"/>
      <c r="O634" s="3"/>
    </row>
    <row r="635" ht="15.75" customHeight="1">
      <c r="N635" s="3"/>
      <c r="O635" s="3"/>
    </row>
    <row r="636" ht="15.75" customHeight="1">
      <c r="N636" s="3"/>
      <c r="O636" s="3"/>
    </row>
    <row r="637" ht="15.75" customHeight="1">
      <c r="N637" s="3"/>
      <c r="O637" s="3"/>
    </row>
    <row r="638" ht="15.75" customHeight="1">
      <c r="N638" s="3"/>
      <c r="O638" s="3"/>
    </row>
    <row r="639" ht="15.75" customHeight="1">
      <c r="N639" s="3"/>
      <c r="O639" s="3"/>
    </row>
    <row r="640" ht="15.75" customHeight="1">
      <c r="N640" s="3"/>
      <c r="O640" s="3"/>
    </row>
    <row r="641" ht="15.75" customHeight="1">
      <c r="N641" s="3"/>
      <c r="O641" s="3"/>
    </row>
    <row r="642" ht="15.75" customHeight="1">
      <c r="N642" s="3"/>
      <c r="O642" s="3"/>
    </row>
    <row r="643" ht="15.75" customHeight="1">
      <c r="N643" s="3"/>
      <c r="O643" s="3"/>
    </row>
    <row r="644" ht="15.75" customHeight="1">
      <c r="N644" s="3"/>
      <c r="O644" s="3"/>
    </row>
    <row r="645" ht="15.75" customHeight="1">
      <c r="N645" s="3"/>
      <c r="O645" s="3"/>
    </row>
    <row r="646" ht="15.75" customHeight="1">
      <c r="N646" s="3"/>
      <c r="O646" s="3"/>
    </row>
    <row r="647" ht="15.75" customHeight="1">
      <c r="N647" s="3"/>
      <c r="O647" s="3"/>
    </row>
    <row r="648" ht="15.75" customHeight="1">
      <c r="N648" s="3"/>
      <c r="O648" s="3"/>
    </row>
    <row r="649" ht="15.75" customHeight="1">
      <c r="N649" s="3"/>
      <c r="O649" s="3"/>
    </row>
    <row r="650" ht="15.75" customHeight="1">
      <c r="N650" s="3"/>
      <c r="O650" s="3"/>
    </row>
    <row r="651" ht="15.75" customHeight="1">
      <c r="N651" s="3"/>
      <c r="O651" s="3"/>
    </row>
    <row r="652" ht="15.75" customHeight="1">
      <c r="N652" s="3"/>
      <c r="O652" s="3"/>
    </row>
    <row r="653" ht="15.75" customHeight="1">
      <c r="N653" s="3"/>
      <c r="O653" s="3"/>
    </row>
    <row r="654" ht="15.75" customHeight="1">
      <c r="N654" s="3"/>
      <c r="O654" s="3"/>
    </row>
    <row r="655" ht="15.75" customHeight="1">
      <c r="N655" s="3"/>
      <c r="O655" s="3"/>
    </row>
    <row r="656" ht="15.75" customHeight="1">
      <c r="N656" s="3"/>
      <c r="O656" s="3"/>
    </row>
    <row r="657" ht="15.75" customHeight="1">
      <c r="N657" s="3"/>
      <c r="O657" s="3"/>
    </row>
    <row r="658" ht="15.75" customHeight="1">
      <c r="N658" s="3"/>
      <c r="O658" s="3"/>
    </row>
    <row r="659" ht="15.75" customHeight="1">
      <c r="N659" s="3"/>
      <c r="O659" s="3"/>
    </row>
    <row r="660" ht="15.75" customHeight="1">
      <c r="N660" s="3"/>
      <c r="O660" s="3"/>
    </row>
    <row r="661" ht="15.75" customHeight="1">
      <c r="N661" s="3"/>
      <c r="O661" s="3"/>
    </row>
    <row r="662" ht="15.75" customHeight="1">
      <c r="N662" s="3"/>
      <c r="O662" s="3"/>
    </row>
    <row r="663" ht="15.75" customHeight="1">
      <c r="N663" s="3"/>
      <c r="O663" s="3"/>
    </row>
    <row r="664" ht="15.75" customHeight="1">
      <c r="N664" s="3"/>
      <c r="O664" s="3"/>
    </row>
    <row r="665" ht="15.75" customHeight="1">
      <c r="N665" s="3"/>
      <c r="O665" s="3"/>
    </row>
    <row r="666" ht="15.75" customHeight="1">
      <c r="N666" s="3"/>
      <c r="O666" s="3"/>
    </row>
    <row r="667" ht="15.75" customHeight="1">
      <c r="N667" s="3"/>
      <c r="O667" s="3"/>
    </row>
    <row r="668" ht="15.75" customHeight="1">
      <c r="N668" s="3"/>
      <c r="O668" s="3"/>
    </row>
    <row r="669" ht="15.75" customHeight="1">
      <c r="N669" s="3"/>
      <c r="O669" s="3"/>
    </row>
    <row r="670" ht="15.75" customHeight="1">
      <c r="N670" s="3"/>
      <c r="O670" s="3"/>
    </row>
    <row r="671" ht="15.75" customHeight="1">
      <c r="N671" s="3"/>
      <c r="O671" s="3"/>
    </row>
    <row r="672" ht="15.75" customHeight="1">
      <c r="N672" s="3"/>
      <c r="O672" s="3"/>
    </row>
    <row r="673" ht="15.75" customHeight="1">
      <c r="N673" s="3"/>
      <c r="O673" s="3"/>
    </row>
    <row r="674" ht="15.75" customHeight="1">
      <c r="N674" s="3"/>
      <c r="O674" s="3"/>
    </row>
    <row r="675" ht="15.75" customHeight="1">
      <c r="N675" s="3"/>
      <c r="O675" s="3"/>
    </row>
    <row r="676" ht="15.75" customHeight="1">
      <c r="N676" s="3"/>
      <c r="O676" s="3"/>
    </row>
    <row r="677" ht="15.75" customHeight="1">
      <c r="N677" s="3"/>
      <c r="O677" s="3"/>
    </row>
    <row r="678" ht="15.75" customHeight="1">
      <c r="N678" s="3"/>
      <c r="O678" s="3"/>
    </row>
    <row r="679" ht="15.75" customHeight="1">
      <c r="N679" s="3"/>
      <c r="O679" s="3"/>
    </row>
    <row r="680" ht="15.75" customHeight="1">
      <c r="N680" s="3"/>
      <c r="O680" s="3"/>
    </row>
    <row r="681" ht="15.75" customHeight="1">
      <c r="N681" s="3"/>
      <c r="O681" s="3"/>
    </row>
    <row r="682" ht="15.75" customHeight="1">
      <c r="N682" s="3"/>
      <c r="O682" s="3"/>
    </row>
    <row r="683" ht="15.75" customHeight="1">
      <c r="N683" s="3"/>
      <c r="O683" s="3"/>
    </row>
    <row r="684" ht="15.75" customHeight="1">
      <c r="N684" s="3"/>
      <c r="O684" s="3"/>
    </row>
    <row r="685" ht="15.75" customHeight="1">
      <c r="N685" s="3"/>
      <c r="O685" s="3"/>
    </row>
    <row r="686" ht="15.75" customHeight="1">
      <c r="N686" s="3"/>
      <c r="O686" s="3"/>
    </row>
    <row r="687" ht="15.75" customHeight="1">
      <c r="N687" s="3"/>
      <c r="O687" s="3"/>
    </row>
    <row r="688" ht="15.75" customHeight="1">
      <c r="N688" s="3"/>
      <c r="O688" s="3"/>
    </row>
    <row r="689" ht="15.75" customHeight="1">
      <c r="N689" s="3"/>
      <c r="O689" s="3"/>
    </row>
    <row r="690" ht="15.75" customHeight="1">
      <c r="N690" s="3"/>
      <c r="O690" s="3"/>
    </row>
    <row r="691" ht="15.75" customHeight="1">
      <c r="N691" s="3"/>
      <c r="O691" s="3"/>
    </row>
    <row r="692" ht="15.75" customHeight="1">
      <c r="N692" s="3"/>
      <c r="O692" s="3"/>
    </row>
    <row r="693" ht="15.75" customHeight="1">
      <c r="N693" s="3"/>
      <c r="O693" s="3"/>
    </row>
    <row r="694" ht="15.75" customHeight="1">
      <c r="N694" s="3"/>
      <c r="O694" s="3"/>
    </row>
    <row r="695" ht="15.75" customHeight="1">
      <c r="N695" s="3"/>
      <c r="O695" s="3"/>
    </row>
    <row r="696" ht="15.75" customHeight="1">
      <c r="N696" s="3"/>
      <c r="O696" s="3"/>
    </row>
    <row r="697" ht="15.75" customHeight="1">
      <c r="N697" s="3"/>
      <c r="O697" s="3"/>
    </row>
    <row r="698" ht="15.75" customHeight="1">
      <c r="N698" s="3"/>
      <c r="O698" s="3"/>
    </row>
    <row r="699" ht="15.75" customHeight="1">
      <c r="N699" s="3"/>
      <c r="O699" s="3"/>
    </row>
    <row r="700" ht="15.75" customHeight="1">
      <c r="N700" s="3"/>
      <c r="O700" s="3"/>
    </row>
    <row r="701" ht="15.75" customHeight="1">
      <c r="N701" s="3"/>
      <c r="O701" s="3"/>
    </row>
    <row r="702" ht="15.75" customHeight="1">
      <c r="N702" s="3"/>
      <c r="O702" s="3"/>
    </row>
    <row r="703" ht="15.75" customHeight="1">
      <c r="N703" s="3"/>
      <c r="O703" s="3"/>
    </row>
    <row r="704" ht="15.75" customHeight="1">
      <c r="N704" s="3"/>
      <c r="O704" s="3"/>
    </row>
    <row r="705" ht="15.75" customHeight="1">
      <c r="N705" s="3"/>
      <c r="O705" s="3"/>
    </row>
    <row r="706" ht="15.75" customHeight="1">
      <c r="N706" s="3"/>
      <c r="O706" s="3"/>
    </row>
    <row r="707" ht="15.75" customHeight="1">
      <c r="N707" s="3"/>
      <c r="O707" s="3"/>
    </row>
    <row r="708" ht="15.75" customHeight="1">
      <c r="N708" s="3"/>
      <c r="O708" s="3"/>
    </row>
    <row r="709" ht="15.75" customHeight="1">
      <c r="N709" s="3"/>
      <c r="O709" s="3"/>
    </row>
    <row r="710" ht="15.75" customHeight="1">
      <c r="N710" s="3"/>
      <c r="O710" s="3"/>
    </row>
    <row r="711" ht="15.75" customHeight="1">
      <c r="N711" s="3"/>
      <c r="O711" s="3"/>
    </row>
    <row r="712" ht="15.75" customHeight="1">
      <c r="N712" s="3"/>
      <c r="O712" s="3"/>
    </row>
    <row r="713" ht="15.75" customHeight="1">
      <c r="N713" s="3"/>
      <c r="O713" s="3"/>
    </row>
    <row r="714" ht="15.75" customHeight="1">
      <c r="N714" s="3"/>
      <c r="O714" s="3"/>
    </row>
    <row r="715" ht="15.75" customHeight="1">
      <c r="N715" s="3"/>
      <c r="O715" s="3"/>
    </row>
    <row r="716" ht="15.75" customHeight="1">
      <c r="N716" s="3"/>
      <c r="O716" s="3"/>
    </row>
    <row r="717" ht="15.75" customHeight="1">
      <c r="N717" s="3"/>
      <c r="O717" s="3"/>
    </row>
    <row r="718" ht="15.75" customHeight="1">
      <c r="N718" s="3"/>
      <c r="O718" s="3"/>
    </row>
    <row r="719" ht="15.75" customHeight="1">
      <c r="N719" s="3"/>
      <c r="O719" s="3"/>
    </row>
    <row r="720" ht="15.75" customHeight="1">
      <c r="N720" s="3"/>
      <c r="O720" s="3"/>
    </row>
    <row r="721" ht="15.75" customHeight="1">
      <c r="N721" s="3"/>
      <c r="O721" s="3"/>
    </row>
    <row r="722" ht="15.75" customHeight="1">
      <c r="N722" s="3"/>
      <c r="O722" s="3"/>
    </row>
    <row r="723" ht="15.75" customHeight="1">
      <c r="N723" s="3"/>
      <c r="O723" s="3"/>
    </row>
    <row r="724" ht="15.75" customHeight="1">
      <c r="N724" s="3"/>
      <c r="O724" s="3"/>
    </row>
    <row r="725" ht="15.75" customHeight="1">
      <c r="N725" s="3"/>
      <c r="O725" s="3"/>
    </row>
    <row r="726" ht="15.75" customHeight="1">
      <c r="N726" s="3"/>
      <c r="O726" s="3"/>
    </row>
    <row r="727" ht="15.75" customHeight="1">
      <c r="N727" s="3"/>
      <c r="O727" s="3"/>
    </row>
    <row r="728" ht="15.75" customHeight="1">
      <c r="N728" s="3"/>
      <c r="O728" s="3"/>
    </row>
    <row r="729" ht="15.75" customHeight="1">
      <c r="N729" s="3"/>
      <c r="O729" s="3"/>
    </row>
    <row r="730" ht="15.75" customHeight="1">
      <c r="N730" s="3"/>
      <c r="O730" s="3"/>
    </row>
    <row r="731" ht="15.75" customHeight="1">
      <c r="N731" s="3"/>
      <c r="O731" s="3"/>
    </row>
    <row r="732" ht="15.75" customHeight="1">
      <c r="N732" s="3"/>
      <c r="O732" s="3"/>
    </row>
    <row r="733" ht="15.75" customHeight="1">
      <c r="N733" s="3"/>
      <c r="O733" s="3"/>
    </row>
    <row r="734" ht="15.75" customHeight="1">
      <c r="N734" s="3"/>
      <c r="O734" s="3"/>
    </row>
    <row r="735" ht="15.75" customHeight="1">
      <c r="N735" s="3"/>
      <c r="O735" s="3"/>
    </row>
    <row r="736" ht="15.75" customHeight="1">
      <c r="N736" s="3"/>
      <c r="O736" s="3"/>
    </row>
    <row r="737" ht="15.75" customHeight="1">
      <c r="N737" s="3"/>
      <c r="O737" s="3"/>
    </row>
    <row r="738" ht="15.75" customHeight="1">
      <c r="N738" s="3"/>
      <c r="O738" s="3"/>
    </row>
    <row r="739" ht="15.75" customHeight="1">
      <c r="N739" s="3"/>
      <c r="O739" s="3"/>
    </row>
    <row r="740" ht="15.75" customHeight="1">
      <c r="N740" s="3"/>
      <c r="O740" s="3"/>
    </row>
    <row r="741" ht="15.75" customHeight="1">
      <c r="N741" s="3"/>
      <c r="O741" s="3"/>
    </row>
    <row r="742" ht="15.75" customHeight="1">
      <c r="N742" s="3"/>
      <c r="O742" s="3"/>
    </row>
    <row r="743" ht="15.75" customHeight="1">
      <c r="N743" s="3"/>
      <c r="O743" s="3"/>
    </row>
    <row r="744" ht="15.75" customHeight="1">
      <c r="N744" s="3"/>
      <c r="O744" s="3"/>
    </row>
    <row r="745" ht="15.75" customHeight="1">
      <c r="N745" s="3"/>
      <c r="O745" s="3"/>
    </row>
    <row r="746" ht="15.75" customHeight="1">
      <c r="N746" s="3"/>
      <c r="O746" s="3"/>
    </row>
    <row r="747" ht="15.75" customHeight="1">
      <c r="N747" s="3"/>
      <c r="O747" s="3"/>
    </row>
    <row r="748" ht="15.75" customHeight="1">
      <c r="N748" s="3"/>
      <c r="O748" s="3"/>
    </row>
    <row r="749" ht="15.75" customHeight="1">
      <c r="N749" s="3"/>
      <c r="O749" s="3"/>
    </row>
    <row r="750" ht="15.75" customHeight="1">
      <c r="N750" s="3"/>
      <c r="O750" s="3"/>
    </row>
    <row r="751" ht="15.75" customHeight="1">
      <c r="N751" s="3"/>
      <c r="O751" s="3"/>
    </row>
    <row r="752" ht="15.75" customHeight="1">
      <c r="N752" s="3"/>
      <c r="O752" s="3"/>
    </row>
    <row r="753" ht="15.75" customHeight="1">
      <c r="N753" s="3"/>
      <c r="O753" s="3"/>
    </row>
    <row r="754" ht="15.75" customHeight="1">
      <c r="N754" s="3"/>
      <c r="O754" s="3"/>
    </row>
    <row r="755" ht="15.75" customHeight="1">
      <c r="N755" s="3"/>
      <c r="O755" s="3"/>
    </row>
    <row r="756" ht="15.75" customHeight="1">
      <c r="N756" s="3"/>
      <c r="O756" s="3"/>
    </row>
    <row r="757" ht="15.75" customHeight="1">
      <c r="N757" s="3"/>
      <c r="O757" s="3"/>
    </row>
    <row r="758" ht="15.75" customHeight="1">
      <c r="N758" s="3"/>
      <c r="O758" s="3"/>
    </row>
    <row r="759" ht="15.75" customHeight="1">
      <c r="N759" s="3"/>
      <c r="O759" s="3"/>
    </row>
    <row r="760" ht="15.75" customHeight="1">
      <c r="N760" s="3"/>
      <c r="O760" s="3"/>
    </row>
    <row r="761" ht="15.75" customHeight="1">
      <c r="N761" s="3"/>
      <c r="O761" s="3"/>
    </row>
    <row r="762" ht="15.75" customHeight="1">
      <c r="N762" s="3"/>
      <c r="O762" s="3"/>
    </row>
    <row r="763" ht="15.75" customHeight="1">
      <c r="N763" s="3"/>
      <c r="O763" s="3"/>
    </row>
    <row r="764" ht="15.75" customHeight="1">
      <c r="N764" s="3"/>
      <c r="O764" s="3"/>
    </row>
    <row r="765" ht="15.75" customHeight="1">
      <c r="N765" s="3"/>
      <c r="O765" s="3"/>
    </row>
    <row r="766" ht="15.75" customHeight="1">
      <c r="N766" s="3"/>
      <c r="O766" s="3"/>
    </row>
    <row r="767" ht="15.75" customHeight="1">
      <c r="N767" s="3"/>
      <c r="O767" s="3"/>
    </row>
    <row r="768" ht="15.75" customHeight="1">
      <c r="N768" s="3"/>
      <c r="O768" s="3"/>
    </row>
    <row r="769" ht="15.75" customHeight="1">
      <c r="N769" s="3"/>
      <c r="O769" s="3"/>
    </row>
    <row r="770" ht="15.75" customHeight="1">
      <c r="N770" s="3"/>
      <c r="O770" s="3"/>
    </row>
    <row r="771" ht="15.75" customHeight="1">
      <c r="N771" s="3"/>
      <c r="O771" s="3"/>
    </row>
    <row r="772" ht="15.75" customHeight="1">
      <c r="N772" s="3"/>
      <c r="O772" s="3"/>
    </row>
    <row r="773" ht="15.75" customHeight="1">
      <c r="N773" s="3"/>
      <c r="O773" s="3"/>
    </row>
    <row r="774" ht="15.75" customHeight="1">
      <c r="N774" s="3"/>
      <c r="O774" s="3"/>
    </row>
    <row r="775" ht="15.75" customHeight="1">
      <c r="N775" s="3"/>
      <c r="O775" s="3"/>
    </row>
    <row r="776" ht="15.75" customHeight="1">
      <c r="N776" s="3"/>
      <c r="O776" s="3"/>
    </row>
    <row r="777" ht="15.75" customHeight="1">
      <c r="N777" s="3"/>
      <c r="O777" s="3"/>
    </row>
    <row r="778" ht="15.75" customHeight="1">
      <c r="N778" s="3"/>
      <c r="O778" s="3"/>
    </row>
    <row r="779" ht="15.75" customHeight="1">
      <c r="N779" s="3"/>
      <c r="O779" s="3"/>
    </row>
    <row r="780" ht="15.75" customHeight="1">
      <c r="N780" s="3"/>
      <c r="O780" s="3"/>
    </row>
    <row r="781" ht="15.75" customHeight="1">
      <c r="N781" s="3"/>
      <c r="O781" s="3"/>
    </row>
    <row r="782" ht="15.75" customHeight="1">
      <c r="N782" s="3"/>
      <c r="O782" s="3"/>
    </row>
    <row r="783" ht="15.75" customHeight="1">
      <c r="N783" s="3"/>
      <c r="O783" s="3"/>
    </row>
    <row r="784" ht="15.75" customHeight="1">
      <c r="N784" s="3"/>
      <c r="O784" s="3"/>
    </row>
    <row r="785" ht="15.75" customHeight="1">
      <c r="N785" s="3"/>
      <c r="O785" s="3"/>
    </row>
    <row r="786" ht="15.75" customHeight="1">
      <c r="N786" s="3"/>
      <c r="O786" s="3"/>
    </row>
    <row r="787" ht="15.75" customHeight="1">
      <c r="N787" s="3"/>
      <c r="O787" s="3"/>
    </row>
    <row r="788" ht="15.75" customHeight="1">
      <c r="N788" s="3"/>
      <c r="O788" s="3"/>
    </row>
    <row r="789" ht="15.75" customHeight="1">
      <c r="N789" s="3"/>
      <c r="O789" s="3"/>
    </row>
    <row r="790" ht="15.75" customHeight="1">
      <c r="N790" s="3"/>
      <c r="O790" s="3"/>
    </row>
    <row r="791" ht="15.75" customHeight="1">
      <c r="N791" s="3"/>
      <c r="O791" s="3"/>
    </row>
    <row r="792" ht="15.75" customHeight="1">
      <c r="N792" s="3"/>
      <c r="O792" s="3"/>
    </row>
    <row r="793" ht="15.75" customHeight="1">
      <c r="N793" s="3"/>
      <c r="O793" s="3"/>
    </row>
    <row r="794" ht="15.75" customHeight="1">
      <c r="N794" s="3"/>
      <c r="O794" s="3"/>
    </row>
    <row r="795" ht="15.75" customHeight="1">
      <c r="N795" s="3"/>
      <c r="O795" s="3"/>
    </row>
    <row r="796" ht="15.75" customHeight="1">
      <c r="N796" s="3"/>
      <c r="O796" s="3"/>
    </row>
    <row r="797" ht="15.75" customHeight="1">
      <c r="N797" s="3"/>
      <c r="O797" s="3"/>
    </row>
    <row r="798" ht="15.75" customHeight="1">
      <c r="N798" s="3"/>
      <c r="O798" s="3"/>
    </row>
    <row r="799" ht="15.75" customHeight="1">
      <c r="N799" s="3"/>
      <c r="O799" s="3"/>
    </row>
    <row r="800" ht="15.75" customHeight="1">
      <c r="N800" s="3"/>
      <c r="O800" s="3"/>
    </row>
    <row r="801" ht="15.75" customHeight="1">
      <c r="N801" s="3"/>
      <c r="O801" s="3"/>
    </row>
    <row r="802" ht="15.75" customHeight="1">
      <c r="N802" s="3"/>
      <c r="O802" s="3"/>
    </row>
    <row r="803" ht="15.75" customHeight="1">
      <c r="N803" s="3"/>
      <c r="O803" s="3"/>
    </row>
    <row r="804" ht="15.75" customHeight="1">
      <c r="N804" s="3"/>
      <c r="O804" s="3"/>
    </row>
    <row r="805" ht="15.75" customHeight="1">
      <c r="N805" s="3"/>
      <c r="O805" s="3"/>
    </row>
    <row r="806" ht="15.75" customHeight="1">
      <c r="N806" s="3"/>
      <c r="O806" s="3"/>
    </row>
    <row r="807" ht="15.75" customHeight="1">
      <c r="N807" s="3"/>
      <c r="O807" s="3"/>
    </row>
    <row r="808" ht="15.75" customHeight="1">
      <c r="N808" s="3"/>
      <c r="O808" s="3"/>
    </row>
    <row r="809" ht="15.75" customHeight="1">
      <c r="N809" s="3"/>
      <c r="O809" s="3"/>
    </row>
    <row r="810" ht="15.75" customHeight="1">
      <c r="N810" s="3"/>
      <c r="O810" s="3"/>
    </row>
    <row r="811" ht="15.75" customHeight="1">
      <c r="N811" s="3"/>
      <c r="O811" s="3"/>
    </row>
    <row r="812" ht="15.75" customHeight="1">
      <c r="N812" s="3"/>
      <c r="O812" s="3"/>
    </row>
    <row r="813" ht="15.75" customHeight="1">
      <c r="N813" s="3"/>
      <c r="O813" s="3"/>
    </row>
    <row r="814" ht="15.75" customHeight="1">
      <c r="N814" s="3"/>
      <c r="O814" s="3"/>
    </row>
    <row r="815" ht="15.75" customHeight="1">
      <c r="N815" s="3"/>
      <c r="O815" s="3"/>
    </row>
    <row r="816" ht="15.75" customHeight="1">
      <c r="N816" s="3"/>
      <c r="O816" s="3"/>
    </row>
    <row r="817" ht="15.75" customHeight="1">
      <c r="N817" s="3"/>
      <c r="O817" s="3"/>
    </row>
    <row r="818" ht="15.75" customHeight="1">
      <c r="N818" s="3"/>
      <c r="O818" s="3"/>
    </row>
    <row r="819" ht="15.75" customHeight="1">
      <c r="N819" s="3"/>
      <c r="O819" s="3"/>
    </row>
    <row r="820" ht="15.75" customHeight="1">
      <c r="N820" s="3"/>
      <c r="O820" s="3"/>
    </row>
    <row r="821" ht="15.75" customHeight="1">
      <c r="N821" s="3"/>
      <c r="O821" s="3"/>
    </row>
    <row r="822" ht="15.75" customHeight="1">
      <c r="N822" s="3"/>
      <c r="O822" s="3"/>
    </row>
    <row r="823" ht="15.75" customHeight="1">
      <c r="N823" s="3"/>
      <c r="O823" s="3"/>
    </row>
    <row r="824" ht="15.75" customHeight="1">
      <c r="N824" s="3"/>
      <c r="O824" s="3"/>
    </row>
    <row r="825" ht="15.75" customHeight="1">
      <c r="N825" s="3"/>
      <c r="O825" s="3"/>
    </row>
    <row r="826" ht="15.75" customHeight="1">
      <c r="N826" s="3"/>
      <c r="O826" s="3"/>
    </row>
    <row r="827" ht="15.75" customHeight="1">
      <c r="N827" s="3"/>
      <c r="O827" s="3"/>
    </row>
    <row r="828" ht="15.75" customHeight="1">
      <c r="N828" s="3"/>
      <c r="O828" s="3"/>
    </row>
    <row r="829" ht="15.75" customHeight="1">
      <c r="N829" s="3"/>
      <c r="O829" s="3"/>
    </row>
    <row r="830" ht="15.75" customHeight="1">
      <c r="N830" s="3"/>
      <c r="O830" s="3"/>
    </row>
    <row r="831" ht="15.75" customHeight="1">
      <c r="N831" s="3"/>
      <c r="O831" s="3"/>
    </row>
    <row r="832" ht="15.75" customHeight="1">
      <c r="N832" s="3"/>
      <c r="O832" s="3"/>
    </row>
    <row r="833" ht="15.75" customHeight="1">
      <c r="N833" s="3"/>
      <c r="O833" s="3"/>
    </row>
    <row r="834" ht="15.75" customHeight="1">
      <c r="N834" s="3"/>
      <c r="O834" s="3"/>
    </row>
    <row r="835" ht="15.75" customHeight="1">
      <c r="N835" s="3"/>
      <c r="O835" s="3"/>
    </row>
    <row r="836" ht="15.75" customHeight="1">
      <c r="N836" s="3"/>
      <c r="O836" s="3"/>
    </row>
    <row r="837" ht="15.75" customHeight="1">
      <c r="N837" s="3"/>
      <c r="O837" s="3"/>
    </row>
    <row r="838" ht="15.75" customHeight="1">
      <c r="N838" s="3"/>
      <c r="O838" s="3"/>
    </row>
    <row r="839" ht="15.75" customHeight="1">
      <c r="N839" s="3"/>
      <c r="O839" s="3"/>
    </row>
    <row r="840" ht="15.75" customHeight="1">
      <c r="N840" s="3"/>
      <c r="O840" s="3"/>
    </row>
    <row r="841" ht="15.75" customHeight="1">
      <c r="N841" s="3"/>
      <c r="O841" s="3"/>
    </row>
    <row r="842" ht="15.75" customHeight="1">
      <c r="N842" s="3"/>
      <c r="O842" s="3"/>
    </row>
    <row r="843" ht="15.75" customHeight="1">
      <c r="N843" s="3"/>
      <c r="O843" s="3"/>
    </row>
    <row r="844" ht="15.75" customHeight="1">
      <c r="N844" s="3"/>
      <c r="O844" s="3"/>
    </row>
    <row r="845" ht="15.75" customHeight="1">
      <c r="N845" s="3"/>
      <c r="O845" s="3"/>
    </row>
    <row r="846" ht="15.75" customHeight="1">
      <c r="N846" s="3"/>
      <c r="O846" s="3"/>
    </row>
    <row r="847" ht="15.75" customHeight="1">
      <c r="N847" s="3"/>
      <c r="O847" s="3"/>
    </row>
    <row r="848" ht="15.75" customHeight="1">
      <c r="N848" s="3"/>
      <c r="O848" s="3"/>
    </row>
    <row r="849" ht="15.75" customHeight="1">
      <c r="N849" s="3"/>
      <c r="O849" s="3"/>
    </row>
    <row r="850" ht="15.75" customHeight="1">
      <c r="N850" s="3"/>
      <c r="O850" s="3"/>
    </row>
    <row r="851" ht="15.75" customHeight="1">
      <c r="N851" s="3"/>
      <c r="O851" s="3"/>
    </row>
    <row r="852" ht="15.75" customHeight="1">
      <c r="N852" s="3"/>
      <c r="O852" s="3"/>
    </row>
    <row r="853" ht="15.75" customHeight="1">
      <c r="N853" s="3"/>
      <c r="O853" s="3"/>
    </row>
    <row r="854" ht="15.75" customHeight="1">
      <c r="N854" s="3"/>
      <c r="O854" s="3"/>
    </row>
    <row r="855" ht="15.75" customHeight="1">
      <c r="N855" s="3"/>
      <c r="O855" s="3"/>
    </row>
    <row r="856" ht="15.75" customHeight="1">
      <c r="N856" s="3"/>
      <c r="O856" s="3"/>
    </row>
    <row r="857" ht="15.75" customHeight="1">
      <c r="N857" s="3"/>
      <c r="O857" s="3"/>
    </row>
    <row r="858" ht="15.75" customHeight="1">
      <c r="N858" s="3"/>
      <c r="O858" s="3"/>
    </row>
    <row r="859" ht="15.75" customHeight="1">
      <c r="N859" s="3"/>
      <c r="O859" s="3"/>
    </row>
    <row r="860" ht="15.75" customHeight="1">
      <c r="N860" s="3"/>
      <c r="O860" s="3"/>
    </row>
    <row r="861" ht="15.75" customHeight="1">
      <c r="N861" s="3"/>
      <c r="O861" s="3"/>
    </row>
    <row r="862" ht="15.75" customHeight="1">
      <c r="N862" s="3"/>
      <c r="O862" s="3"/>
    </row>
    <row r="863" ht="15.75" customHeight="1">
      <c r="N863" s="3"/>
      <c r="O863" s="3"/>
    </row>
    <row r="864" ht="15.75" customHeight="1">
      <c r="N864" s="3"/>
      <c r="O864" s="3"/>
    </row>
    <row r="865" ht="15.75" customHeight="1">
      <c r="N865" s="3"/>
      <c r="O865" s="3"/>
    </row>
    <row r="866" ht="15.75" customHeight="1">
      <c r="N866" s="3"/>
      <c r="O866" s="3"/>
    </row>
    <row r="867" ht="15.75" customHeight="1">
      <c r="N867" s="3"/>
      <c r="O867" s="3"/>
    </row>
    <row r="868" ht="15.75" customHeight="1">
      <c r="N868" s="3"/>
      <c r="O868" s="3"/>
    </row>
    <row r="869" ht="15.75" customHeight="1">
      <c r="N869" s="3"/>
      <c r="O869" s="3"/>
    </row>
    <row r="870" ht="15.75" customHeight="1">
      <c r="N870" s="3"/>
      <c r="O870" s="3"/>
    </row>
    <row r="871" ht="15.75" customHeight="1">
      <c r="N871" s="3"/>
      <c r="O871" s="3"/>
    </row>
    <row r="872" ht="15.75" customHeight="1">
      <c r="N872" s="3"/>
      <c r="O872" s="3"/>
    </row>
    <row r="873" ht="15.75" customHeight="1">
      <c r="N873" s="3"/>
      <c r="O873" s="3"/>
    </row>
    <row r="874" ht="15.75" customHeight="1">
      <c r="N874" s="3"/>
      <c r="O874" s="3"/>
    </row>
    <row r="875" ht="15.75" customHeight="1">
      <c r="N875" s="3"/>
      <c r="O875" s="3"/>
    </row>
    <row r="876" ht="15.75" customHeight="1">
      <c r="N876" s="3"/>
      <c r="O876" s="3"/>
    </row>
    <row r="877" ht="15.75" customHeight="1">
      <c r="N877" s="3"/>
      <c r="O877" s="3"/>
    </row>
    <row r="878" ht="15.75" customHeight="1">
      <c r="N878" s="3"/>
      <c r="O878" s="3"/>
    </row>
    <row r="879" ht="15.75" customHeight="1">
      <c r="N879" s="3"/>
      <c r="O879" s="3"/>
    </row>
    <row r="880" ht="15.75" customHeight="1">
      <c r="N880" s="3"/>
      <c r="O880" s="3"/>
    </row>
    <row r="881" ht="15.75" customHeight="1">
      <c r="N881" s="3"/>
      <c r="O881" s="3"/>
    </row>
    <row r="882" ht="15.75" customHeight="1">
      <c r="N882" s="3"/>
      <c r="O882" s="3"/>
    </row>
    <row r="883" ht="15.75" customHeight="1">
      <c r="N883" s="3"/>
      <c r="O883" s="3"/>
    </row>
    <row r="884" ht="15.75" customHeight="1">
      <c r="N884" s="3"/>
      <c r="O884" s="3"/>
    </row>
    <row r="885" ht="15.75" customHeight="1">
      <c r="N885" s="3"/>
      <c r="O885" s="3"/>
    </row>
    <row r="886" ht="15.75" customHeight="1">
      <c r="N886" s="3"/>
      <c r="O886" s="3"/>
    </row>
    <row r="887" ht="15.75" customHeight="1">
      <c r="N887" s="3"/>
      <c r="O887" s="3"/>
    </row>
    <row r="888" ht="15.75" customHeight="1">
      <c r="N888" s="3"/>
      <c r="O888" s="3"/>
    </row>
    <row r="889" ht="15.75" customHeight="1">
      <c r="N889" s="3"/>
      <c r="O889" s="3"/>
    </row>
    <row r="890" ht="15.75" customHeight="1">
      <c r="N890" s="3"/>
      <c r="O890" s="3"/>
    </row>
    <row r="891" ht="15.75" customHeight="1">
      <c r="N891" s="3"/>
      <c r="O891" s="3"/>
    </row>
    <row r="892" ht="15.75" customHeight="1">
      <c r="N892" s="3"/>
      <c r="O892" s="3"/>
    </row>
    <row r="893" ht="15.75" customHeight="1">
      <c r="N893" s="3"/>
      <c r="O893" s="3"/>
    </row>
    <row r="894" ht="15.75" customHeight="1">
      <c r="N894" s="3"/>
      <c r="O894" s="3"/>
    </row>
    <row r="895" ht="15.75" customHeight="1">
      <c r="N895" s="3"/>
      <c r="O895" s="3"/>
    </row>
    <row r="896" ht="15.75" customHeight="1">
      <c r="N896" s="3"/>
      <c r="O896" s="3"/>
    </row>
    <row r="897" ht="15.75" customHeight="1">
      <c r="N897" s="3"/>
      <c r="O897" s="3"/>
    </row>
    <row r="898" ht="15.75" customHeight="1">
      <c r="N898" s="3"/>
      <c r="O898" s="3"/>
    </row>
    <row r="899" ht="15.75" customHeight="1">
      <c r="N899" s="3"/>
      <c r="O899" s="3"/>
    </row>
    <row r="900" ht="15.75" customHeight="1">
      <c r="N900" s="3"/>
      <c r="O900" s="3"/>
    </row>
    <row r="901" ht="15.75" customHeight="1">
      <c r="N901" s="3"/>
      <c r="O901" s="3"/>
    </row>
    <row r="902" ht="15.75" customHeight="1">
      <c r="N902" s="3"/>
      <c r="O902" s="3"/>
    </row>
    <row r="903" ht="15.75" customHeight="1">
      <c r="N903" s="3"/>
      <c r="O903" s="3"/>
    </row>
    <row r="904" ht="15.75" customHeight="1">
      <c r="N904" s="3"/>
      <c r="O904" s="3"/>
    </row>
    <row r="905" ht="15.75" customHeight="1">
      <c r="N905" s="3"/>
      <c r="O905" s="3"/>
    </row>
    <row r="906" ht="15.75" customHeight="1">
      <c r="N906" s="3"/>
      <c r="O906" s="3"/>
    </row>
    <row r="907" ht="15.75" customHeight="1">
      <c r="N907" s="3"/>
      <c r="O907" s="3"/>
    </row>
    <row r="908" ht="15.75" customHeight="1">
      <c r="N908" s="3"/>
      <c r="O908" s="3"/>
    </row>
    <row r="909" ht="15.75" customHeight="1">
      <c r="N909" s="3"/>
      <c r="O909" s="3"/>
    </row>
    <row r="910" ht="15.75" customHeight="1">
      <c r="N910" s="3"/>
      <c r="O910" s="3"/>
    </row>
    <row r="911" ht="15.75" customHeight="1">
      <c r="N911" s="3"/>
      <c r="O911" s="3"/>
    </row>
    <row r="912" ht="15.75" customHeight="1">
      <c r="N912" s="3"/>
      <c r="O912" s="3"/>
    </row>
    <row r="913" ht="15.75" customHeight="1">
      <c r="N913" s="3"/>
      <c r="O913" s="3"/>
    </row>
    <row r="914" ht="15.75" customHeight="1">
      <c r="N914" s="3"/>
      <c r="O914" s="3"/>
    </row>
    <row r="915" ht="15.75" customHeight="1">
      <c r="N915" s="3"/>
      <c r="O915" s="3"/>
    </row>
    <row r="916" ht="15.75" customHeight="1">
      <c r="N916" s="3"/>
      <c r="O916" s="3"/>
    </row>
    <row r="917" ht="15.75" customHeight="1">
      <c r="N917" s="3"/>
      <c r="O917" s="3"/>
    </row>
    <row r="918" ht="15.75" customHeight="1">
      <c r="N918" s="3"/>
      <c r="O918" s="3"/>
    </row>
    <row r="919" ht="15.75" customHeight="1">
      <c r="N919" s="3"/>
      <c r="O919" s="3"/>
    </row>
    <row r="920" ht="15.75" customHeight="1">
      <c r="N920" s="3"/>
      <c r="O920" s="3"/>
    </row>
    <row r="921" ht="15.75" customHeight="1">
      <c r="N921" s="3"/>
      <c r="O921" s="3"/>
    </row>
    <row r="922" ht="15.75" customHeight="1">
      <c r="N922" s="3"/>
      <c r="O922" s="3"/>
    </row>
    <row r="923" ht="15.75" customHeight="1">
      <c r="N923" s="3"/>
      <c r="O923" s="3"/>
    </row>
    <row r="924" ht="15.75" customHeight="1">
      <c r="N924" s="3"/>
      <c r="O924" s="3"/>
    </row>
    <row r="925" ht="15.75" customHeight="1">
      <c r="N925" s="3"/>
      <c r="O925" s="3"/>
    </row>
    <row r="926" ht="15.75" customHeight="1">
      <c r="N926" s="3"/>
      <c r="O926" s="3"/>
    </row>
    <row r="927" ht="15.75" customHeight="1">
      <c r="N927" s="3"/>
      <c r="O927" s="3"/>
    </row>
    <row r="928" ht="15.75" customHeight="1">
      <c r="N928" s="3"/>
      <c r="O928" s="3"/>
    </row>
    <row r="929" ht="15.75" customHeight="1">
      <c r="N929" s="3"/>
      <c r="O929" s="3"/>
    </row>
    <row r="930" ht="15.75" customHeight="1">
      <c r="N930" s="3"/>
      <c r="O930" s="3"/>
    </row>
    <row r="931" ht="15.75" customHeight="1">
      <c r="N931" s="3"/>
      <c r="O931" s="3"/>
    </row>
    <row r="932" ht="15.75" customHeight="1">
      <c r="N932" s="3"/>
      <c r="O932" s="3"/>
    </row>
    <row r="933" ht="15.75" customHeight="1">
      <c r="N933" s="3"/>
      <c r="O933" s="3"/>
    </row>
    <row r="934" ht="15.75" customHeight="1">
      <c r="N934" s="3"/>
      <c r="O934" s="3"/>
    </row>
    <row r="935" ht="15.75" customHeight="1">
      <c r="N935" s="3"/>
      <c r="O935" s="3"/>
    </row>
    <row r="936" ht="15.75" customHeight="1">
      <c r="N936" s="3"/>
      <c r="O936" s="3"/>
    </row>
    <row r="937" ht="15.75" customHeight="1">
      <c r="N937" s="3"/>
      <c r="O937" s="3"/>
    </row>
    <row r="938" ht="15.75" customHeight="1">
      <c r="N938" s="3"/>
      <c r="O938" s="3"/>
    </row>
    <row r="939" ht="15.75" customHeight="1">
      <c r="N939" s="3"/>
      <c r="O939" s="3"/>
    </row>
    <row r="940" ht="15.75" customHeight="1">
      <c r="N940" s="3"/>
      <c r="O940" s="3"/>
    </row>
    <row r="941" ht="15.75" customHeight="1">
      <c r="N941" s="3"/>
      <c r="O941" s="3"/>
    </row>
    <row r="942" ht="15.75" customHeight="1">
      <c r="N942" s="3"/>
      <c r="O942" s="3"/>
    </row>
    <row r="943" ht="15.75" customHeight="1">
      <c r="N943" s="3"/>
      <c r="O943" s="3"/>
    </row>
    <row r="944" ht="15.75" customHeight="1">
      <c r="N944" s="3"/>
      <c r="O944" s="3"/>
    </row>
    <row r="945" ht="15.75" customHeight="1">
      <c r="N945" s="3"/>
      <c r="O945" s="3"/>
    </row>
    <row r="946" ht="15.75" customHeight="1">
      <c r="N946" s="3"/>
      <c r="O946" s="3"/>
    </row>
    <row r="947" ht="15.75" customHeight="1">
      <c r="N947" s="3"/>
      <c r="O947" s="3"/>
    </row>
    <row r="948" ht="15.75" customHeight="1">
      <c r="N948" s="3"/>
      <c r="O948" s="3"/>
    </row>
    <row r="949" ht="15.75" customHeight="1">
      <c r="N949" s="3"/>
      <c r="O949" s="3"/>
    </row>
    <row r="950" ht="15.75" customHeight="1">
      <c r="N950" s="3"/>
      <c r="O950" s="3"/>
    </row>
    <row r="951" ht="15.75" customHeight="1">
      <c r="N951" s="3"/>
      <c r="O951" s="3"/>
    </row>
    <row r="952" ht="15.75" customHeight="1">
      <c r="N952" s="3"/>
      <c r="O952" s="3"/>
    </row>
    <row r="953" ht="15.75" customHeight="1">
      <c r="N953" s="3"/>
      <c r="O953" s="3"/>
    </row>
    <row r="954" ht="15.75" customHeight="1">
      <c r="N954" s="3"/>
      <c r="O954" s="3"/>
    </row>
    <row r="955" ht="15.75" customHeight="1">
      <c r="N955" s="3"/>
      <c r="O955" s="3"/>
    </row>
    <row r="956" ht="15.75" customHeight="1">
      <c r="N956" s="3"/>
      <c r="O956" s="3"/>
    </row>
    <row r="957" ht="15.75" customHeight="1">
      <c r="N957" s="3"/>
      <c r="O957" s="3"/>
    </row>
    <row r="958" ht="15.75" customHeight="1">
      <c r="N958" s="3"/>
      <c r="O958" s="3"/>
    </row>
    <row r="959" ht="15.75" customHeight="1">
      <c r="N959" s="3"/>
      <c r="O959" s="3"/>
    </row>
    <row r="960" ht="15.75" customHeight="1">
      <c r="N960" s="3"/>
      <c r="O960" s="3"/>
    </row>
    <row r="961" ht="15.75" customHeight="1">
      <c r="N961" s="3"/>
      <c r="O961" s="3"/>
    </row>
    <row r="962" ht="15.75" customHeight="1">
      <c r="N962" s="3"/>
      <c r="O962" s="3"/>
    </row>
    <row r="963" ht="15.75" customHeight="1">
      <c r="N963" s="3"/>
      <c r="O963" s="3"/>
    </row>
    <row r="964" ht="15.75" customHeight="1">
      <c r="N964" s="3"/>
      <c r="O964" s="3"/>
    </row>
    <row r="965" ht="15.75" customHeight="1">
      <c r="N965" s="3"/>
      <c r="O965" s="3"/>
    </row>
    <row r="966" ht="15.75" customHeight="1">
      <c r="N966" s="3"/>
      <c r="O966" s="3"/>
    </row>
    <row r="967" ht="15.75" customHeight="1">
      <c r="N967" s="3"/>
      <c r="O967" s="3"/>
    </row>
    <row r="968" ht="15.75" customHeight="1">
      <c r="N968" s="3"/>
      <c r="O968" s="3"/>
    </row>
    <row r="969" ht="15.75" customHeight="1">
      <c r="N969" s="3"/>
      <c r="O969" s="3"/>
    </row>
    <row r="970" ht="15.75" customHeight="1">
      <c r="N970" s="3"/>
      <c r="O970" s="3"/>
    </row>
    <row r="971" ht="15.75" customHeight="1">
      <c r="N971" s="3"/>
      <c r="O971" s="3"/>
    </row>
    <row r="972" ht="15.75" customHeight="1">
      <c r="N972" s="3"/>
      <c r="O972" s="3"/>
    </row>
    <row r="973" ht="15.75" customHeight="1">
      <c r="N973" s="3"/>
      <c r="O973" s="3"/>
    </row>
    <row r="974" ht="15.75" customHeight="1">
      <c r="N974" s="3"/>
      <c r="O974" s="3"/>
    </row>
    <row r="975" ht="15.75" customHeight="1">
      <c r="N975" s="3"/>
      <c r="O975" s="3"/>
    </row>
    <row r="976" ht="15.75" customHeight="1">
      <c r="N976" s="3"/>
      <c r="O976" s="3"/>
    </row>
    <row r="977" ht="15.75" customHeight="1">
      <c r="N977" s="3"/>
      <c r="O977" s="3"/>
    </row>
    <row r="978" ht="15.75" customHeight="1">
      <c r="N978" s="3"/>
      <c r="O978" s="3"/>
    </row>
    <row r="979" ht="15.75" customHeight="1">
      <c r="N979" s="3"/>
      <c r="O979" s="3"/>
    </row>
    <row r="980" ht="15.75" customHeight="1">
      <c r="N980" s="3"/>
      <c r="O980" s="3"/>
    </row>
    <row r="981" ht="15.75" customHeight="1">
      <c r="N981" s="3"/>
      <c r="O981" s="3"/>
    </row>
    <row r="982" ht="15.75" customHeight="1">
      <c r="N982" s="3"/>
      <c r="O982" s="3"/>
    </row>
    <row r="983" ht="15.75" customHeight="1">
      <c r="N983" s="3"/>
      <c r="O983" s="3"/>
    </row>
    <row r="984" ht="15.75" customHeight="1">
      <c r="N984" s="3"/>
      <c r="O984" s="3"/>
    </row>
    <row r="985" ht="15.75" customHeight="1">
      <c r="N985" s="3"/>
      <c r="O985" s="3"/>
    </row>
    <row r="986" ht="15.75" customHeight="1">
      <c r="N986" s="3"/>
      <c r="O986" s="3"/>
    </row>
    <row r="987" ht="15.75" customHeight="1">
      <c r="N987" s="3"/>
      <c r="O987" s="3"/>
    </row>
    <row r="988" ht="15.75" customHeight="1">
      <c r="N988" s="3"/>
      <c r="O988" s="3"/>
    </row>
    <row r="989" ht="15.75" customHeight="1">
      <c r="N989" s="3"/>
      <c r="O989" s="3"/>
    </row>
    <row r="990" ht="15.75" customHeight="1">
      <c r="N990" s="3"/>
      <c r="O990" s="3"/>
    </row>
    <row r="991" ht="15.75" customHeight="1">
      <c r="N991" s="3"/>
      <c r="O991" s="3"/>
    </row>
    <row r="992" ht="15.75" customHeight="1">
      <c r="N992" s="3"/>
      <c r="O992" s="3"/>
    </row>
    <row r="993" ht="15.75" customHeight="1">
      <c r="N993" s="3"/>
      <c r="O993" s="3"/>
    </row>
    <row r="994" ht="15.75" customHeight="1">
      <c r="N994" s="3"/>
      <c r="O994" s="3"/>
    </row>
    <row r="995" ht="15.75" customHeight="1">
      <c r="N995" s="3"/>
      <c r="O995" s="3"/>
    </row>
    <row r="996" ht="15.75" customHeight="1">
      <c r="N996" s="3"/>
      <c r="O996" s="3"/>
    </row>
    <row r="997" ht="15.75" customHeight="1">
      <c r="N997" s="3"/>
      <c r="O997" s="3"/>
    </row>
    <row r="998" ht="15.75" customHeight="1">
      <c r="N998" s="3"/>
      <c r="O998" s="3"/>
    </row>
    <row r="999" ht="15.75" customHeight="1">
      <c r="N999" s="3"/>
      <c r="O999" s="3"/>
    </row>
    <row r="1000" ht="15.75" customHeight="1">
      <c r="N1000" s="3"/>
      <c r="O1000" s="3"/>
    </row>
  </sheetData>
  <mergeCells count="2">
    <mergeCell ref="N3:O3"/>
    <mergeCell ref="N29:O29"/>
  </mergeCells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D1" s="1"/>
      <c r="F1" s="2"/>
      <c r="G1" s="3"/>
      <c r="H1" s="4"/>
      <c r="I1" s="5"/>
      <c r="K1" s="6"/>
      <c r="L1" s="5"/>
      <c r="AB1" s="7"/>
      <c r="AC1" s="7"/>
      <c r="AD1" s="7"/>
      <c r="AE1" s="7">
        <f>225*31.1035</f>
        <v>6998.2875</v>
      </c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</row>
    <row r="2" ht="15.0" customHeight="1">
      <c r="D2" s="1"/>
      <c r="G2" s="13"/>
      <c r="H2" s="13"/>
      <c r="I2" s="14">
        <f>SUBTOTAL(9,I4:I9463)</f>
        <v>692.66</v>
      </c>
      <c r="J2" s="4"/>
      <c r="K2" s="14">
        <f>SUBTOTAL(9,K4:K9463)</f>
        <v>646.028369</v>
      </c>
      <c r="L2" s="15">
        <f>SUMPRODUCT(L5:L294,K5:K294)/K2</f>
        <v>0.3656841175</v>
      </c>
      <c r="M2" s="2"/>
      <c r="P2" s="2"/>
      <c r="Q2" s="16">
        <f>+SUMPRODUCT(Q5:Q182,AH5:AH182)/SUM(AH5:AH182)</f>
        <v>89.54200942</v>
      </c>
      <c r="R2" s="12">
        <f>+SUMPRODUCT(R5:R182,AH5:AH182)/SUM(AH5:AH182)</f>
        <v>2626.413111</v>
      </c>
      <c r="S2" s="2"/>
      <c r="AB2" s="7"/>
      <c r="AC2" s="7"/>
      <c r="AD2" s="7"/>
      <c r="AE2" s="7"/>
      <c r="AF2" s="7"/>
      <c r="AG2" s="17">
        <f>SUMPRODUCT($AG5:$AG182,$K5:$K182)/SUM($K5:$K182)</f>
        <v>52.86163005</v>
      </c>
      <c r="AH2" s="18"/>
      <c r="AI2" s="19">
        <v>2758.0</v>
      </c>
      <c r="AJ2" s="20"/>
      <c r="AK2" s="11"/>
      <c r="AL2" s="21"/>
    </row>
    <row r="3" ht="15.0" customHeight="1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3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SUBTOTAL(9,AH5:AH9464)</f>
        <v>7252.52423</v>
      </c>
      <c r="AI3" s="40">
        <f>SUMPRODUCT(K5:K182,AI5:AI182)/K2</f>
        <v>84.00269406</v>
      </c>
      <c r="AJ3" s="39">
        <f>SUBTOTAL(9,AJ5:AJ9464)</f>
        <v>7203.041939</v>
      </c>
      <c r="AK3" s="11"/>
      <c r="AL3" s="39">
        <f>SUBTOTAL(9,AL5:AL9464)</f>
        <v>470996.5475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  <c r="AM4" s="67"/>
    </row>
    <row r="5" ht="15.75" customHeight="1">
      <c r="A5" s="92" t="s">
        <v>4098</v>
      </c>
      <c r="B5" s="56">
        <v>45625.0</v>
      </c>
      <c r="C5" s="56">
        <v>45622.0</v>
      </c>
      <c r="D5" s="57" t="s">
        <v>53</v>
      </c>
      <c r="E5" s="57">
        <v>1.0457401928E10</v>
      </c>
      <c r="F5" s="2" t="s">
        <v>4099</v>
      </c>
      <c r="G5" s="3" t="s">
        <v>4100</v>
      </c>
      <c r="H5" s="2" t="s">
        <v>47</v>
      </c>
      <c r="I5" s="58">
        <v>17.94</v>
      </c>
      <c r="J5" s="58">
        <v>7.3</v>
      </c>
      <c r="K5" s="59">
        <f t="shared" ref="K5:K7" si="1">+I5-(I5*(J5/100))</f>
        <v>16.63038</v>
      </c>
      <c r="L5" s="60">
        <v>0.26</v>
      </c>
      <c r="M5" s="60">
        <v>0.249</v>
      </c>
      <c r="N5" s="75">
        <v>0.288</v>
      </c>
      <c r="O5" s="60">
        <f t="shared" ref="O5:O24" si="2">+ROUND((M5+N5)/2,3)</f>
        <v>0.269</v>
      </c>
      <c r="P5" s="63">
        <v>90.0</v>
      </c>
      <c r="Q5" s="64">
        <v>89.29</v>
      </c>
      <c r="R5" s="65">
        <v>2622.1</v>
      </c>
      <c r="S5" s="66">
        <v>120.0</v>
      </c>
      <c r="U5" s="67">
        <v>100.0</v>
      </c>
      <c r="V5" s="67">
        <v>1.1023</v>
      </c>
      <c r="Y5" s="67"/>
      <c r="Z5" s="69">
        <f t="shared" ref="Z5:Z10" si="3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24" si="4">+Y5+Z5</f>
        <v>30</v>
      </c>
      <c r="AB5" s="71">
        <f t="shared" ref="AB5:AB6" si="5">+((O5*P5*(R5-U5)/100)-S5-AA5+T5)*V5</f>
        <v>507.7198319</v>
      </c>
      <c r="AC5" s="71">
        <f>+(S5-T5)*V5-'data 1'!$F$4</f>
        <v>52.276</v>
      </c>
      <c r="AD5" s="71">
        <f t="shared" ref="AD5:AD24" si="6">+(Q5-P5)*(R5-U5)*L5*V5/100</f>
        <v>-5.132084592</v>
      </c>
      <c r="AE5" s="71">
        <f t="shared" ref="AE5:AE24" si="7">+(Y5*V5-70)+V5*(Z5-IF(D5="UNTUCA",IF(+((W5-3)*2.5+(X5-3)*3.1)&gt;0,+((W5-3)*1.5+(X5-3)*3.1),0),IF(+((W5-3)*1.5+(X5-3)*3.1)&gt;0,+((W5-3)*1.5+(X5-3)*3.1),0)))</f>
        <v>-36.931</v>
      </c>
      <c r="AF5" s="71">
        <f t="shared" ref="AF5:AF24" si="8">(L5-O5)*(R5-U5)*Q5*V5/100</f>
        <v>-22.34124864</v>
      </c>
      <c r="AG5" s="72">
        <f t="shared" ref="AG5:AG9" si="9">+IF(D5="RONALD WILLIAN GARIBAY ESCUDERO",AC5+AD5+AE5+AF5+70,AC5+AD5+AE5+AF5)</f>
        <v>-12.12833323</v>
      </c>
      <c r="AH5" s="52">
        <f t="shared" ref="AH5:AH24" si="10">31.1035*L5*Q5*1.1023*K5/100</f>
        <v>132.3693429</v>
      </c>
      <c r="AI5" s="73">
        <f t="shared" ref="AI5:AI24" si="11">+((+$AI$2-R5+U5)*L5*Q5*V5)/100</f>
        <v>60.36760126</v>
      </c>
      <c r="AJ5" s="73">
        <f t="shared" ref="AJ5:AJ24" si="12">31.1035*1.1023*K5*P5*O5/100</f>
        <v>138.0403436</v>
      </c>
      <c r="AK5" s="11"/>
      <c r="AL5" s="51">
        <f t="shared" ref="AL5:AL6" si="13">+IF(AB5*K5&gt;0,AB5*K5,0)</f>
        <v>8443.573739</v>
      </c>
      <c r="AM5" s="58">
        <f t="shared" ref="AM5:AM44" si="14">+AH5/(Q5/100)</f>
        <v>148.2465482</v>
      </c>
    </row>
    <row r="6" ht="15.75" customHeight="1">
      <c r="A6" s="92" t="s">
        <v>4101</v>
      </c>
      <c r="B6" s="56">
        <v>45625.0</v>
      </c>
      <c r="C6" s="56">
        <v>45622.0</v>
      </c>
      <c r="D6" s="57" t="s">
        <v>53</v>
      </c>
      <c r="E6" s="57">
        <v>1.0457401928E10</v>
      </c>
      <c r="F6" s="2" t="s">
        <v>4099</v>
      </c>
      <c r="G6" s="3" t="s">
        <v>4100</v>
      </c>
      <c r="H6" s="2" t="s">
        <v>47</v>
      </c>
      <c r="I6" s="58">
        <v>13.83</v>
      </c>
      <c r="J6" s="58">
        <v>7.1</v>
      </c>
      <c r="K6" s="59">
        <f t="shared" si="1"/>
        <v>12.84807</v>
      </c>
      <c r="L6" s="60">
        <v>0.268</v>
      </c>
      <c r="M6" s="60">
        <v>0.268</v>
      </c>
      <c r="N6" s="62">
        <v>0.268</v>
      </c>
      <c r="O6" s="60">
        <f t="shared" si="2"/>
        <v>0.268</v>
      </c>
      <c r="P6" s="63">
        <v>90.0</v>
      </c>
      <c r="Q6" s="64">
        <v>89.71</v>
      </c>
      <c r="R6" s="65">
        <v>2622.1</v>
      </c>
      <c r="S6" s="66">
        <v>120.0</v>
      </c>
      <c r="U6" s="67">
        <v>100.0</v>
      </c>
      <c r="V6" s="67">
        <v>1.1023</v>
      </c>
      <c r="Y6" s="67"/>
      <c r="Z6" s="69">
        <f t="shared" si="3"/>
        <v>30</v>
      </c>
      <c r="AA6" s="70">
        <f t="shared" si="4"/>
        <v>30</v>
      </c>
      <c r="AB6" s="71">
        <f t="shared" si="5"/>
        <v>505.2177322</v>
      </c>
      <c r="AC6" s="71">
        <f>+(S6-T6)*V6-'data 1'!$F$4</f>
        <v>52.276</v>
      </c>
      <c r="AD6" s="71">
        <f t="shared" si="6"/>
        <v>-2.160702137</v>
      </c>
      <c r="AE6" s="71">
        <f t="shared" si="7"/>
        <v>-36.931</v>
      </c>
      <c r="AF6" s="71">
        <f t="shared" si="8"/>
        <v>0</v>
      </c>
      <c r="AG6" s="72">
        <f t="shared" si="9"/>
        <v>13.18429786</v>
      </c>
      <c r="AH6" s="52">
        <f t="shared" si="10"/>
        <v>105.9064996</v>
      </c>
      <c r="AI6" s="73">
        <f t="shared" si="11"/>
        <v>62.51775857</v>
      </c>
      <c r="AJ6" s="73">
        <f t="shared" si="12"/>
        <v>106.248857</v>
      </c>
      <c r="AK6" s="11"/>
      <c r="AL6" s="51">
        <f t="shared" si="13"/>
        <v>6491.072788</v>
      </c>
      <c r="AM6" s="58">
        <f t="shared" si="14"/>
        <v>118.0542856</v>
      </c>
    </row>
    <row r="7" ht="15.75" customHeight="1">
      <c r="A7" s="92" t="s">
        <v>4102</v>
      </c>
      <c r="B7" s="55"/>
      <c r="C7" s="56">
        <v>45624.0</v>
      </c>
      <c r="D7" s="57" t="s">
        <v>602</v>
      </c>
      <c r="E7" s="2">
        <v>2.0169040237E10</v>
      </c>
      <c r="F7" s="2" t="s">
        <v>4103</v>
      </c>
      <c r="G7" s="3"/>
      <c r="H7" s="57" t="s">
        <v>47</v>
      </c>
      <c r="I7" s="58">
        <v>2.33</v>
      </c>
      <c r="J7" s="58">
        <v>1.02</v>
      </c>
      <c r="K7" s="59">
        <f t="shared" si="1"/>
        <v>2.306234</v>
      </c>
      <c r="L7" s="60">
        <v>0.073</v>
      </c>
      <c r="M7" s="61">
        <v>0.063</v>
      </c>
      <c r="N7" s="62">
        <v>0.063</v>
      </c>
      <c r="O7" s="60">
        <f t="shared" si="2"/>
        <v>0.063</v>
      </c>
      <c r="P7" s="63">
        <v>90.0</v>
      </c>
      <c r="Q7" s="64">
        <v>85.24</v>
      </c>
      <c r="R7" s="65">
        <v>2641.85</v>
      </c>
      <c r="S7" s="66">
        <f t="shared" ref="S7:S10" si="15">IF((90+ROUNDDOWN(O7,1)*100)&lt;95,95,(90+ROUNDDOWN(O7,1)*100))</f>
        <v>95</v>
      </c>
      <c r="U7" s="67">
        <v>100.0</v>
      </c>
      <c r="V7" s="67">
        <v>1.1023</v>
      </c>
      <c r="Y7" s="68">
        <v>20.0</v>
      </c>
      <c r="Z7" s="69">
        <f t="shared" si="3"/>
        <v>30</v>
      </c>
      <c r="AA7" s="70">
        <f t="shared" si="4"/>
        <v>50</v>
      </c>
      <c r="AB7" s="71">
        <v>0.0</v>
      </c>
      <c r="AC7" s="71">
        <f>+(S7-T7)*V7-'data 1'!$F$4</f>
        <v>24.7185</v>
      </c>
      <c r="AD7" s="71">
        <f t="shared" si="6"/>
        <v>-9.735976985</v>
      </c>
      <c r="AE7" s="71">
        <f t="shared" si="7"/>
        <v>-14.885</v>
      </c>
      <c r="AF7" s="71">
        <f t="shared" si="8"/>
        <v>23.88323582</v>
      </c>
      <c r="AG7" s="72">
        <f t="shared" si="9"/>
        <v>23.98075883</v>
      </c>
      <c r="AH7" s="52">
        <f t="shared" si="10"/>
        <v>4.920154505</v>
      </c>
      <c r="AI7" s="73">
        <f t="shared" si="11"/>
        <v>14.82590963</v>
      </c>
      <c r="AJ7" s="73">
        <f t="shared" si="12"/>
        <v>4.483276236</v>
      </c>
      <c r="AK7" s="11"/>
      <c r="AL7" s="51">
        <v>0.0</v>
      </c>
      <c r="AM7" s="58">
        <f t="shared" si="14"/>
        <v>5.772119317</v>
      </c>
    </row>
    <row r="8" ht="15.75" customHeight="1">
      <c r="A8" s="92" t="s">
        <v>4104</v>
      </c>
      <c r="B8" s="56">
        <v>45644.0</v>
      </c>
      <c r="C8" s="56">
        <v>45626.0</v>
      </c>
      <c r="D8" s="57" t="s">
        <v>38</v>
      </c>
      <c r="E8" s="57">
        <v>2.0606534923E10</v>
      </c>
      <c r="F8" s="57" t="s">
        <v>4105</v>
      </c>
      <c r="G8" s="3">
        <v>11.0</v>
      </c>
      <c r="H8" s="57" t="s">
        <v>47</v>
      </c>
      <c r="I8" s="57">
        <v>0.85</v>
      </c>
      <c r="J8" s="58">
        <v>1.2</v>
      </c>
      <c r="K8" s="57">
        <v>0.84</v>
      </c>
      <c r="L8" s="60">
        <v>0.289</v>
      </c>
      <c r="M8" s="60">
        <v>0.277</v>
      </c>
      <c r="N8" s="62">
        <v>0.277</v>
      </c>
      <c r="O8" s="60">
        <f t="shared" si="2"/>
        <v>0.277</v>
      </c>
      <c r="P8" s="63">
        <v>90.0</v>
      </c>
      <c r="Q8" s="64">
        <v>89.45</v>
      </c>
      <c r="R8" s="65">
        <v>2651.05</v>
      </c>
      <c r="S8" s="66">
        <f t="shared" si="15"/>
        <v>110</v>
      </c>
      <c r="U8" s="67">
        <v>130.0</v>
      </c>
      <c r="V8" s="67">
        <v>1.1023</v>
      </c>
      <c r="Z8" s="69">
        <f t="shared" si="3"/>
        <v>30</v>
      </c>
      <c r="AA8" s="70">
        <f t="shared" si="4"/>
        <v>30</v>
      </c>
      <c r="AB8" s="71">
        <f t="shared" ref="AB8:AB24" si="16">+((O8*P8*(R8-U8)/100)-S8-AA8+T8)*V8</f>
        <v>538.4710864</v>
      </c>
      <c r="AC8" s="71">
        <f>+(S8-T8)*V8-'data 1'!$F$4</f>
        <v>41.253</v>
      </c>
      <c r="AD8" s="71">
        <f t="shared" si="6"/>
        <v>-4.417146453</v>
      </c>
      <c r="AE8" s="71">
        <f t="shared" si="7"/>
        <v>-36.931</v>
      </c>
      <c r="AF8" s="71">
        <f t="shared" si="8"/>
        <v>29.82928596</v>
      </c>
      <c r="AG8" s="72">
        <f t="shared" si="9"/>
        <v>29.7341395</v>
      </c>
      <c r="AH8" s="52">
        <f t="shared" si="10"/>
        <v>7.445031558</v>
      </c>
      <c r="AI8" s="73">
        <f t="shared" si="11"/>
        <v>67.52035362</v>
      </c>
      <c r="AJ8" s="73">
        <f t="shared" si="12"/>
        <v>7.179771682</v>
      </c>
      <c r="AK8" s="11"/>
      <c r="AL8" s="51">
        <f t="shared" ref="AL8:AL24" si="17">+IF(AB8*K8&gt;0,AB8*K8,0)</f>
        <v>452.3157125</v>
      </c>
      <c r="AM8" s="58">
        <f t="shared" si="14"/>
        <v>8.323120803</v>
      </c>
    </row>
    <row r="9" ht="15.75" customHeight="1">
      <c r="A9" s="839" t="s">
        <v>4106</v>
      </c>
      <c r="B9" s="56">
        <v>45644.0</v>
      </c>
      <c r="C9" s="56">
        <v>45626.0</v>
      </c>
      <c r="D9" s="57" t="s">
        <v>38</v>
      </c>
      <c r="E9" s="57">
        <v>2.0606534923E10</v>
      </c>
      <c r="F9" s="57" t="s">
        <v>4105</v>
      </c>
      <c r="G9" s="3">
        <v>25.0</v>
      </c>
      <c r="H9" s="57" t="s">
        <v>71</v>
      </c>
      <c r="I9" s="57">
        <v>2.26</v>
      </c>
      <c r="J9" s="58">
        <v>15.53</v>
      </c>
      <c r="K9" s="57">
        <v>1.909</v>
      </c>
      <c r="L9" s="60">
        <v>0.354</v>
      </c>
      <c r="M9" s="60">
        <v>0.339</v>
      </c>
      <c r="N9" s="62">
        <v>0.339</v>
      </c>
      <c r="O9" s="60">
        <f t="shared" si="2"/>
        <v>0.339</v>
      </c>
      <c r="P9" s="63">
        <v>90.0</v>
      </c>
      <c r="Q9" s="64">
        <v>89.0</v>
      </c>
      <c r="R9" s="65">
        <v>2651.05</v>
      </c>
      <c r="S9" s="66">
        <f t="shared" si="15"/>
        <v>120</v>
      </c>
      <c r="U9" s="67">
        <v>130.0</v>
      </c>
      <c r="V9" s="67">
        <v>1.1023</v>
      </c>
      <c r="Z9" s="69">
        <f t="shared" si="3"/>
        <v>30</v>
      </c>
      <c r="AA9" s="70">
        <f t="shared" si="4"/>
        <v>30</v>
      </c>
      <c r="AB9" s="71">
        <f t="shared" si="16"/>
        <v>682.5136869</v>
      </c>
      <c r="AC9" s="71">
        <f>+(S9-T9)*V9-'data 1'!$F$4</f>
        <v>52.276</v>
      </c>
      <c r="AD9" s="71">
        <f t="shared" si="6"/>
        <v>-9.837495089</v>
      </c>
      <c r="AE9" s="71">
        <f t="shared" si="7"/>
        <v>-36.931</v>
      </c>
      <c r="AF9" s="71">
        <f t="shared" si="8"/>
        <v>37.09902809</v>
      </c>
      <c r="AG9" s="72">
        <f t="shared" si="9"/>
        <v>42.606533</v>
      </c>
      <c r="AH9" s="52">
        <f t="shared" si="10"/>
        <v>20.62093087</v>
      </c>
      <c r="AI9" s="73">
        <f t="shared" si="11"/>
        <v>82.29051667</v>
      </c>
      <c r="AJ9" s="73">
        <f t="shared" si="12"/>
        <v>19.96904085</v>
      </c>
      <c r="AK9" s="11"/>
      <c r="AL9" s="51">
        <f t="shared" si="17"/>
        <v>1302.918628</v>
      </c>
      <c r="AM9" s="58">
        <f t="shared" si="14"/>
        <v>23.16958525</v>
      </c>
    </row>
    <row r="10" ht="15.75" customHeight="1">
      <c r="A10" s="92" t="s">
        <v>4107</v>
      </c>
      <c r="B10" s="56">
        <v>45641.0</v>
      </c>
      <c r="C10" s="56">
        <v>45639.0</v>
      </c>
      <c r="D10" s="57" t="s">
        <v>104</v>
      </c>
      <c r="E10" s="57">
        <v>1.0479968131E10</v>
      </c>
      <c r="G10" s="3">
        <v>220.0</v>
      </c>
      <c r="H10" s="57" t="s">
        <v>47</v>
      </c>
      <c r="I10" s="58">
        <v>16.53</v>
      </c>
      <c r="J10" s="58">
        <v>1.3</v>
      </c>
      <c r="K10" s="59">
        <f t="shared" ref="K10:K24" si="18">+I10-(I10*(J10/100))</f>
        <v>16.31511</v>
      </c>
      <c r="L10" s="60">
        <v>0.376</v>
      </c>
      <c r="M10" s="60">
        <v>0.36</v>
      </c>
      <c r="N10" s="62">
        <v>0.36</v>
      </c>
      <c r="O10" s="60">
        <f t="shared" si="2"/>
        <v>0.36</v>
      </c>
      <c r="P10" s="63">
        <v>90.0</v>
      </c>
      <c r="Q10" s="64">
        <v>89.8</v>
      </c>
      <c r="R10" s="840">
        <v>2659.05</v>
      </c>
      <c r="S10" s="66">
        <f t="shared" si="15"/>
        <v>120</v>
      </c>
      <c r="U10" s="67">
        <v>100.0</v>
      </c>
      <c r="V10" s="67">
        <v>1.1023</v>
      </c>
      <c r="Y10" s="57">
        <v>10.0</v>
      </c>
      <c r="Z10" s="69">
        <f t="shared" si="3"/>
        <v>30</v>
      </c>
      <c r="AA10" s="70">
        <f t="shared" si="4"/>
        <v>40</v>
      </c>
      <c r="AB10" s="71">
        <f t="shared" si="16"/>
        <v>737.5844241</v>
      </c>
      <c r="AC10" s="71">
        <f>+(S10-T10)*V10-'data 1'!$F$4</f>
        <v>52.276</v>
      </c>
      <c r="AD10" s="71">
        <f t="shared" si="6"/>
        <v>-2.121272293</v>
      </c>
      <c r="AE10" s="71">
        <f t="shared" si="7"/>
        <v>-25.908</v>
      </c>
      <c r="AF10" s="71">
        <f t="shared" si="8"/>
        <v>40.52984083</v>
      </c>
      <c r="AG10" s="72">
        <f>+IF(D10="RONALD WILLIAN GARIBAY ESCUDERO",AC10+AD10+AE10+AF10+70,AC10+AD10+AE10+AF10)+70-53</f>
        <v>81.77656854</v>
      </c>
      <c r="AH10" s="52">
        <f t="shared" si="10"/>
        <v>188.8701204</v>
      </c>
      <c r="AI10" s="73">
        <f t="shared" si="11"/>
        <v>74.04707922</v>
      </c>
      <c r="AJ10" s="73">
        <f t="shared" si="12"/>
        <v>181.2358403</v>
      </c>
      <c r="AK10" s="11"/>
      <c r="AL10" s="51">
        <f t="shared" si="17"/>
        <v>12033.77101</v>
      </c>
      <c r="AM10" s="58">
        <f t="shared" si="14"/>
        <v>210.3230739</v>
      </c>
    </row>
    <row r="11" ht="15.75" customHeight="1">
      <c r="A11" s="92" t="s">
        <v>4108</v>
      </c>
      <c r="B11" s="56">
        <v>45643.0</v>
      </c>
      <c r="C11" s="56">
        <v>45640.0</v>
      </c>
      <c r="D11" s="57" t="s">
        <v>74</v>
      </c>
      <c r="E11" s="57">
        <v>1.0082235774E10</v>
      </c>
      <c r="G11" s="3">
        <v>45.0</v>
      </c>
      <c r="H11" s="57" t="s">
        <v>47</v>
      </c>
      <c r="I11" s="58">
        <v>4.35</v>
      </c>
      <c r="J11" s="58">
        <v>1.6</v>
      </c>
      <c r="K11" s="59">
        <f t="shared" si="18"/>
        <v>4.2804</v>
      </c>
      <c r="L11" s="60">
        <v>0.511</v>
      </c>
      <c r="M11" s="60">
        <v>0.503</v>
      </c>
      <c r="N11" s="62">
        <v>0.503</v>
      </c>
      <c r="O11" s="60">
        <f t="shared" si="2"/>
        <v>0.503</v>
      </c>
      <c r="P11" s="63">
        <v>90.0</v>
      </c>
      <c r="Q11" s="64">
        <v>89.56</v>
      </c>
      <c r="R11" s="840">
        <v>2659.05</v>
      </c>
      <c r="S11" s="66">
        <v>120.0</v>
      </c>
      <c r="U11" s="67">
        <v>80.0</v>
      </c>
      <c r="V11" s="67">
        <v>1.1023</v>
      </c>
      <c r="Z11" s="77">
        <v>10.0</v>
      </c>
      <c r="AA11" s="70">
        <f t="shared" si="4"/>
        <v>10</v>
      </c>
      <c r="AB11" s="71">
        <f t="shared" si="16"/>
        <v>1143.675861</v>
      </c>
      <c r="AC11" s="71">
        <f>+(S11-T11)*V11-'data 1'!$F$4</f>
        <v>52.276</v>
      </c>
      <c r="AD11" s="71">
        <f t="shared" si="6"/>
        <v>-6.391946715</v>
      </c>
      <c r="AE11" s="71">
        <f t="shared" si="7"/>
        <v>-58.977</v>
      </c>
      <c r="AF11" s="71">
        <f t="shared" si="8"/>
        <v>20.36871545</v>
      </c>
      <c r="AG11" s="72">
        <f t="shared" ref="AG11:AG18" si="19">+IF(D11="RONALD WILLIAN GARIBAY ESCUDERO",AC11+AD11+AE11+AF11+70,AC11+AD11+AE11+AF11)+70</f>
        <v>77.27576874</v>
      </c>
      <c r="AH11" s="52">
        <f t="shared" si="10"/>
        <v>67.16274065</v>
      </c>
      <c r="AI11" s="73">
        <f t="shared" si="11"/>
        <v>90.27479174</v>
      </c>
      <c r="AJ11" s="73">
        <f t="shared" si="12"/>
        <v>66.43606773</v>
      </c>
      <c r="AK11" s="11"/>
      <c r="AL11" s="51">
        <f t="shared" si="17"/>
        <v>4895.390156</v>
      </c>
      <c r="AM11" s="58">
        <f t="shared" si="14"/>
        <v>74.99189443</v>
      </c>
    </row>
    <row r="12" ht="15.75" customHeight="1">
      <c r="A12" s="92" t="s">
        <v>4109</v>
      </c>
      <c r="B12" s="56">
        <v>45643.0</v>
      </c>
      <c r="C12" s="56">
        <v>45640.0</v>
      </c>
      <c r="D12" s="57" t="s">
        <v>74</v>
      </c>
      <c r="E12" s="57">
        <v>1.0082235774E10</v>
      </c>
      <c r="G12" s="3">
        <v>45.0</v>
      </c>
      <c r="H12" s="57" t="s">
        <v>47</v>
      </c>
      <c r="I12" s="58">
        <v>4.37</v>
      </c>
      <c r="J12" s="58">
        <v>1.7</v>
      </c>
      <c r="K12" s="59">
        <f t="shared" si="18"/>
        <v>4.29571</v>
      </c>
      <c r="L12" s="60">
        <v>0.629</v>
      </c>
      <c r="M12" s="60">
        <v>0.619</v>
      </c>
      <c r="N12" s="62">
        <v>0.619</v>
      </c>
      <c r="O12" s="60">
        <f t="shared" si="2"/>
        <v>0.619</v>
      </c>
      <c r="P12" s="63">
        <v>90.0</v>
      </c>
      <c r="Q12" s="64">
        <v>89.38</v>
      </c>
      <c r="R12" s="840">
        <v>2659.05</v>
      </c>
      <c r="S12" s="66">
        <v>125.0</v>
      </c>
      <c r="U12" s="67">
        <v>80.0</v>
      </c>
      <c r="V12" s="67">
        <v>1.1023</v>
      </c>
      <c r="Z12" s="77">
        <v>10.0</v>
      </c>
      <c r="AA12" s="70">
        <f t="shared" si="4"/>
        <v>10</v>
      </c>
      <c r="AB12" s="71">
        <f t="shared" si="16"/>
        <v>1434.961745</v>
      </c>
      <c r="AC12" s="71">
        <f>+(S12-T12)*V12-'data 1'!$F$4</f>
        <v>57.7875</v>
      </c>
      <c r="AD12" s="71">
        <f t="shared" si="6"/>
        <v>-11.08669</v>
      </c>
      <c r="AE12" s="71">
        <f t="shared" si="7"/>
        <v>-58.977</v>
      </c>
      <c r="AF12" s="71">
        <f t="shared" si="8"/>
        <v>25.40972235</v>
      </c>
      <c r="AG12" s="72">
        <f t="shared" si="19"/>
        <v>83.13353235</v>
      </c>
      <c r="AH12" s="52">
        <f t="shared" si="10"/>
        <v>82.80089285</v>
      </c>
      <c r="AI12" s="73">
        <f t="shared" si="11"/>
        <v>110.8976915</v>
      </c>
      <c r="AJ12" s="73">
        <f t="shared" si="12"/>
        <v>82.04973496</v>
      </c>
      <c r="AK12" s="11"/>
      <c r="AL12" s="51">
        <f t="shared" si="17"/>
        <v>6164.179516</v>
      </c>
      <c r="AM12" s="58">
        <f t="shared" si="14"/>
        <v>92.63917302</v>
      </c>
    </row>
    <row r="13" ht="15.75" customHeight="1">
      <c r="A13" s="92" t="s">
        <v>4110</v>
      </c>
      <c r="B13" s="56">
        <v>45643.0</v>
      </c>
      <c r="C13" s="56">
        <v>45640.0</v>
      </c>
      <c r="D13" s="57" t="s">
        <v>74</v>
      </c>
      <c r="E13" s="57">
        <v>1.0082235774E10</v>
      </c>
      <c r="G13" s="3">
        <v>45.0</v>
      </c>
      <c r="H13" s="57" t="s">
        <v>47</v>
      </c>
      <c r="I13" s="58">
        <v>4.68</v>
      </c>
      <c r="J13" s="58">
        <v>1.5</v>
      </c>
      <c r="K13" s="59">
        <f t="shared" si="18"/>
        <v>4.6098</v>
      </c>
      <c r="L13" s="60">
        <v>0.722</v>
      </c>
      <c r="M13" s="60">
        <v>0.711</v>
      </c>
      <c r="N13" s="62">
        <v>0.711</v>
      </c>
      <c r="O13" s="60">
        <f t="shared" si="2"/>
        <v>0.711</v>
      </c>
      <c r="P13" s="63">
        <v>90.0</v>
      </c>
      <c r="Q13" s="64">
        <v>89.77</v>
      </c>
      <c r="R13" s="840">
        <v>2659.05</v>
      </c>
      <c r="S13" s="66">
        <v>130.0</v>
      </c>
      <c r="U13" s="67">
        <v>80.0</v>
      </c>
      <c r="V13" s="67">
        <v>1.1023</v>
      </c>
      <c r="Z13" s="77">
        <v>10.0</v>
      </c>
      <c r="AA13" s="70">
        <f t="shared" si="4"/>
        <v>10</v>
      </c>
      <c r="AB13" s="71">
        <f t="shared" si="16"/>
        <v>1664.841273</v>
      </c>
      <c r="AC13" s="71">
        <f>+(S13-T13)*V13-'data 1'!$F$4</f>
        <v>63.299</v>
      </c>
      <c r="AD13" s="71">
        <f t="shared" si="6"/>
        <v>-4.720897845</v>
      </c>
      <c r="AE13" s="71">
        <f t="shared" si="7"/>
        <v>-58.977</v>
      </c>
      <c r="AF13" s="71">
        <f t="shared" si="8"/>
        <v>28.07265443</v>
      </c>
      <c r="AG13" s="72">
        <f t="shared" si="19"/>
        <v>97.67375659</v>
      </c>
      <c r="AH13" s="52">
        <f t="shared" si="10"/>
        <v>102.4376426</v>
      </c>
      <c r="AI13" s="73">
        <f t="shared" si="11"/>
        <v>127.8497646</v>
      </c>
      <c r="AJ13" s="73">
        <f t="shared" si="12"/>
        <v>101.1354155</v>
      </c>
      <c r="AK13" s="11"/>
      <c r="AL13" s="51">
        <f t="shared" si="17"/>
        <v>7674.5853</v>
      </c>
      <c r="AM13" s="58">
        <f t="shared" si="14"/>
        <v>114.1112205</v>
      </c>
    </row>
    <row r="14" ht="15.75" customHeight="1">
      <c r="A14" s="92" t="s">
        <v>4111</v>
      </c>
      <c r="B14" s="56">
        <v>45643.0</v>
      </c>
      <c r="C14" s="56">
        <v>45640.0</v>
      </c>
      <c r="D14" s="57" t="s">
        <v>74</v>
      </c>
      <c r="E14" s="57">
        <v>1.0082235774E10</v>
      </c>
      <c r="G14" s="3">
        <v>41.0</v>
      </c>
      <c r="H14" s="57" t="s">
        <v>47</v>
      </c>
      <c r="I14" s="58">
        <v>3.41</v>
      </c>
      <c r="J14" s="58">
        <v>1.75</v>
      </c>
      <c r="K14" s="59">
        <f t="shared" si="18"/>
        <v>3.350325</v>
      </c>
      <c r="L14" s="60">
        <v>0.626</v>
      </c>
      <c r="M14" s="60">
        <v>0.616</v>
      </c>
      <c r="N14" s="62">
        <v>0.616</v>
      </c>
      <c r="O14" s="60">
        <f t="shared" si="2"/>
        <v>0.616</v>
      </c>
      <c r="P14" s="63">
        <v>90.0</v>
      </c>
      <c r="Q14" s="64">
        <v>89.64</v>
      </c>
      <c r="R14" s="840">
        <v>2659.05</v>
      </c>
      <c r="S14" s="66">
        <v>125.0</v>
      </c>
      <c r="U14" s="67">
        <v>80.0</v>
      </c>
      <c r="V14" s="67">
        <v>1.1023</v>
      </c>
      <c r="Z14" s="77">
        <v>10.0</v>
      </c>
      <c r="AA14" s="70">
        <f t="shared" si="4"/>
        <v>10</v>
      </c>
      <c r="AB14" s="71">
        <f t="shared" si="16"/>
        <v>1427.28595</v>
      </c>
      <c r="AC14" s="71">
        <f>+(S14-T14)*V14-'data 1'!$F$4</f>
        <v>57.7875</v>
      </c>
      <c r="AD14" s="71">
        <f t="shared" si="6"/>
        <v>-6.406729726</v>
      </c>
      <c r="AE14" s="71">
        <f t="shared" si="7"/>
        <v>-58.977</v>
      </c>
      <c r="AF14" s="71">
        <f t="shared" si="8"/>
        <v>25.48363741</v>
      </c>
      <c r="AG14" s="72">
        <f t="shared" si="19"/>
        <v>87.88740768</v>
      </c>
      <c r="AH14" s="52">
        <f t="shared" si="10"/>
        <v>64.45731167</v>
      </c>
      <c r="AI14" s="73">
        <f t="shared" si="11"/>
        <v>110.6898225</v>
      </c>
      <c r="AJ14" s="73">
        <f t="shared" si="12"/>
        <v>63.68237164</v>
      </c>
      <c r="AK14" s="11"/>
      <c r="AL14" s="51">
        <f t="shared" si="17"/>
        <v>4781.871801</v>
      </c>
      <c r="AM14" s="58">
        <f t="shared" si="14"/>
        <v>71.90686264</v>
      </c>
    </row>
    <row r="15" ht="15.75" customHeight="1">
      <c r="A15" s="92" t="s">
        <v>4112</v>
      </c>
      <c r="B15" s="56">
        <v>45643.0</v>
      </c>
      <c r="C15" s="56">
        <v>45640.0</v>
      </c>
      <c r="D15" s="57" t="s">
        <v>74</v>
      </c>
      <c r="E15" s="57">
        <v>1.0082235774E10</v>
      </c>
      <c r="G15" s="3">
        <v>39.0</v>
      </c>
      <c r="H15" s="57" t="s">
        <v>47</v>
      </c>
      <c r="I15" s="58">
        <v>3.6</v>
      </c>
      <c r="J15" s="58">
        <v>1.9</v>
      </c>
      <c r="K15" s="59">
        <f t="shared" si="18"/>
        <v>3.5316</v>
      </c>
      <c r="L15" s="60">
        <v>0.409</v>
      </c>
      <c r="M15" s="60">
        <v>0.402</v>
      </c>
      <c r="N15" s="62">
        <v>0.402</v>
      </c>
      <c r="O15" s="60">
        <f t="shared" si="2"/>
        <v>0.402</v>
      </c>
      <c r="P15" s="63">
        <v>90.0</v>
      </c>
      <c r="Q15" s="64">
        <v>89.52</v>
      </c>
      <c r="R15" s="840">
        <v>2659.05</v>
      </c>
      <c r="S15" s="66">
        <v>115.0</v>
      </c>
      <c r="U15" s="67">
        <v>80.0</v>
      </c>
      <c r="V15" s="67">
        <v>1.1023</v>
      </c>
      <c r="Z15" s="77">
        <v>10.0</v>
      </c>
      <c r="AA15" s="70">
        <f t="shared" si="4"/>
        <v>10</v>
      </c>
      <c r="AB15" s="71">
        <f t="shared" si="16"/>
        <v>890.7689497</v>
      </c>
      <c r="AC15" s="71">
        <f>+(S15-T15)*V15-'data 1'!$F$4</f>
        <v>46.7645</v>
      </c>
      <c r="AD15" s="71">
        <f t="shared" si="6"/>
        <v>-5.581155395</v>
      </c>
      <c r="AE15" s="71">
        <f t="shared" si="7"/>
        <v>-58.977</v>
      </c>
      <c r="AF15" s="71">
        <f t="shared" si="8"/>
        <v>17.81466594</v>
      </c>
      <c r="AG15" s="72">
        <f t="shared" si="19"/>
        <v>70.02101054</v>
      </c>
      <c r="AH15" s="52">
        <f t="shared" si="10"/>
        <v>44.33267723</v>
      </c>
      <c r="AI15" s="73">
        <f t="shared" si="11"/>
        <v>72.22289481</v>
      </c>
      <c r="AJ15" s="73">
        <f t="shared" si="12"/>
        <v>43.80756762</v>
      </c>
      <c r="AK15" s="11"/>
      <c r="AL15" s="51">
        <f t="shared" si="17"/>
        <v>3145.839623</v>
      </c>
      <c r="AM15" s="58">
        <f t="shared" si="14"/>
        <v>49.52265106</v>
      </c>
    </row>
    <row r="16" ht="15.75" customHeight="1">
      <c r="A16" s="92" t="s">
        <v>4113</v>
      </c>
      <c r="B16" s="56">
        <v>45643.0</v>
      </c>
      <c r="C16" s="56">
        <v>45640.0</v>
      </c>
      <c r="D16" s="57" t="s">
        <v>74</v>
      </c>
      <c r="E16" s="57">
        <v>1.0082235774E10</v>
      </c>
      <c r="G16" s="3">
        <v>42.0</v>
      </c>
      <c r="H16" s="57" t="s">
        <v>47</v>
      </c>
      <c r="I16" s="58">
        <v>3.45</v>
      </c>
      <c r="J16" s="58">
        <v>1.8</v>
      </c>
      <c r="K16" s="59">
        <f t="shared" si="18"/>
        <v>3.3879</v>
      </c>
      <c r="L16" s="60">
        <v>0.494</v>
      </c>
      <c r="M16" s="60">
        <v>0.486</v>
      </c>
      <c r="N16" s="62">
        <v>0.486</v>
      </c>
      <c r="O16" s="60">
        <f t="shared" si="2"/>
        <v>0.486</v>
      </c>
      <c r="P16" s="63">
        <v>90.0</v>
      </c>
      <c r="Q16" s="64">
        <v>89.39</v>
      </c>
      <c r="R16" s="840">
        <v>2659.05</v>
      </c>
      <c r="S16" s="66">
        <v>115.0</v>
      </c>
      <c r="U16" s="67">
        <v>80.0</v>
      </c>
      <c r="V16" s="67">
        <v>1.1023</v>
      </c>
      <c r="Z16" s="77">
        <v>10.0</v>
      </c>
      <c r="AA16" s="70">
        <f t="shared" si="4"/>
        <v>10</v>
      </c>
      <c r="AB16" s="71">
        <f t="shared" si="16"/>
        <v>1105.691193</v>
      </c>
      <c r="AC16" s="71">
        <f>+(S16-T16)*V16-'data 1'!$F$4</f>
        <v>46.7645</v>
      </c>
      <c r="AD16" s="71">
        <f t="shared" si="6"/>
        <v>-8.566755128</v>
      </c>
      <c r="AE16" s="71">
        <f t="shared" si="7"/>
        <v>-58.977</v>
      </c>
      <c r="AF16" s="71">
        <f t="shared" si="8"/>
        <v>20.33005219</v>
      </c>
      <c r="AG16" s="72">
        <f t="shared" si="19"/>
        <v>69.55079706</v>
      </c>
      <c r="AH16" s="52">
        <f t="shared" si="10"/>
        <v>51.29269738</v>
      </c>
      <c r="AI16" s="73">
        <f t="shared" si="11"/>
        <v>87.1058647</v>
      </c>
      <c r="AJ16" s="73">
        <f t="shared" si="12"/>
        <v>50.8064009</v>
      </c>
      <c r="AK16" s="11"/>
      <c r="AL16" s="51">
        <f t="shared" si="17"/>
        <v>3745.971192</v>
      </c>
      <c r="AM16" s="58">
        <f t="shared" si="14"/>
        <v>57.38080029</v>
      </c>
    </row>
    <row r="17" ht="15.75" customHeight="1">
      <c r="A17" s="92" t="s">
        <v>4114</v>
      </c>
      <c r="B17" s="56">
        <v>45643.0</v>
      </c>
      <c r="C17" s="56">
        <v>45640.0</v>
      </c>
      <c r="D17" s="57" t="s">
        <v>74</v>
      </c>
      <c r="E17" s="57">
        <v>1.0082235774E10</v>
      </c>
      <c r="G17" s="3">
        <v>35.0</v>
      </c>
      <c r="H17" s="57" t="s">
        <v>47</v>
      </c>
      <c r="I17" s="58">
        <v>2.99</v>
      </c>
      <c r="J17" s="58">
        <v>1.5</v>
      </c>
      <c r="K17" s="59">
        <f t="shared" si="18"/>
        <v>2.94515</v>
      </c>
      <c r="L17" s="60">
        <v>0.732</v>
      </c>
      <c r="M17" s="60">
        <v>0.721</v>
      </c>
      <c r="N17" s="62">
        <v>0.721</v>
      </c>
      <c r="O17" s="60">
        <f t="shared" si="2"/>
        <v>0.721</v>
      </c>
      <c r="P17" s="63">
        <v>90.0</v>
      </c>
      <c r="Q17" s="64">
        <v>89.41</v>
      </c>
      <c r="R17" s="840">
        <v>2659.05</v>
      </c>
      <c r="S17" s="66">
        <v>130.0</v>
      </c>
      <c r="U17" s="67">
        <v>80.0</v>
      </c>
      <c r="V17" s="67">
        <v>1.1023</v>
      </c>
      <c r="Z17" s="77">
        <v>10.0</v>
      </c>
      <c r="AA17" s="70">
        <f t="shared" si="4"/>
        <v>10</v>
      </c>
      <c r="AB17" s="71">
        <f t="shared" si="16"/>
        <v>1690.427254</v>
      </c>
      <c r="AC17" s="71">
        <f>+(S17-T17)*V17-'data 1'!$F$4</f>
        <v>63.299</v>
      </c>
      <c r="AD17" s="71">
        <f t="shared" si="6"/>
        <v>-12.27785958</v>
      </c>
      <c r="AE17" s="71">
        <f t="shared" si="7"/>
        <v>-58.977</v>
      </c>
      <c r="AF17" s="71">
        <f t="shared" si="8"/>
        <v>27.96007611</v>
      </c>
      <c r="AG17" s="72">
        <f t="shared" si="19"/>
        <v>90.00421654</v>
      </c>
      <c r="AH17" s="52">
        <f t="shared" si="10"/>
        <v>66.08663881</v>
      </c>
      <c r="AI17" s="73">
        <f t="shared" si="11"/>
        <v>129.1007265</v>
      </c>
      <c r="AJ17" s="73">
        <f t="shared" si="12"/>
        <v>65.52307373</v>
      </c>
      <c r="AK17" s="11"/>
      <c r="AL17" s="51">
        <f t="shared" si="17"/>
        <v>4978.561828</v>
      </c>
      <c r="AM17" s="58">
        <f t="shared" si="14"/>
        <v>73.91414697</v>
      </c>
    </row>
    <row r="18" ht="15.75" customHeight="1">
      <c r="A18" s="92" t="s">
        <v>4115</v>
      </c>
      <c r="B18" s="56">
        <v>45643.0</v>
      </c>
      <c r="C18" s="56">
        <v>45640.0</v>
      </c>
      <c r="D18" s="57" t="s">
        <v>74</v>
      </c>
      <c r="E18" s="57">
        <v>1.0082235774E10</v>
      </c>
      <c r="G18" s="3">
        <v>32.0</v>
      </c>
      <c r="H18" s="57" t="s">
        <v>47</v>
      </c>
      <c r="I18" s="58">
        <v>3.13</v>
      </c>
      <c r="J18" s="58">
        <v>1.85</v>
      </c>
      <c r="K18" s="59">
        <f t="shared" si="18"/>
        <v>3.072095</v>
      </c>
      <c r="L18" s="60">
        <v>0.516</v>
      </c>
      <c r="M18" s="60">
        <v>0.508</v>
      </c>
      <c r="N18" s="62">
        <v>0.508</v>
      </c>
      <c r="O18" s="60">
        <f t="shared" si="2"/>
        <v>0.508</v>
      </c>
      <c r="P18" s="63">
        <v>90.0</v>
      </c>
      <c r="Q18" s="64">
        <v>89.88</v>
      </c>
      <c r="R18" s="840">
        <v>2659.05</v>
      </c>
      <c r="S18" s="66">
        <v>120.0</v>
      </c>
      <c r="U18" s="67">
        <v>80.0</v>
      </c>
      <c r="V18" s="67">
        <v>1.1023</v>
      </c>
      <c r="Z18" s="77">
        <v>10.0</v>
      </c>
      <c r="AA18" s="70">
        <f t="shared" si="4"/>
        <v>10</v>
      </c>
      <c r="AB18" s="71">
        <f t="shared" si="16"/>
        <v>1156.468852</v>
      </c>
      <c r="AC18" s="71">
        <f>+(S18-T18)*V18-'data 1'!$F$4</f>
        <v>52.276</v>
      </c>
      <c r="AD18" s="71">
        <f t="shared" si="6"/>
        <v>-1.760315516</v>
      </c>
      <c r="AE18" s="71">
        <f t="shared" si="7"/>
        <v>-58.977</v>
      </c>
      <c r="AF18" s="71">
        <f t="shared" si="8"/>
        <v>20.44149335</v>
      </c>
      <c r="AG18" s="72">
        <f t="shared" si="19"/>
        <v>81.98017784</v>
      </c>
      <c r="AH18" s="52">
        <f t="shared" si="10"/>
        <v>48.84908982</v>
      </c>
      <c r="AI18" s="73">
        <f t="shared" si="11"/>
        <v>91.4838168</v>
      </c>
      <c r="AJ18" s="73">
        <f t="shared" si="12"/>
        <v>48.15594752</v>
      </c>
      <c r="AK18" s="11"/>
      <c r="AL18" s="51">
        <f t="shared" si="17"/>
        <v>3552.782177</v>
      </c>
      <c r="AM18" s="58">
        <f t="shared" si="14"/>
        <v>54.34923211</v>
      </c>
    </row>
    <row r="19" ht="15.75" customHeight="1">
      <c r="A19" s="92" t="s">
        <v>4116</v>
      </c>
      <c r="B19" s="56">
        <v>45643.0</v>
      </c>
      <c r="C19" s="56">
        <v>45641.0</v>
      </c>
      <c r="D19" s="57" t="s">
        <v>51</v>
      </c>
      <c r="E19" s="2">
        <v>1.042310973E10</v>
      </c>
      <c r="G19" s="3">
        <v>12.0</v>
      </c>
      <c r="H19" s="57" t="s">
        <v>47</v>
      </c>
      <c r="I19" s="58">
        <v>0.88</v>
      </c>
      <c r="J19" s="58">
        <v>1.1</v>
      </c>
      <c r="K19" s="59">
        <f t="shared" si="18"/>
        <v>0.87032</v>
      </c>
      <c r="L19" s="60">
        <v>0.539</v>
      </c>
      <c r="M19" s="60">
        <v>0.517</v>
      </c>
      <c r="N19" s="62">
        <v>0.517</v>
      </c>
      <c r="O19" s="60">
        <f t="shared" si="2"/>
        <v>0.517</v>
      </c>
      <c r="P19" s="63">
        <v>90.0</v>
      </c>
      <c r="Q19" s="64">
        <v>89.46</v>
      </c>
      <c r="R19" s="840">
        <v>2659.05</v>
      </c>
      <c r="S19" s="76">
        <v>130.0</v>
      </c>
      <c r="U19" s="67">
        <v>100.0</v>
      </c>
      <c r="V19" s="67">
        <v>1.1023</v>
      </c>
      <c r="Z19" s="69">
        <f t="shared" ref="Z19:Z24" si="20">IF(IF(D19="UNTUCA",IF(+((W19-3)*1.5+(X19-3)*3.1)&gt;0,+((W19-3)*1.5+(X19-3)*3.1),0),IF(+((W19-3)*1.5+(X19-3)*3.1)&gt;0,+((W19-3)*1.5+(X19-3)*3.1),0))&lt;30,30,IF(D19="UNTUCA",IF(+((W19-3)*1.5+(X19-3)*3.1)&gt;0,+((W19-3)*1.5+(X19-3)*3.1),0),IF(+((W19-3)*1.5+(X19-3)*3.1)&gt;0,+((W19-3)*1.5+(X19-3)*3.1),0)))</f>
        <v>30</v>
      </c>
      <c r="AA19" s="70">
        <f t="shared" si="4"/>
        <v>30</v>
      </c>
      <c r="AB19" s="71">
        <f t="shared" si="16"/>
        <v>1136.169231</v>
      </c>
      <c r="AC19" s="71">
        <f>+(S19-T19)*V19-'data 1'!$F$4</f>
        <v>63.299</v>
      </c>
      <c r="AD19" s="71">
        <f t="shared" si="6"/>
        <v>-8.210339276</v>
      </c>
      <c r="AE19" s="71">
        <f t="shared" si="7"/>
        <v>-36.931</v>
      </c>
      <c r="AF19" s="71">
        <f t="shared" si="8"/>
        <v>55.51753225</v>
      </c>
      <c r="AG19" s="72">
        <f t="shared" ref="AG19:AG21" si="21">+IF(D19="RONALD WILLIAN GARIBAY ESCUDERO",AC19+AD19+AE19+AF19+70,AC19+AD19+AE19+AF19)</f>
        <v>143.675193</v>
      </c>
      <c r="AH19" s="52">
        <f t="shared" si="10"/>
        <v>14.38817436</v>
      </c>
      <c r="AI19" s="73">
        <f t="shared" si="11"/>
        <v>105.7453819</v>
      </c>
      <c r="AJ19" s="73">
        <f t="shared" si="12"/>
        <v>13.88420718</v>
      </c>
      <c r="AK19" s="11"/>
      <c r="AL19" s="51">
        <f t="shared" si="17"/>
        <v>988.8308053</v>
      </c>
      <c r="AM19" s="58">
        <f t="shared" si="14"/>
        <v>16.08336056</v>
      </c>
    </row>
    <row r="20" ht="15.75" customHeight="1">
      <c r="A20" s="92" t="s">
        <v>4117</v>
      </c>
      <c r="B20" s="56">
        <v>45643.0</v>
      </c>
      <c r="C20" s="56">
        <v>45641.0</v>
      </c>
      <c r="D20" s="57" t="s">
        <v>51</v>
      </c>
      <c r="E20" s="2">
        <v>1.042310973E10</v>
      </c>
      <c r="G20" s="3">
        <v>18.0</v>
      </c>
      <c r="H20" s="57" t="s">
        <v>47</v>
      </c>
      <c r="I20" s="58">
        <v>1.92</v>
      </c>
      <c r="J20" s="58">
        <v>1.0</v>
      </c>
      <c r="K20" s="59">
        <f t="shared" si="18"/>
        <v>1.9008</v>
      </c>
      <c r="L20" s="60">
        <v>0.656</v>
      </c>
      <c r="M20" s="60">
        <v>0.629</v>
      </c>
      <c r="N20" s="62">
        <v>0.629</v>
      </c>
      <c r="O20" s="60">
        <f t="shared" si="2"/>
        <v>0.629</v>
      </c>
      <c r="P20" s="63">
        <v>90.0</v>
      </c>
      <c r="Q20" s="64">
        <v>89.71</v>
      </c>
      <c r="R20" s="840">
        <v>2659.05</v>
      </c>
      <c r="S20" s="76">
        <v>140.0</v>
      </c>
      <c r="U20" s="67">
        <v>100.0</v>
      </c>
      <c r="V20" s="67">
        <v>1.1023</v>
      </c>
      <c r="Z20" s="69">
        <f t="shared" si="20"/>
        <v>30</v>
      </c>
      <c r="AA20" s="70">
        <f t="shared" si="4"/>
        <v>30</v>
      </c>
      <c r="AB20" s="71">
        <f t="shared" si="16"/>
        <v>1409.486985</v>
      </c>
      <c r="AC20" s="71">
        <f>+(S20-T20)*V20-'data 1'!$F$4</f>
        <v>74.322</v>
      </c>
      <c r="AD20" s="71">
        <f t="shared" si="6"/>
        <v>-5.366367566</v>
      </c>
      <c r="AE20" s="71">
        <f t="shared" si="7"/>
        <v>-36.931</v>
      </c>
      <c r="AF20" s="71">
        <f t="shared" si="8"/>
        <v>68.32555997</v>
      </c>
      <c r="AG20" s="72">
        <f t="shared" si="21"/>
        <v>170.3501924</v>
      </c>
      <c r="AH20" s="52">
        <f t="shared" si="10"/>
        <v>38.3521918</v>
      </c>
      <c r="AI20" s="73">
        <f t="shared" si="11"/>
        <v>129.0590449</v>
      </c>
      <c r="AJ20" s="73">
        <f t="shared" si="12"/>
        <v>36.8925477</v>
      </c>
      <c r="AK20" s="11"/>
      <c r="AL20" s="51">
        <f t="shared" si="17"/>
        <v>2679.152862</v>
      </c>
      <c r="AM20" s="58">
        <f t="shared" si="14"/>
        <v>42.75130064</v>
      </c>
    </row>
    <row r="21" ht="15.75" customHeight="1">
      <c r="A21" s="92" t="s">
        <v>4118</v>
      </c>
      <c r="B21" s="56">
        <v>45643.0</v>
      </c>
      <c r="C21" s="56">
        <v>45641.0</v>
      </c>
      <c r="D21" s="57" t="s">
        <v>51</v>
      </c>
      <c r="E21" s="2">
        <v>1.042310973E10</v>
      </c>
      <c r="G21" s="3" t="s">
        <v>4100</v>
      </c>
      <c r="H21" s="57" t="s">
        <v>47</v>
      </c>
      <c r="I21" s="58">
        <v>4.39</v>
      </c>
      <c r="J21" s="58">
        <v>1.0</v>
      </c>
      <c r="K21" s="59">
        <f t="shared" si="18"/>
        <v>4.3461</v>
      </c>
      <c r="L21" s="60">
        <v>0.343</v>
      </c>
      <c r="M21" s="60">
        <v>0.329</v>
      </c>
      <c r="N21" s="75">
        <v>0.373</v>
      </c>
      <c r="O21" s="60">
        <f t="shared" si="2"/>
        <v>0.351</v>
      </c>
      <c r="P21" s="63">
        <v>90.0</v>
      </c>
      <c r="Q21" s="64">
        <v>89.63</v>
      </c>
      <c r="R21" s="840">
        <v>2659.05</v>
      </c>
      <c r="S21" s="76">
        <v>110.0</v>
      </c>
      <c r="U21" s="67">
        <v>100.0</v>
      </c>
      <c r="V21" s="67">
        <v>1.1023</v>
      </c>
      <c r="Z21" s="69">
        <f t="shared" si="20"/>
        <v>30</v>
      </c>
      <c r="AA21" s="70">
        <f t="shared" si="4"/>
        <v>30</v>
      </c>
      <c r="AB21" s="71">
        <f t="shared" si="16"/>
        <v>736.7816135</v>
      </c>
      <c r="AC21" s="71">
        <f>+(S21-T21)*V21-'data 1'!$F$4</f>
        <v>41.253</v>
      </c>
      <c r="AD21" s="71">
        <f t="shared" si="6"/>
        <v>-3.579929078</v>
      </c>
      <c r="AE21" s="71">
        <f t="shared" si="7"/>
        <v>-36.931</v>
      </c>
      <c r="AF21" s="71">
        <f t="shared" si="8"/>
        <v>-20.22655698</v>
      </c>
      <c r="AG21" s="72">
        <f t="shared" si="21"/>
        <v>50.51551394</v>
      </c>
      <c r="AH21" s="52">
        <f t="shared" si="10"/>
        <v>45.809579</v>
      </c>
      <c r="AI21" s="73">
        <f t="shared" si="11"/>
        <v>67.42039108</v>
      </c>
      <c r="AJ21" s="73">
        <f t="shared" si="12"/>
        <v>47.07154033</v>
      </c>
      <c r="AK21" s="11"/>
      <c r="AL21" s="51">
        <f t="shared" si="17"/>
        <v>3202.12657</v>
      </c>
      <c r="AM21" s="58">
        <f t="shared" si="14"/>
        <v>51.10964968</v>
      </c>
    </row>
    <row r="22" ht="15.75" customHeight="1">
      <c r="A22" s="92" t="s">
        <v>4119</v>
      </c>
      <c r="B22" s="56">
        <v>45646.0</v>
      </c>
      <c r="C22" s="56">
        <v>45641.0</v>
      </c>
      <c r="D22" s="197" t="s">
        <v>67</v>
      </c>
      <c r="E22" s="2">
        <v>2.060609401E10</v>
      </c>
      <c r="G22" s="3">
        <v>59.0</v>
      </c>
      <c r="H22" s="57" t="s">
        <v>47</v>
      </c>
      <c r="I22" s="58">
        <v>4.89</v>
      </c>
      <c r="J22" s="58">
        <v>1.1</v>
      </c>
      <c r="K22" s="59">
        <f t="shared" si="18"/>
        <v>4.83621</v>
      </c>
      <c r="L22" s="60">
        <v>0.199</v>
      </c>
      <c r="M22" s="60">
        <v>0.192</v>
      </c>
      <c r="N22" s="62">
        <v>0.192</v>
      </c>
      <c r="O22" s="60">
        <f t="shared" si="2"/>
        <v>0.192</v>
      </c>
      <c r="P22" s="63">
        <v>90.0</v>
      </c>
      <c r="Q22" s="64">
        <v>89.41</v>
      </c>
      <c r="R22" s="840">
        <v>2659.05</v>
      </c>
      <c r="S22" s="76">
        <v>95.0</v>
      </c>
      <c r="U22" s="67">
        <v>100.0</v>
      </c>
      <c r="V22" s="67">
        <v>1.1023</v>
      </c>
      <c r="Y22" s="57">
        <v>15.0</v>
      </c>
      <c r="Z22" s="69">
        <f t="shared" si="20"/>
        <v>30</v>
      </c>
      <c r="AA22" s="70">
        <f t="shared" si="4"/>
        <v>45</v>
      </c>
      <c r="AB22" s="71">
        <f t="shared" si="16"/>
        <v>333.1192928</v>
      </c>
      <c r="AC22" s="71">
        <f>+(S22-T22)*V22-'data 1'!$F$4</f>
        <v>24.7185</v>
      </c>
      <c r="AD22" s="71">
        <f t="shared" si="6"/>
        <v>-3.311949201</v>
      </c>
      <c r="AE22" s="71">
        <f t="shared" si="7"/>
        <v>-20.3965</v>
      </c>
      <c r="AF22" s="71">
        <f t="shared" si="8"/>
        <v>17.65479641</v>
      </c>
      <c r="AG22" s="72">
        <f t="shared" ref="AG22:AG24" si="22">+IF(D22="RONALD WILLIAN GARIBAY ESCUDERO",AC22+AD22+AE22+AF22+70,AC22+AD22+AE22+AF22)+70-53</f>
        <v>35.66484721</v>
      </c>
      <c r="AH22" s="52">
        <f t="shared" si="10"/>
        <v>29.50213128</v>
      </c>
      <c r="AI22" s="73">
        <f t="shared" si="11"/>
        <v>39.01960981</v>
      </c>
      <c r="AJ22" s="73">
        <f t="shared" si="12"/>
        <v>28.65219895</v>
      </c>
      <c r="AK22" s="11"/>
      <c r="AL22" s="51">
        <f t="shared" si="17"/>
        <v>1611.034855</v>
      </c>
      <c r="AM22" s="58">
        <f t="shared" si="14"/>
        <v>32.99645597</v>
      </c>
    </row>
    <row r="23" ht="15.75" customHeight="1">
      <c r="A23" s="92" t="s">
        <v>4120</v>
      </c>
      <c r="B23" s="56">
        <v>45643.0</v>
      </c>
      <c r="C23" s="56">
        <v>45641.0</v>
      </c>
      <c r="D23" s="57" t="s">
        <v>67</v>
      </c>
      <c r="E23" s="2">
        <v>2.060609401E10</v>
      </c>
      <c r="G23" s="3">
        <v>41.0</v>
      </c>
      <c r="H23" s="57" t="s">
        <v>47</v>
      </c>
      <c r="I23" s="58">
        <v>3.47</v>
      </c>
      <c r="J23" s="58">
        <v>1.0</v>
      </c>
      <c r="K23" s="59">
        <f t="shared" si="18"/>
        <v>3.4353</v>
      </c>
      <c r="L23" s="60">
        <v>0.247</v>
      </c>
      <c r="M23" s="60">
        <v>0.237</v>
      </c>
      <c r="N23" s="62">
        <v>0.237</v>
      </c>
      <c r="O23" s="60">
        <f t="shared" si="2"/>
        <v>0.237</v>
      </c>
      <c r="P23" s="63">
        <v>90.0</v>
      </c>
      <c r="Q23" s="64">
        <v>89.35</v>
      </c>
      <c r="R23" s="840">
        <v>2659.05</v>
      </c>
      <c r="S23" s="66">
        <f t="shared" ref="S23:S24" si="23">IF((90+ROUNDDOWN(O23,1)*100)&lt;95,95,(90+ROUNDDOWN(O23,1)*100))</f>
        <v>110</v>
      </c>
      <c r="U23" s="67">
        <v>120.0</v>
      </c>
      <c r="V23" s="67">
        <v>1.1023</v>
      </c>
      <c r="Y23" s="57">
        <v>15.0</v>
      </c>
      <c r="Z23" s="69">
        <f t="shared" si="20"/>
        <v>30</v>
      </c>
      <c r="AA23" s="70">
        <f t="shared" si="4"/>
        <v>45</v>
      </c>
      <c r="AB23" s="71">
        <f t="shared" si="16"/>
        <v>426.126434</v>
      </c>
      <c r="AC23" s="71">
        <f>+(S23-T23)*V23-'data 1'!$F$4</f>
        <v>41.253</v>
      </c>
      <c r="AD23" s="71">
        <f t="shared" si="6"/>
        <v>-4.493465075</v>
      </c>
      <c r="AE23" s="71">
        <f t="shared" si="7"/>
        <v>-20.3965</v>
      </c>
      <c r="AF23" s="71">
        <f t="shared" si="8"/>
        <v>25.00723167</v>
      </c>
      <c r="AG23" s="72">
        <f t="shared" si="22"/>
        <v>58.3702666</v>
      </c>
      <c r="AH23" s="52">
        <f t="shared" si="10"/>
        <v>25.99352921</v>
      </c>
      <c r="AI23" s="73">
        <f t="shared" si="11"/>
        <v>53.26430529</v>
      </c>
      <c r="AJ23" s="73">
        <f t="shared" si="12"/>
        <v>25.12260061</v>
      </c>
      <c r="AK23" s="11"/>
      <c r="AL23" s="51">
        <f t="shared" si="17"/>
        <v>1463.872139</v>
      </c>
      <c r="AM23" s="58">
        <f t="shared" si="14"/>
        <v>29.09180661</v>
      </c>
    </row>
    <row r="24" ht="15.75" customHeight="1">
      <c r="A24" s="92" t="s">
        <v>4121</v>
      </c>
      <c r="B24" s="56">
        <v>45644.0</v>
      </c>
      <c r="C24" s="56">
        <v>45641.0</v>
      </c>
      <c r="D24" s="57" t="s">
        <v>67</v>
      </c>
      <c r="E24" s="2">
        <v>2.060609401E10</v>
      </c>
      <c r="G24" s="3">
        <v>110.0</v>
      </c>
      <c r="H24" s="57" t="s">
        <v>47</v>
      </c>
      <c r="I24" s="58">
        <v>8.54</v>
      </c>
      <c r="J24" s="58">
        <v>1.2</v>
      </c>
      <c r="K24" s="59">
        <f t="shared" si="18"/>
        <v>8.43752</v>
      </c>
      <c r="L24" s="60">
        <v>0.47</v>
      </c>
      <c r="M24" s="60">
        <v>0.451</v>
      </c>
      <c r="N24" s="75">
        <v>0.492</v>
      </c>
      <c r="O24" s="60">
        <f t="shared" si="2"/>
        <v>0.472</v>
      </c>
      <c r="P24" s="63">
        <v>90.0</v>
      </c>
      <c r="Q24" s="64">
        <v>89.19</v>
      </c>
      <c r="R24" s="840">
        <v>2659.05</v>
      </c>
      <c r="S24" s="66">
        <f t="shared" si="23"/>
        <v>130</v>
      </c>
      <c r="U24" s="67">
        <v>120.0</v>
      </c>
      <c r="V24" s="67">
        <v>1.1023</v>
      </c>
      <c r="Y24" s="57">
        <v>15.0</v>
      </c>
      <c r="Z24" s="69">
        <f t="shared" si="20"/>
        <v>30</v>
      </c>
      <c r="AA24" s="70">
        <f t="shared" si="4"/>
        <v>45</v>
      </c>
      <c r="AB24" s="71">
        <f t="shared" si="16"/>
        <v>996.0255374</v>
      </c>
      <c r="AC24" s="71">
        <f>+(S24-T24)*V24-'data 1'!$F$4</f>
        <v>63.299</v>
      </c>
      <c r="AD24" s="71">
        <f t="shared" si="6"/>
        <v>-10.65501186</v>
      </c>
      <c r="AE24" s="71">
        <f t="shared" si="7"/>
        <v>-20.3965</v>
      </c>
      <c r="AF24" s="71">
        <f t="shared" si="8"/>
        <v>-4.992490191</v>
      </c>
      <c r="AG24" s="72">
        <f t="shared" si="22"/>
        <v>44.25499795</v>
      </c>
      <c r="AH24" s="52">
        <f t="shared" si="10"/>
        <v>121.26568</v>
      </c>
      <c r="AI24" s="73">
        <f t="shared" si="11"/>
        <v>101.1716374</v>
      </c>
      <c r="AJ24" s="73">
        <f t="shared" si="12"/>
        <v>122.8876934</v>
      </c>
      <c r="AK24" s="11"/>
      <c r="AL24" s="51">
        <f t="shared" si="17"/>
        <v>8403.985392</v>
      </c>
      <c r="AM24" s="58">
        <f t="shared" si="14"/>
        <v>135.9633143</v>
      </c>
    </row>
    <row r="25" ht="15.75" customHeight="1">
      <c r="A25" s="92" t="s">
        <v>4122</v>
      </c>
      <c r="B25" s="56">
        <v>45639.0</v>
      </c>
      <c r="C25" s="56">
        <v>45636.0</v>
      </c>
      <c r="D25" s="57" t="s">
        <v>57</v>
      </c>
      <c r="E25" s="57">
        <v>2.0610873309E10</v>
      </c>
      <c r="G25" s="3">
        <v>95.0</v>
      </c>
      <c r="H25" s="57" t="s">
        <v>47</v>
      </c>
      <c r="I25" s="58">
        <v>7.96</v>
      </c>
      <c r="J25" s="58">
        <v>1.5</v>
      </c>
      <c r="K25" s="59">
        <v>7.8406</v>
      </c>
      <c r="L25" s="60">
        <v>0.436</v>
      </c>
      <c r="M25" s="60">
        <v>0.419</v>
      </c>
      <c r="N25" s="62">
        <v>0.419</v>
      </c>
      <c r="O25" s="60">
        <v>0.419</v>
      </c>
      <c r="P25" s="63">
        <v>90.0</v>
      </c>
      <c r="Q25" s="64">
        <v>89.57</v>
      </c>
      <c r="R25" s="840">
        <v>2689.6</v>
      </c>
      <c r="S25" s="66">
        <v>130.0</v>
      </c>
      <c r="U25" s="67">
        <v>120.0</v>
      </c>
      <c r="V25" s="67">
        <v>1.1023</v>
      </c>
      <c r="Y25" s="57">
        <v>10.0</v>
      </c>
      <c r="Z25" s="69">
        <v>30.0</v>
      </c>
      <c r="AA25" s="70">
        <v>40.0</v>
      </c>
      <c r="AB25" s="71">
        <v>880.733467168</v>
      </c>
      <c r="AC25" s="71">
        <v>63.29900000000001</v>
      </c>
      <c r="AD25" s="71">
        <v>-5.310314905984083</v>
      </c>
      <c r="AE25" s="71">
        <v>-25.908</v>
      </c>
      <c r="AF25" s="71">
        <v>43.12973866115203</v>
      </c>
      <c r="AG25" s="72">
        <v>92.21042375516794</v>
      </c>
      <c r="AH25" s="52">
        <v>104.98020850319743</v>
      </c>
      <c r="AI25" s="73">
        <v>30.305505328384044</v>
      </c>
      <c r="AJ25" s="73">
        <v>101.37127290775541</v>
      </c>
      <c r="AK25" s="11"/>
      <c r="AL25" s="51">
        <v>6905.478822677421</v>
      </c>
      <c r="AM25" s="58">
        <f t="shared" si="14"/>
        <v>117.2046539</v>
      </c>
    </row>
    <row r="26" ht="15.75" customHeight="1">
      <c r="A26" s="92" t="s">
        <v>4123</v>
      </c>
      <c r="B26" s="56">
        <v>45639.0</v>
      </c>
      <c r="C26" s="56">
        <v>45636.0</v>
      </c>
      <c r="D26" s="57" t="s">
        <v>57</v>
      </c>
      <c r="E26" s="57">
        <v>2.0610873309E10</v>
      </c>
      <c r="G26" s="3">
        <v>77.0</v>
      </c>
      <c r="H26" s="57" t="s">
        <v>47</v>
      </c>
      <c r="I26" s="58">
        <v>6.84</v>
      </c>
      <c r="J26" s="58">
        <v>1.4</v>
      </c>
      <c r="K26" s="59">
        <v>6.74424</v>
      </c>
      <c r="L26" s="60">
        <v>0.449</v>
      </c>
      <c r="M26" s="60">
        <v>0.431</v>
      </c>
      <c r="N26" s="62">
        <v>0.431</v>
      </c>
      <c r="O26" s="60">
        <v>0.431</v>
      </c>
      <c r="P26" s="63">
        <v>90.0</v>
      </c>
      <c r="Q26" s="64">
        <v>89.63</v>
      </c>
      <c r="R26" s="840">
        <v>2689.6</v>
      </c>
      <c r="S26" s="66">
        <v>130.0</v>
      </c>
      <c r="U26" s="67">
        <v>120.0</v>
      </c>
      <c r="V26" s="67">
        <v>1.1023</v>
      </c>
      <c r="Y26" s="57">
        <v>10.0</v>
      </c>
      <c r="Z26" s="69">
        <v>30.0</v>
      </c>
      <c r="AA26" s="70">
        <v>40.0</v>
      </c>
      <c r="AB26" s="71">
        <v>911.324144032</v>
      </c>
      <c r="AC26" s="71">
        <v>63.29900000000001</v>
      </c>
      <c r="AD26" s="71">
        <v>-4.705582543904058</v>
      </c>
      <c r="AE26" s="71">
        <v>-25.908</v>
      </c>
      <c r="AF26" s="71">
        <v>45.697372788672034</v>
      </c>
      <c r="AG26" s="72">
        <v>95.38279024476799</v>
      </c>
      <c r="AH26" s="52">
        <v>93.05545208400734</v>
      </c>
      <c r="AI26" s="73">
        <v>31.23001580230404</v>
      </c>
      <c r="AJ26" s="73">
        <v>89.69368468635457</v>
      </c>
      <c r="AK26" s="11"/>
      <c r="AL26" s="51">
        <v>6146.188745146375</v>
      </c>
      <c r="AM26" s="58">
        <f t="shared" si="14"/>
        <v>103.8217696</v>
      </c>
    </row>
    <row r="27" ht="15.75" customHeight="1">
      <c r="A27" s="92" t="s">
        <v>4124</v>
      </c>
      <c r="B27" s="56">
        <v>45643.0</v>
      </c>
      <c r="C27" s="56">
        <v>45641.0</v>
      </c>
      <c r="D27" s="57" t="s">
        <v>57</v>
      </c>
      <c r="E27" s="57">
        <v>2.0610873309E10</v>
      </c>
      <c r="G27" s="3">
        <v>30.0</v>
      </c>
      <c r="H27" s="57" t="s">
        <v>47</v>
      </c>
      <c r="I27" s="58">
        <v>2.55</v>
      </c>
      <c r="J27" s="58">
        <v>1.2</v>
      </c>
      <c r="K27" s="59">
        <f t="shared" ref="K27:K44" si="24">+I27-(I27*(J27/100))</f>
        <v>2.5194</v>
      </c>
      <c r="L27" s="60">
        <v>0.493</v>
      </c>
      <c r="M27" s="60">
        <v>0.473</v>
      </c>
      <c r="N27" s="75">
        <v>0.523</v>
      </c>
      <c r="O27" s="60">
        <f t="shared" ref="O27:O44" si="25">+ROUND((M27+N27)/2,3)</f>
        <v>0.498</v>
      </c>
      <c r="P27" s="63">
        <v>90.0</v>
      </c>
      <c r="Q27" s="64">
        <v>89.42</v>
      </c>
      <c r="R27" s="840">
        <v>2659.05</v>
      </c>
      <c r="S27" s="66">
        <f t="shared" ref="S27:S29" si="26">IF((90+ROUNDDOWN(O27,1)*100)&lt;95,95,(90+ROUNDDOWN(O27,1)*100))</f>
        <v>130</v>
      </c>
      <c r="U27" s="67">
        <v>120.0</v>
      </c>
      <c r="V27" s="67">
        <v>1.1023</v>
      </c>
      <c r="Y27" s="57">
        <v>10.0</v>
      </c>
      <c r="Z27" s="69">
        <f t="shared" ref="Z27:Z44" si="27">IF(IF(D27="UNTUCA",IF(+((W27-3)*1.5+(X27-3)*3.1)&gt;0,+((W27-3)*1.5+(X27-3)*3.1),0),IF(+((W27-3)*1.5+(X27-3)*3.1)&gt;0,+((W27-3)*1.5+(X27-3)*3.1),0))&lt;30,30,IF(D27="UNTUCA",IF(+((W27-3)*1.5+(X27-3)*3.1)&gt;0,+((W27-3)*1.5+(X27-3)*3.1),0),IF(+((W27-3)*1.5+(X27-3)*3.1)&gt;0,+((W27-3)*1.5+(X27-3)*3.1),0)))</f>
        <v>30</v>
      </c>
      <c r="AA27" s="70">
        <f t="shared" ref="AA27:AA44" si="28">+Y27+Z27</f>
        <v>40</v>
      </c>
      <c r="AB27" s="71">
        <f t="shared" ref="AB27:AB42" si="29">+((O27*P27*(R27-U27)/100)-S27-AA27+T27)*V27</f>
        <v>1067.028836</v>
      </c>
      <c r="AC27" s="71">
        <f>+(S27-T27)*V27-'data 1'!$F$4</f>
        <v>63.299</v>
      </c>
      <c r="AD27" s="71">
        <f t="shared" ref="AD27:AD44" si="30">+(Q27-P27)*(R27-U27)*L27*V27/100</f>
        <v>-8.002873894</v>
      </c>
      <c r="AE27" s="71">
        <f t="shared" ref="AE27:AE44" si="31">+(Y27*V27-70)+V27*(Z27-IF(D27="UNTUCA",IF(+((W27-3)*2.5+(X27-3)*3.1)&gt;0,+((W27-3)*1.5+(X27-3)*3.1),0),IF(+((W27-3)*1.5+(X27-3)*3.1)&gt;0,+((W27-3)*1.5+(X27-3)*3.1),0)))</f>
        <v>-25.908</v>
      </c>
      <c r="AF27" s="71">
        <f t="shared" ref="AF27:AF44" si="32">(L27-O27)*(R27-U27)*Q27*V27/100</f>
        <v>-12.51341162</v>
      </c>
      <c r="AG27" s="72">
        <f t="shared" ref="AG27:AG41" si="33">+IF(D27="RONALD WILLIAN GARIBAY ESCUDERO",AC27+AD27+AE27+AF27+70,AC27+AD27+AE27+AF27)+70-53</f>
        <v>33.87471449</v>
      </c>
      <c r="AH27" s="52">
        <f t="shared" ref="AH27:AH44" si="34">31.1035*L27*Q27*1.1023*K27/100</f>
        <v>38.07919678</v>
      </c>
      <c r="AI27" s="73">
        <f t="shared" ref="AI27:AI44" si="35">+((+$AI$2-R27+U27)*L27*Q27*V27)/100</f>
        <v>106.396255</v>
      </c>
      <c r="AJ27" s="73">
        <f t="shared" ref="AJ27:AJ44" si="36">31.1035*1.1023*K27*P27*O27/100</f>
        <v>38.7148915</v>
      </c>
      <c r="AK27" s="11"/>
      <c r="AL27" s="51">
        <f t="shared" ref="AL27:AL44" si="37">+IF(AB27*K27&gt;0,AB27*K27,0)</f>
        <v>2688.27245</v>
      </c>
      <c r="AM27" s="58">
        <f t="shared" si="14"/>
        <v>42.58465308</v>
      </c>
    </row>
    <row r="28" ht="15.75" customHeight="1">
      <c r="A28" s="92" t="s">
        <v>4125</v>
      </c>
      <c r="B28" s="56">
        <v>45643.0</v>
      </c>
      <c r="C28" s="56">
        <v>45641.0</v>
      </c>
      <c r="D28" s="57" t="s">
        <v>57</v>
      </c>
      <c r="E28" s="57">
        <v>2.0610873309E10</v>
      </c>
      <c r="G28" s="3">
        <v>25.0</v>
      </c>
      <c r="H28" s="57" t="s">
        <v>47</v>
      </c>
      <c r="I28" s="58">
        <v>2.19</v>
      </c>
      <c r="J28" s="58">
        <v>1.1</v>
      </c>
      <c r="K28" s="59">
        <f t="shared" si="24"/>
        <v>2.16591</v>
      </c>
      <c r="L28" s="60">
        <v>0.821</v>
      </c>
      <c r="M28" s="60">
        <v>0.788</v>
      </c>
      <c r="N28" s="75">
        <v>0.886</v>
      </c>
      <c r="O28" s="60">
        <f t="shared" si="25"/>
        <v>0.837</v>
      </c>
      <c r="P28" s="63">
        <v>90.0</v>
      </c>
      <c r="Q28" s="64">
        <v>89.17</v>
      </c>
      <c r="R28" s="840">
        <v>2659.05</v>
      </c>
      <c r="S28" s="66">
        <f t="shared" si="26"/>
        <v>170</v>
      </c>
      <c r="U28" s="67">
        <v>120.0</v>
      </c>
      <c r="V28" s="67">
        <v>1.1023</v>
      </c>
      <c r="Y28" s="57">
        <v>10.0</v>
      </c>
      <c r="Z28" s="69">
        <f t="shared" si="27"/>
        <v>30</v>
      </c>
      <c r="AA28" s="70">
        <f t="shared" si="28"/>
        <v>40</v>
      </c>
      <c r="AB28" s="71">
        <f t="shared" si="29"/>
        <v>1876.849134</v>
      </c>
      <c r="AC28" s="71">
        <f>+(S28-T28)*V28-'data 1'!$F$4</f>
        <v>107.391</v>
      </c>
      <c r="AD28" s="71">
        <f t="shared" si="30"/>
        <v>-19.07182751</v>
      </c>
      <c r="AE28" s="71">
        <f t="shared" si="31"/>
        <v>-25.908</v>
      </c>
      <c r="AF28" s="71">
        <f t="shared" si="32"/>
        <v>-39.93096538</v>
      </c>
      <c r="AG28" s="72">
        <f t="shared" si="33"/>
        <v>39.48020711</v>
      </c>
      <c r="AH28" s="52">
        <f t="shared" si="34"/>
        <v>54.36399946</v>
      </c>
      <c r="AI28" s="73">
        <f t="shared" si="35"/>
        <v>176.6878478</v>
      </c>
      <c r="AJ28" s="73">
        <f t="shared" si="36"/>
        <v>55.93935354</v>
      </c>
      <c r="AK28" s="11"/>
      <c r="AL28" s="51">
        <f t="shared" si="37"/>
        <v>4065.086308</v>
      </c>
      <c r="AM28" s="58">
        <f t="shared" si="14"/>
        <v>60.96669223</v>
      </c>
    </row>
    <row r="29" ht="15.75" customHeight="1">
      <c r="A29" s="92" t="s">
        <v>4126</v>
      </c>
      <c r="B29" s="56">
        <v>45643.0</v>
      </c>
      <c r="C29" s="56">
        <v>45641.0</v>
      </c>
      <c r="D29" s="2" t="s">
        <v>57</v>
      </c>
      <c r="E29" s="57">
        <v>2.0610873309E10</v>
      </c>
      <c r="G29" s="3">
        <v>72.0</v>
      </c>
      <c r="H29" s="57" t="s">
        <v>47</v>
      </c>
      <c r="I29" s="58">
        <v>6.53</v>
      </c>
      <c r="J29" s="58">
        <v>1.0</v>
      </c>
      <c r="K29" s="59">
        <f t="shared" si="24"/>
        <v>6.4647</v>
      </c>
      <c r="L29" s="60">
        <v>0.131</v>
      </c>
      <c r="M29" s="60">
        <v>0.121</v>
      </c>
      <c r="N29" s="62">
        <v>0.121</v>
      </c>
      <c r="O29" s="60">
        <f t="shared" si="25"/>
        <v>0.121</v>
      </c>
      <c r="P29" s="63">
        <v>85.0</v>
      </c>
      <c r="Q29" s="64">
        <v>89.85</v>
      </c>
      <c r="R29" s="840">
        <v>2659.05</v>
      </c>
      <c r="S29" s="66">
        <f t="shared" si="26"/>
        <v>100</v>
      </c>
      <c r="U29" s="67">
        <v>120.0</v>
      </c>
      <c r="V29" s="67">
        <v>1.1023</v>
      </c>
      <c r="Y29" s="57">
        <v>10.0</v>
      </c>
      <c r="Z29" s="69">
        <f t="shared" si="27"/>
        <v>30</v>
      </c>
      <c r="AA29" s="70">
        <f t="shared" si="28"/>
        <v>40</v>
      </c>
      <c r="AB29" s="71">
        <f t="shared" si="29"/>
        <v>133.5340467</v>
      </c>
      <c r="AC29" s="71">
        <f>+(S29-T29)*V29-'data 1'!$F$4</f>
        <v>30.23</v>
      </c>
      <c r="AD29" s="71">
        <f t="shared" si="30"/>
        <v>17.78214286</v>
      </c>
      <c r="AE29" s="71">
        <f t="shared" si="31"/>
        <v>-25.908</v>
      </c>
      <c r="AF29" s="71">
        <f t="shared" si="32"/>
        <v>25.14717141</v>
      </c>
      <c r="AG29" s="72">
        <f t="shared" si="33"/>
        <v>64.25131427</v>
      </c>
      <c r="AH29" s="52">
        <f t="shared" si="34"/>
        <v>26.08836261</v>
      </c>
      <c r="AI29" s="73">
        <f t="shared" si="35"/>
        <v>28.40757317</v>
      </c>
      <c r="AJ29" s="73">
        <f t="shared" si="36"/>
        <v>22.79616234</v>
      </c>
      <c r="AK29" s="11"/>
      <c r="AL29" s="51">
        <f t="shared" si="37"/>
        <v>863.2575518</v>
      </c>
      <c r="AM29" s="58">
        <f t="shared" si="14"/>
        <v>29.035462</v>
      </c>
    </row>
    <row r="30" ht="15.75" customHeight="1">
      <c r="A30" s="92" t="s">
        <v>4127</v>
      </c>
      <c r="B30" s="95">
        <v>45646.0</v>
      </c>
      <c r="C30" s="56">
        <v>45643.0</v>
      </c>
      <c r="D30" s="57" t="s">
        <v>38</v>
      </c>
      <c r="E30" s="57">
        <v>2.0606534923E10</v>
      </c>
      <c r="G30" s="3">
        <v>64.0</v>
      </c>
      <c r="H30" s="57" t="s">
        <v>47</v>
      </c>
      <c r="I30" s="58">
        <v>6.28</v>
      </c>
      <c r="J30" s="58">
        <v>1.2</v>
      </c>
      <c r="K30" s="59">
        <f t="shared" si="24"/>
        <v>6.20464</v>
      </c>
      <c r="L30" s="60">
        <v>0.3115</v>
      </c>
      <c r="M30" s="60">
        <v>0.29904</v>
      </c>
      <c r="N30" s="62">
        <v>0.29904</v>
      </c>
      <c r="O30" s="60">
        <f t="shared" si="25"/>
        <v>0.299</v>
      </c>
      <c r="P30" s="63">
        <v>90.0</v>
      </c>
      <c r="Q30" s="64">
        <v>89.16</v>
      </c>
      <c r="R30" s="65">
        <v>2636.35</v>
      </c>
      <c r="S30" s="66">
        <f t="shared" ref="S30:S34" si="38">IF((80+ROUNDDOWN(O30,1)*100)&lt;95,95,(80+ROUNDDOWN(O30,1)*100))</f>
        <v>100</v>
      </c>
      <c r="U30" s="67">
        <v>120.0</v>
      </c>
      <c r="V30" s="67">
        <v>1.1023</v>
      </c>
      <c r="Y30" s="57">
        <v>120.0</v>
      </c>
      <c r="Z30" s="69">
        <f t="shared" si="27"/>
        <v>30</v>
      </c>
      <c r="AA30" s="70">
        <f t="shared" si="28"/>
        <v>150</v>
      </c>
      <c r="AB30" s="71">
        <f t="shared" si="29"/>
        <v>470.847208</v>
      </c>
      <c r="AC30" s="71">
        <f>+(S30-T30)*V30-'data 1'!$F$4</f>
        <v>30.23</v>
      </c>
      <c r="AD30" s="71">
        <f t="shared" si="30"/>
        <v>-7.257853398</v>
      </c>
      <c r="AE30" s="71">
        <f t="shared" si="31"/>
        <v>95.345</v>
      </c>
      <c r="AF30" s="71">
        <f t="shared" si="32"/>
        <v>30.91369568</v>
      </c>
      <c r="AG30" s="72">
        <f t="shared" si="33"/>
        <v>166.2308423</v>
      </c>
      <c r="AH30" s="52">
        <f t="shared" si="34"/>
        <v>59.08180684</v>
      </c>
      <c r="AI30" s="73">
        <f t="shared" si="35"/>
        <v>73.98006656</v>
      </c>
      <c r="AJ30" s="73">
        <f t="shared" si="36"/>
        <v>57.24523669</v>
      </c>
      <c r="AK30" s="11"/>
      <c r="AL30" s="51">
        <f t="shared" si="37"/>
        <v>2921.437421</v>
      </c>
      <c r="AM30" s="58">
        <f t="shared" si="14"/>
        <v>66.26492467</v>
      </c>
    </row>
    <row r="31" ht="15.75" customHeight="1">
      <c r="A31" s="92" t="s">
        <v>4128</v>
      </c>
      <c r="B31" s="95">
        <v>45646.0</v>
      </c>
      <c r="C31" s="56">
        <v>45643.0</v>
      </c>
      <c r="D31" s="57" t="s">
        <v>38</v>
      </c>
      <c r="E31" s="57">
        <v>2.0606534923E10</v>
      </c>
      <c r="G31" s="3">
        <v>47.0</v>
      </c>
      <c r="H31" s="57" t="s">
        <v>47</v>
      </c>
      <c r="I31" s="58">
        <v>4.1</v>
      </c>
      <c r="J31" s="58">
        <v>1.1</v>
      </c>
      <c r="K31" s="59">
        <f t="shared" si="24"/>
        <v>4.0549</v>
      </c>
      <c r="L31" s="60">
        <v>0.6415</v>
      </c>
      <c r="M31" s="60">
        <v>0.6158399999999999</v>
      </c>
      <c r="N31" s="62">
        <v>0.6158399999999999</v>
      </c>
      <c r="O31" s="60">
        <f t="shared" si="25"/>
        <v>0.616</v>
      </c>
      <c r="P31" s="63">
        <v>90.0</v>
      </c>
      <c r="Q31" s="64">
        <v>89.75</v>
      </c>
      <c r="R31" s="65">
        <v>2636.35</v>
      </c>
      <c r="S31" s="66">
        <f t="shared" si="38"/>
        <v>140</v>
      </c>
      <c r="U31" s="67">
        <v>120.0</v>
      </c>
      <c r="V31" s="67">
        <v>1.1023</v>
      </c>
      <c r="Y31" s="57">
        <v>120.0</v>
      </c>
      <c r="Z31" s="69">
        <f t="shared" si="27"/>
        <v>30</v>
      </c>
      <c r="AA31" s="70">
        <f t="shared" si="28"/>
        <v>150</v>
      </c>
      <c r="AB31" s="71">
        <f t="shared" si="29"/>
        <v>1218.112532</v>
      </c>
      <c r="AC31" s="71">
        <f>+(S31-T31)*V31-'data 1'!$F$4</f>
        <v>74.322</v>
      </c>
      <c r="AD31" s="71">
        <f t="shared" si="30"/>
        <v>-4.448437815</v>
      </c>
      <c r="AE31" s="71">
        <f t="shared" si="31"/>
        <v>95.345</v>
      </c>
      <c r="AF31" s="71">
        <f t="shared" si="32"/>
        <v>63.48125328</v>
      </c>
      <c r="AG31" s="72">
        <f t="shared" si="33"/>
        <v>245.6998155</v>
      </c>
      <c r="AH31" s="52">
        <f t="shared" si="34"/>
        <v>80.04244303</v>
      </c>
      <c r="AI31" s="73">
        <f t="shared" si="35"/>
        <v>153.3619863</v>
      </c>
      <c r="AJ31" s="73">
        <f t="shared" si="36"/>
        <v>77.07480581</v>
      </c>
      <c r="AK31" s="11"/>
      <c r="AL31" s="51">
        <f t="shared" si="37"/>
        <v>4939.324507</v>
      </c>
      <c r="AM31" s="58">
        <f t="shared" si="14"/>
        <v>89.18378053</v>
      </c>
    </row>
    <row r="32" ht="15.75" customHeight="1">
      <c r="A32" s="92" t="s">
        <v>4129</v>
      </c>
      <c r="B32" s="95">
        <v>45646.0</v>
      </c>
      <c r="C32" s="56">
        <v>45643.0</v>
      </c>
      <c r="D32" s="57" t="s">
        <v>38</v>
      </c>
      <c r="E32" s="57">
        <v>2.0606534923E10</v>
      </c>
      <c r="G32" s="3">
        <v>49.0</v>
      </c>
      <c r="H32" s="57" t="s">
        <v>47</v>
      </c>
      <c r="I32" s="58">
        <v>4.17</v>
      </c>
      <c r="J32" s="58">
        <v>1.3</v>
      </c>
      <c r="K32" s="59">
        <f t="shared" si="24"/>
        <v>4.11579</v>
      </c>
      <c r="L32" s="60">
        <v>0.591</v>
      </c>
      <c r="M32" s="60">
        <v>0.56736</v>
      </c>
      <c r="N32" s="62">
        <v>0.56736</v>
      </c>
      <c r="O32" s="60">
        <f t="shared" si="25"/>
        <v>0.567</v>
      </c>
      <c r="P32" s="63">
        <v>90.0</v>
      </c>
      <c r="Q32" s="64">
        <v>89.41</v>
      </c>
      <c r="R32" s="65">
        <v>2636.35</v>
      </c>
      <c r="S32" s="66">
        <f t="shared" si="38"/>
        <v>130</v>
      </c>
      <c r="U32" s="67">
        <v>120.0</v>
      </c>
      <c r="V32" s="67">
        <v>1.1023</v>
      </c>
      <c r="Y32" s="57">
        <v>120.0</v>
      </c>
      <c r="Z32" s="69">
        <f t="shared" si="27"/>
        <v>30</v>
      </c>
      <c r="AA32" s="70">
        <f t="shared" si="28"/>
        <v>150</v>
      </c>
      <c r="AB32" s="71">
        <f t="shared" si="29"/>
        <v>1106.81216</v>
      </c>
      <c r="AC32" s="71">
        <f>+(S32-T32)*V32-'data 1'!$F$4</f>
        <v>63.299</v>
      </c>
      <c r="AD32" s="71">
        <f t="shared" si="30"/>
        <v>-9.671867696</v>
      </c>
      <c r="AE32" s="71">
        <f t="shared" si="31"/>
        <v>95.345</v>
      </c>
      <c r="AF32" s="71">
        <f t="shared" si="32"/>
        <v>59.52072207</v>
      </c>
      <c r="AG32" s="72">
        <f t="shared" si="33"/>
        <v>225.4928544</v>
      </c>
      <c r="AH32" s="52">
        <f t="shared" si="34"/>
        <v>74.56514259</v>
      </c>
      <c r="AI32" s="73">
        <f t="shared" si="35"/>
        <v>140.7538175</v>
      </c>
      <c r="AJ32" s="73">
        <f t="shared" si="36"/>
        <v>72.00917665</v>
      </c>
      <c r="AK32" s="11"/>
      <c r="AL32" s="51">
        <f t="shared" si="37"/>
        <v>4555.406421</v>
      </c>
      <c r="AM32" s="58">
        <f t="shared" si="14"/>
        <v>83.39687125</v>
      </c>
    </row>
    <row r="33" ht="15.75" customHeight="1">
      <c r="A33" s="92" t="s">
        <v>4130</v>
      </c>
      <c r="B33" s="95">
        <v>45646.0</v>
      </c>
      <c r="C33" s="56">
        <v>45643.0</v>
      </c>
      <c r="D33" s="57" t="s">
        <v>38</v>
      </c>
      <c r="E33" s="57">
        <v>2.0606534923E10</v>
      </c>
      <c r="G33" s="3">
        <v>50.0</v>
      </c>
      <c r="H33" s="57" t="s">
        <v>47</v>
      </c>
      <c r="I33" s="58">
        <v>4.23</v>
      </c>
      <c r="J33" s="58">
        <v>1.1</v>
      </c>
      <c r="K33" s="59">
        <f t="shared" si="24"/>
        <v>4.18347</v>
      </c>
      <c r="L33" s="60">
        <v>0.5145</v>
      </c>
      <c r="M33" s="60">
        <v>0.4939199999999999</v>
      </c>
      <c r="N33" s="62">
        <v>0.4939199999999999</v>
      </c>
      <c r="O33" s="60">
        <f t="shared" si="25"/>
        <v>0.494</v>
      </c>
      <c r="P33" s="63">
        <v>90.0</v>
      </c>
      <c r="Q33" s="64">
        <v>89.66</v>
      </c>
      <c r="R33" s="65">
        <v>2636.35</v>
      </c>
      <c r="S33" s="66">
        <f t="shared" si="38"/>
        <v>120</v>
      </c>
      <c r="U33" s="67">
        <v>120.0</v>
      </c>
      <c r="V33" s="67">
        <v>1.1023</v>
      </c>
      <c r="Y33" s="57">
        <v>120.0</v>
      </c>
      <c r="Z33" s="69">
        <f t="shared" si="27"/>
        <v>30</v>
      </c>
      <c r="AA33" s="70">
        <f t="shared" si="28"/>
        <v>150</v>
      </c>
      <c r="AB33" s="71">
        <f t="shared" si="29"/>
        <v>935.5983002</v>
      </c>
      <c r="AC33" s="71">
        <f>+(S33-T33)*V33-'data 1'!$F$4</f>
        <v>52.276</v>
      </c>
      <c r="AD33" s="71">
        <f t="shared" si="30"/>
        <v>-4.852160418</v>
      </c>
      <c r="AE33" s="71">
        <f t="shared" si="31"/>
        <v>95.345</v>
      </c>
      <c r="AF33" s="71">
        <f t="shared" si="32"/>
        <v>50.98277261</v>
      </c>
      <c r="AG33" s="72">
        <f t="shared" si="33"/>
        <v>210.7516122</v>
      </c>
      <c r="AH33" s="52">
        <f t="shared" si="34"/>
        <v>66.16523234</v>
      </c>
      <c r="AI33" s="73">
        <f t="shared" si="35"/>
        <v>122.8770342</v>
      </c>
      <c r="AJ33" s="73">
        <f t="shared" si="36"/>
        <v>63.76981934</v>
      </c>
      <c r="AK33" s="11"/>
      <c r="AL33" s="51">
        <f t="shared" si="37"/>
        <v>3914.047421</v>
      </c>
      <c r="AM33" s="58">
        <f t="shared" si="14"/>
        <v>73.79570861</v>
      </c>
    </row>
    <row r="34" ht="15.75" customHeight="1">
      <c r="A34" s="92" t="s">
        <v>4131</v>
      </c>
      <c r="B34" s="95">
        <v>45646.0</v>
      </c>
      <c r="C34" s="56">
        <v>45643.0</v>
      </c>
      <c r="D34" s="57" t="s">
        <v>38</v>
      </c>
      <c r="E34" s="57">
        <v>2.0606534923E10</v>
      </c>
      <c r="G34" s="3">
        <v>50.0</v>
      </c>
      <c r="H34" s="57" t="s">
        <v>47</v>
      </c>
      <c r="I34" s="58">
        <v>4.16</v>
      </c>
      <c r="J34" s="58">
        <v>1.2</v>
      </c>
      <c r="K34" s="59">
        <f t="shared" si="24"/>
        <v>4.11008</v>
      </c>
      <c r="L34" s="60">
        <v>0.21750000000000003</v>
      </c>
      <c r="M34" s="60">
        <v>0.20771250000000002</v>
      </c>
      <c r="N34" s="62">
        <v>0.20771250000000002</v>
      </c>
      <c r="O34" s="60">
        <f t="shared" si="25"/>
        <v>0.208</v>
      </c>
      <c r="P34" s="63">
        <v>90.0</v>
      </c>
      <c r="Q34" s="64">
        <v>89.33</v>
      </c>
      <c r="R34" s="65">
        <v>2636.35</v>
      </c>
      <c r="S34" s="66">
        <f t="shared" si="38"/>
        <v>100</v>
      </c>
      <c r="U34" s="67">
        <v>120.0</v>
      </c>
      <c r="V34" s="67">
        <v>1.1023</v>
      </c>
      <c r="Y34" s="57">
        <v>120.0</v>
      </c>
      <c r="Z34" s="69">
        <f t="shared" si="27"/>
        <v>30</v>
      </c>
      <c r="AA34" s="70">
        <f t="shared" si="28"/>
        <v>150</v>
      </c>
      <c r="AB34" s="71">
        <f t="shared" si="29"/>
        <v>243.6752317</v>
      </c>
      <c r="AC34" s="71">
        <f>+(S34-T34)*V34-'data 1'!$F$4</f>
        <v>30.23</v>
      </c>
      <c r="AD34" s="71">
        <f t="shared" si="30"/>
        <v>-4.042080129</v>
      </c>
      <c r="AE34" s="71">
        <f t="shared" si="31"/>
        <v>95.345</v>
      </c>
      <c r="AF34" s="71">
        <f t="shared" si="32"/>
        <v>23.53920515</v>
      </c>
      <c r="AG34" s="72">
        <f t="shared" si="33"/>
        <v>162.072125</v>
      </c>
      <c r="AH34" s="52">
        <f t="shared" si="34"/>
        <v>27.37889648</v>
      </c>
      <c r="AI34" s="73">
        <f t="shared" si="35"/>
        <v>51.75391428</v>
      </c>
      <c r="AJ34" s="73">
        <f t="shared" si="36"/>
        <v>26.37941674</v>
      </c>
      <c r="AK34" s="11"/>
      <c r="AL34" s="51">
        <f t="shared" si="37"/>
        <v>1001.524696</v>
      </c>
      <c r="AM34" s="58">
        <f t="shared" si="14"/>
        <v>30.64916208</v>
      </c>
    </row>
    <row r="35" ht="15.75" customHeight="1">
      <c r="A35" s="92" t="s">
        <v>4132</v>
      </c>
      <c r="B35" s="56">
        <v>45652.0</v>
      </c>
      <c r="C35" s="56">
        <v>45643.0</v>
      </c>
      <c r="D35" s="57" t="s">
        <v>38</v>
      </c>
      <c r="E35" s="57">
        <v>2.0606534923E10</v>
      </c>
      <c r="G35" s="3">
        <v>1.0</v>
      </c>
      <c r="H35" s="57" t="s">
        <v>47</v>
      </c>
      <c r="I35" s="58">
        <v>0.1</v>
      </c>
      <c r="J35" s="58">
        <v>1.0</v>
      </c>
      <c r="K35" s="59">
        <f t="shared" si="24"/>
        <v>0.099</v>
      </c>
      <c r="L35" s="60">
        <v>0.25133333333333335</v>
      </c>
      <c r="M35" s="60">
        <v>0.24128000000000002</v>
      </c>
      <c r="N35" s="62">
        <v>0.24128000000000002</v>
      </c>
      <c r="O35" s="60">
        <f t="shared" si="25"/>
        <v>0.241</v>
      </c>
      <c r="P35" s="63">
        <v>90.0</v>
      </c>
      <c r="Q35" s="64">
        <v>89.11</v>
      </c>
      <c r="R35" s="65">
        <v>2636.35</v>
      </c>
      <c r="S35" s="66">
        <f>IF((90+ROUNDDOWN(O35,1)*100)&lt;95,95,(90+ROUNDDOWN(O35,1)*100))</f>
        <v>110</v>
      </c>
      <c r="U35" s="67">
        <v>120.0</v>
      </c>
      <c r="V35" s="67">
        <v>1.1023</v>
      </c>
      <c r="Y35" s="57">
        <v>10.0</v>
      </c>
      <c r="Z35" s="69">
        <f t="shared" si="27"/>
        <v>30</v>
      </c>
      <c r="AA35" s="70">
        <f t="shared" si="28"/>
        <v>40</v>
      </c>
      <c r="AB35" s="71">
        <f t="shared" si="29"/>
        <v>436.286278</v>
      </c>
      <c r="AC35" s="71">
        <f>+(S35-T35)*V35-'data 1'!$F$4</f>
        <v>41.253</v>
      </c>
      <c r="AD35" s="71">
        <f t="shared" si="30"/>
        <v>-6.204559481</v>
      </c>
      <c r="AE35" s="71">
        <f t="shared" si="31"/>
        <v>-25.908</v>
      </c>
      <c r="AF35" s="71">
        <f t="shared" si="32"/>
        <v>25.54099061</v>
      </c>
      <c r="AG35" s="72">
        <f t="shared" si="33"/>
        <v>51.68143112</v>
      </c>
      <c r="AH35" s="52">
        <f t="shared" si="34"/>
        <v>0.7601876306</v>
      </c>
      <c r="AI35" s="73">
        <f t="shared" si="35"/>
        <v>59.65723788</v>
      </c>
      <c r="AJ35" s="73">
        <f t="shared" si="36"/>
        <v>0.7362135661</v>
      </c>
      <c r="AK35" s="11"/>
      <c r="AL35" s="51">
        <f t="shared" si="37"/>
        <v>43.19234152</v>
      </c>
      <c r="AM35" s="58">
        <f t="shared" si="14"/>
        <v>0.8530890255</v>
      </c>
    </row>
    <row r="36" ht="15.75" customHeight="1">
      <c r="A36" s="92" t="s">
        <v>4133</v>
      </c>
      <c r="B36" s="56">
        <v>45646.0</v>
      </c>
      <c r="C36" s="56">
        <v>45643.0</v>
      </c>
      <c r="D36" s="57" t="s">
        <v>38</v>
      </c>
      <c r="E36" s="57">
        <v>2.0606534923E10</v>
      </c>
      <c r="G36" s="3">
        <v>19.0</v>
      </c>
      <c r="H36" s="57" t="s">
        <v>47</v>
      </c>
      <c r="I36" s="58">
        <v>1.41</v>
      </c>
      <c r="J36" s="58">
        <v>16.5</v>
      </c>
      <c r="K36" s="59">
        <f t="shared" si="24"/>
        <v>1.17735</v>
      </c>
      <c r="L36" s="60">
        <v>1.5036666666666667</v>
      </c>
      <c r="M36" s="60">
        <v>1.44352</v>
      </c>
      <c r="N36" s="62">
        <v>1.44352</v>
      </c>
      <c r="O36" s="60">
        <f t="shared" si="25"/>
        <v>1.444</v>
      </c>
      <c r="P36" s="63">
        <v>90.0</v>
      </c>
      <c r="Q36" s="64">
        <v>89.63</v>
      </c>
      <c r="R36" s="65">
        <v>2636.35</v>
      </c>
      <c r="S36" s="76">
        <v>210.0</v>
      </c>
      <c r="U36" s="67">
        <v>120.0</v>
      </c>
      <c r="V36" s="67">
        <v>1.1023</v>
      </c>
      <c r="Y36" s="57">
        <v>20.0</v>
      </c>
      <c r="Z36" s="69">
        <f t="shared" si="27"/>
        <v>30</v>
      </c>
      <c r="AA36" s="70">
        <f t="shared" si="28"/>
        <v>50</v>
      </c>
      <c r="AB36" s="71">
        <f t="shared" si="29"/>
        <v>3318.196877</v>
      </c>
      <c r="AC36" s="71">
        <f>+(S36-T36)*V36-'data 1'!$F$4</f>
        <v>151.483</v>
      </c>
      <c r="AD36" s="71">
        <f t="shared" si="30"/>
        <v>-15.43206881</v>
      </c>
      <c r="AE36" s="71">
        <f t="shared" si="31"/>
        <v>-14.885</v>
      </c>
      <c r="AF36" s="71">
        <f t="shared" si="32"/>
        <v>148.3392324</v>
      </c>
      <c r="AG36" s="72">
        <f t="shared" si="33"/>
        <v>286.5051636</v>
      </c>
      <c r="AH36" s="52">
        <f t="shared" si="34"/>
        <v>54.40259628</v>
      </c>
      <c r="AI36" s="73">
        <f t="shared" si="35"/>
        <v>358.9976252</v>
      </c>
      <c r="AJ36" s="73">
        <f t="shared" si="36"/>
        <v>52.45952575</v>
      </c>
      <c r="AK36" s="11"/>
      <c r="AL36" s="51">
        <f t="shared" si="37"/>
        <v>3906.679094</v>
      </c>
      <c r="AM36" s="58">
        <f t="shared" si="14"/>
        <v>60.69686074</v>
      </c>
    </row>
    <row r="37" ht="15.75" customHeight="1">
      <c r="A37" s="92" t="s">
        <v>4134</v>
      </c>
      <c r="B37" s="56">
        <v>45646.0</v>
      </c>
      <c r="C37" s="56">
        <v>45643.0</v>
      </c>
      <c r="D37" s="57" t="s">
        <v>602</v>
      </c>
      <c r="E37" s="2">
        <v>2.0169040237E10</v>
      </c>
      <c r="G37" s="3">
        <v>63.0</v>
      </c>
      <c r="H37" s="57" t="s">
        <v>47</v>
      </c>
      <c r="I37" s="58">
        <v>6.03</v>
      </c>
      <c r="J37" s="58">
        <v>1.75</v>
      </c>
      <c r="K37" s="59">
        <f t="shared" si="24"/>
        <v>5.924475</v>
      </c>
      <c r="L37" s="60">
        <v>0.131</v>
      </c>
      <c r="M37" s="60">
        <v>0.12052000000000002</v>
      </c>
      <c r="N37" s="62">
        <v>0.12052000000000002</v>
      </c>
      <c r="O37" s="60">
        <f t="shared" si="25"/>
        <v>0.121</v>
      </c>
      <c r="P37" s="63">
        <v>85.0</v>
      </c>
      <c r="Q37" s="64">
        <v>89.46</v>
      </c>
      <c r="R37" s="65">
        <v>2636.35</v>
      </c>
      <c r="S37" s="76">
        <v>95.0</v>
      </c>
      <c r="U37" s="67">
        <v>120.0</v>
      </c>
      <c r="V37" s="67">
        <v>1.1023</v>
      </c>
      <c r="Y37" s="57">
        <v>20.0</v>
      </c>
      <c r="Z37" s="69">
        <f t="shared" si="27"/>
        <v>30</v>
      </c>
      <c r="AA37" s="70">
        <f t="shared" si="28"/>
        <v>50</v>
      </c>
      <c r="AB37" s="71">
        <f t="shared" si="29"/>
        <v>125.4490124</v>
      </c>
      <c r="AC37" s="71">
        <f>+(S37-T37)*V37-'data 1'!$F$4</f>
        <v>24.7185</v>
      </c>
      <c r="AD37" s="71">
        <f t="shared" si="30"/>
        <v>16.20604382</v>
      </c>
      <c r="AE37" s="71">
        <f t="shared" si="31"/>
        <v>-14.885</v>
      </c>
      <c r="AF37" s="71">
        <f t="shared" si="32"/>
        <v>24.81416972</v>
      </c>
      <c r="AG37" s="72">
        <f t="shared" si="33"/>
        <v>67.85371355</v>
      </c>
      <c r="AH37" s="52">
        <f t="shared" si="34"/>
        <v>23.80450363</v>
      </c>
      <c r="AI37" s="73">
        <f t="shared" si="35"/>
        <v>31.21668603</v>
      </c>
      <c r="AJ37" s="73">
        <f t="shared" si="36"/>
        <v>20.89119277</v>
      </c>
      <c r="AK37" s="11"/>
      <c r="AL37" s="51">
        <f t="shared" si="37"/>
        <v>743.2195379</v>
      </c>
      <c r="AM37" s="58">
        <f t="shared" si="14"/>
        <v>26.60910309</v>
      </c>
    </row>
    <row r="38" ht="15.75" customHeight="1">
      <c r="A38" s="92" t="s">
        <v>4135</v>
      </c>
      <c r="B38" s="56">
        <v>45646.0</v>
      </c>
      <c r="C38" s="56">
        <v>45643.0</v>
      </c>
      <c r="D38" s="57" t="s">
        <v>602</v>
      </c>
      <c r="E38" s="2">
        <v>2.0169040237E10</v>
      </c>
      <c r="G38" s="3">
        <v>62.0</v>
      </c>
      <c r="H38" s="57" t="s">
        <v>47</v>
      </c>
      <c r="I38" s="58">
        <v>5.87</v>
      </c>
      <c r="J38" s="58">
        <v>2.8</v>
      </c>
      <c r="K38" s="59">
        <f t="shared" si="24"/>
        <v>5.70564</v>
      </c>
      <c r="L38" s="60">
        <v>0.12</v>
      </c>
      <c r="M38" s="60">
        <v>0.1104</v>
      </c>
      <c r="N38" s="62">
        <v>0.1104</v>
      </c>
      <c r="O38" s="60">
        <f t="shared" si="25"/>
        <v>0.11</v>
      </c>
      <c r="P38" s="63">
        <v>85.0</v>
      </c>
      <c r="Q38" s="64">
        <v>89.75</v>
      </c>
      <c r="R38" s="65">
        <v>2636.35</v>
      </c>
      <c r="S38" s="76">
        <v>95.0</v>
      </c>
      <c r="U38" s="67">
        <v>120.0</v>
      </c>
      <c r="V38" s="67">
        <v>1.1023</v>
      </c>
      <c r="Y38" s="57">
        <v>20.0</v>
      </c>
      <c r="Z38" s="69">
        <f t="shared" si="27"/>
        <v>30</v>
      </c>
      <c r="AA38" s="70">
        <f t="shared" si="28"/>
        <v>50</v>
      </c>
      <c r="AB38" s="71">
        <f t="shared" si="29"/>
        <v>99.51423857</v>
      </c>
      <c r="AC38" s="71">
        <f>+(S38-T38)*V38-'data 1'!$F$4</f>
        <v>24.7185</v>
      </c>
      <c r="AD38" s="71">
        <f t="shared" si="30"/>
        <v>15.81050385</v>
      </c>
      <c r="AE38" s="71">
        <f t="shared" si="31"/>
        <v>-14.885</v>
      </c>
      <c r="AF38" s="71">
        <f t="shared" si="32"/>
        <v>24.89460913</v>
      </c>
      <c r="AG38" s="72">
        <f t="shared" si="33"/>
        <v>67.53861298</v>
      </c>
      <c r="AH38" s="52">
        <f t="shared" si="34"/>
        <v>21.06828277</v>
      </c>
      <c r="AI38" s="73">
        <f t="shared" si="35"/>
        <v>28.68813462</v>
      </c>
      <c r="AJ38" s="73">
        <f t="shared" si="36"/>
        <v>18.29047762</v>
      </c>
      <c r="AK38" s="11"/>
      <c r="AL38" s="51">
        <f t="shared" si="37"/>
        <v>567.7924201</v>
      </c>
      <c r="AM38" s="58">
        <f t="shared" si="14"/>
        <v>23.47440978</v>
      </c>
    </row>
    <row r="39" ht="15.75" customHeight="1">
      <c r="A39" s="92" t="s">
        <v>4136</v>
      </c>
      <c r="B39" s="56">
        <v>45657.0</v>
      </c>
      <c r="C39" s="56">
        <v>45643.0</v>
      </c>
      <c r="D39" s="57" t="s">
        <v>38</v>
      </c>
      <c r="E39" s="57">
        <v>2.0606534923E10</v>
      </c>
      <c r="F39" s="2" t="s">
        <v>4137</v>
      </c>
      <c r="G39" s="3">
        <v>50.0</v>
      </c>
      <c r="H39" s="57" t="s">
        <v>47</v>
      </c>
      <c r="I39" s="58">
        <v>4.31</v>
      </c>
      <c r="J39" s="58">
        <v>8.85</v>
      </c>
      <c r="K39" s="59">
        <f t="shared" si="24"/>
        <v>3.928565</v>
      </c>
      <c r="L39" s="60">
        <v>0.126</v>
      </c>
      <c r="M39" s="60">
        <v>0.11592000000000001</v>
      </c>
      <c r="N39" s="75">
        <v>0.173</v>
      </c>
      <c r="O39" s="60">
        <f t="shared" si="25"/>
        <v>0.144</v>
      </c>
      <c r="P39" s="63">
        <v>85.0</v>
      </c>
      <c r="Q39" s="64">
        <v>89.23</v>
      </c>
      <c r="R39" s="65">
        <v>2636.35</v>
      </c>
      <c r="S39" s="66">
        <f t="shared" ref="S39:S41" si="39">IF((90+ROUNDDOWN(O39,1)*100)&lt;95,95,(90+ROUNDDOWN(O39,1)*100))</f>
        <v>100</v>
      </c>
      <c r="U39" s="67">
        <v>100.0</v>
      </c>
      <c r="V39" s="67">
        <v>1.1023</v>
      </c>
      <c r="Y39" s="57">
        <v>30.0</v>
      </c>
      <c r="Z39" s="69">
        <f t="shared" si="27"/>
        <v>30</v>
      </c>
      <c r="AA39" s="70">
        <f t="shared" si="28"/>
        <v>60</v>
      </c>
      <c r="AB39" s="71">
        <f t="shared" si="29"/>
        <v>165.8401973</v>
      </c>
      <c r="AC39" s="71">
        <f>+(S39-T39)*V39-'data 1'!$F$4</f>
        <v>30.23</v>
      </c>
      <c r="AD39" s="71">
        <f t="shared" si="30"/>
        <v>14.901154</v>
      </c>
      <c r="AE39" s="71">
        <f t="shared" si="31"/>
        <v>-3.862</v>
      </c>
      <c r="AF39" s="71">
        <f t="shared" si="32"/>
        <v>-44.90476094</v>
      </c>
      <c r="AG39" s="72">
        <f t="shared" si="33"/>
        <v>13.36439306</v>
      </c>
      <c r="AH39" s="52">
        <f t="shared" si="34"/>
        <v>15.14343684</v>
      </c>
      <c r="AI39" s="73">
        <f t="shared" si="35"/>
        <v>27.46938784</v>
      </c>
      <c r="AJ39" s="73">
        <f t="shared" si="36"/>
        <v>16.48634676</v>
      </c>
      <c r="AK39" s="11"/>
      <c r="AL39" s="51">
        <f t="shared" si="37"/>
        <v>651.5139945</v>
      </c>
      <c r="AM39" s="58">
        <f t="shared" si="14"/>
        <v>16.97123931</v>
      </c>
    </row>
    <row r="40" ht="15.75" customHeight="1">
      <c r="A40" s="92" t="s">
        <v>4138</v>
      </c>
      <c r="B40" s="56">
        <v>45657.0</v>
      </c>
      <c r="C40" s="56">
        <v>45643.0</v>
      </c>
      <c r="D40" s="57" t="s">
        <v>38</v>
      </c>
      <c r="E40" s="57">
        <v>2.0606534923E10</v>
      </c>
      <c r="F40" s="2" t="s">
        <v>4137</v>
      </c>
      <c r="G40" s="3">
        <v>50.0</v>
      </c>
      <c r="H40" s="57" t="s">
        <v>47</v>
      </c>
      <c r="I40" s="58">
        <v>4.14</v>
      </c>
      <c r="J40" s="58">
        <v>10.0</v>
      </c>
      <c r="K40" s="59">
        <f t="shared" si="24"/>
        <v>3.726</v>
      </c>
      <c r="L40" s="60">
        <v>0.1315</v>
      </c>
      <c r="M40" s="60">
        <v>0.12163750000000001</v>
      </c>
      <c r="N40" s="75">
        <v>0.187</v>
      </c>
      <c r="O40" s="60">
        <f t="shared" si="25"/>
        <v>0.154</v>
      </c>
      <c r="P40" s="63">
        <v>85.0</v>
      </c>
      <c r="Q40" s="64">
        <v>89.74</v>
      </c>
      <c r="R40" s="65">
        <v>2636.35</v>
      </c>
      <c r="S40" s="66">
        <f t="shared" si="39"/>
        <v>100</v>
      </c>
      <c r="U40" s="67">
        <v>100.0</v>
      </c>
      <c r="V40" s="67">
        <v>1.1023</v>
      </c>
      <c r="Y40" s="57">
        <v>30.0</v>
      </c>
      <c r="Z40" s="69">
        <f t="shared" si="27"/>
        <v>30</v>
      </c>
      <c r="AA40" s="70">
        <f t="shared" si="28"/>
        <v>60</v>
      </c>
      <c r="AB40" s="71">
        <f t="shared" si="29"/>
        <v>189.6046554</v>
      </c>
      <c r="AC40" s="71">
        <f>+(S40-T40)*V40-'data 1'!$F$4</f>
        <v>30.23</v>
      </c>
      <c r="AD40" s="71">
        <f t="shared" si="30"/>
        <v>17.42661695</v>
      </c>
      <c r="AE40" s="71">
        <f t="shared" si="31"/>
        <v>-3.862</v>
      </c>
      <c r="AF40" s="71">
        <f t="shared" si="32"/>
        <v>-56.45177136</v>
      </c>
      <c r="AG40" s="72">
        <f t="shared" si="33"/>
        <v>4.342845584</v>
      </c>
      <c r="AH40" s="52">
        <f t="shared" si="34"/>
        <v>15.07522275</v>
      </c>
      <c r="AI40" s="73">
        <f t="shared" si="35"/>
        <v>28.83230484</v>
      </c>
      <c r="AJ40" s="73">
        <f t="shared" si="36"/>
        <v>16.72212888</v>
      </c>
      <c r="AK40" s="11"/>
      <c r="AL40" s="51">
        <f t="shared" si="37"/>
        <v>706.466946</v>
      </c>
      <c r="AM40" s="58">
        <f t="shared" si="14"/>
        <v>16.7987773</v>
      </c>
    </row>
    <row r="41" ht="15.75" customHeight="1">
      <c r="A41" s="92" t="s">
        <v>4139</v>
      </c>
      <c r="B41" s="56">
        <v>45657.0</v>
      </c>
      <c r="C41" s="56">
        <v>45643.0</v>
      </c>
      <c r="D41" s="57" t="s">
        <v>38</v>
      </c>
      <c r="E41" s="57">
        <v>2.0606534923E10</v>
      </c>
      <c r="F41" s="2" t="s">
        <v>4137</v>
      </c>
      <c r="G41" s="3">
        <v>50.0</v>
      </c>
      <c r="H41" s="57" t="s">
        <v>47</v>
      </c>
      <c r="I41" s="58">
        <v>3.97</v>
      </c>
      <c r="J41" s="58">
        <v>9.25</v>
      </c>
      <c r="K41" s="59">
        <f t="shared" si="24"/>
        <v>3.602775</v>
      </c>
      <c r="L41" s="60">
        <v>0.136</v>
      </c>
      <c r="M41" s="60">
        <v>0.12580000000000002</v>
      </c>
      <c r="N41" s="75">
        <v>0.207</v>
      </c>
      <c r="O41" s="60">
        <f t="shared" si="25"/>
        <v>0.166</v>
      </c>
      <c r="P41" s="63">
        <v>85.0</v>
      </c>
      <c r="Q41" s="64">
        <v>89.51</v>
      </c>
      <c r="R41" s="65">
        <v>2636.35</v>
      </c>
      <c r="S41" s="66">
        <f t="shared" si="39"/>
        <v>100</v>
      </c>
      <c r="U41" s="67">
        <v>100.0</v>
      </c>
      <c r="V41" s="67">
        <v>1.1023</v>
      </c>
      <c r="Y41" s="57">
        <v>30.0</v>
      </c>
      <c r="Z41" s="69">
        <f t="shared" si="27"/>
        <v>30</v>
      </c>
      <c r="AA41" s="70">
        <f t="shared" si="28"/>
        <v>60</v>
      </c>
      <c r="AB41" s="71">
        <f t="shared" si="29"/>
        <v>218.1220052</v>
      </c>
      <c r="AC41" s="71">
        <f>+(S41-T41)*V41-'data 1'!$F$4</f>
        <v>30.23</v>
      </c>
      <c r="AD41" s="71">
        <f t="shared" si="30"/>
        <v>17.148433</v>
      </c>
      <c r="AE41" s="71">
        <f t="shared" si="31"/>
        <v>-3.862</v>
      </c>
      <c r="AF41" s="71">
        <f t="shared" si="32"/>
        <v>-75.076117</v>
      </c>
      <c r="AG41" s="72">
        <f t="shared" si="33"/>
        <v>-14.559684</v>
      </c>
      <c r="AH41" s="52">
        <f t="shared" si="34"/>
        <v>15.03684335</v>
      </c>
      <c r="AI41" s="73">
        <f t="shared" si="35"/>
        <v>29.74253686</v>
      </c>
      <c r="AJ41" s="73">
        <f t="shared" si="36"/>
        <v>17.42903024</v>
      </c>
      <c r="AK41" s="11"/>
      <c r="AL41" s="51">
        <f t="shared" si="37"/>
        <v>785.8445072</v>
      </c>
      <c r="AM41" s="58">
        <f t="shared" si="14"/>
        <v>16.79906529</v>
      </c>
    </row>
    <row r="42" ht="15.75" customHeight="1">
      <c r="A42" s="92" t="s">
        <v>4140</v>
      </c>
      <c r="B42" s="74">
        <v>45657.0</v>
      </c>
      <c r="C42" s="56">
        <v>45643.0</v>
      </c>
      <c r="D42" s="57" t="s">
        <v>249</v>
      </c>
      <c r="E42" s="57">
        <v>1.0473108823E10</v>
      </c>
      <c r="G42" s="3" t="s">
        <v>46</v>
      </c>
      <c r="H42" s="57" t="s">
        <v>47</v>
      </c>
      <c r="I42" s="58">
        <v>35.66</v>
      </c>
      <c r="J42" s="58">
        <v>25.2</v>
      </c>
      <c r="K42" s="59">
        <f t="shared" si="24"/>
        <v>26.67368</v>
      </c>
      <c r="L42" s="60">
        <v>0.364</v>
      </c>
      <c r="M42" s="60">
        <v>0.349</v>
      </c>
      <c r="N42" s="62">
        <v>0.349</v>
      </c>
      <c r="O42" s="60">
        <f t="shared" si="25"/>
        <v>0.349</v>
      </c>
      <c r="P42" s="201">
        <v>90.0</v>
      </c>
      <c r="Q42" s="64">
        <v>89.56</v>
      </c>
      <c r="R42" s="65">
        <v>2636.35</v>
      </c>
      <c r="S42" s="76">
        <v>100.0</v>
      </c>
      <c r="U42" s="67">
        <v>90.0</v>
      </c>
      <c r="V42" s="67">
        <v>1.1023</v>
      </c>
      <c r="Z42" s="69">
        <f t="shared" si="27"/>
        <v>30</v>
      </c>
      <c r="AA42" s="70">
        <f t="shared" si="28"/>
        <v>30</v>
      </c>
      <c r="AB42" s="71">
        <f t="shared" si="29"/>
        <v>738.3299481</v>
      </c>
      <c r="AC42" s="71">
        <f>+(S42-T42)*V42-'data 1'!$F$4</f>
        <v>30.23</v>
      </c>
      <c r="AD42" s="71">
        <f t="shared" si="30"/>
        <v>-4.495437515</v>
      </c>
      <c r="AE42" s="71">
        <f t="shared" si="31"/>
        <v>-36.931</v>
      </c>
      <c r="AF42" s="71">
        <f t="shared" si="32"/>
        <v>37.70711012</v>
      </c>
      <c r="AG42" s="72">
        <f>+IF(D42="RONALD WILLIAN GARIBAY ESCUDERO",AC42+AD42+AE42+AF42+70,AC42+AD42+AE42+AF42)+70-10</f>
        <v>86.51067261</v>
      </c>
      <c r="AH42" s="52">
        <f t="shared" si="34"/>
        <v>298.1312318</v>
      </c>
      <c r="AI42" s="73">
        <f t="shared" si="35"/>
        <v>76.05601189</v>
      </c>
      <c r="AJ42" s="73">
        <f t="shared" si="36"/>
        <v>287.2499372</v>
      </c>
      <c r="AK42" s="11"/>
      <c r="AL42" s="51">
        <f t="shared" si="37"/>
        <v>19693.97677</v>
      </c>
      <c r="AM42" s="58">
        <f t="shared" si="14"/>
        <v>332.8843589</v>
      </c>
    </row>
    <row r="43" ht="15.75" customHeight="1">
      <c r="A43" s="92" t="s">
        <v>4141</v>
      </c>
      <c r="B43" s="56">
        <v>45656.0</v>
      </c>
      <c r="C43" s="56">
        <v>45645.0</v>
      </c>
      <c r="D43" s="57" t="s">
        <v>53</v>
      </c>
      <c r="E43" s="57">
        <v>1.0457401928E10</v>
      </c>
      <c r="F43" s="57" t="s">
        <v>4142</v>
      </c>
      <c r="G43" s="3">
        <v>173.0</v>
      </c>
      <c r="H43" s="2" t="s">
        <v>47</v>
      </c>
      <c r="I43" s="58">
        <v>12.77</v>
      </c>
      <c r="J43" s="58">
        <v>6.0</v>
      </c>
      <c r="K43" s="59">
        <f t="shared" si="24"/>
        <v>12.0038</v>
      </c>
      <c r="L43" s="60">
        <v>0.099</v>
      </c>
      <c r="M43" s="60">
        <v>0.089</v>
      </c>
      <c r="N43" s="62">
        <v>0.089</v>
      </c>
      <c r="O43" s="60">
        <f t="shared" si="25"/>
        <v>0.089</v>
      </c>
      <c r="P43" s="63">
        <v>90.0</v>
      </c>
      <c r="Q43" s="64">
        <v>89.78</v>
      </c>
      <c r="R43" s="65">
        <v>2592.45</v>
      </c>
      <c r="S43" s="66">
        <f t="shared" ref="S43:S44" si="40">IF((90+ROUNDDOWN(O43,1)*100)&lt;95,95,(90+ROUNDDOWN(O43,1)*100))</f>
        <v>95</v>
      </c>
      <c r="U43" s="67">
        <v>100.0</v>
      </c>
      <c r="V43" s="67">
        <v>1.1023</v>
      </c>
      <c r="Z43" s="69">
        <f t="shared" si="27"/>
        <v>30</v>
      </c>
      <c r="AA43" s="70">
        <f t="shared" si="28"/>
        <v>30</v>
      </c>
      <c r="AB43" s="71">
        <v>0.0</v>
      </c>
      <c r="AC43" s="71">
        <f>+(S43-T43)*V43-'data 1'!$F$4</f>
        <v>24.7185</v>
      </c>
      <c r="AD43" s="71">
        <f t="shared" si="30"/>
        <v>-0.5983897389</v>
      </c>
      <c r="AE43" s="71">
        <f t="shared" si="31"/>
        <v>-36.931</v>
      </c>
      <c r="AF43" s="71">
        <f t="shared" si="32"/>
        <v>24.66640531</v>
      </c>
      <c r="AG43" s="72">
        <f>+IF(D43="RONALD WILLIAN GARIBAY ESCUDERO",AC43+AD43+AE43+AF43+70,AC43+AD43+AE43+AF43)+82</f>
        <v>93.85551557</v>
      </c>
      <c r="AH43" s="52">
        <f t="shared" si="34"/>
        <v>36.57990858</v>
      </c>
      <c r="AI43" s="73">
        <f t="shared" si="35"/>
        <v>26.01722117</v>
      </c>
      <c r="AJ43" s="73">
        <f t="shared" si="36"/>
        <v>32.96555078</v>
      </c>
      <c r="AK43" s="11"/>
      <c r="AL43" s="51">
        <f t="shared" si="37"/>
        <v>0</v>
      </c>
      <c r="AM43" s="58">
        <f t="shared" si="14"/>
        <v>40.74393917</v>
      </c>
    </row>
    <row r="44" ht="15.75" customHeight="1">
      <c r="A44" s="92" t="s">
        <v>4143</v>
      </c>
      <c r="B44" s="56">
        <v>45656.0</v>
      </c>
      <c r="C44" s="56">
        <v>45645.0</v>
      </c>
      <c r="D44" s="57" t="s">
        <v>53</v>
      </c>
      <c r="E44" s="57">
        <v>1.0457401928E10</v>
      </c>
      <c r="F44" s="57" t="s">
        <v>4142</v>
      </c>
      <c r="G44" s="3">
        <v>90.0</v>
      </c>
      <c r="H44" s="57" t="s">
        <v>47</v>
      </c>
      <c r="I44" s="58">
        <v>7.73</v>
      </c>
      <c r="J44" s="58">
        <v>8.1</v>
      </c>
      <c r="K44" s="59">
        <f t="shared" si="24"/>
        <v>7.10387</v>
      </c>
      <c r="L44" s="60">
        <v>0.337</v>
      </c>
      <c r="M44" s="60">
        <v>0.373</v>
      </c>
      <c r="N44" s="62">
        <v>0.324</v>
      </c>
      <c r="O44" s="60">
        <f t="shared" si="25"/>
        <v>0.349</v>
      </c>
      <c r="P44" s="63">
        <v>90.0</v>
      </c>
      <c r="Q44" s="64">
        <v>89.88</v>
      </c>
      <c r="R44" s="65">
        <v>2592.45</v>
      </c>
      <c r="S44" s="66">
        <f t="shared" si="40"/>
        <v>120</v>
      </c>
      <c r="U44" s="67">
        <v>100.0</v>
      </c>
      <c r="V44" s="67">
        <v>1.1023</v>
      </c>
      <c r="Z44" s="69">
        <f t="shared" si="27"/>
        <v>30</v>
      </c>
      <c r="AA44" s="70">
        <f t="shared" si="28"/>
        <v>30</v>
      </c>
      <c r="AB44" s="71">
        <f>+((O44*P44*(R44-U44)/100)-S44-AA44+T44)*V44</f>
        <v>697.6220202</v>
      </c>
      <c r="AC44" s="71">
        <f>+(S44-T44)*V44-'data 1'!$F$4</f>
        <v>52.276</v>
      </c>
      <c r="AD44" s="71">
        <f t="shared" si="30"/>
        <v>-1.111059736</v>
      </c>
      <c r="AE44" s="71">
        <f t="shared" si="31"/>
        <v>-36.931</v>
      </c>
      <c r="AF44" s="71">
        <f t="shared" si="32"/>
        <v>-29.6326555</v>
      </c>
      <c r="AG44" s="72">
        <f>+IF(D44="RONALD WILLIAN GARIBAY ESCUDERO",AC44+AD44+AE44+AF44+70,AC44+AD44+AE44+AF44)+70-53</f>
        <v>1.601284764</v>
      </c>
      <c r="AH44" s="52">
        <f t="shared" si="34"/>
        <v>73.77293115</v>
      </c>
      <c r="AI44" s="73">
        <f t="shared" si="35"/>
        <v>88.66231727</v>
      </c>
      <c r="AJ44" s="73">
        <f t="shared" si="36"/>
        <v>76.50186293</v>
      </c>
      <c r="AK44" s="11"/>
      <c r="AL44" s="51">
        <f t="shared" si="37"/>
        <v>4955.81614</v>
      </c>
      <c r="AM44" s="58">
        <f t="shared" si="14"/>
        <v>82.07936265</v>
      </c>
    </row>
    <row r="45" ht="15.75" customHeight="1">
      <c r="A45" s="92" t="s">
        <v>4144</v>
      </c>
      <c r="B45" s="841"/>
      <c r="C45" s="56"/>
      <c r="E45" s="63"/>
      <c r="F45" s="2"/>
      <c r="G45" s="3"/>
      <c r="I45" s="58"/>
      <c r="J45" s="58"/>
      <c r="K45" s="59"/>
      <c r="L45" s="60"/>
      <c r="M45" s="60"/>
      <c r="N45" s="75"/>
      <c r="O45" s="60"/>
      <c r="P45" s="63"/>
      <c r="Q45" s="64"/>
      <c r="R45" s="65"/>
      <c r="S45" s="76"/>
      <c r="U45" s="67"/>
      <c r="V45" s="67"/>
      <c r="Z45" s="69"/>
      <c r="AA45" s="70"/>
      <c r="AB45" s="71"/>
      <c r="AC45" s="71"/>
      <c r="AD45" s="71"/>
      <c r="AE45" s="71"/>
      <c r="AF45" s="71"/>
      <c r="AG45" s="72"/>
      <c r="AH45" s="52"/>
      <c r="AI45" s="73"/>
      <c r="AJ45" s="73"/>
      <c r="AK45" s="11"/>
      <c r="AL45" s="51"/>
      <c r="AM45" s="58"/>
    </row>
    <row r="46" ht="15.0" customHeight="1">
      <c r="A46" s="92" t="s">
        <v>4145</v>
      </c>
      <c r="B46" s="56"/>
      <c r="C46" s="56"/>
      <c r="E46" s="63"/>
      <c r="G46" s="3"/>
      <c r="I46" s="58"/>
      <c r="J46" s="58"/>
      <c r="K46" s="59"/>
      <c r="L46" s="60"/>
      <c r="M46" s="60"/>
      <c r="N46" s="75"/>
      <c r="O46" s="60"/>
      <c r="P46" s="63"/>
      <c r="R46" s="65"/>
      <c r="S46" s="76"/>
      <c r="U46" s="67"/>
      <c r="V46" s="67"/>
      <c r="Z46" s="69"/>
      <c r="AA46" s="70"/>
      <c r="AB46" s="71"/>
      <c r="AC46" s="71"/>
      <c r="AD46" s="71"/>
      <c r="AE46" s="71"/>
      <c r="AF46" s="71"/>
      <c r="AG46" s="72"/>
      <c r="AH46" s="52"/>
      <c r="AI46" s="73"/>
      <c r="AJ46" s="73"/>
      <c r="AK46" s="11"/>
      <c r="AL46" s="51"/>
      <c r="AM46" s="58"/>
    </row>
    <row r="47" ht="15.75" customHeight="1">
      <c r="A47" s="92" t="s">
        <v>4146</v>
      </c>
      <c r="B47" s="56">
        <v>45657.0</v>
      </c>
      <c r="C47" s="56">
        <v>45646.0</v>
      </c>
      <c r="D47" s="57" t="s">
        <v>38</v>
      </c>
      <c r="E47" s="57">
        <v>2.0606534923E10</v>
      </c>
      <c r="G47" s="3">
        <v>50.0</v>
      </c>
      <c r="H47" s="57" t="s">
        <v>47</v>
      </c>
      <c r="I47" s="58">
        <v>4.6</v>
      </c>
      <c r="J47" s="58">
        <v>5.3</v>
      </c>
      <c r="K47" s="59">
        <f t="shared" ref="K47:K111" si="41">+I47-(I47*(J47/100))</f>
        <v>4.3562</v>
      </c>
      <c r="L47" s="60">
        <v>0.1</v>
      </c>
      <c r="M47" s="60">
        <v>0.09</v>
      </c>
      <c r="N47" s="62">
        <v>0.131</v>
      </c>
      <c r="O47" s="60">
        <f t="shared" ref="O47:O96" si="42">+ROUND((M47+N47)/2,3)</f>
        <v>0.111</v>
      </c>
      <c r="P47" s="63">
        <v>85.0</v>
      </c>
      <c r="Q47" s="57">
        <v>89.77</v>
      </c>
      <c r="R47" s="65">
        <v>2616.45</v>
      </c>
      <c r="S47" s="66">
        <f t="shared" ref="S47:S49" si="43">IF((90+ROUNDDOWN(O47,1)*100)&lt;95,95,(90+ROUNDDOWN(O47,1)*100))</f>
        <v>100</v>
      </c>
      <c r="U47" s="67">
        <v>130.0</v>
      </c>
      <c r="V47" s="67">
        <v>1.1023</v>
      </c>
      <c r="Y47" s="57">
        <v>25.0</v>
      </c>
      <c r="Z47" s="69">
        <f t="shared" ref="Z47:Z49" si="44">IF(IF(D47="UNTUCA",IF(+((W47-3)*1.5+(X47-3)*3.1)&gt;0,+((W47-3)*1.5+(X47-3)*3.1),0),IF(+((W47-3)*1.5+(X47-3)*3.1)&gt;0,+((W47-3)*1.5+(X47-3)*3.1),0))&lt;30,30,IF(D47="UNTUCA",IF(+((W47-3)*1.5+(X47-3)*3.1)&gt;0,+((W47-3)*1.5+(X47-3)*3.1),0),IF(+((W47-3)*1.5+(X47-3)*3.1)&gt;0,+((W47-3)*1.5+(X47-3)*3.1),0)))</f>
        <v>30</v>
      </c>
      <c r="AA47" s="70">
        <f t="shared" ref="AA47:AA111" si="45">+Y47+Z47</f>
        <v>55</v>
      </c>
      <c r="AB47" s="71">
        <f t="shared" ref="AB47:AB48" si="46">+((O47*P47*(R47-U47)/100)-S47-AA47+T47)*V47</f>
        <v>87.73928533</v>
      </c>
      <c r="AC47" s="71">
        <f>+(S47-T47)*V47-'data 1'!$F$4</f>
        <v>30.23</v>
      </c>
      <c r="AD47" s="71">
        <f t="shared" ref="AD47:AD111" si="47">+(Q47-P47)*(R47-U47)*L47*V47/100</f>
        <v>13.07368199</v>
      </c>
      <c r="AE47" s="71">
        <f t="shared" ref="AE47:AE111" si="48">+(Y47*V47-70)+V47*(Z47-IF(D47="UNTUCA",IF(+((W47-3)*2.5+(X47-3)*3.1)&gt;0,+((W47-3)*1.5+(X47-3)*3.1),0),IF(+((W47-3)*1.5+(X47-3)*3.1)&gt;0,+((W47-3)*1.5+(X47-3)*3.1),0)))</f>
        <v>-9.3735</v>
      </c>
      <c r="AF47" s="71">
        <f t="shared" ref="AF47:AF111" si="49">(L47-O47)*(R47-U47)*Q47*V47/100</f>
        <v>-27.06471438</v>
      </c>
      <c r="AG47" s="72">
        <f t="shared" ref="AG47:AG48" si="50">+IF(D47="RONALD WILLIAN GARIBAY ESCUDERO",AC47+AD47+AE47+AF47+70,AC47+AD47+AE47+AF47)</f>
        <v>6.865467616</v>
      </c>
      <c r="AH47" s="52">
        <f t="shared" ref="AH47:AH111" si="51">31.1035*L47*Q47*1.1023*K47/100</f>
        <v>13.40750925</v>
      </c>
      <c r="AI47" s="73">
        <f t="shared" ref="AI47:AI111" si="52">+((+$AI$2-R47+U47)*L47*Q47*V47)/100</f>
        <v>26.87081505</v>
      </c>
      <c r="AJ47" s="73">
        <f t="shared" ref="AJ47:AJ111" si="53">31.1035*1.1023*K47*P47*O47/100</f>
        <v>14.0915506</v>
      </c>
      <c r="AK47" s="11"/>
      <c r="AL47" s="51">
        <f t="shared" ref="AL47:AL111" si="54">+IF(AB47*K47&gt;0,AB47*K47,0)</f>
        <v>382.2098748</v>
      </c>
      <c r="AM47" s="58">
        <f t="shared" ref="AM47:AM111" si="55">+AH47/(Q47/100)</f>
        <v>14.93540074</v>
      </c>
    </row>
    <row r="48" ht="15.75" customHeight="1">
      <c r="A48" s="92" t="s">
        <v>4147</v>
      </c>
      <c r="B48" s="841">
        <v>45657.0</v>
      </c>
      <c r="C48" s="56">
        <v>45646.0</v>
      </c>
      <c r="D48" s="57" t="s">
        <v>38</v>
      </c>
      <c r="E48" s="57">
        <v>2.0606534923E10</v>
      </c>
      <c r="F48" s="2"/>
      <c r="G48" s="3">
        <v>48.0</v>
      </c>
      <c r="H48" s="57" t="s">
        <v>47</v>
      </c>
      <c r="I48" s="58">
        <v>4.69</v>
      </c>
      <c r="J48" s="58">
        <v>5.0</v>
      </c>
      <c r="K48" s="59">
        <f t="shared" si="41"/>
        <v>4.4555</v>
      </c>
      <c r="L48" s="60">
        <v>0.118</v>
      </c>
      <c r="M48" s="60">
        <v>0.108</v>
      </c>
      <c r="N48" s="62">
        <v>0.124</v>
      </c>
      <c r="O48" s="60">
        <f t="shared" si="42"/>
        <v>0.116</v>
      </c>
      <c r="P48" s="63">
        <v>85.0</v>
      </c>
      <c r="Q48" s="64">
        <v>89.63</v>
      </c>
      <c r="R48" s="65">
        <v>2616.45</v>
      </c>
      <c r="S48" s="66">
        <f t="shared" si="43"/>
        <v>100</v>
      </c>
      <c r="U48" s="67">
        <v>130.0</v>
      </c>
      <c r="V48" s="67">
        <v>1.1023</v>
      </c>
      <c r="Y48" s="57">
        <v>25.0</v>
      </c>
      <c r="Z48" s="69">
        <f t="shared" si="44"/>
        <v>30</v>
      </c>
      <c r="AA48" s="70">
        <f t="shared" si="45"/>
        <v>55</v>
      </c>
      <c r="AB48" s="71">
        <f t="shared" si="46"/>
        <v>99.38774413</v>
      </c>
      <c r="AC48" s="71">
        <f>+(S48-T48)*V48-'data 1'!$F$4</f>
        <v>30.23</v>
      </c>
      <c r="AD48" s="71">
        <f t="shared" si="47"/>
        <v>14.97416231</v>
      </c>
      <c r="AE48" s="71">
        <f t="shared" si="48"/>
        <v>-9.3735</v>
      </c>
      <c r="AF48" s="71">
        <f t="shared" si="49"/>
        <v>4.913182881</v>
      </c>
      <c r="AG48" s="72">
        <f t="shared" si="50"/>
        <v>40.74384519</v>
      </c>
      <c r="AH48" s="52">
        <f t="shared" si="51"/>
        <v>16.15626325</v>
      </c>
      <c r="AI48" s="73">
        <f t="shared" si="52"/>
        <v>31.65811251</v>
      </c>
      <c r="AJ48" s="73">
        <f t="shared" si="53"/>
        <v>15.06199268</v>
      </c>
      <c r="AK48" s="11"/>
      <c r="AL48" s="51">
        <f t="shared" si="54"/>
        <v>442.822094</v>
      </c>
      <c r="AM48" s="58">
        <f t="shared" si="55"/>
        <v>18.02550848</v>
      </c>
    </row>
    <row r="49" ht="15.75" customHeight="1">
      <c r="A49" s="92" t="s">
        <v>4148</v>
      </c>
      <c r="B49" s="841">
        <v>45657.0</v>
      </c>
      <c r="C49" s="56">
        <v>45646.0</v>
      </c>
      <c r="D49" s="57" t="s">
        <v>38</v>
      </c>
      <c r="E49" s="57">
        <v>2.0606534923E10</v>
      </c>
      <c r="F49" s="2"/>
      <c r="G49" s="3">
        <v>50.0</v>
      </c>
      <c r="H49" s="57" t="s">
        <v>47</v>
      </c>
      <c r="I49" s="58">
        <v>4.57</v>
      </c>
      <c r="J49" s="58">
        <v>5.5</v>
      </c>
      <c r="K49" s="59">
        <f t="shared" si="41"/>
        <v>4.31865</v>
      </c>
      <c r="L49" s="60">
        <v>0.071</v>
      </c>
      <c r="M49" s="60">
        <v>0.061</v>
      </c>
      <c r="N49" s="62">
        <v>0.061</v>
      </c>
      <c r="O49" s="60">
        <f t="shared" si="42"/>
        <v>0.061</v>
      </c>
      <c r="P49" s="63">
        <v>85.0</v>
      </c>
      <c r="Q49" s="64">
        <v>88.16</v>
      </c>
      <c r="R49" s="65">
        <v>2616.45</v>
      </c>
      <c r="S49" s="66">
        <f t="shared" si="43"/>
        <v>95</v>
      </c>
      <c r="U49" s="67">
        <v>100.0</v>
      </c>
      <c r="V49" s="67">
        <v>1.1023</v>
      </c>
      <c r="Y49" s="57">
        <v>20.0</v>
      </c>
      <c r="Z49" s="69">
        <f t="shared" si="44"/>
        <v>30</v>
      </c>
      <c r="AA49" s="70">
        <f t="shared" si="45"/>
        <v>50</v>
      </c>
      <c r="AB49" s="71">
        <v>0.0</v>
      </c>
      <c r="AC49" s="71">
        <f>+(S49-T49)*V49-'data 1'!$F$4</f>
        <v>24.7185</v>
      </c>
      <c r="AD49" s="71">
        <f t="shared" si="47"/>
        <v>6.223483529</v>
      </c>
      <c r="AE49" s="71">
        <f t="shared" si="48"/>
        <v>-14.885</v>
      </c>
      <c r="AF49" s="71">
        <f t="shared" si="49"/>
        <v>24.45455107</v>
      </c>
      <c r="AG49" s="72">
        <f>+IF(D49="RONALD WILLIAN GARIBAY ESCUDERO",AC49+AD49+AE49+AF49+70,AC49+AD49+AE49+AF49)+6</f>
        <v>46.5115346</v>
      </c>
      <c r="AH49" s="52">
        <f t="shared" si="51"/>
        <v>9.268020977</v>
      </c>
      <c r="AI49" s="73">
        <f t="shared" si="52"/>
        <v>16.6662073</v>
      </c>
      <c r="AJ49" s="73">
        <f t="shared" si="53"/>
        <v>7.677252749</v>
      </c>
      <c r="AK49" s="11"/>
      <c r="AL49" s="51">
        <f t="shared" si="54"/>
        <v>0</v>
      </c>
      <c r="AM49" s="58">
        <f t="shared" si="55"/>
        <v>10.51272797</v>
      </c>
    </row>
    <row r="50" ht="15.75" customHeight="1">
      <c r="A50" s="92" t="s">
        <v>4149</v>
      </c>
      <c r="B50" s="56">
        <v>45650.0</v>
      </c>
      <c r="C50" s="56">
        <v>45646.0</v>
      </c>
      <c r="D50" s="57" t="s">
        <v>74</v>
      </c>
      <c r="E50" s="57">
        <v>1.0082235774E10</v>
      </c>
      <c r="G50" s="3">
        <v>35.0</v>
      </c>
      <c r="H50" s="57" t="s">
        <v>47</v>
      </c>
      <c r="I50" s="58">
        <v>3.85</v>
      </c>
      <c r="J50" s="58">
        <v>1.1</v>
      </c>
      <c r="K50" s="59">
        <f t="shared" si="41"/>
        <v>3.80765</v>
      </c>
      <c r="L50" s="60">
        <v>0.832</v>
      </c>
      <c r="M50" s="60">
        <v>0.819</v>
      </c>
      <c r="N50" s="62">
        <v>0.819</v>
      </c>
      <c r="O50" s="60">
        <f t="shared" si="42"/>
        <v>0.819</v>
      </c>
      <c r="P50" s="63">
        <v>90.0</v>
      </c>
      <c r="Q50" s="64">
        <v>89.0</v>
      </c>
      <c r="R50" s="65">
        <v>2616.45</v>
      </c>
      <c r="S50" s="76">
        <v>140.0</v>
      </c>
      <c r="U50" s="67">
        <v>80.0</v>
      </c>
      <c r="V50" s="67">
        <v>1.1023</v>
      </c>
      <c r="Z50" s="77">
        <v>10.0</v>
      </c>
      <c r="AA50" s="70">
        <f t="shared" si="45"/>
        <v>10</v>
      </c>
      <c r="AB50" s="71">
        <f t="shared" ref="AB50:AB61" si="56">+((O50*P50*(R50-U50)/100)-S50-AA50+T50)*V50</f>
        <v>1895.534144</v>
      </c>
      <c r="AC50" s="71">
        <f>+(S50-T50)*V50-'data 1'!$F$4</f>
        <v>74.322</v>
      </c>
      <c r="AD50" s="71">
        <f t="shared" si="47"/>
        <v>-23.26212791</v>
      </c>
      <c r="AE50" s="71">
        <f t="shared" si="48"/>
        <v>-58.977</v>
      </c>
      <c r="AF50" s="71">
        <f t="shared" si="49"/>
        <v>32.34889662</v>
      </c>
      <c r="AG50" s="72">
        <f t="shared" ref="AG50:AG58" si="57">+IF(D50="RONALD WILLIAN GARIBAY ESCUDERO",AC50+AD50+AE50+AF50+70,AC50+AD50+AE50+AF50)+70</f>
        <v>94.43176871</v>
      </c>
      <c r="AH50" s="52">
        <f t="shared" si="51"/>
        <v>96.66726322</v>
      </c>
      <c r="AI50" s="73">
        <f t="shared" si="52"/>
        <v>180.8360011</v>
      </c>
      <c r="AJ50" s="73">
        <f t="shared" si="53"/>
        <v>96.22601518</v>
      </c>
      <c r="AK50" s="11"/>
      <c r="AL50" s="51">
        <f t="shared" si="54"/>
        <v>7217.530584</v>
      </c>
      <c r="AM50" s="58">
        <f t="shared" si="55"/>
        <v>108.6149025</v>
      </c>
    </row>
    <row r="51" ht="15.75" customHeight="1">
      <c r="A51" s="92" t="s">
        <v>4150</v>
      </c>
      <c r="B51" s="56">
        <v>45650.0</v>
      </c>
      <c r="C51" s="56">
        <v>45646.0</v>
      </c>
      <c r="D51" s="57" t="s">
        <v>74</v>
      </c>
      <c r="E51" s="57">
        <v>1.0082235774E10</v>
      </c>
      <c r="G51" s="3">
        <v>39.0</v>
      </c>
      <c r="H51" s="57" t="s">
        <v>47</v>
      </c>
      <c r="I51" s="58">
        <v>3.83</v>
      </c>
      <c r="J51" s="58">
        <v>1.1</v>
      </c>
      <c r="K51" s="59">
        <f t="shared" si="41"/>
        <v>3.78787</v>
      </c>
      <c r="L51" s="60">
        <v>0.424</v>
      </c>
      <c r="M51" s="60">
        <v>0.418</v>
      </c>
      <c r="N51" s="62">
        <v>0.418</v>
      </c>
      <c r="O51" s="60">
        <f t="shared" si="42"/>
        <v>0.418</v>
      </c>
      <c r="P51" s="63">
        <v>90.0</v>
      </c>
      <c r="Q51" s="64">
        <v>89.46</v>
      </c>
      <c r="R51" s="65">
        <v>2616.45</v>
      </c>
      <c r="S51" s="76">
        <v>115.0</v>
      </c>
      <c r="U51" s="67">
        <v>80.0</v>
      </c>
      <c r="V51" s="67">
        <v>1.1023</v>
      </c>
      <c r="Z51" s="77">
        <v>10.0</v>
      </c>
      <c r="AA51" s="70">
        <f t="shared" si="45"/>
        <v>10</v>
      </c>
      <c r="AB51" s="71">
        <f t="shared" si="56"/>
        <v>914.0409277</v>
      </c>
      <c r="AC51" s="71">
        <f>+(S51-T51)*V51-'data 1'!$F$4</f>
        <v>46.7645</v>
      </c>
      <c r="AD51" s="71">
        <f t="shared" si="47"/>
        <v>-6.401558661</v>
      </c>
      <c r="AE51" s="71">
        <f t="shared" si="48"/>
        <v>-58.977</v>
      </c>
      <c r="AF51" s="71">
        <f t="shared" si="49"/>
        <v>15.00742761</v>
      </c>
      <c r="AG51" s="72">
        <f t="shared" si="57"/>
        <v>66.39336895</v>
      </c>
      <c r="AH51" s="52">
        <f t="shared" si="51"/>
        <v>49.26050789</v>
      </c>
      <c r="AI51" s="73">
        <f t="shared" si="52"/>
        <v>92.63312434</v>
      </c>
      <c r="AJ51" s="73">
        <f t="shared" si="53"/>
        <v>48.85656462</v>
      </c>
      <c r="AK51" s="11"/>
      <c r="AL51" s="51">
        <f t="shared" si="54"/>
        <v>3462.268209</v>
      </c>
      <c r="AM51" s="58">
        <f t="shared" si="55"/>
        <v>55.06428336</v>
      </c>
    </row>
    <row r="52" ht="15.75" customHeight="1">
      <c r="A52" s="92" t="s">
        <v>4151</v>
      </c>
      <c r="B52" s="56">
        <v>45650.0</v>
      </c>
      <c r="C52" s="56">
        <v>45646.0</v>
      </c>
      <c r="D52" s="57" t="s">
        <v>74</v>
      </c>
      <c r="E52" s="57">
        <v>1.0082235774E10</v>
      </c>
      <c r="G52" s="3">
        <v>40.0</v>
      </c>
      <c r="H52" s="57" t="s">
        <v>47</v>
      </c>
      <c r="I52" s="58">
        <v>3.95</v>
      </c>
      <c r="J52" s="58">
        <v>1.9</v>
      </c>
      <c r="K52" s="59">
        <f t="shared" si="41"/>
        <v>3.87495</v>
      </c>
      <c r="L52" s="60">
        <v>0.419</v>
      </c>
      <c r="M52" s="60">
        <v>0.413</v>
      </c>
      <c r="N52" s="62">
        <v>0.413</v>
      </c>
      <c r="O52" s="60">
        <f t="shared" si="42"/>
        <v>0.413</v>
      </c>
      <c r="P52" s="63">
        <v>90.0</v>
      </c>
      <c r="Q52" s="64">
        <v>89.37</v>
      </c>
      <c r="R52" s="65">
        <v>2616.45</v>
      </c>
      <c r="S52" s="76">
        <v>115.0</v>
      </c>
      <c r="U52" s="67">
        <v>80.0</v>
      </c>
      <c r="V52" s="67">
        <v>1.1023</v>
      </c>
      <c r="Z52" s="77">
        <v>10.0</v>
      </c>
      <c r="AA52" s="70">
        <f t="shared" si="45"/>
        <v>10</v>
      </c>
      <c r="AB52" s="71">
        <f t="shared" si="56"/>
        <v>901.459248</v>
      </c>
      <c r="AC52" s="71">
        <f>+(S52-T52)*V52-'data 1'!$F$4</f>
        <v>46.7645</v>
      </c>
      <c r="AD52" s="71">
        <f t="shared" si="47"/>
        <v>-7.380413346</v>
      </c>
      <c r="AE52" s="71">
        <f t="shared" si="48"/>
        <v>-58.977</v>
      </c>
      <c r="AF52" s="71">
        <f t="shared" si="49"/>
        <v>14.9923296</v>
      </c>
      <c r="AG52" s="72">
        <f t="shared" si="57"/>
        <v>65.39941625</v>
      </c>
      <c r="AH52" s="52">
        <f t="shared" si="51"/>
        <v>49.74861027</v>
      </c>
      <c r="AI52" s="73">
        <f t="shared" si="52"/>
        <v>91.44865927</v>
      </c>
      <c r="AJ52" s="73">
        <f t="shared" si="53"/>
        <v>49.38189292</v>
      </c>
      <c r="AK52" s="11"/>
      <c r="AL52" s="51">
        <f t="shared" si="54"/>
        <v>3493.109513</v>
      </c>
      <c r="AM52" s="58">
        <f t="shared" si="55"/>
        <v>55.66589489</v>
      </c>
    </row>
    <row r="53" ht="15.75" customHeight="1">
      <c r="A53" s="92" t="s">
        <v>4152</v>
      </c>
      <c r="B53" s="56">
        <v>45650.0</v>
      </c>
      <c r="C53" s="56">
        <v>45646.0</v>
      </c>
      <c r="D53" s="57" t="s">
        <v>74</v>
      </c>
      <c r="E53" s="57">
        <v>1.0082235774E10</v>
      </c>
      <c r="G53" s="3">
        <v>36.0</v>
      </c>
      <c r="H53" s="57" t="s">
        <v>47</v>
      </c>
      <c r="I53" s="58">
        <v>3.76</v>
      </c>
      <c r="J53" s="58">
        <v>1.8</v>
      </c>
      <c r="K53" s="59">
        <f t="shared" si="41"/>
        <v>3.69232</v>
      </c>
      <c r="L53" s="60">
        <v>0.58</v>
      </c>
      <c r="M53" s="60">
        <v>0.571</v>
      </c>
      <c r="N53" s="62">
        <v>0.571</v>
      </c>
      <c r="O53" s="60">
        <f t="shared" si="42"/>
        <v>0.571</v>
      </c>
      <c r="P53" s="63">
        <v>90.0</v>
      </c>
      <c r="Q53" s="64">
        <v>89.0</v>
      </c>
      <c r="R53" s="65">
        <v>2616.45</v>
      </c>
      <c r="S53" s="76">
        <v>120.0</v>
      </c>
      <c r="U53" s="67">
        <v>80.0</v>
      </c>
      <c r="V53" s="67">
        <v>1.1023</v>
      </c>
      <c r="Z53" s="77">
        <v>10.0</v>
      </c>
      <c r="AA53" s="70">
        <f t="shared" si="45"/>
        <v>10</v>
      </c>
      <c r="AB53" s="71">
        <f t="shared" si="56"/>
        <v>1293.528828</v>
      </c>
      <c r="AC53" s="71">
        <f>+(S53-T53)*V53-'data 1'!$F$4</f>
        <v>52.276</v>
      </c>
      <c r="AD53" s="71">
        <f t="shared" si="47"/>
        <v>-16.21638724</v>
      </c>
      <c r="AE53" s="71">
        <f t="shared" si="48"/>
        <v>-58.977</v>
      </c>
      <c r="AF53" s="71">
        <f t="shared" si="49"/>
        <v>22.39538997</v>
      </c>
      <c r="AG53" s="72">
        <f t="shared" si="57"/>
        <v>69.47800273</v>
      </c>
      <c r="AH53" s="52">
        <f t="shared" si="51"/>
        <v>65.34711251</v>
      </c>
      <c r="AI53" s="73">
        <f t="shared" si="52"/>
        <v>126.0635585</v>
      </c>
      <c r="AJ53" s="73">
        <f t="shared" si="53"/>
        <v>65.05594948</v>
      </c>
      <c r="AK53" s="11"/>
      <c r="AL53" s="51">
        <f t="shared" si="54"/>
        <v>4776.122363</v>
      </c>
      <c r="AM53" s="58">
        <f t="shared" si="55"/>
        <v>73.42372192</v>
      </c>
    </row>
    <row r="54" ht="15.75" customHeight="1">
      <c r="A54" s="92" t="s">
        <v>4153</v>
      </c>
      <c r="B54" s="56">
        <v>45650.0</v>
      </c>
      <c r="C54" s="56">
        <v>45646.0</v>
      </c>
      <c r="D54" s="57" t="s">
        <v>74</v>
      </c>
      <c r="E54" s="57">
        <v>1.0082235774E10</v>
      </c>
      <c r="G54" s="3">
        <v>28.0</v>
      </c>
      <c r="H54" s="57" t="s">
        <v>47</v>
      </c>
      <c r="I54" s="58">
        <v>2.47</v>
      </c>
      <c r="J54" s="58">
        <v>1.0</v>
      </c>
      <c r="K54" s="59">
        <f t="shared" si="41"/>
        <v>2.4453</v>
      </c>
      <c r="L54" s="60">
        <v>1.089</v>
      </c>
      <c r="M54" s="60">
        <v>1.072</v>
      </c>
      <c r="N54" s="62">
        <v>1.072</v>
      </c>
      <c r="O54" s="60">
        <f t="shared" si="42"/>
        <v>1.072</v>
      </c>
      <c r="P54" s="63">
        <v>90.0</v>
      </c>
      <c r="Q54" s="64">
        <v>89.52</v>
      </c>
      <c r="R54" s="65">
        <v>2616.45</v>
      </c>
      <c r="S54" s="76">
        <v>160.0</v>
      </c>
      <c r="U54" s="67">
        <v>80.0</v>
      </c>
      <c r="V54" s="67">
        <v>1.1023</v>
      </c>
      <c r="Z54" s="77">
        <v>10.0</v>
      </c>
      <c r="AA54" s="70">
        <f t="shared" si="45"/>
        <v>10</v>
      </c>
      <c r="AB54" s="71">
        <f t="shared" si="56"/>
        <v>2510.12114</v>
      </c>
      <c r="AC54" s="71">
        <f>+(S54-T54)*V54-'data 1'!$F$4</f>
        <v>96.368</v>
      </c>
      <c r="AD54" s="71">
        <f t="shared" si="47"/>
        <v>-14.61487921</v>
      </c>
      <c r="AE54" s="71">
        <f t="shared" si="48"/>
        <v>-58.977</v>
      </c>
      <c r="AF54" s="71">
        <f t="shared" si="49"/>
        <v>42.54956338</v>
      </c>
      <c r="AG54" s="72">
        <f t="shared" si="57"/>
        <v>135.3256842</v>
      </c>
      <c r="AH54" s="52">
        <f t="shared" si="51"/>
        <v>81.73144371</v>
      </c>
      <c r="AI54" s="73">
        <f t="shared" si="52"/>
        <v>238.0781368</v>
      </c>
      <c r="AJ54" s="73">
        <f t="shared" si="53"/>
        <v>80.88695971</v>
      </c>
      <c r="AK54" s="11"/>
      <c r="AL54" s="51">
        <f t="shared" si="54"/>
        <v>6137.999224</v>
      </c>
      <c r="AM54" s="58">
        <f t="shared" si="55"/>
        <v>91.29964669</v>
      </c>
    </row>
    <row r="55" ht="15.75" customHeight="1">
      <c r="A55" s="92" t="s">
        <v>4154</v>
      </c>
      <c r="B55" s="56">
        <v>45650.0</v>
      </c>
      <c r="C55" s="56">
        <v>45646.0</v>
      </c>
      <c r="D55" s="57" t="s">
        <v>74</v>
      </c>
      <c r="E55" s="57">
        <v>1.0082235774E10</v>
      </c>
      <c r="G55" s="3">
        <v>42.0</v>
      </c>
      <c r="H55" s="57" t="s">
        <v>47</v>
      </c>
      <c r="I55" s="58">
        <v>4.02</v>
      </c>
      <c r="J55" s="58">
        <v>1.9</v>
      </c>
      <c r="K55" s="59">
        <f t="shared" si="41"/>
        <v>3.94362</v>
      </c>
      <c r="L55" s="60">
        <v>0.327</v>
      </c>
      <c r="M55" s="60">
        <v>0.322</v>
      </c>
      <c r="N55" s="62">
        <v>0.322</v>
      </c>
      <c r="O55" s="60">
        <f t="shared" si="42"/>
        <v>0.322</v>
      </c>
      <c r="P55" s="63">
        <v>90.0</v>
      </c>
      <c r="Q55" s="64">
        <v>89.43</v>
      </c>
      <c r="R55" s="65">
        <v>2616.45</v>
      </c>
      <c r="S55" s="76">
        <v>110.0</v>
      </c>
      <c r="U55" s="67">
        <v>80.0</v>
      </c>
      <c r="V55" s="67">
        <v>1.1023</v>
      </c>
      <c r="Z55" s="77">
        <v>10.0</v>
      </c>
      <c r="AA55" s="70">
        <f t="shared" si="45"/>
        <v>10</v>
      </c>
      <c r="AB55" s="71">
        <f t="shared" si="56"/>
        <v>677.9841764</v>
      </c>
      <c r="AC55" s="71">
        <f>+(S55-T55)*V55-'data 1'!$F$4</f>
        <v>41.253</v>
      </c>
      <c r="AD55" s="71">
        <f t="shared" si="47"/>
        <v>-5.211331756</v>
      </c>
      <c r="AE55" s="71">
        <f t="shared" si="48"/>
        <v>-58.977</v>
      </c>
      <c r="AF55" s="71">
        <f t="shared" si="49"/>
        <v>12.50199579</v>
      </c>
      <c r="AG55" s="72">
        <f t="shared" si="57"/>
        <v>59.56666403</v>
      </c>
      <c r="AH55" s="52">
        <f t="shared" si="51"/>
        <v>39.53985872</v>
      </c>
      <c r="AI55" s="73">
        <f t="shared" si="52"/>
        <v>71.41715495</v>
      </c>
      <c r="AJ55" s="73">
        <f t="shared" si="53"/>
        <v>39.18343548</v>
      </c>
      <c r="AK55" s="11"/>
      <c r="AL55" s="51">
        <f t="shared" si="54"/>
        <v>2673.711958</v>
      </c>
      <c r="AM55" s="58">
        <f t="shared" si="55"/>
        <v>44.21319324</v>
      </c>
    </row>
    <row r="56" ht="15.75" customHeight="1">
      <c r="A56" s="92" t="s">
        <v>4155</v>
      </c>
      <c r="B56" s="56">
        <v>45650.0</v>
      </c>
      <c r="C56" s="56">
        <v>45646.0</v>
      </c>
      <c r="D56" s="57" t="s">
        <v>74</v>
      </c>
      <c r="E56" s="57">
        <v>1.0082235774E10</v>
      </c>
      <c r="G56" s="3">
        <v>37.0</v>
      </c>
      <c r="H56" s="57" t="s">
        <v>47</v>
      </c>
      <c r="I56" s="58">
        <v>3.21</v>
      </c>
      <c r="J56" s="58">
        <v>1.7</v>
      </c>
      <c r="K56" s="59">
        <f t="shared" si="41"/>
        <v>3.15543</v>
      </c>
      <c r="L56" s="60">
        <v>1.14</v>
      </c>
      <c r="M56" s="60">
        <v>1.123</v>
      </c>
      <c r="N56" s="62">
        <v>1.123</v>
      </c>
      <c r="O56" s="60">
        <f t="shared" si="42"/>
        <v>1.123</v>
      </c>
      <c r="P56" s="63">
        <v>90.0</v>
      </c>
      <c r="Q56" s="64">
        <v>89.0</v>
      </c>
      <c r="R56" s="65">
        <v>2616.45</v>
      </c>
      <c r="S56" s="76">
        <v>170.0</v>
      </c>
      <c r="U56" s="67">
        <v>80.0</v>
      </c>
      <c r="V56" s="67">
        <v>1.1023</v>
      </c>
      <c r="Z56" s="77">
        <v>10.0</v>
      </c>
      <c r="AA56" s="70">
        <f t="shared" si="45"/>
        <v>10</v>
      </c>
      <c r="AB56" s="71">
        <f t="shared" si="56"/>
        <v>2627.431274</v>
      </c>
      <c r="AC56" s="71">
        <f>+(S56-T56)*V56-'data 1'!$F$4</f>
        <v>107.391</v>
      </c>
      <c r="AD56" s="71">
        <f t="shared" si="47"/>
        <v>-31.87358872</v>
      </c>
      <c r="AE56" s="71">
        <f t="shared" si="48"/>
        <v>-58.977</v>
      </c>
      <c r="AF56" s="71">
        <f t="shared" si="49"/>
        <v>42.30240327</v>
      </c>
      <c r="AG56" s="72">
        <f t="shared" si="57"/>
        <v>128.8428146</v>
      </c>
      <c r="AH56" s="52">
        <f t="shared" si="51"/>
        <v>109.7646451</v>
      </c>
      <c r="AI56" s="73">
        <f t="shared" si="52"/>
        <v>247.7800976</v>
      </c>
      <c r="AJ56" s="73">
        <f t="shared" si="53"/>
        <v>109.342723</v>
      </c>
      <c r="AK56" s="11"/>
      <c r="AL56" s="51">
        <f t="shared" si="54"/>
        <v>8290.675463</v>
      </c>
      <c r="AM56" s="58">
        <f t="shared" si="55"/>
        <v>123.3310619</v>
      </c>
    </row>
    <row r="57" ht="15.75" customHeight="1">
      <c r="A57" s="92" t="s">
        <v>4156</v>
      </c>
      <c r="B57" s="56">
        <v>45650.0</v>
      </c>
      <c r="C57" s="56">
        <v>45646.0</v>
      </c>
      <c r="D57" s="57" t="s">
        <v>74</v>
      </c>
      <c r="E57" s="57">
        <v>1.0082235774E10</v>
      </c>
      <c r="G57" s="3">
        <v>38.0</v>
      </c>
      <c r="H57" s="57" t="s">
        <v>47</v>
      </c>
      <c r="I57" s="58">
        <v>3.2</v>
      </c>
      <c r="J57" s="58">
        <v>1.1</v>
      </c>
      <c r="K57" s="59">
        <f t="shared" si="41"/>
        <v>3.1648</v>
      </c>
      <c r="L57" s="60">
        <v>0.506</v>
      </c>
      <c r="M57" s="60">
        <v>0.498</v>
      </c>
      <c r="N57" s="62">
        <v>0.498</v>
      </c>
      <c r="O57" s="60">
        <f t="shared" si="42"/>
        <v>0.498</v>
      </c>
      <c r="P57" s="63">
        <v>90.0</v>
      </c>
      <c r="Q57" s="64">
        <v>89.0</v>
      </c>
      <c r="R57" s="65">
        <v>2616.45</v>
      </c>
      <c r="S57" s="76">
        <v>115.0</v>
      </c>
      <c r="U57" s="67">
        <v>80.0</v>
      </c>
      <c r="V57" s="67">
        <v>1.1023</v>
      </c>
      <c r="Z57" s="77">
        <v>10.0</v>
      </c>
      <c r="AA57" s="70">
        <f t="shared" si="45"/>
        <v>10</v>
      </c>
      <c r="AB57" s="71">
        <f t="shared" si="56"/>
        <v>1115.347804</v>
      </c>
      <c r="AC57" s="71">
        <f>+(S57-T57)*V57-'data 1'!$F$4</f>
        <v>46.7645</v>
      </c>
      <c r="AD57" s="71">
        <f t="shared" si="47"/>
        <v>-14.14739991</v>
      </c>
      <c r="AE57" s="71">
        <f t="shared" si="48"/>
        <v>-58.977</v>
      </c>
      <c r="AF57" s="71">
        <f t="shared" si="49"/>
        <v>19.90701331</v>
      </c>
      <c r="AG57" s="72">
        <f t="shared" si="57"/>
        <v>63.5471134</v>
      </c>
      <c r="AH57" s="52">
        <f t="shared" si="51"/>
        <v>48.86477042</v>
      </c>
      <c r="AI57" s="73">
        <f t="shared" si="52"/>
        <v>109.9795872</v>
      </c>
      <c r="AJ57" s="73">
        <f t="shared" si="53"/>
        <v>48.63256673</v>
      </c>
      <c r="AK57" s="11"/>
      <c r="AL57" s="51">
        <f t="shared" si="54"/>
        <v>3529.85273</v>
      </c>
      <c r="AM57" s="58">
        <f t="shared" si="55"/>
        <v>54.90423643</v>
      </c>
    </row>
    <row r="58" ht="15.75" customHeight="1">
      <c r="A58" s="92" t="s">
        <v>4157</v>
      </c>
      <c r="B58" s="56">
        <v>45650.0</v>
      </c>
      <c r="C58" s="56">
        <v>45646.0</v>
      </c>
      <c r="D58" s="57" t="s">
        <v>74</v>
      </c>
      <c r="E58" s="57">
        <v>1.0082235774E10</v>
      </c>
      <c r="G58" s="3">
        <v>57.0</v>
      </c>
      <c r="H58" s="57" t="s">
        <v>47</v>
      </c>
      <c r="I58" s="58">
        <v>5.0</v>
      </c>
      <c r="J58" s="58">
        <v>1.5</v>
      </c>
      <c r="K58" s="59">
        <f t="shared" si="41"/>
        <v>4.925</v>
      </c>
      <c r="L58" s="60">
        <v>1.066</v>
      </c>
      <c r="M58" s="60">
        <v>1.05</v>
      </c>
      <c r="N58" s="62">
        <v>1.05</v>
      </c>
      <c r="O58" s="60">
        <f t="shared" si="42"/>
        <v>1.05</v>
      </c>
      <c r="P58" s="63">
        <v>90.0</v>
      </c>
      <c r="Q58" s="64">
        <v>89.0</v>
      </c>
      <c r="R58" s="65">
        <v>2616.45</v>
      </c>
      <c r="S58" s="76">
        <v>160.0</v>
      </c>
      <c r="U58" s="67">
        <v>80.0</v>
      </c>
      <c r="V58" s="67">
        <v>1.1023</v>
      </c>
      <c r="Z58" s="77">
        <v>10.0</v>
      </c>
      <c r="AA58" s="70">
        <f t="shared" si="45"/>
        <v>10</v>
      </c>
      <c r="AB58" s="71">
        <f t="shared" si="56"/>
        <v>2454.761749</v>
      </c>
      <c r="AC58" s="71">
        <f>+(S58-T58)*V58-'data 1'!$F$4</f>
        <v>96.368</v>
      </c>
      <c r="AD58" s="71">
        <f t="shared" si="47"/>
        <v>-29.80460138</v>
      </c>
      <c r="AE58" s="71">
        <f t="shared" si="48"/>
        <v>-58.977</v>
      </c>
      <c r="AF58" s="71">
        <f t="shared" si="49"/>
        <v>39.81402661</v>
      </c>
      <c r="AG58" s="72">
        <f t="shared" si="57"/>
        <v>117.4004252</v>
      </c>
      <c r="AH58" s="52">
        <f t="shared" si="51"/>
        <v>160.2000014</v>
      </c>
      <c r="AI58" s="73">
        <f t="shared" si="52"/>
        <v>231.6961264</v>
      </c>
      <c r="AJ58" s="73">
        <f t="shared" si="53"/>
        <v>159.5684817</v>
      </c>
      <c r="AK58" s="11"/>
      <c r="AL58" s="51">
        <f t="shared" si="54"/>
        <v>12089.70161</v>
      </c>
      <c r="AM58" s="58">
        <f t="shared" si="55"/>
        <v>180.0000015</v>
      </c>
    </row>
    <row r="59" ht="15.75" customHeight="1">
      <c r="A59" s="92" t="s">
        <v>4158</v>
      </c>
      <c r="B59" s="56">
        <v>45656.0</v>
      </c>
      <c r="C59" s="56">
        <v>45646.0</v>
      </c>
      <c r="D59" s="57" t="s">
        <v>53</v>
      </c>
      <c r="E59" s="57">
        <v>1.0457401928E10</v>
      </c>
      <c r="F59" s="57" t="s">
        <v>4142</v>
      </c>
      <c r="G59" s="3">
        <v>85.0</v>
      </c>
      <c r="H59" s="57" t="s">
        <v>47</v>
      </c>
      <c r="I59" s="58">
        <v>7.45</v>
      </c>
      <c r="J59" s="58">
        <v>7.0</v>
      </c>
      <c r="K59" s="59">
        <f t="shared" si="41"/>
        <v>6.9285</v>
      </c>
      <c r="L59" s="60">
        <v>0.369</v>
      </c>
      <c r="M59" s="842">
        <v>0.35424</v>
      </c>
      <c r="N59" s="62">
        <v>0.35424</v>
      </c>
      <c r="O59" s="60">
        <f t="shared" si="42"/>
        <v>0.354</v>
      </c>
      <c r="P59" s="63">
        <v>90.0</v>
      </c>
      <c r="Q59" s="64">
        <v>89.53</v>
      </c>
      <c r="R59" s="65">
        <v>2616.45</v>
      </c>
      <c r="S59" s="66">
        <f t="shared" ref="S59:S65" si="58">IF((90+ROUNDDOWN(O59,1)*100)&lt;95,95,(90+ROUNDDOWN(O59,1)*100))</f>
        <v>120</v>
      </c>
      <c r="U59" s="67">
        <v>100.0</v>
      </c>
      <c r="V59" s="67">
        <v>1.1023</v>
      </c>
      <c r="Z59" s="69">
        <f t="shared" ref="Z59:Z102" si="59">IF(IF(D59="UNTUCA",IF(+((W59-3)*1.5+(X59-3)*3.1)&gt;0,+((W59-3)*1.5+(X59-3)*3.1),0),IF(+((W59-3)*1.5+(X59-3)*3.1)&gt;0,+((W59-3)*1.5+(X59-3)*3.1),0))&lt;30,30,IF(D59="UNTUCA",IF(+((W59-3)*1.5+(X59-3)*3.1)&gt;0,+((W59-3)*1.5+(X59-3)*3.1),0),IF(+((W59-3)*1.5+(X59-3)*3.1)&gt;0,+((W59-3)*1.5+(X59-3)*3.1),0)))</f>
        <v>30</v>
      </c>
      <c r="AA59" s="70">
        <f t="shared" si="45"/>
        <v>30</v>
      </c>
      <c r="AB59" s="71">
        <f t="shared" si="56"/>
        <v>718.4140712</v>
      </c>
      <c r="AC59" s="71">
        <f>+(S59-T59)*V59-'data 1'!$F$4</f>
        <v>52.276</v>
      </c>
      <c r="AD59" s="71">
        <f t="shared" si="47"/>
        <v>-4.810745001</v>
      </c>
      <c r="AE59" s="71">
        <f t="shared" si="48"/>
        <v>-36.931</v>
      </c>
      <c r="AF59" s="71">
        <f t="shared" si="49"/>
        <v>37.25185953</v>
      </c>
      <c r="AG59" s="72">
        <f t="shared" ref="AG59:AG61" si="60">+IF(D59="RONALD WILLIAN GARIBAY ESCUDERO",AC59+AD59+AE59+AF59+70,AC59+AD59+AE59+AF59)+70-53</f>
        <v>64.78611453</v>
      </c>
      <c r="AH59" s="52">
        <f t="shared" si="51"/>
        <v>78.47715335</v>
      </c>
      <c r="AI59" s="73">
        <f t="shared" si="52"/>
        <v>87.96335794</v>
      </c>
      <c r="AJ59" s="73">
        <f t="shared" si="53"/>
        <v>75.68225472</v>
      </c>
      <c r="AK59" s="11"/>
      <c r="AL59" s="51">
        <f t="shared" si="54"/>
        <v>4977.531893</v>
      </c>
      <c r="AM59" s="58">
        <f t="shared" si="55"/>
        <v>87.6545888</v>
      </c>
    </row>
    <row r="60" ht="15.75" customHeight="1">
      <c r="A60" s="92" t="s">
        <v>4159</v>
      </c>
      <c r="B60" s="56">
        <v>45656.0</v>
      </c>
      <c r="C60" s="56">
        <v>45646.0</v>
      </c>
      <c r="D60" s="57" t="s">
        <v>53</v>
      </c>
      <c r="E60" s="57">
        <v>1.0457401928E10</v>
      </c>
      <c r="F60" s="57" t="s">
        <v>4142</v>
      </c>
      <c r="G60" s="3" t="s">
        <v>46</v>
      </c>
      <c r="H60" s="57" t="s">
        <v>47</v>
      </c>
      <c r="I60" s="58">
        <v>12.26</v>
      </c>
      <c r="J60" s="58">
        <v>6.5</v>
      </c>
      <c r="K60" s="59">
        <f t="shared" si="41"/>
        <v>11.4631</v>
      </c>
      <c r="L60" s="60">
        <v>0.113</v>
      </c>
      <c r="M60" s="62">
        <v>0.10283</v>
      </c>
      <c r="N60" s="75">
        <v>0.133</v>
      </c>
      <c r="O60" s="60">
        <f t="shared" si="42"/>
        <v>0.118</v>
      </c>
      <c r="P60" s="63">
        <v>85.0</v>
      </c>
      <c r="Q60" s="64">
        <v>89.49</v>
      </c>
      <c r="R60" s="65">
        <v>2616.45</v>
      </c>
      <c r="S60" s="66">
        <f t="shared" si="58"/>
        <v>100</v>
      </c>
      <c r="U60" s="67">
        <v>100.0</v>
      </c>
      <c r="V60" s="67">
        <v>1.1023</v>
      </c>
      <c r="Z60" s="69">
        <f t="shared" si="59"/>
        <v>30</v>
      </c>
      <c r="AA60" s="70">
        <f t="shared" si="45"/>
        <v>30</v>
      </c>
      <c r="AB60" s="71">
        <f t="shared" si="56"/>
        <v>134.9214484</v>
      </c>
      <c r="AC60" s="71">
        <f>+(S60-T60)*V60-'data 1'!$F$4</f>
        <v>30.23</v>
      </c>
      <c r="AD60" s="71">
        <f t="shared" si="47"/>
        <v>14.07384934</v>
      </c>
      <c r="AE60" s="71">
        <f t="shared" si="48"/>
        <v>-36.931</v>
      </c>
      <c r="AF60" s="71">
        <f t="shared" si="49"/>
        <v>-12.41173875</v>
      </c>
      <c r="AG60" s="72">
        <f t="shared" si="60"/>
        <v>11.96111059</v>
      </c>
      <c r="AH60" s="52">
        <f t="shared" si="51"/>
        <v>39.74331619</v>
      </c>
      <c r="AI60" s="73">
        <f t="shared" si="52"/>
        <v>26.9252535</v>
      </c>
      <c r="AJ60" s="73">
        <f t="shared" si="53"/>
        <v>39.41958823</v>
      </c>
      <c r="AK60" s="11"/>
      <c r="AL60" s="51">
        <f t="shared" si="54"/>
        <v>1546.618055</v>
      </c>
      <c r="AM60" s="58">
        <f t="shared" si="55"/>
        <v>44.41090199</v>
      </c>
    </row>
    <row r="61" ht="15.75" customHeight="1">
      <c r="A61" s="92" t="s">
        <v>4160</v>
      </c>
      <c r="B61" s="56">
        <v>45656.0</v>
      </c>
      <c r="C61" s="56">
        <v>45647.0</v>
      </c>
      <c r="D61" s="57" t="s">
        <v>225</v>
      </c>
      <c r="E61" s="57">
        <v>1.0761932735E10</v>
      </c>
      <c r="G61" s="3">
        <v>19.0</v>
      </c>
      <c r="H61" s="57" t="s">
        <v>71</v>
      </c>
      <c r="I61" s="58">
        <v>1.72</v>
      </c>
      <c r="J61" s="58">
        <v>10.0</v>
      </c>
      <c r="K61" s="59">
        <f t="shared" si="41"/>
        <v>1.548</v>
      </c>
      <c r="L61" s="60">
        <v>0.2575</v>
      </c>
      <c r="M61" s="62">
        <v>0.2472</v>
      </c>
      <c r="N61" s="75">
        <v>0.259</v>
      </c>
      <c r="O61" s="60">
        <f t="shared" si="42"/>
        <v>0.253</v>
      </c>
      <c r="P61" s="63">
        <v>90.0</v>
      </c>
      <c r="Q61" s="64">
        <v>89.0</v>
      </c>
      <c r="R61" s="65">
        <v>2616.45</v>
      </c>
      <c r="S61" s="66">
        <f t="shared" si="58"/>
        <v>110</v>
      </c>
      <c r="U61" s="67">
        <v>100.0</v>
      </c>
      <c r="V61" s="67">
        <v>1.1023</v>
      </c>
      <c r="Z61" s="69">
        <f t="shared" si="59"/>
        <v>30</v>
      </c>
      <c r="AA61" s="70">
        <f t="shared" si="45"/>
        <v>30</v>
      </c>
      <c r="AB61" s="71">
        <f t="shared" si="56"/>
        <v>477.2911215</v>
      </c>
      <c r="AC61" s="71">
        <f>+(S61-T61)*V61-'data 1'!$F$4</f>
        <v>41.253</v>
      </c>
      <c r="AD61" s="71">
        <f t="shared" si="47"/>
        <v>-7.1427483</v>
      </c>
      <c r="AE61" s="71">
        <f t="shared" si="48"/>
        <v>-36.931</v>
      </c>
      <c r="AF61" s="71">
        <f t="shared" si="49"/>
        <v>11.10940075</v>
      </c>
      <c r="AG61" s="72">
        <f t="shared" si="60"/>
        <v>25.28865245</v>
      </c>
      <c r="AH61" s="52">
        <f t="shared" si="51"/>
        <v>12.16318369</v>
      </c>
      <c r="AI61" s="73">
        <f t="shared" si="52"/>
        <v>61.02026498</v>
      </c>
      <c r="AJ61" s="73">
        <f t="shared" si="53"/>
        <v>12.08489987</v>
      </c>
      <c r="AK61" s="11"/>
      <c r="AL61" s="51">
        <f t="shared" si="54"/>
        <v>738.8466561</v>
      </c>
      <c r="AM61" s="58">
        <f t="shared" si="55"/>
        <v>13.66649853</v>
      </c>
    </row>
    <row r="62" ht="15.75" customHeight="1">
      <c r="A62" s="92" t="s">
        <v>4161</v>
      </c>
      <c r="B62" s="56">
        <v>45656.0</v>
      </c>
      <c r="C62" s="56">
        <v>45647.0</v>
      </c>
      <c r="D62" s="57" t="s">
        <v>225</v>
      </c>
      <c r="E62" s="57">
        <v>1.0761932735E10</v>
      </c>
      <c r="G62" s="3" t="s">
        <v>46</v>
      </c>
      <c r="H62" s="57" t="s">
        <v>71</v>
      </c>
      <c r="I62" s="58">
        <v>7.19</v>
      </c>
      <c r="J62" s="58">
        <v>14.6</v>
      </c>
      <c r="K62" s="59">
        <f t="shared" si="41"/>
        <v>6.14026</v>
      </c>
      <c r="L62" s="60">
        <v>0.0805</v>
      </c>
      <c r="M62" s="62">
        <v>0.07084</v>
      </c>
      <c r="N62" s="62">
        <v>0.07084</v>
      </c>
      <c r="O62" s="60">
        <f t="shared" si="42"/>
        <v>0.071</v>
      </c>
      <c r="P62" s="63">
        <v>90.0</v>
      </c>
      <c r="Q62" s="64">
        <v>89.0</v>
      </c>
      <c r="R62" s="65">
        <v>2616.45</v>
      </c>
      <c r="S62" s="66">
        <f t="shared" si="58"/>
        <v>95</v>
      </c>
      <c r="U62" s="67">
        <v>130.0</v>
      </c>
      <c r="V62" s="67">
        <v>1.1023</v>
      </c>
      <c r="Y62" s="57">
        <v>10.0</v>
      </c>
      <c r="Z62" s="69">
        <f t="shared" si="59"/>
        <v>30</v>
      </c>
      <c r="AA62" s="70">
        <f t="shared" si="45"/>
        <v>40</v>
      </c>
      <c r="AB62" s="71">
        <v>0.0</v>
      </c>
      <c r="AC62" s="71">
        <f>+(S62-T62)*V62-'data 1'!$F$4</f>
        <v>24.7185</v>
      </c>
      <c r="AD62" s="71">
        <f t="shared" si="47"/>
        <v>-2.206355137</v>
      </c>
      <c r="AE62" s="71">
        <f t="shared" si="48"/>
        <v>-25.908</v>
      </c>
      <c r="AF62" s="71">
        <f t="shared" si="49"/>
        <v>23.17358097</v>
      </c>
      <c r="AG62" s="72">
        <f>+IF(D62="RONALD WILLIAN GARIBAY ESCUDERO",AC62+AD62+AE62+AF62+70,AC62+AD62+AE62+AF62)+26</f>
        <v>45.77772584</v>
      </c>
      <c r="AH62" s="52">
        <f t="shared" si="51"/>
        <v>15.08279115</v>
      </c>
      <c r="AI62" s="73">
        <f t="shared" si="52"/>
        <v>21.44546668</v>
      </c>
      <c r="AJ62" s="73">
        <f t="shared" si="53"/>
        <v>13.45230448</v>
      </c>
      <c r="AK62" s="11"/>
      <c r="AL62" s="51">
        <f t="shared" si="54"/>
        <v>0</v>
      </c>
      <c r="AM62" s="58">
        <f t="shared" si="55"/>
        <v>16.94695634</v>
      </c>
    </row>
    <row r="63" ht="15.75" customHeight="1">
      <c r="A63" s="92" t="s">
        <v>4162</v>
      </c>
      <c r="B63" s="56">
        <v>45656.0</v>
      </c>
      <c r="C63" s="56">
        <v>45647.0</v>
      </c>
      <c r="D63" s="57" t="s">
        <v>225</v>
      </c>
      <c r="E63" s="57">
        <v>1.0761932735E10</v>
      </c>
      <c r="G63" s="3">
        <v>15.0</v>
      </c>
      <c r="H63" s="57" t="s">
        <v>71</v>
      </c>
      <c r="I63" s="58">
        <v>1.24</v>
      </c>
      <c r="J63" s="58">
        <v>18.3</v>
      </c>
      <c r="K63" s="59">
        <f t="shared" si="41"/>
        <v>1.01308</v>
      </c>
      <c r="L63" s="60">
        <v>0.26</v>
      </c>
      <c r="M63" s="62">
        <v>0.2548</v>
      </c>
      <c r="N63" s="62">
        <v>0.2548</v>
      </c>
      <c r="O63" s="60">
        <f t="shared" si="42"/>
        <v>0.255</v>
      </c>
      <c r="P63" s="63">
        <v>90.0</v>
      </c>
      <c r="Q63" s="64">
        <v>89.0</v>
      </c>
      <c r="R63" s="65">
        <v>2616.45</v>
      </c>
      <c r="S63" s="66">
        <f t="shared" si="58"/>
        <v>110</v>
      </c>
      <c r="U63" s="67">
        <v>100.0</v>
      </c>
      <c r="V63" s="67">
        <v>1.1023</v>
      </c>
      <c r="Z63" s="69">
        <f t="shared" si="59"/>
        <v>30</v>
      </c>
      <c r="AA63" s="70">
        <f t="shared" si="45"/>
        <v>30</v>
      </c>
      <c r="AB63" s="71">
        <f>+((O63*P63*(R63-U63)/100)-S63-AA63+T63)*V63</f>
        <v>482.2841106</v>
      </c>
      <c r="AC63" s="71">
        <f>+(S63-T63)*V63-'data 1'!$F$4</f>
        <v>41.253</v>
      </c>
      <c r="AD63" s="71">
        <f t="shared" si="47"/>
        <v>-7.212095371</v>
      </c>
      <c r="AE63" s="71">
        <f t="shared" si="48"/>
        <v>-36.931</v>
      </c>
      <c r="AF63" s="71">
        <f t="shared" si="49"/>
        <v>12.34377862</v>
      </c>
      <c r="AG63" s="72">
        <f>+IF(D63="RONALD WILLIAN GARIBAY ESCUDERO",AC63+AD63+AE63+AF63+70,AC63+AD63+AE63+AF63)+70-53</f>
        <v>26.45368324</v>
      </c>
      <c r="AH63" s="52">
        <f t="shared" si="51"/>
        <v>8.03741079</v>
      </c>
      <c r="AI63" s="73">
        <f t="shared" si="52"/>
        <v>61.61269474</v>
      </c>
      <c r="AJ63" s="73">
        <f t="shared" si="53"/>
        <v>7.971416492</v>
      </c>
      <c r="AK63" s="11"/>
      <c r="AL63" s="51">
        <f t="shared" si="54"/>
        <v>488.5923868</v>
      </c>
      <c r="AM63" s="58">
        <f t="shared" si="55"/>
        <v>9.030798641</v>
      </c>
    </row>
    <row r="64" ht="15.75" customHeight="1">
      <c r="A64" s="92" t="s">
        <v>4163</v>
      </c>
      <c r="B64" s="56">
        <v>45656.0</v>
      </c>
      <c r="C64" s="56">
        <v>45647.0</v>
      </c>
      <c r="D64" s="57" t="s">
        <v>225</v>
      </c>
      <c r="E64" s="57">
        <v>1.0761932735E10</v>
      </c>
      <c r="G64" s="3">
        <v>66.0</v>
      </c>
      <c r="H64" s="57" t="s">
        <v>71</v>
      </c>
      <c r="I64" s="58">
        <v>5.51</v>
      </c>
      <c r="J64" s="58">
        <v>16.4</v>
      </c>
      <c r="K64" s="59">
        <f t="shared" si="41"/>
        <v>4.60636</v>
      </c>
      <c r="L64" s="60">
        <v>0.082</v>
      </c>
      <c r="M64" s="60">
        <v>0.072</v>
      </c>
      <c r="N64" s="60">
        <v>0.072</v>
      </c>
      <c r="O64" s="60">
        <f t="shared" si="42"/>
        <v>0.072</v>
      </c>
      <c r="P64" s="63">
        <v>90.0</v>
      </c>
      <c r="Q64" s="64">
        <v>89.0</v>
      </c>
      <c r="R64" s="65">
        <v>2616.45</v>
      </c>
      <c r="S64" s="66">
        <f t="shared" si="58"/>
        <v>95</v>
      </c>
      <c r="U64" s="67">
        <v>130.0</v>
      </c>
      <c r="V64" s="67">
        <v>1.1023</v>
      </c>
      <c r="Y64" s="57">
        <v>10.0</v>
      </c>
      <c r="Z64" s="69">
        <f t="shared" si="59"/>
        <v>30</v>
      </c>
      <c r="AA64" s="70">
        <f t="shared" si="45"/>
        <v>40</v>
      </c>
      <c r="AB64" s="71">
        <v>0.0</v>
      </c>
      <c r="AC64" s="71">
        <f>+(S64-T64)*V64-'data 1'!$F$4</f>
        <v>24.7185</v>
      </c>
      <c r="AD64" s="71">
        <f t="shared" si="47"/>
        <v>-2.247467345</v>
      </c>
      <c r="AE64" s="71">
        <f t="shared" si="48"/>
        <v>-25.908</v>
      </c>
      <c r="AF64" s="71">
        <f t="shared" si="49"/>
        <v>24.39324313</v>
      </c>
      <c r="AG64" s="72">
        <f>+IF(D64="RONALD WILLIAN GARIBAY ESCUDERO",AC64+AD64+AE64+AF64+70,AC64+AD64+AE64+AF64)+23</f>
        <v>43.95627579</v>
      </c>
      <c r="AH64" s="52">
        <f t="shared" si="51"/>
        <v>11.52579271</v>
      </c>
      <c r="AI64" s="73">
        <f t="shared" si="52"/>
        <v>21.84507165</v>
      </c>
      <c r="AJ64" s="73">
        <f t="shared" si="53"/>
        <v>10.23391844</v>
      </c>
      <c r="AK64" s="11"/>
      <c r="AL64" s="51">
        <f t="shared" si="54"/>
        <v>0</v>
      </c>
      <c r="AM64" s="58">
        <f t="shared" si="55"/>
        <v>12.95032889</v>
      </c>
    </row>
    <row r="65" ht="15.75" customHeight="1">
      <c r="A65" s="92" t="s">
        <v>4164</v>
      </c>
      <c r="B65" s="56">
        <v>45656.0</v>
      </c>
      <c r="C65" s="56">
        <v>45647.0</v>
      </c>
      <c r="D65" s="57" t="s">
        <v>225</v>
      </c>
      <c r="E65" s="57">
        <v>1.0761932735E10</v>
      </c>
      <c r="G65" s="3" t="s">
        <v>46</v>
      </c>
      <c r="H65" s="57" t="s">
        <v>71</v>
      </c>
      <c r="I65" s="58">
        <v>4.69</v>
      </c>
      <c r="J65" s="58">
        <v>20.7</v>
      </c>
      <c r="K65" s="59">
        <f t="shared" si="41"/>
        <v>3.71917</v>
      </c>
      <c r="L65" s="60">
        <v>0.0875</v>
      </c>
      <c r="M65" s="60">
        <v>0.125</v>
      </c>
      <c r="N65" s="62">
        <v>0.125</v>
      </c>
      <c r="O65" s="60">
        <f t="shared" si="42"/>
        <v>0.125</v>
      </c>
      <c r="P65" s="63">
        <v>85.0</v>
      </c>
      <c r="Q65" s="64">
        <v>89.0</v>
      </c>
      <c r="R65" s="65">
        <v>2616.45</v>
      </c>
      <c r="S65" s="66">
        <f t="shared" si="58"/>
        <v>100</v>
      </c>
      <c r="U65" s="67">
        <v>100.0</v>
      </c>
      <c r="V65" s="67">
        <v>1.1023</v>
      </c>
      <c r="Z65" s="69">
        <f t="shared" si="59"/>
        <v>30</v>
      </c>
      <c r="AA65" s="70">
        <f t="shared" si="45"/>
        <v>30</v>
      </c>
      <c r="AB65" s="71">
        <f t="shared" ref="AB65:AB111" si="61">+((O65*P65*(R65-U65)/100)-S65-AA65+T65)*V65</f>
        <v>151.4260512</v>
      </c>
      <c r="AC65" s="71">
        <f>+(S65-T65)*V65-'data 1'!$F$4</f>
        <v>30.23</v>
      </c>
      <c r="AD65" s="71">
        <f t="shared" si="47"/>
        <v>9.708589923</v>
      </c>
      <c r="AE65" s="71">
        <f t="shared" si="48"/>
        <v>-36.931</v>
      </c>
      <c r="AF65" s="71">
        <f t="shared" si="49"/>
        <v>-92.57833962</v>
      </c>
      <c r="AG65" s="72">
        <f t="shared" ref="AG65:AG67" si="62">+IF(D65="RONALD WILLIAN GARIBAY ESCUDERO",AC65+AD65+AE65+AF65+70,AC65+AD65+AE65+AF65)+70-53</f>
        <v>-72.5707497</v>
      </c>
      <c r="AH65" s="52">
        <f t="shared" si="51"/>
        <v>9.930089412</v>
      </c>
      <c r="AI65" s="73">
        <f t="shared" si="52"/>
        <v>20.7350415</v>
      </c>
      <c r="AJ65" s="73">
        <f t="shared" si="53"/>
        <v>13.54827608</v>
      </c>
      <c r="AK65" s="11"/>
      <c r="AL65" s="51">
        <f t="shared" si="54"/>
        <v>563.1792269</v>
      </c>
      <c r="AM65" s="58">
        <f t="shared" si="55"/>
        <v>11.15740383</v>
      </c>
    </row>
    <row r="66" ht="15.75" customHeight="1">
      <c r="A66" s="92" t="s">
        <v>4165</v>
      </c>
      <c r="B66" s="74">
        <v>45666.0</v>
      </c>
      <c r="C66" s="56">
        <v>45647.0</v>
      </c>
      <c r="D66" s="57" t="s">
        <v>4166</v>
      </c>
      <c r="E66" s="57">
        <v>1.0315432397E10</v>
      </c>
      <c r="G66" s="3" t="s">
        <v>46</v>
      </c>
      <c r="H66" s="57" t="s">
        <v>47</v>
      </c>
      <c r="I66" s="58">
        <v>20.45</v>
      </c>
      <c r="J66" s="58">
        <v>22.3</v>
      </c>
      <c r="K66" s="59">
        <f t="shared" si="41"/>
        <v>15.88965</v>
      </c>
      <c r="L66" s="60">
        <v>0.1285</v>
      </c>
      <c r="M66" s="62">
        <v>0.12336</v>
      </c>
      <c r="N66" s="62">
        <v>0.135</v>
      </c>
      <c r="O66" s="60">
        <f t="shared" si="42"/>
        <v>0.129</v>
      </c>
      <c r="P66" s="63">
        <v>85.0</v>
      </c>
      <c r="Q66" s="64">
        <v>89.75</v>
      </c>
      <c r="R66" s="65">
        <v>2616.45</v>
      </c>
      <c r="S66" s="76">
        <v>110.0</v>
      </c>
      <c r="U66" s="67">
        <v>90.0</v>
      </c>
      <c r="V66" s="67">
        <v>1.1023</v>
      </c>
      <c r="Z66" s="69">
        <f t="shared" si="59"/>
        <v>30</v>
      </c>
      <c r="AA66" s="70">
        <f t="shared" si="45"/>
        <v>30</v>
      </c>
      <c r="AB66" s="71">
        <f t="shared" si="61"/>
        <v>151.0429248</v>
      </c>
      <c r="AC66" s="71">
        <f>+(S66-T66)*V66-'data 1'!$F$4</f>
        <v>41.253</v>
      </c>
      <c r="AD66" s="71">
        <f t="shared" si="47"/>
        <v>16.99836899</v>
      </c>
      <c r="AE66" s="71">
        <f t="shared" si="48"/>
        <v>-36.931</v>
      </c>
      <c r="AF66" s="71">
        <f t="shared" si="49"/>
        <v>-1.249726493</v>
      </c>
      <c r="AG66" s="72">
        <f t="shared" si="62"/>
        <v>37.0706425</v>
      </c>
      <c r="AH66" s="52">
        <f t="shared" si="51"/>
        <v>62.82912122</v>
      </c>
      <c r="AI66" s="73">
        <f t="shared" si="52"/>
        <v>29.43622932</v>
      </c>
      <c r="AJ66" s="73">
        <f t="shared" si="53"/>
        <v>59.7354358</v>
      </c>
      <c r="AK66" s="11"/>
      <c r="AL66" s="51">
        <f t="shared" si="54"/>
        <v>2400.01921</v>
      </c>
      <c r="AM66" s="58">
        <f t="shared" si="55"/>
        <v>70.00459189</v>
      </c>
    </row>
    <row r="67" ht="15.75" customHeight="1">
      <c r="A67" s="92" t="s">
        <v>4167</v>
      </c>
      <c r="B67" s="56">
        <v>45660.0</v>
      </c>
      <c r="C67" s="56">
        <v>45647.0</v>
      </c>
      <c r="D67" s="57" t="s">
        <v>225</v>
      </c>
      <c r="E67" s="57">
        <v>1.0761932735E10</v>
      </c>
      <c r="F67" s="57" t="s">
        <v>4168</v>
      </c>
      <c r="G67" s="3">
        <v>48.0</v>
      </c>
      <c r="H67" s="57" t="s">
        <v>47</v>
      </c>
      <c r="I67" s="58">
        <v>4.47</v>
      </c>
      <c r="J67" s="58">
        <v>8.5</v>
      </c>
      <c r="K67" s="59">
        <f t="shared" si="41"/>
        <v>4.09005</v>
      </c>
      <c r="L67" s="60">
        <v>0.199</v>
      </c>
      <c r="M67" s="60">
        <v>0.21</v>
      </c>
      <c r="N67" s="62">
        <v>0.21</v>
      </c>
      <c r="O67" s="60">
        <f t="shared" si="42"/>
        <v>0.21</v>
      </c>
      <c r="P67" s="63">
        <v>90.0</v>
      </c>
      <c r="Q67" s="64">
        <v>89.88</v>
      </c>
      <c r="R67" s="65">
        <v>2616.45</v>
      </c>
      <c r="S67" s="66">
        <f t="shared" ref="S67:S70" si="63">IF((90+ROUNDDOWN(O67,1)*100)&lt;95,95,(90+ROUNDDOWN(O67,1)*100))</f>
        <v>110</v>
      </c>
      <c r="U67" s="67">
        <v>130.0</v>
      </c>
      <c r="V67" s="67">
        <v>1.1023</v>
      </c>
      <c r="Y67" s="57">
        <v>10.0</v>
      </c>
      <c r="Z67" s="69">
        <f t="shared" si="59"/>
        <v>30</v>
      </c>
      <c r="AA67" s="70">
        <f t="shared" si="45"/>
        <v>40</v>
      </c>
      <c r="AB67" s="71">
        <f t="shared" si="61"/>
        <v>352.6688148</v>
      </c>
      <c r="AC67" s="71">
        <f>+(S67-T67)*V67-'data 1'!$F$4</f>
        <v>41.253</v>
      </c>
      <c r="AD67" s="71">
        <f t="shared" si="47"/>
        <v>-0.6545063438</v>
      </c>
      <c r="AE67" s="71">
        <f t="shared" si="48"/>
        <v>-25.908</v>
      </c>
      <c r="AF67" s="71">
        <f t="shared" si="49"/>
        <v>-27.09787822</v>
      </c>
      <c r="AG67" s="72">
        <f t="shared" si="62"/>
        <v>4.592615432</v>
      </c>
      <c r="AH67" s="52">
        <f t="shared" si="51"/>
        <v>25.08151852</v>
      </c>
      <c r="AI67" s="73">
        <f t="shared" si="52"/>
        <v>53.53844519</v>
      </c>
      <c r="AJ67" s="73">
        <f t="shared" si="53"/>
        <v>26.50327181</v>
      </c>
      <c r="AK67" s="11"/>
      <c r="AL67" s="51">
        <f t="shared" si="54"/>
        <v>1442.433086</v>
      </c>
      <c r="AM67" s="58">
        <f t="shared" si="55"/>
        <v>27.90556133</v>
      </c>
    </row>
    <row r="68" ht="15.75" customHeight="1">
      <c r="A68" s="92" t="s">
        <v>4169</v>
      </c>
      <c r="B68" s="56">
        <v>45660.0</v>
      </c>
      <c r="C68" s="56">
        <v>45647.0</v>
      </c>
      <c r="D68" s="57" t="s">
        <v>225</v>
      </c>
      <c r="E68" s="57">
        <v>1.0761932735E10</v>
      </c>
      <c r="F68" s="57" t="s">
        <v>4168</v>
      </c>
      <c r="G68" s="3">
        <v>131.0</v>
      </c>
      <c r="H68" s="57" t="s">
        <v>71</v>
      </c>
      <c r="I68" s="58">
        <v>12.25</v>
      </c>
      <c r="J68" s="58">
        <v>12.1</v>
      </c>
      <c r="K68" s="59">
        <f t="shared" si="41"/>
        <v>10.76775</v>
      </c>
      <c r="L68" s="60">
        <v>0.439</v>
      </c>
      <c r="M68" s="60">
        <v>0.42144</v>
      </c>
      <c r="N68" s="75">
        <v>0.452</v>
      </c>
      <c r="O68" s="60">
        <f t="shared" si="42"/>
        <v>0.437</v>
      </c>
      <c r="P68" s="63">
        <v>90.0</v>
      </c>
      <c r="Q68" s="64">
        <v>89.71</v>
      </c>
      <c r="R68" s="65">
        <v>2616.45</v>
      </c>
      <c r="S68" s="66">
        <f t="shared" si="63"/>
        <v>130</v>
      </c>
      <c r="U68" s="67">
        <v>120.0</v>
      </c>
      <c r="V68" s="67">
        <v>1.1023</v>
      </c>
      <c r="Y68" s="57">
        <v>15.0</v>
      </c>
      <c r="Z68" s="69">
        <f t="shared" si="59"/>
        <v>30</v>
      </c>
      <c r="AA68" s="70">
        <f t="shared" si="45"/>
        <v>45</v>
      </c>
      <c r="AB68" s="71">
        <f t="shared" si="61"/>
        <v>889.3949272</v>
      </c>
      <c r="AC68" s="71">
        <f>+(S68-T68)*V68-'data 1'!$F$4</f>
        <v>63.299</v>
      </c>
      <c r="AD68" s="71">
        <f t="shared" si="47"/>
        <v>-3.503363475</v>
      </c>
      <c r="AE68" s="71">
        <f t="shared" si="48"/>
        <v>-20.3965</v>
      </c>
      <c r="AF68" s="71">
        <f t="shared" si="49"/>
        <v>4.937345649</v>
      </c>
      <c r="AG68" s="72">
        <f t="shared" ref="AG68:AG70" si="64">+IF(D68="RONALD WILLIAN GARIBAY ESCUDERO",AC68+AD68+AE68+AF68+70,AC68+AD68+AE68+AF68)</f>
        <v>44.33648217</v>
      </c>
      <c r="AH68" s="52">
        <f t="shared" si="51"/>
        <v>145.3916315</v>
      </c>
      <c r="AI68" s="73">
        <f t="shared" si="52"/>
        <v>113.5428807</v>
      </c>
      <c r="AJ68" s="73">
        <f t="shared" si="53"/>
        <v>145.1971124</v>
      </c>
      <c r="AK68" s="11"/>
      <c r="AL68" s="51">
        <f t="shared" si="54"/>
        <v>9576.782227</v>
      </c>
      <c r="AM68" s="58">
        <f t="shared" si="55"/>
        <v>162.0684779</v>
      </c>
    </row>
    <row r="69" ht="15.75" customHeight="1">
      <c r="A69" s="92" t="s">
        <v>4170</v>
      </c>
      <c r="B69" s="56">
        <v>45660.0</v>
      </c>
      <c r="C69" s="56">
        <v>45647.0</v>
      </c>
      <c r="D69" s="57" t="s">
        <v>225</v>
      </c>
      <c r="E69" s="57">
        <v>1.0761932735E10</v>
      </c>
      <c r="F69" s="57" t="s">
        <v>4168</v>
      </c>
      <c r="G69" s="3">
        <v>80.0</v>
      </c>
      <c r="H69" s="57" t="s">
        <v>47</v>
      </c>
      <c r="I69" s="58">
        <v>7.59</v>
      </c>
      <c r="J69" s="58">
        <v>8.7</v>
      </c>
      <c r="K69" s="59">
        <f t="shared" si="41"/>
        <v>6.92967</v>
      </c>
      <c r="L69" s="60">
        <v>0.7484999999999999</v>
      </c>
      <c r="M69" s="60">
        <v>0.7185599999999999</v>
      </c>
      <c r="N69" s="75">
        <v>0.885</v>
      </c>
      <c r="O69" s="60">
        <f t="shared" si="42"/>
        <v>0.802</v>
      </c>
      <c r="P69" s="63">
        <v>90.0</v>
      </c>
      <c r="Q69" s="64">
        <v>89.69</v>
      </c>
      <c r="R69" s="65">
        <v>2616.45</v>
      </c>
      <c r="S69" s="66">
        <f t="shared" si="63"/>
        <v>170</v>
      </c>
      <c r="U69" s="67">
        <v>120.0</v>
      </c>
      <c r="V69" s="67">
        <v>1.1023</v>
      </c>
      <c r="Y69" s="57">
        <v>15.0</v>
      </c>
      <c r="Z69" s="69">
        <f t="shared" si="59"/>
        <v>30</v>
      </c>
      <c r="AA69" s="70">
        <f t="shared" si="45"/>
        <v>45</v>
      </c>
      <c r="AB69" s="71">
        <f t="shared" si="61"/>
        <v>1749.281328</v>
      </c>
      <c r="AC69" s="71">
        <f>+(S69-T69)*V69-'data 1'!$F$4</f>
        <v>107.391</v>
      </c>
      <c r="AD69" s="71">
        <f t="shared" si="47"/>
        <v>-6.3852246</v>
      </c>
      <c r="AE69" s="71">
        <f t="shared" si="48"/>
        <v>-20.3965</v>
      </c>
      <c r="AF69" s="71">
        <f t="shared" si="49"/>
        <v>-132.0445515</v>
      </c>
      <c r="AG69" s="72">
        <f t="shared" si="64"/>
        <v>-51.43527607</v>
      </c>
      <c r="AH69" s="52">
        <f t="shared" si="51"/>
        <v>159.4988115</v>
      </c>
      <c r="AI69" s="73">
        <f t="shared" si="52"/>
        <v>193.5487454</v>
      </c>
      <c r="AJ69" s="73">
        <f t="shared" si="53"/>
        <v>171.4898816</v>
      </c>
      <c r="AK69" s="11"/>
      <c r="AL69" s="51">
        <f t="shared" si="54"/>
        <v>12121.94234</v>
      </c>
      <c r="AM69" s="58">
        <f t="shared" si="55"/>
        <v>177.8334391</v>
      </c>
    </row>
    <row r="70" ht="15.75" customHeight="1">
      <c r="A70" s="92" t="s">
        <v>4171</v>
      </c>
      <c r="B70" s="56">
        <v>45660.0</v>
      </c>
      <c r="C70" s="56">
        <v>45647.0</v>
      </c>
      <c r="D70" s="57" t="s">
        <v>225</v>
      </c>
      <c r="E70" s="57">
        <v>1.0761932735E10</v>
      </c>
      <c r="F70" s="57" t="s">
        <v>4168</v>
      </c>
      <c r="G70" s="3" t="s">
        <v>46</v>
      </c>
      <c r="H70" s="57" t="s">
        <v>47</v>
      </c>
      <c r="I70" s="58">
        <v>19.42</v>
      </c>
      <c r="J70" s="58">
        <v>6.4</v>
      </c>
      <c r="K70" s="59">
        <f t="shared" si="41"/>
        <v>18.17712</v>
      </c>
      <c r="L70" s="60">
        <v>0.1895</v>
      </c>
      <c r="M70" s="60">
        <v>0.173</v>
      </c>
      <c r="N70" s="75">
        <v>0.208</v>
      </c>
      <c r="O70" s="60">
        <f t="shared" si="42"/>
        <v>0.191</v>
      </c>
      <c r="P70" s="63">
        <v>90.0</v>
      </c>
      <c r="Q70" s="64">
        <v>89.56</v>
      </c>
      <c r="R70" s="65">
        <v>2616.45</v>
      </c>
      <c r="S70" s="66">
        <f t="shared" si="63"/>
        <v>100</v>
      </c>
      <c r="U70" s="67">
        <v>120.0</v>
      </c>
      <c r="V70" s="67">
        <v>1.1023</v>
      </c>
      <c r="Y70" s="57">
        <v>15.0</v>
      </c>
      <c r="Z70" s="69">
        <f t="shared" si="59"/>
        <v>30</v>
      </c>
      <c r="AA70" s="70">
        <f t="shared" si="45"/>
        <v>45</v>
      </c>
      <c r="AB70" s="71">
        <f t="shared" si="61"/>
        <v>313.2072519</v>
      </c>
      <c r="AC70" s="71">
        <f>+(S70-T70)*V70-'data 1'!$F$4</f>
        <v>30.23</v>
      </c>
      <c r="AD70" s="71">
        <f t="shared" si="47"/>
        <v>-2.294481553</v>
      </c>
      <c r="AE70" s="71">
        <f t="shared" si="48"/>
        <v>-20.3965</v>
      </c>
      <c r="AF70" s="71">
        <f t="shared" si="49"/>
        <v>-3.696817604</v>
      </c>
      <c r="AG70" s="72">
        <f t="shared" si="64"/>
        <v>3.842200843</v>
      </c>
      <c r="AH70" s="52">
        <f t="shared" si="51"/>
        <v>105.7687673</v>
      </c>
      <c r="AI70" s="73">
        <f t="shared" si="52"/>
        <v>48.93029465</v>
      </c>
      <c r="AJ70" s="73">
        <f t="shared" si="53"/>
        <v>107.1297324</v>
      </c>
      <c r="AK70" s="11"/>
      <c r="AL70" s="51">
        <f t="shared" si="54"/>
        <v>5693.205803</v>
      </c>
      <c r="AM70" s="58">
        <f t="shared" si="55"/>
        <v>118.0982216</v>
      </c>
    </row>
    <row r="71" ht="15.75" customHeight="1">
      <c r="A71" s="92" t="s">
        <v>4172</v>
      </c>
      <c r="B71" s="56">
        <v>45652.0</v>
      </c>
      <c r="C71" s="56">
        <v>45648.0</v>
      </c>
      <c r="D71" s="57" t="s">
        <v>104</v>
      </c>
      <c r="E71" s="57">
        <v>1.0479968131E10</v>
      </c>
      <c r="G71" s="3">
        <v>30.0</v>
      </c>
      <c r="H71" s="57" t="s">
        <v>47</v>
      </c>
      <c r="I71" s="58">
        <v>2.88</v>
      </c>
      <c r="J71" s="58">
        <v>1.9</v>
      </c>
      <c r="K71" s="59">
        <f t="shared" si="41"/>
        <v>2.82528</v>
      </c>
      <c r="L71" s="60">
        <v>0.378</v>
      </c>
      <c r="M71" s="60">
        <v>0.36288</v>
      </c>
      <c r="N71" s="62">
        <v>0.36288</v>
      </c>
      <c r="O71" s="60">
        <f t="shared" si="42"/>
        <v>0.363</v>
      </c>
      <c r="P71" s="63">
        <v>90.0</v>
      </c>
      <c r="Q71" s="64">
        <v>89.78</v>
      </c>
      <c r="R71" s="65">
        <v>2613.8</v>
      </c>
      <c r="S71" s="76">
        <v>125.0</v>
      </c>
      <c r="U71" s="67">
        <v>120.0</v>
      </c>
      <c r="V71" s="67">
        <v>1.1023</v>
      </c>
      <c r="Y71" s="57">
        <v>10.0</v>
      </c>
      <c r="Z71" s="69">
        <f t="shared" si="59"/>
        <v>30</v>
      </c>
      <c r="AA71" s="70">
        <f t="shared" si="45"/>
        <v>40</v>
      </c>
      <c r="AB71" s="71">
        <f t="shared" si="61"/>
        <v>716.1912723</v>
      </c>
      <c r="AC71" s="71">
        <f>+(S71-T71)*V71-'data 1'!$F$4</f>
        <v>57.7875</v>
      </c>
      <c r="AD71" s="71">
        <f t="shared" si="47"/>
        <v>-2.285998329</v>
      </c>
      <c r="AE71" s="71">
        <f t="shared" si="48"/>
        <v>-25.908</v>
      </c>
      <c r="AF71" s="71">
        <f t="shared" si="49"/>
        <v>37.01964827</v>
      </c>
      <c r="AG71" s="72">
        <f t="shared" ref="AG71:AG78" si="65">+IF(D71="RONALD WILLIAN GARIBAY ESCUDERO",AC71+AD71+AE71+AF71+70,AC71+AD71+AE71+AF71)+70-53</f>
        <v>83.61314994</v>
      </c>
      <c r="AH71" s="52">
        <f t="shared" si="51"/>
        <v>32.87319874</v>
      </c>
      <c r="AI71" s="73">
        <f t="shared" si="52"/>
        <v>98.83346501</v>
      </c>
      <c r="AJ71" s="73">
        <f t="shared" si="53"/>
        <v>31.64606377</v>
      </c>
      <c r="AK71" s="11"/>
      <c r="AL71" s="51">
        <f t="shared" si="54"/>
        <v>2023.440878</v>
      </c>
      <c r="AM71" s="58">
        <f t="shared" si="55"/>
        <v>36.61528039</v>
      </c>
    </row>
    <row r="72" ht="15.75" customHeight="1">
      <c r="A72" s="92" t="s">
        <v>4173</v>
      </c>
      <c r="B72" s="56">
        <v>45652.0</v>
      </c>
      <c r="C72" s="56">
        <v>45648.0</v>
      </c>
      <c r="D72" s="57" t="s">
        <v>104</v>
      </c>
      <c r="E72" s="57">
        <v>1.0479968131E10</v>
      </c>
      <c r="G72" s="3">
        <v>55.0</v>
      </c>
      <c r="H72" s="57" t="s">
        <v>47</v>
      </c>
      <c r="I72" s="58">
        <v>5.47</v>
      </c>
      <c r="J72" s="58">
        <v>1.6</v>
      </c>
      <c r="K72" s="59">
        <f t="shared" si="41"/>
        <v>5.38248</v>
      </c>
      <c r="L72" s="60">
        <v>0.274</v>
      </c>
      <c r="M72" s="60">
        <v>0.26304</v>
      </c>
      <c r="N72" s="62">
        <v>0.299</v>
      </c>
      <c r="O72" s="60">
        <f t="shared" si="42"/>
        <v>0.281</v>
      </c>
      <c r="P72" s="63">
        <v>90.0</v>
      </c>
      <c r="Q72" s="64">
        <v>89.86</v>
      </c>
      <c r="R72" s="65">
        <v>2613.8</v>
      </c>
      <c r="S72" s="66">
        <f t="shared" ref="S72:S73" si="66">IF((90+ROUNDDOWN(O72,1)*100)&lt;95,95,(90+ROUNDDOWN(O72,1)*100))</f>
        <v>110</v>
      </c>
      <c r="U72" s="67">
        <v>120.0</v>
      </c>
      <c r="V72" s="67">
        <v>1.1023</v>
      </c>
      <c r="Y72" s="57">
        <v>10.0</v>
      </c>
      <c r="Z72" s="69">
        <f t="shared" si="59"/>
        <v>30</v>
      </c>
      <c r="AA72" s="70">
        <f t="shared" si="45"/>
        <v>40</v>
      </c>
      <c r="AB72" s="71">
        <f t="shared" si="61"/>
        <v>529.8557906</v>
      </c>
      <c r="AC72" s="71">
        <f>+(S72-T72)*V72-'data 1'!$F$4</f>
        <v>41.253</v>
      </c>
      <c r="AD72" s="71">
        <f t="shared" si="47"/>
        <v>-1.054484078</v>
      </c>
      <c r="AE72" s="71">
        <f t="shared" si="48"/>
        <v>-25.908</v>
      </c>
      <c r="AF72" s="71">
        <f t="shared" si="49"/>
        <v>-17.29122979</v>
      </c>
      <c r="AG72" s="72">
        <f t="shared" si="65"/>
        <v>13.99928613</v>
      </c>
      <c r="AH72" s="52">
        <f t="shared" si="51"/>
        <v>45.43687675</v>
      </c>
      <c r="AI72" s="73">
        <f t="shared" si="52"/>
        <v>71.70502603</v>
      </c>
      <c r="AJ72" s="73">
        <f t="shared" si="53"/>
        <v>46.67027107</v>
      </c>
      <c r="AK72" s="11"/>
      <c r="AL72" s="51">
        <f t="shared" si="54"/>
        <v>2851.938196</v>
      </c>
      <c r="AM72" s="58">
        <f t="shared" si="55"/>
        <v>50.56407384</v>
      </c>
    </row>
    <row r="73" ht="15.75" customHeight="1">
      <c r="A73" s="92" t="s">
        <v>4174</v>
      </c>
      <c r="B73" s="56">
        <v>45652.0</v>
      </c>
      <c r="C73" s="56">
        <v>45649.0</v>
      </c>
      <c r="D73" s="57" t="s">
        <v>104</v>
      </c>
      <c r="E73" s="57">
        <v>1.0479968131E10</v>
      </c>
      <c r="G73" s="3">
        <v>98.0</v>
      </c>
      <c r="H73" s="57" t="s">
        <v>47</v>
      </c>
      <c r="I73" s="58">
        <v>8.1</v>
      </c>
      <c r="J73" s="58">
        <v>1.4</v>
      </c>
      <c r="K73" s="59">
        <f t="shared" si="41"/>
        <v>7.9866</v>
      </c>
      <c r="L73" s="60">
        <v>0.14200000000000002</v>
      </c>
      <c r="M73" s="60">
        <v>0.13206</v>
      </c>
      <c r="N73" s="62">
        <v>0.13206</v>
      </c>
      <c r="O73" s="60">
        <f t="shared" si="42"/>
        <v>0.132</v>
      </c>
      <c r="P73" s="63">
        <v>90.0</v>
      </c>
      <c r="Q73" s="64">
        <v>89.59</v>
      </c>
      <c r="R73" s="65">
        <v>2613.8</v>
      </c>
      <c r="S73" s="66">
        <f t="shared" si="66"/>
        <v>100</v>
      </c>
      <c r="U73" s="67">
        <v>130.0</v>
      </c>
      <c r="V73" s="67">
        <v>1.1023</v>
      </c>
      <c r="Y73" s="57">
        <v>10.0</v>
      </c>
      <c r="Z73" s="69">
        <f t="shared" si="59"/>
        <v>30</v>
      </c>
      <c r="AA73" s="70">
        <f t="shared" si="45"/>
        <v>40</v>
      </c>
      <c r="AB73" s="71">
        <f t="shared" si="61"/>
        <v>170.9396575</v>
      </c>
      <c r="AC73" s="71">
        <f>+(S73-T73)*V73-'data 1'!$F$4</f>
        <v>30.23</v>
      </c>
      <c r="AD73" s="71">
        <f t="shared" si="47"/>
        <v>-1.594001153</v>
      </c>
      <c r="AE73" s="71">
        <f t="shared" si="48"/>
        <v>-25.908</v>
      </c>
      <c r="AF73" s="71">
        <f t="shared" si="49"/>
        <v>24.52878106</v>
      </c>
      <c r="AG73" s="72">
        <f t="shared" si="65"/>
        <v>44.2567799</v>
      </c>
      <c r="AH73" s="52">
        <f t="shared" si="51"/>
        <v>34.83524618</v>
      </c>
      <c r="AI73" s="73">
        <f t="shared" si="52"/>
        <v>38.45166401</v>
      </c>
      <c r="AJ73" s="73">
        <f t="shared" si="53"/>
        <v>32.53025321</v>
      </c>
      <c r="AK73" s="11"/>
      <c r="AL73" s="51">
        <f t="shared" si="54"/>
        <v>1365.226669</v>
      </c>
      <c r="AM73" s="58">
        <f t="shared" si="55"/>
        <v>38.88296259</v>
      </c>
    </row>
    <row r="74" ht="15.75" customHeight="1">
      <c r="A74" s="92" t="s">
        <v>4175</v>
      </c>
      <c r="B74" s="74">
        <v>45663.0</v>
      </c>
      <c r="C74" s="56">
        <v>45649.0</v>
      </c>
      <c r="D74" s="57" t="s">
        <v>82</v>
      </c>
      <c r="E74" s="57">
        <v>2.0601620147E10</v>
      </c>
      <c r="G74" s="3" t="s">
        <v>46</v>
      </c>
      <c r="H74" s="57" t="s">
        <v>47</v>
      </c>
      <c r="I74" s="58">
        <v>25.54</v>
      </c>
      <c r="J74" s="58">
        <v>1.8</v>
      </c>
      <c r="K74" s="59">
        <f t="shared" si="41"/>
        <v>25.08028</v>
      </c>
      <c r="L74" s="60">
        <v>0.289</v>
      </c>
      <c r="M74" s="60">
        <v>0.277</v>
      </c>
      <c r="N74" s="62">
        <v>0.345</v>
      </c>
      <c r="O74" s="60">
        <f t="shared" si="42"/>
        <v>0.311</v>
      </c>
      <c r="P74" s="63">
        <v>90.0</v>
      </c>
      <c r="Q74" s="64">
        <v>89.0</v>
      </c>
      <c r="R74" s="65">
        <v>2609.1</v>
      </c>
      <c r="S74" s="66">
        <v>110.0</v>
      </c>
      <c r="U74" s="67">
        <v>90.0</v>
      </c>
      <c r="V74" s="67">
        <v>1.1023</v>
      </c>
      <c r="Y74" s="57">
        <v>10.0</v>
      </c>
      <c r="Z74" s="69">
        <f t="shared" si="59"/>
        <v>30</v>
      </c>
      <c r="AA74" s="70">
        <f t="shared" si="45"/>
        <v>40</v>
      </c>
      <c r="AB74" s="71">
        <f t="shared" si="61"/>
        <v>611.88242</v>
      </c>
      <c r="AC74" s="71">
        <f>+(S74-T74)*V74-'data 1'!$F$4</f>
        <v>41.253</v>
      </c>
      <c r="AD74" s="71">
        <f t="shared" si="47"/>
        <v>-8.024963358</v>
      </c>
      <c r="AE74" s="71">
        <f t="shared" si="48"/>
        <v>-25.908</v>
      </c>
      <c r="AF74" s="71">
        <f t="shared" si="49"/>
        <v>-54.36982095</v>
      </c>
      <c r="AG74" s="72">
        <f t="shared" si="65"/>
        <v>-30.04978431</v>
      </c>
      <c r="AH74" s="52">
        <f t="shared" si="51"/>
        <v>221.1715693</v>
      </c>
      <c r="AI74" s="73">
        <f t="shared" si="52"/>
        <v>67.73354508</v>
      </c>
      <c r="AJ74" s="73">
        <f t="shared" si="53"/>
        <v>240.6824083</v>
      </c>
      <c r="AK74" s="11"/>
      <c r="AL74" s="51">
        <f t="shared" si="54"/>
        <v>15346.18242</v>
      </c>
      <c r="AM74" s="58">
        <f t="shared" si="55"/>
        <v>248.5073812</v>
      </c>
    </row>
    <row r="75" ht="15.75" customHeight="1">
      <c r="A75" s="92" t="s">
        <v>4176</v>
      </c>
      <c r="B75" s="56">
        <v>45652.0</v>
      </c>
      <c r="C75" s="56">
        <v>45649.0</v>
      </c>
      <c r="D75" s="57" t="s">
        <v>38</v>
      </c>
      <c r="E75" s="57">
        <v>2.0606534923E10</v>
      </c>
      <c r="G75" s="3">
        <v>69.0</v>
      </c>
      <c r="H75" s="57" t="s">
        <v>47</v>
      </c>
      <c r="I75" s="58">
        <v>6.97</v>
      </c>
      <c r="J75" s="58">
        <v>1.5</v>
      </c>
      <c r="K75" s="59">
        <f t="shared" si="41"/>
        <v>6.86545</v>
      </c>
      <c r="L75" s="60">
        <v>0.609</v>
      </c>
      <c r="M75" s="60">
        <v>0.584</v>
      </c>
      <c r="N75" s="62">
        <v>0.584</v>
      </c>
      <c r="O75" s="60">
        <f t="shared" si="42"/>
        <v>0.584</v>
      </c>
      <c r="P75" s="63">
        <v>90.0</v>
      </c>
      <c r="Q75" s="64">
        <v>89.76</v>
      </c>
      <c r="R75" s="65">
        <v>2613.8</v>
      </c>
      <c r="S75" s="76">
        <v>130.0</v>
      </c>
      <c r="U75" s="67">
        <v>120.0</v>
      </c>
      <c r="V75" s="67">
        <v>1.1023</v>
      </c>
      <c r="Y75" s="57">
        <v>20.0</v>
      </c>
      <c r="Z75" s="69">
        <f t="shared" si="59"/>
        <v>30</v>
      </c>
      <c r="AA75" s="70">
        <f t="shared" si="45"/>
        <v>50</v>
      </c>
      <c r="AB75" s="71">
        <f t="shared" si="61"/>
        <v>1246.416113</v>
      </c>
      <c r="AC75" s="71">
        <f>+(S75-T75)*V75-'data 1'!$F$4</f>
        <v>63.299</v>
      </c>
      <c r="AD75" s="71">
        <f t="shared" si="47"/>
        <v>-4.017815246</v>
      </c>
      <c r="AE75" s="71">
        <f t="shared" si="48"/>
        <v>-14.885</v>
      </c>
      <c r="AF75" s="71">
        <f t="shared" si="49"/>
        <v>61.68566921</v>
      </c>
      <c r="AG75" s="72">
        <f t="shared" si="65"/>
        <v>123.081854</v>
      </c>
      <c r="AH75" s="52">
        <f t="shared" si="51"/>
        <v>128.6702706</v>
      </c>
      <c r="AI75" s="73">
        <f t="shared" si="52"/>
        <v>159.1962221</v>
      </c>
      <c r="AJ75" s="73">
        <f t="shared" si="53"/>
        <v>123.7181549</v>
      </c>
      <c r="AK75" s="11"/>
      <c r="AL75" s="51">
        <f t="shared" si="54"/>
        <v>8557.207503</v>
      </c>
      <c r="AM75" s="58">
        <f t="shared" si="55"/>
        <v>143.349232</v>
      </c>
    </row>
    <row r="76" ht="15.75" customHeight="1">
      <c r="A76" s="92" t="s">
        <v>4177</v>
      </c>
      <c r="B76" s="56">
        <v>45652.0</v>
      </c>
      <c r="C76" s="56">
        <v>45649.0</v>
      </c>
      <c r="D76" s="57" t="s">
        <v>38</v>
      </c>
      <c r="E76" s="57">
        <v>2.0606534923E10</v>
      </c>
      <c r="G76" s="3">
        <v>13.0</v>
      </c>
      <c r="H76" s="57" t="s">
        <v>47</v>
      </c>
      <c r="I76" s="58">
        <v>1.31</v>
      </c>
      <c r="J76" s="58">
        <v>1.65</v>
      </c>
      <c r="K76" s="59">
        <f t="shared" si="41"/>
        <v>1.288385</v>
      </c>
      <c r="L76" s="60">
        <v>0.331</v>
      </c>
      <c r="M76" s="60">
        <v>0.317</v>
      </c>
      <c r="N76" s="62">
        <v>0.317</v>
      </c>
      <c r="O76" s="60">
        <f t="shared" si="42"/>
        <v>0.317</v>
      </c>
      <c r="P76" s="63">
        <v>90.0</v>
      </c>
      <c r="Q76" s="64">
        <v>89.88</v>
      </c>
      <c r="R76" s="65">
        <v>2613.8</v>
      </c>
      <c r="S76" s="76">
        <v>110.0</v>
      </c>
      <c r="U76" s="67">
        <v>120.0</v>
      </c>
      <c r="V76" s="67">
        <v>1.1023</v>
      </c>
      <c r="Y76" s="57">
        <v>20.0</v>
      </c>
      <c r="Z76" s="69">
        <f t="shared" si="59"/>
        <v>30</v>
      </c>
      <c r="AA76" s="70">
        <f t="shared" si="45"/>
        <v>50</v>
      </c>
      <c r="AB76" s="71">
        <f t="shared" si="61"/>
        <v>607.8976606</v>
      </c>
      <c r="AC76" s="71">
        <f>+(S76-T76)*V76-'data 1'!$F$4</f>
        <v>41.253</v>
      </c>
      <c r="AD76" s="71">
        <f t="shared" si="47"/>
        <v>-1.091869332</v>
      </c>
      <c r="AE76" s="71">
        <f t="shared" si="48"/>
        <v>-14.885</v>
      </c>
      <c r="AF76" s="71">
        <f t="shared" si="49"/>
        <v>34.59015654</v>
      </c>
      <c r="AG76" s="72">
        <f t="shared" si="65"/>
        <v>76.86628721</v>
      </c>
      <c r="AH76" s="52">
        <f t="shared" si="51"/>
        <v>13.14152564</v>
      </c>
      <c r="AI76" s="73">
        <f t="shared" si="52"/>
        <v>86.64104429</v>
      </c>
      <c r="AJ76" s="73">
        <f t="shared" si="53"/>
        <v>12.60249404</v>
      </c>
      <c r="AK76" s="11"/>
      <c r="AL76" s="51">
        <f t="shared" si="54"/>
        <v>783.2062275</v>
      </c>
      <c r="AM76" s="58">
        <f t="shared" si="55"/>
        <v>14.62119008</v>
      </c>
    </row>
    <row r="77" ht="15.75" customHeight="1">
      <c r="A77" s="92" t="s">
        <v>4178</v>
      </c>
      <c r="B77" s="56">
        <v>45652.0</v>
      </c>
      <c r="C77" s="56">
        <v>45649.0</v>
      </c>
      <c r="D77" s="57" t="s">
        <v>38</v>
      </c>
      <c r="E77" s="57">
        <v>2.0606534923E10</v>
      </c>
      <c r="G77" s="3">
        <v>30.0</v>
      </c>
      <c r="H77" s="57" t="s">
        <v>47</v>
      </c>
      <c r="I77" s="58">
        <v>2.77</v>
      </c>
      <c r="J77" s="58">
        <v>1.7</v>
      </c>
      <c r="K77" s="59">
        <f t="shared" si="41"/>
        <v>2.72291</v>
      </c>
      <c r="L77" s="60">
        <v>0.452</v>
      </c>
      <c r="M77" s="60">
        <v>0.433</v>
      </c>
      <c r="N77" s="62">
        <v>0.433</v>
      </c>
      <c r="O77" s="60">
        <f t="shared" si="42"/>
        <v>0.433</v>
      </c>
      <c r="P77" s="63">
        <v>90.0</v>
      </c>
      <c r="Q77" s="64">
        <v>89.54</v>
      </c>
      <c r="R77" s="65">
        <v>2613.8</v>
      </c>
      <c r="S77" s="76">
        <v>120.0</v>
      </c>
      <c r="U77" s="67">
        <v>120.0</v>
      </c>
      <c r="V77" s="67">
        <v>1.1023</v>
      </c>
      <c r="Y77" s="57">
        <v>20.0</v>
      </c>
      <c r="Z77" s="69">
        <f t="shared" si="59"/>
        <v>30</v>
      </c>
      <c r="AA77" s="70">
        <f t="shared" si="45"/>
        <v>50</v>
      </c>
      <c r="AB77" s="71">
        <f t="shared" si="61"/>
        <v>883.8614639</v>
      </c>
      <c r="AC77" s="71">
        <f>+(S77-T77)*V77-'data 1'!$F$4</f>
        <v>52.276</v>
      </c>
      <c r="AD77" s="71">
        <f t="shared" si="47"/>
        <v>-5.715545607</v>
      </c>
      <c r="AE77" s="71">
        <f t="shared" si="48"/>
        <v>-14.885</v>
      </c>
      <c r="AF77" s="71">
        <f t="shared" si="49"/>
        <v>46.76620392</v>
      </c>
      <c r="AG77" s="72">
        <f t="shared" si="65"/>
        <v>95.44165831</v>
      </c>
      <c r="AH77" s="52">
        <f t="shared" si="51"/>
        <v>37.78312552</v>
      </c>
      <c r="AI77" s="73">
        <f t="shared" si="52"/>
        <v>117.8658915</v>
      </c>
      <c r="AJ77" s="73">
        <f t="shared" si="53"/>
        <v>36.38084332</v>
      </c>
      <c r="AK77" s="11"/>
      <c r="AL77" s="51">
        <f t="shared" si="54"/>
        <v>2406.675219</v>
      </c>
      <c r="AM77" s="58">
        <f t="shared" si="55"/>
        <v>42.19692374</v>
      </c>
    </row>
    <row r="78" ht="15.75" customHeight="1">
      <c r="A78" s="92" t="s">
        <v>4179</v>
      </c>
      <c r="B78" s="56">
        <v>45652.0</v>
      </c>
      <c r="C78" s="56">
        <v>45649.0</v>
      </c>
      <c r="D78" s="57" t="s">
        <v>38</v>
      </c>
      <c r="E78" s="57">
        <v>2.0606534923E10</v>
      </c>
      <c r="G78" s="3">
        <v>17.0</v>
      </c>
      <c r="H78" s="57" t="s">
        <v>47</v>
      </c>
      <c r="I78" s="58">
        <v>1.83</v>
      </c>
      <c r="J78" s="58">
        <v>2.5</v>
      </c>
      <c r="K78" s="59">
        <f t="shared" si="41"/>
        <v>1.78425</v>
      </c>
      <c r="L78" s="60">
        <v>0.323</v>
      </c>
      <c r="M78" s="60">
        <v>0.31</v>
      </c>
      <c r="N78" s="62">
        <v>0.31</v>
      </c>
      <c r="O78" s="60">
        <f t="shared" si="42"/>
        <v>0.31</v>
      </c>
      <c r="P78" s="63">
        <v>90.0</v>
      </c>
      <c r="Q78" s="64">
        <v>89.63</v>
      </c>
      <c r="R78" s="65">
        <v>2613.8</v>
      </c>
      <c r="S78" s="66">
        <f>IF((90+ROUNDDOWN(O78,1)*100)&lt;95,95,(90+ROUNDDOWN(O78,1)*100))</f>
        <v>120</v>
      </c>
      <c r="U78" s="67">
        <v>130.0</v>
      </c>
      <c r="V78" s="67">
        <v>1.1023</v>
      </c>
      <c r="Y78" s="57">
        <v>10.0</v>
      </c>
      <c r="Z78" s="69">
        <f t="shared" si="59"/>
        <v>30</v>
      </c>
      <c r="AA78" s="70">
        <f t="shared" si="45"/>
        <v>40</v>
      </c>
      <c r="AB78" s="71">
        <f t="shared" si="61"/>
        <v>587.5040745</v>
      </c>
      <c r="AC78" s="71">
        <f>+(S78-T78)*V78-'data 1'!$F$4</f>
        <v>52.276</v>
      </c>
      <c r="AD78" s="71">
        <f t="shared" si="47"/>
        <v>-3.272055614</v>
      </c>
      <c r="AE78" s="71">
        <f t="shared" si="48"/>
        <v>-25.908</v>
      </c>
      <c r="AF78" s="71">
        <f t="shared" si="49"/>
        <v>31.90165242</v>
      </c>
      <c r="AG78" s="72">
        <f t="shared" si="65"/>
        <v>71.9975968</v>
      </c>
      <c r="AH78" s="52">
        <f t="shared" si="51"/>
        <v>17.71008695</v>
      </c>
      <c r="AI78" s="73">
        <f t="shared" si="52"/>
        <v>87.5030471</v>
      </c>
      <c r="AJ78" s="73">
        <f t="shared" si="53"/>
        <v>17.06746331</v>
      </c>
      <c r="AK78" s="11"/>
      <c r="AL78" s="51">
        <f t="shared" si="54"/>
        <v>1048.254145</v>
      </c>
      <c r="AM78" s="58">
        <f t="shared" si="55"/>
        <v>19.75910627</v>
      </c>
    </row>
    <row r="79" ht="15.75" customHeight="1">
      <c r="A79" s="92" t="s">
        <v>4180</v>
      </c>
      <c r="B79" s="56">
        <v>45652.0</v>
      </c>
      <c r="C79" s="56">
        <v>45649.0</v>
      </c>
      <c r="D79" s="57" t="s">
        <v>602</v>
      </c>
      <c r="E79" s="2">
        <v>2.0169040237E10</v>
      </c>
      <c r="F79" s="57" t="s">
        <v>4181</v>
      </c>
      <c r="G79" s="3">
        <v>37.0</v>
      </c>
      <c r="H79" s="57" t="s">
        <v>47</v>
      </c>
      <c r="I79" s="58">
        <v>3.23</v>
      </c>
      <c r="J79" s="58">
        <v>1.2</v>
      </c>
      <c r="K79" s="59">
        <f t="shared" si="41"/>
        <v>3.19124</v>
      </c>
      <c r="L79" s="60">
        <v>0.491</v>
      </c>
      <c r="M79" s="62">
        <v>0.471</v>
      </c>
      <c r="N79" s="62">
        <v>0.533</v>
      </c>
      <c r="O79" s="60">
        <f t="shared" si="42"/>
        <v>0.502</v>
      </c>
      <c r="P79" s="63">
        <v>90.0</v>
      </c>
      <c r="Q79" s="64">
        <v>89.67</v>
      </c>
      <c r="R79" s="65">
        <v>2613.8</v>
      </c>
      <c r="S79" s="76">
        <v>120.0</v>
      </c>
      <c r="U79" s="67">
        <v>120.0</v>
      </c>
      <c r="V79" s="67">
        <v>1.1023</v>
      </c>
      <c r="Y79" s="57">
        <v>20.0</v>
      </c>
      <c r="Z79" s="69">
        <f t="shared" si="59"/>
        <v>30</v>
      </c>
      <c r="AA79" s="70">
        <f t="shared" si="45"/>
        <v>50</v>
      </c>
      <c r="AB79" s="71">
        <f t="shared" si="61"/>
        <v>1054.569131</v>
      </c>
      <c r="AC79" s="71">
        <f>+(S79-T79)*V79-'data 1'!$F$4</f>
        <v>52.276</v>
      </c>
      <c r="AD79" s="71">
        <f t="shared" si="47"/>
        <v>-4.454068174</v>
      </c>
      <c r="AE79" s="71">
        <f t="shared" si="48"/>
        <v>-14.885</v>
      </c>
      <c r="AF79" s="71">
        <f t="shared" si="49"/>
        <v>-27.11448018</v>
      </c>
      <c r="AG79" s="72">
        <f t="shared" ref="AG79:AG80" si="67">+IF(D79="RONALD WILLIAN GARIBAY ESCUDERO",AC79+AD79+AE79+AF79+70,AC79+AD79+AE79+AF79)</f>
        <v>5.822451642</v>
      </c>
      <c r="AH79" s="52">
        <f t="shared" si="51"/>
        <v>48.17227956</v>
      </c>
      <c r="AI79" s="73">
        <f t="shared" si="52"/>
        <v>128.2216268</v>
      </c>
      <c r="AJ79" s="73">
        <f t="shared" si="53"/>
        <v>49.43274902</v>
      </c>
      <c r="AK79" s="11"/>
      <c r="AL79" s="51">
        <f t="shared" si="54"/>
        <v>3365.383195</v>
      </c>
      <c r="AM79" s="58">
        <f t="shared" si="55"/>
        <v>53.72173476</v>
      </c>
    </row>
    <row r="80" ht="15.75" customHeight="1">
      <c r="A80" s="92" t="s">
        <v>4182</v>
      </c>
      <c r="B80" s="56">
        <v>45652.0</v>
      </c>
      <c r="C80" s="56">
        <v>45649.0</v>
      </c>
      <c r="D80" s="57" t="s">
        <v>38</v>
      </c>
      <c r="E80" s="57">
        <v>2.0606534923E10</v>
      </c>
      <c r="F80" s="57" t="s">
        <v>4183</v>
      </c>
      <c r="G80" s="3">
        <v>15.0</v>
      </c>
      <c r="H80" s="57" t="s">
        <v>47</v>
      </c>
      <c r="I80" s="58">
        <v>1.35</v>
      </c>
      <c r="J80" s="58">
        <v>1.5</v>
      </c>
      <c r="K80" s="59">
        <f t="shared" si="41"/>
        <v>1.32975</v>
      </c>
      <c r="L80" s="60">
        <v>0.193</v>
      </c>
      <c r="M80" s="62">
        <v>0.192</v>
      </c>
      <c r="N80" s="62">
        <v>0.192</v>
      </c>
      <c r="O80" s="60">
        <f t="shared" si="42"/>
        <v>0.192</v>
      </c>
      <c r="P80" s="63">
        <v>90.0</v>
      </c>
      <c r="Q80" s="64">
        <v>89.67</v>
      </c>
      <c r="R80" s="65">
        <v>2613.8</v>
      </c>
      <c r="S80" s="66">
        <f>IF((90+ROUNDDOWN(O80,1)*100)&lt;95,95,(90+ROUNDDOWN(O80,1)*100))</f>
        <v>100</v>
      </c>
      <c r="U80" s="67">
        <v>100.0</v>
      </c>
      <c r="V80" s="67">
        <v>1.1023</v>
      </c>
      <c r="Y80" s="57">
        <v>30.0</v>
      </c>
      <c r="Z80" s="69">
        <f t="shared" si="59"/>
        <v>30</v>
      </c>
      <c r="AA80" s="70">
        <f t="shared" si="45"/>
        <v>60</v>
      </c>
      <c r="AB80" s="71">
        <f t="shared" si="61"/>
        <v>302.4541887</v>
      </c>
      <c r="AC80" s="71">
        <f>+(S80-T80)*V80-'data 1'!$F$4</f>
        <v>30.23</v>
      </c>
      <c r="AD80" s="71">
        <f t="shared" si="47"/>
        <v>-1.764825532</v>
      </c>
      <c r="AE80" s="71">
        <f t="shared" si="48"/>
        <v>-3.862</v>
      </c>
      <c r="AF80" s="71">
        <f t="shared" si="49"/>
        <v>2.484721392</v>
      </c>
      <c r="AG80" s="72">
        <f t="shared" si="67"/>
        <v>27.08789586</v>
      </c>
      <c r="AH80" s="52">
        <f t="shared" si="51"/>
        <v>7.890118885</v>
      </c>
      <c r="AI80" s="73">
        <f t="shared" si="52"/>
        <v>46.58541254</v>
      </c>
      <c r="AJ80" s="73">
        <f t="shared" si="53"/>
        <v>7.878123894</v>
      </c>
      <c r="AK80" s="11"/>
      <c r="AL80" s="51">
        <f t="shared" si="54"/>
        <v>402.1884574</v>
      </c>
      <c r="AM80" s="58">
        <f t="shared" si="55"/>
        <v>8.799061989</v>
      </c>
    </row>
    <row r="81" ht="15.75" customHeight="1">
      <c r="A81" s="92" t="s">
        <v>4184</v>
      </c>
      <c r="B81" s="56">
        <v>45652.0</v>
      </c>
      <c r="C81" s="56">
        <v>45649.0</v>
      </c>
      <c r="D81" s="57" t="s">
        <v>38</v>
      </c>
      <c r="E81" s="57">
        <v>2.0606534923E10</v>
      </c>
      <c r="G81" s="3">
        <v>45.0</v>
      </c>
      <c r="H81" s="57" t="s">
        <v>47</v>
      </c>
      <c r="I81" s="58">
        <v>4.4</v>
      </c>
      <c r="J81" s="58">
        <v>1.4</v>
      </c>
      <c r="K81" s="59">
        <f t="shared" si="41"/>
        <v>4.3384</v>
      </c>
      <c r="L81" s="60">
        <v>0.556</v>
      </c>
      <c r="M81" s="62">
        <v>0.534</v>
      </c>
      <c r="N81" s="62">
        <v>0.534</v>
      </c>
      <c r="O81" s="60">
        <f t="shared" si="42"/>
        <v>0.534</v>
      </c>
      <c r="P81" s="63">
        <v>90.0</v>
      </c>
      <c r="Q81" s="64">
        <v>89.59</v>
      </c>
      <c r="R81" s="65">
        <v>2613.8</v>
      </c>
      <c r="S81" s="76">
        <v>130.0</v>
      </c>
      <c r="U81" s="67">
        <v>120.0</v>
      </c>
      <c r="V81" s="67">
        <v>1.1023</v>
      </c>
      <c r="Y81" s="57">
        <v>20.0</v>
      </c>
      <c r="Z81" s="69">
        <f t="shared" si="59"/>
        <v>30</v>
      </c>
      <c r="AA81" s="70">
        <f t="shared" si="45"/>
        <v>50</v>
      </c>
      <c r="AB81" s="71">
        <f t="shared" si="61"/>
        <v>1122.714905</v>
      </c>
      <c r="AC81" s="71">
        <f>+(S81-T81)*V81-'data 1'!$F$4</f>
        <v>63.299</v>
      </c>
      <c r="AD81" s="71">
        <f t="shared" si="47"/>
        <v>-6.266428321</v>
      </c>
      <c r="AE81" s="71">
        <f t="shared" si="48"/>
        <v>-14.885</v>
      </c>
      <c r="AF81" s="71">
        <f t="shared" si="49"/>
        <v>54.18057945</v>
      </c>
      <c r="AG81" s="72">
        <f t="shared" ref="AG81:AG87" si="68">+IF(D81="RONALD WILLIAN GARIBAY ESCUDERO",AC81+AD81+AE81+AF81+70,AC81+AD81+AE81+AF81)+70-53</f>
        <v>113.3281511</v>
      </c>
      <c r="AH81" s="52">
        <f t="shared" si="51"/>
        <v>74.09228505</v>
      </c>
      <c r="AI81" s="73">
        <f t="shared" si="52"/>
        <v>145.0664385</v>
      </c>
      <c r="AJ81" s="73">
        <f t="shared" si="53"/>
        <v>71.48623544</v>
      </c>
      <c r="AK81" s="11"/>
      <c r="AL81" s="51">
        <f t="shared" si="54"/>
        <v>4870.786342</v>
      </c>
      <c r="AM81" s="58">
        <f t="shared" si="55"/>
        <v>82.7015125</v>
      </c>
    </row>
    <row r="82" ht="15.75" customHeight="1">
      <c r="A82" s="92" t="s">
        <v>4185</v>
      </c>
      <c r="B82" s="56">
        <v>45652.0</v>
      </c>
      <c r="C82" s="56">
        <v>45649.0</v>
      </c>
      <c r="D82" s="57" t="s">
        <v>38</v>
      </c>
      <c r="E82" s="57">
        <v>2.0606534923E10</v>
      </c>
      <c r="G82" s="3">
        <v>54.0</v>
      </c>
      <c r="H82" s="57" t="s">
        <v>47</v>
      </c>
      <c r="I82" s="58">
        <v>4.62</v>
      </c>
      <c r="J82" s="58">
        <v>1.6</v>
      </c>
      <c r="K82" s="59">
        <f t="shared" si="41"/>
        <v>4.54608</v>
      </c>
      <c r="L82" s="60">
        <v>1.17</v>
      </c>
      <c r="M82" s="62">
        <v>1.123</v>
      </c>
      <c r="N82" s="62">
        <v>1.123</v>
      </c>
      <c r="O82" s="60">
        <f t="shared" si="42"/>
        <v>1.123</v>
      </c>
      <c r="P82" s="63">
        <v>90.0</v>
      </c>
      <c r="Q82" s="64">
        <v>89.89</v>
      </c>
      <c r="R82" s="65">
        <v>2613.8</v>
      </c>
      <c r="S82" s="76">
        <v>190.0</v>
      </c>
      <c r="U82" s="67">
        <v>120.0</v>
      </c>
      <c r="V82" s="67">
        <v>1.1023</v>
      </c>
      <c r="Y82" s="57">
        <v>20.0</v>
      </c>
      <c r="Z82" s="69">
        <f t="shared" si="59"/>
        <v>30</v>
      </c>
      <c r="AA82" s="70">
        <f t="shared" si="45"/>
        <v>50</v>
      </c>
      <c r="AB82" s="71">
        <f t="shared" si="61"/>
        <v>2513.777138</v>
      </c>
      <c r="AC82" s="71">
        <f>+(S82-T82)*V82-'data 1'!$F$4</f>
        <v>129.437</v>
      </c>
      <c r="AD82" s="71">
        <f t="shared" si="47"/>
        <v>-3.537854557</v>
      </c>
      <c r="AE82" s="71">
        <f t="shared" si="48"/>
        <v>-14.885</v>
      </c>
      <c r="AF82" s="71">
        <f t="shared" si="49"/>
        <v>116.1370169</v>
      </c>
      <c r="AG82" s="72">
        <f t="shared" si="68"/>
        <v>244.1511623</v>
      </c>
      <c r="AH82" s="52">
        <f t="shared" si="51"/>
        <v>163.924318</v>
      </c>
      <c r="AI82" s="73">
        <f t="shared" si="52"/>
        <v>306.287916</v>
      </c>
      <c r="AJ82" s="73">
        <f t="shared" si="53"/>
        <v>157.531863</v>
      </c>
      <c r="AK82" s="11"/>
      <c r="AL82" s="51">
        <f t="shared" si="54"/>
        <v>11427.83197</v>
      </c>
      <c r="AM82" s="58">
        <f t="shared" si="55"/>
        <v>182.3610168</v>
      </c>
    </row>
    <row r="83" ht="15.75" customHeight="1">
      <c r="A83" s="92" t="s">
        <v>4186</v>
      </c>
      <c r="B83" s="56">
        <v>45652.0</v>
      </c>
      <c r="C83" s="56">
        <v>45649.0</v>
      </c>
      <c r="D83" s="57" t="s">
        <v>38</v>
      </c>
      <c r="E83" s="57">
        <v>2.0606534923E10</v>
      </c>
      <c r="G83" s="3">
        <v>53.0</v>
      </c>
      <c r="H83" s="57" t="s">
        <v>47</v>
      </c>
      <c r="I83" s="58">
        <v>4.55</v>
      </c>
      <c r="J83" s="58">
        <v>1.2</v>
      </c>
      <c r="K83" s="59">
        <f t="shared" si="41"/>
        <v>4.4954</v>
      </c>
      <c r="L83" s="60">
        <v>1.623</v>
      </c>
      <c r="M83" s="62">
        <v>1.558</v>
      </c>
      <c r="N83" s="62">
        <v>1.558</v>
      </c>
      <c r="O83" s="60">
        <f t="shared" si="42"/>
        <v>1.558</v>
      </c>
      <c r="P83" s="63">
        <v>90.0</v>
      </c>
      <c r="Q83" s="64">
        <v>89.43</v>
      </c>
      <c r="R83" s="65">
        <v>2613.8</v>
      </c>
      <c r="S83" s="76">
        <v>230.0</v>
      </c>
      <c r="U83" s="67">
        <v>120.0</v>
      </c>
      <c r="V83" s="67">
        <v>1.1023</v>
      </c>
      <c r="Y83" s="57">
        <v>20.0</v>
      </c>
      <c r="Z83" s="69">
        <f t="shared" si="59"/>
        <v>30</v>
      </c>
      <c r="AA83" s="70">
        <f t="shared" si="45"/>
        <v>50</v>
      </c>
      <c r="AB83" s="71">
        <f t="shared" si="61"/>
        <v>3545.885651</v>
      </c>
      <c r="AC83" s="71">
        <f>+(S83-T83)*V83-'data 1'!$F$4</f>
        <v>173.529</v>
      </c>
      <c r="AD83" s="71">
        <f t="shared" si="47"/>
        <v>-25.4304944</v>
      </c>
      <c r="AE83" s="71">
        <f t="shared" si="48"/>
        <v>-14.885</v>
      </c>
      <c r="AF83" s="71">
        <f t="shared" si="49"/>
        <v>159.7930975</v>
      </c>
      <c r="AG83" s="72">
        <f t="shared" si="68"/>
        <v>310.0066031</v>
      </c>
      <c r="AH83" s="52">
        <f t="shared" si="51"/>
        <v>223.7067874</v>
      </c>
      <c r="AI83" s="73">
        <f t="shared" si="52"/>
        <v>422.7020668</v>
      </c>
      <c r="AJ83" s="73">
        <f t="shared" si="53"/>
        <v>216.1162252</v>
      </c>
      <c r="AK83" s="11"/>
      <c r="AL83" s="51">
        <f t="shared" si="54"/>
        <v>15940.17435</v>
      </c>
      <c r="AM83" s="58">
        <f t="shared" si="55"/>
        <v>250.1473638</v>
      </c>
    </row>
    <row r="84" ht="15.75" customHeight="1">
      <c r="A84" s="92" t="s">
        <v>4187</v>
      </c>
      <c r="B84" s="56">
        <v>45652.0</v>
      </c>
      <c r="C84" s="56">
        <v>45650.0</v>
      </c>
      <c r="D84" s="57" t="s">
        <v>57</v>
      </c>
      <c r="E84" s="57">
        <v>2.0610873309E10</v>
      </c>
      <c r="G84" s="3">
        <v>70.0</v>
      </c>
      <c r="H84" s="57" t="s">
        <v>47</v>
      </c>
      <c r="I84" s="58">
        <v>6.24</v>
      </c>
      <c r="J84" s="58">
        <v>1.7</v>
      </c>
      <c r="K84" s="59">
        <f t="shared" si="41"/>
        <v>6.13392</v>
      </c>
      <c r="L84" s="60">
        <v>0.173</v>
      </c>
      <c r="M84" s="62">
        <v>0.163</v>
      </c>
      <c r="N84" s="62">
        <v>0.163</v>
      </c>
      <c r="O84" s="60">
        <f t="shared" si="42"/>
        <v>0.163</v>
      </c>
      <c r="P84" s="63">
        <v>90.0</v>
      </c>
      <c r="Q84" s="64">
        <v>89.67</v>
      </c>
      <c r="R84" s="65">
        <v>2613.8</v>
      </c>
      <c r="S84" s="66">
        <f t="shared" ref="S84:S96" si="69">IF((90+ROUNDDOWN(O84,1)*100)&lt;95,95,(90+ROUNDDOWN(O84,1)*100))</f>
        <v>100</v>
      </c>
      <c r="U84" s="67">
        <v>120.0</v>
      </c>
      <c r="V84" s="67">
        <v>1.1023</v>
      </c>
      <c r="Y84" s="57">
        <v>20.0</v>
      </c>
      <c r="Z84" s="69">
        <f t="shared" si="59"/>
        <v>30</v>
      </c>
      <c r="AA84" s="70">
        <f t="shared" si="45"/>
        <v>50</v>
      </c>
      <c r="AB84" s="71">
        <f t="shared" si="61"/>
        <v>237.9209391</v>
      </c>
      <c r="AC84" s="71">
        <f>+(S84-T84)*V84-'data 1'!$F$4</f>
        <v>30.23</v>
      </c>
      <c r="AD84" s="71">
        <f t="shared" si="47"/>
        <v>-1.569355996</v>
      </c>
      <c r="AE84" s="71">
        <f t="shared" si="48"/>
        <v>-14.885</v>
      </c>
      <c r="AF84" s="71">
        <f t="shared" si="49"/>
        <v>24.64952744</v>
      </c>
      <c r="AG84" s="72">
        <f t="shared" si="68"/>
        <v>55.42517144</v>
      </c>
      <c r="AH84" s="52">
        <f t="shared" si="51"/>
        <v>32.62424348</v>
      </c>
      <c r="AI84" s="73">
        <f t="shared" si="52"/>
        <v>45.17788479</v>
      </c>
      <c r="AJ84" s="73">
        <f t="shared" si="53"/>
        <v>30.85157149</v>
      </c>
      <c r="AK84" s="11"/>
      <c r="AL84" s="51">
        <f t="shared" si="54"/>
        <v>1459.388007</v>
      </c>
      <c r="AM84" s="58">
        <f t="shared" si="55"/>
        <v>36.38256215</v>
      </c>
    </row>
    <row r="85" ht="15.75" customHeight="1">
      <c r="A85" s="92" t="s">
        <v>4188</v>
      </c>
      <c r="B85" s="56">
        <v>45660.0</v>
      </c>
      <c r="C85" s="56">
        <v>45650.0</v>
      </c>
      <c r="D85" s="57" t="s">
        <v>57</v>
      </c>
      <c r="E85" s="57">
        <v>2.0610873309E10</v>
      </c>
      <c r="G85" s="3">
        <v>25.0</v>
      </c>
      <c r="H85" s="57" t="s">
        <v>47</v>
      </c>
      <c r="I85" s="58">
        <v>2.08</v>
      </c>
      <c r="J85" s="58">
        <v>1.5</v>
      </c>
      <c r="K85" s="59">
        <f t="shared" si="41"/>
        <v>2.0488</v>
      </c>
      <c r="L85" s="60">
        <v>1.435</v>
      </c>
      <c r="M85" s="62">
        <v>1.435</v>
      </c>
      <c r="N85" s="75">
        <v>1.435</v>
      </c>
      <c r="O85" s="60">
        <f t="shared" si="42"/>
        <v>1.435</v>
      </c>
      <c r="P85" s="63">
        <v>90.0</v>
      </c>
      <c r="Q85" s="64">
        <v>89.73</v>
      </c>
      <c r="R85" s="65">
        <v>2613.8</v>
      </c>
      <c r="S85" s="66">
        <f t="shared" si="69"/>
        <v>230</v>
      </c>
      <c r="U85" s="67">
        <v>130.0</v>
      </c>
      <c r="V85" s="67">
        <v>1.1023</v>
      </c>
      <c r="Y85" s="57">
        <v>30.0</v>
      </c>
      <c r="Z85" s="69">
        <f t="shared" si="59"/>
        <v>30</v>
      </c>
      <c r="AA85" s="70">
        <f t="shared" si="45"/>
        <v>60</v>
      </c>
      <c r="AB85" s="71">
        <f t="shared" si="61"/>
        <v>3216.321474</v>
      </c>
      <c r="AC85" s="71">
        <f>+(S85-T85)*V85-'data 1'!$F$4</f>
        <v>173.529</v>
      </c>
      <c r="AD85" s="71">
        <f t="shared" si="47"/>
        <v>-10.60796542</v>
      </c>
      <c r="AE85" s="71">
        <f t="shared" si="48"/>
        <v>-3.862</v>
      </c>
      <c r="AF85" s="71">
        <f t="shared" si="49"/>
        <v>0</v>
      </c>
      <c r="AG85" s="72">
        <f t="shared" si="68"/>
        <v>176.0590346</v>
      </c>
      <c r="AH85" s="52">
        <f t="shared" si="51"/>
        <v>90.44784077</v>
      </c>
      <c r="AI85" s="73">
        <f t="shared" si="52"/>
        <v>389.1856572</v>
      </c>
      <c r="AJ85" s="73">
        <f t="shared" si="53"/>
        <v>90.72000077</v>
      </c>
      <c r="AK85" s="11"/>
      <c r="AL85" s="51">
        <f t="shared" si="54"/>
        <v>6589.599435</v>
      </c>
      <c r="AM85" s="58">
        <f t="shared" si="55"/>
        <v>100.8000009</v>
      </c>
    </row>
    <row r="86" ht="15.75" customHeight="1">
      <c r="A86" s="92" t="s">
        <v>4189</v>
      </c>
      <c r="B86" s="56">
        <v>45660.0</v>
      </c>
      <c r="C86" s="56">
        <v>45650.0</v>
      </c>
      <c r="D86" s="57" t="s">
        <v>4190</v>
      </c>
      <c r="E86" s="57">
        <v>1.0404377324E10</v>
      </c>
      <c r="G86" s="3" t="s">
        <v>46</v>
      </c>
      <c r="H86" s="57" t="s">
        <v>47</v>
      </c>
      <c r="I86" s="58">
        <v>13.46</v>
      </c>
      <c r="J86" s="58">
        <v>1.1</v>
      </c>
      <c r="K86" s="59">
        <f t="shared" si="41"/>
        <v>13.31194</v>
      </c>
      <c r="L86" s="60">
        <v>0.19</v>
      </c>
      <c r="M86" s="62">
        <v>0.18</v>
      </c>
      <c r="N86" s="75">
        <v>0.215</v>
      </c>
      <c r="O86" s="60">
        <f t="shared" si="42"/>
        <v>0.198</v>
      </c>
      <c r="P86" s="63">
        <v>90.0</v>
      </c>
      <c r="Q86" s="64">
        <v>89.55</v>
      </c>
      <c r="R86" s="65">
        <v>2613.8</v>
      </c>
      <c r="S86" s="66">
        <f t="shared" si="69"/>
        <v>100</v>
      </c>
      <c r="U86" s="85">
        <v>130.0</v>
      </c>
      <c r="V86" s="67">
        <v>1.1023</v>
      </c>
      <c r="Y86" s="57">
        <v>20.0</v>
      </c>
      <c r="Z86" s="69">
        <f t="shared" si="59"/>
        <v>30</v>
      </c>
      <c r="AA86" s="70">
        <f t="shared" si="45"/>
        <v>50</v>
      </c>
      <c r="AB86" s="71">
        <f t="shared" si="61"/>
        <v>322.5474863</v>
      </c>
      <c r="AC86" s="71">
        <f>+(S86-T86)*V86-'data 1'!$F$4</f>
        <v>30.23</v>
      </c>
      <c r="AD86" s="71">
        <f t="shared" si="47"/>
        <v>-2.340898293</v>
      </c>
      <c r="AE86" s="71">
        <f t="shared" si="48"/>
        <v>-14.885</v>
      </c>
      <c r="AF86" s="71">
        <f t="shared" si="49"/>
        <v>-19.61426359</v>
      </c>
      <c r="AG86" s="72">
        <f t="shared" si="68"/>
        <v>10.38983812</v>
      </c>
      <c r="AH86" s="52">
        <f t="shared" si="51"/>
        <v>77.65503359</v>
      </c>
      <c r="AI86" s="73">
        <f t="shared" si="52"/>
        <v>51.42643855</v>
      </c>
      <c r="AJ86" s="73">
        <f t="shared" si="53"/>
        <v>81.3313761</v>
      </c>
      <c r="AK86" s="11"/>
      <c r="AL86" s="51">
        <f t="shared" si="54"/>
        <v>4293.732784</v>
      </c>
      <c r="AM86" s="58">
        <f t="shared" si="55"/>
        <v>86.71695543</v>
      </c>
    </row>
    <row r="87" ht="15.75" customHeight="1">
      <c r="A87" s="92" t="s">
        <v>4191</v>
      </c>
      <c r="B87" s="56">
        <v>45652.0</v>
      </c>
      <c r="C87" s="56">
        <v>45650.0</v>
      </c>
      <c r="D87" s="57" t="s">
        <v>63</v>
      </c>
      <c r="E87" s="57">
        <v>1.0437450094E10</v>
      </c>
      <c r="G87" s="3">
        <v>81.0</v>
      </c>
      <c r="H87" s="57" t="s">
        <v>47</v>
      </c>
      <c r="I87" s="58">
        <v>8.61</v>
      </c>
      <c r="J87" s="58">
        <v>1.3</v>
      </c>
      <c r="K87" s="59">
        <f t="shared" si="41"/>
        <v>8.49807</v>
      </c>
      <c r="L87" s="60">
        <v>0.37</v>
      </c>
      <c r="M87" s="843">
        <v>0.37</v>
      </c>
      <c r="N87" s="843">
        <v>0.355</v>
      </c>
      <c r="O87" s="60">
        <f t="shared" si="42"/>
        <v>0.363</v>
      </c>
      <c r="P87" s="63">
        <v>90.0</v>
      </c>
      <c r="Q87" s="64">
        <v>89.64</v>
      </c>
      <c r="R87" s="65">
        <v>2613.8</v>
      </c>
      <c r="S87" s="66">
        <f t="shared" si="69"/>
        <v>120</v>
      </c>
      <c r="U87" s="67">
        <v>120.0</v>
      </c>
      <c r="V87" s="67">
        <v>1.1023</v>
      </c>
      <c r="Y87" s="57">
        <v>20.0</v>
      </c>
      <c r="Z87" s="69">
        <f t="shared" si="59"/>
        <v>30</v>
      </c>
      <c r="AA87" s="70">
        <f t="shared" si="45"/>
        <v>50</v>
      </c>
      <c r="AB87" s="71">
        <f t="shared" si="61"/>
        <v>710.6797723</v>
      </c>
      <c r="AC87" s="71">
        <f>+(S87-T87)*V87-'data 1'!$F$4</f>
        <v>52.276</v>
      </c>
      <c r="AD87" s="71">
        <f t="shared" si="47"/>
        <v>-3.661555766</v>
      </c>
      <c r="AE87" s="71">
        <f t="shared" si="48"/>
        <v>-14.885</v>
      </c>
      <c r="AF87" s="71">
        <f t="shared" si="49"/>
        <v>17.24889649</v>
      </c>
      <c r="AG87" s="72">
        <f t="shared" si="68"/>
        <v>67.97834072</v>
      </c>
      <c r="AH87" s="52">
        <f t="shared" si="51"/>
        <v>96.63466498</v>
      </c>
      <c r="AI87" s="73">
        <f t="shared" si="52"/>
        <v>96.59089554</v>
      </c>
      <c r="AJ87" s="73">
        <f t="shared" si="53"/>
        <v>95.18719035</v>
      </c>
      <c r="AK87" s="11"/>
      <c r="AL87" s="51">
        <f t="shared" si="54"/>
        <v>6039.406452</v>
      </c>
      <c r="AM87" s="58">
        <f t="shared" si="55"/>
        <v>107.8030622</v>
      </c>
    </row>
    <row r="88" ht="15.75" customHeight="1">
      <c r="A88" s="92" t="s">
        <v>4192</v>
      </c>
      <c r="B88" s="56">
        <v>45652.0</v>
      </c>
      <c r="C88" s="56">
        <v>45650.0</v>
      </c>
      <c r="D88" s="57" t="s">
        <v>38</v>
      </c>
      <c r="E88" s="57">
        <v>2.0606534923E10</v>
      </c>
      <c r="G88" s="3">
        <v>13.0</v>
      </c>
      <c r="H88" s="57" t="s">
        <v>47</v>
      </c>
      <c r="I88" s="58">
        <v>1.06</v>
      </c>
      <c r="J88" s="58">
        <v>1.2</v>
      </c>
      <c r="K88" s="59">
        <f t="shared" si="41"/>
        <v>1.04728</v>
      </c>
      <c r="L88" s="60">
        <v>0.841</v>
      </c>
      <c r="M88" s="62">
        <v>0.807</v>
      </c>
      <c r="N88" s="62">
        <v>0.807</v>
      </c>
      <c r="O88" s="60">
        <f t="shared" si="42"/>
        <v>0.807</v>
      </c>
      <c r="P88" s="63">
        <v>90.0</v>
      </c>
      <c r="Q88" s="64">
        <v>89.78</v>
      </c>
      <c r="R88" s="65">
        <v>2613.8</v>
      </c>
      <c r="S88" s="66">
        <f t="shared" si="69"/>
        <v>170</v>
      </c>
      <c r="U88" s="67">
        <v>130.0</v>
      </c>
      <c r="V88" s="67">
        <v>1.1023</v>
      </c>
      <c r="Y88" s="57">
        <v>10.0</v>
      </c>
      <c r="Z88" s="69">
        <f t="shared" si="59"/>
        <v>30</v>
      </c>
      <c r="AA88" s="70">
        <f t="shared" si="45"/>
        <v>40</v>
      </c>
      <c r="AB88" s="71">
        <f t="shared" si="61"/>
        <v>1757.048497</v>
      </c>
      <c r="AC88" s="71">
        <f>+(S88-T88)*V88-'data 1'!$F$4</f>
        <v>107.391</v>
      </c>
      <c r="AD88" s="71">
        <f t="shared" si="47"/>
        <v>-5.065649148</v>
      </c>
      <c r="AE88" s="71">
        <f t="shared" si="48"/>
        <v>-25.908</v>
      </c>
      <c r="AF88" s="71">
        <f t="shared" si="49"/>
        <v>83.57472347</v>
      </c>
      <c r="AG88" s="72">
        <f t="shared" ref="AG88:AG93" si="70">+IF(D88="RONALD WILLIAN GARIBAY ESCUDERO",AC88+AD88+AE88+AF88+70,AC88+AD88+AE88+AF88)</f>
        <v>159.9920743</v>
      </c>
      <c r="AH88" s="52">
        <f t="shared" si="51"/>
        <v>27.11112104</v>
      </c>
      <c r="AI88" s="73">
        <f t="shared" si="52"/>
        <v>228.2143004</v>
      </c>
      <c r="AJ88" s="73">
        <f t="shared" si="53"/>
        <v>26.07881919</v>
      </c>
      <c r="AK88" s="11"/>
      <c r="AL88" s="51">
        <f t="shared" si="54"/>
        <v>1840.12175</v>
      </c>
      <c r="AM88" s="58">
        <f t="shared" si="55"/>
        <v>30.19728341</v>
      </c>
    </row>
    <row r="89" ht="15.75" customHeight="1">
      <c r="A89" s="92" t="s">
        <v>4193</v>
      </c>
      <c r="B89" s="56">
        <v>45652.0</v>
      </c>
      <c r="C89" s="56">
        <v>45650.0</v>
      </c>
      <c r="D89" s="57" t="s">
        <v>38</v>
      </c>
      <c r="E89" s="57">
        <v>2.0606534923E10</v>
      </c>
      <c r="G89" s="3">
        <v>42.0</v>
      </c>
      <c r="H89" s="57" t="s">
        <v>47</v>
      </c>
      <c r="I89" s="58">
        <v>3.59</v>
      </c>
      <c r="J89" s="58">
        <v>1.5</v>
      </c>
      <c r="K89" s="59">
        <f t="shared" si="41"/>
        <v>3.53615</v>
      </c>
      <c r="L89" s="60">
        <v>0.619</v>
      </c>
      <c r="M89" s="62">
        <v>0.594</v>
      </c>
      <c r="N89" s="62">
        <v>0.594</v>
      </c>
      <c r="O89" s="60">
        <f t="shared" si="42"/>
        <v>0.594</v>
      </c>
      <c r="P89" s="63">
        <v>90.0</v>
      </c>
      <c r="Q89" s="64">
        <v>89.91</v>
      </c>
      <c r="R89" s="65">
        <v>2613.8</v>
      </c>
      <c r="S89" s="66">
        <f t="shared" si="69"/>
        <v>140</v>
      </c>
      <c r="U89" s="67">
        <v>130.0</v>
      </c>
      <c r="V89" s="67">
        <v>1.1023</v>
      </c>
      <c r="Y89" s="57">
        <v>20.0</v>
      </c>
      <c r="Z89" s="69">
        <f t="shared" si="59"/>
        <v>30</v>
      </c>
      <c r="AA89" s="70">
        <f t="shared" si="45"/>
        <v>50</v>
      </c>
      <c r="AB89" s="71">
        <f t="shared" si="61"/>
        <v>1254.240459</v>
      </c>
      <c r="AC89" s="71">
        <f>+(S89-T89)*V89-'data 1'!$F$4</f>
        <v>74.322</v>
      </c>
      <c r="AD89" s="71">
        <f t="shared" si="47"/>
        <v>-1.525280045</v>
      </c>
      <c r="AE89" s="71">
        <f t="shared" si="48"/>
        <v>-14.885</v>
      </c>
      <c r="AF89" s="71">
        <f t="shared" si="49"/>
        <v>61.54098406</v>
      </c>
      <c r="AG89" s="72">
        <f t="shared" si="70"/>
        <v>119.452704</v>
      </c>
      <c r="AH89" s="52">
        <f t="shared" si="51"/>
        <v>67.47430113</v>
      </c>
      <c r="AI89" s="73">
        <f t="shared" si="52"/>
        <v>168.2154588</v>
      </c>
      <c r="AJ89" s="73">
        <f t="shared" si="53"/>
        <v>64.81398179</v>
      </c>
      <c r="AK89" s="11"/>
      <c r="AL89" s="51">
        <f t="shared" si="54"/>
        <v>4435.182398</v>
      </c>
      <c r="AM89" s="58">
        <f t="shared" si="55"/>
        <v>75.0464922</v>
      </c>
    </row>
    <row r="90" ht="15.75" customHeight="1">
      <c r="A90" s="92" t="s">
        <v>4194</v>
      </c>
      <c r="B90" s="56">
        <v>45652.0</v>
      </c>
      <c r="C90" s="56">
        <v>45650.0</v>
      </c>
      <c r="D90" s="57" t="s">
        <v>38</v>
      </c>
      <c r="E90" s="57">
        <v>2.0606534923E10</v>
      </c>
      <c r="G90" s="3">
        <v>42.0</v>
      </c>
      <c r="H90" s="57" t="s">
        <v>47</v>
      </c>
      <c r="I90" s="58">
        <v>3.62</v>
      </c>
      <c r="J90" s="58">
        <v>1.6</v>
      </c>
      <c r="K90" s="59">
        <f t="shared" si="41"/>
        <v>3.56208</v>
      </c>
      <c r="L90" s="60">
        <v>0.668</v>
      </c>
      <c r="M90" s="62">
        <v>0.641</v>
      </c>
      <c r="N90" s="62">
        <v>0.641</v>
      </c>
      <c r="O90" s="60">
        <f t="shared" si="42"/>
        <v>0.641</v>
      </c>
      <c r="P90" s="63">
        <v>90.0</v>
      </c>
      <c r="Q90" s="64">
        <v>89.71</v>
      </c>
      <c r="R90" s="65">
        <v>2613.8</v>
      </c>
      <c r="S90" s="66">
        <f t="shared" si="69"/>
        <v>150</v>
      </c>
      <c r="U90" s="67">
        <v>130.0</v>
      </c>
      <c r="V90" s="67">
        <v>1.1023</v>
      </c>
      <c r="Y90" s="57">
        <v>20.0</v>
      </c>
      <c r="Z90" s="69">
        <f t="shared" si="59"/>
        <v>30</v>
      </c>
      <c r="AA90" s="70">
        <f t="shared" si="45"/>
        <v>50</v>
      </c>
      <c r="AB90" s="71">
        <f t="shared" si="61"/>
        <v>1359.030322</v>
      </c>
      <c r="AC90" s="71">
        <f>+(S90-T90)*V90-'data 1'!$F$4</f>
        <v>85.345</v>
      </c>
      <c r="AD90" s="71">
        <f t="shared" si="47"/>
        <v>-5.303845816</v>
      </c>
      <c r="AE90" s="71">
        <f t="shared" si="48"/>
        <v>-14.885</v>
      </c>
      <c r="AF90" s="71">
        <f t="shared" si="49"/>
        <v>66.31641658</v>
      </c>
      <c r="AG90" s="72">
        <f t="shared" si="70"/>
        <v>131.4725708</v>
      </c>
      <c r="AH90" s="52">
        <f t="shared" si="51"/>
        <v>73.1863448</v>
      </c>
      <c r="AI90" s="73">
        <f t="shared" si="52"/>
        <v>181.1275768</v>
      </c>
      <c r="AJ90" s="73">
        <f t="shared" si="53"/>
        <v>70.45523652</v>
      </c>
      <c r="AK90" s="11"/>
      <c r="AL90" s="51">
        <f t="shared" si="54"/>
        <v>4840.974728</v>
      </c>
      <c r="AM90" s="58">
        <f t="shared" si="55"/>
        <v>81.5810331</v>
      </c>
    </row>
    <row r="91" ht="15.75" customHeight="1">
      <c r="A91" s="92" t="s">
        <v>4195</v>
      </c>
      <c r="B91" s="56">
        <v>45652.0</v>
      </c>
      <c r="C91" s="56">
        <v>45650.0</v>
      </c>
      <c r="D91" s="57" t="s">
        <v>38</v>
      </c>
      <c r="E91" s="57">
        <v>2.0606534923E10</v>
      </c>
      <c r="G91" s="3">
        <v>43.0</v>
      </c>
      <c r="H91" s="57" t="s">
        <v>47</v>
      </c>
      <c r="I91" s="58">
        <v>3.79</v>
      </c>
      <c r="J91" s="58">
        <v>1.7</v>
      </c>
      <c r="K91" s="59">
        <f t="shared" si="41"/>
        <v>3.72557</v>
      </c>
      <c r="L91" s="60">
        <v>0.385</v>
      </c>
      <c r="M91" s="62">
        <v>0.37</v>
      </c>
      <c r="N91" s="62">
        <v>0.37</v>
      </c>
      <c r="O91" s="60">
        <f t="shared" si="42"/>
        <v>0.37</v>
      </c>
      <c r="P91" s="63">
        <v>90.0</v>
      </c>
      <c r="Q91" s="64">
        <v>89.73</v>
      </c>
      <c r="R91" s="65">
        <v>2613.8</v>
      </c>
      <c r="S91" s="66">
        <f t="shared" si="69"/>
        <v>120</v>
      </c>
      <c r="U91" s="67">
        <v>130.0</v>
      </c>
      <c r="V91" s="67">
        <v>1.1023</v>
      </c>
      <c r="Y91" s="57">
        <v>20.0</v>
      </c>
      <c r="Z91" s="69">
        <f t="shared" si="59"/>
        <v>30</v>
      </c>
      <c r="AA91" s="70">
        <f t="shared" si="45"/>
        <v>50</v>
      </c>
      <c r="AB91" s="71">
        <f t="shared" si="61"/>
        <v>724.3272824</v>
      </c>
      <c r="AC91" s="71">
        <f>+(S91-T91)*V91-'data 1'!$F$4</f>
        <v>52.276</v>
      </c>
      <c r="AD91" s="71">
        <f t="shared" si="47"/>
        <v>-2.846039503</v>
      </c>
      <c r="AE91" s="71">
        <f t="shared" si="48"/>
        <v>-14.885</v>
      </c>
      <c r="AF91" s="71">
        <f t="shared" si="49"/>
        <v>36.85066733</v>
      </c>
      <c r="AG91" s="72">
        <f t="shared" si="70"/>
        <v>71.39562783</v>
      </c>
      <c r="AH91" s="52">
        <f t="shared" si="51"/>
        <v>44.12657241</v>
      </c>
      <c r="AI91" s="73">
        <f t="shared" si="52"/>
        <v>104.4156641</v>
      </c>
      <c r="AJ91" s="73">
        <f t="shared" si="53"/>
        <v>42.53496018</v>
      </c>
      <c r="AK91" s="11"/>
      <c r="AL91" s="51">
        <f t="shared" si="54"/>
        <v>2698.531994</v>
      </c>
      <c r="AM91" s="58">
        <f t="shared" si="55"/>
        <v>49.17705607</v>
      </c>
    </row>
    <row r="92" ht="15.75" customHeight="1">
      <c r="A92" s="92" t="s">
        <v>4196</v>
      </c>
      <c r="B92" s="56">
        <v>45652.0</v>
      </c>
      <c r="C92" s="56">
        <v>45650.0</v>
      </c>
      <c r="D92" s="57" t="s">
        <v>38</v>
      </c>
      <c r="E92" s="57">
        <v>2.0606534923E10</v>
      </c>
      <c r="G92" s="3">
        <v>42.0</v>
      </c>
      <c r="H92" s="57" t="s">
        <v>47</v>
      </c>
      <c r="I92" s="58">
        <v>4.15</v>
      </c>
      <c r="J92" s="58">
        <v>1.8</v>
      </c>
      <c r="K92" s="59">
        <f t="shared" si="41"/>
        <v>4.0753</v>
      </c>
      <c r="L92" s="60">
        <v>0.838</v>
      </c>
      <c r="M92" s="62">
        <v>0.804</v>
      </c>
      <c r="N92" s="62">
        <v>0.804</v>
      </c>
      <c r="O92" s="60">
        <f t="shared" si="42"/>
        <v>0.804</v>
      </c>
      <c r="P92" s="63">
        <v>90.0</v>
      </c>
      <c r="Q92" s="64">
        <v>89.68</v>
      </c>
      <c r="R92" s="65">
        <v>2613.8</v>
      </c>
      <c r="S92" s="66">
        <f t="shared" si="69"/>
        <v>170</v>
      </c>
      <c r="U92" s="67">
        <v>130.0</v>
      </c>
      <c r="V92" s="67">
        <v>1.1023</v>
      </c>
      <c r="Y92" s="57">
        <v>20.0</v>
      </c>
      <c r="Z92" s="69">
        <f t="shared" si="59"/>
        <v>30</v>
      </c>
      <c r="AA92" s="70">
        <f t="shared" si="45"/>
        <v>50</v>
      </c>
      <c r="AB92" s="71">
        <f t="shared" si="61"/>
        <v>1738.633187</v>
      </c>
      <c r="AC92" s="71">
        <f>+(S92-T92)*V92-'data 1'!$F$4</f>
        <v>107.391</v>
      </c>
      <c r="AD92" s="71">
        <f t="shared" si="47"/>
        <v>-7.341933172</v>
      </c>
      <c r="AE92" s="71">
        <f t="shared" si="48"/>
        <v>-14.885</v>
      </c>
      <c r="AF92" s="71">
        <f t="shared" si="49"/>
        <v>83.48163511</v>
      </c>
      <c r="AG92" s="72">
        <f t="shared" si="70"/>
        <v>168.6457019</v>
      </c>
      <c r="AH92" s="52">
        <f t="shared" si="51"/>
        <v>105.0045872</v>
      </c>
      <c r="AI92" s="73">
        <f t="shared" si="52"/>
        <v>227.1469324</v>
      </c>
      <c r="AJ92" s="73">
        <f t="shared" si="53"/>
        <v>101.1037379</v>
      </c>
      <c r="AK92" s="11"/>
      <c r="AL92" s="51">
        <f t="shared" si="54"/>
        <v>7085.451826</v>
      </c>
      <c r="AM92" s="58">
        <f t="shared" si="55"/>
        <v>117.0880767</v>
      </c>
    </row>
    <row r="93" ht="15.75" customHeight="1">
      <c r="A93" s="92" t="s">
        <v>4197</v>
      </c>
      <c r="B93" s="56">
        <v>45652.0</v>
      </c>
      <c r="C93" s="56">
        <v>45650.0</v>
      </c>
      <c r="D93" s="57" t="s">
        <v>38</v>
      </c>
      <c r="E93" s="57">
        <v>2.0606534923E10</v>
      </c>
      <c r="G93" s="3">
        <v>69.0</v>
      </c>
      <c r="H93" s="57" t="s">
        <v>47</v>
      </c>
      <c r="I93" s="58">
        <v>6.85</v>
      </c>
      <c r="J93" s="58">
        <v>1.5</v>
      </c>
      <c r="K93" s="59">
        <f t="shared" si="41"/>
        <v>6.74725</v>
      </c>
      <c r="L93" s="60">
        <v>0.24</v>
      </c>
      <c r="M93" s="62">
        <v>0.23</v>
      </c>
      <c r="N93" s="62">
        <v>0.23</v>
      </c>
      <c r="O93" s="60">
        <f t="shared" si="42"/>
        <v>0.23</v>
      </c>
      <c r="P93" s="63">
        <v>90.0</v>
      </c>
      <c r="Q93" s="64">
        <v>89.84</v>
      </c>
      <c r="R93" s="65">
        <v>2613.8</v>
      </c>
      <c r="S93" s="66">
        <f t="shared" si="69"/>
        <v>110</v>
      </c>
      <c r="U93" s="67">
        <v>130.0</v>
      </c>
      <c r="V93" s="67">
        <v>1.1023</v>
      </c>
      <c r="Y93" s="57">
        <v>20.0</v>
      </c>
      <c r="Z93" s="69">
        <f t="shared" si="59"/>
        <v>30</v>
      </c>
      <c r="AA93" s="70">
        <f t="shared" si="45"/>
        <v>50</v>
      </c>
      <c r="AB93" s="71">
        <f t="shared" si="61"/>
        <v>390.3757972</v>
      </c>
      <c r="AC93" s="71">
        <f>+(S93-T93)*V93-'data 1'!$F$4</f>
        <v>41.253</v>
      </c>
      <c r="AD93" s="71">
        <f t="shared" si="47"/>
        <v>-1.051350812</v>
      </c>
      <c r="AE93" s="71">
        <f t="shared" si="48"/>
        <v>-14.885</v>
      </c>
      <c r="AF93" s="71">
        <f t="shared" si="49"/>
        <v>24.59722838</v>
      </c>
      <c r="AG93" s="72">
        <f t="shared" si="70"/>
        <v>49.91387756</v>
      </c>
      <c r="AH93" s="52">
        <f t="shared" si="51"/>
        <v>49.87889874</v>
      </c>
      <c r="AI93" s="73">
        <f t="shared" si="52"/>
        <v>65.17007831</v>
      </c>
      <c r="AJ93" s="73">
        <f t="shared" si="53"/>
        <v>47.8857415</v>
      </c>
      <c r="AK93" s="11"/>
      <c r="AL93" s="51">
        <f t="shared" si="54"/>
        <v>2633.963098</v>
      </c>
      <c r="AM93" s="58">
        <f t="shared" si="55"/>
        <v>55.51970028</v>
      </c>
    </row>
    <row r="94" ht="15.75" customHeight="1">
      <c r="A94" s="92" t="s">
        <v>4198</v>
      </c>
      <c r="B94" s="56">
        <v>45652.0</v>
      </c>
      <c r="C94" s="56">
        <v>45650.0</v>
      </c>
      <c r="D94" s="57" t="s">
        <v>38</v>
      </c>
      <c r="E94" s="57">
        <v>2.0606534923E10</v>
      </c>
      <c r="F94" s="57" t="s">
        <v>4199</v>
      </c>
      <c r="G94" s="3">
        <v>6.0</v>
      </c>
      <c r="H94" s="57" t="s">
        <v>47</v>
      </c>
      <c r="I94" s="58">
        <v>0.51</v>
      </c>
      <c r="J94" s="58">
        <v>1.0</v>
      </c>
      <c r="K94" s="59">
        <f t="shared" si="41"/>
        <v>0.5049</v>
      </c>
      <c r="L94" s="60">
        <v>0.403</v>
      </c>
      <c r="M94" s="62">
        <v>0.386</v>
      </c>
      <c r="N94" s="62">
        <v>0.386</v>
      </c>
      <c r="O94" s="60">
        <f t="shared" si="42"/>
        <v>0.386</v>
      </c>
      <c r="P94" s="63">
        <v>90.0</v>
      </c>
      <c r="Q94" s="64">
        <v>89.64</v>
      </c>
      <c r="R94" s="65">
        <v>2613.8</v>
      </c>
      <c r="S94" s="66">
        <f t="shared" si="69"/>
        <v>120</v>
      </c>
      <c r="U94" s="67">
        <v>120.0</v>
      </c>
      <c r="V94" s="67">
        <v>1.1023</v>
      </c>
      <c r="Y94" s="57">
        <v>20.0</v>
      </c>
      <c r="Z94" s="69">
        <f t="shared" si="59"/>
        <v>30</v>
      </c>
      <c r="AA94" s="70">
        <f t="shared" si="45"/>
        <v>50</v>
      </c>
      <c r="AB94" s="71">
        <f t="shared" si="61"/>
        <v>767.5823281</v>
      </c>
      <c r="AC94" s="71">
        <f>+(S94-T94)*V94-'data 1'!$F$4</f>
        <v>52.276</v>
      </c>
      <c r="AD94" s="71">
        <f t="shared" si="47"/>
        <v>-3.988126956</v>
      </c>
      <c r="AE94" s="71">
        <f t="shared" si="48"/>
        <v>-14.885</v>
      </c>
      <c r="AF94" s="71">
        <f t="shared" si="49"/>
        <v>41.89017718</v>
      </c>
      <c r="AG94" s="72">
        <f t="shared" ref="AG94:AG96" si="71">+IF(D94="RONALD WILLIAN GARIBAY ESCUDERO",AC94+AD94+AE94+AF94+70,AC94+AD94+AE94+AF94)+70-53</f>
        <v>92.29305022</v>
      </c>
      <c r="AH94" s="52">
        <f t="shared" si="51"/>
        <v>6.25347379</v>
      </c>
      <c r="AI94" s="73">
        <f t="shared" si="52"/>
        <v>105.2057592</v>
      </c>
      <c r="AJ94" s="73">
        <f t="shared" si="53"/>
        <v>6.013734549</v>
      </c>
      <c r="AK94" s="11"/>
      <c r="AL94" s="51">
        <f t="shared" si="54"/>
        <v>387.5523174</v>
      </c>
      <c r="AM94" s="58">
        <f t="shared" si="55"/>
        <v>6.976209048</v>
      </c>
    </row>
    <row r="95" ht="15.75" customHeight="1">
      <c r="A95" s="92" t="s">
        <v>4200</v>
      </c>
      <c r="B95" s="56">
        <v>45652.0</v>
      </c>
      <c r="C95" s="56">
        <v>45650.0</v>
      </c>
      <c r="D95" s="57" t="s">
        <v>38</v>
      </c>
      <c r="E95" s="57">
        <v>2.0606534923E10</v>
      </c>
      <c r="F95" s="2" t="s">
        <v>4201</v>
      </c>
      <c r="G95" s="3">
        <v>22.0</v>
      </c>
      <c r="H95" s="57" t="s">
        <v>47</v>
      </c>
      <c r="I95" s="58">
        <v>2.14</v>
      </c>
      <c r="J95" s="58">
        <v>1.8</v>
      </c>
      <c r="K95" s="59">
        <f t="shared" si="41"/>
        <v>2.10148</v>
      </c>
      <c r="L95" s="60">
        <v>0.414</v>
      </c>
      <c r="M95" s="62">
        <v>0.397</v>
      </c>
      <c r="N95" s="62">
        <v>0.397</v>
      </c>
      <c r="O95" s="60">
        <f t="shared" si="42"/>
        <v>0.397</v>
      </c>
      <c r="P95" s="63">
        <v>90.0</v>
      </c>
      <c r="Q95" s="64">
        <v>89.52</v>
      </c>
      <c r="R95" s="65">
        <v>2613.8</v>
      </c>
      <c r="S95" s="66">
        <f t="shared" si="69"/>
        <v>120</v>
      </c>
      <c r="U95" s="67">
        <v>120.0</v>
      </c>
      <c r="V95" s="67">
        <v>1.1023</v>
      </c>
      <c r="Y95" s="57">
        <v>20.0</v>
      </c>
      <c r="Z95" s="69">
        <f t="shared" si="59"/>
        <v>30</v>
      </c>
      <c r="AA95" s="70">
        <f t="shared" si="45"/>
        <v>50</v>
      </c>
      <c r="AB95" s="71">
        <f t="shared" si="61"/>
        <v>794.7965939</v>
      </c>
      <c r="AC95" s="71">
        <f>+(S95-T95)*V95-'data 1'!$F$4</f>
        <v>52.276</v>
      </c>
      <c r="AD95" s="71">
        <f t="shared" si="47"/>
        <v>-5.462645359</v>
      </c>
      <c r="AE95" s="71">
        <f t="shared" si="48"/>
        <v>-14.885</v>
      </c>
      <c r="AF95" s="71">
        <f t="shared" si="49"/>
        <v>41.8340993</v>
      </c>
      <c r="AG95" s="72">
        <f t="shared" si="71"/>
        <v>90.76245394</v>
      </c>
      <c r="AH95" s="52">
        <f t="shared" si="51"/>
        <v>26.70267347</v>
      </c>
      <c r="AI95" s="73">
        <f t="shared" si="52"/>
        <v>107.9326985</v>
      </c>
      <c r="AJ95" s="73">
        <f t="shared" si="53"/>
        <v>25.74348547</v>
      </c>
      <c r="AK95" s="11"/>
      <c r="AL95" s="51">
        <f t="shared" si="54"/>
        <v>1670.249146</v>
      </c>
      <c r="AM95" s="58">
        <f t="shared" si="55"/>
        <v>29.82872371</v>
      </c>
    </row>
    <row r="96" ht="15.75" customHeight="1">
      <c r="A96" s="92" t="s">
        <v>4202</v>
      </c>
      <c r="B96" s="56">
        <v>45652.0</v>
      </c>
      <c r="C96" s="56">
        <v>45650.0</v>
      </c>
      <c r="D96" s="57" t="s">
        <v>38</v>
      </c>
      <c r="E96" s="57">
        <v>2.0606534923E10</v>
      </c>
      <c r="F96" s="2" t="s">
        <v>4203</v>
      </c>
      <c r="G96" s="3">
        <v>13.0</v>
      </c>
      <c r="H96" s="57" t="s">
        <v>47</v>
      </c>
      <c r="I96" s="58">
        <v>1.14</v>
      </c>
      <c r="J96" s="58">
        <v>1.6</v>
      </c>
      <c r="K96" s="59">
        <f t="shared" si="41"/>
        <v>1.12176</v>
      </c>
      <c r="L96" s="60">
        <v>0.348</v>
      </c>
      <c r="M96" s="62">
        <v>0.334</v>
      </c>
      <c r="N96" s="62">
        <v>0.334</v>
      </c>
      <c r="O96" s="60">
        <f t="shared" si="42"/>
        <v>0.334</v>
      </c>
      <c r="P96" s="63">
        <v>90.0</v>
      </c>
      <c r="Q96" s="64">
        <v>89.39</v>
      </c>
      <c r="R96" s="65">
        <v>2613.8</v>
      </c>
      <c r="S96" s="66">
        <f t="shared" si="69"/>
        <v>120</v>
      </c>
      <c r="U96" s="67">
        <v>120.0</v>
      </c>
      <c r="V96" s="67">
        <v>1.1023</v>
      </c>
      <c r="Y96" s="57">
        <v>20.0</v>
      </c>
      <c r="Z96" s="69">
        <f t="shared" si="59"/>
        <v>30</v>
      </c>
      <c r="AA96" s="70">
        <f t="shared" si="45"/>
        <v>50</v>
      </c>
      <c r="AB96" s="71">
        <f t="shared" si="61"/>
        <v>638.9330714</v>
      </c>
      <c r="AC96" s="71">
        <f>+(S96-T96)*V96-'data 1'!$F$4</f>
        <v>52.276</v>
      </c>
      <c r="AD96" s="71">
        <f t="shared" si="47"/>
        <v>-5.835398333</v>
      </c>
      <c r="AE96" s="71">
        <f t="shared" si="48"/>
        <v>-14.885</v>
      </c>
      <c r="AF96" s="71">
        <f t="shared" si="49"/>
        <v>34.40158092</v>
      </c>
      <c r="AG96" s="72">
        <f t="shared" si="71"/>
        <v>82.95718259</v>
      </c>
      <c r="AH96" s="52">
        <f t="shared" si="51"/>
        <v>11.96402193</v>
      </c>
      <c r="AI96" s="73">
        <f t="shared" si="52"/>
        <v>90.59428504</v>
      </c>
      <c r="AJ96" s="73">
        <f t="shared" si="53"/>
        <v>11.56106906</v>
      </c>
      <c r="AK96" s="11"/>
      <c r="AL96" s="51">
        <f t="shared" si="54"/>
        <v>716.7295622</v>
      </c>
      <c r="AM96" s="58">
        <f t="shared" si="55"/>
        <v>13.38407196</v>
      </c>
    </row>
    <row r="97" ht="15.75" customHeight="1">
      <c r="A97" s="92" t="s">
        <v>4204</v>
      </c>
      <c r="B97" s="56">
        <v>45649.0</v>
      </c>
      <c r="C97" s="56">
        <v>45634.0</v>
      </c>
      <c r="D97" s="57" t="s">
        <v>53</v>
      </c>
      <c r="E97" s="57">
        <v>1.0457401928E10</v>
      </c>
      <c r="G97" s="3">
        <v>190.0</v>
      </c>
      <c r="H97" s="57" t="s">
        <v>47</v>
      </c>
      <c r="I97" s="58">
        <v>16.61</v>
      </c>
      <c r="J97" s="58">
        <v>12.0</v>
      </c>
      <c r="K97" s="59">
        <f t="shared" si="41"/>
        <v>14.6168</v>
      </c>
      <c r="L97" s="79">
        <v>0.378</v>
      </c>
      <c r="M97" s="79">
        <v>0.378</v>
      </c>
      <c r="N97" s="79">
        <v>0.378</v>
      </c>
      <c r="O97" s="79">
        <v>0.378</v>
      </c>
      <c r="P97" s="63">
        <v>90.0</v>
      </c>
      <c r="Q97" s="64">
        <v>89.43</v>
      </c>
      <c r="R97" s="65">
        <v>2637.3</v>
      </c>
      <c r="S97" s="76">
        <v>114.0</v>
      </c>
      <c r="U97" s="67">
        <v>103.0</v>
      </c>
      <c r="V97" s="67">
        <v>1.1023</v>
      </c>
      <c r="Z97" s="69">
        <f t="shared" si="59"/>
        <v>30</v>
      </c>
      <c r="AA97" s="70">
        <f t="shared" si="45"/>
        <v>30</v>
      </c>
      <c r="AB97" s="71">
        <f t="shared" si="61"/>
        <v>791.6375344</v>
      </c>
      <c r="AC97" s="71">
        <f>+(S97-T97)*V97-'data 1'!$F$4</f>
        <v>45.6622</v>
      </c>
      <c r="AD97" s="71">
        <f t="shared" si="47"/>
        <v>-6.019001984</v>
      </c>
      <c r="AE97" s="71">
        <f t="shared" si="48"/>
        <v>-36.931</v>
      </c>
      <c r="AF97" s="71">
        <f t="shared" si="49"/>
        <v>0</v>
      </c>
      <c r="AG97" s="72">
        <f t="shared" ref="AG97:AG98" si="72">+IF(D97="RONALD WILLIAN GARIBAY ESCUDERO",AC97+AD97+AE97+AF97+70,AC97+AD97+AE97+AF97)</f>
        <v>2.712198016</v>
      </c>
      <c r="AH97" s="52">
        <f t="shared" si="51"/>
        <v>169.408971</v>
      </c>
      <c r="AI97" s="73">
        <f t="shared" si="52"/>
        <v>83.35675932</v>
      </c>
      <c r="AJ97" s="73">
        <f t="shared" si="53"/>
        <v>170.4887329</v>
      </c>
      <c r="AK97" s="11"/>
      <c r="AL97" s="51">
        <f t="shared" si="54"/>
        <v>11571.20751</v>
      </c>
      <c r="AM97" s="58">
        <f t="shared" si="55"/>
        <v>189.4319255</v>
      </c>
    </row>
    <row r="98" ht="15.75" customHeight="1">
      <c r="A98" s="92" t="s">
        <v>4205</v>
      </c>
      <c r="B98" s="56">
        <v>45649.0</v>
      </c>
      <c r="C98" s="56">
        <v>45634.0</v>
      </c>
      <c r="D98" s="57" t="s">
        <v>53</v>
      </c>
      <c r="E98" s="57">
        <v>1.0457401928E10</v>
      </c>
      <c r="G98" s="3">
        <v>61.0</v>
      </c>
      <c r="H98" s="57" t="s">
        <v>47</v>
      </c>
      <c r="I98" s="58">
        <v>5.6</v>
      </c>
      <c r="J98" s="58">
        <v>9.25</v>
      </c>
      <c r="K98" s="59">
        <f t="shared" si="41"/>
        <v>5.082</v>
      </c>
      <c r="L98" s="79">
        <v>0.737</v>
      </c>
      <c r="M98" s="79">
        <v>0.737</v>
      </c>
      <c r="N98" s="79">
        <v>0.737</v>
      </c>
      <c r="O98" s="79">
        <v>0.737</v>
      </c>
      <c r="P98" s="63">
        <v>90.0</v>
      </c>
      <c r="Q98" s="64">
        <v>89.16</v>
      </c>
      <c r="R98" s="65">
        <v>2637.3</v>
      </c>
      <c r="S98" s="76">
        <v>153.0</v>
      </c>
      <c r="U98" s="67">
        <v>103.0</v>
      </c>
      <c r="V98" s="67">
        <v>1.1023</v>
      </c>
      <c r="Z98" s="69">
        <f t="shared" si="59"/>
        <v>30</v>
      </c>
      <c r="AA98" s="70">
        <f t="shared" si="45"/>
        <v>30</v>
      </c>
      <c r="AB98" s="71">
        <f t="shared" si="61"/>
        <v>1651.246712</v>
      </c>
      <c r="AC98" s="71">
        <f>+(S98-T98)*V98-'data 1'!$F$4</f>
        <v>88.6519</v>
      </c>
      <c r="AD98" s="71">
        <f t="shared" si="47"/>
        <v>-17.29436438</v>
      </c>
      <c r="AE98" s="71">
        <f t="shared" si="48"/>
        <v>-36.931</v>
      </c>
      <c r="AF98" s="71">
        <f t="shared" si="49"/>
        <v>0</v>
      </c>
      <c r="AG98" s="72">
        <f t="shared" si="72"/>
        <v>34.42653562</v>
      </c>
      <c r="AH98" s="52">
        <f t="shared" si="51"/>
        <v>114.4936176</v>
      </c>
      <c r="AI98" s="73">
        <f t="shared" si="52"/>
        <v>162.0329501</v>
      </c>
      <c r="AJ98" s="73">
        <f t="shared" si="53"/>
        <v>115.5722923</v>
      </c>
      <c r="AK98" s="11"/>
      <c r="AL98" s="51">
        <f t="shared" si="54"/>
        <v>8391.635789</v>
      </c>
      <c r="AM98" s="58">
        <f t="shared" si="55"/>
        <v>128.4136581</v>
      </c>
    </row>
    <row r="99" ht="15.75" customHeight="1">
      <c r="A99" s="839" t="s">
        <v>4206</v>
      </c>
      <c r="B99" s="56">
        <v>45660.0</v>
      </c>
      <c r="C99" s="56">
        <v>45652.0</v>
      </c>
      <c r="D99" s="57" t="s">
        <v>61</v>
      </c>
      <c r="E99" s="57">
        <v>2.0606526599E10</v>
      </c>
      <c r="G99" s="3">
        <v>127.0</v>
      </c>
      <c r="H99" s="57" t="s">
        <v>47</v>
      </c>
      <c r="I99" s="58">
        <v>10.97</v>
      </c>
      <c r="J99" s="58">
        <v>1.5</v>
      </c>
      <c r="K99" s="59">
        <f t="shared" si="41"/>
        <v>10.80545</v>
      </c>
      <c r="L99" s="60">
        <v>0.411</v>
      </c>
      <c r="M99" s="60">
        <v>0.395</v>
      </c>
      <c r="N99" s="62">
        <v>0.395</v>
      </c>
      <c r="O99" s="60">
        <f t="shared" ref="O99:O111" si="73">+ROUND((M99+N99)/2,3)</f>
        <v>0.395</v>
      </c>
      <c r="P99" s="63">
        <v>90.0</v>
      </c>
      <c r="Q99" s="64">
        <v>89.7</v>
      </c>
      <c r="R99" s="65">
        <v>2615.95</v>
      </c>
      <c r="S99" s="66">
        <f t="shared" ref="S99:S101" si="74">IF((90+ROUNDDOWN(O99,1)*100)&lt;95,95,(90+ROUNDDOWN(O99,1)*100))</f>
        <v>120</v>
      </c>
      <c r="U99" s="67">
        <v>120.0</v>
      </c>
      <c r="V99" s="67">
        <v>1.1023</v>
      </c>
      <c r="Y99" s="57">
        <v>20.0</v>
      </c>
      <c r="Z99" s="69">
        <f t="shared" si="59"/>
        <v>30</v>
      </c>
      <c r="AA99" s="70">
        <f t="shared" si="45"/>
        <v>50</v>
      </c>
      <c r="AB99" s="71">
        <f t="shared" si="61"/>
        <v>790.691061</v>
      </c>
      <c r="AC99" s="71">
        <f>+(S99-T99)*V99-'data 1'!$F$4</f>
        <v>52.276</v>
      </c>
      <c r="AD99" s="71">
        <f t="shared" si="47"/>
        <v>-3.39233525</v>
      </c>
      <c r="AE99" s="71">
        <f t="shared" si="48"/>
        <v>-14.885</v>
      </c>
      <c r="AF99" s="71">
        <f t="shared" si="49"/>
        <v>39.48645215</v>
      </c>
      <c r="AG99" s="72">
        <f t="shared" ref="AG99:AG101" si="75">+IF(D99="RONALD WILLIAN GARIBAY ESCUDERO",AC99+AD99+AE99+AF99+70,AC99+AD99+AE99+AF99)+70-53</f>
        <v>90.4851169</v>
      </c>
      <c r="AH99" s="52">
        <f t="shared" si="51"/>
        <v>136.5797119</v>
      </c>
      <c r="AI99" s="73">
        <f t="shared" si="52"/>
        <v>106.4923072</v>
      </c>
      <c r="AJ99" s="73">
        <f t="shared" si="53"/>
        <v>131.701746</v>
      </c>
      <c r="AK99" s="11"/>
      <c r="AL99" s="51">
        <f t="shared" si="54"/>
        <v>8543.772725</v>
      </c>
      <c r="AM99" s="58">
        <f t="shared" si="55"/>
        <v>152.262778</v>
      </c>
    </row>
    <row r="100" ht="15.75" customHeight="1">
      <c r="A100" s="92" t="s">
        <v>4207</v>
      </c>
      <c r="B100" s="56">
        <v>45654.0</v>
      </c>
      <c r="C100" s="56">
        <v>45652.0</v>
      </c>
      <c r="D100" s="57" t="s">
        <v>61</v>
      </c>
      <c r="E100" s="57">
        <v>2.0606526599E10</v>
      </c>
      <c r="G100" s="3">
        <v>16.0</v>
      </c>
      <c r="H100" s="57" t="s">
        <v>47</v>
      </c>
      <c r="I100" s="58">
        <v>1.29</v>
      </c>
      <c r="J100" s="58">
        <v>1.1</v>
      </c>
      <c r="K100" s="59">
        <f t="shared" si="41"/>
        <v>1.27581</v>
      </c>
      <c r="L100" s="60">
        <v>0.301</v>
      </c>
      <c r="M100" s="60">
        <v>0.288</v>
      </c>
      <c r="N100" s="62">
        <v>0.288</v>
      </c>
      <c r="O100" s="60">
        <f t="shared" si="73"/>
        <v>0.288</v>
      </c>
      <c r="P100" s="63">
        <v>90.0</v>
      </c>
      <c r="Q100" s="64">
        <v>89.88</v>
      </c>
      <c r="R100" s="65">
        <v>2615.95</v>
      </c>
      <c r="S100" s="66">
        <f t="shared" si="74"/>
        <v>110</v>
      </c>
      <c r="U100" s="67">
        <v>120.0</v>
      </c>
      <c r="V100" s="67">
        <v>1.1023</v>
      </c>
      <c r="Y100" s="57">
        <v>20.0</v>
      </c>
      <c r="Z100" s="69">
        <f t="shared" si="59"/>
        <v>30</v>
      </c>
      <c r="AA100" s="70">
        <f t="shared" si="45"/>
        <v>50</v>
      </c>
      <c r="AB100" s="71">
        <f t="shared" si="61"/>
        <v>536.7652496</v>
      </c>
      <c r="AC100" s="71">
        <f>+(S100-T100)*V100-'data 1'!$F$4</f>
        <v>41.253</v>
      </c>
      <c r="AD100" s="71">
        <f t="shared" si="47"/>
        <v>-0.9937643894</v>
      </c>
      <c r="AE100" s="71">
        <f t="shared" si="48"/>
        <v>-14.885</v>
      </c>
      <c r="AF100" s="71">
        <f t="shared" si="49"/>
        <v>32.14712246</v>
      </c>
      <c r="AG100" s="72">
        <f t="shared" si="75"/>
        <v>74.52135807</v>
      </c>
      <c r="AH100" s="52">
        <f t="shared" si="51"/>
        <v>11.83381105</v>
      </c>
      <c r="AI100" s="73">
        <f t="shared" si="52"/>
        <v>78.14721959</v>
      </c>
      <c r="AJ100" s="73">
        <f t="shared" si="53"/>
        <v>11.33783333</v>
      </c>
      <c r="AK100" s="11"/>
      <c r="AL100" s="51">
        <f t="shared" si="54"/>
        <v>684.810473</v>
      </c>
      <c r="AM100" s="58">
        <f t="shared" si="55"/>
        <v>13.16623392</v>
      </c>
    </row>
    <row r="101" ht="15.75" customHeight="1">
      <c r="A101" s="92" t="s">
        <v>4208</v>
      </c>
      <c r="B101" s="56">
        <v>45660.0</v>
      </c>
      <c r="C101" s="56">
        <v>45652.0</v>
      </c>
      <c r="D101" s="57" t="s">
        <v>61</v>
      </c>
      <c r="E101" s="57">
        <v>2.0606526599E10</v>
      </c>
      <c r="G101" s="3">
        <v>22.0</v>
      </c>
      <c r="H101" s="57" t="s">
        <v>47</v>
      </c>
      <c r="I101" s="58">
        <v>1.84</v>
      </c>
      <c r="J101" s="58">
        <v>1.1</v>
      </c>
      <c r="K101" s="59">
        <f t="shared" si="41"/>
        <v>1.81976</v>
      </c>
      <c r="L101" s="60">
        <v>0.401</v>
      </c>
      <c r="M101" s="60">
        <v>0.401</v>
      </c>
      <c r="N101" s="62">
        <v>0.401</v>
      </c>
      <c r="O101" s="60">
        <f t="shared" si="73"/>
        <v>0.401</v>
      </c>
      <c r="P101" s="63">
        <v>90.0</v>
      </c>
      <c r="Q101" s="64">
        <v>89.86</v>
      </c>
      <c r="R101" s="65">
        <v>2615.95</v>
      </c>
      <c r="S101" s="66">
        <f t="shared" si="74"/>
        <v>130</v>
      </c>
      <c r="U101" s="67">
        <v>120.0</v>
      </c>
      <c r="V101" s="67">
        <v>1.1023</v>
      </c>
      <c r="Y101" s="57">
        <v>20.0</v>
      </c>
      <c r="Z101" s="69">
        <f t="shared" si="59"/>
        <v>30</v>
      </c>
      <c r="AA101" s="70">
        <f t="shared" si="45"/>
        <v>50</v>
      </c>
      <c r="AB101" s="71">
        <f t="shared" si="61"/>
        <v>794.5250037</v>
      </c>
      <c r="AC101" s="71">
        <f>+(S101-T101)*V101-'data 1'!$F$4</f>
        <v>63.299</v>
      </c>
      <c r="AD101" s="71">
        <f t="shared" si="47"/>
        <v>-1.544571784</v>
      </c>
      <c r="AE101" s="71">
        <f t="shared" si="48"/>
        <v>-14.885</v>
      </c>
      <c r="AF101" s="71">
        <f t="shared" si="49"/>
        <v>0</v>
      </c>
      <c r="AG101" s="72">
        <f t="shared" si="75"/>
        <v>63.86942822</v>
      </c>
      <c r="AH101" s="52">
        <f t="shared" si="51"/>
        <v>22.48194965</v>
      </c>
      <c r="AI101" s="73">
        <f t="shared" si="52"/>
        <v>104.0865846</v>
      </c>
      <c r="AJ101" s="73">
        <f t="shared" si="53"/>
        <v>22.51697605</v>
      </c>
      <c r="AK101" s="11"/>
      <c r="AL101" s="51">
        <f t="shared" si="54"/>
        <v>1445.844821</v>
      </c>
      <c r="AM101" s="58">
        <f t="shared" si="55"/>
        <v>25.01886228</v>
      </c>
    </row>
    <row r="102" ht="15.75" customHeight="1">
      <c r="A102" s="92" t="s">
        <v>4209</v>
      </c>
      <c r="B102" s="56">
        <v>45660.0</v>
      </c>
      <c r="C102" s="56">
        <v>45655.0</v>
      </c>
      <c r="D102" s="57" t="s">
        <v>53</v>
      </c>
      <c r="E102" s="57">
        <v>1.0457401928E10</v>
      </c>
      <c r="F102" s="2" t="s">
        <v>54</v>
      </c>
      <c r="G102" s="3">
        <v>57.0</v>
      </c>
      <c r="H102" s="57" t="s">
        <v>47</v>
      </c>
      <c r="I102" s="58">
        <v>36.51</v>
      </c>
      <c r="J102" s="58">
        <v>16.5</v>
      </c>
      <c r="K102" s="59">
        <f t="shared" si="41"/>
        <v>30.48585</v>
      </c>
      <c r="L102" s="60">
        <v>0.522</v>
      </c>
      <c r="M102" s="60">
        <v>0.501</v>
      </c>
      <c r="N102" s="62">
        <v>0.501</v>
      </c>
      <c r="O102" s="60">
        <f t="shared" si="73"/>
        <v>0.501</v>
      </c>
      <c r="P102" s="63">
        <v>90.0</v>
      </c>
      <c r="Q102" s="64">
        <v>89.74</v>
      </c>
      <c r="R102" s="65">
        <v>2615.95</v>
      </c>
      <c r="S102" s="76">
        <v>130.0</v>
      </c>
      <c r="U102" s="67">
        <v>100.0</v>
      </c>
      <c r="V102" s="67">
        <v>1.1023</v>
      </c>
      <c r="Z102" s="69">
        <f t="shared" si="59"/>
        <v>30</v>
      </c>
      <c r="AA102" s="70">
        <f t="shared" si="45"/>
        <v>30</v>
      </c>
      <c r="AB102" s="71">
        <f t="shared" si="61"/>
        <v>1074.127257</v>
      </c>
      <c r="AC102" s="71">
        <f>+(S102-T102)*V102-'data 1'!$F$4</f>
        <v>63.299</v>
      </c>
      <c r="AD102" s="71">
        <f t="shared" si="47"/>
        <v>-3.763965763</v>
      </c>
      <c r="AE102" s="71">
        <f t="shared" si="48"/>
        <v>-36.931</v>
      </c>
      <c r="AF102" s="71">
        <f t="shared" si="49"/>
        <v>52.26454494</v>
      </c>
      <c r="AG102" s="72">
        <f>+IF(D102="RONALD WILLIAN GARIBAY ESCUDERO",AC102+AD102+AE102+AF102+70,AC102+AD102+AE102+AF102)</f>
        <v>74.86857917</v>
      </c>
      <c r="AH102" s="52">
        <f t="shared" si="51"/>
        <v>489.6254074</v>
      </c>
      <c r="AI102" s="73">
        <f t="shared" si="52"/>
        <v>124.9860268</v>
      </c>
      <c r="AJ102" s="73">
        <f t="shared" si="53"/>
        <v>471.2893361</v>
      </c>
      <c r="AK102" s="11"/>
      <c r="AL102" s="51">
        <f t="shared" si="54"/>
        <v>32745.68243</v>
      </c>
      <c r="AM102" s="58">
        <f t="shared" si="55"/>
        <v>545.604421</v>
      </c>
    </row>
    <row r="103" ht="15.75" customHeight="1">
      <c r="A103" s="92" t="s">
        <v>4210</v>
      </c>
      <c r="B103" s="56">
        <v>45660.0</v>
      </c>
      <c r="C103" s="56">
        <v>45657.0</v>
      </c>
      <c r="D103" s="57" t="s">
        <v>74</v>
      </c>
      <c r="E103" s="57">
        <v>1.0082235774E10</v>
      </c>
      <c r="G103" s="3">
        <v>73.0</v>
      </c>
      <c r="H103" s="57" t="s">
        <v>47</v>
      </c>
      <c r="I103" s="58">
        <v>7.2</v>
      </c>
      <c r="J103" s="58">
        <v>1.3</v>
      </c>
      <c r="K103" s="59">
        <f t="shared" si="41"/>
        <v>7.1064</v>
      </c>
      <c r="L103" s="60">
        <v>0.309</v>
      </c>
      <c r="M103" s="60">
        <v>0.304</v>
      </c>
      <c r="N103" s="62">
        <v>0.304</v>
      </c>
      <c r="O103" s="60">
        <f t="shared" si="73"/>
        <v>0.304</v>
      </c>
      <c r="P103" s="63">
        <v>90.0</v>
      </c>
      <c r="Q103" s="64">
        <v>89.56</v>
      </c>
      <c r="R103" s="65">
        <v>2609.1</v>
      </c>
      <c r="S103" s="76">
        <v>110.0</v>
      </c>
      <c r="U103" s="67">
        <v>80.0</v>
      </c>
      <c r="V103" s="67">
        <v>1.1023</v>
      </c>
      <c r="Z103" s="77">
        <v>10.0</v>
      </c>
      <c r="AA103" s="70">
        <f t="shared" si="45"/>
        <v>10</v>
      </c>
      <c r="AB103" s="71">
        <f t="shared" si="61"/>
        <v>630.473448</v>
      </c>
      <c r="AC103" s="71">
        <f>+(S103-T103)*V103-'data 1'!$F$4</f>
        <v>41.253</v>
      </c>
      <c r="AD103" s="71">
        <f t="shared" si="47"/>
        <v>-3.790329494</v>
      </c>
      <c r="AE103" s="71">
        <f t="shared" si="48"/>
        <v>-58.977</v>
      </c>
      <c r="AF103" s="71">
        <f t="shared" si="49"/>
        <v>12.48388899</v>
      </c>
      <c r="AG103" s="72">
        <f t="shared" ref="AG103:AG107" si="76">+IF(D103="RONALD WILLIAN GARIBAY ESCUDERO",AC103+AD103+AE103+AF103+70,AC103+AD103+AE103+AF103)+70</f>
        <v>60.9695595</v>
      </c>
      <c r="AH103" s="52">
        <f t="shared" si="51"/>
        <v>67.42660339</v>
      </c>
      <c r="AI103" s="73">
        <f t="shared" si="52"/>
        <v>69.82616083</v>
      </c>
      <c r="AJ103" s="73">
        <f t="shared" si="53"/>
        <v>66.6614585</v>
      </c>
      <c r="AK103" s="11"/>
      <c r="AL103" s="51">
        <f t="shared" si="54"/>
        <v>4480.396511</v>
      </c>
      <c r="AM103" s="58">
        <f t="shared" si="55"/>
        <v>75.28651563</v>
      </c>
    </row>
    <row r="104" ht="15.75" customHeight="1">
      <c r="A104" s="92" t="s">
        <v>4211</v>
      </c>
      <c r="B104" s="56">
        <v>45660.0</v>
      </c>
      <c r="C104" s="56">
        <v>45657.0</v>
      </c>
      <c r="D104" s="57" t="s">
        <v>74</v>
      </c>
      <c r="E104" s="57">
        <v>1.0082235774E10</v>
      </c>
      <c r="G104" s="3">
        <v>72.0</v>
      </c>
      <c r="H104" s="57" t="s">
        <v>47</v>
      </c>
      <c r="I104" s="58">
        <v>7.09</v>
      </c>
      <c r="J104" s="58">
        <v>1.4</v>
      </c>
      <c r="K104" s="59">
        <f t="shared" si="41"/>
        <v>6.99074</v>
      </c>
      <c r="L104" s="60">
        <v>0.358</v>
      </c>
      <c r="M104" s="60">
        <v>0.352</v>
      </c>
      <c r="N104" s="62">
        <v>0.352</v>
      </c>
      <c r="O104" s="60">
        <f t="shared" si="73"/>
        <v>0.352</v>
      </c>
      <c r="P104" s="63">
        <v>90.0</v>
      </c>
      <c r="Q104" s="64">
        <v>89.68</v>
      </c>
      <c r="R104" s="65">
        <v>2609.1</v>
      </c>
      <c r="S104" s="76">
        <v>110.0</v>
      </c>
      <c r="U104" s="67">
        <v>80.0</v>
      </c>
      <c r="V104" s="67">
        <v>1.1023</v>
      </c>
      <c r="Z104" s="77">
        <v>10.0</v>
      </c>
      <c r="AA104" s="70">
        <f t="shared" si="45"/>
        <v>10</v>
      </c>
      <c r="AB104" s="71">
        <f t="shared" si="61"/>
        <v>750.9075714</v>
      </c>
      <c r="AC104" s="71">
        <f>+(S104-T104)*V104-'data 1'!$F$4</f>
        <v>41.253</v>
      </c>
      <c r="AD104" s="71">
        <f t="shared" si="47"/>
        <v>-3.193734531</v>
      </c>
      <c r="AE104" s="71">
        <f t="shared" si="48"/>
        <v>-58.977</v>
      </c>
      <c r="AF104" s="71">
        <f t="shared" si="49"/>
        <v>15.00073914</v>
      </c>
      <c r="AG104" s="72">
        <f t="shared" si="76"/>
        <v>64.08300461</v>
      </c>
      <c r="AH104" s="52">
        <f t="shared" si="51"/>
        <v>76.95039361</v>
      </c>
      <c r="AI104" s="73">
        <f t="shared" si="52"/>
        <v>81.00731289</v>
      </c>
      <c r="AJ104" s="73">
        <f t="shared" si="53"/>
        <v>75.93069802</v>
      </c>
      <c r="AK104" s="11"/>
      <c r="AL104" s="51">
        <f t="shared" si="54"/>
        <v>5249.399596</v>
      </c>
      <c r="AM104" s="58">
        <f t="shared" si="55"/>
        <v>85.80552365</v>
      </c>
    </row>
    <row r="105" ht="15.75" customHeight="1">
      <c r="A105" s="92" t="s">
        <v>4212</v>
      </c>
      <c r="B105" s="56">
        <v>45660.0</v>
      </c>
      <c r="C105" s="56">
        <v>45657.0</v>
      </c>
      <c r="D105" s="57" t="s">
        <v>74</v>
      </c>
      <c r="E105" s="57">
        <v>1.0082235774E10</v>
      </c>
      <c r="G105" s="3">
        <v>75.0</v>
      </c>
      <c r="H105" s="57" t="s">
        <v>47</v>
      </c>
      <c r="I105" s="58">
        <v>7.19</v>
      </c>
      <c r="J105" s="58">
        <v>1.7</v>
      </c>
      <c r="K105" s="59">
        <f t="shared" si="41"/>
        <v>7.06777</v>
      </c>
      <c r="L105" s="60">
        <v>0.303</v>
      </c>
      <c r="M105" s="60">
        <v>0.298</v>
      </c>
      <c r="N105" s="62">
        <v>0.298</v>
      </c>
      <c r="O105" s="60">
        <f t="shared" si="73"/>
        <v>0.298</v>
      </c>
      <c r="P105" s="63">
        <v>90.0</v>
      </c>
      <c r="Q105" s="64">
        <v>89.73</v>
      </c>
      <c r="R105" s="65">
        <v>2609.1</v>
      </c>
      <c r="S105" s="76">
        <v>105.0</v>
      </c>
      <c r="U105" s="67">
        <v>80.0</v>
      </c>
      <c r="V105" s="67">
        <v>1.1023</v>
      </c>
      <c r="Z105" s="77">
        <v>10.0</v>
      </c>
      <c r="AA105" s="70">
        <f t="shared" si="45"/>
        <v>10</v>
      </c>
      <c r="AB105" s="71">
        <f t="shared" si="61"/>
        <v>620.9306826</v>
      </c>
      <c r="AC105" s="71">
        <f>+(S105-T105)*V105-'data 1'!$F$4</f>
        <v>35.7415</v>
      </c>
      <c r="AD105" s="71">
        <f t="shared" si="47"/>
        <v>-2.280721211</v>
      </c>
      <c r="AE105" s="71">
        <f t="shared" si="48"/>
        <v>-58.977</v>
      </c>
      <c r="AF105" s="71">
        <f t="shared" si="49"/>
        <v>12.50758552</v>
      </c>
      <c r="AG105" s="72">
        <f t="shared" si="76"/>
        <v>56.99136431</v>
      </c>
      <c r="AH105" s="52">
        <f t="shared" si="51"/>
        <v>65.88275835</v>
      </c>
      <c r="AI105" s="73">
        <f t="shared" si="52"/>
        <v>68.60028126</v>
      </c>
      <c r="AJ105" s="73">
        <f t="shared" si="53"/>
        <v>64.99055579</v>
      </c>
      <c r="AK105" s="11"/>
      <c r="AL105" s="51">
        <f t="shared" si="54"/>
        <v>4388.595251</v>
      </c>
      <c r="AM105" s="58">
        <f t="shared" si="55"/>
        <v>73.42333484</v>
      </c>
    </row>
    <row r="106" ht="15.75" customHeight="1">
      <c r="A106" s="92" t="s">
        <v>4213</v>
      </c>
      <c r="B106" s="56">
        <v>45660.0</v>
      </c>
      <c r="C106" s="56">
        <v>45657.0</v>
      </c>
      <c r="D106" s="57" t="s">
        <v>74</v>
      </c>
      <c r="E106" s="57">
        <v>1.0082235774E10</v>
      </c>
      <c r="G106" s="3">
        <v>67.0</v>
      </c>
      <c r="H106" s="57" t="s">
        <v>47</v>
      </c>
      <c r="I106" s="58">
        <v>7.12</v>
      </c>
      <c r="J106" s="58">
        <v>1.6</v>
      </c>
      <c r="K106" s="59">
        <f t="shared" si="41"/>
        <v>7.00608</v>
      </c>
      <c r="L106" s="60">
        <v>0.375</v>
      </c>
      <c r="M106" s="60">
        <v>0.369</v>
      </c>
      <c r="N106" s="62">
        <v>0.369</v>
      </c>
      <c r="O106" s="60">
        <f t="shared" si="73"/>
        <v>0.369</v>
      </c>
      <c r="P106" s="63">
        <v>90.0</v>
      </c>
      <c r="Q106" s="64">
        <v>89.59</v>
      </c>
      <c r="R106" s="65">
        <v>2609.1</v>
      </c>
      <c r="S106" s="76">
        <v>110.0</v>
      </c>
      <c r="U106" s="67">
        <v>80.0</v>
      </c>
      <c r="V106" s="67">
        <v>1.1023</v>
      </c>
      <c r="Z106" s="77">
        <v>10.0</v>
      </c>
      <c r="AA106" s="70">
        <f t="shared" si="45"/>
        <v>10</v>
      </c>
      <c r="AB106" s="71">
        <f t="shared" si="61"/>
        <v>793.5613235</v>
      </c>
      <c r="AC106" s="71">
        <f>+(S106-T106)*V106-'data 1'!$F$4</f>
        <v>41.253</v>
      </c>
      <c r="AD106" s="71">
        <f t="shared" si="47"/>
        <v>-4.286283905</v>
      </c>
      <c r="AE106" s="71">
        <f t="shared" si="48"/>
        <v>-58.977</v>
      </c>
      <c r="AF106" s="71">
        <f t="shared" si="49"/>
        <v>14.98568488</v>
      </c>
      <c r="AG106" s="72">
        <f t="shared" si="76"/>
        <v>62.97540097</v>
      </c>
      <c r="AH106" s="52">
        <f t="shared" si="51"/>
        <v>80.7002659</v>
      </c>
      <c r="AI106" s="73">
        <f t="shared" si="52"/>
        <v>84.76887205</v>
      </c>
      <c r="AJ106" s="73">
        <f t="shared" si="53"/>
        <v>79.77246956</v>
      </c>
      <c r="AK106" s="11"/>
      <c r="AL106" s="51">
        <f t="shared" si="54"/>
        <v>5559.754117</v>
      </c>
      <c r="AM106" s="58">
        <f t="shared" si="55"/>
        <v>90.07731432</v>
      </c>
    </row>
    <row r="107" ht="15.75" customHeight="1">
      <c r="A107" s="92" t="s">
        <v>4214</v>
      </c>
      <c r="B107" s="56">
        <v>45660.0</v>
      </c>
      <c r="C107" s="56">
        <v>45657.0</v>
      </c>
      <c r="D107" s="57" t="s">
        <v>74</v>
      </c>
      <c r="E107" s="57">
        <v>1.0082235774E10</v>
      </c>
      <c r="G107" s="3">
        <v>53.0</v>
      </c>
      <c r="H107" s="57" t="s">
        <v>47</v>
      </c>
      <c r="I107" s="58">
        <v>5.12</v>
      </c>
      <c r="J107" s="58">
        <v>1.8</v>
      </c>
      <c r="K107" s="59">
        <f t="shared" si="41"/>
        <v>5.02784</v>
      </c>
      <c r="L107" s="60">
        <v>0.559</v>
      </c>
      <c r="M107" s="60">
        <v>0.551</v>
      </c>
      <c r="N107" s="62">
        <v>0.551</v>
      </c>
      <c r="O107" s="60">
        <f t="shared" si="73"/>
        <v>0.551</v>
      </c>
      <c r="P107" s="63">
        <v>90.0</v>
      </c>
      <c r="Q107" s="64">
        <v>89.67</v>
      </c>
      <c r="R107" s="65">
        <v>2609.1</v>
      </c>
      <c r="S107" s="76">
        <v>120.0</v>
      </c>
      <c r="U107" s="67">
        <v>80.0</v>
      </c>
      <c r="V107" s="67">
        <v>1.1023</v>
      </c>
      <c r="Z107" s="77">
        <v>10.0</v>
      </c>
      <c r="AA107" s="70">
        <f t="shared" si="45"/>
        <v>10</v>
      </c>
      <c r="AB107" s="71">
        <f t="shared" si="61"/>
        <v>1239.184375</v>
      </c>
      <c r="AC107" s="71">
        <f>+(S107-T107)*V107-'data 1'!$F$4</f>
        <v>52.276</v>
      </c>
      <c r="AD107" s="71">
        <f t="shared" si="47"/>
        <v>-5.142704338</v>
      </c>
      <c r="AE107" s="71">
        <f t="shared" si="48"/>
        <v>-58.977</v>
      </c>
      <c r="AF107" s="71">
        <f t="shared" si="49"/>
        <v>19.99875527</v>
      </c>
      <c r="AG107" s="72">
        <f t="shared" si="76"/>
        <v>78.15505093</v>
      </c>
      <c r="AH107" s="52">
        <f t="shared" si="51"/>
        <v>86.40711316</v>
      </c>
      <c r="AI107" s="73">
        <f t="shared" si="52"/>
        <v>126.4749679</v>
      </c>
      <c r="AJ107" s="73">
        <f t="shared" si="53"/>
        <v>85.4839588</v>
      </c>
      <c r="AK107" s="11"/>
      <c r="AL107" s="51">
        <f t="shared" si="54"/>
        <v>6230.420766</v>
      </c>
      <c r="AM107" s="58">
        <f t="shared" si="55"/>
        <v>96.36122801</v>
      </c>
    </row>
    <row r="108" ht="15.75" customHeight="1">
      <c r="A108" s="92" t="s">
        <v>4215</v>
      </c>
      <c r="B108" s="56">
        <v>45660.0</v>
      </c>
      <c r="C108" s="56">
        <v>45658.0</v>
      </c>
      <c r="D108" s="57" t="s">
        <v>53</v>
      </c>
      <c r="E108" s="57">
        <v>1.0457401928E10</v>
      </c>
      <c r="G108" s="3" t="s">
        <v>46</v>
      </c>
      <c r="H108" s="57" t="s">
        <v>47</v>
      </c>
      <c r="I108" s="58">
        <v>18.77</v>
      </c>
      <c r="J108" s="58">
        <v>8.75</v>
      </c>
      <c r="K108" s="59">
        <f t="shared" si="41"/>
        <v>17.127625</v>
      </c>
      <c r="L108" s="60">
        <v>0.19</v>
      </c>
      <c r="M108" s="60">
        <v>0.182</v>
      </c>
      <c r="N108" s="75">
        <v>0.233</v>
      </c>
      <c r="O108" s="60">
        <f t="shared" si="73"/>
        <v>0.208</v>
      </c>
      <c r="P108" s="63">
        <v>90.0</v>
      </c>
      <c r="Q108" s="64">
        <v>89.88</v>
      </c>
      <c r="R108" s="65">
        <v>2609.1</v>
      </c>
      <c r="S108" s="66">
        <f t="shared" ref="S108:S109" si="77">IF((90+ROUNDDOWN(O108,1)*100)&lt;95,95,(90+ROUNDDOWN(O108,1)*100))</f>
        <v>110</v>
      </c>
      <c r="U108" s="67">
        <v>100.0</v>
      </c>
      <c r="V108" s="67">
        <v>1.1023</v>
      </c>
      <c r="Y108" s="57">
        <v>30.0</v>
      </c>
      <c r="Z108" s="69">
        <f t="shared" ref="Z108:Z111" si="78">IF(IF(D108="UNTUCA",IF(+((W108-3)*1.5+(X108-3)*3.1)&gt;0,+((W108-3)*1.5+(X108-3)*3.1),0),IF(+((W108-3)*1.5+(X108-3)*3.1)&gt;0,+((W108-3)*1.5+(X108-3)*3.1),0))&lt;30,30,IF(D108="UNTUCA",IF(+((W108-3)*1.5+(X108-3)*3.1)&gt;0,+((W108-3)*1.5+(X108-3)*3.1),0),IF(+((W108-3)*1.5+(X108-3)*3.1)&gt;0,+((W108-3)*1.5+(X108-3)*3.1),0)))</f>
        <v>30</v>
      </c>
      <c r="AA108" s="70">
        <f t="shared" si="45"/>
        <v>60</v>
      </c>
      <c r="AB108" s="71">
        <f t="shared" si="61"/>
        <v>330.3631901</v>
      </c>
      <c r="AC108" s="71">
        <f>+(S108-T108)*V108-'data 1'!$F$4</f>
        <v>41.253</v>
      </c>
      <c r="AD108" s="71">
        <f t="shared" si="47"/>
        <v>-0.630598052</v>
      </c>
      <c r="AE108" s="71">
        <f t="shared" si="48"/>
        <v>-3.862</v>
      </c>
      <c r="AF108" s="71">
        <f t="shared" si="49"/>
        <v>-44.7459102</v>
      </c>
      <c r="AG108" s="72">
        <f t="shared" ref="AG108:AG109" si="79">+IF(D108="RONALD WILLIAN GARIBAY ESCUDERO",AC108+AD108+AE108+AF108+70,AC108+AD108+AE108+AF108)+70-53</f>
        <v>9.01449175</v>
      </c>
      <c r="AH108" s="52">
        <f t="shared" si="51"/>
        <v>100.2819753</v>
      </c>
      <c r="AI108" s="73">
        <f t="shared" si="52"/>
        <v>46.85342773</v>
      </c>
      <c r="AJ108" s="73">
        <f t="shared" si="53"/>
        <v>109.9289449</v>
      </c>
      <c r="AK108" s="11"/>
      <c r="AL108" s="51">
        <f t="shared" si="54"/>
        <v>5658.336834</v>
      </c>
      <c r="AM108" s="58">
        <f t="shared" si="55"/>
        <v>111.5731812</v>
      </c>
    </row>
    <row r="109" ht="15.75" customHeight="1">
      <c r="A109" s="92" t="s">
        <v>4216</v>
      </c>
      <c r="B109" s="56">
        <v>45660.0</v>
      </c>
      <c r="C109" s="56">
        <v>45658.0</v>
      </c>
      <c r="D109" s="57" t="s">
        <v>53</v>
      </c>
      <c r="E109" s="57">
        <v>1.0457401928E10</v>
      </c>
      <c r="G109" s="3" t="s">
        <v>46</v>
      </c>
      <c r="H109" s="57" t="s">
        <v>47</v>
      </c>
      <c r="I109" s="58">
        <v>17.64</v>
      </c>
      <c r="J109" s="58">
        <v>9.55</v>
      </c>
      <c r="K109" s="59">
        <f t="shared" si="41"/>
        <v>15.95538</v>
      </c>
      <c r="L109" s="60">
        <v>0.175</v>
      </c>
      <c r="M109" s="60">
        <v>0.168</v>
      </c>
      <c r="N109" s="75">
        <v>0.23</v>
      </c>
      <c r="O109" s="60">
        <f t="shared" si="73"/>
        <v>0.199</v>
      </c>
      <c r="P109" s="63">
        <v>90.0</v>
      </c>
      <c r="Q109" s="64">
        <v>89.69</v>
      </c>
      <c r="R109" s="65">
        <v>2609.1</v>
      </c>
      <c r="S109" s="66">
        <f t="shared" si="77"/>
        <v>100</v>
      </c>
      <c r="U109" s="67">
        <v>100.0</v>
      </c>
      <c r="V109" s="67">
        <v>1.1023</v>
      </c>
      <c r="Y109" s="57">
        <v>30.0</v>
      </c>
      <c r="Z109" s="69">
        <f t="shared" si="78"/>
        <v>30</v>
      </c>
      <c r="AA109" s="70">
        <f t="shared" si="45"/>
        <v>60</v>
      </c>
      <c r="AB109" s="71">
        <f t="shared" si="61"/>
        <v>318.9833646</v>
      </c>
      <c r="AC109" s="71">
        <f>+(S109-T109)*V109-'data 1'!$F$4</f>
        <v>30.23</v>
      </c>
      <c r="AD109" s="71">
        <f t="shared" si="47"/>
        <v>-1.500436155</v>
      </c>
      <c r="AE109" s="71">
        <f t="shared" si="48"/>
        <v>-3.862</v>
      </c>
      <c r="AF109" s="71">
        <f t="shared" si="49"/>
        <v>-59.53509399</v>
      </c>
      <c r="AG109" s="72">
        <f t="shared" si="79"/>
        <v>-17.66753014</v>
      </c>
      <c r="AH109" s="52">
        <f t="shared" si="51"/>
        <v>85.86146493</v>
      </c>
      <c r="AI109" s="73">
        <f t="shared" si="52"/>
        <v>43.06324739</v>
      </c>
      <c r="AJ109" s="73">
        <f t="shared" si="53"/>
        <v>97.97421831</v>
      </c>
      <c r="AK109" s="11"/>
      <c r="AL109" s="51">
        <f t="shared" si="54"/>
        <v>5089.500795</v>
      </c>
      <c r="AM109" s="58">
        <f t="shared" si="55"/>
        <v>95.73136909</v>
      </c>
    </row>
    <row r="110" ht="15.75" customHeight="1">
      <c r="A110" s="92" t="s">
        <v>4217</v>
      </c>
      <c r="B110" s="841">
        <v>45649.0</v>
      </c>
      <c r="C110" s="56">
        <v>45646.0</v>
      </c>
      <c r="D110" s="57" t="s">
        <v>4218</v>
      </c>
      <c r="E110" s="63"/>
      <c r="F110" s="2"/>
      <c r="G110" s="3" t="s">
        <v>46</v>
      </c>
      <c r="H110" s="57" t="s">
        <v>47</v>
      </c>
      <c r="I110" s="58">
        <v>12.36</v>
      </c>
      <c r="J110" s="58">
        <v>4.1</v>
      </c>
      <c r="K110" s="59">
        <f t="shared" si="41"/>
        <v>11.85324</v>
      </c>
      <c r="L110" s="60">
        <v>0.157</v>
      </c>
      <c r="M110" s="60">
        <v>0.143</v>
      </c>
      <c r="N110" s="75">
        <v>0.195</v>
      </c>
      <c r="O110" s="60">
        <f t="shared" si="73"/>
        <v>0.169</v>
      </c>
      <c r="P110" s="63">
        <v>90.0</v>
      </c>
      <c r="Q110" s="64">
        <v>89.45</v>
      </c>
      <c r="R110" s="65">
        <v>2616.45</v>
      </c>
      <c r="S110" s="76">
        <v>105.0</v>
      </c>
      <c r="U110" s="67">
        <v>100.0</v>
      </c>
      <c r="V110" s="67">
        <v>1.1023</v>
      </c>
      <c r="Z110" s="69">
        <f t="shared" si="78"/>
        <v>30</v>
      </c>
      <c r="AA110" s="70">
        <f t="shared" si="45"/>
        <v>30</v>
      </c>
      <c r="AB110" s="71">
        <f t="shared" si="61"/>
        <v>273.0970792</v>
      </c>
      <c r="AC110" s="71">
        <f>+(S110-T110)*V110-'data 1'!$F$4</f>
        <v>35.7415</v>
      </c>
      <c r="AD110" s="71">
        <f t="shared" si="47"/>
        <v>-2.395247828</v>
      </c>
      <c r="AE110" s="71">
        <f t="shared" si="48"/>
        <v>-36.931</v>
      </c>
      <c r="AF110" s="71">
        <f t="shared" si="49"/>
        <v>-29.77485835</v>
      </c>
      <c r="AG110" s="72">
        <f t="shared" ref="AG110:AG111" si="80">+IF(D110="RONALD WILLIAN GARIBAY ESCUDERO",AC110+AD110+AE110+AF110+70,AC110+AD110+AE110+AF110)</f>
        <v>-33.35960618</v>
      </c>
      <c r="AH110" s="52">
        <f t="shared" si="51"/>
        <v>57.07240114</v>
      </c>
      <c r="AI110" s="73">
        <f t="shared" si="52"/>
        <v>37.39270184</v>
      </c>
      <c r="AJ110" s="73">
        <f t="shared" si="53"/>
        <v>61.81236512</v>
      </c>
      <c r="AK110" s="11"/>
      <c r="AL110" s="51">
        <f t="shared" si="54"/>
        <v>3237.085223</v>
      </c>
      <c r="AM110" s="58">
        <f t="shared" si="55"/>
        <v>63.80369049</v>
      </c>
    </row>
    <row r="111" ht="15.0" customHeight="1">
      <c r="A111" s="92" t="s">
        <v>4219</v>
      </c>
      <c r="B111" s="56">
        <v>45649.0</v>
      </c>
      <c r="C111" s="56">
        <v>45646.0</v>
      </c>
      <c r="D111" s="57" t="s">
        <v>4218</v>
      </c>
      <c r="E111" s="63"/>
      <c r="G111" s="3" t="s">
        <v>46</v>
      </c>
      <c r="H111" s="57" t="s">
        <v>47</v>
      </c>
      <c r="I111" s="58">
        <v>16.89</v>
      </c>
      <c r="J111" s="58">
        <v>6.1</v>
      </c>
      <c r="K111" s="59">
        <f t="shared" si="41"/>
        <v>15.85971</v>
      </c>
      <c r="L111" s="60">
        <v>0.154</v>
      </c>
      <c r="M111" s="60">
        <v>0.14</v>
      </c>
      <c r="N111" s="75">
        <v>0.208</v>
      </c>
      <c r="O111" s="60">
        <f t="shared" si="73"/>
        <v>0.174</v>
      </c>
      <c r="P111" s="63">
        <v>90.0</v>
      </c>
      <c r="Q111" s="57">
        <v>89.71</v>
      </c>
      <c r="R111" s="65">
        <v>2616.45</v>
      </c>
      <c r="S111" s="76">
        <v>105.0</v>
      </c>
      <c r="U111" s="67">
        <v>100.0</v>
      </c>
      <c r="V111" s="67">
        <v>1.1023</v>
      </c>
      <c r="Z111" s="69">
        <f t="shared" si="78"/>
        <v>30</v>
      </c>
      <c r="AA111" s="70">
        <f t="shared" si="45"/>
        <v>30</v>
      </c>
      <c r="AB111" s="71">
        <f t="shared" si="61"/>
        <v>285.579552</v>
      </c>
      <c r="AC111" s="71">
        <f>+(S111-T111)*V111-'data 1'!$F$4</f>
        <v>35.7415</v>
      </c>
      <c r="AD111" s="71">
        <f t="shared" si="47"/>
        <v>-1.238816074</v>
      </c>
      <c r="AE111" s="71">
        <f t="shared" si="48"/>
        <v>-36.931</v>
      </c>
      <c r="AF111" s="71">
        <f t="shared" si="49"/>
        <v>-49.76900583</v>
      </c>
      <c r="AG111" s="72">
        <f t="shared" si="80"/>
        <v>-52.1973219</v>
      </c>
      <c r="AH111" s="52">
        <f t="shared" si="51"/>
        <v>75.12178323</v>
      </c>
      <c r="AI111" s="73">
        <f t="shared" si="52"/>
        <v>36.78480234</v>
      </c>
      <c r="AJ111" s="73">
        <f t="shared" si="53"/>
        <v>85.15223841</v>
      </c>
      <c r="AK111" s="11"/>
      <c r="AL111" s="51">
        <f t="shared" si="54"/>
        <v>4529.208876</v>
      </c>
      <c r="AM111" s="58">
        <f t="shared" si="55"/>
        <v>83.738472</v>
      </c>
    </row>
    <row r="112" ht="15.75" customHeight="1">
      <c r="B112" s="56"/>
      <c r="C112" s="56"/>
      <c r="G112" s="3"/>
      <c r="N112" s="62"/>
      <c r="P112" s="63"/>
      <c r="Q112" s="64"/>
      <c r="R112" s="65"/>
      <c r="AG112" s="91"/>
      <c r="AH112" s="3"/>
      <c r="AI112" s="3"/>
      <c r="AJ112" s="3"/>
      <c r="AL112" s="3"/>
    </row>
    <row r="113" ht="15.75" customHeight="1">
      <c r="B113" s="56"/>
      <c r="C113" s="56"/>
      <c r="G113" s="3"/>
      <c r="N113" s="62"/>
      <c r="P113" s="63"/>
      <c r="Q113" s="64"/>
      <c r="R113" s="65"/>
      <c r="AG113" s="91"/>
      <c r="AH113" s="3"/>
      <c r="AI113" s="3"/>
      <c r="AJ113" s="3"/>
      <c r="AL113" s="3"/>
    </row>
    <row r="114" ht="15.75" customHeight="1">
      <c r="B114" s="56"/>
      <c r="C114" s="56"/>
      <c r="G114" s="3"/>
      <c r="N114" s="62"/>
      <c r="P114" s="63"/>
      <c r="Q114" s="64"/>
      <c r="AG114" s="91"/>
      <c r="AH114" s="3"/>
      <c r="AI114" s="3"/>
      <c r="AJ114" s="3"/>
      <c r="AL114" s="3"/>
    </row>
    <row r="115" ht="15.75" customHeight="1">
      <c r="B115" s="56"/>
      <c r="C115" s="56"/>
      <c r="G115" s="3"/>
      <c r="N115" s="62"/>
      <c r="P115" s="63"/>
      <c r="Q115" s="64"/>
      <c r="AG115" s="91"/>
      <c r="AH115" s="3"/>
      <c r="AI115" s="3"/>
      <c r="AJ115" s="3"/>
      <c r="AL115" s="3"/>
    </row>
    <row r="116" ht="15.75" customHeight="1">
      <c r="B116" s="56"/>
      <c r="C116" s="56"/>
      <c r="G116" s="3"/>
      <c r="N116" s="62"/>
      <c r="P116" s="63"/>
      <c r="Q116" s="64"/>
      <c r="AG116" s="91"/>
      <c r="AH116" s="3"/>
      <c r="AI116" s="3"/>
      <c r="AJ116" s="3"/>
      <c r="AL116" s="3"/>
    </row>
    <row r="117" ht="15.75" customHeight="1">
      <c r="B117" s="56"/>
      <c r="C117" s="56"/>
      <c r="G117" s="3"/>
      <c r="N117" s="62"/>
      <c r="P117" s="63"/>
      <c r="Q117" s="64"/>
      <c r="AG117" s="91"/>
      <c r="AH117" s="3"/>
      <c r="AI117" s="3"/>
      <c r="AJ117" s="3"/>
      <c r="AL117" s="3"/>
    </row>
    <row r="118" ht="15.75" customHeight="1">
      <c r="B118" s="56"/>
      <c r="C118" s="56"/>
      <c r="G118" s="3"/>
      <c r="N118" s="62"/>
      <c r="P118" s="63"/>
      <c r="Q118" s="64"/>
      <c r="AG118" s="91"/>
      <c r="AH118" s="3"/>
      <c r="AI118" s="3"/>
      <c r="AJ118" s="3"/>
      <c r="AL118" s="3"/>
    </row>
    <row r="119" ht="15.75" customHeight="1">
      <c r="B119" s="56"/>
      <c r="C119" s="56"/>
      <c r="G119" s="3"/>
      <c r="N119" s="62"/>
      <c r="P119" s="63"/>
      <c r="Q119" s="64"/>
      <c r="AG119" s="91"/>
      <c r="AH119" s="3"/>
      <c r="AI119" s="3"/>
      <c r="AJ119" s="3"/>
      <c r="AL119" s="3"/>
    </row>
    <row r="120" ht="15.75" customHeight="1">
      <c r="B120" s="56"/>
      <c r="C120" s="56"/>
      <c r="G120" s="3"/>
      <c r="N120" s="62"/>
      <c r="P120" s="63"/>
      <c r="Q120" s="64"/>
      <c r="AG120" s="91"/>
      <c r="AH120" s="3"/>
      <c r="AI120" s="3"/>
      <c r="AJ120" s="3"/>
      <c r="AL120" s="3"/>
    </row>
    <row r="121" ht="15.75" customHeight="1">
      <c r="B121" s="56"/>
      <c r="C121" s="56"/>
      <c r="G121" s="3"/>
      <c r="N121" s="62"/>
      <c r="P121" s="63"/>
      <c r="Q121" s="64"/>
      <c r="AG121" s="91"/>
      <c r="AH121" s="3"/>
      <c r="AI121" s="3"/>
      <c r="AJ121" s="3"/>
      <c r="AL121" s="3"/>
    </row>
    <row r="122" ht="15.75" customHeight="1">
      <c r="B122" s="56"/>
      <c r="C122" s="56"/>
      <c r="G122" s="3"/>
      <c r="N122" s="62"/>
      <c r="P122" s="63"/>
      <c r="Q122" s="64"/>
      <c r="AG122" s="91"/>
      <c r="AH122" s="3"/>
      <c r="AI122" s="3"/>
      <c r="AJ122" s="3"/>
      <c r="AL122" s="3"/>
    </row>
    <row r="123" ht="15.75" customHeight="1">
      <c r="B123" s="56"/>
      <c r="C123" s="56"/>
      <c r="G123" s="3"/>
      <c r="N123" s="62"/>
      <c r="P123" s="63"/>
      <c r="Q123" s="64"/>
      <c r="AG123" s="91"/>
      <c r="AH123" s="3"/>
      <c r="AI123" s="3"/>
      <c r="AJ123" s="3"/>
      <c r="AL123" s="3"/>
    </row>
    <row r="124" ht="15.75" customHeight="1">
      <c r="B124" s="56"/>
      <c r="C124" s="56"/>
      <c r="G124" s="3"/>
      <c r="N124" s="62"/>
      <c r="Q124" s="64"/>
      <c r="AG124" s="91"/>
      <c r="AH124" s="3"/>
      <c r="AI124" s="3"/>
      <c r="AJ124" s="3"/>
      <c r="AL124" s="3"/>
    </row>
    <row r="125" ht="15.75" customHeight="1">
      <c r="B125" s="56"/>
      <c r="C125" s="56"/>
      <c r="G125" s="3"/>
      <c r="Q125" s="64"/>
      <c r="AG125" s="91"/>
      <c r="AH125" s="3"/>
      <c r="AI125" s="3"/>
      <c r="AJ125" s="3"/>
      <c r="AL125" s="3"/>
    </row>
    <row r="126" ht="15.75" customHeight="1">
      <c r="B126" s="56"/>
      <c r="C126" s="56"/>
      <c r="G126" s="3"/>
      <c r="Q126" s="64"/>
      <c r="AG126" s="91"/>
      <c r="AH126" s="3"/>
      <c r="AI126" s="3"/>
      <c r="AJ126" s="3"/>
      <c r="AL126" s="3"/>
    </row>
    <row r="127" ht="15.75" customHeight="1">
      <c r="B127" s="56"/>
      <c r="C127" s="56"/>
      <c r="G127" s="3"/>
      <c r="AG127" s="91"/>
      <c r="AH127" s="3"/>
      <c r="AI127" s="3"/>
      <c r="AJ127" s="3"/>
      <c r="AL127" s="3"/>
    </row>
    <row r="128" ht="15.75" customHeight="1">
      <c r="B128" s="56"/>
      <c r="C128" s="56"/>
      <c r="G128" s="3"/>
      <c r="AG128" s="91"/>
      <c r="AH128" s="3"/>
      <c r="AI128" s="3"/>
      <c r="AJ128" s="3"/>
      <c r="AL128" s="3"/>
    </row>
    <row r="129" ht="15.75" customHeight="1">
      <c r="B129" s="56"/>
      <c r="C129" s="56"/>
      <c r="G129" s="3"/>
      <c r="AG129" s="91"/>
      <c r="AH129" s="3"/>
      <c r="AI129" s="3"/>
      <c r="AJ129" s="3"/>
      <c r="AL129" s="3"/>
    </row>
    <row r="130" ht="15.75" customHeight="1">
      <c r="B130" s="56"/>
      <c r="C130" s="56"/>
      <c r="G130" s="3"/>
      <c r="AG130" s="91"/>
      <c r="AH130" s="3"/>
      <c r="AI130" s="3"/>
      <c r="AJ130" s="3"/>
      <c r="AL130" s="3"/>
    </row>
    <row r="131" ht="15.75" customHeight="1">
      <c r="B131" s="56"/>
      <c r="C131" s="56"/>
      <c r="G131" s="3"/>
      <c r="AG131" s="91"/>
      <c r="AH131" s="3"/>
      <c r="AI131" s="3"/>
      <c r="AJ131" s="3"/>
      <c r="AL131" s="3"/>
    </row>
    <row r="132" ht="15.75" customHeight="1">
      <c r="B132" s="56"/>
      <c r="C132" s="56"/>
      <c r="G132" s="3"/>
      <c r="AG132" s="91"/>
      <c r="AH132" s="3"/>
      <c r="AI132" s="3"/>
      <c r="AJ132" s="3"/>
      <c r="AL132" s="3"/>
    </row>
    <row r="133" ht="15.75" customHeight="1">
      <c r="B133" s="56"/>
      <c r="C133" s="56"/>
      <c r="G133" s="3"/>
      <c r="AG133" s="91"/>
      <c r="AH133" s="3"/>
      <c r="AI133" s="3"/>
      <c r="AJ133" s="3"/>
      <c r="AL133" s="3"/>
    </row>
    <row r="134" ht="15.75" customHeight="1">
      <c r="B134" s="56"/>
      <c r="C134" s="56"/>
      <c r="G134" s="3"/>
      <c r="AG134" s="91"/>
      <c r="AH134" s="3"/>
      <c r="AI134" s="3"/>
      <c r="AJ134" s="3"/>
      <c r="AL134" s="3"/>
    </row>
    <row r="135" ht="15.75" customHeight="1">
      <c r="B135" s="56"/>
      <c r="C135" s="56"/>
      <c r="G135" s="3"/>
      <c r="AG135" s="91"/>
      <c r="AH135" s="3"/>
      <c r="AI135" s="3"/>
      <c r="AJ135" s="3"/>
      <c r="AL135" s="3"/>
    </row>
    <row r="136" ht="15.75" customHeight="1">
      <c r="B136" s="56"/>
      <c r="C136" s="56"/>
      <c r="G136" s="3"/>
      <c r="AG136" s="91"/>
      <c r="AH136" s="3"/>
      <c r="AI136" s="3"/>
      <c r="AJ136" s="3"/>
      <c r="AL136" s="3"/>
    </row>
    <row r="137" ht="15.75" customHeight="1">
      <c r="B137" s="56"/>
      <c r="C137" s="56"/>
      <c r="G137" s="3"/>
      <c r="AG137" s="91"/>
      <c r="AH137" s="3"/>
      <c r="AI137" s="3"/>
      <c r="AJ137" s="3"/>
      <c r="AL137" s="3"/>
    </row>
    <row r="138" ht="15.75" customHeight="1">
      <c r="B138" s="56"/>
      <c r="C138" s="56"/>
      <c r="G138" s="3"/>
      <c r="AG138" s="91"/>
      <c r="AH138" s="3"/>
      <c r="AI138" s="3"/>
      <c r="AJ138" s="3"/>
      <c r="AL138" s="3"/>
    </row>
    <row r="139" ht="15.75" customHeight="1">
      <c r="B139" s="56"/>
      <c r="C139" s="56"/>
      <c r="G139" s="3"/>
      <c r="AG139" s="91"/>
      <c r="AH139" s="3"/>
      <c r="AI139" s="3"/>
      <c r="AJ139" s="3"/>
      <c r="AL139" s="3"/>
    </row>
    <row r="140" ht="15.75" customHeight="1">
      <c r="B140" s="56"/>
      <c r="C140" s="56"/>
      <c r="G140" s="3"/>
      <c r="AG140" s="91"/>
      <c r="AH140" s="3"/>
      <c r="AI140" s="3"/>
      <c r="AJ140" s="3"/>
      <c r="AL140" s="3"/>
    </row>
    <row r="141" ht="15.75" customHeight="1">
      <c r="B141" s="56"/>
      <c r="C141" s="56"/>
      <c r="G141" s="3"/>
      <c r="AG141" s="91"/>
      <c r="AH141" s="3"/>
      <c r="AI141" s="3"/>
      <c r="AJ141" s="3"/>
      <c r="AL141" s="3"/>
    </row>
    <row r="142" ht="15.75" customHeight="1">
      <c r="B142" s="56"/>
      <c r="C142" s="56"/>
      <c r="G142" s="3"/>
      <c r="AG142" s="91"/>
      <c r="AH142" s="3"/>
      <c r="AI142" s="3"/>
      <c r="AJ142" s="3"/>
      <c r="AL142" s="3"/>
    </row>
    <row r="143" ht="15.75" customHeight="1">
      <c r="B143" s="56"/>
      <c r="C143" s="56"/>
      <c r="G143" s="3"/>
      <c r="AG143" s="91"/>
      <c r="AH143" s="3"/>
      <c r="AI143" s="3"/>
      <c r="AJ143" s="3"/>
      <c r="AL143" s="3"/>
    </row>
    <row r="144" ht="15.75" customHeight="1">
      <c r="B144" s="56"/>
      <c r="C144" s="56"/>
      <c r="G144" s="3"/>
      <c r="AG144" s="91"/>
      <c r="AH144" s="3"/>
      <c r="AI144" s="3"/>
      <c r="AJ144" s="3"/>
      <c r="AL144" s="3"/>
    </row>
    <row r="145" ht="15.75" customHeight="1">
      <c r="B145" s="56"/>
      <c r="C145" s="56"/>
      <c r="G145" s="3"/>
      <c r="AG145" s="91"/>
      <c r="AH145" s="3"/>
      <c r="AI145" s="3"/>
      <c r="AJ145" s="3"/>
      <c r="AL145" s="3"/>
    </row>
    <row r="146" ht="15.75" customHeight="1">
      <c r="B146" s="56"/>
      <c r="C146" s="56"/>
      <c r="G146" s="3"/>
      <c r="AG146" s="91"/>
      <c r="AH146" s="3"/>
      <c r="AI146" s="3"/>
      <c r="AJ146" s="3"/>
      <c r="AL146" s="3"/>
    </row>
    <row r="147" ht="15.75" customHeight="1">
      <c r="B147" s="56"/>
      <c r="C147" s="56"/>
      <c r="G147" s="3"/>
      <c r="AG147" s="91"/>
      <c r="AH147" s="3"/>
      <c r="AI147" s="3"/>
      <c r="AJ147" s="3"/>
      <c r="AL147" s="3"/>
    </row>
    <row r="148" ht="15.75" customHeight="1">
      <c r="B148" s="56"/>
      <c r="C148" s="56"/>
      <c r="G148" s="3"/>
      <c r="AG148" s="91"/>
      <c r="AH148" s="3"/>
      <c r="AI148" s="3"/>
      <c r="AJ148" s="3"/>
      <c r="AL148" s="3"/>
    </row>
    <row r="149" ht="15.75" customHeight="1">
      <c r="B149" s="56"/>
      <c r="C149" s="56"/>
      <c r="G149" s="3"/>
      <c r="AG149" s="91"/>
      <c r="AH149" s="3"/>
      <c r="AI149" s="3"/>
      <c r="AJ149" s="3"/>
      <c r="AL149" s="3"/>
    </row>
    <row r="150" ht="15.75" customHeight="1">
      <c r="B150" s="56"/>
      <c r="C150" s="56"/>
      <c r="G150" s="3"/>
      <c r="AG150" s="91"/>
      <c r="AH150" s="3"/>
      <c r="AI150" s="3"/>
      <c r="AJ150" s="3"/>
      <c r="AL150" s="3"/>
    </row>
    <row r="151" ht="15.75" customHeight="1">
      <c r="B151" s="56"/>
      <c r="C151" s="56"/>
      <c r="G151" s="3"/>
      <c r="AG151" s="91"/>
      <c r="AH151" s="3"/>
      <c r="AI151" s="3"/>
      <c r="AJ151" s="3"/>
      <c r="AL151" s="3"/>
    </row>
    <row r="152" ht="15.75" customHeight="1">
      <c r="B152" s="56"/>
      <c r="C152" s="56"/>
      <c r="G152" s="3"/>
      <c r="AG152" s="91"/>
      <c r="AH152" s="3"/>
      <c r="AI152" s="3"/>
      <c r="AJ152" s="3"/>
      <c r="AL152" s="3"/>
    </row>
    <row r="153" ht="15.75" customHeight="1">
      <c r="B153" s="56"/>
      <c r="C153" s="56"/>
      <c r="G153" s="3"/>
      <c r="AG153" s="91"/>
      <c r="AH153" s="3"/>
      <c r="AI153" s="3"/>
      <c r="AJ153" s="3"/>
      <c r="AL153" s="3"/>
    </row>
    <row r="154" ht="15.75" customHeight="1">
      <c r="B154" s="56"/>
      <c r="C154" s="56"/>
      <c r="G154" s="3"/>
      <c r="AG154" s="91"/>
      <c r="AH154" s="3"/>
      <c r="AI154" s="3"/>
      <c r="AJ154" s="3"/>
      <c r="AL154" s="3"/>
    </row>
    <row r="155" ht="15.75" customHeight="1">
      <c r="B155" s="56"/>
      <c r="C155" s="56"/>
      <c r="G155" s="3"/>
      <c r="AG155" s="91"/>
      <c r="AH155" s="3"/>
      <c r="AI155" s="3"/>
      <c r="AJ155" s="3"/>
      <c r="AL155" s="3"/>
    </row>
    <row r="156" ht="15.75" customHeight="1">
      <c r="B156" s="56"/>
      <c r="C156" s="56"/>
      <c r="G156" s="3"/>
      <c r="AG156" s="91"/>
      <c r="AH156" s="3"/>
      <c r="AI156" s="3"/>
      <c r="AJ156" s="3"/>
      <c r="AL156" s="3"/>
    </row>
    <row r="157" ht="15.75" customHeight="1">
      <c r="B157" s="56"/>
      <c r="C157" s="56"/>
      <c r="G157" s="3"/>
      <c r="AG157" s="91"/>
      <c r="AH157" s="3"/>
      <c r="AI157" s="3"/>
      <c r="AJ157" s="3"/>
      <c r="AL157" s="3"/>
    </row>
    <row r="158" ht="15.75" customHeight="1">
      <c r="B158" s="56"/>
      <c r="C158" s="56"/>
      <c r="G158" s="3"/>
      <c r="AG158" s="91"/>
      <c r="AH158" s="3"/>
      <c r="AI158" s="3"/>
      <c r="AJ158" s="3"/>
      <c r="AL158" s="3"/>
    </row>
    <row r="159" ht="15.75" customHeight="1">
      <c r="B159" s="56"/>
      <c r="C159" s="56"/>
      <c r="G159" s="3"/>
      <c r="AG159" s="91"/>
      <c r="AH159" s="3"/>
      <c r="AI159" s="3"/>
      <c r="AJ159" s="3"/>
      <c r="AL159" s="3"/>
    </row>
    <row r="160" ht="15.75" customHeight="1">
      <c r="B160" s="56"/>
      <c r="C160" s="56"/>
      <c r="G160" s="3"/>
      <c r="AG160" s="91"/>
      <c r="AH160" s="3"/>
      <c r="AI160" s="3"/>
      <c r="AJ160" s="3"/>
      <c r="AL160" s="3"/>
    </row>
    <row r="161" ht="15.75" customHeight="1">
      <c r="B161" s="56"/>
      <c r="C161" s="56"/>
      <c r="G161" s="3"/>
      <c r="AG161" s="91"/>
      <c r="AH161" s="3"/>
      <c r="AI161" s="3"/>
      <c r="AJ161" s="3"/>
      <c r="AL161" s="3"/>
    </row>
    <row r="162" ht="15.75" customHeight="1">
      <c r="B162" s="56"/>
      <c r="C162" s="56"/>
      <c r="G162" s="3"/>
      <c r="AG162" s="91"/>
      <c r="AH162" s="3"/>
      <c r="AI162" s="3"/>
      <c r="AJ162" s="3"/>
      <c r="AL162" s="3"/>
    </row>
    <row r="163" ht="15.75" customHeight="1">
      <c r="B163" s="56"/>
      <c r="C163" s="56"/>
      <c r="G163" s="3"/>
      <c r="AG163" s="91"/>
      <c r="AH163" s="3"/>
      <c r="AI163" s="3"/>
      <c r="AJ163" s="3"/>
      <c r="AL163" s="3"/>
    </row>
    <row r="164" ht="15.75" customHeight="1">
      <c r="B164" s="56"/>
      <c r="C164" s="56"/>
      <c r="G164" s="3"/>
      <c r="AG164" s="91"/>
      <c r="AH164" s="3"/>
      <c r="AI164" s="3"/>
      <c r="AJ164" s="3"/>
      <c r="AL164" s="3"/>
    </row>
    <row r="165" ht="15.75" customHeight="1">
      <c r="B165" s="56"/>
      <c r="C165" s="56"/>
      <c r="G165" s="3"/>
      <c r="AG165" s="91"/>
      <c r="AH165" s="3"/>
      <c r="AI165" s="3"/>
      <c r="AJ165" s="3"/>
      <c r="AL165" s="3"/>
    </row>
    <row r="166" ht="15.75" customHeight="1">
      <c r="B166" s="56"/>
      <c r="C166" s="56"/>
      <c r="G166" s="3"/>
      <c r="AG166" s="91"/>
      <c r="AH166" s="3"/>
      <c r="AI166" s="3"/>
      <c r="AJ166" s="3"/>
      <c r="AL166" s="3"/>
    </row>
    <row r="167" ht="15.75" customHeight="1">
      <c r="B167" s="56"/>
      <c r="C167" s="56"/>
      <c r="G167" s="3"/>
      <c r="AG167" s="91"/>
      <c r="AH167" s="3"/>
      <c r="AI167" s="3"/>
      <c r="AJ167" s="3"/>
      <c r="AL167" s="3"/>
    </row>
    <row r="168" ht="15.75" customHeight="1">
      <c r="B168" s="56"/>
      <c r="C168" s="56"/>
      <c r="G168" s="3"/>
      <c r="AG168" s="91"/>
      <c r="AH168" s="3"/>
      <c r="AI168" s="3"/>
      <c r="AJ168" s="3"/>
      <c r="AL168" s="3"/>
    </row>
    <row r="169" ht="15.75" customHeight="1">
      <c r="B169" s="56"/>
      <c r="C169" s="56"/>
      <c r="G169" s="3"/>
      <c r="AG169" s="91"/>
      <c r="AH169" s="3"/>
      <c r="AI169" s="3"/>
      <c r="AJ169" s="3"/>
      <c r="AL169" s="3"/>
    </row>
    <row r="170" ht="15.75" customHeight="1">
      <c r="B170" s="56"/>
      <c r="C170" s="56"/>
      <c r="G170" s="3"/>
      <c r="AG170" s="91"/>
      <c r="AH170" s="3"/>
      <c r="AI170" s="3"/>
      <c r="AJ170" s="3"/>
      <c r="AL170" s="3"/>
    </row>
    <row r="171" ht="15.75" customHeight="1">
      <c r="B171" s="56"/>
      <c r="C171" s="56"/>
      <c r="G171" s="3"/>
      <c r="AG171" s="91"/>
      <c r="AH171" s="3"/>
      <c r="AI171" s="3"/>
      <c r="AJ171" s="3"/>
      <c r="AL171" s="3"/>
    </row>
    <row r="172" ht="15.75" customHeight="1">
      <c r="B172" s="56"/>
      <c r="C172" s="56"/>
      <c r="G172" s="3"/>
      <c r="AG172" s="91"/>
      <c r="AH172" s="3"/>
      <c r="AI172" s="3"/>
      <c r="AJ172" s="3"/>
      <c r="AL172" s="3"/>
    </row>
    <row r="173" ht="15.75" customHeight="1">
      <c r="B173" s="56"/>
      <c r="C173" s="56"/>
      <c r="G173" s="3"/>
      <c r="AG173" s="91"/>
      <c r="AH173" s="3"/>
      <c r="AI173" s="3"/>
      <c r="AJ173" s="3"/>
      <c r="AL173" s="3"/>
    </row>
    <row r="174" ht="15.75" customHeight="1">
      <c r="B174" s="56"/>
      <c r="C174" s="56"/>
      <c r="G174" s="3"/>
      <c r="AG174" s="91"/>
      <c r="AH174" s="3"/>
      <c r="AI174" s="3"/>
      <c r="AJ174" s="3"/>
      <c r="AL174" s="3"/>
    </row>
    <row r="175" ht="15.75" customHeight="1">
      <c r="B175" s="56"/>
      <c r="C175" s="56"/>
      <c r="G175" s="3"/>
      <c r="AG175" s="91"/>
      <c r="AH175" s="3"/>
      <c r="AI175" s="3"/>
      <c r="AJ175" s="3"/>
      <c r="AL175" s="3"/>
    </row>
    <row r="176" ht="15.75" customHeight="1">
      <c r="B176" s="56"/>
      <c r="C176" s="56"/>
      <c r="G176" s="3"/>
      <c r="AG176" s="91"/>
      <c r="AH176" s="3"/>
      <c r="AI176" s="3"/>
      <c r="AJ176" s="3"/>
      <c r="AL176" s="3"/>
    </row>
    <row r="177" ht="15.75" customHeight="1">
      <c r="B177" s="56"/>
      <c r="C177" s="56"/>
      <c r="G177" s="3"/>
      <c r="AG177" s="91"/>
      <c r="AH177" s="3"/>
      <c r="AI177" s="3"/>
      <c r="AJ177" s="3"/>
      <c r="AL177" s="3"/>
    </row>
    <row r="178" ht="15.75" customHeight="1">
      <c r="B178" s="56"/>
      <c r="C178" s="56"/>
      <c r="G178" s="3"/>
      <c r="AG178" s="91"/>
      <c r="AH178" s="3"/>
      <c r="AI178" s="3"/>
      <c r="AJ178" s="3"/>
      <c r="AL178" s="3"/>
    </row>
    <row r="179" ht="15.0" customHeight="1">
      <c r="B179" s="56"/>
      <c r="C179" s="56"/>
      <c r="AG179" s="91"/>
    </row>
    <row r="180" ht="15.0" customHeight="1">
      <c r="B180" s="56"/>
      <c r="C180" s="56"/>
      <c r="AG180" s="91"/>
    </row>
    <row r="181" ht="15.0" customHeight="1">
      <c r="B181" s="56"/>
      <c r="C181" s="56"/>
      <c r="AG181" s="91"/>
    </row>
    <row r="182" ht="15.0" customHeight="1">
      <c r="B182" s="56"/>
      <c r="C182" s="56"/>
      <c r="AG182" s="91"/>
    </row>
    <row r="183" ht="15.0" customHeight="1">
      <c r="B183" s="56"/>
      <c r="C183" s="56"/>
      <c r="AG183" s="91"/>
    </row>
    <row r="184" ht="15.0" customHeight="1">
      <c r="B184" s="56"/>
      <c r="C184" s="56"/>
      <c r="AG184" s="91"/>
    </row>
    <row r="185" ht="15.0" customHeight="1">
      <c r="B185" s="56"/>
      <c r="C185" s="56"/>
      <c r="AG185" s="91"/>
    </row>
    <row r="186" ht="15.75" customHeight="1">
      <c r="AG186" s="91"/>
    </row>
    <row r="187" ht="15.75" customHeight="1">
      <c r="AG187" s="91"/>
    </row>
    <row r="188" ht="15.75" customHeight="1">
      <c r="AG188" s="91"/>
    </row>
    <row r="189" ht="15.75" customHeight="1">
      <c r="AG189" s="91"/>
    </row>
    <row r="190" ht="15.75" customHeight="1">
      <c r="AG190" s="91"/>
    </row>
    <row r="191" ht="15.75" customHeight="1">
      <c r="AG191" s="91"/>
    </row>
    <row r="192" ht="15.75" customHeight="1">
      <c r="AG192" s="91"/>
    </row>
    <row r="193" ht="15.75" customHeight="1">
      <c r="AG193" s="91"/>
    </row>
    <row r="194" ht="15.75" customHeight="1">
      <c r="AG194" s="91"/>
    </row>
    <row r="195" ht="15.75" customHeight="1">
      <c r="AG195" s="91"/>
    </row>
    <row r="196" ht="15.75" customHeight="1">
      <c r="AG196" s="91"/>
    </row>
    <row r="197" ht="15.75" customHeight="1">
      <c r="AG197" s="91"/>
    </row>
    <row r="198" ht="15.75" customHeight="1">
      <c r="AG198" s="91"/>
    </row>
    <row r="199" ht="15.75" customHeight="1">
      <c r="AG199" s="91"/>
    </row>
    <row r="200" ht="15.75" customHeight="1">
      <c r="AG200" s="91"/>
    </row>
    <row r="201" ht="15.75" customHeight="1">
      <c r="AG201" s="91"/>
    </row>
    <row r="202" ht="15.75" customHeight="1">
      <c r="AG202" s="91"/>
    </row>
    <row r="203" ht="15.75" customHeight="1">
      <c r="AG203" s="91"/>
    </row>
    <row r="204" ht="15.75" customHeight="1">
      <c r="AG204" s="91"/>
    </row>
    <row r="205" ht="15.75" customHeight="1">
      <c r="AG205" s="91"/>
    </row>
    <row r="206" ht="15.75" customHeight="1">
      <c r="AG206" s="91"/>
    </row>
    <row r="207" ht="15.75" customHeight="1">
      <c r="AG207" s="91"/>
    </row>
    <row r="208" ht="15.75" customHeight="1">
      <c r="AG208" s="91"/>
    </row>
    <row r="209" ht="15.75" customHeight="1">
      <c r="AG209" s="91"/>
    </row>
    <row r="210" ht="15.75" customHeight="1">
      <c r="AG210" s="91"/>
    </row>
    <row r="211" ht="15.75" customHeight="1">
      <c r="AG211" s="91"/>
    </row>
    <row r="212" ht="15.75" customHeight="1">
      <c r="AG212" s="91"/>
    </row>
    <row r="213" ht="15.75" customHeight="1">
      <c r="AG213" s="91"/>
    </row>
    <row r="214" ht="15.75" customHeight="1">
      <c r="AG214" s="91"/>
    </row>
    <row r="215" ht="15.75" customHeight="1">
      <c r="AG215" s="91"/>
    </row>
    <row r="216" ht="15.75" customHeight="1">
      <c r="AG216" s="91"/>
    </row>
    <row r="217" ht="15.75" customHeight="1">
      <c r="AG217" s="91"/>
    </row>
    <row r="218" ht="15.75" customHeight="1">
      <c r="AG218" s="91"/>
    </row>
    <row r="219" ht="15.75" customHeight="1">
      <c r="AG219" s="91"/>
    </row>
    <row r="220" ht="15.75" customHeight="1">
      <c r="AG220" s="91"/>
    </row>
    <row r="221" ht="15.75" customHeight="1">
      <c r="AG221" s="91"/>
    </row>
    <row r="222" ht="15.75" customHeight="1">
      <c r="AG222" s="91"/>
    </row>
    <row r="223" ht="15.75" customHeight="1">
      <c r="AG223" s="91"/>
    </row>
    <row r="224" ht="15.75" customHeight="1">
      <c r="AG224" s="91"/>
    </row>
    <row r="225" ht="15.75" customHeight="1">
      <c r="AG225" s="91"/>
    </row>
    <row r="226" ht="15.75" customHeight="1">
      <c r="AG226" s="91"/>
    </row>
    <row r="227" ht="15.75" customHeight="1">
      <c r="AG227" s="91"/>
    </row>
    <row r="228" ht="15.75" customHeight="1">
      <c r="AG228" s="91"/>
    </row>
    <row r="229" ht="15.75" customHeight="1">
      <c r="AG229" s="91"/>
    </row>
    <row r="230" ht="15.75" customHeight="1">
      <c r="AG230" s="91"/>
    </row>
    <row r="231" ht="15.75" customHeight="1">
      <c r="AG231" s="91"/>
    </row>
    <row r="232" ht="15.75" customHeight="1">
      <c r="AG232" s="91"/>
    </row>
    <row r="233" ht="15.75" customHeight="1">
      <c r="AG233" s="91"/>
    </row>
    <row r="234" ht="15.75" customHeight="1">
      <c r="AG234" s="91"/>
    </row>
    <row r="235" ht="15.75" customHeight="1">
      <c r="AG235" s="91"/>
    </row>
    <row r="236" ht="15.75" customHeight="1">
      <c r="AG236" s="91"/>
    </row>
    <row r="237" ht="15.75" customHeight="1">
      <c r="AG237" s="91"/>
    </row>
    <row r="238" ht="15.75" customHeight="1">
      <c r="AG238" s="91"/>
    </row>
    <row r="239" ht="15.75" customHeight="1">
      <c r="AG239" s="91"/>
    </row>
    <row r="240" ht="15.75" customHeight="1">
      <c r="AG240" s="91"/>
    </row>
    <row r="241" ht="15.75" customHeight="1">
      <c r="AG241" s="91"/>
    </row>
    <row r="242" ht="15.75" customHeight="1">
      <c r="AG242" s="91"/>
    </row>
    <row r="243" ht="15.75" customHeight="1">
      <c r="AG243" s="91"/>
    </row>
    <row r="244" ht="15.75" customHeight="1">
      <c r="AG244" s="91"/>
    </row>
    <row r="245" ht="15.75" customHeight="1">
      <c r="AG245" s="91"/>
    </row>
    <row r="246" ht="15.75" customHeight="1">
      <c r="AG246" s="91"/>
    </row>
    <row r="247" ht="15.75" customHeight="1">
      <c r="AG247" s="91"/>
    </row>
    <row r="248" ht="15.75" customHeight="1">
      <c r="AG248" s="91"/>
    </row>
    <row r="249" ht="15.75" customHeight="1">
      <c r="AG249" s="91"/>
    </row>
    <row r="250" ht="15.75" customHeight="1">
      <c r="AG250" s="91"/>
    </row>
    <row r="251" ht="15.75" customHeight="1">
      <c r="AG251" s="91"/>
    </row>
    <row r="252" ht="15.75" customHeight="1">
      <c r="AG252" s="91"/>
    </row>
    <row r="253" ht="15.75" customHeight="1">
      <c r="AG253" s="91"/>
    </row>
    <row r="254" ht="15.75" customHeight="1">
      <c r="AG254" s="91"/>
    </row>
    <row r="255" ht="15.75" customHeight="1">
      <c r="AG255" s="91"/>
    </row>
    <row r="256" ht="15.75" customHeight="1">
      <c r="AG256" s="91"/>
    </row>
    <row r="257" ht="15.75" customHeight="1">
      <c r="AG257" s="91"/>
    </row>
    <row r="258" ht="15.75" customHeight="1">
      <c r="AG258" s="91"/>
    </row>
    <row r="259" ht="15.75" customHeight="1">
      <c r="AG259" s="91"/>
    </row>
    <row r="260" ht="15.75" customHeight="1">
      <c r="AG260" s="91"/>
    </row>
    <row r="261" ht="15.75" customHeight="1">
      <c r="AG261" s="91"/>
    </row>
    <row r="262" ht="15.75" customHeight="1">
      <c r="AG262" s="91"/>
    </row>
    <row r="263" ht="15.75" customHeight="1">
      <c r="AG263" s="91"/>
    </row>
    <row r="264" ht="15.75" customHeight="1">
      <c r="AG264" s="91"/>
    </row>
    <row r="265" ht="15.75" customHeight="1">
      <c r="AG265" s="91"/>
    </row>
    <row r="266" ht="15.75" customHeight="1">
      <c r="AG266" s="91"/>
    </row>
    <row r="267" ht="15.75" customHeight="1">
      <c r="AG267" s="91"/>
    </row>
    <row r="268" ht="15.75" customHeight="1">
      <c r="AG268" s="91"/>
    </row>
    <row r="269" ht="15.75" customHeight="1">
      <c r="AG269" s="91"/>
    </row>
    <row r="270" ht="15.75" customHeight="1">
      <c r="AG270" s="91"/>
    </row>
    <row r="271" ht="15.75" customHeight="1">
      <c r="AG271" s="91"/>
    </row>
    <row r="272" ht="15.75" customHeight="1">
      <c r="AG272" s="91"/>
    </row>
    <row r="273" ht="15.75" customHeight="1">
      <c r="AG273" s="91"/>
    </row>
    <row r="274" ht="15.75" customHeight="1">
      <c r="AG274" s="91"/>
    </row>
    <row r="275" ht="15.75" customHeight="1">
      <c r="AG275" s="91"/>
    </row>
    <row r="276" ht="15.75" customHeight="1">
      <c r="AG276" s="91"/>
    </row>
    <row r="277" ht="15.75" customHeight="1">
      <c r="AG277" s="91"/>
    </row>
    <row r="278" ht="15.75" customHeight="1">
      <c r="AG278" s="91"/>
    </row>
    <row r="279" ht="15.75" customHeight="1">
      <c r="AG279" s="91"/>
    </row>
    <row r="280" ht="15.75" customHeight="1">
      <c r="AG280" s="91"/>
    </row>
    <row r="281" ht="15.75" customHeight="1">
      <c r="AG281" s="91"/>
    </row>
    <row r="282" ht="15.75" customHeight="1">
      <c r="AG282" s="91"/>
    </row>
    <row r="283" ht="15.75" customHeight="1">
      <c r="AG283" s="91"/>
    </row>
    <row r="284" ht="15.75" customHeight="1">
      <c r="AG284" s="91"/>
    </row>
    <row r="285" ht="15.75" customHeight="1">
      <c r="AG285" s="91"/>
    </row>
    <row r="286" ht="15.75" customHeight="1">
      <c r="AG286" s="91"/>
    </row>
    <row r="287" ht="15.75" customHeight="1">
      <c r="AG287" s="91"/>
    </row>
    <row r="288" ht="15.75" customHeight="1">
      <c r="AG288" s="91"/>
    </row>
    <row r="289" ht="15.75" customHeight="1">
      <c r="AG289" s="91"/>
    </row>
    <row r="290" ht="15.75" customHeight="1">
      <c r="AG290" s="91"/>
    </row>
    <row r="291" ht="15.75" customHeight="1">
      <c r="AG291" s="91"/>
    </row>
    <row r="292" ht="15.75" customHeight="1">
      <c r="AG292" s="91"/>
    </row>
    <row r="293" ht="15.75" customHeight="1">
      <c r="AG293" s="91"/>
    </row>
    <row r="294" ht="15.75" customHeight="1">
      <c r="AG294" s="91"/>
    </row>
    <row r="295" ht="15.75" customHeight="1">
      <c r="AG295" s="91"/>
    </row>
    <row r="296" ht="15.75" customHeight="1">
      <c r="AG296" s="91"/>
    </row>
    <row r="297" ht="15.75" customHeight="1">
      <c r="AG297" s="91"/>
    </row>
    <row r="298" ht="15.75" customHeight="1">
      <c r="AG298" s="91"/>
    </row>
    <row r="299" ht="15.75" customHeight="1">
      <c r="AG299" s="91"/>
    </row>
    <row r="300" ht="15.75" customHeight="1">
      <c r="AG300" s="91"/>
    </row>
    <row r="301" ht="15.75" customHeight="1">
      <c r="AG301" s="91"/>
    </row>
    <row r="302" ht="15.75" customHeight="1">
      <c r="AG302" s="91"/>
    </row>
    <row r="303" ht="15.75" customHeight="1">
      <c r="AG303" s="91"/>
    </row>
    <row r="304" ht="15.75" customHeight="1">
      <c r="AG304" s="91"/>
    </row>
    <row r="305" ht="15.75" customHeight="1"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L$4">
    <sortState ref="A3:AL4">
      <sortCondition ref="A3:A4"/>
    </sortState>
  </autoFilter>
  <printOptions/>
  <pageMargins bottom="0.75" footer="0.0" header="0.0" left="0.7" right="0.7" top="0.75"/>
  <pageSetup fitToHeight="0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D1" s="1"/>
      <c r="F1" s="2"/>
      <c r="G1" s="3"/>
      <c r="H1" s="4"/>
      <c r="I1" s="5"/>
      <c r="K1" s="6">
        <v>720.826</v>
      </c>
      <c r="L1" s="5"/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</row>
    <row r="2" ht="15.0" customHeight="1">
      <c r="D2" s="1"/>
      <c r="G2" s="13"/>
      <c r="H2" s="13"/>
      <c r="I2" s="14">
        <f>SUBTOTAL(9,I4:I9527)</f>
        <v>789.85</v>
      </c>
      <c r="J2" s="4"/>
      <c r="K2" s="14">
        <f>SUBTOTAL(9,K4:K9527)</f>
        <v>720.825365</v>
      </c>
      <c r="L2" s="15">
        <f>SUMPRODUCT(L5:L358,K5:K358)/K2</f>
        <v>0.2957831903</v>
      </c>
      <c r="M2" s="2"/>
      <c r="P2" s="2"/>
      <c r="Q2" s="16">
        <f>+SUMPRODUCT(Q5:Q246,AH5:AH246)/SUM(AH5:AH246)</f>
        <v>89.59202713</v>
      </c>
      <c r="R2" s="12">
        <f>+SUMPRODUCT(R5:R246,AH5:AH246)/SUM(AH5:AH246)</f>
        <v>2653.371347</v>
      </c>
      <c r="S2" s="2"/>
      <c r="AB2" s="7"/>
      <c r="AC2" s="7">
        <f>SUMPRODUCT($AG5:$AG246,$K5:$K246)/SUM($K5:$K246)</f>
        <v>51.38636429</v>
      </c>
      <c r="AD2" s="7">
        <f>SUMPRODUCT($AD5:$AD246,$K5:$K246)/SUM($K5:$K246)</f>
        <v>1.177623898</v>
      </c>
      <c r="AE2" s="7">
        <f>SUMPRODUCT($AE5:$AE246,$K5:$K246)/SUM($K5:$K246)</f>
        <v>-33.73286263</v>
      </c>
      <c r="AF2" s="7">
        <f>SUMPRODUCT($AF5:$AF246,$K5:$K246)/SUM($K5:$K246)</f>
        <v>7.57953746</v>
      </c>
      <c r="AG2" s="17">
        <f>SUMPRODUCT($AG5:$AG246,$K5:$K246)/SUM($K5:$K246)</f>
        <v>51.38636429</v>
      </c>
      <c r="AH2" s="18"/>
      <c r="AI2" s="19">
        <v>2689.0</v>
      </c>
      <c r="AJ2" s="20"/>
      <c r="AK2" s="11"/>
      <c r="AL2" s="21"/>
    </row>
    <row r="3" ht="15.0" customHeight="1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3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SUBTOTAL(9,AH5:AH9528)</f>
        <v>6549.031685</v>
      </c>
      <c r="AI3" s="40">
        <f>SUMPRODUCT(K5:K246,AI5:AI246)/K2</f>
        <v>39.39149576</v>
      </c>
      <c r="AJ3" s="39">
        <f>SUBTOTAL(9,AJ5:AJ9528)</f>
        <v>6471.696923</v>
      </c>
      <c r="AK3" s="11"/>
      <c r="AL3" s="39">
        <f>SUBTOTAL(9,AL5:AL9528)</f>
        <v>416021.6467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  <c r="AM4" s="67"/>
      <c r="AN4" s="67"/>
    </row>
    <row r="5" ht="15.75" customHeight="1">
      <c r="A5" s="844" t="s">
        <v>4220</v>
      </c>
      <c r="B5" s="56">
        <v>45644.0</v>
      </c>
      <c r="C5" s="56">
        <v>45626.0</v>
      </c>
      <c r="D5" s="57" t="s">
        <v>38</v>
      </c>
      <c r="E5" s="57">
        <v>2.0606534923E10</v>
      </c>
      <c r="F5" s="57" t="s">
        <v>4105</v>
      </c>
      <c r="G5" s="3">
        <v>84.0</v>
      </c>
      <c r="H5" s="57" t="s">
        <v>40</v>
      </c>
      <c r="I5" s="57">
        <v>7.74</v>
      </c>
      <c r="J5" s="58">
        <v>11.0</v>
      </c>
      <c r="K5" s="57">
        <v>6.889</v>
      </c>
      <c r="L5" s="75">
        <v>0.238</v>
      </c>
      <c r="M5" s="75">
        <v>0.238</v>
      </c>
      <c r="N5" s="75">
        <v>0.238</v>
      </c>
      <c r="O5" s="60">
        <f t="shared" ref="O5:O8" si="1">+ROUND((M5+N5)/2,3)</f>
        <v>0.238</v>
      </c>
      <c r="P5" s="63">
        <v>90.0</v>
      </c>
      <c r="Q5" s="64">
        <v>89.74</v>
      </c>
      <c r="R5" s="65">
        <v>2651.05</v>
      </c>
      <c r="S5" s="66">
        <f t="shared" ref="S5:S8" si="2">IF((90+ROUNDDOWN(O5,1)*100)&lt;95,95,(90+ROUNDDOWN(O5,1)*100))</f>
        <v>110</v>
      </c>
      <c r="U5" s="67">
        <v>130.0</v>
      </c>
      <c r="V5" s="67">
        <v>1.1023</v>
      </c>
      <c r="Z5" s="69">
        <f t="shared" ref="Z5:Z8" si="3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15" si="4">+Y5+Z5</f>
        <v>30</v>
      </c>
      <c r="AB5" s="71">
        <f>+((O5*P5*(R5-U5)/100)-S5-AA5+T5)*V5</f>
        <v>440.9298215</v>
      </c>
      <c r="AC5" s="71">
        <f>+(S5-T5)*V5-'data 1'!$F$4</f>
        <v>41.253</v>
      </c>
      <c r="AD5" s="71">
        <f t="shared" ref="AD5:AD15" si="5">+(Q5-P5)*(R5-U5)*L5*V5/100</f>
        <v>-1.719616373</v>
      </c>
      <c r="AE5" s="71">
        <f t="shared" ref="AE5:AE15" si="6">+(Y5*V5-70)+V5*(Z5-IF(D5="UNTUCA",IF(+((W5-3)*2.5+(X5-3)*3.1)&gt;0,+((W5-3)*1.5+(X5-3)*3.1),0),IF(+((W5-3)*1.5+(X5-3)*3.1)&gt;0,+((W5-3)*1.5+(X5-3)*3.1),0)))</f>
        <v>-36.931</v>
      </c>
      <c r="AF5" s="71">
        <f t="shared" ref="AF5:AF15" si="7">(L5-O5)*(R5-U5)*Q5*V5/100</f>
        <v>0</v>
      </c>
      <c r="AG5" s="72">
        <f t="shared" ref="AG5:AG8" si="8">+IF(D5="RONALD WILLIAN GARIBAY ESCUDERO",AC5+AD5+AE5+AF5+70,AC5+AD5+AE5+AF5)</f>
        <v>2.602383627</v>
      </c>
      <c r="AH5" s="52">
        <f t="shared" ref="AH5:AH15" si="9">31.1035*L5*Q5*1.1023*K5/100</f>
        <v>50.44617897</v>
      </c>
      <c r="AI5" s="73">
        <f t="shared" ref="AI5:AI15" si="10">+((+$AI$2-R5+U5)*L5*Q5*V5)/100</f>
        <v>39.54056201</v>
      </c>
      <c r="AJ5" s="73">
        <f t="shared" ref="AJ5:AJ15" si="11">31.1035*1.1023*K5*P5*O5/100</f>
        <v>50.5923346</v>
      </c>
      <c r="AK5" s="11"/>
      <c r="AL5" s="51">
        <f t="shared" ref="AL5:AL15" si="12">+IF(AB5*K5&gt;0,AB5*K5,0)</f>
        <v>3037.56554</v>
      </c>
      <c r="AM5" s="58"/>
    </row>
    <row r="6" ht="15.75" customHeight="1">
      <c r="A6" s="844" t="s">
        <v>4221</v>
      </c>
      <c r="B6" s="56"/>
      <c r="C6" s="56">
        <v>45626.0</v>
      </c>
      <c r="D6" s="57" t="s">
        <v>38</v>
      </c>
      <c r="E6" s="57">
        <v>2.0606534923E10</v>
      </c>
      <c r="F6" s="57" t="s">
        <v>4222</v>
      </c>
      <c r="G6" s="3">
        <v>82.0</v>
      </c>
      <c r="H6" s="57" t="s">
        <v>40</v>
      </c>
      <c r="I6" s="57">
        <v>6.87</v>
      </c>
      <c r="J6" s="58">
        <v>15.6</v>
      </c>
      <c r="K6" s="57">
        <v>5.798</v>
      </c>
      <c r="L6" s="60">
        <v>0.063</v>
      </c>
      <c r="M6" s="61">
        <v>0.053</v>
      </c>
      <c r="N6" s="62">
        <v>0.053</v>
      </c>
      <c r="O6" s="60">
        <f t="shared" si="1"/>
        <v>0.053</v>
      </c>
      <c r="P6" s="63">
        <v>90.0</v>
      </c>
      <c r="Q6" s="64">
        <v>85.7</v>
      </c>
      <c r="R6" s="65">
        <v>2651.05</v>
      </c>
      <c r="S6" s="66">
        <f t="shared" si="2"/>
        <v>95</v>
      </c>
      <c r="U6" s="67">
        <v>100.0</v>
      </c>
      <c r="V6" s="67">
        <v>1.1023</v>
      </c>
      <c r="Z6" s="69">
        <f t="shared" si="3"/>
        <v>30</v>
      </c>
      <c r="AA6" s="70">
        <f t="shared" si="4"/>
        <v>30</v>
      </c>
      <c r="AB6" s="71">
        <v>0.0</v>
      </c>
      <c r="AC6" s="71">
        <f>+(S6-T6)*V6-'data 1'!$F$4</f>
        <v>24.7185</v>
      </c>
      <c r="AD6" s="71">
        <f t="shared" si="5"/>
        <v>-7.617768722</v>
      </c>
      <c r="AE6" s="71">
        <f t="shared" si="6"/>
        <v>-36.931</v>
      </c>
      <c r="AF6" s="71">
        <f t="shared" si="7"/>
        <v>24.0990321</v>
      </c>
      <c r="AG6" s="72">
        <f t="shared" si="8"/>
        <v>4.268763374</v>
      </c>
      <c r="AH6" s="52">
        <f t="shared" si="9"/>
        <v>10.73269164</v>
      </c>
      <c r="AI6" s="73">
        <f t="shared" si="10"/>
        <v>8.209994829</v>
      </c>
      <c r="AJ6" s="73">
        <f t="shared" si="11"/>
        <v>9.482124632</v>
      </c>
      <c r="AK6" s="11"/>
      <c r="AL6" s="51">
        <f t="shared" si="12"/>
        <v>0</v>
      </c>
      <c r="AM6" s="58"/>
    </row>
    <row r="7" ht="15.75" customHeight="1">
      <c r="A7" s="844" t="s">
        <v>4223</v>
      </c>
      <c r="B7" s="56"/>
      <c r="C7" s="56">
        <v>45626.0</v>
      </c>
      <c r="D7" s="57" t="s">
        <v>38</v>
      </c>
      <c r="E7" s="57">
        <v>2.0606534923E10</v>
      </c>
      <c r="F7" s="57" t="s">
        <v>4222</v>
      </c>
      <c r="G7" s="3">
        <v>100.0</v>
      </c>
      <c r="H7" s="57" t="s">
        <v>40</v>
      </c>
      <c r="I7" s="57">
        <v>8.32</v>
      </c>
      <c r="J7" s="58">
        <v>15.75</v>
      </c>
      <c r="K7" s="57">
        <v>7.01</v>
      </c>
      <c r="L7" s="60">
        <v>0.066</v>
      </c>
      <c r="M7" s="61">
        <v>0.055</v>
      </c>
      <c r="N7" s="62">
        <v>0.055</v>
      </c>
      <c r="O7" s="60">
        <f t="shared" si="1"/>
        <v>0.055</v>
      </c>
      <c r="P7" s="63">
        <v>90.0</v>
      </c>
      <c r="Q7" s="64">
        <v>86.2</v>
      </c>
      <c r="R7" s="65">
        <v>2651.05</v>
      </c>
      <c r="S7" s="66">
        <f t="shared" si="2"/>
        <v>95</v>
      </c>
      <c r="U7" s="67">
        <v>100.0</v>
      </c>
      <c r="V7" s="67">
        <v>1.1023</v>
      </c>
      <c r="Z7" s="69">
        <f t="shared" si="3"/>
        <v>30</v>
      </c>
      <c r="AA7" s="70">
        <f t="shared" si="4"/>
        <v>30</v>
      </c>
      <c r="AB7" s="71">
        <v>0.0</v>
      </c>
      <c r="AC7" s="71">
        <f>+(S7-T7)*V7-'data 1'!$F$4</f>
        <v>24.7185</v>
      </c>
      <c r="AD7" s="71">
        <f t="shared" si="5"/>
        <v>-7.052552217</v>
      </c>
      <c r="AE7" s="71">
        <f t="shared" si="6"/>
        <v>-36.931</v>
      </c>
      <c r="AF7" s="71">
        <f t="shared" si="7"/>
        <v>26.66359654</v>
      </c>
      <c r="AG7" s="72">
        <f t="shared" si="8"/>
        <v>7.398544322</v>
      </c>
      <c r="AH7" s="52">
        <f t="shared" si="9"/>
        <v>13.67345572</v>
      </c>
      <c r="AI7" s="73">
        <f t="shared" si="10"/>
        <v>8.651127518</v>
      </c>
      <c r="AJ7" s="73">
        <f t="shared" si="11"/>
        <v>11.89685823</v>
      </c>
      <c r="AK7" s="11"/>
      <c r="AL7" s="51">
        <f t="shared" si="12"/>
        <v>0</v>
      </c>
      <c r="AM7" s="58"/>
    </row>
    <row r="8" ht="15.75" customHeight="1">
      <c r="A8" s="844" t="s">
        <v>4224</v>
      </c>
      <c r="B8" s="56"/>
      <c r="C8" s="56">
        <v>45626.0</v>
      </c>
      <c r="D8" s="57" t="s">
        <v>38</v>
      </c>
      <c r="E8" s="57">
        <v>2.0606534923E10</v>
      </c>
      <c r="F8" s="57" t="s">
        <v>4222</v>
      </c>
      <c r="G8" s="3">
        <v>100.0</v>
      </c>
      <c r="H8" s="57" t="s">
        <v>40</v>
      </c>
      <c r="I8" s="57">
        <v>8.54</v>
      </c>
      <c r="J8" s="58">
        <v>14.95</v>
      </c>
      <c r="K8" s="57">
        <v>7.263</v>
      </c>
      <c r="L8" s="60">
        <v>0.066</v>
      </c>
      <c r="M8" s="61">
        <v>0.055</v>
      </c>
      <c r="N8" s="62">
        <v>0.055</v>
      </c>
      <c r="O8" s="60">
        <f t="shared" si="1"/>
        <v>0.055</v>
      </c>
      <c r="P8" s="63">
        <v>90.0</v>
      </c>
      <c r="Q8" s="64">
        <v>89.16</v>
      </c>
      <c r="R8" s="65">
        <v>2651.05</v>
      </c>
      <c r="S8" s="66">
        <f t="shared" si="2"/>
        <v>95</v>
      </c>
      <c r="U8" s="67">
        <v>100.0</v>
      </c>
      <c r="V8" s="67">
        <v>1.1023</v>
      </c>
      <c r="Z8" s="69">
        <f t="shared" si="3"/>
        <v>30</v>
      </c>
      <c r="AA8" s="70">
        <f t="shared" si="4"/>
        <v>30</v>
      </c>
      <c r="AB8" s="71">
        <v>0.0</v>
      </c>
      <c r="AC8" s="71">
        <f>+(S8-T8)*V8-'data 1'!$F$4</f>
        <v>24.7185</v>
      </c>
      <c r="AD8" s="71">
        <f t="shared" si="5"/>
        <v>-1.558985227</v>
      </c>
      <c r="AE8" s="71">
        <f t="shared" si="6"/>
        <v>-36.931</v>
      </c>
      <c r="AF8" s="71">
        <f t="shared" si="7"/>
        <v>27.57919104</v>
      </c>
      <c r="AG8" s="72">
        <f t="shared" si="8"/>
        <v>13.80770581</v>
      </c>
      <c r="AH8" s="52">
        <f t="shared" si="9"/>
        <v>14.65342375</v>
      </c>
      <c r="AI8" s="73">
        <f t="shared" si="10"/>
        <v>8.948196398</v>
      </c>
      <c r="AJ8" s="73">
        <f t="shared" si="11"/>
        <v>12.32623128</v>
      </c>
      <c r="AK8" s="11"/>
      <c r="AL8" s="51">
        <f t="shared" si="12"/>
        <v>0</v>
      </c>
      <c r="AM8" s="58"/>
      <c r="AN8" s="845"/>
    </row>
    <row r="9" ht="15.75" customHeight="1">
      <c r="A9" s="844" t="s">
        <v>4225</v>
      </c>
      <c r="B9" s="56">
        <v>45641.0</v>
      </c>
      <c r="C9" s="56">
        <v>45627.0</v>
      </c>
      <c r="D9" s="57" t="s">
        <v>79</v>
      </c>
      <c r="E9" s="57">
        <v>1.0421580605E10</v>
      </c>
      <c r="F9" s="57" t="s">
        <v>4226</v>
      </c>
      <c r="G9" s="3" t="s">
        <v>4100</v>
      </c>
      <c r="H9" s="57" t="s">
        <v>47</v>
      </c>
      <c r="I9" s="57">
        <v>33.6</v>
      </c>
      <c r="J9" s="58">
        <v>14.55</v>
      </c>
      <c r="K9" s="57">
        <v>28.711</v>
      </c>
      <c r="L9" s="60">
        <v>0.161</v>
      </c>
      <c r="M9" s="60">
        <v>0.143</v>
      </c>
      <c r="N9" s="75">
        <v>0.18</v>
      </c>
      <c r="O9" s="60">
        <v>0.161</v>
      </c>
      <c r="P9" s="2">
        <v>90.0</v>
      </c>
      <c r="Q9" s="64">
        <v>89.71</v>
      </c>
      <c r="R9" s="65">
        <v>2642.15</v>
      </c>
      <c r="S9" s="76">
        <v>85.0</v>
      </c>
      <c r="U9" s="67">
        <v>90.0</v>
      </c>
      <c r="V9" s="67">
        <v>1.1023</v>
      </c>
      <c r="Z9" s="77">
        <v>15.0</v>
      </c>
      <c r="AA9" s="70">
        <f t="shared" si="4"/>
        <v>15</v>
      </c>
      <c r="AB9" s="71">
        <f t="shared" ref="AB9:AB15" si="13">+((O9*P9*(R9-U9)/100)-S9-AA9+T9)*V9</f>
        <v>297.4077435</v>
      </c>
      <c r="AC9" s="71">
        <f>+(S9-T9)*V9-'data 1'!$F$4</f>
        <v>13.6955</v>
      </c>
      <c r="AD9" s="71">
        <f t="shared" si="5"/>
        <v>-1.313499396</v>
      </c>
      <c r="AE9" s="71">
        <f t="shared" si="6"/>
        <v>-53.4655</v>
      </c>
      <c r="AF9" s="71">
        <f t="shared" si="7"/>
        <v>0</v>
      </c>
      <c r="AG9" s="72">
        <f t="shared" ref="AG9:AG10" si="14">+IF(D9="RONALD WILLIAN GARIBAY ESCUDERO",AC9+AD9+AE9+AF9+70,AC9+AD9+AE9+AF9)+70-10</f>
        <v>18.9165006</v>
      </c>
      <c r="AH9" s="52">
        <f t="shared" si="9"/>
        <v>142.1752895</v>
      </c>
      <c r="AI9" s="73">
        <f t="shared" si="10"/>
        <v>21.78769775</v>
      </c>
      <c r="AJ9" s="73">
        <f t="shared" si="11"/>
        <v>142.6348908</v>
      </c>
      <c r="AK9" s="11"/>
      <c r="AL9" s="51">
        <f t="shared" si="12"/>
        <v>8538.873725</v>
      </c>
      <c r="AM9" s="58"/>
    </row>
    <row r="10" ht="15.75" customHeight="1">
      <c r="A10" s="844" t="s">
        <v>4227</v>
      </c>
      <c r="B10" s="95">
        <v>45631.0</v>
      </c>
      <c r="C10" s="56">
        <v>45627.0</v>
      </c>
      <c r="D10" s="57" t="s">
        <v>79</v>
      </c>
      <c r="E10" s="57">
        <v>1.0421580605E10</v>
      </c>
      <c r="F10" s="57" t="s">
        <v>4226</v>
      </c>
      <c r="G10" s="3" t="s">
        <v>4100</v>
      </c>
      <c r="H10" s="57" t="s">
        <v>47</v>
      </c>
      <c r="I10" s="57">
        <v>29.84</v>
      </c>
      <c r="J10" s="58">
        <v>13.25</v>
      </c>
      <c r="K10" s="57">
        <v>25.886</v>
      </c>
      <c r="L10" s="60">
        <v>0.238</v>
      </c>
      <c r="M10" s="60">
        <v>0.228</v>
      </c>
      <c r="N10" s="62">
        <v>0.24</v>
      </c>
      <c r="O10" s="60">
        <f t="shared" ref="O10:O15" si="15">+ROUND((M10+N10)/2,3)</f>
        <v>0.234</v>
      </c>
      <c r="P10" s="63">
        <v>90.0</v>
      </c>
      <c r="Q10" s="64">
        <v>89.71</v>
      </c>
      <c r="R10" s="65">
        <v>2642.15</v>
      </c>
      <c r="S10" s="76">
        <v>85.0</v>
      </c>
      <c r="U10" s="67">
        <v>90.0</v>
      </c>
      <c r="V10" s="67">
        <v>1.1023</v>
      </c>
      <c r="Y10" s="68"/>
      <c r="Z10" s="77">
        <v>15.0</v>
      </c>
      <c r="AA10" s="70">
        <f t="shared" si="4"/>
        <v>15</v>
      </c>
      <c r="AB10" s="71">
        <f t="shared" si="13"/>
        <v>482.2372794</v>
      </c>
      <c r="AC10" s="71">
        <f>+(S10-T10)*V10-'data 1'!$F$4</f>
        <v>13.6955</v>
      </c>
      <c r="AD10" s="71">
        <f t="shared" si="5"/>
        <v>-1.941694759</v>
      </c>
      <c r="AE10" s="71">
        <f t="shared" si="6"/>
        <v>-53.4655</v>
      </c>
      <c r="AF10" s="71">
        <f t="shared" si="7"/>
        <v>10.09501228</v>
      </c>
      <c r="AG10" s="72">
        <f t="shared" si="14"/>
        <v>28.38331752</v>
      </c>
      <c r="AH10" s="52">
        <f t="shared" si="9"/>
        <v>189.4924146</v>
      </c>
      <c r="AI10" s="73">
        <f t="shared" si="10"/>
        <v>32.20790102</v>
      </c>
      <c r="AJ10" s="73">
        <f t="shared" si="11"/>
        <v>186.9099335</v>
      </c>
      <c r="AK10" s="11"/>
      <c r="AL10" s="51">
        <f t="shared" si="12"/>
        <v>12483.19421</v>
      </c>
      <c r="AM10" s="58"/>
    </row>
    <row r="11" ht="15.75" customHeight="1">
      <c r="A11" s="844" t="s">
        <v>4228</v>
      </c>
      <c r="B11" s="56">
        <v>45635.0</v>
      </c>
      <c r="C11" s="56">
        <v>45630.0</v>
      </c>
      <c r="D11" s="57" t="s">
        <v>53</v>
      </c>
      <c r="E11" s="57">
        <v>1.0457401928E10</v>
      </c>
      <c r="G11" s="3">
        <v>66.0</v>
      </c>
      <c r="H11" s="57" t="s">
        <v>47</v>
      </c>
      <c r="I11" s="58">
        <v>4.84</v>
      </c>
      <c r="J11" s="58">
        <v>10.15</v>
      </c>
      <c r="K11" s="59">
        <f t="shared" ref="K11:K15" si="16">+I11-(I11*(J11/100))</f>
        <v>4.34874</v>
      </c>
      <c r="L11" s="60">
        <v>0.807</v>
      </c>
      <c r="M11" s="60">
        <v>0.774</v>
      </c>
      <c r="N11" s="75">
        <v>0.827</v>
      </c>
      <c r="O11" s="60">
        <f t="shared" si="15"/>
        <v>0.801</v>
      </c>
      <c r="P11" s="63">
        <v>90.0</v>
      </c>
      <c r="Q11" s="64">
        <v>89.78</v>
      </c>
      <c r="R11" s="65">
        <v>2648.65</v>
      </c>
      <c r="S11" s="66">
        <f t="shared" ref="S11:S15" si="17">IF((90+ROUNDDOWN(O11,1)*100)&lt;95,95,(90+ROUNDDOWN(O11,1)*100))</f>
        <v>170</v>
      </c>
      <c r="U11" s="67">
        <v>130.0</v>
      </c>
      <c r="V11" s="67">
        <v>1.1023</v>
      </c>
      <c r="Y11" s="57">
        <v>15.0</v>
      </c>
      <c r="Z11" s="69">
        <f t="shared" ref="Z11:Z15" si="18">IF(IF(D11="UNTUCA",IF(+((W11-3)*1.5+(X11-3)*3.1)&gt;0,+((W11-3)*1.5+(X11-3)*3.1),0),IF(+((W11-3)*1.5+(X11-3)*3.1)&gt;0,+((W11-3)*1.5+(X11-3)*3.1),0))&lt;30,30,IF(D11="UNTUCA",IF(+((W11-3)*1.5+(X11-3)*3.1)&gt;0,+((W11-3)*1.5+(X11-3)*3.1),0),IF(+((W11-3)*1.5+(X11-3)*3.1)&gt;0,+((W11-3)*1.5+(X11-3)*3.1),0)))</f>
        <v>30</v>
      </c>
      <c r="AA11" s="70">
        <f t="shared" si="4"/>
        <v>45</v>
      </c>
      <c r="AB11" s="71">
        <f t="shared" si="13"/>
        <v>1764.445862</v>
      </c>
      <c r="AC11" s="71">
        <f>+(S11-T11)*V11-'data 1'!$F$4</f>
        <v>107.391</v>
      </c>
      <c r="AD11" s="71">
        <f t="shared" si="5"/>
        <v>-4.929057037</v>
      </c>
      <c r="AE11" s="71">
        <f t="shared" si="6"/>
        <v>-20.3965</v>
      </c>
      <c r="AF11" s="71">
        <f t="shared" si="7"/>
        <v>14.95541537</v>
      </c>
      <c r="AG11" s="72">
        <f t="shared" ref="AG11:AG13" si="19">+IF(D11="RONALD WILLIAN GARIBAY ESCUDERO",AC11+AD11+AE11+AF11+70,AC11+AD11+AE11+AF11)+70-20</f>
        <v>147.0208583</v>
      </c>
      <c r="AH11" s="52">
        <f t="shared" si="9"/>
        <v>108.0253416</v>
      </c>
      <c r="AI11" s="73">
        <f t="shared" si="10"/>
        <v>136.0489145</v>
      </c>
      <c r="AJ11" s="73">
        <f t="shared" si="11"/>
        <v>107.4849201</v>
      </c>
      <c r="AK11" s="11"/>
      <c r="AL11" s="51">
        <f t="shared" si="12"/>
        <v>7673.116296</v>
      </c>
      <c r="AM11" s="58"/>
    </row>
    <row r="12" ht="15.75" customHeight="1">
      <c r="A12" s="844" t="s">
        <v>4229</v>
      </c>
      <c r="B12" s="56">
        <v>45635.0</v>
      </c>
      <c r="C12" s="56">
        <v>45630.0</v>
      </c>
      <c r="D12" s="57" t="s">
        <v>53</v>
      </c>
      <c r="E12" s="57">
        <v>1.0457401928E10</v>
      </c>
      <c r="G12" s="3">
        <v>76.0</v>
      </c>
      <c r="H12" s="57" t="s">
        <v>47</v>
      </c>
      <c r="I12" s="58">
        <v>5.15</v>
      </c>
      <c r="J12" s="58">
        <v>13.35</v>
      </c>
      <c r="K12" s="59">
        <f t="shared" si="16"/>
        <v>4.462475</v>
      </c>
      <c r="L12" s="60">
        <v>0.238</v>
      </c>
      <c r="M12" s="60">
        <v>0.228</v>
      </c>
      <c r="N12" s="62">
        <v>0.228</v>
      </c>
      <c r="O12" s="60">
        <f t="shared" si="15"/>
        <v>0.228</v>
      </c>
      <c r="P12" s="80">
        <v>90.0</v>
      </c>
      <c r="Q12" s="64">
        <v>89.61</v>
      </c>
      <c r="R12" s="65">
        <v>2648.65</v>
      </c>
      <c r="S12" s="66">
        <f t="shared" si="17"/>
        <v>110</v>
      </c>
      <c r="U12" s="67">
        <v>130.0</v>
      </c>
      <c r="V12" s="67">
        <v>1.1023</v>
      </c>
      <c r="Y12" s="57">
        <v>15.0</v>
      </c>
      <c r="Z12" s="69">
        <f t="shared" si="18"/>
        <v>30</v>
      </c>
      <c r="AA12" s="70">
        <f t="shared" si="4"/>
        <v>45</v>
      </c>
      <c r="AB12" s="71">
        <f t="shared" si="13"/>
        <v>398.8418801</v>
      </c>
      <c r="AC12" s="71">
        <f>+(S12-T12)*V12-'data 1'!$F$4</f>
        <v>41.253</v>
      </c>
      <c r="AD12" s="71">
        <f t="shared" si="5"/>
        <v>-2.576968988</v>
      </c>
      <c r="AE12" s="71">
        <f t="shared" si="6"/>
        <v>-20.3965</v>
      </c>
      <c r="AF12" s="71">
        <f t="shared" si="7"/>
        <v>24.87849505</v>
      </c>
      <c r="AG12" s="72">
        <f t="shared" si="19"/>
        <v>93.15802606</v>
      </c>
      <c r="AH12" s="52">
        <f t="shared" si="9"/>
        <v>32.63009211</v>
      </c>
      <c r="AI12" s="73">
        <f t="shared" si="10"/>
        <v>40.0474972</v>
      </c>
      <c r="AJ12" s="73">
        <f t="shared" si="11"/>
        <v>31.39512538</v>
      </c>
      <c r="AK12" s="11"/>
      <c r="AL12" s="51">
        <f t="shared" si="12"/>
        <v>1779.821919</v>
      </c>
      <c r="AM12" s="58"/>
    </row>
    <row r="13" ht="15.75" customHeight="1">
      <c r="A13" s="844" t="s">
        <v>4230</v>
      </c>
      <c r="B13" s="56">
        <v>45635.0</v>
      </c>
      <c r="C13" s="56">
        <v>45630.0</v>
      </c>
      <c r="D13" s="57" t="s">
        <v>53</v>
      </c>
      <c r="E13" s="57">
        <v>1.0457401928E10</v>
      </c>
      <c r="G13" s="3">
        <v>16.0</v>
      </c>
      <c r="H13" s="57" t="s">
        <v>47</v>
      </c>
      <c r="I13" s="58">
        <v>1.13</v>
      </c>
      <c r="J13" s="58">
        <v>13.5</v>
      </c>
      <c r="K13" s="59">
        <f t="shared" si="16"/>
        <v>0.97745</v>
      </c>
      <c r="L13" s="60">
        <v>0.147</v>
      </c>
      <c r="M13" s="60">
        <v>0.136</v>
      </c>
      <c r="N13" s="62">
        <v>0.136</v>
      </c>
      <c r="O13" s="60">
        <f t="shared" si="15"/>
        <v>0.136</v>
      </c>
      <c r="P13" s="80">
        <v>85.0</v>
      </c>
      <c r="Q13" s="64">
        <v>89.35</v>
      </c>
      <c r="R13" s="65">
        <v>2648.65</v>
      </c>
      <c r="S13" s="66">
        <f t="shared" si="17"/>
        <v>100</v>
      </c>
      <c r="U13" s="67">
        <v>130.0</v>
      </c>
      <c r="V13" s="67">
        <v>1.1023</v>
      </c>
      <c r="Y13" s="57">
        <v>15.0</v>
      </c>
      <c r="Z13" s="69">
        <f t="shared" si="18"/>
        <v>30</v>
      </c>
      <c r="AA13" s="70">
        <f t="shared" si="4"/>
        <v>45</v>
      </c>
      <c r="AB13" s="71">
        <f t="shared" si="13"/>
        <v>161.1076927</v>
      </c>
      <c r="AC13" s="71">
        <f>+(S13-T13)*V13-'data 1'!$F$4</f>
        <v>30.23</v>
      </c>
      <c r="AD13" s="71">
        <f t="shared" si="5"/>
        <v>17.75310083</v>
      </c>
      <c r="AE13" s="71">
        <f t="shared" si="6"/>
        <v>-20.3965</v>
      </c>
      <c r="AF13" s="71">
        <f t="shared" si="7"/>
        <v>27.28694215</v>
      </c>
      <c r="AG13" s="72">
        <f t="shared" si="19"/>
        <v>104.873543</v>
      </c>
      <c r="AH13" s="52">
        <f t="shared" si="9"/>
        <v>4.401650055</v>
      </c>
      <c r="AI13" s="73">
        <f t="shared" si="10"/>
        <v>24.66345056</v>
      </c>
      <c r="AJ13" s="73">
        <f t="shared" si="11"/>
        <v>3.874016395</v>
      </c>
      <c r="AK13" s="11"/>
      <c r="AL13" s="51">
        <f t="shared" si="12"/>
        <v>157.4747142</v>
      </c>
      <c r="AM13" s="58"/>
    </row>
    <row r="14" ht="15.75" customHeight="1">
      <c r="A14" s="844" t="s">
        <v>4231</v>
      </c>
      <c r="B14" s="56">
        <v>45635.0</v>
      </c>
      <c r="C14" s="56">
        <v>45630.0</v>
      </c>
      <c r="D14" s="57" t="s">
        <v>53</v>
      </c>
      <c r="E14" s="57">
        <v>1.0457401928E10</v>
      </c>
      <c r="G14" s="3">
        <v>79.0</v>
      </c>
      <c r="H14" s="57" t="s">
        <v>47</v>
      </c>
      <c r="I14" s="58">
        <v>5.96</v>
      </c>
      <c r="J14" s="58">
        <v>11.0</v>
      </c>
      <c r="K14" s="59">
        <f t="shared" si="16"/>
        <v>5.3044</v>
      </c>
      <c r="L14" s="60">
        <v>0.307</v>
      </c>
      <c r="M14" s="60">
        <v>0.294</v>
      </c>
      <c r="N14" s="75">
        <v>0.303</v>
      </c>
      <c r="O14" s="60">
        <f t="shared" si="15"/>
        <v>0.299</v>
      </c>
      <c r="P14" s="63">
        <v>90.0</v>
      </c>
      <c r="Q14" s="64">
        <v>89.6</v>
      </c>
      <c r="R14" s="65">
        <v>2648.65</v>
      </c>
      <c r="S14" s="66">
        <f t="shared" si="17"/>
        <v>110</v>
      </c>
      <c r="U14" s="67">
        <v>130.0</v>
      </c>
      <c r="V14" s="67">
        <v>1.1023</v>
      </c>
      <c r="Y14" s="57">
        <v>15.0</v>
      </c>
      <c r="Z14" s="69">
        <f t="shared" si="18"/>
        <v>30</v>
      </c>
      <c r="AA14" s="70">
        <f t="shared" si="4"/>
        <v>45</v>
      </c>
      <c r="AB14" s="71">
        <f t="shared" si="13"/>
        <v>576.2479545</v>
      </c>
      <c r="AC14" s="71">
        <f>+(S14-T14)*V14-'data 1'!$F$4</f>
        <v>41.253</v>
      </c>
      <c r="AD14" s="71">
        <f t="shared" si="5"/>
        <v>-3.409306095</v>
      </c>
      <c r="AE14" s="71">
        <f t="shared" si="6"/>
        <v>-20.3965</v>
      </c>
      <c r="AF14" s="71">
        <f t="shared" si="7"/>
        <v>19.90057499</v>
      </c>
      <c r="AG14" s="72">
        <f t="shared" ref="AG14:AG15" si="20">+IF(D14="RONALD WILLIAN GARIBAY ESCUDERO",AC14+AD14+AE14+AF14+70,AC14+AD14+AE14+AF14)</f>
        <v>37.3477689</v>
      </c>
      <c r="AH14" s="52">
        <f t="shared" si="9"/>
        <v>50.02553257</v>
      </c>
      <c r="AI14" s="73">
        <f t="shared" si="10"/>
        <v>51.6521413</v>
      </c>
      <c r="AJ14" s="73">
        <f t="shared" si="11"/>
        <v>48.93944427</v>
      </c>
      <c r="AK14" s="11"/>
      <c r="AL14" s="51">
        <f t="shared" si="12"/>
        <v>3056.64965</v>
      </c>
      <c r="AM14" s="58"/>
    </row>
    <row r="15" ht="15.75" customHeight="1">
      <c r="A15" s="844" t="s">
        <v>4232</v>
      </c>
      <c r="B15" s="56">
        <v>45635.0</v>
      </c>
      <c r="C15" s="56">
        <v>45630.0</v>
      </c>
      <c r="D15" s="57" t="s">
        <v>53</v>
      </c>
      <c r="E15" s="57">
        <v>1.0457401928E10</v>
      </c>
      <c r="G15" s="3">
        <v>62.0</v>
      </c>
      <c r="H15" s="197" t="s">
        <v>47</v>
      </c>
      <c r="I15" s="58">
        <v>4.92</v>
      </c>
      <c r="J15" s="58">
        <v>3.9</v>
      </c>
      <c r="K15" s="59">
        <f t="shared" si="16"/>
        <v>4.72812</v>
      </c>
      <c r="L15" s="60">
        <v>0.819</v>
      </c>
      <c r="M15" s="61">
        <v>0.786</v>
      </c>
      <c r="N15" s="75">
        <v>0.881</v>
      </c>
      <c r="O15" s="60">
        <f t="shared" si="15"/>
        <v>0.834</v>
      </c>
      <c r="P15" s="63">
        <v>90.0</v>
      </c>
      <c r="Q15" s="64">
        <v>89.43</v>
      </c>
      <c r="R15" s="65">
        <v>2648.65</v>
      </c>
      <c r="S15" s="66">
        <f t="shared" si="17"/>
        <v>170</v>
      </c>
      <c r="U15" s="67">
        <v>130.0</v>
      </c>
      <c r="V15" s="67">
        <v>1.1023</v>
      </c>
      <c r="Y15" s="57">
        <v>15.0</v>
      </c>
      <c r="Z15" s="69">
        <f t="shared" si="18"/>
        <v>30</v>
      </c>
      <c r="AA15" s="70">
        <f t="shared" si="4"/>
        <v>45</v>
      </c>
      <c r="AB15" s="71">
        <f t="shared" si="13"/>
        <v>1846.902206</v>
      </c>
      <c r="AC15" s="71">
        <f>+(S15-T15)*V15-'data 1'!$F$4</f>
        <v>107.391</v>
      </c>
      <c r="AD15" s="71">
        <f t="shared" si="5"/>
        <v>-12.96063815</v>
      </c>
      <c r="AE15" s="71">
        <f t="shared" si="6"/>
        <v>-20.3965</v>
      </c>
      <c r="AF15" s="71">
        <f t="shared" si="7"/>
        <v>-37.24278226</v>
      </c>
      <c r="AG15" s="72">
        <f t="shared" si="20"/>
        <v>36.7910796</v>
      </c>
      <c r="AH15" s="52">
        <f t="shared" si="9"/>
        <v>118.7311549</v>
      </c>
      <c r="AI15" s="73">
        <f t="shared" si="10"/>
        <v>137.5336845</v>
      </c>
      <c r="AJ15" s="73">
        <f t="shared" si="11"/>
        <v>121.676335</v>
      </c>
      <c r="AK15" s="11"/>
      <c r="AL15" s="51">
        <f t="shared" si="12"/>
        <v>8732.375258</v>
      </c>
      <c r="AM15" s="58"/>
    </row>
    <row r="16" ht="15.75" customHeight="1">
      <c r="A16" s="116" t="s">
        <v>4233</v>
      </c>
      <c r="B16" s="56"/>
      <c r="C16" s="56"/>
      <c r="E16" s="2"/>
      <c r="F16" s="2"/>
      <c r="G16" s="3"/>
      <c r="I16" s="58"/>
      <c r="J16" s="58"/>
      <c r="K16" s="58"/>
      <c r="L16" s="58"/>
      <c r="M16" s="58"/>
      <c r="N16" s="75"/>
      <c r="O16" s="60"/>
      <c r="P16" s="63"/>
      <c r="Q16" s="64"/>
      <c r="R16" s="65"/>
      <c r="S16" s="66"/>
      <c r="U16" s="67"/>
      <c r="V16" s="67"/>
      <c r="Z16" s="69"/>
      <c r="AA16" s="70"/>
      <c r="AB16" s="71"/>
      <c r="AC16" s="71"/>
      <c r="AD16" s="71"/>
      <c r="AE16" s="71"/>
      <c r="AF16" s="71"/>
      <c r="AG16" s="72"/>
      <c r="AH16" s="52"/>
      <c r="AI16" s="73"/>
      <c r="AJ16" s="73"/>
      <c r="AK16" s="11"/>
      <c r="AL16" s="51"/>
      <c r="AM16" s="58"/>
    </row>
    <row r="17" ht="15.75" customHeight="1">
      <c r="A17" s="844" t="s">
        <v>4234</v>
      </c>
      <c r="B17" s="56">
        <v>45646.0</v>
      </c>
      <c r="C17" s="56">
        <v>45631.0</v>
      </c>
      <c r="D17" s="57" t="s">
        <v>53</v>
      </c>
      <c r="E17" s="57">
        <v>1.0457401928E10</v>
      </c>
      <c r="G17" s="3" t="s">
        <v>4235</v>
      </c>
      <c r="H17" s="57" t="s">
        <v>47</v>
      </c>
      <c r="I17" s="58">
        <v>32.69</v>
      </c>
      <c r="J17" s="58">
        <v>4.4</v>
      </c>
      <c r="K17" s="59">
        <f>+I17-(I17*(J17/100))</f>
        <v>31.25164</v>
      </c>
      <c r="L17" s="60">
        <v>0.08</v>
      </c>
      <c r="M17" s="61">
        <v>0.074</v>
      </c>
      <c r="N17" s="75">
        <v>0.144</v>
      </c>
      <c r="O17" s="60">
        <f>+ROUND((M17+N17)/2,3)</f>
        <v>0.109</v>
      </c>
      <c r="P17" s="63">
        <v>85.0</v>
      </c>
      <c r="Q17" s="64">
        <v>89.67</v>
      </c>
      <c r="R17" s="65">
        <v>2640.15</v>
      </c>
      <c r="S17" s="66">
        <v>105.0</v>
      </c>
      <c r="U17" s="67">
        <v>100.0</v>
      </c>
      <c r="V17" s="67">
        <v>1.1023</v>
      </c>
      <c r="Y17" s="57">
        <v>25.0</v>
      </c>
      <c r="Z17" s="69">
        <f>IF(IF(D17="UNTUCA",IF(+((W17-3)*1.5+(X17-3)*3.1)&gt;0,+((W17-3)*1.5+(X17-3)*3.1),0),IF(+((W17-3)*1.5+(X17-3)*3.1)&gt;0,+((W17-3)*1.5+(X17-3)*3.1),0))&lt;30,30,IF(D17="UNTUCA",IF(+((W17-3)*1.5+(X17-3)*3.1)&gt;0,+((W17-3)*1.5+(X17-3)*3.1),0),IF(+((W17-3)*1.5+(X17-3)*3.1)&gt;0,+((W17-3)*1.5+(X17-3)*3.1),0)))</f>
        <v>30</v>
      </c>
      <c r="AA17" s="70">
        <f>+Y17+Z17</f>
        <v>55</v>
      </c>
      <c r="AB17" s="71">
        <f>+((O17*P17*(R17-U17)/100)-S17-AA17+T17)*V17</f>
        <v>83.05268051</v>
      </c>
      <c r="AC17" s="71">
        <f>+(S17-T17)*V17-'data 1'!$F$4</f>
        <v>35.7415</v>
      </c>
      <c r="AD17" s="71">
        <f>+(Q17-P17)*(R17-U17)*L17*V17/100</f>
        <v>10.46082744</v>
      </c>
      <c r="AE17" s="71">
        <f>+(Y17*V17-70)+V17*(Z17-IF(D17="UNTUCA",IF(+((W17-3)*2.5+(X17-3)*3.1)&gt;0,+((W17-3)*1.5+(X17-3)*3.1),0),IF(+((W17-3)*1.5+(X17-3)*3.1)&gt;0,+((W17-3)*1.5+(X17-3)*3.1),0)))</f>
        <v>-9.3735</v>
      </c>
      <c r="AF17" s="71">
        <f>(L17-O17)*(R17-U17)*Q17*V17/100</f>
        <v>-72.812231</v>
      </c>
      <c r="AG17" s="72">
        <f>+IF(D17="RONALD WILLIAN GARIBAY ESCUDERO",AC17+AD17+AE17+AF17+70,AC17+AD17+AE17+AF17)</f>
        <v>-35.98340356</v>
      </c>
      <c r="AH17" s="52">
        <f>31.1035*L17*Q17*1.1023*K17/100</f>
        <v>76.86330224</v>
      </c>
      <c r="AI17" s="73">
        <f>+((+$AI$2-R17+U17)*L17*Q17*V17)/100</f>
        <v>11.77025314</v>
      </c>
      <c r="AJ17" s="73">
        <f>31.1035*1.1023*K17*P17*O17/100</f>
        <v>99.27212212</v>
      </c>
      <c r="AK17" s="11"/>
      <c r="AL17" s="51">
        <f>+IF(AB17*K17&gt;0,AB17*K17,0)</f>
        <v>2595.532472</v>
      </c>
      <c r="AM17" s="58"/>
    </row>
    <row r="18" ht="15.75" customHeight="1">
      <c r="A18" s="116" t="s">
        <v>4236</v>
      </c>
      <c r="B18" s="56"/>
      <c r="C18" s="56"/>
      <c r="E18" s="67"/>
      <c r="G18" s="3"/>
      <c r="I18" s="58"/>
      <c r="J18" s="58"/>
      <c r="K18" s="59"/>
      <c r="L18" s="60"/>
      <c r="M18" s="60"/>
      <c r="N18" s="75"/>
      <c r="O18" s="60"/>
      <c r="P18" s="2"/>
      <c r="Q18" s="64"/>
      <c r="R18" s="65"/>
      <c r="S18" s="76"/>
      <c r="U18" s="67"/>
      <c r="V18" s="67"/>
      <c r="Z18" s="69"/>
      <c r="AA18" s="70"/>
      <c r="AB18" s="71"/>
      <c r="AC18" s="71"/>
      <c r="AD18" s="71"/>
      <c r="AE18" s="71"/>
      <c r="AF18" s="71"/>
      <c r="AG18" s="72"/>
      <c r="AH18" s="52"/>
      <c r="AI18" s="73"/>
      <c r="AJ18" s="73"/>
      <c r="AK18" s="11"/>
      <c r="AL18" s="51"/>
      <c r="AM18" s="58"/>
    </row>
    <row r="19" ht="15.75" customHeight="1">
      <c r="A19" s="844" t="s">
        <v>4237</v>
      </c>
      <c r="B19" s="56">
        <v>45633.0</v>
      </c>
      <c r="C19" s="56">
        <v>45631.0</v>
      </c>
      <c r="D19" s="57" t="s">
        <v>45</v>
      </c>
      <c r="E19" s="67">
        <v>1.0416085884E10</v>
      </c>
      <c r="G19" s="3" t="s">
        <v>4100</v>
      </c>
      <c r="H19" s="57" t="s">
        <v>47</v>
      </c>
      <c r="I19" s="58">
        <v>28.55</v>
      </c>
      <c r="J19" s="58">
        <v>6.75</v>
      </c>
      <c r="K19" s="59">
        <f t="shared" ref="K19:K21" si="21">+I19-(I19*(J19/100))</f>
        <v>26.622875</v>
      </c>
      <c r="L19" s="60">
        <v>0.126</v>
      </c>
      <c r="M19" s="60">
        <v>0.116</v>
      </c>
      <c r="N19" s="75">
        <v>0.137</v>
      </c>
      <c r="O19" s="60">
        <f t="shared" ref="O19:O21" si="22">+ROUND((M19+N19)/2,3)</f>
        <v>0.127</v>
      </c>
      <c r="P19" s="2">
        <v>85.0</v>
      </c>
      <c r="Q19" s="64">
        <v>89.55</v>
      </c>
      <c r="R19" s="65">
        <v>2640.15</v>
      </c>
      <c r="S19" s="76">
        <v>110.0</v>
      </c>
      <c r="U19" s="67">
        <v>130.0</v>
      </c>
      <c r="V19" s="67">
        <v>1.1023</v>
      </c>
      <c r="Z19" s="69">
        <f t="shared" ref="Z19:Z21" si="23">IF(IF(D19="UNTUCA",IF(+((W19-3)*1.5+(X19-3)*3.1)&gt;0,+((W19-3)*1.5+(X19-3)*3.1),0),IF(+((W19-3)*1.5+(X19-3)*3.1)&gt;0,+((W19-3)*1.5+(X19-3)*3.1),0))&lt;30,30,IF(D19="UNTUCA",IF(+((W19-3)*1.5+(X19-3)*3.1)&gt;0,+((W19-3)*1.5+(X19-3)*3.1),0),IF(+((W19-3)*1.5+(X19-3)*3.1)&gt;0,+((W19-3)*1.5+(X19-3)*3.1),0)))</f>
        <v>30</v>
      </c>
      <c r="AA19" s="70">
        <f t="shared" ref="AA19:AA21" si="24">+Y19+Z19</f>
        <v>30</v>
      </c>
      <c r="AB19" s="71">
        <f t="shared" ref="AB19:AB21" si="25">+((O19*P19*(R19-U19)/100)-S19-AA19+T19)*V19</f>
        <v>144.3689943</v>
      </c>
      <c r="AC19" s="71">
        <f>+(S19-T19)*V19-'data 1'!$F$4</f>
        <v>41.253</v>
      </c>
      <c r="AD19" s="71">
        <f t="shared" ref="AD19:AD21" si="26">+(Q19-P19)*(R19-U19)*L19*V19/100</f>
        <v>15.86285753</v>
      </c>
      <c r="AE19" s="71">
        <f t="shared" ref="AE19:AE21" si="27">+(Y19*V19-70)+V19*(Z19-IF(D19="UNTUCA",IF(+((W19-3)*2.5+(X19-3)*3.1)&gt;0,+((W19-3)*1.5+(X19-3)*3.1),0),IF(+((W19-3)*1.5+(X19-3)*3.1)&gt;0,+((W19-3)*1.5+(X19-3)*3.1),0)))</f>
        <v>-36.931</v>
      </c>
      <c r="AF19" s="71">
        <f t="shared" ref="AF19:AF21" si="28">(L19-O19)*(R19-U19)*Q19*V19/100</f>
        <v>-2.477793288</v>
      </c>
      <c r="AG19" s="72">
        <f t="shared" ref="AG19:AG21" si="29">+IF(D19="RONALD WILLIAN GARIBAY ESCUDERO",AC19+AD19+AE19+AF19+70,AC19+AD19+AE19+AF19)+70-53</f>
        <v>34.70706424</v>
      </c>
      <c r="AH19" s="52">
        <f t="shared" ref="AH19:AH21" si="30">31.1035*L19*Q19*1.1023*K19/100</f>
        <v>102.9912093</v>
      </c>
      <c r="AI19" s="73">
        <f t="shared" ref="AI19:AI21" si="31">+((+$AI$2-R19+U19)*L19*Q19*V19)/100</f>
        <v>22.24461467</v>
      </c>
      <c r="AJ19" s="73">
        <f t="shared" ref="AJ19:AJ21" si="32">31.1035*1.1023*K19*P19*O19/100</f>
        <v>98.53412606</v>
      </c>
      <c r="AK19" s="11"/>
      <c r="AL19" s="51">
        <f t="shared" ref="AL19:AL21" si="33">+IF(AB19*K19&gt;0,AB19*K19,0)</f>
        <v>3843.51769</v>
      </c>
      <c r="AM19" s="58"/>
    </row>
    <row r="20" ht="15.75" customHeight="1">
      <c r="A20" s="844" t="s">
        <v>4238</v>
      </c>
      <c r="B20" s="56">
        <v>45644.0</v>
      </c>
      <c r="C20" s="56">
        <v>45631.0</v>
      </c>
      <c r="D20" s="57" t="s">
        <v>63</v>
      </c>
      <c r="E20" s="2">
        <v>1.0437450094E10</v>
      </c>
      <c r="G20" s="3">
        <v>15.0</v>
      </c>
      <c r="H20" s="57" t="s">
        <v>47</v>
      </c>
      <c r="I20" s="58">
        <v>1.38</v>
      </c>
      <c r="J20" s="58">
        <v>1.4</v>
      </c>
      <c r="K20" s="59">
        <f t="shared" si="21"/>
        <v>1.36068</v>
      </c>
      <c r="L20" s="60">
        <v>0.258</v>
      </c>
      <c r="M20" s="60">
        <v>0.232</v>
      </c>
      <c r="N20" s="60">
        <v>0.232</v>
      </c>
      <c r="O20" s="60">
        <f t="shared" si="22"/>
        <v>0.232</v>
      </c>
      <c r="P20" s="63">
        <v>90.0</v>
      </c>
      <c r="Q20" s="64">
        <v>89.38</v>
      </c>
      <c r="R20" s="65">
        <v>2640.15</v>
      </c>
      <c r="S20" s="66">
        <f t="shared" ref="S20:S21" si="34">IF((90+ROUNDDOWN(O20,1)*100)&lt;95,95,(90+ROUNDDOWN(O20,1)*100))</f>
        <v>110</v>
      </c>
      <c r="U20" s="67">
        <v>120.0</v>
      </c>
      <c r="V20" s="67">
        <v>1.1023</v>
      </c>
      <c r="Y20" s="57">
        <v>10.0</v>
      </c>
      <c r="Z20" s="69">
        <f t="shared" si="23"/>
        <v>30</v>
      </c>
      <c r="AA20" s="70">
        <f t="shared" si="24"/>
        <v>40</v>
      </c>
      <c r="AB20" s="71">
        <f t="shared" si="25"/>
        <v>414.6933288</v>
      </c>
      <c r="AC20" s="71">
        <f>+(S20-T20)*V20-'data 1'!$F$4</f>
        <v>41.253</v>
      </c>
      <c r="AD20" s="71">
        <f t="shared" si="26"/>
        <v>-4.443626967</v>
      </c>
      <c r="AE20" s="71">
        <f t="shared" si="27"/>
        <v>-25.908</v>
      </c>
      <c r="AF20" s="71">
        <f t="shared" si="28"/>
        <v>64.5564881</v>
      </c>
      <c r="AG20" s="72">
        <f t="shared" si="29"/>
        <v>92.45786114</v>
      </c>
      <c r="AH20" s="52">
        <f t="shared" si="30"/>
        <v>10.75784114</v>
      </c>
      <c r="AI20" s="73">
        <f t="shared" si="31"/>
        <v>42.92012011</v>
      </c>
      <c r="AJ20" s="73">
        <f t="shared" si="32"/>
        <v>9.74082105</v>
      </c>
      <c r="AK20" s="11"/>
      <c r="AL20" s="115">
        <f t="shared" si="33"/>
        <v>564.2649187</v>
      </c>
      <c r="AM20" s="58"/>
    </row>
    <row r="21" ht="15.75" customHeight="1">
      <c r="A21" s="844" t="s">
        <v>4239</v>
      </c>
      <c r="B21" s="56">
        <v>45639.0</v>
      </c>
      <c r="C21" s="56">
        <v>45631.0</v>
      </c>
      <c r="D21" s="57" t="s">
        <v>63</v>
      </c>
      <c r="E21" s="2">
        <v>1.0437450094E10</v>
      </c>
      <c r="G21" s="3">
        <v>23.0</v>
      </c>
      <c r="H21" s="57" t="s">
        <v>47</v>
      </c>
      <c r="I21" s="58">
        <v>2.19</v>
      </c>
      <c r="J21" s="58">
        <v>1.7</v>
      </c>
      <c r="K21" s="59">
        <f t="shared" si="21"/>
        <v>2.15277</v>
      </c>
      <c r="L21" s="60">
        <v>0.121</v>
      </c>
      <c r="M21" s="61">
        <v>0.113</v>
      </c>
      <c r="N21" s="62">
        <v>0.177</v>
      </c>
      <c r="O21" s="60">
        <f t="shared" si="22"/>
        <v>0.145</v>
      </c>
      <c r="P21" s="63">
        <v>85.0</v>
      </c>
      <c r="Q21" s="64">
        <v>89.62</v>
      </c>
      <c r="R21" s="65">
        <v>2640.15</v>
      </c>
      <c r="S21" s="66">
        <f t="shared" si="34"/>
        <v>100</v>
      </c>
      <c r="U21" s="67">
        <v>100.0</v>
      </c>
      <c r="V21" s="67">
        <v>1.1023</v>
      </c>
      <c r="Y21" s="57">
        <v>32.0</v>
      </c>
      <c r="Z21" s="69">
        <f t="shared" si="23"/>
        <v>30</v>
      </c>
      <c r="AA21" s="70">
        <f t="shared" si="24"/>
        <v>62</v>
      </c>
      <c r="AB21" s="71">
        <f t="shared" si="25"/>
        <v>166.5283053</v>
      </c>
      <c r="AC21" s="71">
        <f>+(S21-T21)*V21-'data 1'!$F$4</f>
        <v>30.23</v>
      </c>
      <c r="AD21" s="71">
        <f t="shared" si="26"/>
        <v>15.65260106</v>
      </c>
      <c r="AE21" s="71">
        <f t="shared" si="27"/>
        <v>-1.6574</v>
      </c>
      <c r="AF21" s="71">
        <f t="shared" si="28"/>
        <v>-60.22479798</v>
      </c>
      <c r="AG21" s="72">
        <f t="shared" si="29"/>
        <v>1.000403078</v>
      </c>
      <c r="AH21" s="52">
        <f t="shared" si="30"/>
        <v>8.003814448</v>
      </c>
      <c r="AI21" s="73">
        <f t="shared" si="31"/>
        <v>17.79258119</v>
      </c>
      <c r="AJ21" s="73">
        <f t="shared" si="32"/>
        <v>9.096904383</v>
      </c>
      <c r="AK21" s="11"/>
      <c r="AL21" s="115">
        <f t="shared" si="33"/>
        <v>358.4971397</v>
      </c>
      <c r="AM21" s="58"/>
    </row>
    <row r="22" ht="15.75" customHeight="1">
      <c r="A22" s="116" t="s">
        <v>4240</v>
      </c>
      <c r="B22" s="56"/>
      <c r="C22" s="56"/>
      <c r="E22" s="2"/>
      <c r="G22" s="3"/>
      <c r="I22" s="58"/>
      <c r="J22" s="58"/>
      <c r="K22" s="59"/>
      <c r="L22" s="60"/>
      <c r="M22" s="60"/>
      <c r="N22" s="62"/>
      <c r="O22" s="60"/>
      <c r="P22" s="63"/>
      <c r="Q22" s="64"/>
      <c r="R22" s="65"/>
      <c r="S22" s="65"/>
      <c r="U22" s="67"/>
      <c r="V22" s="67"/>
      <c r="Z22" s="69"/>
      <c r="AA22" s="70"/>
      <c r="AB22" s="71"/>
      <c r="AC22" s="71"/>
      <c r="AD22" s="71"/>
      <c r="AE22" s="71"/>
      <c r="AF22" s="71"/>
      <c r="AG22" s="72"/>
      <c r="AH22" s="52"/>
      <c r="AI22" s="73"/>
      <c r="AJ22" s="73"/>
      <c r="AK22" s="11"/>
      <c r="AL22" s="51"/>
      <c r="AM22" s="58"/>
    </row>
    <row r="23" ht="15.75" customHeight="1">
      <c r="A23" s="844" t="s">
        <v>4241</v>
      </c>
      <c r="B23" s="56">
        <v>45650.0</v>
      </c>
      <c r="C23" s="56">
        <v>45633.0</v>
      </c>
      <c r="D23" s="57" t="s">
        <v>74</v>
      </c>
      <c r="E23" s="57">
        <v>1.0082235774E10</v>
      </c>
      <c r="G23" s="3">
        <v>48.0</v>
      </c>
      <c r="H23" s="57" t="s">
        <v>47</v>
      </c>
      <c r="I23" s="58">
        <v>4.52</v>
      </c>
      <c r="J23" s="58">
        <v>1.85</v>
      </c>
      <c r="K23" s="59">
        <f t="shared" ref="K23:K31" si="35">+I23-(I23*(J23/100))</f>
        <v>4.43638</v>
      </c>
      <c r="L23" s="60">
        <v>0.327</v>
      </c>
      <c r="M23" s="60">
        <v>0.322</v>
      </c>
      <c r="N23" s="75">
        <v>0.348</v>
      </c>
      <c r="O23" s="60">
        <f t="shared" ref="O23:O31" si="36">+ROUND((M23+N23)/2,3)</f>
        <v>0.335</v>
      </c>
      <c r="P23" s="63">
        <v>90.0</v>
      </c>
      <c r="Q23" s="64">
        <v>89.75</v>
      </c>
      <c r="R23" s="65">
        <v>2637.3</v>
      </c>
      <c r="S23" s="76">
        <v>110.0</v>
      </c>
      <c r="U23" s="67">
        <v>80.0</v>
      </c>
      <c r="V23" s="67">
        <v>1.1023</v>
      </c>
      <c r="Z23" s="77">
        <v>10.0</v>
      </c>
      <c r="AA23" s="70">
        <f t="shared" ref="AA23:AA31" si="37">+Y23+Z23</f>
        <v>10</v>
      </c>
      <c r="AB23" s="71">
        <f t="shared" ref="AB23:AB31" si="38">+((O23*P23*(R23-U23)/100)-S23-AA23+T23)*V23</f>
        <v>717.6259047</v>
      </c>
      <c r="AC23" s="71">
        <f>+(S23-T23)*V23-'data 1'!$F$4</f>
        <v>41.253</v>
      </c>
      <c r="AD23" s="71">
        <f t="shared" ref="AD23:AD31" si="39">+(Q23-P23)*(R23-U23)*L23*V23/100</f>
        <v>-2.304460388</v>
      </c>
      <c r="AE23" s="71">
        <f t="shared" ref="AE23:AE31" si="40">+(Y23*V23-70)+V23*(Z23-IF(D23="UNTUCA",IF(+((W23-3)*2.5+(X23-3)*3.1)&gt;0,+((W23-3)*1.5+(X23-3)*3.1),0),IF(+((W23-3)*1.5+(X23-3)*3.1)&gt;0,+((W23-3)*1.5+(X23-3)*3.1),0)))</f>
        <v>-58.977</v>
      </c>
      <c r="AF23" s="71">
        <f t="shared" ref="AF23:AF31" si="41">(L23-O23)*(R23-U23)*Q23*V23/100</f>
        <v>-20.23978665</v>
      </c>
      <c r="AG23" s="72">
        <f t="shared" ref="AG23:AG30" si="42">+IF(D23="RONALD WILLIAN GARIBAY ESCUDERO",AC23+AD23+AE23+AF23+70,AC23+AD23+AE23+AF23)+70</f>
        <v>29.73175296</v>
      </c>
      <c r="AH23" s="52">
        <f t="shared" ref="AH23:AH31" si="43">31.1035*L23*Q23*1.1023*K23/100</f>
        <v>44.63957158</v>
      </c>
      <c r="AI23" s="73">
        <f t="shared" ref="AI23:AI31" si="44">+((+$AI$2-R23+U23)*L23*Q23*V23)/100</f>
        <v>42.60570856</v>
      </c>
      <c r="AJ23" s="73">
        <f t="shared" ref="AJ23:AJ31" si="45">31.1035*1.1023*K23*P23*O23/100</f>
        <v>45.85905747</v>
      </c>
      <c r="AK23" s="11"/>
      <c r="AL23" s="51">
        <f t="shared" ref="AL23:AL31" si="46">+IF(AB23*K23&gt;0,AB23*K23,0)</f>
        <v>3183.661211</v>
      </c>
      <c r="AM23" s="58"/>
    </row>
    <row r="24" ht="15.75" customHeight="1">
      <c r="A24" s="844" t="s">
        <v>4242</v>
      </c>
      <c r="B24" s="56">
        <v>45650.0</v>
      </c>
      <c r="C24" s="56">
        <v>45633.0</v>
      </c>
      <c r="D24" s="57" t="s">
        <v>74</v>
      </c>
      <c r="E24" s="57">
        <v>1.0082235774E10</v>
      </c>
      <c r="G24" s="3">
        <v>43.0</v>
      </c>
      <c r="H24" s="57" t="s">
        <v>47</v>
      </c>
      <c r="I24" s="58">
        <v>3.76</v>
      </c>
      <c r="J24" s="58">
        <v>1.75</v>
      </c>
      <c r="K24" s="59">
        <f t="shared" si="35"/>
        <v>3.6942</v>
      </c>
      <c r="L24" s="60">
        <v>0.974</v>
      </c>
      <c r="M24" s="60">
        <v>0.959</v>
      </c>
      <c r="N24" s="75">
        <v>1.015</v>
      </c>
      <c r="O24" s="60">
        <f t="shared" si="36"/>
        <v>0.987</v>
      </c>
      <c r="P24" s="63">
        <v>90.0</v>
      </c>
      <c r="Q24" s="64">
        <v>89.46</v>
      </c>
      <c r="R24" s="65">
        <v>2637.3</v>
      </c>
      <c r="S24" s="76">
        <v>150.0</v>
      </c>
      <c r="U24" s="67">
        <v>80.0</v>
      </c>
      <c r="V24" s="67">
        <v>1.1023</v>
      </c>
      <c r="Z24" s="77">
        <v>10.0</v>
      </c>
      <c r="AA24" s="70">
        <f t="shared" si="37"/>
        <v>10</v>
      </c>
      <c r="AB24" s="71">
        <f t="shared" si="38"/>
        <v>2327.671343</v>
      </c>
      <c r="AC24" s="71">
        <f>+(S24-T24)*V24-'data 1'!$F$4</f>
        <v>85.345</v>
      </c>
      <c r="AD24" s="71">
        <f t="shared" si="39"/>
        <v>-14.82634845</v>
      </c>
      <c r="AE24" s="71">
        <f t="shared" si="40"/>
        <v>-58.977</v>
      </c>
      <c r="AF24" s="71">
        <f t="shared" si="41"/>
        <v>-32.78338034</v>
      </c>
      <c r="AG24" s="72">
        <f t="shared" si="42"/>
        <v>48.75827121</v>
      </c>
      <c r="AH24" s="52">
        <f t="shared" si="43"/>
        <v>110.3614312</v>
      </c>
      <c r="AI24" s="73">
        <f t="shared" si="44"/>
        <v>126.4950215</v>
      </c>
      <c r="AJ24" s="73">
        <f t="shared" si="45"/>
        <v>112.5094846</v>
      </c>
      <c r="AK24" s="11"/>
      <c r="AL24" s="51">
        <f t="shared" si="46"/>
        <v>8598.883476</v>
      </c>
      <c r="AM24" s="58"/>
    </row>
    <row r="25" ht="15.75" customHeight="1">
      <c r="A25" s="844" t="s">
        <v>4243</v>
      </c>
      <c r="B25" s="56">
        <v>45650.0</v>
      </c>
      <c r="C25" s="56">
        <v>45633.0</v>
      </c>
      <c r="D25" s="57" t="s">
        <v>74</v>
      </c>
      <c r="E25" s="57">
        <v>1.0082235774E10</v>
      </c>
      <c r="G25" s="3">
        <v>49.0</v>
      </c>
      <c r="H25" s="57" t="s">
        <v>47</v>
      </c>
      <c r="I25" s="58">
        <v>4.52</v>
      </c>
      <c r="J25" s="58">
        <v>1.95</v>
      </c>
      <c r="K25" s="59">
        <f t="shared" si="35"/>
        <v>4.43186</v>
      </c>
      <c r="L25" s="60">
        <v>0.494</v>
      </c>
      <c r="M25" s="60">
        <v>0.486</v>
      </c>
      <c r="N25" s="75">
        <v>0.669</v>
      </c>
      <c r="O25" s="60">
        <f t="shared" si="36"/>
        <v>0.578</v>
      </c>
      <c r="P25" s="63">
        <v>90.0</v>
      </c>
      <c r="Q25" s="64">
        <v>89.62</v>
      </c>
      <c r="R25" s="65">
        <v>2637.3</v>
      </c>
      <c r="S25" s="96">
        <v>120.0</v>
      </c>
      <c r="U25" s="67">
        <v>80.0</v>
      </c>
      <c r="V25" s="67">
        <v>1.1023</v>
      </c>
      <c r="Z25" s="77">
        <v>10.0</v>
      </c>
      <c r="AA25" s="70">
        <f t="shared" si="37"/>
        <v>10</v>
      </c>
      <c r="AB25" s="71">
        <f t="shared" si="38"/>
        <v>1323.098913</v>
      </c>
      <c r="AC25" s="71">
        <f>+(S25-T25)*V25-'data 1'!$F$4</f>
        <v>52.276</v>
      </c>
      <c r="AD25" s="71">
        <f t="shared" si="39"/>
        <v>-5.291661212</v>
      </c>
      <c r="AE25" s="71">
        <f t="shared" si="40"/>
        <v>-58.977</v>
      </c>
      <c r="AF25" s="71">
        <f t="shared" si="41"/>
        <v>-212.2099347</v>
      </c>
      <c r="AG25" s="72">
        <f t="shared" si="42"/>
        <v>-154.2025959</v>
      </c>
      <c r="AH25" s="52">
        <f t="shared" si="43"/>
        <v>67.27086167</v>
      </c>
      <c r="AI25" s="73">
        <f t="shared" si="44"/>
        <v>64.2713572</v>
      </c>
      <c r="AJ25" s="73">
        <f t="shared" si="45"/>
        <v>79.04337035</v>
      </c>
      <c r="AK25" s="11"/>
      <c r="AL25" s="51">
        <f t="shared" si="46"/>
        <v>5863.789149</v>
      </c>
      <c r="AM25" s="58"/>
    </row>
    <row r="26" ht="15.75" customHeight="1">
      <c r="A26" s="844" t="s">
        <v>4244</v>
      </c>
      <c r="B26" s="56">
        <v>45650.0</v>
      </c>
      <c r="C26" s="56">
        <v>45633.0</v>
      </c>
      <c r="D26" s="57" t="s">
        <v>74</v>
      </c>
      <c r="E26" s="57">
        <v>1.0082235774E10</v>
      </c>
      <c r="G26" s="3">
        <v>47.0</v>
      </c>
      <c r="H26" s="57" t="s">
        <v>47</v>
      </c>
      <c r="I26" s="58">
        <v>4.35</v>
      </c>
      <c r="J26" s="58">
        <v>1.7</v>
      </c>
      <c r="K26" s="59">
        <f t="shared" si="35"/>
        <v>4.27605</v>
      </c>
      <c r="L26" s="60">
        <v>0.452</v>
      </c>
      <c r="M26" s="60">
        <v>0.445</v>
      </c>
      <c r="N26" s="75">
        <v>0.49</v>
      </c>
      <c r="O26" s="60">
        <f t="shared" si="36"/>
        <v>0.468</v>
      </c>
      <c r="P26" s="63">
        <v>90.0</v>
      </c>
      <c r="Q26" s="64">
        <v>89.32</v>
      </c>
      <c r="R26" s="65">
        <v>2637.3</v>
      </c>
      <c r="S26" s="76">
        <v>115.0</v>
      </c>
      <c r="U26" s="67">
        <v>80.0</v>
      </c>
      <c r="V26" s="67">
        <v>1.1023</v>
      </c>
      <c r="Z26" s="77">
        <v>10.0</v>
      </c>
      <c r="AA26" s="70">
        <f t="shared" si="37"/>
        <v>10</v>
      </c>
      <c r="AB26" s="71">
        <f t="shared" si="38"/>
        <v>1049.538146</v>
      </c>
      <c r="AC26" s="71">
        <f>+(S26-T26)*V26-'data 1'!$F$4</f>
        <v>46.7645</v>
      </c>
      <c r="AD26" s="71">
        <f t="shared" si="39"/>
        <v>-8.664207278</v>
      </c>
      <c r="AE26" s="71">
        <f t="shared" si="40"/>
        <v>-58.977</v>
      </c>
      <c r="AF26" s="71">
        <f t="shared" si="41"/>
        <v>-40.28563217</v>
      </c>
      <c r="AG26" s="72">
        <f t="shared" si="42"/>
        <v>8.837660549</v>
      </c>
      <c r="AH26" s="52">
        <f t="shared" si="43"/>
        <v>59.18872615</v>
      </c>
      <c r="AI26" s="73">
        <f t="shared" si="44"/>
        <v>58.61013633</v>
      </c>
      <c r="AJ26" s="73">
        <f t="shared" si="45"/>
        <v>61.75046134</v>
      </c>
      <c r="AK26" s="11"/>
      <c r="AL26" s="51">
        <f t="shared" si="46"/>
        <v>4487.877589</v>
      </c>
      <c r="AM26" s="58"/>
    </row>
    <row r="27" ht="15.75" customHeight="1">
      <c r="A27" s="844" t="s">
        <v>4245</v>
      </c>
      <c r="B27" s="56">
        <v>45650.0</v>
      </c>
      <c r="C27" s="56">
        <v>45633.0</v>
      </c>
      <c r="D27" s="57" t="s">
        <v>74</v>
      </c>
      <c r="E27" s="57">
        <v>1.0082235774E10</v>
      </c>
      <c r="G27" s="3">
        <v>50.0</v>
      </c>
      <c r="H27" s="57" t="s">
        <v>47</v>
      </c>
      <c r="I27" s="58">
        <v>4.55</v>
      </c>
      <c r="J27" s="58">
        <v>1.75</v>
      </c>
      <c r="K27" s="59">
        <f t="shared" si="35"/>
        <v>4.470375</v>
      </c>
      <c r="L27" s="60">
        <v>0.498</v>
      </c>
      <c r="M27" s="60">
        <v>0.49</v>
      </c>
      <c r="N27" s="75">
        <v>0.528</v>
      </c>
      <c r="O27" s="60">
        <f t="shared" si="36"/>
        <v>0.509</v>
      </c>
      <c r="P27" s="63">
        <v>90.0</v>
      </c>
      <c r="Q27" s="64">
        <v>89.41</v>
      </c>
      <c r="R27" s="65">
        <v>2637.3</v>
      </c>
      <c r="S27" s="96">
        <v>120.0</v>
      </c>
      <c r="U27" s="67">
        <v>80.0</v>
      </c>
      <c r="V27" s="67">
        <v>1.1023</v>
      </c>
      <c r="Z27" s="77">
        <v>10.0</v>
      </c>
      <c r="AA27" s="70">
        <f t="shared" si="37"/>
        <v>10</v>
      </c>
      <c r="AB27" s="71">
        <f t="shared" si="38"/>
        <v>1148.044491</v>
      </c>
      <c r="AC27" s="71">
        <f>+(S27-T27)*V27-'data 1'!$F$4</f>
        <v>52.276</v>
      </c>
      <c r="AD27" s="71">
        <f t="shared" si="39"/>
        <v>-8.282526621</v>
      </c>
      <c r="AE27" s="71">
        <f t="shared" si="40"/>
        <v>-58.977</v>
      </c>
      <c r="AF27" s="71">
        <f t="shared" si="41"/>
        <v>-27.72427935</v>
      </c>
      <c r="AG27" s="72">
        <f t="shared" si="42"/>
        <v>27.29219403</v>
      </c>
      <c r="AH27" s="52">
        <f t="shared" si="43"/>
        <v>68.24462672</v>
      </c>
      <c r="AI27" s="73">
        <f t="shared" si="44"/>
        <v>64.63995122</v>
      </c>
      <c r="AJ27" s="73">
        <f t="shared" si="45"/>
        <v>70.21231891</v>
      </c>
      <c r="AK27" s="11"/>
      <c r="AL27" s="51">
        <f t="shared" si="46"/>
        <v>5132.189391</v>
      </c>
      <c r="AM27" s="58"/>
    </row>
    <row r="28" ht="15.75" customHeight="1">
      <c r="A28" s="844" t="s">
        <v>4246</v>
      </c>
      <c r="B28" s="56">
        <v>45650.0</v>
      </c>
      <c r="C28" s="56">
        <v>45633.0</v>
      </c>
      <c r="D28" s="57" t="s">
        <v>74</v>
      </c>
      <c r="E28" s="57">
        <v>1.0082235774E10</v>
      </c>
      <c r="G28" s="3">
        <v>51.0</v>
      </c>
      <c r="H28" s="57" t="s">
        <v>47</v>
      </c>
      <c r="I28" s="58">
        <v>4.35</v>
      </c>
      <c r="J28" s="58">
        <v>1.7</v>
      </c>
      <c r="K28" s="59">
        <f t="shared" si="35"/>
        <v>4.27605</v>
      </c>
      <c r="L28" s="60">
        <v>0.444</v>
      </c>
      <c r="M28" s="60">
        <v>0.437</v>
      </c>
      <c r="N28" s="62">
        <v>0.437</v>
      </c>
      <c r="O28" s="60">
        <f t="shared" si="36"/>
        <v>0.437</v>
      </c>
      <c r="P28" s="63">
        <v>90.0</v>
      </c>
      <c r="Q28" s="64">
        <v>89.29</v>
      </c>
      <c r="R28" s="65">
        <v>2637.3</v>
      </c>
      <c r="S28" s="76">
        <v>115.0</v>
      </c>
      <c r="U28" s="67">
        <v>80.0</v>
      </c>
      <c r="V28" s="67">
        <v>1.1023</v>
      </c>
      <c r="Z28" s="77">
        <v>10.0</v>
      </c>
      <c r="AA28" s="70">
        <f t="shared" si="37"/>
        <v>10</v>
      </c>
      <c r="AB28" s="71">
        <f t="shared" si="38"/>
        <v>970.890507</v>
      </c>
      <c r="AC28" s="71">
        <f>+(S28-T28)*V28-'data 1'!$F$4</f>
        <v>46.7645</v>
      </c>
      <c r="AD28" s="71">
        <f t="shared" si="39"/>
        <v>-8.886337527</v>
      </c>
      <c r="AE28" s="71">
        <f t="shared" si="40"/>
        <v>-58.977</v>
      </c>
      <c r="AF28" s="71">
        <f t="shared" si="41"/>
        <v>17.61904436</v>
      </c>
      <c r="AG28" s="72">
        <f t="shared" si="42"/>
        <v>66.52020683</v>
      </c>
      <c r="AH28" s="52">
        <f t="shared" si="43"/>
        <v>58.12161015</v>
      </c>
      <c r="AI28" s="73">
        <f t="shared" si="44"/>
        <v>57.55345175</v>
      </c>
      <c r="AJ28" s="73">
        <f t="shared" si="45"/>
        <v>57.660153</v>
      </c>
      <c r="AK28" s="11"/>
      <c r="AL28" s="51">
        <f t="shared" si="46"/>
        <v>4151.576352</v>
      </c>
      <c r="AM28" s="58"/>
    </row>
    <row r="29" ht="15.75" customHeight="1">
      <c r="A29" s="844" t="s">
        <v>4247</v>
      </c>
      <c r="B29" s="56">
        <v>45650.0</v>
      </c>
      <c r="C29" s="56">
        <v>45633.0</v>
      </c>
      <c r="D29" s="68" t="s">
        <v>74</v>
      </c>
      <c r="E29" s="57">
        <v>1.0082235774E10</v>
      </c>
      <c r="G29" s="3">
        <v>53.0</v>
      </c>
      <c r="H29" s="57" t="s">
        <v>47</v>
      </c>
      <c r="I29" s="58">
        <v>4.47</v>
      </c>
      <c r="J29" s="58">
        <v>1.95</v>
      </c>
      <c r="K29" s="59">
        <f t="shared" si="35"/>
        <v>4.382835</v>
      </c>
      <c r="L29" s="60">
        <v>0.537</v>
      </c>
      <c r="M29" s="60">
        <v>0.528</v>
      </c>
      <c r="N29" s="62">
        <v>0.528</v>
      </c>
      <c r="O29" s="60">
        <f t="shared" si="36"/>
        <v>0.528</v>
      </c>
      <c r="P29" s="63">
        <v>90.0</v>
      </c>
      <c r="Q29" s="64">
        <v>89.84</v>
      </c>
      <c r="R29" s="65">
        <v>2637.3</v>
      </c>
      <c r="S29" s="76">
        <v>120.0</v>
      </c>
      <c r="U29" s="67">
        <v>80.0</v>
      </c>
      <c r="V29" s="67">
        <v>1.1023</v>
      </c>
      <c r="Z29" s="77">
        <v>10.0</v>
      </c>
      <c r="AA29" s="70">
        <f t="shared" si="37"/>
        <v>10</v>
      </c>
      <c r="AB29" s="71">
        <f t="shared" si="38"/>
        <v>1196.247883</v>
      </c>
      <c r="AC29" s="71">
        <f>+(S29-T29)*V29-'data 1'!$F$4</f>
        <v>52.276</v>
      </c>
      <c r="AD29" s="71">
        <f t="shared" si="39"/>
        <v>-2.42200901</v>
      </c>
      <c r="AE29" s="71">
        <f t="shared" si="40"/>
        <v>-58.977</v>
      </c>
      <c r="AF29" s="71">
        <f t="shared" si="41"/>
        <v>22.79259317</v>
      </c>
      <c r="AG29" s="72">
        <f t="shared" si="42"/>
        <v>83.66958416</v>
      </c>
      <c r="AH29" s="52">
        <f t="shared" si="43"/>
        <v>72.49502757</v>
      </c>
      <c r="AI29" s="73">
        <f t="shared" si="44"/>
        <v>70.03733484</v>
      </c>
      <c r="AJ29" s="73">
        <f t="shared" si="45"/>
        <v>71.40697284</v>
      </c>
      <c r="AK29" s="11"/>
      <c r="AL29" s="51">
        <f t="shared" si="46"/>
        <v>5242.957089</v>
      </c>
      <c r="AM29" s="58"/>
    </row>
    <row r="30" ht="15.75" customHeight="1">
      <c r="A30" s="844" t="s">
        <v>4248</v>
      </c>
      <c r="B30" s="56">
        <v>45650.0</v>
      </c>
      <c r="C30" s="56">
        <v>45633.0</v>
      </c>
      <c r="D30" s="57" t="s">
        <v>74</v>
      </c>
      <c r="E30" s="57">
        <v>1.0082235774E10</v>
      </c>
      <c r="G30" s="3">
        <v>57.0</v>
      </c>
      <c r="H30" s="57" t="s">
        <v>47</v>
      </c>
      <c r="I30" s="58">
        <v>5.06</v>
      </c>
      <c r="J30" s="58">
        <v>1.75</v>
      </c>
      <c r="K30" s="59">
        <f t="shared" si="35"/>
        <v>4.97145</v>
      </c>
      <c r="L30" s="60">
        <v>0.25</v>
      </c>
      <c r="M30" s="60">
        <v>0.246</v>
      </c>
      <c r="N30" s="75">
        <v>0.269</v>
      </c>
      <c r="O30" s="60">
        <f t="shared" si="36"/>
        <v>0.258</v>
      </c>
      <c r="P30" s="63">
        <v>85.0</v>
      </c>
      <c r="Q30" s="64">
        <v>89.38</v>
      </c>
      <c r="R30" s="65">
        <v>2637.3</v>
      </c>
      <c r="S30" s="76">
        <v>105.0</v>
      </c>
      <c r="U30" s="67">
        <v>80.0</v>
      </c>
      <c r="V30" s="67">
        <v>1.1023</v>
      </c>
      <c r="Z30" s="77">
        <v>10.0</v>
      </c>
      <c r="AA30" s="70">
        <f t="shared" si="37"/>
        <v>10</v>
      </c>
      <c r="AB30" s="71">
        <f t="shared" si="38"/>
        <v>491.4228555</v>
      </c>
      <c r="AC30" s="71">
        <f>+(S30-T30)*V30-'data 1'!$F$4</f>
        <v>35.7415</v>
      </c>
      <c r="AD30" s="71">
        <f t="shared" si="39"/>
        <v>30.8670841</v>
      </c>
      <c r="AE30" s="71">
        <f t="shared" si="40"/>
        <v>-58.977</v>
      </c>
      <c r="AF30" s="71">
        <f t="shared" si="41"/>
        <v>-20.15634686</v>
      </c>
      <c r="AG30" s="72">
        <f t="shared" si="42"/>
        <v>57.47523724</v>
      </c>
      <c r="AH30" s="52">
        <f t="shared" si="43"/>
        <v>38.08662625</v>
      </c>
      <c r="AI30" s="73">
        <f t="shared" si="44"/>
        <v>32.43888674</v>
      </c>
      <c r="AJ30" s="73">
        <f t="shared" si="45"/>
        <v>37.37926667</v>
      </c>
      <c r="AK30" s="11"/>
      <c r="AL30" s="51">
        <f t="shared" si="46"/>
        <v>2443.084155</v>
      </c>
      <c r="AM30" s="58"/>
    </row>
    <row r="31" ht="15.75" customHeight="1">
      <c r="A31" s="844" t="s">
        <v>4249</v>
      </c>
      <c r="B31" s="56">
        <v>45642.0</v>
      </c>
      <c r="C31" s="56">
        <v>45633.0</v>
      </c>
      <c r="D31" s="57" t="s">
        <v>53</v>
      </c>
      <c r="E31" s="57">
        <v>1.0457401928E10</v>
      </c>
      <c r="G31" s="3">
        <v>47.0</v>
      </c>
      <c r="H31" s="57" t="s">
        <v>71</v>
      </c>
      <c r="I31" s="58">
        <v>3.61</v>
      </c>
      <c r="J31" s="58">
        <v>22.55</v>
      </c>
      <c r="K31" s="59">
        <f t="shared" si="35"/>
        <v>2.795945</v>
      </c>
      <c r="L31" s="60">
        <v>0.309</v>
      </c>
      <c r="M31" s="60">
        <v>0.297</v>
      </c>
      <c r="N31" s="62">
        <v>0.297</v>
      </c>
      <c r="O31" s="60">
        <f t="shared" si="36"/>
        <v>0.297</v>
      </c>
      <c r="P31" s="63">
        <v>90.0</v>
      </c>
      <c r="Q31" s="64">
        <v>89.82</v>
      </c>
      <c r="R31" s="65">
        <v>2637.3</v>
      </c>
      <c r="S31" s="66">
        <f>IF((90+ROUNDDOWN(O31,1)*100)&lt;95,95,(90+ROUNDDOWN(O31,1)*100))</f>
        <v>110</v>
      </c>
      <c r="U31" s="67">
        <v>100.0</v>
      </c>
      <c r="V31" s="67">
        <v>1.1023</v>
      </c>
      <c r="Y31" s="57">
        <v>10.0</v>
      </c>
      <c r="Z31" s="69">
        <f>IF(IF(D31="UNTUCA",IF(+((W31-3)*1.5+(X31-3)*3.1)&gt;0,+((W31-3)*1.5+(X31-3)*3.1),0),IF(+((W31-3)*1.5+(X31-3)*3.1)&gt;0,+((W31-3)*1.5+(X31-3)*3.1),0))&lt;30,30,IF(D31="UNTUCA",IF(+((W31-3)*1.5+(X31-3)*3.1)&gt;0,+((W31-3)*1.5+(X31-3)*3.1),0),IF(+((W31-3)*1.5+(X31-3)*3.1)&gt;0,+((W31-3)*1.5+(X31-3)*3.1),0)))</f>
        <v>30</v>
      </c>
      <c r="AA31" s="70">
        <f t="shared" si="37"/>
        <v>40</v>
      </c>
      <c r="AB31" s="71">
        <f t="shared" si="38"/>
        <v>582.2572257</v>
      </c>
      <c r="AC31" s="71">
        <f>+(S31-T31)*V31-'data 1'!$F$4</f>
        <v>41.253</v>
      </c>
      <c r="AD31" s="71">
        <f t="shared" si="39"/>
        <v>-1.555616752</v>
      </c>
      <c r="AE31" s="71">
        <f t="shared" si="40"/>
        <v>-25.908</v>
      </c>
      <c r="AF31" s="71">
        <f t="shared" si="41"/>
        <v>30.14573823</v>
      </c>
      <c r="AG31" s="72">
        <f>+IF(D31="RONALD WILLIAN GARIBAY ESCUDERO",AC31+AD31+AE31+AF31+70,AC31+AD31+AE31+AF31)+70-53</f>
        <v>60.93512148</v>
      </c>
      <c r="AH31" s="52">
        <f t="shared" si="43"/>
        <v>26.60536512</v>
      </c>
      <c r="AI31" s="73">
        <f t="shared" si="44"/>
        <v>46.41057171</v>
      </c>
      <c r="AJ31" s="73">
        <f t="shared" si="45"/>
        <v>25.62339385</v>
      </c>
      <c r="AK31" s="11"/>
      <c r="AL31" s="51">
        <f t="shared" si="46"/>
        <v>1627.959179</v>
      </c>
      <c r="AM31" s="58"/>
    </row>
    <row r="32" ht="15.75" customHeight="1">
      <c r="A32" s="116" t="s">
        <v>4250</v>
      </c>
      <c r="B32" s="56"/>
      <c r="C32" s="56"/>
      <c r="G32" s="3"/>
      <c r="I32" s="58"/>
      <c r="J32" s="58"/>
      <c r="K32" s="59"/>
      <c r="L32" s="79"/>
      <c r="M32" s="79"/>
      <c r="N32" s="79"/>
      <c r="O32" s="79"/>
      <c r="P32" s="63"/>
      <c r="Q32" s="64"/>
      <c r="R32" s="65"/>
      <c r="S32" s="76"/>
      <c r="U32" s="67"/>
      <c r="V32" s="67"/>
      <c r="Z32" s="69"/>
      <c r="AA32" s="70"/>
      <c r="AB32" s="71"/>
      <c r="AC32" s="71"/>
      <c r="AD32" s="71"/>
      <c r="AE32" s="71"/>
      <c r="AF32" s="71"/>
      <c r="AG32" s="72"/>
      <c r="AH32" s="52"/>
      <c r="AI32" s="73"/>
      <c r="AJ32" s="73"/>
      <c r="AK32" s="11"/>
      <c r="AL32" s="51"/>
      <c r="AM32" s="58"/>
    </row>
    <row r="33" ht="15.75" customHeight="1">
      <c r="A33" s="116" t="s">
        <v>4251</v>
      </c>
      <c r="B33" s="56"/>
      <c r="C33" s="56"/>
      <c r="G33" s="3"/>
      <c r="I33" s="58"/>
      <c r="J33" s="58"/>
      <c r="K33" s="59"/>
      <c r="L33" s="79"/>
      <c r="M33" s="79"/>
      <c r="N33" s="79"/>
      <c r="O33" s="79"/>
      <c r="P33" s="63"/>
      <c r="Q33" s="64"/>
      <c r="R33" s="65"/>
      <c r="S33" s="76"/>
      <c r="U33" s="67"/>
      <c r="V33" s="67"/>
      <c r="Z33" s="69"/>
      <c r="AA33" s="70"/>
      <c r="AB33" s="71"/>
      <c r="AC33" s="71"/>
      <c r="AD33" s="71"/>
      <c r="AE33" s="71"/>
      <c r="AF33" s="71"/>
      <c r="AG33" s="72"/>
      <c r="AH33" s="52"/>
      <c r="AI33" s="73"/>
      <c r="AJ33" s="73"/>
      <c r="AK33" s="11"/>
      <c r="AL33" s="51"/>
      <c r="AM33" s="58"/>
    </row>
    <row r="34" ht="15.75" customHeight="1">
      <c r="A34" s="844" t="s">
        <v>4252</v>
      </c>
      <c r="B34" s="56">
        <v>45641.0</v>
      </c>
      <c r="C34" s="56">
        <v>45634.0</v>
      </c>
      <c r="D34" s="57" t="s">
        <v>45</v>
      </c>
      <c r="E34" s="67">
        <v>1.0416085884E10</v>
      </c>
      <c r="G34" s="3" t="s">
        <v>4100</v>
      </c>
      <c r="H34" s="57" t="s">
        <v>47</v>
      </c>
      <c r="I34" s="58">
        <v>30.35</v>
      </c>
      <c r="J34" s="58">
        <v>7.0</v>
      </c>
      <c r="K34" s="59">
        <f t="shared" ref="K34:K40" si="47">+I34-(I34*(J34/100))</f>
        <v>28.2255</v>
      </c>
      <c r="L34" s="60">
        <v>0.16</v>
      </c>
      <c r="M34" s="60">
        <v>0.15</v>
      </c>
      <c r="N34" s="75">
        <v>0.162</v>
      </c>
      <c r="O34" s="60">
        <f t="shared" ref="O34:O40" si="48">+ROUND((M34+N34)/2,3)</f>
        <v>0.156</v>
      </c>
      <c r="P34" s="63">
        <v>90.0</v>
      </c>
      <c r="Q34" s="64">
        <v>89.73</v>
      </c>
      <c r="R34" s="65">
        <v>2637.3</v>
      </c>
      <c r="S34" s="96">
        <v>85.0</v>
      </c>
      <c r="U34" s="67">
        <v>90.0</v>
      </c>
      <c r="V34" s="67">
        <v>1.1023</v>
      </c>
      <c r="Z34" s="846">
        <v>15.0</v>
      </c>
      <c r="AA34" s="70">
        <f t="shared" ref="AA34:AA40" si="49">+Y34+Z34</f>
        <v>15</v>
      </c>
      <c r="AB34" s="71">
        <f t="shared" ref="AB34:AB40" si="50">+((O34*P34*(R34-U34)/100)-S34-AA34+T34)*V34</f>
        <v>283.9975861</v>
      </c>
      <c r="AC34" s="71">
        <f>+(S34-T34)*V34-'data 1'!$F$4</f>
        <v>13.6955</v>
      </c>
      <c r="AD34" s="71">
        <f t="shared" ref="AD34:AD40" si="51">+(Q34-P34)*(R34-U34)*L34*V34/100</f>
        <v>-1.213007957</v>
      </c>
      <c r="AE34" s="71">
        <f t="shared" ref="AE34:AE40" si="52">+(Y34*V34-70)+V34*(Z34-IF(D34="UNTUCA",IF(+((W34-3)*2.5+(X34-3)*3.1)&gt;0,+((W34-3)*1.5+(X34-3)*3.1),0),IF(+((W34-3)*1.5+(X34-3)*3.1)&gt;0,+((W34-3)*1.5+(X34-3)*3.1),0)))</f>
        <v>-53.4655</v>
      </c>
      <c r="AF34" s="71">
        <f t="shared" ref="AF34:AF40" si="53">(L34-O34)*(R34-U34)*Q34*V34/100</f>
        <v>10.07807445</v>
      </c>
      <c r="AG34" s="72">
        <f>+IF(D34="RONALD WILLIAN GARIBAY ESCUDERO",AC34+AD34+AE34+AF34+70,AC34+AD34+AE34+AF34)+70-10</f>
        <v>29.09506649</v>
      </c>
      <c r="AH34" s="52">
        <f t="shared" ref="AH34:AH40" si="54">31.1035*L34*Q34*1.1023*K34/100</f>
        <v>138.9339437</v>
      </c>
      <c r="AI34" s="73">
        <f t="shared" ref="AI34:AI40" si="55">+((+$AI$2-R34+U34)*L34*Q34*V34)/100</f>
        <v>22.42473441</v>
      </c>
      <c r="AJ34" s="73">
        <f t="shared" ref="AJ34:AJ40" si="56">31.1035*1.1023*K34*P34*O34/100</f>
        <v>135.8681997</v>
      </c>
      <c r="AK34" s="11"/>
      <c r="AL34" s="51">
        <f t="shared" ref="AL34:AL40" si="57">+IF(AB34*K34&gt;0,AB34*K34,0)</f>
        <v>8015.973867</v>
      </c>
      <c r="AM34" s="58"/>
    </row>
    <row r="35" ht="15.75" customHeight="1">
      <c r="A35" s="844" t="s">
        <v>4253</v>
      </c>
      <c r="B35" s="56">
        <v>45637.0</v>
      </c>
      <c r="C35" s="56">
        <v>45634.0</v>
      </c>
      <c r="D35" s="57" t="s">
        <v>3796</v>
      </c>
      <c r="E35" s="57">
        <v>2.0611739509E10</v>
      </c>
      <c r="G35" s="3">
        <v>25.0</v>
      </c>
      <c r="H35" s="57" t="s">
        <v>47</v>
      </c>
      <c r="I35" s="58">
        <v>2.02</v>
      </c>
      <c r="J35" s="58">
        <v>2.15</v>
      </c>
      <c r="K35" s="59">
        <f t="shared" si="47"/>
        <v>1.97657</v>
      </c>
      <c r="L35" s="60">
        <v>0.574</v>
      </c>
      <c r="M35" s="60">
        <v>0.551</v>
      </c>
      <c r="N35" s="62">
        <v>0.551</v>
      </c>
      <c r="O35" s="60">
        <f t="shared" si="48"/>
        <v>0.551</v>
      </c>
      <c r="P35" s="63">
        <v>90.0</v>
      </c>
      <c r="Q35" s="64">
        <v>89.22</v>
      </c>
      <c r="R35" s="65">
        <v>2670.45</v>
      </c>
      <c r="S35" s="76">
        <v>130.0</v>
      </c>
      <c r="U35" s="67">
        <v>100.0</v>
      </c>
      <c r="V35" s="67">
        <v>1.1023</v>
      </c>
      <c r="Y35" s="57">
        <v>10.0</v>
      </c>
      <c r="Z35" s="69">
        <f t="shared" ref="Z35:Z40" si="58">IF(IF(D35="UNTUCA",IF(+((W35-3)*1.5+(X35-3)*3.1)&gt;0,+((W35-3)*1.5+(X35-3)*3.1),0),IF(+((W35-3)*1.5+(X35-3)*3.1)&gt;0,+((W35-3)*1.5+(X35-3)*3.1),0))&lt;30,30,IF(D35="UNTUCA",IF(+((W35-3)*1.5+(X35-3)*3.1)&gt;0,+((W35-3)*1.5+(X35-3)*3.1),0),IF(+((W35-3)*1.5+(X35-3)*3.1)&gt;0,+((W35-3)*1.5+(X35-3)*3.1),0)))</f>
        <v>30</v>
      </c>
      <c r="AA35" s="70">
        <f t="shared" si="49"/>
        <v>40</v>
      </c>
      <c r="AB35" s="71">
        <f t="shared" si="50"/>
        <v>1217.695549</v>
      </c>
      <c r="AC35" s="71">
        <f>+(S35-T35)*V35-'data 1'!$F$4</f>
        <v>63.299</v>
      </c>
      <c r="AD35" s="71">
        <f t="shared" si="51"/>
        <v>-12.68572998</v>
      </c>
      <c r="AE35" s="71">
        <f t="shared" si="52"/>
        <v>-25.908</v>
      </c>
      <c r="AF35" s="71">
        <f t="shared" si="53"/>
        <v>58.1432124</v>
      </c>
      <c r="AG35" s="72">
        <f>+IF(D35="RONALD WILLIAN GARIBAY ESCUDERO",AC35+AD35+AE35+AF35+70,AC35+AD35+AE35+AF35)</f>
        <v>82.84848243</v>
      </c>
      <c r="AH35" s="52">
        <f t="shared" si="54"/>
        <v>34.70526621</v>
      </c>
      <c r="AI35" s="73">
        <f t="shared" si="55"/>
        <v>66.9230117</v>
      </c>
      <c r="AJ35" s="73">
        <f t="shared" si="56"/>
        <v>33.6058881</v>
      </c>
      <c r="AK35" s="11"/>
      <c r="AL35" s="51">
        <f t="shared" si="57"/>
        <v>2406.860491</v>
      </c>
      <c r="AM35" s="58"/>
    </row>
    <row r="36" ht="15.75" customHeight="1">
      <c r="A36" s="844" t="s">
        <v>4254</v>
      </c>
      <c r="B36" s="56">
        <v>45639.0</v>
      </c>
      <c r="C36" s="56">
        <v>45634.0</v>
      </c>
      <c r="D36" s="57" t="s">
        <v>63</v>
      </c>
      <c r="E36" s="2">
        <v>1.0437450094E10</v>
      </c>
      <c r="G36" s="3">
        <v>30.0</v>
      </c>
      <c r="H36" s="57" t="s">
        <v>47</v>
      </c>
      <c r="I36" s="58">
        <v>2.55</v>
      </c>
      <c r="J36" s="58">
        <v>1.1</v>
      </c>
      <c r="K36" s="59">
        <f t="shared" si="47"/>
        <v>2.52195</v>
      </c>
      <c r="L36" s="60">
        <v>0.116</v>
      </c>
      <c r="M36" s="60">
        <v>0.106</v>
      </c>
      <c r="N36" s="62">
        <v>0.106</v>
      </c>
      <c r="O36" s="60">
        <f t="shared" si="48"/>
        <v>0.106</v>
      </c>
      <c r="P36" s="63">
        <v>85.0</v>
      </c>
      <c r="Q36" s="64">
        <v>89.79</v>
      </c>
      <c r="R36" s="65">
        <v>2670.45</v>
      </c>
      <c r="S36" s="76">
        <v>95.0</v>
      </c>
      <c r="U36" s="67">
        <v>100.0</v>
      </c>
      <c r="V36" s="67">
        <v>1.1023</v>
      </c>
      <c r="Y36" s="57">
        <v>10.0</v>
      </c>
      <c r="Z36" s="69">
        <f t="shared" si="58"/>
        <v>30</v>
      </c>
      <c r="AA36" s="70">
        <f t="shared" si="49"/>
        <v>40</v>
      </c>
      <c r="AB36" s="71">
        <f t="shared" si="50"/>
        <v>106.4794739</v>
      </c>
      <c r="AC36" s="71">
        <f>+(S36-T36)*V36-'data 1'!$F$4</f>
        <v>24.7185</v>
      </c>
      <c r="AD36" s="71">
        <f t="shared" si="51"/>
        <v>15.74354285</v>
      </c>
      <c r="AE36" s="71">
        <f t="shared" si="52"/>
        <v>-25.908</v>
      </c>
      <c r="AF36" s="71">
        <f t="shared" si="53"/>
        <v>25.44116177</v>
      </c>
      <c r="AG36" s="72">
        <f t="shared" ref="AG36:AG37" si="59">+IF(D36="RONALD WILLIAN GARIBAY ESCUDERO",AC36+AD36+AE36+AF36+70,AC36+AD36+AE36+AF36)+70-53</f>
        <v>56.99520462</v>
      </c>
      <c r="AH36" s="52">
        <f t="shared" si="54"/>
        <v>9.005990865</v>
      </c>
      <c r="AI36" s="73">
        <f t="shared" si="55"/>
        <v>13.61091515</v>
      </c>
      <c r="AJ36" s="73">
        <f t="shared" si="56"/>
        <v>7.790589699</v>
      </c>
      <c r="AK36" s="11"/>
      <c r="AL36" s="115">
        <f t="shared" si="57"/>
        <v>268.5359091</v>
      </c>
      <c r="AM36" s="58"/>
    </row>
    <row r="37" ht="15.75" customHeight="1">
      <c r="A37" s="844" t="s">
        <v>4255</v>
      </c>
      <c r="B37" s="56">
        <v>45639.0</v>
      </c>
      <c r="C37" s="56">
        <v>45634.0</v>
      </c>
      <c r="D37" s="57" t="s">
        <v>63</v>
      </c>
      <c r="E37" s="2">
        <v>1.0437450094E10</v>
      </c>
      <c r="G37" s="3">
        <v>35.0</v>
      </c>
      <c r="H37" s="57" t="s">
        <v>47</v>
      </c>
      <c r="I37" s="58">
        <v>3.16</v>
      </c>
      <c r="J37" s="58">
        <v>1.4</v>
      </c>
      <c r="K37" s="59">
        <f t="shared" si="47"/>
        <v>3.11576</v>
      </c>
      <c r="L37" s="847">
        <v>0.295</v>
      </c>
      <c r="M37" s="847">
        <v>0.295</v>
      </c>
      <c r="N37" s="848">
        <v>0.295</v>
      </c>
      <c r="O37" s="60">
        <f t="shared" si="48"/>
        <v>0.295</v>
      </c>
      <c r="P37" s="63">
        <v>90.0</v>
      </c>
      <c r="Q37" s="64">
        <v>89.82</v>
      </c>
      <c r="R37" s="65">
        <v>2670.45</v>
      </c>
      <c r="S37" s="76">
        <v>100.0</v>
      </c>
      <c r="U37" s="67">
        <v>110.0</v>
      </c>
      <c r="V37" s="67">
        <v>1.1023</v>
      </c>
      <c r="Y37" s="57">
        <v>10.0</v>
      </c>
      <c r="Z37" s="69">
        <f t="shared" si="58"/>
        <v>30</v>
      </c>
      <c r="AA37" s="70">
        <f t="shared" si="49"/>
        <v>40</v>
      </c>
      <c r="AB37" s="71">
        <f t="shared" si="50"/>
        <v>595.0209613</v>
      </c>
      <c r="AC37" s="71">
        <f>+(S37-T37)*V37-'data 1'!$F$4</f>
        <v>30.23</v>
      </c>
      <c r="AD37" s="71">
        <f t="shared" si="51"/>
        <v>-1.498685923</v>
      </c>
      <c r="AE37" s="71">
        <f t="shared" si="52"/>
        <v>-25.908</v>
      </c>
      <c r="AF37" s="71">
        <f t="shared" si="53"/>
        <v>0</v>
      </c>
      <c r="AG37" s="72">
        <f t="shared" si="59"/>
        <v>19.82331408</v>
      </c>
      <c r="AH37" s="52">
        <f t="shared" si="54"/>
        <v>28.3053242</v>
      </c>
      <c r="AI37" s="73">
        <f t="shared" si="55"/>
        <v>37.5462835</v>
      </c>
      <c r="AJ37" s="73">
        <f t="shared" si="56"/>
        <v>28.3620483</v>
      </c>
      <c r="AK37" s="11"/>
      <c r="AL37" s="115">
        <f t="shared" si="57"/>
        <v>1853.94251</v>
      </c>
      <c r="AM37" s="58"/>
    </row>
    <row r="38" ht="15.75" customHeight="1">
      <c r="A38" s="844" t="s">
        <v>4256</v>
      </c>
      <c r="B38" s="56">
        <v>45638.0</v>
      </c>
      <c r="C38" s="56">
        <v>45634.0</v>
      </c>
      <c r="D38" s="57" t="s">
        <v>63</v>
      </c>
      <c r="E38" s="2">
        <v>1.0437450094E10</v>
      </c>
      <c r="G38" s="3">
        <v>71.0</v>
      </c>
      <c r="H38" s="57" t="s">
        <v>47</v>
      </c>
      <c r="I38" s="58">
        <v>6.73</v>
      </c>
      <c r="J38" s="58">
        <v>1.9</v>
      </c>
      <c r="K38" s="59">
        <f t="shared" si="47"/>
        <v>6.60213</v>
      </c>
      <c r="L38" s="60">
        <v>0.634</v>
      </c>
      <c r="M38" s="60">
        <v>0.609</v>
      </c>
      <c r="N38" s="62">
        <v>0.652</v>
      </c>
      <c r="O38" s="60">
        <f t="shared" si="48"/>
        <v>0.631</v>
      </c>
      <c r="P38" s="63">
        <v>90.0</v>
      </c>
      <c r="Q38" s="64">
        <v>89.19</v>
      </c>
      <c r="R38" s="65">
        <v>2670.45</v>
      </c>
      <c r="S38" s="66">
        <f>IF((90+ROUNDDOWN(O38,1)*100)&lt;95,95,(90+ROUNDDOWN(O38,1)*100))</f>
        <v>150</v>
      </c>
      <c r="U38" s="67">
        <v>100.0</v>
      </c>
      <c r="V38" s="67">
        <v>1.1023</v>
      </c>
      <c r="Y38" s="57">
        <v>10.0</v>
      </c>
      <c r="Z38" s="69">
        <f t="shared" si="58"/>
        <v>30</v>
      </c>
      <c r="AA38" s="70">
        <f t="shared" si="49"/>
        <v>40</v>
      </c>
      <c r="AB38" s="71">
        <f t="shared" si="50"/>
        <v>1399.654855</v>
      </c>
      <c r="AC38" s="71">
        <f>+(S38-T38)*V38-'data 1'!$F$4</f>
        <v>85.345</v>
      </c>
      <c r="AD38" s="71">
        <f t="shared" si="51"/>
        <v>-14.55067849</v>
      </c>
      <c r="AE38" s="71">
        <f t="shared" si="52"/>
        <v>-25.908</v>
      </c>
      <c r="AF38" s="71">
        <f t="shared" si="53"/>
        <v>7.581347204</v>
      </c>
      <c r="AG38" s="72">
        <f>+IF(D38="RONALD WILLIAN GARIBAY ESCUDERO",AC38+AD38+AE38+AF38+70,AC38+AD38+AE38+AF38)</f>
        <v>52.46766872</v>
      </c>
      <c r="AH38" s="52">
        <f t="shared" si="54"/>
        <v>127.9966381</v>
      </c>
      <c r="AI38" s="73">
        <f t="shared" si="55"/>
        <v>73.89359357</v>
      </c>
      <c r="AJ38" s="73">
        <f t="shared" si="56"/>
        <v>128.5479069</v>
      </c>
      <c r="AK38" s="11"/>
      <c r="AL38" s="51">
        <f t="shared" si="57"/>
        <v>9240.703309</v>
      </c>
      <c r="AM38" s="58"/>
    </row>
    <row r="39" ht="15.75" customHeight="1">
      <c r="A39" s="844" t="s">
        <v>4257</v>
      </c>
      <c r="B39" s="56">
        <v>45638.0</v>
      </c>
      <c r="C39" s="56">
        <v>45635.0</v>
      </c>
      <c r="D39" s="57" t="s">
        <v>51</v>
      </c>
      <c r="E39" s="2">
        <v>1.042310973E10</v>
      </c>
      <c r="G39" s="3">
        <v>275.0</v>
      </c>
      <c r="H39" s="57" t="s">
        <v>47</v>
      </c>
      <c r="I39" s="58">
        <v>30.03</v>
      </c>
      <c r="J39" s="58">
        <v>1.5</v>
      </c>
      <c r="K39" s="59">
        <f t="shared" si="47"/>
        <v>29.57955</v>
      </c>
      <c r="L39" s="60">
        <v>0.529</v>
      </c>
      <c r="M39" s="60">
        <v>0.507</v>
      </c>
      <c r="N39" s="62">
        <v>0.507</v>
      </c>
      <c r="O39" s="60">
        <f t="shared" si="48"/>
        <v>0.507</v>
      </c>
      <c r="P39" s="63">
        <v>90.0</v>
      </c>
      <c r="Q39" s="64">
        <v>89.45</v>
      </c>
      <c r="R39" s="65">
        <v>2671.9</v>
      </c>
      <c r="S39" s="76">
        <v>130.0</v>
      </c>
      <c r="U39" s="67">
        <v>100.0</v>
      </c>
      <c r="V39" s="67">
        <v>1.1023</v>
      </c>
      <c r="Y39" s="57">
        <v>10.0</v>
      </c>
      <c r="Z39" s="69">
        <f t="shared" si="58"/>
        <v>30</v>
      </c>
      <c r="AA39" s="70">
        <f t="shared" si="49"/>
        <v>40</v>
      </c>
      <c r="AB39" s="71">
        <f t="shared" si="50"/>
        <v>1106.22195</v>
      </c>
      <c r="AC39" s="71">
        <f>+(S39-T39)*V39-'data 1'!$F$4</f>
        <v>63.299</v>
      </c>
      <c r="AD39" s="71">
        <f t="shared" si="51"/>
        <v>-8.248448124</v>
      </c>
      <c r="AE39" s="71">
        <f t="shared" si="52"/>
        <v>-25.908</v>
      </c>
      <c r="AF39" s="71">
        <f t="shared" si="53"/>
        <v>55.79007068</v>
      </c>
      <c r="AG39" s="72">
        <f>+IF(D39="RONALD WILLIAN GARIBAY ESCUDERO",AC39+AD39+AE39+AF39+60,AC39+AD39+AE39+AF39)</f>
        <v>144.9326226</v>
      </c>
      <c r="AH39" s="52">
        <f t="shared" si="54"/>
        <v>479.8844185</v>
      </c>
      <c r="AI39" s="73">
        <f t="shared" si="55"/>
        <v>61.0791127</v>
      </c>
      <c r="AJ39" s="73">
        <f t="shared" si="56"/>
        <v>462.7549795</v>
      </c>
      <c r="AK39" s="11"/>
      <c r="AL39" s="51">
        <f t="shared" si="57"/>
        <v>32721.54749</v>
      </c>
      <c r="AM39" s="58"/>
    </row>
    <row r="40" ht="15.75" customHeight="1">
      <c r="A40" s="844" t="s">
        <v>4258</v>
      </c>
      <c r="B40" s="56">
        <v>45641.0</v>
      </c>
      <c r="C40" s="56">
        <v>45636.0</v>
      </c>
      <c r="D40" s="57" t="s">
        <v>45</v>
      </c>
      <c r="E40" s="67">
        <v>1.0416085884E10</v>
      </c>
      <c r="G40" s="3" t="s">
        <v>4100</v>
      </c>
      <c r="H40" s="57" t="s">
        <v>47</v>
      </c>
      <c r="I40" s="58">
        <v>30.71</v>
      </c>
      <c r="J40" s="58">
        <v>9.5</v>
      </c>
      <c r="K40" s="59">
        <f t="shared" si="47"/>
        <v>27.79255</v>
      </c>
      <c r="L40" s="60">
        <v>0.135</v>
      </c>
      <c r="M40" s="60">
        <v>0.125</v>
      </c>
      <c r="N40" s="62">
        <v>0.141</v>
      </c>
      <c r="O40" s="60">
        <f t="shared" si="48"/>
        <v>0.133</v>
      </c>
      <c r="P40" s="197">
        <v>85.0</v>
      </c>
      <c r="Q40" s="64">
        <v>89.87</v>
      </c>
      <c r="R40" s="65">
        <v>2689.6</v>
      </c>
      <c r="S40" s="76">
        <v>110.0</v>
      </c>
      <c r="U40" s="67">
        <v>90.0</v>
      </c>
      <c r="V40" s="67">
        <v>1.1023</v>
      </c>
      <c r="Z40" s="69">
        <f t="shared" si="58"/>
        <v>30</v>
      </c>
      <c r="AA40" s="70">
        <f t="shared" si="49"/>
        <v>30</v>
      </c>
      <c r="AB40" s="71">
        <f t="shared" si="50"/>
        <v>169.627193</v>
      </c>
      <c r="AC40" s="71">
        <f>+(S40-T40)*V40-'data 1'!$F$4</f>
        <v>41.253</v>
      </c>
      <c r="AD40" s="71">
        <f t="shared" si="51"/>
        <v>18.83948668</v>
      </c>
      <c r="AE40" s="71">
        <f t="shared" si="52"/>
        <v>-36.931</v>
      </c>
      <c r="AF40" s="71">
        <f t="shared" si="53"/>
        <v>5.150519942</v>
      </c>
      <c r="AG40" s="72">
        <f>+IF(D40="RONALD WILLIAN GARIBAY ESCUDERO",AC40+AD40+AE40+AF40+70,AC40+AD40+AE40+AF40)+70-53</f>
        <v>45.31200662</v>
      </c>
      <c r="AH40" s="52">
        <f t="shared" si="54"/>
        <v>115.6074908</v>
      </c>
      <c r="AI40" s="73">
        <f t="shared" si="55"/>
        <v>11.95599807</v>
      </c>
      <c r="AJ40" s="73">
        <f t="shared" si="56"/>
        <v>107.7228988</v>
      </c>
      <c r="AK40" s="11"/>
      <c r="AL40" s="51">
        <f t="shared" si="57"/>
        <v>4714.372243</v>
      </c>
      <c r="AM40" s="58"/>
    </row>
    <row r="41" ht="15.75" customHeight="1">
      <c r="A41" s="116" t="s">
        <v>4259</v>
      </c>
      <c r="B41" s="56"/>
      <c r="C41" s="56"/>
      <c r="G41" s="3"/>
      <c r="I41" s="58"/>
      <c r="J41" s="58"/>
      <c r="K41" s="59"/>
      <c r="L41" s="60"/>
      <c r="M41" s="60"/>
      <c r="N41" s="62"/>
      <c r="O41" s="60"/>
      <c r="P41" s="63"/>
      <c r="Q41" s="64"/>
      <c r="R41" s="65"/>
      <c r="S41" s="66"/>
      <c r="U41" s="67"/>
      <c r="V41" s="67"/>
      <c r="Z41" s="69"/>
      <c r="AA41" s="70"/>
      <c r="AB41" s="71"/>
      <c r="AC41" s="71"/>
      <c r="AD41" s="71"/>
      <c r="AE41" s="71"/>
      <c r="AF41" s="71"/>
      <c r="AG41" s="72"/>
      <c r="AH41" s="52"/>
      <c r="AI41" s="73"/>
      <c r="AJ41" s="73"/>
      <c r="AK41" s="11"/>
      <c r="AL41" s="51"/>
      <c r="AM41" s="58"/>
    </row>
    <row r="42" ht="15.75" customHeight="1">
      <c r="A42" s="116" t="s">
        <v>4260</v>
      </c>
      <c r="B42" s="56"/>
      <c r="C42" s="56"/>
      <c r="G42" s="3"/>
      <c r="I42" s="58"/>
      <c r="J42" s="58"/>
      <c r="K42" s="59"/>
      <c r="L42" s="60"/>
      <c r="M42" s="60"/>
      <c r="N42" s="62"/>
      <c r="O42" s="60"/>
      <c r="P42" s="63"/>
      <c r="Q42" s="64"/>
      <c r="R42" s="65"/>
      <c r="S42" s="66"/>
      <c r="U42" s="67"/>
      <c r="V42" s="67"/>
      <c r="Z42" s="69"/>
      <c r="AA42" s="70"/>
      <c r="AB42" s="71"/>
      <c r="AC42" s="71"/>
      <c r="AD42" s="71"/>
      <c r="AE42" s="71"/>
      <c r="AF42" s="71"/>
      <c r="AG42" s="72"/>
      <c r="AH42" s="52"/>
      <c r="AI42" s="73"/>
      <c r="AJ42" s="73"/>
      <c r="AK42" s="11"/>
      <c r="AL42" s="51"/>
      <c r="AM42" s="58"/>
    </row>
    <row r="43" ht="15.75" customHeight="1">
      <c r="A43" s="844" t="s">
        <v>4261</v>
      </c>
      <c r="B43" s="56">
        <v>45641.0</v>
      </c>
      <c r="C43" s="56">
        <v>45636.0</v>
      </c>
      <c r="D43" s="57" t="s">
        <v>4262</v>
      </c>
      <c r="E43" s="57">
        <v>2.0606526599E10</v>
      </c>
      <c r="G43" s="3">
        <v>87.0</v>
      </c>
      <c r="H43" s="57" t="s">
        <v>47</v>
      </c>
      <c r="I43" s="58">
        <v>7.39</v>
      </c>
      <c r="J43" s="58">
        <v>1.5</v>
      </c>
      <c r="K43" s="59">
        <f t="shared" ref="K43:K79" si="60">+I43-(I43*(J43/100))</f>
        <v>7.27915</v>
      </c>
      <c r="L43" s="60">
        <v>0.42</v>
      </c>
      <c r="M43" s="60">
        <v>0.403</v>
      </c>
      <c r="N43" s="62">
        <v>0.403</v>
      </c>
      <c r="O43" s="60">
        <f t="shared" ref="O43:O79" si="61">+ROUND((M43+N43)/2,3)</f>
        <v>0.403</v>
      </c>
      <c r="P43" s="63">
        <v>90.0</v>
      </c>
      <c r="Q43" s="64">
        <v>89.42</v>
      </c>
      <c r="R43" s="65">
        <v>2689.6</v>
      </c>
      <c r="S43" s="66">
        <f>IF((90+ROUNDDOWN(O43,1)*100)&lt;95,95,(90+ROUNDDOWN(O43,1)*100))</f>
        <v>130</v>
      </c>
      <c r="U43" s="67">
        <v>120.0</v>
      </c>
      <c r="V43" s="67">
        <v>1.1023</v>
      </c>
      <c r="Y43" s="57">
        <v>10.0</v>
      </c>
      <c r="Z43" s="69">
        <f t="shared" ref="Z43:Z77" si="62">IF(IF(D43="UNTUCA",IF(+((W43-3)*1.5+(X43-3)*3.1)&gt;0,+((W43-3)*1.5+(X43-3)*3.1),0),IF(+((W43-3)*1.5+(X43-3)*3.1)&gt;0,+((W43-3)*1.5+(X43-3)*3.1),0))&lt;30,30,IF(D43="UNTUCA",IF(+((W43-3)*1.5+(X43-3)*3.1)&gt;0,+((W43-3)*1.5+(X43-3)*3.1),0),IF(+((W43-3)*1.5+(X43-3)*3.1)&gt;0,+((W43-3)*1.5+(X43-3)*3.1),0)))</f>
        <v>30</v>
      </c>
      <c r="AA43" s="70">
        <f t="shared" ref="AA43:AA79" si="63">+Y43+Z43</f>
        <v>40</v>
      </c>
      <c r="AB43" s="71">
        <f t="shared" ref="AB43:AB79" si="64">+((O43*P43*(R43-U43)/100)-S43-AA43+T43)*V43</f>
        <v>839.945898</v>
      </c>
      <c r="AC43" s="71">
        <f>+(S43-T43)*V43-'data 1'!$F$4</f>
        <v>63.299</v>
      </c>
      <c r="AD43" s="71">
        <f t="shared" ref="AD43:AD79" si="65">+(Q43-P43)*(R43-U43)*L43*V43/100</f>
        <v>-6.899897115</v>
      </c>
      <c r="AE43" s="71">
        <f t="shared" ref="AE43:AE79" si="66">+(Y43*V43-70)+V43*(Z43-IF(D43="UNTUCA",IF(+((W43-3)*2.5+(X43-3)*3.1)&gt;0,+((W43-3)*1.5+(X43-3)*3.1),0),IF(+((W43-3)*1.5+(X43-3)*3.1)&gt;0,+((W43-3)*1.5+(X43-3)*3.1),0)))</f>
        <v>-25.908</v>
      </c>
      <c r="AF43" s="71">
        <f t="shared" ref="AF43:AF79" si="67">(L43-O43)*(R43-U43)*Q43*V43/100</f>
        <v>43.05751067</v>
      </c>
      <c r="AG43" s="72">
        <f t="shared" ref="AG43:AG45" si="68">+IF(D43="RONALD WILLIAN GARIBAY ESCUDERO",AC43+AD43+AE43+AF43+70,AC43+AD43+AE43+AF43)+70-53</f>
        <v>90.54861356</v>
      </c>
      <c r="AH43" s="52">
        <f t="shared" ref="AH43:AH79" si="69">31.1035*L43*Q43*1.1023*K43/100</f>
        <v>93.72893753</v>
      </c>
      <c r="AI43" s="73">
        <f t="shared" ref="AI43:AI79" si="70">+((+$AI$2-R43+U43)*L43*Q43*V43)/100</f>
        <v>49.42971315</v>
      </c>
      <c r="AJ43" s="73">
        <f t="shared" ref="AJ43:AJ79" si="71">31.1035*1.1023*K43*P43*O43/100</f>
        <v>90.51848858</v>
      </c>
      <c r="AK43" s="11"/>
      <c r="AL43" s="51">
        <f t="shared" ref="AL43:AL79" si="72">+IF(AB43*K43&gt;0,AB43*K43,0)</f>
        <v>6114.092184</v>
      </c>
      <c r="AM43" s="58"/>
    </row>
    <row r="44" ht="15.75" customHeight="1">
      <c r="A44" s="844" t="s">
        <v>4263</v>
      </c>
      <c r="B44" s="56">
        <v>45641.0</v>
      </c>
      <c r="C44" s="56">
        <v>45637.0</v>
      </c>
      <c r="D44" s="57" t="s">
        <v>82</v>
      </c>
      <c r="E44" s="2">
        <v>2.0601620147E10</v>
      </c>
      <c r="G44" s="3" t="s">
        <v>4100</v>
      </c>
      <c r="H44" s="57" t="s">
        <v>47</v>
      </c>
      <c r="I44" s="58">
        <v>32.2</v>
      </c>
      <c r="J44" s="58">
        <v>2.3</v>
      </c>
      <c r="K44" s="59">
        <f t="shared" si="60"/>
        <v>31.4594</v>
      </c>
      <c r="L44" s="60">
        <v>0.108</v>
      </c>
      <c r="M44" s="60">
        <v>0.089</v>
      </c>
      <c r="N44" s="60">
        <v>0.108</v>
      </c>
      <c r="O44" s="60">
        <f t="shared" si="61"/>
        <v>0.099</v>
      </c>
      <c r="P44" s="63">
        <v>85.0</v>
      </c>
      <c r="Q44" s="64">
        <v>89.71</v>
      </c>
      <c r="R44" s="65">
        <v>2705.45</v>
      </c>
      <c r="S44" s="76">
        <v>110.0</v>
      </c>
      <c r="U44" s="67">
        <v>90.0</v>
      </c>
      <c r="V44" s="67">
        <v>1.1023</v>
      </c>
      <c r="Z44" s="69">
        <f t="shared" si="62"/>
        <v>30</v>
      </c>
      <c r="AA44" s="70">
        <f t="shared" si="63"/>
        <v>30</v>
      </c>
      <c r="AB44" s="71">
        <f t="shared" si="64"/>
        <v>88.28333652</v>
      </c>
      <c r="AC44" s="71">
        <f>+(S44-T44)*V44-'data 1'!$F$4</f>
        <v>41.253</v>
      </c>
      <c r="AD44" s="71">
        <f t="shared" si="65"/>
        <v>14.66529799</v>
      </c>
      <c r="AE44" s="71">
        <f t="shared" si="66"/>
        <v>-36.931</v>
      </c>
      <c r="AF44" s="71">
        <f t="shared" si="67"/>
        <v>23.27713876</v>
      </c>
      <c r="AG44" s="72">
        <f t="shared" si="68"/>
        <v>59.26443675</v>
      </c>
      <c r="AH44" s="52">
        <f t="shared" si="69"/>
        <v>104.5018832</v>
      </c>
      <c r="AI44" s="73">
        <f t="shared" si="70"/>
        <v>7.85501641</v>
      </c>
      <c r="AJ44" s="73">
        <f t="shared" si="71"/>
        <v>90.76399955</v>
      </c>
      <c r="AK44" s="11"/>
      <c r="AL44" s="51">
        <f t="shared" si="72"/>
        <v>2777.340797</v>
      </c>
      <c r="AM44" s="58"/>
    </row>
    <row r="45" ht="15.75" customHeight="1">
      <c r="A45" s="844" t="s">
        <v>4264</v>
      </c>
      <c r="B45" s="56">
        <v>45639.0</v>
      </c>
      <c r="C45" s="56">
        <v>45637.0</v>
      </c>
      <c r="D45" s="57" t="s">
        <v>67</v>
      </c>
      <c r="E45" s="2">
        <v>2.060609401E10</v>
      </c>
      <c r="G45" s="3">
        <v>100.0</v>
      </c>
      <c r="H45" s="57" t="s">
        <v>47</v>
      </c>
      <c r="I45" s="58">
        <v>8.45</v>
      </c>
      <c r="J45" s="58">
        <v>1.4</v>
      </c>
      <c r="K45" s="59">
        <f t="shared" si="60"/>
        <v>8.3317</v>
      </c>
      <c r="L45" s="60">
        <v>0.361</v>
      </c>
      <c r="M45" s="60">
        <v>0.347</v>
      </c>
      <c r="N45" s="62">
        <v>0.412</v>
      </c>
      <c r="O45" s="60">
        <f t="shared" si="61"/>
        <v>0.38</v>
      </c>
      <c r="P45" s="63">
        <v>90.0</v>
      </c>
      <c r="Q45" s="64">
        <v>89.33</v>
      </c>
      <c r="R45" s="65">
        <v>2705.45</v>
      </c>
      <c r="S45" s="66">
        <f>IF((90+ROUNDDOWN(O45,1)*100)&lt;95,95,(90+ROUNDDOWN(O45,1)*100))</f>
        <v>120</v>
      </c>
      <c r="U45" s="67">
        <v>120.0</v>
      </c>
      <c r="V45" s="67">
        <v>1.1023</v>
      </c>
      <c r="Y45" s="57">
        <v>20.0</v>
      </c>
      <c r="Z45" s="69">
        <f t="shared" si="62"/>
        <v>30</v>
      </c>
      <c r="AA45" s="70">
        <f t="shared" si="63"/>
        <v>50</v>
      </c>
      <c r="AB45" s="71">
        <f t="shared" si="64"/>
        <v>787.289005</v>
      </c>
      <c r="AC45" s="71">
        <f>+(S45-T45)*V45-'data 1'!$F$4</f>
        <v>52.276</v>
      </c>
      <c r="AD45" s="71">
        <f t="shared" si="65"/>
        <v>-6.893153591</v>
      </c>
      <c r="AE45" s="71">
        <f t="shared" si="66"/>
        <v>-14.885</v>
      </c>
      <c r="AF45" s="71">
        <f t="shared" si="67"/>
        <v>-48.37120269</v>
      </c>
      <c r="AG45" s="72">
        <f t="shared" si="68"/>
        <v>-0.8733562818</v>
      </c>
      <c r="AH45" s="52">
        <f t="shared" si="69"/>
        <v>92.1185788</v>
      </c>
      <c r="AI45" s="73">
        <f t="shared" si="70"/>
        <v>36.80903624</v>
      </c>
      <c r="AJ45" s="73">
        <f t="shared" si="71"/>
        <v>97.69420412</v>
      </c>
      <c r="AK45" s="11"/>
      <c r="AL45" s="51">
        <f t="shared" si="72"/>
        <v>6559.455803</v>
      </c>
      <c r="AM45" s="58"/>
    </row>
    <row r="46" ht="15.75" customHeight="1">
      <c r="A46" s="844" t="s">
        <v>4265</v>
      </c>
      <c r="B46" s="56">
        <v>45639.0</v>
      </c>
      <c r="C46" s="56">
        <v>45637.0</v>
      </c>
      <c r="D46" s="57" t="s">
        <v>51</v>
      </c>
      <c r="E46" s="2">
        <v>1.042310973E10</v>
      </c>
      <c r="G46" s="3">
        <v>16.0</v>
      </c>
      <c r="H46" s="57" t="s">
        <v>47</v>
      </c>
      <c r="I46" s="58">
        <v>1.92</v>
      </c>
      <c r="J46" s="58">
        <v>1.2</v>
      </c>
      <c r="K46" s="59">
        <f t="shared" si="60"/>
        <v>1.89696</v>
      </c>
      <c r="L46" s="60">
        <v>0.563</v>
      </c>
      <c r="M46" s="60">
        <v>0.54</v>
      </c>
      <c r="N46" s="75">
        <v>0.595</v>
      </c>
      <c r="O46" s="60">
        <f t="shared" si="61"/>
        <v>0.568</v>
      </c>
      <c r="P46" s="63">
        <v>90.0</v>
      </c>
      <c r="Q46" s="64">
        <v>89.62</v>
      </c>
      <c r="R46" s="65">
        <v>2705.45</v>
      </c>
      <c r="S46" s="96">
        <v>130.0</v>
      </c>
      <c r="U46" s="67">
        <v>100.0</v>
      </c>
      <c r="V46" s="67">
        <v>1.1023</v>
      </c>
      <c r="Z46" s="69">
        <f t="shared" si="62"/>
        <v>30</v>
      </c>
      <c r="AA46" s="70">
        <f t="shared" si="63"/>
        <v>30</v>
      </c>
      <c r="AB46" s="71">
        <f t="shared" si="64"/>
        <v>1291.792028</v>
      </c>
      <c r="AC46" s="71">
        <f>+(S46-T46)*V46-'data 1'!$F$4</f>
        <v>63.299</v>
      </c>
      <c r="AD46" s="71">
        <f t="shared" si="65"/>
        <v>-6.144330132</v>
      </c>
      <c r="AE46" s="71">
        <f t="shared" si="66"/>
        <v>-36.931</v>
      </c>
      <c r="AF46" s="71">
        <f t="shared" si="67"/>
        <v>-12.86937614</v>
      </c>
      <c r="AG46" s="72">
        <f>+IF(D46="RONALD WILLIAN GARIBAY ESCUDERO",AC46+AD46+AE46+AF46+70,AC46+AD46+AE46+AF46)</f>
        <v>77.35429372</v>
      </c>
      <c r="AH46" s="52">
        <f t="shared" si="69"/>
        <v>32.8156172</v>
      </c>
      <c r="AI46" s="73">
        <f t="shared" si="70"/>
        <v>46.46860083</v>
      </c>
      <c r="AJ46" s="73">
        <f t="shared" si="71"/>
        <v>33.24743057</v>
      </c>
      <c r="AK46" s="11"/>
      <c r="AL46" s="51">
        <f t="shared" si="72"/>
        <v>2450.477805</v>
      </c>
      <c r="AM46" s="58"/>
    </row>
    <row r="47" ht="15.75" customHeight="1">
      <c r="A47" s="844" t="s">
        <v>4266</v>
      </c>
      <c r="B47" s="56">
        <v>45639.0</v>
      </c>
      <c r="C47" s="56">
        <v>45637.0</v>
      </c>
      <c r="D47" s="57" t="s">
        <v>63</v>
      </c>
      <c r="E47" s="2">
        <v>1.0437450094E10</v>
      </c>
      <c r="G47" s="3">
        <v>68.0</v>
      </c>
      <c r="H47" s="57" t="s">
        <v>47</v>
      </c>
      <c r="I47" s="58">
        <v>6.09</v>
      </c>
      <c r="J47" s="58">
        <v>1.3</v>
      </c>
      <c r="K47" s="59">
        <f t="shared" si="60"/>
        <v>6.01083</v>
      </c>
      <c r="L47" s="60">
        <v>0.466</v>
      </c>
      <c r="M47" s="60">
        <v>0.447</v>
      </c>
      <c r="N47" s="75">
        <v>0.486</v>
      </c>
      <c r="O47" s="60">
        <f t="shared" si="61"/>
        <v>0.467</v>
      </c>
      <c r="P47" s="63">
        <v>90.0</v>
      </c>
      <c r="Q47" s="64">
        <v>89.78</v>
      </c>
      <c r="R47" s="65">
        <v>2705.45</v>
      </c>
      <c r="S47" s="66">
        <f t="shared" ref="S47:S48" si="73">IF((90+ROUNDDOWN(O47,1)*100)&lt;95,95,(90+ROUNDDOWN(O47,1)*100))</f>
        <v>130</v>
      </c>
      <c r="U47" s="67">
        <v>100.0</v>
      </c>
      <c r="V47" s="67">
        <v>1.1023</v>
      </c>
      <c r="Y47" s="57">
        <v>10.0</v>
      </c>
      <c r="Z47" s="69">
        <f t="shared" si="62"/>
        <v>30</v>
      </c>
      <c r="AA47" s="70">
        <f t="shared" si="63"/>
        <v>40</v>
      </c>
      <c r="AB47" s="71">
        <f t="shared" si="64"/>
        <v>1019.705361</v>
      </c>
      <c r="AC47" s="71">
        <f>+(S47-T47)*V47-'data 1'!$F$4</f>
        <v>63.299</v>
      </c>
      <c r="AD47" s="71">
        <f t="shared" si="65"/>
        <v>-2.944361621</v>
      </c>
      <c r="AE47" s="71">
        <f t="shared" si="66"/>
        <v>-25.908</v>
      </c>
      <c r="AF47" s="71">
        <f t="shared" si="67"/>
        <v>-2.578470409</v>
      </c>
      <c r="AG47" s="72">
        <f t="shared" ref="AG47:AG48" si="74">+IF(D47="RONALD WILLIAN GARIBAY ESCUDERO",AC47+AD47+AE47+AF47+70,AC47+AD47+AE47+AF47)+70-53</f>
        <v>48.86816797</v>
      </c>
      <c r="AH47" s="52">
        <f t="shared" si="69"/>
        <v>86.22020127</v>
      </c>
      <c r="AI47" s="73">
        <f t="shared" si="70"/>
        <v>38.53113299</v>
      </c>
      <c r="AJ47" s="73">
        <f t="shared" si="71"/>
        <v>86.61695349</v>
      </c>
      <c r="AK47" s="11"/>
      <c r="AL47" s="115">
        <f t="shared" si="72"/>
        <v>6129.275575</v>
      </c>
      <c r="AM47" s="58"/>
    </row>
    <row r="48" ht="15.75" customHeight="1">
      <c r="A48" s="844" t="s">
        <v>4267</v>
      </c>
      <c r="B48" s="56">
        <v>45639.0</v>
      </c>
      <c r="C48" s="56">
        <v>45637.0</v>
      </c>
      <c r="D48" s="57" t="s">
        <v>63</v>
      </c>
      <c r="E48" s="2">
        <v>1.042310973E10</v>
      </c>
      <c r="G48" s="3">
        <v>32.0</v>
      </c>
      <c r="H48" s="57" t="s">
        <v>47</v>
      </c>
      <c r="I48" s="58">
        <v>3.12</v>
      </c>
      <c r="J48" s="58">
        <v>1.4</v>
      </c>
      <c r="K48" s="59">
        <f t="shared" si="60"/>
        <v>3.07632</v>
      </c>
      <c r="L48" s="60">
        <v>0.818</v>
      </c>
      <c r="M48" s="60">
        <v>0.785</v>
      </c>
      <c r="N48" s="62">
        <v>0.785</v>
      </c>
      <c r="O48" s="60">
        <f t="shared" si="61"/>
        <v>0.785</v>
      </c>
      <c r="P48" s="63">
        <v>90.0</v>
      </c>
      <c r="Q48" s="64">
        <v>89.81</v>
      </c>
      <c r="R48" s="65">
        <v>2705.45</v>
      </c>
      <c r="S48" s="66">
        <f t="shared" si="73"/>
        <v>160</v>
      </c>
      <c r="U48" s="67">
        <v>120.0</v>
      </c>
      <c r="V48" s="67">
        <v>1.1023</v>
      </c>
      <c r="Y48" s="57">
        <v>10.0</v>
      </c>
      <c r="Z48" s="69">
        <f t="shared" si="62"/>
        <v>30</v>
      </c>
      <c r="AA48" s="70">
        <f t="shared" si="63"/>
        <v>40</v>
      </c>
      <c r="AB48" s="71">
        <f t="shared" si="64"/>
        <v>1793.023694</v>
      </c>
      <c r="AC48" s="71">
        <f>+(S48-T48)*V48-'data 1'!$F$4</f>
        <v>96.368</v>
      </c>
      <c r="AD48" s="71">
        <f t="shared" si="65"/>
        <v>-4.429379134</v>
      </c>
      <c r="AE48" s="71">
        <f t="shared" si="66"/>
        <v>-25.908</v>
      </c>
      <c r="AF48" s="71">
        <f t="shared" si="67"/>
        <v>84.46457226</v>
      </c>
      <c r="AG48" s="72">
        <f t="shared" si="74"/>
        <v>167.4951931</v>
      </c>
      <c r="AH48" s="52">
        <f t="shared" si="69"/>
        <v>77.48516788</v>
      </c>
      <c r="AI48" s="73">
        <f t="shared" si="70"/>
        <v>83.85479677</v>
      </c>
      <c r="AJ48" s="73">
        <f t="shared" si="71"/>
        <v>74.51655084</v>
      </c>
      <c r="AK48" s="11"/>
      <c r="AL48" s="115">
        <f t="shared" si="72"/>
        <v>5515.914652</v>
      </c>
      <c r="AM48" s="58"/>
    </row>
    <row r="49" ht="15.75" customHeight="1">
      <c r="A49" s="844" t="s">
        <v>4268</v>
      </c>
      <c r="B49" s="56">
        <v>45640.0</v>
      </c>
      <c r="C49" s="56">
        <v>45637.0</v>
      </c>
      <c r="D49" s="57" t="s">
        <v>51</v>
      </c>
      <c r="E49" s="2">
        <v>1.042310973E10</v>
      </c>
      <c r="G49" s="3" t="s">
        <v>46</v>
      </c>
      <c r="H49" s="57" t="s">
        <v>47</v>
      </c>
      <c r="I49" s="58">
        <v>32.54</v>
      </c>
      <c r="J49" s="58">
        <v>1.4</v>
      </c>
      <c r="K49" s="59">
        <f t="shared" si="60"/>
        <v>32.08444</v>
      </c>
      <c r="L49" s="60">
        <v>0.435</v>
      </c>
      <c r="M49" s="60">
        <v>0.418</v>
      </c>
      <c r="N49" s="62">
        <v>0.418</v>
      </c>
      <c r="O49" s="60">
        <f t="shared" si="61"/>
        <v>0.418</v>
      </c>
      <c r="P49" s="63">
        <v>90.0</v>
      </c>
      <c r="Q49" s="64">
        <v>89.72</v>
      </c>
      <c r="R49" s="65">
        <v>2705.45</v>
      </c>
      <c r="S49" s="66">
        <v>120.0</v>
      </c>
      <c r="U49" s="67">
        <v>100.0</v>
      </c>
      <c r="V49" s="67">
        <v>1.1023</v>
      </c>
      <c r="Z49" s="69">
        <f t="shared" si="62"/>
        <v>30</v>
      </c>
      <c r="AA49" s="70">
        <f t="shared" si="63"/>
        <v>30</v>
      </c>
      <c r="AB49" s="71">
        <f t="shared" si="64"/>
        <v>915.0967107</v>
      </c>
      <c r="AC49" s="71">
        <f>+(S49-T49)*V49-'data 1'!$F$4</f>
        <v>52.276</v>
      </c>
      <c r="AD49" s="71">
        <f t="shared" si="65"/>
        <v>-3.498080818</v>
      </c>
      <c r="AE49" s="71">
        <f t="shared" si="66"/>
        <v>-36.931</v>
      </c>
      <c r="AF49" s="71">
        <f t="shared" si="67"/>
        <v>43.80470268</v>
      </c>
      <c r="AG49" s="72">
        <f>+IF(D49="RONALD WILLIAN GARIBAY ESCUDERO",AC49+AD49+AE49+AF49+70,AC49+AD49+AE49+AF49)</f>
        <v>125.6516219</v>
      </c>
      <c r="AH49" s="52">
        <f t="shared" si="69"/>
        <v>429.3209233</v>
      </c>
      <c r="AI49" s="73">
        <f t="shared" si="70"/>
        <v>35.94386575</v>
      </c>
      <c r="AJ49" s="73">
        <f t="shared" si="71"/>
        <v>413.8303364</v>
      </c>
      <c r="AK49" s="11"/>
      <c r="AL49" s="51">
        <f t="shared" si="72"/>
        <v>29360.36551</v>
      </c>
      <c r="AM49" s="58"/>
    </row>
    <row r="50" ht="15.75" customHeight="1">
      <c r="A50" s="844" t="s">
        <v>4269</v>
      </c>
      <c r="B50" s="56">
        <v>45652.0</v>
      </c>
      <c r="C50" s="56">
        <v>45638.0</v>
      </c>
      <c r="D50" s="57" t="s">
        <v>79</v>
      </c>
      <c r="E50" s="57">
        <v>1.0421580605E10</v>
      </c>
      <c r="G50" s="3" t="s">
        <v>46</v>
      </c>
      <c r="H50" s="57" t="s">
        <v>47</v>
      </c>
      <c r="I50" s="58">
        <v>33.48</v>
      </c>
      <c r="J50" s="58">
        <v>18.7</v>
      </c>
      <c r="K50" s="59">
        <f t="shared" si="60"/>
        <v>27.21924</v>
      </c>
      <c r="L50" s="60">
        <v>0.108</v>
      </c>
      <c r="M50" s="60">
        <v>0.098</v>
      </c>
      <c r="N50" s="75">
        <v>0.103</v>
      </c>
      <c r="O50" s="60">
        <f t="shared" si="61"/>
        <v>0.101</v>
      </c>
      <c r="P50" s="63">
        <v>85.0</v>
      </c>
      <c r="Q50" s="64">
        <v>89.63</v>
      </c>
      <c r="R50" s="840">
        <v>2684.35</v>
      </c>
      <c r="S50" s="66">
        <v>110.0</v>
      </c>
      <c r="U50" s="67">
        <v>90.0</v>
      </c>
      <c r="V50" s="67">
        <v>1.1023</v>
      </c>
      <c r="Z50" s="69">
        <f t="shared" si="62"/>
        <v>30</v>
      </c>
      <c r="AA50" s="70">
        <f t="shared" si="63"/>
        <v>30</v>
      </c>
      <c r="AB50" s="71">
        <f t="shared" si="64"/>
        <v>91.18770963</v>
      </c>
      <c r="AC50" s="71">
        <f>+(S50-T50)*V50-'data 1'!$F$4</f>
        <v>41.253</v>
      </c>
      <c r="AD50" s="71">
        <f t="shared" si="65"/>
        <v>14.29990393</v>
      </c>
      <c r="AE50" s="71">
        <f t="shared" si="66"/>
        <v>-36.931</v>
      </c>
      <c r="AF50" s="71">
        <f t="shared" si="67"/>
        <v>17.94237005</v>
      </c>
      <c r="AG50" s="72">
        <f t="shared" ref="AG50:AG54" si="75">+IF(D50="RONALD WILLIAN GARIBAY ESCUDERO",AC50+AD50+AE50+AF50+70,AC50+AD50+AE50+AF50)+70-53</f>
        <v>53.56427398</v>
      </c>
      <c r="AH50" s="52">
        <f t="shared" si="69"/>
        <v>90.33628281</v>
      </c>
      <c r="AI50" s="73">
        <f t="shared" si="70"/>
        <v>10.09944661</v>
      </c>
      <c r="AJ50" s="73">
        <f t="shared" si="71"/>
        <v>80.11712637</v>
      </c>
      <c r="AK50" s="11"/>
      <c r="AL50" s="115">
        <f t="shared" si="72"/>
        <v>2482.060153</v>
      </c>
      <c r="AM50" s="58"/>
    </row>
    <row r="51" ht="15.75" customHeight="1">
      <c r="A51" s="844" t="s">
        <v>4270</v>
      </c>
      <c r="B51" s="56">
        <v>45644.0</v>
      </c>
      <c r="C51" s="56">
        <v>45638.0</v>
      </c>
      <c r="D51" s="57" t="s">
        <v>104</v>
      </c>
      <c r="E51" s="57">
        <v>1.0479968131E10</v>
      </c>
      <c r="G51" s="3">
        <v>73.0</v>
      </c>
      <c r="H51" s="57" t="s">
        <v>71</v>
      </c>
      <c r="I51" s="58">
        <v>5.76</v>
      </c>
      <c r="J51" s="58">
        <v>9.95</v>
      </c>
      <c r="K51" s="59">
        <f t="shared" si="60"/>
        <v>5.18688</v>
      </c>
      <c r="L51" s="60">
        <v>0.457</v>
      </c>
      <c r="M51" s="60">
        <v>0.438</v>
      </c>
      <c r="N51" s="62">
        <v>0.438</v>
      </c>
      <c r="O51" s="60">
        <f t="shared" si="61"/>
        <v>0.438</v>
      </c>
      <c r="P51" s="63">
        <v>90.0</v>
      </c>
      <c r="Q51" s="64">
        <v>89.42</v>
      </c>
      <c r="R51" s="840">
        <v>2684.35</v>
      </c>
      <c r="S51" s="66">
        <f t="shared" ref="S51:S54" si="76">IF((90+ROUNDDOWN(O51,1)*100)&lt;95,95,(90+ROUNDDOWN(O51,1)*100))</f>
        <v>130</v>
      </c>
      <c r="U51" s="67">
        <v>120.0</v>
      </c>
      <c r="V51" s="67">
        <v>1.1023</v>
      </c>
      <c r="Y51" s="57">
        <v>10.0</v>
      </c>
      <c r="Z51" s="69">
        <f t="shared" si="62"/>
        <v>30</v>
      </c>
      <c r="AA51" s="70">
        <f t="shared" si="63"/>
        <v>40</v>
      </c>
      <c r="AB51" s="71">
        <f t="shared" si="64"/>
        <v>926.8874406</v>
      </c>
      <c r="AC51" s="71">
        <f>+(S51-T51)*V51-'data 1'!$F$4</f>
        <v>63.299</v>
      </c>
      <c r="AD51" s="71">
        <f t="shared" si="65"/>
        <v>-7.492405973</v>
      </c>
      <c r="AE51" s="71">
        <f t="shared" si="66"/>
        <v>-25.908</v>
      </c>
      <c r="AF51" s="71">
        <f t="shared" si="67"/>
        <v>48.02477892</v>
      </c>
      <c r="AG51" s="72">
        <f t="shared" si="75"/>
        <v>94.92337295</v>
      </c>
      <c r="AH51" s="52">
        <f t="shared" si="69"/>
        <v>72.6718365</v>
      </c>
      <c r="AI51" s="73">
        <f t="shared" si="70"/>
        <v>56.14912022</v>
      </c>
      <c r="AJ51" s="73">
        <f t="shared" si="71"/>
        <v>70.1022391</v>
      </c>
      <c r="AK51" s="11"/>
      <c r="AL51" s="51">
        <f t="shared" si="72"/>
        <v>4807.653928</v>
      </c>
      <c r="AM51" s="58"/>
    </row>
    <row r="52" ht="15.75" customHeight="1">
      <c r="A52" s="844" t="s">
        <v>4271</v>
      </c>
      <c r="B52" s="56">
        <v>45644.0</v>
      </c>
      <c r="C52" s="56">
        <v>45638.0</v>
      </c>
      <c r="D52" s="57" t="s">
        <v>104</v>
      </c>
      <c r="E52" s="57">
        <v>1.0479968131E10</v>
      </c>
      <c r="G52" s="3">
        <v>52.0</v>
      </c>
      <c r="H52" s="57" t="s">
        <v>40</v>
      </c>
      <c r="I52" s="58">
        <v>3.85</v>
      </c>
      <c r="J52" s="58">
        <v>17.75</v>
      </c>
      <c r="K52" s="59">
        <f t="shared" si="60"/>
        <v>3.166625</v>
      </c>
      <c r="L52" s="60">
        <v>0.447</v>
      </c>
      <c r="M52" s="60">
        <v>0.429</v>
      </c>
      <c r="N52" s="62">
        <v>0.429</v>
      </c>
      <c r="O52" s="60">
        <f t="shared" si="61"/>
        <v>0.429</v>
      </c>
      <c r="P52" s="63">
        <v>90.0</v>
      </c>
      <c r="Q52" s="64">
        <v>89.71</v>
      </c>
      <c r="R52" s="840">
        <v>2684.35</v>
      </c>
      <c r="S52" s="66">
        <f t="shared" si="76"/>
        <v>130</v>
      </c>
      <c r="U52" s="67">
        <v>120.0</v>
      </c>
      <c r="V52" s="67">
        <v>1.1023</v>
      </c>
      <c r="Y52" s="57">
        <v>10.0</v>
      </c>
      <c r="Z52" s="69">
        <f t="shared" si="62"/>
        <v>30</v>
      </c>
      <c r="AA52" s="70">
        <f t="shared" si="63"/>
        <v>40</v>
      </c>
      <c r="AB52" s="71">
        <f t="shared" si="64"/>
        <v>903.9913082</v>
      </c>
      <c r="AC52" s="71">
        <f>+(S52-T52)*V52-'data 1'!$F$4</f>
        <v>63.299</v>
      </c>
      <c r="AD52" s="71">
        <f t="shared" si="65"/>
        <v>-3.664229179</v>
      </c>
      <c r="AE52" s="71">
        <f t="shared" si="66"/>
        <v>-25.908</v>
      </c>
      <c r="AF52" s="71">
        <f t="shared" si="67"/>
        <v>45.64471183</v>
      </c>
      <c r="AG52" s="72">
        <f t="shared" si="75"/>
        <v>96.37148265</v>
      </c>
      <c r="AH52" s="52">
        <f t="shared" si="69"/>
        <v>43.53655745</v>
      </c>
      <c r="AI52" s="73">
        <f t="shared" si="70"/>
        <v>55.09858808</v>
      </c>
      <c r="AJ52" s="73">
        <f t="shared" si="71"/>
        <v>41.91847813</v>
      </c>
      <c r="AK52" s="11"/>
      <c r="AL52" s="51">
        <f t="shared" si="72"/>
        <v>2862.601476</v>
      </c>
      <c r="AM52" s="58"/>
    </row>
    <row r="53" ht="15.75" customHeight="1">
      <c r="A53" s="844" t="s">
        <v>4272</v>
      </c>
      <c r="B53" s="56">
        <v>45644.0</v>
      </c>
      <c r="C53" s="56">
        <v>45638.0</v>
      </c>
      <c r="D53" s="57" t="s">
        <v>104</v>
      </c>
      <c r="E53" s="57">
        <v>1.0479968131E10</v>
      </c>
      <c r="G53" s="3">
        <v>27.0</v>
      </c>
      <c r="H53" s="57" t="s">
        <v>40</v>
      </c>
      <c r="I53" s="58">
        <v>2.05</v>
      </c>
      <c r="J53" s="58">
        <v>16.9</v>
      </c>
      <c r="K53" s="59">
        <f t="shared" si="60"/>
        <v>1.70355</v>
      </c>
      <c r="L53" s="60">
        <v>0.355</v>
      </c>
      <c r="M53" s="60">
        <v>0.34</v>
      </c>
      <c r="N53" s="62">
        <v>0.34</v>
      </c>
      <c r="O53" s="60">
        <f t="shared" si="61"/>
        <v>0.34</v>
      </c>
      <c r="P53" s="63">
        <v>90.0</v>
      </c>
      <c r="Q53" s="64">
        <v>89.33</v>
      </c>
      <c r="R53" s="840">
        <v>2684.35</v>
      </c>
      <c r="S53" s="66">
        <f t="shared" si="76"/>
        <v>120</v>
      </c>
      <c r="U53" s="67">
        <v>120.0</v>
      </c>
      <c r="V53" s="67">
        <v>1.1023</v>
      </c>
      <c r="Y53" s="57">
        <v>10.0</v>
      </c>
      <c r="Z53" s="69">
        <f t="shared" si="62"/>
        <v>30</v>
      </c>
      <c r="AA53" s="70">
        <f t="shared" si="63"/>
        <v>40</v>
      </c>
      <c r="AB53" s="71">
        <f t="shared" si="64"/>
        <v>688.5969995</v>
      </c>
      <c r="AC53" s="71">
        <f>+(S53-T53)*V53-'data 1'!$F$4</f>
        <v>52.276</v>
      </c>
      <c r="AD53" s="71">
        <f t="shared" si="65"/>
        <v>-6.723265527</v>
      </c>
      <c r="AE53" s="71">
        <f t="shared" si="66"/>
        <v>-25.908</v>
      </c>
      <c r="AF53" s="71">
        <f t="shared" si="67"/>
        <v>37.87613893</v>
      </c>
      <c r="AG53" s="72">
        <f t="shared" si="75"/>
        <v>74.5208734</v>
      </c>
      <c r="AH53" s="52">
        <f t="shared" si="69"/>
        <v>18.52207512</v>
      </c>
      <c r="AI53" s="73">
        <f t="shared" si="70"/>
        <v>43.57303162</v>
      </c>
      <c r="AJ53" s="73">
        <f t="shared" si="71"/>
        <v>17.87250308</v>
      </c>
      <c r="AK53" s="11"/>
      <c r="AL53" s="51">
        <f t="shared" si="72"/>
        <v>1173.059419</v>
      </c>
      <c r="AM53" s="58"/>
    </row>
    <row r="54" ht="15.75" customHeight="1">
      <c r="A54" s="844" t="s">
        <v>4273</v>
      </c>
      <c r="B54" s="56">
        <v>45644.0</v>
      </c>
      <c r="C54" s="56">
        <v>45638.0</v>
      </c>
      <c r="D54" s="57" t="s">
        <v>104</v>
      </c>
      <c r="E54" s="57">
        <v>1.0479968131E10</v>
      </c>
      <c r="G54" s="3">
        <v>25.0</v>
      </c>
      <c r="H54" s="57" t="s">
        <v>40</v>
      </c>
      <c r="I54" s="58">
        <v>1.92</v>
      </c>
      <c r="J54" s="58">
        <v>16.5</v>
      </c>
      <c r="K54" s="59">
        <f t="shared" si="60"/>
        <v>1.6032</v>
      </c>
      <c r="L54" s="60">
        <v>0.481</v>
      </c>
      <c r="M54" s="60">
        <v>0.462</v>
      </c>
      <c r="N54" s="62">
        <v>0.462</v>
      </c>
      <c r="O54" s="60">
        <f t="shared" si="61"/>
        <v>0.462</v>
      </c>
      <c r="P54" s="63">
        <v>90.0</v>
      </c>
      <c r="Q54" s="64">
        <v>89.62</v>
      </c>
      <c r="R54" s="840">
        <v>2684.35</v>
      </c>
      <c r="S54" s="66">
        <f t="shared" si="76"/>
        <v>130</v>
      </c>
      <c r="U54" s="67">
        <v>120.0</v>
      </c>
      <c r="V54" s="67">
        <v>1.1023</v>
      </c>
      <c r="Y54" s="57">
        <v>10.0</v>
      </c>
      <c r="Z54" s="69">
        <f t="shared" si="62"/>
        <v>30</v>
      </c>
      <c r="AA54" s="70">
        <f t="shared" si="63"/>
        <v>40</v>
      </c>
      <c r="AB54" s="71">
        <f t="shared" si="64"/>
        <v>987.9437935</v>
      </c>
      <c r="AC54" s="71">
        <f>+(S54-T54)*V54-'data 1'!$F$4</f>
        <v>63.299</v>
      </c>
      <c r="AD54" s="71">
        <f t="shared" si="65"/>
        <v>-5.166611197</v>
      </c>
      <c r="AE54" s="71">
        <f t="shared" si="66"/>
        <v>-25.908</v>
      </c>
      <c r="AF54" s="71">
        <f t="shared" si="67"/>
        <v>48.13219287</v>
      </c>
      <c r="AG54" s="72">
        <f t="shared" si="75"/>
        <v>97.35658168</v>
      </c>
      <c r="AH54" s="52">
        <f t="shared" si="69"/>
        <v>23.69445858</v>
      </c>
      <c r="AI54" s="73">
        <f t="shared" si="70"/>
        <v>59.23005095</v>
      </c>
      <c r="AJ54" s="73">
        <f t="shared" si="71"/>
        <v>22.85500173</v>
      </c>
      <c r="AK54" s="11"/>
      <c r="AL54" s="51">
        <f t="shared" si="72"/>
        <v>1583.87149</v>
      </c>
      <c r="AM54" s="58"/>
    </row>
    <row r="55" ht="15.75" customHeight="1">
      <c r="A55" s="844" t="s">
        <v>4274</v>
      </c>
      <c r="B55" s="56">
        <v>45647.0</v>
      </c>
      <c r="C55" s="56">
        <v>45638.0</v>
      </c>
      <c r="D55" s="57" t="s">
        <v>4275</v>
      </c>
      <c r="E55" s="57">
        <v>2.0612275603E10</v>
      </c>
      <c r="G55" s="3">
        <v>13.0</v>
      </c>
      <c r="H55" s="57" t="s">
        <v>47</v>
      </c>
      <c r="I55" s="58">
        <v>1.28</v>
      </c>
      <c r="J55" s="58">
        <v>1.2</v>
      </c>
      <c r="K55" s="59">
        <f t="shared" si="60"/>
        <v>1.26464</v>
      </c>
      <c r="L55" s="60">
        <v>0.193</v>
      </c>
      <c r="M55" s="60">
        <v>0.183</v>
      </c>
      <c r="N55" s="62">
        <v>0.183</v>
      </c>
      <c r="O55" s="60">
        <f t="shared" si="61"/>
        <v>0.183</v>
      </c>
      <c r="P55" s="63">
        <v>90.0</v>
      </c>
      <c r="Q55" s="64">
        <v>89.25</v>
      </c>
      <c r="R55" s="840">
        <v>2684.35</v>
      </c>
      <c r="S55" s="76">
        <v>95.0</v>
      </c>
      <c r="U55" s="67">
        <v>100.0</v>
      </c>
      <c r="V55" s="67">
        <v>1.1023</v>
      </c>
      <c r="Z55" s="69">
        <f t="shared" si="62"/>
        <v>30</v>
      </c>
      <c r="AA55" s="70">
        <f t="shared" si="63"/>
        <v>30</v>
      </c>
      <c r="AB55" s="71">
        <f t="shared" si="64"/>
        <v>331.3981671</v>
      </c>
      <c r="AC55" s="71">
        <f>+(S55-T55)*V55-'data 1'!$F$4</f>
        <v>24.7185</v>
      </c>
      <c r="AD55" s="71">
        <f t="shared" si="65"/>
        <v>-4.123535235</v>
      </c>
      <c r="AE55" s="71">
        <f t="shared" si="66"/>
        <v>-36.931</v>
      </c>
      <c r="AF55" s="71">
        <f t="shared" si="67"/>
        <v>25.42490637</v>
      </c>
      <c r="AG55" s="72">
        <f t="shared" ref="AG55:AG57" si="77">+IF(D55="RONALD WILLIAN GARIBAY ESCUDERO",AC55+AD55+AE55+AF55+70,AC55+AD55+AE55+AF55)+70-20</f>
        <v>59.08887113</v>
      </c>
      <c r="AH55" s="52">
        <f t="shared" si="69"/>
        <v>7.468639846</v>
      </c>
      <c r="AI55" s="73">
        <f t="shared" si="70"/>
        <v>19.87030685</v>
      </c>
      <c r="AJ55" s="73">
        <f t="shared" si="71"/>
        <v>7.141173467</v>
      </c>
      <c r="AK55" s="11"/>
      <c r="AL55" s="51">
        <f t="shared" si="72"/>
        <v>419.0993781</v>
      </c>
      <c r="AM55" s="58"/>
    </row>
    <row r="56" ht="15.75" customHeight="1">
      <c r="A56" s="844" t="s">
        <v>4276</v>
      </c>
      <c r="B56" s="56">
        <v>45647.0</v>
      </c>
      <c r="C56" s="56">
        <v>45638.0</v>
      </c>
      <c r="D56" s="57" t="s">
        <v>4275</v>
      </c>
      <c r="E56" s="57">
        <v>2.0612275603E10</v>
      </c>
      <c r="G56" s="3">
        <v>28.0</v>
      </c>
      <c r="H56" s="57" t="s">
        <v>47</v>
      </c>
      <c r="I56" s="58">
        <v>2.91</v>
      </c>
      <c r="J56" s="58">
        <v>1.1</v>
      </c>
      <c r="K56" s="59">
        <f t="shared" si="60"/>
        <v>2.87799</v>
      </c>
      <c r="L56" s="60">
        <v>0.102</v>
      </c>
      <c r="M56" s="60">
        <v>0.091</v>
      </c>
      <c r="N56" s="62">
        <v>0.091</v>
      </c>
      <c r="O56" s="60">
        <f t="shared" si="61"/>
        <v>0.091</v>
      </c>
      <c r="P56" s="63">
        <v>80.0</v>
      </c>
      <c r="Q56" s="64">
        <v>89.42</v>
      </c>
      <c r="R56" s="840">
        <v>2684.35</v>
      </c>
      <c r="S56" s="76">
        <v>110.0</v>
      </c>
      <c r="U56" s="67">
        <v>100.0</v>
      </c>
      <c r="V56" s="67">
        <v>1.1023</v>
      </c>
      <c r="Z56" s="69">
        <f t="shared" si="62"/>
        <v>30</v>
      </c>
      <c r="AA56" s="70">
        <f t="shared" si="63"/>
        <v>30</v>
      </c>
      <c r="AB56" s="71">
        <f t="shared" si="64"/>
        <v>53.06547156</v>
      </c>
      <c r="AC56" s="71">
        <f>+(S56-T56)*V56-'data 1'!$F$4</f>
        <v>41.253</v>
      </c>
      <c r="AD56" s="71">
        <f t="shared" si="65"/>
        <v>27.37172777</v>
      </c>
      <c r="AE56" s="71">
        <f t="shared" si="66"/>
        <v>-36.931</v>
      </c>
      <c r="AF56" s="71">
        <f t="shared" si="67"/>
        <v>28.02066824</v>
      </c>
      <c r="AG56" s="72">
        <f t="shared" si="77"/>
        <v>109.714396</v>
      </c>
      <c r="AH56" s="52">
        <f t="shared" si="69"/>
        <v>8.999806814</v>
      </c>
      <c r="AI56" s="73">
        <f t="shared" si="70"/>
        <v>10.52140837</v>
      </c>
      <c r="AJ56" s="73">
        <f t="shared" si="71"/>
        <v>7.183394688</v>
      </c>
      <c r="AK56" s="11"/>
      <c r="AL56" s="51">
        <f t="shared" si="72"/>
        <v>152.7218965</v>
      </c>
      <c r="AM56" s="58"/>
    </row>
    <row r="57" ht="15.75" customHeight="1">
      <c r="A57" s="844" t="s">
        <v>4277</v>
      </c>
      <c r="B57" s="56">
        <v>45647.0</v>
      </c>
      <c r="C57" s="56">
        <v>45638.0</v>
      </c>
      <c r="D57" s="57" t="s">
        <v>4275</v>
      </c>
      <c r="E57" s="57">
        <v>2.0612275603E10</v>
      </c>
      <c r="G57" s="3">
        <v>14.0</v>
      </c>
      <c r="H57" s="57" t="s">
        <v>47</v>
      </c>
      <c r="I57" s="58">
        <v>1.32</v>
      </c>
      <c r="J57" s="58">
        <v>1.2</v>
      </c>
      <c r="K57" s="59">
        <f t="shared" si="60"/>
        <v>1.30416</v>
      </c>
      <c r="L57" s="60">
        <v>0.161</v>
      </c>
      <c r="M57" s="60">
        <v>0.151</v>
      </c>
      <c r="N57" s="62">
        <v>0.151</v>
      </c>
      <c r="O57" s="60">
        <f t="shared" si="61"/>
        <v>0.151</v>
      </c>
      <c r="P57" s="63">
        <v>90.0</v>
      </c>
      <c r="Q57" s="64">
        <v>89.71</v>
      </c>
      <c r="R57" s="840">
        <v>2684.35</v>
      </c>
      <c r="S57" s="76">
        <v>95.0</v>
      </c>
      <c r="U57" s="67">
        <v>100.0</v>
      </c>
      <c r="V57" s="67">
        <v>1.1023</v>
      </c>
      <c r="Z57" s="69">
        <f t="shared" si="62"/>
        <v>30</v>
      </c>
      <c r="AA57" s="70">
        <f t="shared" si="63"/>
        <v>30</v>
      </c>
      <c r="AB57" s="71">
        <f t="shared" si="64"/>
        <v>249.3547718</v>
      </c>
      <c r="AC57" s="71">
        <f>+(S57-T57)*V57-'data 1'!$F$4</f>
        <v>24.7185</v>
      </c>
      <c r="AD57" s="71">
        <f t="shared" si="65"/>
        <v>-1.330071572</v>
      </c>
      <c r="AE57" s="71">
        <f t="shared" si="66"/>
        <v>-36.931</v>
      </c>
      <c r="AF57" s="71">
        <f t="shared" si="67"/>
        <v>25.5559479</v>
      </c>
      <c r="AG57" s="72">
        <f t="shared" si="77"/>
        <v>62.01337633</v>
      </c>
      <c r="AH57" s="52">
        <f t="shared" si="69"/>
        <v>6.458128436</v>
      </c>
      <c r="AI57" s="73">
        <f t="shared" si="70"/>
        <v>16.66118063</v>
      </c>
      <c r="AJ57" s="73">
        <f t="shared" si="71"/>
        <v>6.076582545</v>
      </c>
      <c r="AK57" s="11"/>
      <c r="AL57" s="51">
        <f t="shared" si="72"/>
        <v>325.1985192</v>
      </c>
      <c r="AM57" s="58"/>
    </row>
    <row r="58" ht="15.75" customHeight="1">
      <c r="A58" s="844" t="s">
        <v>4278</v>
      </c>
      <c r="B58" s="56">
        <v>45642.0</v>
      </c>
      <c r="C58" s="56">
        <v>45639.0</v>
      </c>
      <c r="D58" s="57" t="s">
        <v>181</v>
      </c>
      <c r="E58" s="57">
        <v>2.0603329059E10</v>
      </c>
      <c r="G58" s="3">
        <v>165.0</v>
      </c>
      <c r="H58" s="57" t="s">
        <v>40</v>
      </c>
      <c r="I58" s="58">
        <v>5.91</v>
      </c>
      <c r="J58" s="58">
        <v>16.75</v>
      </c>
      <c r="K58" s="59">
        <f t="shared" si="60"/>
        <v>4.920075</v>
      </c>
      <c r="L58" s="60">
        <v>0.276</v>
      </c>
      <c r="M58" s="60">
        <v>0.265</v>
      </c>
      <c r="N58" s="75">
        <v>0.294</v>
      </c>
      <c r="O58" s="60">
        <f t="shared" si="61"/>
        <v>0.28</v>
      </c>
      <c r="P58" s="63">
        <v>90.0</v>
      </c>
      <c r="Q58" s="64">
        <v>89.63</v>
      </c>
      <c r="R58" s="840">
        <v>2659.05</v>
      </c>
      <c r="S58" s="76">
        <f t="shared" ref="S58:S75" si="78">IF((80+ROUNDDOWN(O58,1)*100)&lt;95,95,(80+ROUNDDOWN(O58,1)*100))</f>
        <v>100</v>
      </c>
      <c r="U58" s="67">
        <v>100.0</v>
      </c>
      <c r="V58" s="67">
        <v>1.1023</v>
      </c>
      <c r="Z58" s="69">
        <f t="shared" si="62"/>
        <v>30</v>
      </c>
      <c r="AA58" s="70">
        <f t="shared" si="63"/>
        <v>30</v>
      </c>
      <c r="AB58" s="71">
        <f t="shared" si="64"/>
        <v>567.5528854</v>
      </c>
      <c r="AC58" s="71">
        <f>+(S58-T58)*V58-'data 1'!$F$4</f>
        <v>30.23</v>
      </c>
      <c r="AD58" s="71">
        <f t="shared" si="65"/>
        <v>-2.88064264</v>
      </c>
      <c r="AE58" s="71">
        <f t="shared" si="66"/>
        <v>-36.931</v>
      </c>
      <c r="AF58" s="71">
        <f t="shared" si="67"/>
        <v>-10.11327849</v>
      </c>
      <c r="AG58" s="72">
        <f t="shared" ref="AG58:AG75" si="79">+IF(D58="RONALD WILLIAN GARIBAY ESCUDERO",AC58+AD58+AE58+AF58+70,AC58+AD58+AE58+AF58)+70-28-3</f>
        <v>19.30507887</v>
      </c>
      <c r="AH58" s="52">
        <f t="shared" si="69"/>
        <v>41.72950863</v>
      </c>
      <c r="AI58" s="73">
        <f t="shared" si="70"/>
        <v>35.43550038</v>
      </c>
      <c r="AJ58" s="73">
        <f t="shared" si="71"/>
        <v>42.50904351</v>
      </c>
      <c r="AK58" s="11"/>
      <c r="AL58" s="51">
        <f t="shared" si="72"/>
        <v>2792.402763</v>
      </c>
      <c r="AM58" s="58"/>
    </row>
    <row r="59" ht="15.75" customHeight="1">
      <c r="A59" s="844" t="s">
        <v>4279</v>
      </c>
      <c r="B59" s="56">
        <v>45642.0</v>
      </c>
      <c r="C59" s="56">
        <v>45639.0</v>
      </c>
      <c r="D59" s="57" t="s">
        <v>181</v>
      </c>
      <c r="E59" s="57">
        <v>2.0603329059E10</v>
      </c>
      <c r="G59" s="3">
        <v>90.0</v>
      </c>
      <c r="H59" s="57" t="s">
        <v>40</v>
      </c>
      <c r="I59" s="58">
        <v>3.28</v>
      </c>
      <c r="J59" s="58">
        <v>16.95</v>
      </c>
      <c r="K59" s="59">
        <f t="shared" si="60"/>
        <v>2.72404</v>
      </c>
      <c r="L59" s="60">
        <v>0.216</v>
      </c>
      <c r="M59" s="60">
        <v>0.206</v>
      </c>
      <c r="N59" s="60">
        <v>0.206</v>
      </c>
      <c r="O59" s="60">
        <f t="shared" si="61"/>
        <v>0.206</v>
      </c>
      <c r="P59" s="63">
        <v>90.0</v>
      </c>
      <c r="Q59" s="64">
        <v>89.72</v>
      </c>
      <c r="R59" s="840">
        <v>2659.05</v>
      </c>
      <c r="S59" s="76">
        <f t="shared" si="78"/>
        <v>100</v>
      </c>
      <c r="U59" s="67">
        <v>100.0</v>
      </c>
      <c r="V59" s="67">
        <v>1.1023</v>
      </c>
      <c r="Z59" s="69">
        <f t="shared" si="62"/>
        <v>30</v>
      </c>
      <c r="AA59" s="70">
        <f t="shared" si="63"/>
        <v>30</v>
      </c>
      <c r="AB59" s="71">
        <f t="shared" si="64"/>
        <v>379.6848871</v>
      </c>
      <c r="AC59" s="71">
        <f>+(S59-T59)*V59-'data 1'!$F$4</f>
        <v>30.23</v>
      </c>
      <c r="AD59" s="71">
        <f t="shared" si="65"/>
        <v>-1.706044525</v>
      </c>
      <c r="AE59" s="71">
        <f t="shared" si="66"/>
        <v>-36.931</v>
      </c>
      <c r="AF59" s="71">
        <f t="shared" si="67"/>
        <v>25.30858379</v>
      </c>
      <c r="AG59" s="72">
        <f t="shared" si="79"/>
        <v>55.90153927</v>
      </c>
      <c r="AH59" s="52">
        <f t="shared" si="69"/>
        <v>18.09945783</v>
      </c>
      <c r="AI59" s="73">
        <f t="shared" si="70"/>
        <v>27.75997734</v>
      </c>
      <c r="AJ59" s="73">
        <f t="shared" si="71"/>
        <v>17.31539007</v>
      </c>
      <c r="AK59" s="11"/>
      <c r="AL59" s="51">
        <f t="shared" si="72"/>
        <v>1034.27682</v>
      </c>
      <c r="AM59" s="58"/>
    </row>
    <row r="60" ht="15.75" customHeight="1">
      <c r="A60" s="844" t="s">
        <v>4280</v>
      </c>
      <c r="B60" s="56">
        <v>45642.0</v>
      </c>
      <c r="C60" s="56">
        <v>45639.0</v>
      </c>
      <c r="D60" s="57" t="s">
        <v>181</v>
      </c>
      <c r="E60" s="57">
        <v>2.0603329059E10</v>
      </c>
      <c r="G60" s="3">
        <v>134.0</v>
      </c>
      <c r="H60" s="57" t="s">
        <v>40</v>
      </c>
      <c r="I60" s="58">
        <v>4.95</v>
      </c>
      <c r="J60" s="58">
        <v>17.15</v>
      </c>
      <c r="K60" s="59">
        <f t="shared" si="60"/>
        <v>4.101075</v>
      </c>
      <c r="L60" s="60">
        <v>0.234</v>
      </c>
      <c r="M60" s="60">
        <v>0.224</v>
      </c>
      <c r="N60" s="60">
        <v>0.224</v>
      </c>
      <c r="O60" s="60">
        <f t="shared" si="61"/>
        <v>0.224</v>
      </c>
      <c r="P60" s="63">
        <v>90.0</v>
      </c>
      <c r="Q60" s="64">
        <v>89.82</v>
      </c>
      <c r="R60" s="840">
        <v>2659.05</v>
      </c>
      <c r="S60" s="76">
        <f t="shared" si="78"/>
        <v>100</v>
      </c>
      <c r="U60" s="67">
        <v>100.0</v>
      </c>
      <c r="V60" s="67">
        <v>1.1023</v>
      </c>
      <c r="Z60" s="69">
        <f t="shared" si="62"/>
        <v>30</v>
      </c>
      <c r="AA60" s="70">
        <f t="shared" si="63"/>
        <v>30</v>
      </c>
      <c r="AB60" s="71">
        <f t="shared" si="64"/>
        <v>425.3825083</v>
      </c>
      <c r="AC60" s="71">
        <f>+(S60-T60)*V60-'data 1'!$F$4</f>
        <v>30.23</v>
      </c>
      <c r="AD60" s="71">
        <f t="shared" si="65"/>
        <v>-1.188138151</v>
      </c>
      <c r="AE60" s="71">
        <f t="shared" si="66"/>
        <v>-36.931</v>
      </c>
      <c r="AF60" s="71">
        <f t="shared" si="67"/>
        <v>25.3367922</v>
      </c>
      <c r="AG60" s="72">
        <f t="shared" si="79"/>
        <v>56.44765405</v>
      </c>
      <c r="AH60" s="52">
        <f t="shared" si="69"/>
        <v>29.55259956</v>
      </c>
      <c r="AI60" s="73">
        <f t="shared" si="70"/>
        <v>30.10682786</v>
      </c>
      <c r="AJ60" s="73">
        <f t="shared" si="71"/>
        <v>28.34636068</v>
      </c>
      <c r="AK60" s="11"/>
      <c r="AL60" s="51">
        <f t="shared" si="72"/>
        <v>1744.52557</v>
      </c>
      <c r="AM60" s="58"/>
    </row>
    <row r="61" ht="15.75" customHeight="1">
      <c r="A61" s="844" t="s">
        <v>4281</v>
      </c>
      <c r="B61" s="56">
        <v>45642.0</v>
      </c>
      <c r="C61" s="56">
        <v>45639.0</v>
      </c>
      <c r="D61" s="57" t="s">
        <v>181</v>
      </c>
      <c r="E61" s="57">
        <v>2.0603329059E10</v>
      </c>
      <c r="G61" s="3">
        <v>40.0</v>
      </c>
      <c r="H61" s="57" t="s">
        <v>40</v>
      </c>
      <c r="I61" s="58">
        <v>3.27</v>
      </c>
      <c r="J61" s="58">
        <v>16.4</v>
      </c>
      <c r="K61" s="59">
        <f t="shared" si="60"/>
        <v>2.73372</v>
      </c>
      <c r="L61" s="60">
        <v>0.255</v>
      </c>
      <c r="M61" s="60">
        <v>0.245</v>
      </c>
      <c r="N61" s="60">
        <v>0.245</v>
      </c>
      <c r="O61" s="60">
        <f t="shared" si="61"/>
        <v>0.245</v>
      </c>
      <c r="P61" s="63">
        <v>90.0</v>
      </c>
      <c r="Q61" s="64">
        <v>89.54</v>
      </c>
      <c r="R61" s="840">
        <v>2659.05</v>
      </c>
      <c r="S61" s="76">
        <f t="shared" si="78"/>
        <v>100</v>
      </c>
      <c r="U61" s="67">
        <v>100.0</v>
      </c>
      <c r="V61" s="67">
        <v>1.1023</v>
      </c>
      <c r="Z61" s="69">
        <f t="shared" si="62"/>
        <v>30</v>
      </c>
      <c r="AA61" s="70">
        <f t="shared" si="63"/>
        <v>30</v>
      </c>
      <c r="AB61" s="71">
        <f t="shared" si="64"/>
        <v>478.6963997</v>
      </c>
      <c r="AC61" s="71">
        <f>+(S61-T61)*V61-'data 1'!$F$4</f>
        <v>30.23</v>
      </c>
      <c r="AD61" s="71">
        <f t="shared" si="65"/>
        <v>-3.308846276</v>
      </c>
      <c r="AE61" s="71">
        <f t="shared" si="66"/>
        <v>-36.931</v>
      </c>
      <c r="AF61" s="71">
        <f t="shared" si="67"/>
        <v>25.25780866</v>
      </c>
      <c r="AG61" s="72">
        <f t="shared" si="79"/>
        <v>54.24796238</v>
      </c>
      <c r="AH61" s="52">
        <f t="shared" si="69"/>
        <v>21.40032505</v>
      </c>
      <c r="AI61" s="73">
        <f t="shared" si="70"/>
        <v>32.70644653</v>
      </c>
      <c r="AJ61" s="73">
        <f t="shared" si="71"/>
        <v>20.66672655</v>
      </c>
      <c r="AK61" s="11"/>
      <c r="AL61" s="51">
        <f t="shared" si="72"/>
        <v>1308.621922</v>
      </c>
      <c r="AM61" s="58"/>
    </row>
    <row r="62" ht="15.75" customHeight="1">
      <c r="A62" s="844" t="s">
        <v>4282</v>
      </c>
      <c r="B62" s="56">
        <v>45642.0</v>
      </c>
      <c r="C62" s="56">
        <v>45639.0</v>
      </c>
      <c r="D62" s="57" t="s">
        <v>181</v>
      </c>
      <c r="E62" s="57">
        <v>2.0603329059E10</v>
      </c>
      <c r="G62" s="3">
        <v>90.0</v>
      </c>
      <c r="H62" s="57" t="s">
        <v>40</v>
      </c>
      <c r="I62" s="58">
        <v>2.71</v>
      </c>
      <c r="J62" s="58">
        <v>16.8</v>
      </c>
      <c r="K62" s="59">
        <f t="shared" si="60"/>
        <v>2.25472</v>
      </c>
      <c r="L62" s="60">
        <v>0.402</v>
      </c>
      <c r="M62" s="60">
        <v>0.385</v>
      </c>
      <c r="N62" s="75">
        <v>0.467</v>
      </c>
      <c r="O62" s="60">
        <f t="shared" si="61"/>
        <v>0.426</v>
      </c>
      <c r="P62" s="63">
        <v>90.0</v>
      </c>
      <c r="Q62" s="64">
        <v>89.23</v>
      </c>
      <c r="R62" s="840">
        <v>2659.05</v>
      </c>
      <c r="S62" s="76">
        <f t="shared" si="78"/>
        <v>120</v>
      </c>
      <c r="U62" s="67">
        <v>100.0</v>
      </c>
      <c r="V62" s="67">
        <v>1.1023</v>
      </c>
      <c r="Z62" s="69">
        <f t="shared" si="62"/>
        <v>30</v>
      </c>
      <c r="AA62" s="70">
        <f t="shared" si="63"/>
        <v>30</v>
      </c>
      <c r="AB62" s="71">
        <f t="shared" si="64"/>
        <v>916.1653685</v>
      </c>
      <c r="AC62" s="71">
        <f>+(S62-T62)*V62-'data 1'!$F$4</f>
        <v>52.276</v>
      </c>
      <c r="AD62" s="71">
        <f t="shared" si="65"/>
        <v>-8.731630659</v>
      </c>
      <c r="AE62" s="71">
        <f t="shared" si="66"/>
        <v>-36.931</v>
      </c>
      <c r="AF62" s="71">
        <f t="shared" si="67"/>
        <v>-60.40887022</v>
      </c>
      <c r="AG62" s="72">
        <f t="shared" si="79"/>
        <v>-14.79550088</v>
      </c>
      <c r="AH62" s="52">
        <f t="shared" si="69"/>
        <v>27.72928251</v>
      </c>
      <c r="AI62" s="73">
        <f t="shared" si="70"/>
        <v>51.38224047</v>
      </c>
      <c r="AJ62" s="73">
        <f t="shared" si="71"/>
        <v>29.63833449</v>
      </c>
      <c r="AK62" s="11"/>
      <c r="AL62" s="51">
        <f t="shared" si="72"/>
        <v>2065.69638</v>
      </c>
      <c r="AM62" s="58"/>
    </row>
    <row r="63" ht="15.75" customHeight="1">
      <c r="A63" s="844" t="s">
        <v>4283</v>
      </c>
      <c r="B63" s="56">
        <v>45642.0</v>
      </c>
      <c r="C63" s="56">
        <v>45639.0</v>
      </c>
      <c r="D63" s="57" t="s">
        <v>181</v>
      </c>
      <c r="E63" s="57">
        <v>2.0603329059E10</v>
      </c>
      <c r="G63" s="3">
        <v>84.0</v>
      </c>
      <c r="H63" s="57" t="s">
        <v>40</v>
      </c>
      <c r="I63" s="58">
        <v>2.9</v>
      </c>
      <c r="J63" s="58">
        <v>16.0</v>
      </c>
      <c r="K63" s="59">
        <f t="shared" si="60"/>
        <v>2.436</v>
      </c>
      <c r="L63" s="60">
        <v>0.203</v>
      </c>
      <c r="M63" s="60">
        <v>0.193</v>
      </c>
      <c r="N63" s="75">
        <v>0.217</v>
      </c>
      <c r="O63" s="60">
        <f t="shared" si="61"/>
        <v>0.205</v>
      </c>
      <c r="P63" s="63">
        <v>90.0</v>
      </c>
      <c r="Q63" s="64">
        <v>89.17</v>
      </c>
      <c r="R63" s="840">
        <v>2659.05</v>
      </c>
      <c r="S63" s="76">
        <f t="shared" si="78"/>
        <v>100</v>
      </c>
      <c r="U63" s="67">
        <v>100.0</v>
      </c>
      <c r="V63" s="67">
        <v>1.1023</v>
      </c>
      <c r="Z63" s="69">
        <f t="shared" si="62"/>
        <v>30</v>
      </c>
      <c r="AA63" s="70">
        <f t="shared" si="63"/>
        <v>30</v>
      </c>
      <c r="AB63" s="71">
        <f t="shared" si="64"/>
        <v>377.1461304</v>
      </c>
      <c r="AC63" s="71">
        <f>+(S63-T63)*V63-'data 1'!$F$4</f>
        <v>30.23</v>
      </c>
      <c r="AD63" s="71">
        <f t="shared" si="65"/>
        <v>-4.752834689</v>
      </c>
      <c r="AE63" s="71">
        <f t="shared" si="66"/>
        <v>-36.931</v>
      </c>
      <c r="AF63" s="71">
        <f t="shared" si="67"/>
        <v>-5.030687509</v>
      </c>
      <c r="AG63" s="72">
        <f t="shared" si="79"/>
        <v>22.5154778</v>
      </c>
      <c r="AH63" s="52">
        <f t="shared" si="69"/>
        <v>15.1182373</v>
      </c>
      <c r="AI63" s="73">
        <f t="shared" si="70"/>
        <v>25.92930617</v>
      </c>
      <c r="AJ63" s="73">
        <f t="shared" si="71"/>
        <v>15.40929338</v>
      </c>
      <c r="AK63" s="11"/>
      <c r="AL63" s="51">
        <f t="shared" si="72"/>
        <v>918.7279736</v>
      </c>
      <c r="AM63" s="58"/>
    </row>
    <row r="64" ht="15.75" customHeight="1">
      <c r="A64" s="844" t="s">
        <v>4284</v>
      </c>
      <c r="B64" s="56">
        <v>45642.0</v>
      </c>
      <c r="C64" s="56">
        <v>45639.0</v>
      </c>
      <c r="D64" s="57" t="s">
        <v>181</v>
      </c>
      <c r="E64" s="57">
        <v>2.0603329059E10</v>
      </c>
      <c r="G64" s="3">
        <v>162.0</v>
      </c>
      <c r="H64" s="57" t="s">
        <v>40</v>
      </c>
      <c r="I64" s="58">
        <v>4.98</v>
      </c>
      <c r="J64" s="58">
        <v>16.5</v>
      </c>
      <c r="K64" s="59">
        <f t="shared" si="60"/>
        <v>4.1583</v>
      </c>
      <c r="L64" s="60">
        <v>0.238</v>
      </c>
      <c r="M64" s="60">
        <v>0.228</v>
      </c>
      <c r="N64" s="75">
        <v>0.263</v>
      </c>
      <c r="O64" s="60">
        <f t="shared" si="61"/>
        <v>0.246</v>
      </c>
      <c r="P64" s="63">
        <v>90.0</v>
      </c>
      <c r="Q64" s="64">
        <v>89.41</v>
      </c>
      <c r="R64" s="840">
        <v>2659.05</v>
      </c>
      <c r="S64" s="76">
        <f t="shared" si="78"/>
        <v>100</v>
      </c>
      <c r="U64" s="67">
        <v>100.0</v>
      </c>
      <c r="V64" s="67">
        <v>1.1023</v>
      </c>
      <c r="Z64" s="69">
        <f t="shared" si="62"/>
        <v>30</v>
      </c>
      <c r="AA64" s="70">
        <f t="shared" si="63"/>
        <v>30</v>
      </c>
      <c r="AB64" s="71">
        <f t="shared" si="64"/>
        <v>481.2351564</v>
      </c>
      <c r="AC64" s="71">
        <f>+(S64-T64)*V64-'data 1'!$F$4</f>
        <v>30.23</v>
      </c>
      <c r="AD64" s="71">
        <f t="shared" si="65"/>
        <v>-3.961024672</v>
      </c>
      <c r="AE64" s="71">
        <f t="shared" si="66"/>
        <v>-36.931</v>
      </c>
      <c r="AF64" s="71">
        <f t="shared" si="67"/>
        <v>-20.17691018</v>
      </c>
      <c r="AG64" s="72">
        <f t="shared" si="79"/>
        <v>8.161065146</v>
      </c>
      <c r="AH64" s="52">
        <f t="shared" si="69"/>
        <v>30.33806933</v>
      </c>
      <c r="AI64" s="73">
        <f t="shared" si="70"/>
        <v>30.4816971</v>
      </c>
      <c r="AJ64" s="73">
        <f t="shared" si="71"/>
        <v>31.56476091</v>
      </c>
      <c r="AK64" s="11"/>
      <c r="AL64" s="51">
        <f t="shared" si="72"/>
        <v>2001.120151</v>
      </c>
      <c r="AM64" s="58"/>
    </row>
    <row r="65" ht="15.75" customHeight="1">
      <c r="A65" s="844" t="s">
        <v>4285</v>
      </c>
      <c r="B65" s="56">
        <v>45642.0</v>
      </c>
      <c r="C65" s="56">
        <v>45639.0</v>
      </c>
      <c r="D65" s="57" t="s">
        <v>181</v>
      </c>
      <c r="E65" s="57">
        <v>2.0603329059E10</v>
      </c>
      <c r="G65" s="3">
        <v>180.0</v>
      </c>
      <c r="H65" s="57" t="s">
        <v>40</v>
      </c>
      <c r="I65" s="58">
        <v>5.49</v>
      </c>
      <c r="J65" s="58">
        <v>16.7</v>
      </c>
      <c r="K65" s="59">
        <f t="shared" si="60"/>
        <v>4.57317</v>
      </c>
      <c r="L65" s="60">
        <v>0.238</v>
      </c>
      <c r="M65" s="60">
        <v>0.228</v>
      </c>
      <c r="N65" s="60">
        <v>0.228</v>
      </c>
      <c r="O65" s="60">
        <f t="shared" si="61"/>
        <v>0.228</v>
      </c>
      <c r="P65" s="63">
        <v>90.0</v>
      </c>
      <c r="Q65" s="64">
        <v>89.52</v>
      </c>
      <c r="R65" s="840">
        <v>2659.05</v>
      </c>
      <c r="S65" s="76">
        <f t="shared" si="78"/>
        <v>100</v>
      </c>
      <c r="U65" s="67">
        <v>100.0</v>
      </c>
      <c r="V65" s="67">
        <v>1.1023</v>
      </c>
      <c r="Z65" s="69">
        <f t="shared" si="62"/>
        <v>30</v>
      </c>
      <c r="AA65" s="70">
        <f t="shared" si="63"/>
        <v>30</v>
      </c>
      <c r="AB65" s="71">
        <f t="shared" si="64"/>
        <v>435.5375352</v>
      </c>
      <c r="AC65" s="71">
        <f>+(S65-T65)*V65-'data 1'!$F$4</f>
        <v>30.23</v>
      </c>
      <c r="AD65" s="71">
        <f t="shared" si="65"/>
        <v>-3.222528547</v>
      </c>
      <c r="AE65" s="71">
        <f t="shared" si="66"/>
        <v>-36.931</v>
      </c>
      <c r="AF65" s="71">
        <f t="shared" si="67"/>
        <v>25.25216698</v>
      </c>
      <c r="AG65" s="72">
        <f t="shared" si="79"/>
        <v>54.32863843</v>
      </c>
      <c r="AH65" s="52">
        <f t="shared" si="69"/>
        <v>33.40592069</v>
      </c>
      <c r="AI65" s="73">
        <f t="shared" si="70"/>
        <v>30.51919835</v>
      </c>
      <c r="AJ65" s="73">
        <f t="shared" si="71"/>
        <v>32.17390474</v>
      </c>
      <c r="AK65" s="11"/>
      <c r="AL65" s="51">
        <f t="shared" si="72"/>
        <v>1991.78719</v>
      </c>
      <c r="AM65" s="58"/>
    </row>
    <row r="66" ht="15.75" customHeight="1">
      <c r="A66" s="844" t="s">
        <v>4286</v>
      </c>
      <c r="B66" s="56">
        <v>45642.0</v>
      </c>
      <c r="C66" s="56">
        <v>45639.0</v>
      </c>
      <c r="D66" s="57" t="s">
        <v>181</v>
      </c>
      <c r="E66" s="57">
        <v>2.0603329059E10</v>
      </c>
      <c r="G66" s="3">
        <v>72.0</v>
      </c>
      <c r="H66" s="57" t="s">
        <v>40</v>
      </c>
      <c r="I66" s="58">
        <v>2.2</v>
      </c>
      <c r="J66" s="58">
        <v>16.05</v>
      </c>
      <c r="K66" s="59">
        <f t="shared" si="60"/>
        <v>1.8469</v>
      </c>
      <c r="L66" s="60">
        <v>0.236</v>
      </c>
      <c r="M66" s="60">
        <v>0.226</v>
      </c>
      <c r="N66" s="60">
        <v>0.226</v>
      </c>
      <c r="O66" s="60">
        <f t="shared" si="61"/>
        <v>0.226</v>
      </c>
      <c r="P66" s="63">
        <v>90.0</v>
      </c>
      <c r="Q66" s="64">
        <v>89.43</v>
      </c>
      <c r="R66" s="840">
        <v>2659.05</v>
      </c>
      <c r="S66" s="76">
        <f t="shared" si="78"/>
        <v>100</v>
      </c>
      <c r="U66" s="67">
        <v>100.0</v>
      </c>
      <c r="V66" s="67">
        <v>1.1023</v>
      </c>
      <c r="Z66" s="69">
        <f t="shared" si="62"/>
        <v>30</v>
      </c>
      <c r="AA66" s="70">
        <f t="shared" si="63"/>
        <v>30</v>
      </c>
      <c r="AB66" s="71">
        <f t="shared" si="64"/>
        <v>430.4600218</v>
      </c>
      <c r="AC66" s="71">
        <f>+(S66-T66)*V66-'data 1'!$F$4</f>
        <v>30.23</v>
      </c>
      <c r="AD66" s="71">
        <f t="shared" si="65"/>
        <v>-3.794595064</v>
      </c>
      <c r="AE66" s="71">
        <f t="shared" si="66"/>
        <v>-36.931</v>
      </c>
      <c r="AF66" s="71">
        <f t="shared" si="67"/>
        <v>25.22677941</v>
      </c>
      <c r="AG66" s="72">
        <f t="shared" si="79"/>
        <v>53.73118434</v>
      </c>
      <c r="AH66" s="52">
        <f t="shared" si="69"/>
        <v>13.36434518</v>
      </c>
      <c r="AI66" s="73">
        <f t="shared" si="70"/>
        <v>30.2323095</v>
      </c>
      <c r="AJ66" s="73">
        <f t="shared" si="71"/>
        <v>12.87963036</v>
      </c>
      <c r="AK66" s="11"/>
      <c r="AL66" s="51">
        <f t="shared" si="72"/>
        <v>795.0166142</v>
      </c>
      <c r="AM66" s="58"/>
    </row>
    <row r="67" ht="15.75" customHeight="1">
      <c r="A67" s="844" t="s">
        <v>4287</v>
      </c>
      <c r="B67" s="56">
        <v>45642.0</v>
      </c>
      <c r="C67" s="56">
        <v>45639.0</v>
      </c>
      <c r="D67" s="57" t="s">
        <v>181</v>
      </c>
      <c r="E67" s="57">
        <v>2.0603329059E10</v>
      </c>
      <c r="G67" s="3">
        <v>64.0</v>
      </c>
      <c r="H67" s="57" t="s">
        <v>40</v>
      </c>
      <c r="I67" s="58">
        <v>3.87</v>
      </c>
      <c r="J67" s="58">
        <v>15.75</v>
      </c>
      <c r="K67" s="59">
        <f t="shared" si="60"/>
        <v>3.260475</v>
      </c>
      <c r="L67" s="60">
        <v>0.279</v>
      </c>
      <c r="M67" s="60">
        <v>0.268</v>
      </c>
      <c r="N67" s="60">
        <v>0.268</v>
      </c>
      <c r="O67" s="60">
        <f t="shared" si="61"/>
        <v>0.268</v>
      </c>
      <c r="P67" s="63">
        <v>90.0</v>
      </c>
      <c r="Q67" s="64">
        <v>89.58</v>
      </c>
      <c r="R67" s="840">
        <v>2659.05</v>
      </c>
      <c r="S67" s="76">
        <f t="shared" si="78"/>
        <v>100</v>
      </c>
      <c r="U67" s="67">
        <v>100.0</v>
      </c>
      <c r="V67" s="67">
        <v>1.1023</v>
      </c>
      <c r="Z67" s="69">
        <f t="shared" si="62"/>
        <v>30</v>
      </c>
      <c r="AA67" s="70">
        <f t="shared" si="63"/>
        <v>30</v>
      </c>
      <c r="AB67" s="71">
        <f t="shared" si="64"/>
        <v>537.0878046</v>
      </c>
      <c r="AC67" s="71">
        <f>+(S67-T67)*V67-'data 1'!$F$4</f>
        <v>30.23</v>
      </c>
      <c r="AD67" s="71">
        <f t="shared" si="65"/>
        <v>-3.305461267</v>
      </c>
      <c r="AE67" s="71">
        <f t="shared" si="66"/>
        <v>-36.931</v>
      </c>
      <c r="AF67" s="71">
        <f t="shared" si="67"/>
        <v>27.79600122</v>
      </c>
      <c r="AG67" s="72">
        <f t="shared" si="79"/>
        <v>56.78953996</v>
      </c>
      <c r="AH67" s="52">
        <f t="shared" si="69"/>
        <v>27.93863637</v>
      </c>
      <c r="AI67" s="73">
        <f t="shared" si="70"/>
        <v>35.80068634</v>
      </c>
      <c r="AJ67" s="73">
        <f t="shared" si="71"/>
        <v>26.96294013</v>
      </c>
      <c r="AK67" s="11"/>
      <c r="AL67" s="51">
        <f t="shared" si="72"/>
        <v>1751.16136</v>
      </c>
      <c r="AM67" s="58"/>
    </row>
    <row r="68" ht="15.75" customHeight="1">
      <c r="A68" s="844" t="s">
        <v>4288</v>
      </c>
      <c r="B68" s="56">
        <v>45642.0</v>
      </c>
      <c r="C68" s="56">
        <v>45639.0</v>
      </c>
      <c r="D68" s="57" t="s">
        <v>181</v>
      </c>
      <c r="E68" s="57">
        <v>2.0603329059E10</v>
      </c>
      <c r="G68" s="3">
        <v>71.0</v>
      </c>
      <c r="H68" s="57" t="s">
        <v>40</v>
      </c>
      <c r="I68" s="58">
        <v>5.72</v>
      </c>
      <c r="J68" s="58">
        <v>16.5</v>
      </c>
      <c r="K68" s="59">
        <f t="shared" si="60"/>
        <v>4.7762</v>
      </c>
      <c r="L68" s="60">
        <v>0.301</v>
      </c>
      <c r="M68" s="60">
        <v>0.289</v>
      </c>
      <c r="N68" s="75">
        <v>0.324</v>
      </c>
      <c r="O68" s="60">
        <f t="shared" si="61"/>
        <v>0.307</v>
      </c>
      <c r="P68" s="63">
        <v>90.0</v>
      </c>
      <c r="Q68" s="64">
        <v>89.66</v>
      </c>
      <c r="R68" s="840">
        <v>2659.05</v>
      </c>
      <c r="S68" s="76">
        <f t="shared" si="78"/>
        <v>110</v>
      </c>
      <c r="U68" s="67">
        <v>100.0</v>
      </c>
      <c r="V68" s="67">
        <v>1.1023</v>
      </c>
      <c r="Z68" s="69">
        <f t="shared" si="62"/>
        <v>30</v>
      </c>
      <c r="AA68" s="70">
        <f t="shared" si="63"/>
        <v>30</v>
      </c>
      <c r="AB68" s="71">
        <f t="shared" si="64"/>
        <v>625.0763172</v>
      </c>
      <c r="AC68" s="71">
        <f>+(S68-T68)*V68-'data 1'!$F$4</f>
        <v>41.253</v>
      </c>
      <c r="AD68" s="71">
        <f t="shared" si="65"/>
        <v>-2.88684849</v>
      </c>
      <c r="AE68" s="71">
        <f t="shared" si="66"/>
        <v>-36.931</v>
      </c>
      <c r="AF68" s="71">
        <f t="shared" si="67"/>
        <v>-15.17499525</v>
      </c>
      <c r="AG68" s="72">
        <f t="shared" si="79"/>
        <v>25.26015626</v>
      </c>
      <c r="AH68" s="52">
        <f t="shared" si="69"/>
        <v>44.19333778</v>
      </c>
      <c r="AI68" s="73">
        <f t="shared" si="70"/>
        <v>38.65817265</v>
      </c>
      <c r="AJ68" s="73">
        <f t="shared" si="71"/>
        <v>45.24519439</v>
      </c>
      <c r="AK68" s="11"/>
      <c r="AL68" s="51">
        <f t="shared" si="72"/>
        <v>2985.489506</v>
      </c>
      <c r="AM68" s="58"/>
    </row>
    <row r="69" ht="15.75" customHeight="1">
      <c r="A69" s="844" t="s">
        <v>4289</v>
      </c>
      <c r="B69" s="56">
        <v>45642.0</v>
      </c>
      <c r="C69" s="56">
        <v>45639.0</v>
      </c>
      <c r="D69" s="57" t="s">
        <v>181</v>
      </c>
      <c r="E69" s="57">
        <v>2.0603329059E10</v>
      </c>
      <c r="G69" s="3">
        <v>108.0</v>
      </c>
      <c r="H69" s="57" t="s">
        <v>40</v>
      </c>
      <c r="I69" s="58">
        <v>3.54</v>
      </c>
      <c r="J69" s="58">
        <v>16.05</v>
      </c>
      <c r="K69" s="59">
        <f t="shared" si="60"/>
        <v>2.97183</v>
      </c>
      <c r="L69" s="60">
        <v>0.349</v>
      </c>
      <c r="M69" s="60">
        <v>0.335</v>
      </c>
      <c r="N69" s="60">
        <v>0.335</v>
      </c>
      <c r="O69" s="60">
        <f t="shared" si="61"/>
        <v>0.335</v>
      </c>
      <c r="P69" s="63">
        <v>90.0</v>
      </c>
      <c r="Q69" s="64">
        <v>89.31</v>
      </c>
      <c r="R69" s="840">
        <v>2659.05</v>
      </c>
      <c r="S69" s="76">
        <f t="shared" si="78"/>
        <v>110</v>
      </c>
      <c r="U69" s="67">
        <v>100.0</v>
      </c>
      <c r="V69" s="67">
        <v>1.1023</v>
      </c>
      <c r="Z69" s="69">
        <f t="shared" si="62"/>
        <v>30</v>
      </c>
      <c r="AA69" s="70">
        <f t="shared" si="63"/>
        <v>30</v>
      </c>
      <c r="AB69" s="71">
        <f t="shared" si="64"/>
        <v>696.1615057</v>
      </c>
      <c r="AC69" s="71">
        <f>+(S69-T69)*V69-'data 1'!$F$4</f>
        <v>41.253</v>
      </c>
      <c r="AD69" s="71">
        <f t="shared" si="65"/>
        <v>-6.792866767</v>
      </c>
      <c r="AE69" s="71">
        <f t="shared" si="66"/>
        <v>-36.931</v>
      </c>
      <c r="AF69" s="71">
        <f t="shared" si="67"/>
        <v>35.27010105</v>
      </c>
      <c r="AG69" s="72">
        <f t="shared" si="79"/>
        <v>71.79923428</v>
      </c>
      <c r="AH69" s="52">
        <f t="shared" si="69"/>
        <v>31.75839515</v>
      </c>
      <c r="AI69" s="73">
        <f t="shared" si="70"/>
        <v>44.64795868</v>
      </c>
      <c r="AJ69" s="73">
        <f t="shared" si="71"/>
        <v>30.71993895</v>
      </c>
      <c r="AK69" s="11"/>
      <c r="AL69" s="51">
        <f t="shared" si="72"/>
        <v>2068.873648</v>
      </c>
      <c r="AM69" s="58"/>
    </row>
    <row r="70" ht="15.75" customHeight="1">
      <c r="A70" s="844" t="s">
        <v>4290</v>
      </c>
      <c r="B70" s="56">
        <v>45642.0</v>
      </c>
      <c r="C70" s="56">
        <v>45639.0</v>
      </c>
      <c r="D70" s="57" t="s">
        <v>181</v>
      </c>
      <c r="E70" s="57">
        <v>2.0603329059E10</v>
      </c>
      <c r="G70" s="3">
        <v>177.0</v>
      </c>
      <c r="H70" s="57" t="s">
        <v>40</v>
      </c>
      <c r="I70" s="58">
        <v>5.39</v>
      </c>
      <c r="J70" s="58">
        <v>15.75</v>
      </c>
      <c r="K70" s="59">
        <f t="shared" si="60"/>
        <v>4.541075</v>
      </c>
      <c r="L70" s="60">
        <v>0.389</v>
      </c>
      <c r="M70" s="60">
        <v>0.373</v>
      </c>
      <c r="N70" s="60">
        <v>0.373</v>
      </c>
      <c r="O70" s="60">
        <f t="shared" si="61"/>
        <v>0.373</v>
      </c>
      <c r="P70" s="63">
        <v>90.0</v>
      </c>
      <c r="Q70" s="64">
        <v>89.77</v>
      </c>
      <c r="R70" s="840">
        <v>2659.05</v>
      </c>
      <c r="S70" s="76">
        <f t="shared" si="78"/>
        <v>110</v>
      </c>
      <c r="U70" s="67">
        <v>100.0</v>
      </c>
      <c r="V70" s="67">
        <v>1.1023</v>
      </c>
      <c r="Z70" s="69">
        <f t="shared" si="62"/>
        <v>30</v>
      </c>
      <c r="AA70" s="70">
        <f t="shared" si="63"/>
        <v>30</v>
      </c>
      <c r="AB70" s="71">
        <f t="shared" si="64"/>
        <v>792.6342616</v>
      </c>
      <c r="AC70" s="71">
        <f>+(S70-T70)*V70-'data 1'!$F$4</f>
        <v>41.253</v>
      </c>
      <c r="AD70" s="71">
        <f t="shared" si="65"/>
        <v>-2.523806277</v>
      </c>
      <c r="AE70" s="71">
        <f t="shared" si="66"/>
        <v>-36.931</v>
      </c>
      <c r="AF70" s="71">
        <f t="shared" si="67"/>
        <v>40.51630079</v>
      </c>
      <c r="AG70" s="72">
        <f t="shared" si="79"/>
        <v>81.31449452</v>
      </c>
      <c r="AH70" s="52">
        <f t="shared" si="69"/>
        <v>54.36865264</v>
      </c>
      <c r="AI70" s="73">
        <f t="shared" si="70"/>
        <v>50.02152383</v>
      </c>
      <c r="AJ70" s="73">
        <f t="shared" si="71"/>
        <v>52.26597847</v>
      </c>
      <c r="AK70" s="11"/>
      <c r="AL70" s="51">
        <f t="shared" si="72"/>
        <v>3599.411629</v>
      </c>
      <c r="AM70" s="58"/>
    </row>
    <row r="71" ht="15.75" customHeight="1">
      <c r="A71" s="844" t="s">
        <v>4291</v>
      </c>
      <c r="B71" s="56">
        <v>45642.0</v>
      </c>
      <c r="C71" s="56">
        <v>45639.0</v>
      </c>
      <c r="D71" s="57" t="s">
        <v>181</v>
      </c>
      <c r="E71" s="57">
        <v>2.0603329059E10</v>
      </c>
      <c r="G71" s="3">
        <v>82.0</v>
      </c>
      <c r="H71" s="57" t="s">
        <v>40</v>
      </c>
      <c r="I71" s="58">
        <v>2.8</v>
      </c>
      <c r="J71" s="58">
        <v>16.85</v>
      </c>
      <c r="K71" s="59">
        <f t="shared" si="60"/>
        <v>2.3282</v>
      </c>
      <c r="L71" s="60">
        <v>0.325</v>
      </c>
      <c r="M71" s="60">
        <v>0.312</v>
      </c>
      <c r="N71" s="60">
        <v>0.312</v>
      </c>
      <c r="O71" s="60">
        <f t="shared" si="61"/>
        <v>0.312</v>
      </c>
      <c r="P71" s="63">
        <v>90.0</v>
      </c>
      <c r="Q71" s="64">
        <v>89.43</v>
      </c>
      <c r="R71" s="840">
        <v>2659.05</v>
      </c>
      <c r="S71" s="76">
        <f t="shared" si="78"/>
        <v>110</v>
      </c>
      <c r="U71" s="67">
        <v>100.0</v>
      </c>
      <c r="V71" s="67">
        <v>1.1023</v>
      </c>
      <c r="Z71" s="69">
        <f t="shared" si="62"/>
        <v>30</v>
      </c>
      <c r="AA71" s="70">
        <f t="shared" si="63"/>
        <v>30</v>
      </c>
      <c r="AB71" s="71">
        <f t="shared" si="64"/>
        <v>637.7701009</v>
      </c>
      <c r="AC71" s="71">
        <f>+(S71-T71)*V71-'data 1'!$F$4</f>
        <v>41.253</v>
      </c>
      <c r="AD71" s="71">
        <f t="shared" si="65"/>
        <v>-5.22560761</v>
      </c>
      <c r="AE71" s="71">
        <f t="shared" si="66"/>
        <v>-36.931</v>
      </c>
      <c r="AF71" s="71">
        <f t="shared" si="67"/>
        <v>32.79481323</v>
      </c>
      <c r="AG71" s="72">
        <f t="shared" si="79"/>
        <v>70.89120562</v>
      </c>
      <c r="AH71" s="52">
        <f t="shared" si="69"/>
        <v>23.20042528</v>
      </c>
      <c r="AI71" s="73">
        <f t="shared" si="70"/>
        <v>41.63347707</v>
      </c>
      <c r="AJ71" s="73">
        <f t="shared" si="71"/>
        <v>22.41436592</v>
      </c>
      <c r="AK71" s="11"/>
      <c r="AL71" s="51">
        <f t="shared" si="72"/>
        <v>1484.856349</v>
      </c>
      <c r="AM71" s="58"/>
    </row>
    <row r="72" ht="15.75" customHeight="1">
      <c r="A72" s="844" t="s">
        <v>4292</v>
      </c>
      <c r="B72" s="56">
        <v>45642.0</v>
      </c>
      <c r="C72" s="56">
        <v>45639.0</v>
      </c>
      <c r="D72" s="57" t="s">
        <v>181</v>
      </c>
      <c r="E72" s="57">
        <v>2.0603329059E10</v>
      </c>
      <c r="G72" s="3">
        <v>181.0</v>
      </c>
      <c r="H72" s="57" t="s">
        <v>40</v>
      </c>
      <c r="I72" s="58">
        <v>4.87</v>
      </c>
      <c r="J72" s="58">
        <v>16.4</v>
      </c>
      <c r="K72" s="59">
        <f t="shared" si="60"/>
        <v>4.07132</v>
      </c>
      <c r="L72" s="60">
        <v>0.275</v>
      </c>
      <c r="M72" s="60">
        <v>0.264</v>
      </c>
      <c r="N72" s="75">
        <v>0.297</v>
      </c>
      <c r="O72" s="60">
        <f t="shared" si="61"/>
        <v>0.281</v>
      </c>
      <c r="P72" s="63">
        <v>90.0</v>
      </c>
      <c r="Q72" s="64">
        <v>89.37</v>
      </c>
      <c r="R72" s="840">
        <v>2659.05</v>
      </c>
      <c r="S72" s="76">
        <f t="shared" si="78"/>
        <v>100</v>
      </c>
      <c r="U72" s="67">
        <v>100.0</v>
      </c>
      <c r="V72" s="67">
        <v>1.1023</v>
      </c>
      <c r="Z72" s="69">
        <f t="shared" si="62"/>
        <v>30</v>
      </c>
      <c r="AA72" s="70">
        <f t="shared" si="63"/>
        <v>30</v>
      </c>
      <c r="AB72" s="71">
        <f t="shared" si="64"/>
        <v>570.0916421</v>
      </c>
      <c r="AC72" s="71">
        <f>+(S72-T72)*V72-'data 1'!$F$4</f>
        <v>30.23</v>
      </c>
      <c r="AD72" s="71">
        <f t="shared" si="65"/>
        <v>-4.887106712</v>
      </c>
      <c r="AE72" s="71">
        <f t="shared" si="66"/>
        <v>-36.931</v>
      </c>
      <c r="AF72" s="71">
        <f t="shared" si="67"/>
        <v>-15.12591262</v>
      </c>
      <c r="AG72" s="72">
        <f t="shared" si="79"/>
        <v>12.28598067</v>
      </c>
      <c r="AH72" s="52">
        <f t="shared" si="69"/>
        <v>34.30589545</v>
      </c>
      <c r="AI72" s="73">
        <f t="shared" si="70"/>
        <v>35.20469151</v>
      </c>
      <c r="AJ72" s="73">
        <f t="shared" si="71"/>
        <v>35.3014982</v>
      </c>
      <c r="AK72" s="11"/>
      <c r="AL72" s="51">
        <f t="shared" si="72"/>
        <v>2321.025504</v>
      </c>
      <c r="AM72" s="58"/>
    </row>
    <row r="73" ht="15.75" customHeight="1">
      <c r="A73" s="844" t="s">
        <v>4293</v>
      </c>
      <c r="B73" s="56">
        <v>45642.0</v>
      </c>
      <c r="C73" s="56">
        <v>45639.0</v>
      </c>
      <c r="D73" s="57" t="s">
        <v>181</v>
      </c>
      <c r="E73" s="57">
        <v>2.0603329059E10</v>
      </c>
      <c r="G73" s="3">
        <v>83.0</v>
      </c>
      <c r="H73" s="57" t="s">
        <v>40</v>
      </c>
      <c r="I73" s="58">
        <v>2.44</v>
      </c>
      <c r="J73" s="58">
        <v>16.7</v>
      </c>
      <c r="K73" s="59">
        <f t="shared" si="60"/>
        <v>2.03252</v>
      </c>
      <c r="L73" s="60">
        <v>0.565</v>
      </c>
      <c r="M73" s="60">
        <v>0.542</v>
      </c>
      <c r="N73" s="75">
        <v>0.595</v>
      </c>
      <c r="O73" s="60">
        <f t="shared" si="61"/>
        <v>0.569</v>
      </c>
      <c r="P73" s="63">
        <v>90.0</v>
      </c>
      <c r="Q73" s="64">
        <v>89.1</v>
      </c>
      <c r="R73" s="840">
        <v>2659.05</v>
      </c>
      <c r="S73" s="76">
        <f t="shared" si="78"/>
        <v>130</v>
      </c>
      <c r="U73" s="67">
        <v>100.0</v>
      </c>
      <c r="V73" s="67">
        <v>1.1023</v>
      </c>
      <c r="Z73" s="69">
        <f t="shared" si="62"/>
        <v>30</v>
      </c>
      <c r="AA73" s="70">
        <f t="shared" si="63"/>
        <v>30</v>
      </c>
      <c r="AB73" s="71">
        <f t="shared" si="64"/>
        <v>1268.184581</v>
      </c>
      <c r="AC73" s="71">
        <f>+(S73-T73)*V73-'data 1'!$F$4</f>
        <v>63.299</v>
      </c>
      <c r="AD73" s="71">
        <f t="shared" si="65"/>
        <v>-14.34397554</v>
      </c>
      <c r="AE73" s="71">
        <f t="shared" si="66"/>
        <v>-36.931</v>
      </c>
      <c r="AF73" s="71">
        <f t="shared" si="67"/>
        <v>-10.05347666</v>
      </c>
      <c r="AG73" s="72">
        <f t="shared" si="79"/>
        <v>40.97054779</v>
      </c>
      <c r="AH73" s="52">
        <f t="shared" si="69"/>
        <v>35.08084525</v>
      </c>
      <c r="AI73" s="73">
        <f t="shared" si="70"/>
        <v>72.11112037</v>
      </c>
      <c r="AJ73" s="73">
        <f t="shared" si="71"/>
        <v>35.68606588</v>
      </c>
      <c r="AK73" s="11"/>
      <c r="AL73" s="51">
        <f t="shared" si="72"/>
        <v>2577.610525</v>
      </c>
      <c r="AM73" s="58"/>
    </row>
    <row r="74" ht="15.75" customHeight="1">
      <c r="A74" s="844" t="s">
        <v>4294</v>
      </c>
      <c r="B74" s="56">
        <v>45642.0</v>
      </c>
      <c r="C74" s="56">
        <v>45639.0</v>
      </c>
      <c r="D74" s="57" t="s">
        <v>181</v>
      </c>
      <c r="E74" s="57">
        <v>2.0603329059E10</v>
      </c>
      <c r="G74" s="3">
        <v>46.0</v>
      </c>
      <c r="H74" s="57" t="s">
        <v>40</v>
      </c>
      <c r="I74" s="58">
        <v>2.75</v>
      </c>
      <c r="J74" s="58">
        <v>16.0</v>
      </c>
      <c r="K74" s="59">
        <f t="shared" si="60"/>
        <v>2.31</v>
      </c>
      <c r="L74" s="60">
        <v>0.212</v>
      </c>
      <c r="M74" s="60">
        <v>0.202</v>
      </c>
      <c r="N74" s="60">
        <v>0.202</v>
      </c>
      <c r="O74" s="60">
        <f t="shared" si="61"/>
        <v>0.202</v>
      </c>
      <c r="P74" s="63">
        <v>90.0</v>
      </c>
      <c r="Q74" s="64">
        <v>89.29</v>
      </c>
      <c r="R74" s="840">
        <v>2659.05</v>
      </c>
      <c r="S74" s="76">
        <f t="shared" si="78"/>
        <v>100</v>
      </c>
      <c r="U74" s="67">
        <v>100.0</v>
      </c>
      <c r="V74" s="67">
        <v>1.1023</v>
      </c>
      <c r="Z74" s="69">
        <f t="shared" si="62"/>
        <v>30</v>
      </c>
      <c r="AA74" s="70">
        <f t="shared" si="63"/>
        <v>30</v>
      </c>
      <c r="AB74" s="71">
        <f t="shared" si="64"/>
        <v>369.5298602</v>
      </c>
      <c r="AC74" s="71">
        <f>+(S74-T74)*V74-'data 1'!$F$4</f>
        <v>30.23</v>
      </c>
      <c r="AD74" s="71">
        <f t="shared" si="65"/>
        <v>-4.245929595</v>
      </c>
      <c r="AE74" s="71">
        <f t="shared" si="66"/>
        <v>-36.931</v>
      </c>
      <c r="AF74" s="71">
        <f t="shared" si="67"/>
        <v>25.18728764</v>
      </c>
      <c r="AG74" s="72">
        <f t="shared" si="79"/>
        <v>53.24035804</v>
      </c>
      <c r="AH74" s="52">
        <f t="shared" si="69"/>
        <v>14.99200551</v>
      </c>
      <c r="AI74" s="73">
        <f t="shared" si="70"/>
        <v>27.11532256</v>
      </c>
      <c r="AJ74" s="73">
        <f t="shared" si="71"/>
        <v>14.39842299</v>
      </c>
      <c r="AK74" s="11"/>
      <c r="AL74" s="51">
        <f t="shared" si="72"/>
        <v>853.613977</v>
      </c>
      <c r="AM74" s="58"/>
    </row>
    <row r="75" ht="15.75" customHeight="1">
      <c r="A75" s="844" t="s">
        <v>4295</v>
      </c>
      <c r="B75" s="56">
        <v>45642.0</v>
      </c>
      <c r="C75" s="56">
        <v>45639.0</v>
      </c>
      <c r="D75" s="57" t="s">
        <v>181</v>
      </c>
      <c r="E75" s="57">
        <v>2.0603329059E10</v>
      </c>
      <c r="G75" s="3">
        <v>140.0</v>
      </c>
      <c r="H75" s="57" t="s">
        <v>40</v>
      </c>
      <c r="I75" s="58">
        <v>4.24</v>
      </c>
      <c r="J75" s="58">
        <v>16.8</v>
      </c>
      <c r="K75" s="59">
        <f t="shared" si="60"/>
        <v>3.52768</v>
      </c>
      <c r="L75" s="60">
        <v>0.295</v>
      </c>
      <c r="M75" s="60">
        <v>0.283</v>
      </c>
      <c r="N75" s="60">
        <v>0.283</v>
      </c>
      <c r="O75" s="60">
        <f t="shared" si="61"/>
        <v>0.283</v>
      </c>
      <c r="P75" s="63">
        <v>90.0</v>
      </c>
      <c r="Q75" s="64">
        <v>89.65</v>
      </c>
      <c r="R75" s="840">
        <v>2659.05</v>
      </c>
      <c r="S75" s="76">
        <f t="shared" si="78"/>
        <v>100</v>
      </c>
      <c r="U75" s="67">
        <v>100.0</v>
      </c>
      <c r="V75" s="67">
        <v>1.1023</v>
      </c>
      <c r="Z75" s="69">
        <f t="shared" si="62"/>
        <v>30</v>
      </c>
      <c r="AA75" s="70">
        <f t="shared" si="63"/>
        <v>30</v>
      </c>
      <c r="AB75" s="71">
        <f t="shared" si="64"/>
        <v>575.1691556</v>
      </c>
      <c r="AC75" s="71">
        <f>+(S75-T75)*V75-'data 1'!$F$4</f>
        <v>30.23</v>
      </c>
      <c r="AD75" s="71">
        <f t="shared" si="65"/>
        <v>-2.912518141</v>
      </c>
      <c r="AE75" s="71">
        <f t="shared" si="66"/>
        <v>-36.931</v>
      </c>
      <c r="AF75" s="71">
        <f t="shared" si="67"/>
        <v>30.34660549</v>
      </c>
      <c r="AG75" s="72">
        <f t="shared" si="79"/>
        <v>59.73308735</v>
      </c>
      <c r="AH75" s="52">
        <f t="shared" si="69"/>
        <v>31.98678285</v>
      </c>
      <c r="AI75" s="73">
        <f t="shared" si="70"/>
        <v>37.88335216</v>
      </c>
      <c r="AJ75" s="73">
        <f t="shared" si="71"/>
        <v>30.80542445</v>
      </c>
      <c r="AK75" s="11"/>
      <c r="AL75" s="51">
        <f t="shared" si="72"/>
        <v>2029.012727</v>
      </c>
      <c r="AM75" s="58"/>
    </row>
    <row r="76" ht="15.75" customHeight="1">
      <c r="A76" s="844" t="s">
        <v>4296</v>
      </c>
      <c r="B76" s="56">
        <v>45644.0</v>
      </c>
      <c r="C76" s="56">
        <v>45640.0</v>
      </c>
      <c r="D76" s="57" t="s">
        <v>51</v>
      </c>
      <c r="E76" s="2">
        <v>1.042310973E10</v>
      </c>
      <c r="G76" s="3">
        <v>20.0</v>
      </c>
      <c r="H76" s="57" t="s">
        <v>47</v>
      </c>
      <c r="I76" s="58">
        <v>2.07</v>
      </c>
      <c r="J76" s="58">
        <v>1.0</v>
      </c>
      <c r="K76" s="59">
        <f t="shared" si="60"/>
        <v>2.0493</v>
      </c>
      <c r="L76" s="60">
        <v>0.411</v>
      </c>
      <c r="M76" s="60">
        <v>0.394</v>
      </c>
      <c r="N76" s="75">
        <v>0.454</v>
      </c>
      <c r="O76" s="60">
        <f t="shared" si="61"/>
        <v>0.424</v>
      </c>
      <c r="P76" s="63">
        <v>90.0</v>
      </c>
      <c r="Q76" s="64">
        <v>89.74</v>
      </c>
      <c r="R76" s="840">
        <v>2659.05</v>
      </c>
      <c r="S76" s="76">
        <v>120.0</v>
      </c>
      <c r="U76" s="67">
        <v>100.0</v>
      </c>
      <c r="V76" s="67">
        <v>1.1023</v>
      </c>
      <c r="Z76" s="69">
        <f t="shared" si="62"/>
        <v>30</v>
      </c>
      <c r="AA76" s="70">
        <f t="shared" si="63"/>
        <v>30</v>
      </c>
      <c r="AB76" s="71">
        <f t="shared" si="64"/>
        <v>911.087855</v>
      </c>
      <c r="AC76" s="71">
        <f>+(S76-T76)*V76-'data 1'!$F$4</f>
        <v>52.276</v>
      </c>
      <c r="AD76" s="71">
        <f t="shared" si="65"/>
        <v>-3.014350495</v>
      </c>
      <c r="AE76" s="71">
        <f t="shared" si="66"/>
        <v>-36.931</v>
      </c>
      <c r="AF76" s="71">
        <f t="shared" si="67"/>
        <v>-32.90849312</v>
      </c>
      <c r="AG76" s="72">
        <f t="shared" ref="AG76:AG77" si="80">+IF(D76="RONALD WILLIAN GARIBAY ESCUDERO",AC76+AD76+AE76+AF76+70,AC76+AD76+AE76+AF76)</f>
        <v>49.42215639</v>
      </c>
      <c r="AH76" s="52">
        <f t="shared" si="69"/>
        <v>25.91447986</v>
      </c>
      <c r="AI76" s="73">
        <f t="shared" si="70"/>
        <v>52.83284265</v>
      </c>
      <c r="AJ76" s="73">
        <f t="shared" si="71"/>
        <v>26.81161505</v>
      </c>
      <c r="AK76" s="11"/>
      <c r="AL76" s="51">
        <f t="shared" si="72"/>
        <v>1867.092341</v>
      </c>
      <c r="AM76" s="58"/>
    </row>
    <row r="77" ht="15.75" customHeight="1">
      <c r="A77" s="844" t="s">
        <v>4297</v>
      </c>
      <c r="B77" s="56">
        <v>45644.0</v>
      </c>
      <c r="C77" s="56">
        <v>45640.0</v>
      </c>
      <c r="D77" s="57" t="s">
        <v>51</v>
      </c>
      <c r="E77" s="2">
        <v>1.042310973E10</v>
      </c>
      <c r="G77" s="3">
        <v>32.0</v>
      </c>
      <c r="H77" s="57" t="s">
        <v>47</v>
      </c>
      <c r="I77" s="58">
        <v>3.44</v>
      </c>
      <c r="J77" s="58">
        <v>1.1</v>
      </c>
      <c r="K77" s="59">
        <f t="shared" si="60"/>
        <v>3.40216</v>
      </c>
      <c r="L77" s="60">
        <v>0.136</v>
      </c>
      <c r="M77" s="60">
        <v>0.126</v>
      </c>
      <c r="N77" s="75">
        <v>0.157</v>
      </c>
      <c r="O77" s="60">
        <f t="shared" si="61"/>
        <v>0.142</v>
      </c>
      <c r="P77" s="63">
        <v>90.0</v>
      </c>
      <c r="Q77" s="64">
        <v>89.85</v>
      </c>
      <c r="R77" s="840">
        <v>2659.05</v>
      </c>
      <c r="S77" s="76">
        <v>95.0</v>
      </c>
      <c r="U77" s="67">
        <v>100.0</v>
      </c>
      <c r="V77" s="67">
        <v>1.1023</v>
      </c>
      <c r="Z77" s="69">
        <f t="shared" si="62"/>
        <v>30</v>
      </c>
      <c r="AA77" s="70">
        <f t="shared" si="63"/>
        <v>30</v>
      </c>
      <c r="AB77" s="71">
        <f t="shared" si="64"/>
        <v>222.7159562</v>
      </c>
      <c r="AC77" s="71">
        <f>+(S77-T77)*V77-'data 1'!$F$4</f>
        <v>24.7185</v>
      </c>
      <c r="AD77" s="71">
        <f t="shared" si="65"/>
        <v>-0.5754515263</v>
      </c>
      <c r="AE77" s="71">
        <f t="shared" si="66"/>
        <v>-36.931</v>
      </c>
      <c r="AF77" s="71">
        <f t="shared" si="67"/>
        <v>-15.20715283</v>
      </c>
      <c r="AG77" s="72">
        <f t="shared" si="80"/>
        <v>42.00489564</v>
      </c>
      <c r="AH77" s="52">
        <f t="shared" si="69"/>
        <v>14.25347615</v>
      </c>
      <c r="AI77" s="73">
        <f t="shared" si="70"/>
        <v>17.50382977</v>
      </c>
      <c r="AJ77" s="73">
        <f t="shared" si="71"/>
        <v>14.90715123</v>
      </c>
      <c r="AK77" s="11"/>
      <c r="AL77" s="51">
        <f t="shared" si="72"/>
        <v>757.7153174</v>
      </c>
      <c r="AM77" s="58"/>
    </row>
    <row r="78" ht="15.75" customHeight="1">
      <c r="A78" s="844" t="s">
        <v>4298</v>
      </c>
      <c r="B78" s="56">
        <v>45643.0</v>
      </c>
      <c r="C78" s="56">
        <v>45640.0</v>
      </c>
      <c r="D78" s="57" t="s">
        <v>74</v>
      </c>
      <c r="E78" s="57">
        <v>1.0082235774E10</v>
      </c>
      <c r="G78" s="3">
        <v>52.0</v>
      </c>
      <c r="H78" s="57" t="s">
        <v>47</v>
      </c>
      <c r="I78" s="58">
        <v>4.83</v>
      </c>
      <c r="J78" s="58">
        <v>1.4</v>
      </c>
      <c r="K78" s="59">
        <f t="shared" si="60"/>
        <v>4.76238</v>
      </c>
      <c r="L78" s="60">
        <v>0.612</v>
      </c>
      <c r="M78" s="60">
        <v>0.603</v>
      </c>
      <c r="N78" s="62">
        <v>0.603</v>
      </c>
      <c r="O78" s="60">
        <f t="shared" si="61"/>
        <v>0.603</v>
      </c>
      <c r="P78" s="63">
        <v>90.0</v>
      </c>
      <c r="Q78" s="64">
        <v>89.16</v>
      </c>
      <c r="R78" s="840">
        <v>2659.05</v>
      </c>
      <c r="S78" s="66">
        <v>125.0</v>
      </c>
      <c r="U78" s="67">
        <v>80.0</v>
      </c>
      <c r="V78" s="67">
        <v>1.1023</v>
      </c>
      <c r="Z78" s="77">
        <v>10.0</v>
      </c>
      <c r="AA78" s="70">
        <f t="shared" si="63"/>
        <v>10</v>
      </c>
      <c r="AB78" s="71">
        <f t="shared" si="64"/>
        <v>1394.024175</v>
      </c>
      <c r="AC78" s="71">
        <f>+(S78-T78)*V78-'data 1'!$F$4</f>
        <v>57.7875</v>
      </c>
      <c r="AD78" s="71">
        <f t="shared" si="65"/>
        <v>-14.61471254</v>
      </c>
      <c r="AE78" s="71">
        <f t="shared" si="66"/>
        <v>-58.977</v>
      </c>
      <c r="AF78" s="71">
        <f t="shared" si="67"/>
        <v>22.81246096</v>
      </c>
      <c r="AG78" s="72">
        <f t="shared" ref="AG78:AG79" si="81">+IF(D78="RONALD WILLIAN GARIBAY ESCUDERO",AC78+AD78+AE78+AF78+70,AC78+AD78+AE78+AF78)+70</f>
        <v>77.00824842</v>
      </c>
      <c r="AH78" s="52">
        <f t="shared" si="69"/>
        <v>89.09525946</v>
      </c>
      <c r="AI78" s="73">
        <f t="shared" si="70"/>
        <v>66.13274097</v>
      </c>
      <c r="AJ78" s="73">
        <f t="shared" si="71"/>
        <v>88.61208115</v>
      </c>
      <c r="AK78" s="11"/>
      <c r="AL78" s="51">
        <f t="shared" si="72"/>
        <v>6638.872848</v>
      </c>
      <c r="AM78" s="58"/>
    </row>
    <row r="79" ht="15.75" customHeight="1">
      <c r="A79" s="844" t="s">
        <v>4299</v>
      </c>
      <c r="B79" s="56">
        <v>45643.0</v>
      </c>
      <c r="C79" s="56">
        <v>45640.0</v>
      </c>
      <c r="D79" s="57" t="s">
        <v>74</v>
      </c>
      <c r="E79" s="57">
        <v>1.0082235774E10</v>
      </c>
      <c r="G79" s="3">
        <v>44.0</v>
      </c>
      <c r="H79" s="57" t="s">
        <v>47</v>
      </c>
      <c r="I79" s="58">
        <v>4.37</v>
      </c>
      <c r="J79" s="58">
        <v>1.8</v>
      </c>
      <c r="K79" s="59">
        <f t="shared" si="60"/>
        <v>4.29134</v>
      </c>
      <c r="L79" s="60">
        <v>0.806</v>
      </c>
      <c r="M79" s="60">
        <v>0.794</v>
      </c>
      <c r="N79" s="62">
        <v>0.794</v>
      </c>
      <c r="O79" s="60">
        <f t="shared" si="61"/>
        <v>0.794</v>
      </c>
      <c r="P79" s="63">
        <v>90.0</v>
      </c>
      <c r="Q79" s="64">
        <v>89.74</v>
      </c>
      <c r="R79" s="840">
        <v>2659.05</v>
      </c>
      <c r="S79" s="66">
        <v>130.0</v>
      </c>
      <c r="U79" s="67">
        <v>80.0</v>
      </c>
      <c r="V79" s="67">
        <v>1.1023</v>
      </c>
      <c r="Z79" s="77">
        <v>10.0</v>
      </c>
      <c r="AA79" s="70">
        <f t="shared" si="63"/>
        <v>10</v>
      </c>
      <c r="AB79" s="71">
        <f t="shared" si="64"/>
        <v>1877.204918</v>
      </c>
      <c r="AC79" s="71">
        <f>+(S79-T79)*V79-'data 1'!$F$4</f>
        <v>63.299</v>
      </c>
      <c r="AD79" s="71">
        <f t="shared" si="65"/>
        <v>-5.95755361</v>
      </c>
      <c r="AE79" s="71">
        <f t="shared" si="66"/>
        <v>-58.977</v>
      </c>
      <c r="AF79" s="71">
        <f t="shared" si="67"/>
        <v>30.61447953</v>
      </c>
      <c r="AG79" s="72">
        <f t="shared" si="81"/>
        <v>98.97892592</v>
      </c>
      <c r="AH79" s="52">
        <f t="shared" si="69"/>
        <v>106.4199624</v>
      </c>
      <c r="AI79" s="73">
        <f t="shared" si="70"/>
        <v>87.66296349</v>
      </c>
      <c r="AJ79" s="73">
        <f t="shared" si="71"/>
        <v>105.1392818</v>
      </c>
      <c r="AK79" s="11"/>
      <c r="AL79" s="51">
        <f t="shared" si="72"/>
        <v>8055.724553</v>
      </c>
      <c r="AM79" s="58"/>
    </row>
    <row r="80" ht="15.75" customHeight="1">
      <c r="A80" s="116" t="s">
        <v>4300</v>
      </c>
      <c r="B80" s="56"/>
      <c r="C80" s="56"/>
      <c r="G80" s="3"/>
      <c r="I80" s="58"/>
      <c r="J80" s="58"/>
      <c r="K80" s="59"/>
      <c r="L80" s="60"/>
      <c r="M80" s="60"/>
      <c r="N80" s="75"/>
      <c r="O80" s="60"/>
      <c r="P80" s="63"/>
      <c r="Q80" s="64"/>
      <c r="R80" s="840"/>
      <c r="S80" s="66"/>
      <c r="V80" s="67"/>
      <c r="Z80" s="69"/>
      <c r="AA80" s="70"/>
      <c r="AB80" s="71"/>
      <c r="AC80" s="71"/>
      <c r="AD80" s="71"/>
      <c r="AE80" s="71"/>
      <c r="AF80" s="71"/>
      <c r="AG80" s="72"/>
      <c r="AH80" s="52"/>
      <c r="AI80" s="73"/>
      <c r="AJ80" s="73"/>
      <c r="AK80" s="11"/>
      <c r="AL80" s="51"/>
      <c r="AM80" s="58"/>
    </row>
    <row r="81" ht="15.75" customHeight="1">
      <c r="A81" s="116" t="s">
        <v>4301</v>
      </c>
      <c r="B81" s="56"/>
      <c r="C81" s="56"/>
      <c r="G81" s="3"/>
      <c r="I81" s="58"/>
      <c r="J81" s="58"/>
      <c r="K81" s="59"/>
      <c r="L81" s="60"/>
      <c r="M81" s="60"/>
      <c r="N81" s="75"/>
      <c r="O81" s="60"/>
      <c r="P81" s="63"/>
      <c r="Q81" s="64"/>
      <c r="R81" s="840"/>
      <c r="S81" s="66"/>
      <c r="T81" s="2"/>
      <c r="V81" s="67"/>
      <c r="Z81" s="69"/>
      <c r="AA81" s="70"/>
      <c r="AB81" s="71"/>
      <c r="AC81" s="71"/>
      <c r="AD81" s="71"/>
      <c r="AE81" s="71"/>
      <c r="AF81" s="71"/>
      <c r="AG81" s="72"/>
      <c r="AH81" s="52"/>
      <c r="AI81" s="73"/>
      <c r="AJ81" s="73"/>
      <c r="AK81" s="11"/>
      <c r="AL81" s="51"/>
      <c r="AM81" s="58"/>
    </row>
    <row r="82" ht="15.75" customHeight="1">
      <c r="A82" s="844" t="s">
        <v>4302</v>
      </c>
      <c r="B82" s="56">
        <v>45646.0</v>
      </c>
      <c r="C82" s="56">
        <v>45642.0</v>
      </c>
      <c r="D82" s="57" t="s">
        <v>67</v>
      </c>
      <c r="E82" s="2">
        <v>2.060609401E10</v>
      </c>
      <c r="G82" s="3">
        <v>105.0</v>
      </c>
      <c r="H82" s="57" t="s">
        <v>47</v>
      </c>
      <c r="I82" s="58">
        <v>8.79</v>
      </c>
      <c r="J82" s="58">
        <v>1.2</v>
      </c>
      <c r="K82" s="59">
        <f t="shared" ref="K82:K105" si="82">+I82-(I82*(J82/100))</f>
        <v>8.68452</v>
      </c>
      <c r="L82" s="60">
        <v>0.28</v>
      </c>
      <c r="M82" s="60">
        <v>0.269</v>
      </c>
      <c r="N82" s="75">
        <v>0.368</v>
      </c>
      <c r="O82" s="60">
        <f t="shared" ref="O82:O92" si="83">+ROUND((M82+N82)/2,3)</f>
        <v>0.319</v>
      </c>
      <c r="P82" s="63">
        <v>89.0</v>
      </c>
      <c r="Q82" s="64">
        <v>89.69</v>
      </c>
      <c r="R82" s="840">
        <v>2654.2</v>
      </c>
      <c r="S82" s="849">
        <f>IF((90+ROUNDDOWN(O82,1)*100)&lt;95,95,(90+ROUNDDOWN(O82,1)*100))</f>
        <v>120</v>
      </c>
      <c r="U82" s="67">
        <v>100.0</v>
      </c>
      <c r="V82" s="67">
        <v>1.1023</v>
      </c>
      <c r="Y82" s="57">
        <v>30.0</v>
      </c>
      <c r="Z82" s="69">
        <f t="shared" ref="Z82:Z101" si="84">IF(IF(D82="UNTUCA",IF(+((W82-3)*1.5+(X82-3)*3.1)&gt;0,+((W82-3)*1.5+(X82-3)*3.1),0),IF(+((W82-3)*1.5+(X82-3)*3.1)&gt;0,+((W82-3)*1.5+(X82-3)*3.1),0))&lt;30,30,IF(D82="UNTUCA",IF(+((W82-3)*1.5+(X82-3)*3.1)&gt;0,+((W82-3)*1.5+(X82-3)*3.1),0),IF(+((W82-3)*1.5+(X82-3)*3.1)&gt;0,+((W82-3)*1.5+(X82-3)*3.1),0)))</f>
        <v>30</v>
      </c>
      <c r="AA82" s="70">
        <f t="shared" ref="AA82:AA105" si="85">+Y82+Z82</f>
        <v>60</v>
      </c>
      <c r="AB82" s="71">
        <f t="shared" ref="AB82:AB105" si="86">+((O82*P82*(R82-U82)/100)-S82-AA82+T82)*V82</f>
        <v>600.9330889</v>
      </c>
      <c r="AC82" s="71">
        <f>+(S82-T82)*V82-'data 1'!$F$4</f>
        <v>52.276</v>
      </c>
      <c r="AD82" s="71">
        <f t="shared" ref="AD82:AD105" si="87">+(Q82-P82)*(R82-U82)*L82*V82/100</f>
        <v>5.439535683</v>
      </c>
      <c r="AE82" s="71">
        <f t="shared" ref="AE82:AE105" si="88">+(Y82*V82-70)+V82*(Z82-IF(D82="UNTUCA",IF(+((W82-3)*2.5+(X82-3)*3.1)&gt;0,+((W82-3)*1.5+(X82-3)*3.1),0),IF(+((W82-3)*1.5+(X82-3)*3.1)&gt;0,+((W82-3)*1.5+(X82-3)*3.1),0)))</f>
        <v>-3.862</v>
      </c>
      <c r="AF82" s="71">
        <f t="shared" ref="AF82:AF105" si="89">(L82-O82)*(R82-U82)*Q82*V82/100</f>
        <v>-98.48346926</v>
      </c>
      <c r="AG82" s="72">
        <f t="shared" ref="AG82:AG83" si="90">+IF(D82="RONALD WILLIAN GARIBAY ESCUDERO",AC82+AD82+AE82+AF82+70,AC82+AD82+AE82+AF82)+70-53</f>
        <v>-27.62993358</v>
      </c>
      <c r="AH82" s="52">
        <f t="shared" ref="AH82:AH105" si="91">31.1035*L82*Q82*1.1023*K82/100</f>
        <v>74.77508998</v>
      </c>
      <c r="AI82" s="73">
        <f t="shared" ref="AI82:AI105" si="92">+((+$AI$2-R82+U82)*L82*Q82*V82)/100</f>
        <v>37.31571393</v>
      </c>
      <c r="AJ82" s="73">
        <f t="shared" ref="AJ82:AJ105" si="93">31.1035*1.1023*K82*P82*O82/100</f>
        <v>84.53480956</v>
      </c>
      <c r="AK82" s="11"/>
      <c r="AL82" s="51">
        <f t="shared" ref="AL82:AL105" si="94">+IF(AB82*K82&gt;0,AB82*K82,0)</f>
        <v>5218.815429</v>
      </c>
      <c r="AM82" s="58"/>
    </row>
    <row r="83" ht="15.75" customHeight="1">
      <c r="A83" s="844" t="s">
        <v>4303</v>
      </c>
      <c r="B83" s="56">
        <v>45649.0</v>
      </c>
      <c r="C83" s="56">
        <v>45643.0</v>
      </c>
      <c r="D83" s="57" t="s">
        <v>45</v>
      </c>
      <c r="E83" s="67">
        <v>1.0416085884E10</v>
      </c>
      <c r="G83" s="3" t="s">
        <v>46</v>
      </c>
      <c r="H83" s="57" t="s">
        <v>47</v>
      </c>
      <c r="I83" s="58">
        <v>32.32</v>
      </c>
      <c r="J83" s="58">
        <v>12.35</v>
      </c>
      <c r="K83" s="59">
        <f t="shared" si="82"/>
        <v>28.32848</v>
      </c>
      <c r="L83" s="60">
        <v>0.137</v>
      </c>
      <c r="M83" s="60">
        <v>0.12741000000000002</v>
      </c>
      <c r="N83" s="75">
        <v>0.133</v>
      </c>
      <c r="O83" s="60">
        <f t="shared" si="83"/>
        <v>0.13</v>
      </c>
      <c r="P83" s="63">
        <v>85.0</v>
      </c>
      <c r="Q83" s="64">
        <v>89.72</v>
      </c>
      <c r="R83" s="65">
        <v>2636.35</v>
      </c>
      <c r="S83" s="76">
        <v>110.0</v>
      </c>
      <c r="U83" s="67">
        <v>90.0</v>
      </c>
      <c r="V83" s="67">
        <v>1.1023</v>
      </c>
      <c r="Z83" s="69">
        <f t="shared" si="84"/>
        <v>30</v>
      </c>
      <c r="AA83" s="70">
        <f t="shared" si="85"/>
        <v>30</v>
      </c>
      <c r="AB83" s="71">
        <f t="shared" si="86"/>
        <v>155.8339974</v>
      </c>
      <c r="AC83" s="71">
        <f>+(S83-T83)*V83-'data 1'!$F$4</f>
        <v>41.253</v>
      </c>
      <c r="AD83" s="71">
        <f t="shared" si="87"/>
        <v>18.15016055</v>
      </c>
      <c r="AE83" s="71">
        <f t="shared" si="88"/>
        <v>-36.931</v>
      </c>
      <c r="AF83" s="71">
        <f t="shared" si="89"/>
        <v>17.62808802</v>
      </c>
      <c r="AG83" s="72">
        <f t="shared" si="90"/>
        <v>57.10024857</v>
      </c>
      <c r="AH83" s="52">
        <f t="shared" si="91"/>
        <v>119.3829136</v>
      </c>
      <c r="AI83" s="73">
        <f t="shared" si="92"/>
        <v>19.32775516</v>
      </c>
      <c r="AJ83" s="73">
        <f t="shared" si="93"/>
        <v>107.3234487</v>
      </c>
      <c r="AK83" s="11"/>
      <c r="AL83" s="51">
        <f t="shared" si="94"/>
        <v>4414.540277</v>
      </c>
      <c r="AM83" s="58"/>
    </row>
    <row r="84" ht="15.75" customHeight="1">
      <c r="A84" s="844" t="s">
        <v>4304</v>
      </c>
      <c r="B84" s="56">
        <v>45647.0</v>
      </c>
      <c r="C84" s="56">
        <v>45644.0</v>
      </c>
      <c r="D84" s="57" t="s">
        <v>181</v>
      </c>
      <c r="E84" s="57">
        <v>2.0603329059E10</v>
      </c>
      <c r="G84" s="3">
        <v>12.0</v>
      </c>
      <c r="H84" s="57" t="s">
        <v>40</v>
      </c>
      <c r="I84" s="58">
        <v>0.77</v>
      </c>
      <c r="J84" s="58">
        <v>1.1</v>
      </c>
      <c r="K84" s="59">
        <f t="shared" si="82"/>
        <v>0.76153</v>
      </c>
      <c r="L84" s="60">
        <v>0.7235</v>
      </c>
      <c r="M84" s="60">
        <v>0.69456</v>
      </c>
      <c r="N84" s="62">
        <v>0.69456</v>
      </c>
      <c r="O84" s="60">
        <f t="shared" si="83"/>
        <v>0.695</v>
      </c>
      <c r="P84" s="63">
        <v>90.0</v>
      </c>
      <c r="Q84" s="64">
        <v>89.45</v>
      </c>
      <c r="R84" s="65">
        <v>2636.65</v>
      </c>
      <c r="S84" s="76">
        <f t="shared" ref="S84:S88" si="95">IF((80+ROUNDDOWN(O84,1)*100)&lt;95,95,(80+ROUNDDOWN(O84,1)*100))</f>
        <v>140</v>
      </c>
      <c r="U84" s="67">
        <v>100.0</v>
      </c>
      <c r="V84" s="67">
        <v>1.1023</v>
      </c>
      <c r="Z84" s="69">
        <f t="shared" si="84"/>
        <v>30</v>
      </c>
      <c r="AA84" s="70">
        <f t="shared" si="85"/>
        <v>30</v>
      </c>
      <c r="AB84" s="71">
        <f t="shared" si="86"/>
        <v>1561.600384</v>
      </c>
      <c r="AC84" s="71">
        <f>+(S84-T84)*V84-'data 1'!$F$4</f>
        <v>74.322</v>
      </c>
      <c r="AD84" s="71">
        <f t="shared" si="87"/>
        <v>-11.12657708</v>
      </c>
      <c r="AE84" s="71">
        <f t="shared" si="88"/>
        <v>-36.931</v>
      </c>
      <c r="AF84" s="71">
        <f t="shared" si="89"/>
        <v>71.28293301</v>
      </c>
      <c r="AG84" s="72">
        <f t="shared" ref="AG84:AG88" si="96">+IF(D84="RONALD WILLIAN GARIBAY ESCUDERO",AC84+AD84+AE84+AF84+70,AC84+AD84+AE84+AF84)+70-28</f>
        <v>139.5473559</v>
      </c>
      <c r="AH84" s="52">
        <f t="shared" si="91"/>
        <v>16.89720863</v>
      </c>
      <c r="AI84" s="73">
        <f t="shared" si="92"/>
        <v>108.682882</v>
      </c>
      <c r="AJ84" s="73">
        <f t="shared" si="93"/>
        <v>16.3313994</v>
      </c>
      <c r="AK84" s="11"/>
      <c r="AL84" s="51">
        <f t="shared" si="94"/>
        <v>1189.20554</v>
      </c>
      <c r="AM84" s="58"/>
    </row>
    <row r="85" ht="15.75" customHeight="1">
      <c r="A85" s="844" t="s">
        <v>4305</v>
      </c>
      <c r="B85" s="56">
        <v>45647.0</v>
      </c>
      <c r="C85" s="56">
        <v>45644.0</v>
      </c>
      <c r="D85" s="57" t="s">
        <v>181</v>
      </c>
      <c r="E85" s="57">
        <v>2.0603329059E10</v>
      </c>
      <c r="G85" s="3">
        <v>20.0</v>
      </c>
      <c r="H85" s="57" t="s">
        <v>40</v>
      </c>
      <c r="I85" s="58">
        <v>1.41</v>
      </c>
      <c r="J85" s="58">
        <v>1.3</v>
      </c>
      <c r="K85" s="59">
        <f t="shared" si="82"/>
        <v>1.39167</v>
      </c>
      <c r="L85" s="60">
        <v>0.5625</v>
      </c>
      <c r="M85" s="60">
        <v>0.54</v>
      </c>
      <c r="N85" s="62">
        <v>0.54</v>
      </c>
      <c r="O85" s="60">
        <f t="shared" si="83"/>
        <v>0.54</v>
      </c>
      <c r="P85" s="63">
        <v>90.0</v>
      </c>
      <c r="Q85" s="64">
        <v>89.76</v>
      </c>
      <c r="R85" s="65">
        <v>2636.65</v>
      </c>
      <c r="S85" s="76">
        <f t="shared" si="95"/>
        <v>130</v>
      </c>
      <c r="U85" s="67">
        <v>100.0</v>
      </c>
      <c r="V85" s="67">
        <v>1.1023</v>
      </c>
      <c r="Z85" s="69">
        <f t="shared" si="84"/>
        <v>30</v>
      </c>
      <c r="AA85" s="70">
        <f t="shared" si="85"/>
        <v>30</v>
      </c>
      <c r="AB85" s="71">
        <f t="shared" si="86"/>
        <v>1182.560557</v>
      </c>
      <c r="AC85" s="71">
        <f>+(S85-T85)*V85-'data 1'!$F$4</f>
        <v>63.299</v>
      </c>
      <c r="AD85" s="71">
        <f t="shared" si="87"/>
        <v>-3.774801548</v>
      </c>
      <c r="AE85" s="71">
        <f t="shared" si="88"/>
        <v>-36.931</v>
      </c>
      <c r="AF85" s="71">
        <f t="shared" si="89"/>
        <v>56.47103116</v>
      </c>
      <c r="AG85" s="72">
        <f t="shared" si="96"/>
        <v>121.0642296</v>
      </c>
      <c r="AH85" s="52">
        <f t="shared" si="91"/>
        <v>24.09077133</v>
      </c>
      <c r="AI85" s="73">
        <f t="shared" si="92"/>
        <v>84.79058598</v>
      </c>
      <c r="AJ85" s="73">
        <f t="shared" si="93"/>
        <v>23.18897775</v>
      </c>
      <c r="AK85" s="11"/>
      <c r="AL85" s="51">
        <f t="shared" si="94"/>
        <v>1645.734051</v>
      </c>
      <c r="AM85" s="58"/>
    </row>
    <row r="86" ht="15.75" customHeight="1">
      <c r="A86" s="844" t="s">
        <v>4306</v>
      </c>
      <c r="B86" s="56">
        <v>45647.0</v>
      </c>
      <c r="C86" s="56">
        <v>45644.0</v>
      </c>
      <c r="D86" s="57" t="s">
        <v>181</v>
      </c>
      <c r="E86" s="57">
        <v>2.0603329059E10</v>
      </c>
      <c r="G86" s="3">
        <v>13.0</v>
      </c>
      <c r="H86" s="57" t="s">
        <v>40</v>
      </c>
      <c r="I86" s="58">
        <v>0.92</v>
      </c>
      <c r="J86" s="58">
        <v>1.1</v>
      </c>
      <c r="K86" s="59">
        <f t="shared" si="82"/>
        <v>0.90988</v>
      </c>
      <c r="L86" s="60">
        <v>0.997</v>
      </c>
      <c r="M86" s="60">
        <v>0.95712</v>
      </c>
      <c r="N86" s="62">
        <v>0.95712</v>
      </c>
      <c r="O86" s="60">
        <f t="shared" si="83"/>
        <v>0.957</v>
      </c>
      <c r="P86" s="63">
        <v>90.0</v>
      </c>
      <c r="Q86" s="64">
        <v>89.88</v>
      </c>
      <c r="R86" s="65">
        <v>2636.65</v>
      </c>
      <c r="S86" s="76">
        <f t="shared" si="95"/>
        <v>170</v>
      </c>
      <c r="U86" s="67">
        <v>100.0</v>
      </c>
      <c r="V86" s="67">
        <v>1.1023</v>
      </c>
      <c r="Z86" s="69">
        <f t="shared" si="84"/>
        <v>30</v>
      </c>
      <c r="AA86" s="70">
        <f t="shared" si="85"/>
        <v>30</v>
      </c>
      <c r="AB86" s="71">
        <f t="shared" si="86"/>
        <v>2187.863388</v>
      </c>
      <c r="AC86" s="71">
        <f>+(S86-T86)*V86-'data 1'!$F$4</f>
        <v>107.391</v>
      </c>
      <c r="AD86" s="71">
        <f t="shared" si="87"/>
        <v>-3.345313017</v>
      </c>
      <c r="AE86" s="71">
        <f t="shared" si="88"/>
        <v>-36.931</v>
      </c>
      <c r="AF86" s="71">
        <f t="shared" si="89"/>
        <v>100.5271595</v>
      </c>
      <c r="AG86" s="72">
        <f t="shared" si="96"/>
        <v>209.6418464</v>
      </c>
      <c r="AH86" s="52">
        <f t="shared" si="91"/>
        <v>27.9544795</v>
      </c>
      <c r="AI86" s="73">
        <f t="shared" si="92"/>
        <v>150.487521</v>
      </c>
      <c r="AJ86" s="73">
        <f t="shared" si="93"/>
        <v>26.8687607</v>
      </c>
      <c r="AK86" s="11"/>
      <c r="AL86" s="51">
        <f t="shared" si="94"/>
        <v>1990.693139</v>
      </c>
      <c r="AM86" s="58"/>
    </row>
    <row r="87" ht="15.75" customHeight="1">
      <c r="A87" s="844" t="s">
        <v>4307</v>
      </c>
      <c r="B87" s="56">
        <v>45647.0</v>
      </c>
      <c r="C87" s="56">
        <v>45644.0</v>
      </c>
      <c r="D87" s="57" t="s">
        <v>181</v>
      </c>
      <c r="E87" s="57">
        <v>2.0603329059E10</v>
      </c>
      <c r="G87" s="3">
        <v>13.0</v>
      </c>
      <c r="H87" s="57" t="s">
        <v>40</v>
      </c>
      <c r="I87" s="58">
        <v>0.87</v>
      </c>
      <c r="J87" s="58">
        <v>1.2</v>
      </c>
      <c r="K87" s="59">
        <f t="shared" si="82"/>
        <v>0.85956</v>
      </c>
      <c r="L87" s="60">
        <v>0.319</v>
      </c>
      <c r="M87" s="60">
        <v>0.30624</v>
      </c>
      <c r="N87" s="62">
        <v>0.30624</v>
      </c>
      <c r="O87" s="60">
        <f t="shared" si="83"/>
        <v>0.306</v>
      </c>
      <c r="P87" s="63">
        <v>90.0</v>
      </c>
      <c r="Q87" s="64">
        <v>89.41</v>
      </c>
      <c r="R87" s="65">
        <v>2636.65</v>
      </c>
      <c r="S87" s="76">
        <f t="shared" si="95"/>
        <v>110</v>
      </c>
      <c r="U87" s="67">
        <v>100.0</v>
      </c>
      <c r="V87" s="67">
        <v>1.1023</v>
      </c>
      <c r="Z87" s="69">
        <f t="shared" si="84"/>
        <v>30</v>
      </c>
      <c r="AA87" s="70">
        <f t="shared" si="85"/>
        <v>30</v>
      </c>
      <c r="AB87" s="71">
        <f t="shared" si="86"/>
        <v>615.7375158</v>
      </c>
      <c r="AC87" s="71">
        <f>+(S87-T87)*V87-'data 1'!$F$4</f>
        <v>41.253</v>
      </c>
      <c r="AD87" s="71">
        <f t="shared" si="87"/>
        <v>-5.262632588</v>
      </c>
      <c r="AE87" s="71">
        <f t="shared" si="88"/>
        <v>-36.931</v>
      </c>
      <c r="AF87" s="71">
        <f t="shared" si="89"/>
        <v>32.5004821</v>
      </c>
      <c r="AG87" s="72">
        <f t="shared" si="96"/>
        <v>73.55984951</v>
      </c>
      <c r="AH87" s="52">
        <f t="shared" si="91"/>
        <v>8.405470812</v>
      </c>
      <c r="AI87" s="73">
        <f t="shared" si="92"/>
        <v>47.89818355</v>
      </c>
      <c r="AJ87" s="73">
        <f t="shared" si="93"/>
        <v>8.116133881</v>
      </c>
      <c r="AK87" s="11"/>
      <c r="AL87" s="51">
        <f t="shared" si="94"/>
        <v>529.2633391</v>
      </c>
      <c r="AM87" s="58"/>
    </row>
    <row r="88" ht="15.75" customHeight="1">
      <c r="A88" s="844" t="s">
        <v>4308</v>
      </c>
      <c r="B88" s="56">
        <v>45647.0</v>
      </c>
      <c r="C88" s="56">
        <v>45644.0</v>
      </c>
      <c r="D88" s="57" t="s">
        <v>181</v>
      </c>
      <c r="E88" s="57">
        <v>2.0603329059E10</v>
      </c>
      <c r="G88" s="3">
        <v>42.0</v>
      </c>
      <c r="H88" s="57" t="s">
        <v>40</v>
      </c>
      <c r="I88" s="58">
        <v>2.41</v>
      </c>
      <c r="J88" s="58">
        <v>1.2</v>
      </c>
      <c r="K88" s="59">
        <f t="shared" si="82"/>
        <v>2.38108</v>
      </c>
      <c r="L88" s="60">
        <v>0.665</v>
      </c>
      <c r="M88" s="60">
        <v>0.638</v>
      </c>
      <c r="N88" s="62">
        <v>0.638</v>
      </c>
      <c r="O88" s="60">
        <f t="shared" si="83"/>
        <v>0.638</v>
      </c>
      <c r="P88" s="63">
        <v>90.0</v>
      </c>
      <c r="Q88" s="64">
        <v>89.38</v>
      </c>
      <c r="R88" s="65">
        <v>2636.65</v>
      </c>
      <c r="S88" s="76">
        <f t="shared" si="95"/>
        <v>140</v>
      </c>
      <c r="U88" s="67">
        <v>100.0</v>
      </c>
      <c r="V88" s="67">
        <v>1.1023</v>
      </c>
      <c r="Z88" s="69">
        <f t="shared" si="84"/>
        <v>30</v>
      </c>
      <c r="AA88" s="70">
        <f t="shared" si="85"/>
        <v>30</v>
      </c>
      <c r="AB88" s="71">
        <f t="shared" si="86"/>
        <v>1418.157925</v>
      </c>
      <c r="AC88" s="71">
        <f>+(S88-T88)*V88-'data 1'!$F$4</f>
        <v>74.322</v>
      </c>
      <c r="AD88" s="71">
        <f t="shared" si="87"/>
        <v>-11.52852354</v>
      </c>
      <c r="AE88" s="71">
        <f t="shared" si="88"/>
        <v>-36.931</v>
      </c>
      <c r="AF88" s="71">
        <f t="shared" si="89"/>
        <v>67.47835248</v>
      </c>
      <c r="AG88" s="72">
        <f t="shared" si="96"/>
        <v>135.3408289</v>
      </c>
      <c r="AH88" s="52">
        <f t="shared" si="91"/>
        <v>48.52271042</v>
      </c>
      <c r="AI88" s="73">
        <f t="shared" si="92"/>
        <v>99.81694222</v>
      </c>
      <c r="AJ88" s="73">
        <f t="shared" si="93"/>
        <v>46.87553577</v>
      </c>
      <c r="AK88" s="11"/>
      <c r="AL88" s="51">
        <f t="shared" si="94"/>
        <v>3376.747473</v>
      </c>
      <c r="AM88" s="58"/>
    </row>
    <row r="89" ht="15.75" customHeight="1">
      <c r="A89" s="844" t="s">
        <v>4309</v>
      </c>
      <c r="B89" s="56">
        <v>45649.0</v>
      </c>
      <c r="C89" s="56">
        <v>45644.0</v>
      </c>
      <c r="D89" s="57" t="s">
        <v>104</v>
      </c>
      <c r="E89" s="57">
        <v>1.0479968131E10</v>
      </c>
      <c r="G89" s="3">
        <v>154.0</v>
      </c>
      <c r="H89" s="57" t="s">
        <v>47</v>
      </c>
      <c r="I89" s="58">
        <v>12.47</v>
      </c>
      <c r="J89" s="58">
        <v>1.2</v>
      </c>
      <c r="K89" s="59">
        <f t="shared" si="82"/>
        <v>12.32036</v>
      </c>
      <c r="L89" s="60">
        <v>0.348</v>
      </c>
      <c r="M89" s="60">
        <v>0.334</v>
      </c>
      <c r="N89" s="62">
        <v>0.334</v>
      </c>
      <c r="O89" s="60">
        <f t="shared" si="83"/>
        <v>0.334</v>
      </c>
      <c r="P89" s="63">
        <v>90.0</v>
      </c>
      <c r="Q89" s="64">
        <v>89.74</v>
      </c>
      <c r="R89" s="65">
        <v>2636.65</v>
      </c>
      <c r="S89" s="66">
        <f>IF((90+ROUNDDOWN(O89,1)*100)&lt;95,95,(90+ROUNDDOWN(O89,1)*100))</f>
        <v>120</v>
      </c>
      <c r="U89" s="67">
        <v>120.0</v>
      </c>
      <c r="V89" s="67">
        <v>1.1023</v>
      </c>
      <c r="Y89" s="57">
        <v>10.0</v>
      </c>
      <c r="Z89" s="69">
        <f t="shared" si="84"/>
        <v>30</v>
      </c>
      <c r="AA89" s="70">
        <f t="shared" si="85"/>
        <v>40</v>
      </c>
      <c r="AB89" s="71">
        <f t="shared" si="86"/>
        <v>657.5274505</v>
      </c>
      <c r="AC89" s="71">
        <f>+(S89-T89)*V89-'data 1'!$F$4</f>
        <v>52.276</v>
      </c>
      <c r="AD89" s="71">
        <f t="shared" si="87"/>
        <v>-2.510008661</v>
      </c>
      <c r="AE89" s="71">
        <f t="shared" si="88"/>
        <v>-25.908</v>
      </c>
      <c r="AF89" s="71">
        <f t="shared" si="89"/>
        <v>34.85272416</v>
      </c>
      <c r="AG89" s="72">
        <f t="shared" ref="AG89:AG92" si="97">+IF(D89="RONALD WILLIAN GARIBAY ESCUDERO",AC89+AD89+AE89+AF89+70,AC89+AD89+AE89+AF89)+70-53</f>
        <v>75.7107155</v>
      </c>
      <c r="AH89" s="52">
        <f t="shared" si="91"/>
        <v>131.9160919</v>
      </c>
      <c r="AI89" s="73">
        <f t="shared" si="92"/>
        <v>59.33028087</v>
      </c>
      <c r="AJ89" s="73">
        <f t="shared" si="93"/>
        <v>126.975942</v>
      </c>
      <c r="AK89" s="11"/>
      <c r="AL89" s="51">
        <f t="shared" si="94"/>
        <v>8100.9749</v>
      </c>
      <c r="AM89" s="58"/>
    </row>
    <row r="90" ht="15.75" customHeight="1">
      <c r="A90" s="844" t="s">
        <v>4310</v>
      </c>
      <c r="B90" s="56">
        <v>45649.0</v>
      </c>
      <c r="C90" s="56">
        <v>45645.0</v>
      </c>
      <c r="D90" s="57" t="s">
        <v>61</v>
      </c>
      <c r="E90" s="57">
        <v>2.0606526599E10</v>
      </c>
      <c r="G90" s="3" t="s">
        <v>46</v>
      </c>
      <c r="H90" s="57" t="s">
        <v>40</v>
      </c>
      <c r="I90" s="58">
        <v>31.53</v>
      </c>
      <c r="J90" s="58">
        <v>15.0</v>
      </c>
      <c r="K90" s="59">
        <f t="shared" si="82"/>
        <v>26.8005</v>
      </c>
      <c r="L90" s="60">
        <v>0.213</v>
      </c>
      <c r="M90" s="60">
        <v>0.203</v>
      </c>
      <c r="N90" s="62">
        <v>0.203</v>
      </c>
      <c r="O90" s="60">
        <f t="shared" si="83"/>
        <v>0.203</v>
      </c>
      <c r="P90" s="63">
        <v>90.0</v>
      </c>
      <c r="Q90" s="64">
        <v>89.85</v>
      </c>
      <c r="R90" s="65">
        <v>2592.45</v>
      </c>
      <c r="S90" s="76">
        <v>100.0</v>
      </c>
      <c r="U90" s="67">
        <v>120.0</v>
      </c>
      <c r="V90" s="67">
        <v>1.1023</v>
      </c>
      <c r="Y90" s="57">
        <v>10.0</v>
      </c>
      <c r="Z90" s="69">
        <f t="shared" si="84"/>
        <v>30</v>
      </c>
      <c r="AA90" s="70">
        <f t="shared" si="85"/>
        <v>40</v>
      </c>
      <c r="AB90" s="71">
        <f t="shared" si="86"/>
        <v>343.6052247</v>
      </c>
      <c r="AC90" s="71">
        <f>+(S90-T90)*V90-'data 1'!$F$4</f>
        <v>30.23</v>
      </c>
      <c r="AD90" s="71">
        <f t="shared" si="87"/>
        <v>-0.8707594324</v>
      </c>
      <c r="AE90" s="71">
        <f t="shared" si="88"/>
        <v>-25.908</v>
      </c>
      <c r="AF90" s="71">
        <f t="shared" si="89"/>
        <v>24.48755399</v>
      </c>
      <c r="AG90" s="72">
        <f t="shared" si="97"/>
        <v>44.93879456</v>
      </c>
      <c r="AH90" s="52">
        <f t="shared" si="91"/>
        <v>175.8529469</v>
      </c>
      <c r="AI90" s="73">
        <f t="shared" si="92"/>
        <v>45.68311193</v>
      </c>
      <c r="AJ90" s="73">
        <f t="shared" si="93"/>
        <v>167.8767346</v>
      </c>
      <c r="AK90" s="11"/>
      <c r="AL90" s="51">
        <f t="shared" si="94"/>
        <v>9208.791825</v>
      </c>
      <c r="AM90" s="58"/>
    </row>
    <row r="91" ht="15.75" customHeight="1">
      <c r="A91" s="844" t="s">
        <v>4311</v>
      </c>
      <c r="B91" s="56">
        <v>45653.0</v>
      </c>
      <c r="C91" s="56">
        <v>45645.0</v>
      </c>
      <c r="D91" s="57" t="s">
        <v>63</v>
      </c>
      <c r="E91" s="2">
        <v>1.0437450094E10</v>
      </c>
      <c r="G91" s="3">
        <v>50.0</v>
      </c>
      <c r="H91" s="57" t="s">
        <v>47</v>
      </c>
      <c r="I91" s="58">
        <v>4.37</v>
      </c>
      <c r="J91" s="58">
        <v>1.4</v>
      </c>
      <c r="K91" s="59">
        <f t="shared" si="82"/>
        <v>4.30882</v>
      </c>
      <c r="L91" s="60">
        <v>0.121</v>
      </c>
      <c r="M91" s="60">
        <v>0.116</v>
      </c>
      <c r="N91" s="62">
        <v>0.116</v>
      </c>
      <c r="O91" s="60">
        <f t="shared" si="83"/>
        <v>0.116</v>
      </c>
      <c r="P91" s="2">
        <v>85.0</v>
      </c>
      <c r="Q91" s="64">
        <v>89.0</v>
      </c>
      <c r="R91" s="65">
        <v>2592.45</v>
      </c>
      <c r="S91" s="66">
        <f>IF((90+ROUNDDOWN(O91,1)*100)&lt;95,95,(90+ROUNDDOWN(O91,1)*100))</f>
        <v>100</v>
      </c>
      <c r="U91" s="67">
        <v>100.0</v>
      </c>
      <c r="V91" s="67">
        <v>1.1023</v>
      </c>
      <c r="Y91" s="57">
        <v>10.0</v>
      </c>
      <c r="Z91" s="69">
        <f t="shared" si="84"/>
        <v>30</v>
      </c>
      <c r="AA91" s="70">
        <f t="shared" si="85"/>
        <v>40</v>
      </c>
      <c r="AB91" s="71">
        <f t="shared" si="86"/>
        <v>116.5743648</v>
      </c>
      <c r="AC91" s="71">
        <f>+(S91-T91)*V91-'data 1'!$F$4</f>
        <v>30.23</v>
      </c>
      <c r="AD91" s="71">
        <f t="shared" si="87"/>
        <v>13.29754975</v>
      </c>
      <c r="AE91" s="71">
        <f t="shared" si="88"/>
        <v>-25.908</v>
      </c>
      <c r="AF91" s="71">
        <f t="shared" si="89"/>
        <v>12.22605298</v>
      </c>
      <c r="AG91" s="72">
        <f t="shared" si="97"/>
        <v>46.84560273</v>
      </c>
      <c r="AH91" s="52">
        <f t="shared" si="91"/>
        <v>15.90899693</v>
      </c>
      <c r="AI91" s="73">
        <f t="shared" si="92"/>
        <v>23.33179933</v>
      </c>
      <c r="AJ91" s="73">
        <f t="shared" si="93"/>
        <v>14.56613518</v>
      </c>
      <c r="AK91" s="11"/>
      <c r="AL91" s="115">
        <f t="shared" si="94"/>
        <v>502.2979546</v>
      </c>
      <c r="AM91" s="58"/>
    </row>
    <row r="92" ht="15.75" customHeight="1">
      <c r="A92" s="844" t="s">
        <v>4312</v>
      </c>
      <c r="B92" s="56">
        <v>45649.0</v>
      </c>
      <c r="C92" s="56">
        <v>45645.0</v>
      </c>
      <c r="D92" s="57" t="s">
        <v>61</v>
      </c>
      <c r="E92" s="57">
        <v>2.0606526599E10</v>
      </c>
      <c r="G92" s="3">
        <v>150.0</v>
      </c>
      <c r="H92" s="57" t="s">
        <v>47</v>
      </c>
      <c r="I92" s="58">
        <v>12.58</v>
      </c>
      <c r="J92" s="58">
        <v>1.0</v>
      </c>
      <c r="K92" s="59">
        <f t="shared" si="82"/>
        <v>12.4542</v>
      </c>
      <c r="L92" s="60">
        <v>0.384</v>
      </c>
      <c r="M92" s="60">
        <v>0.369</v>
      </c>
      <c r="N92" s="62">
        <v>0.369</v>
      </c>
      <c r="O92" s="60">
        <f t="shared" si="83"/>
        <v>0.369</v>
      </c>
      <c r="P92" s="63">
        <v>90.0</v>
      </c>
      <c r="Q92" s="64">
        <v>89.86</v>
      </c>
      <c r="R92" s="65">
        <v>2592.45</v>
      </c>
      <c r="S92" s="76">
        <v>110.0</v>
      </c>
      <c r="U92" s="67">
        <v>120.0</v>
      </c>
      <c r="V92" s="67">
        <v>1.1023</v>
      </c>
      <c r="Y92" s="57">
        <v>10.0</v>
      </c>
      <c r="Z92" s="69">
        <f t="shared" si="84"/>
        <v>30</v>
      </c>
      <c r="AA92" s="70">
        <f t="shared" si="85"/>
        <v>40</v>
      </c>
      <c r="AB92" s="71">
        <f t="shared" si="86"/>
        <v>739.754241</v>
      </c>
      <c r="AC92" s="71">
        <f>+(S92-T92)*V92-'data 1'!$F$4</f>
        <v>41.253</v>
      </c>
      <c r="AD92" s="71">
        <f t="shared" si="87"/>
        <v>-1.465165167</v>
      </c>
      <c r="AE92" s="71">
        <f t="shared" si="88"/>
        <v>-25.908</v>
      </c>
      <c r="AF92" s="71">
        <f t="shared" si="89"/>
        <v>36.73541906</v>
      </c>
      <c r="AG92" s="72">
        <f t="shared" si="97"/>
        <v>67.61525389</v>
      </c>
      <c r="AH92" s="52">
        <f t="shared" si="91"/>
        <v>147.3406372</v>
      </c>
      <c r="AI92" s="73">
        <f t="shared" si="92"/>
        <v>82.3674525</v>
      </c>
      <c r="AJ92" s="73">
        <f t="shared" si="93"/>
        <v>141.8057302</v>
      </c>
      <c r="AK92" s="11"/>
      <c r="AL92" s="51">
        <f t="shared" si="94"/>
        <v>9213.047268</v>
      </c>
      <c r="AM92" s="58"/>
    </row>
    <row r="93" ht="15.75" customHeight="1">
      <c r="A93" s="844" t="s">
        <v>4313</v>
      </c>
      <c r="B93" s="841">
        <v>45646.0</v>
      </c>
      <c r="C93" s="56">
        <v>45631.0</v>
      </c>
      <c r="D93" s="57" t="s">
        <v>3795</v>
      </c>
      <c r="E93" s="2">
        <v>2.060499E10</v>
      </c>
      <c r="F93" s="2" t="s">
        <v>4314</v>
      </c>
      <c r="G93" s="3" t="s">
        <v>46</v>
      </c>
      <c r="H93" s="57" t="s">
        <v>40</v>
      </c>
      <c r="I93" s="58">
        <v>38.16</v>
      </c>
      <c r="J93" s="58">
        <v>8.6</v>
      </c>
      <c r="K93" s="59">
        <f t="shared" si="82"/>
        <v>34.87824</v>
      </c>
      <c r="L93" s="436">
        <v>0.12</v>
      </c>
      <c r="M93" s="123">
        <v>0.096</v>
      </c>
      <c r="N93" s="75">
        <v>0.179</v>
      </c>
      <c r="O93" s="60">
        <v>0.12</v>
      </c>
      <c r="P93" s="63">
        <v>90.0</v>
      </c>
      <c r="Q93" s="64">
        <v>89.88</v>
      </c>
      <c r="R93" s="65">
        <v>2640.15</v>
      </c>
      <c r="S93" s="66">
        <f t="shared" ref="S93:S94" si="98">IF((90+ROUNDDOWN(O93,1)*100)&lt;95,95,(90+ROUNDDOWN(O93,1)*100))</f>
        <v>100</v>
      </c>
      <c r="U93" s="67">
        <v>130.0</v>
      </c>
      <c r="V93" s="67">
        <v>1.1023</v>
      </c>
      <c r="Y93" s="57">
        <v>10.0</v>
      </c>
      <c r="Z93" s="69">
        <f t="shared" si="84"/>
        <v>30</v>
      </c>
      <c r="AA93" s="70">
        <f t="shared" si="85"/>
        <v>40</v>
      </c>
      <c r="AB93" s="71">
        <f t="shared" si="86"/>
        <v>144.5073413</v>
      </c>
      <c r="AC93" s="71">
        <f>+(S93-T93)*V93-'data 1'!$F$4</f>
        <v>30.23</v>
      </c>
      <c r="AD93" s="71">
        <f t="shared" si="87"/>
        <v>-0.3984391217</v>
      </c>
      <c r="AE93" s="71">
        <f t="shared" si="88"/>
        <v>-25.908</v>
      </c>
      <c r="AF93" s="71">
        <f t="shared" si="89"/>
        <v>0</v>
      </c>
      <c r="AG93" s="72">
        <f>+IF(D93="RONALD WILLIAN GARIBAY ESCUDERO",AC93+AD93+AE93+AF93+70,AC93+AD93+AE93+AF93)+70-20</f>
        <v>53.92356088</v>
      </c>
      <c r="AH93" s="52">
        <f t="shared" si="91"/>
        <v>128.975714</v>
      </c>
      <c r="AI93" s="73">
        <f t="shared" si="92"/>
        <v>21.26341726</v>
      </c>
      <c r="AJ93" s="73">
        <f t="shared" si="93"/>
        <v>129.1479112</v>
      </c>
      <c r="AK93" s="11"/>
      <c r="AL93" s="51">
        <f t="shared" si="94"/>
        <v>5040.16173</v>
      </c>
      <c r="AM93" s="58"/>
    </row>
    <row r="94" ht="15.75" customHeight="1">
      <c r="A94" s="844" t="s">
        <v>4315</v>
      </c>
      <c r="B94" s="841">
        <v>45646.0</v>
      </c>
      <c r="C94" s="56">
        <v>45632.0</v>
      </c>
      <c r="D94" s="57" t="s">
        <v>3795</v>
      </c>
      <c r="E94" s="2">
        <v>2.060499E10</v>
      </c>
      <c r="F94" s="2" t="s">
        <v>4314</v>
      </c>
      <c r="G94" s="3" t="s">
        <v>46</v>
      </c>
      <c r="H94" s="57" t="s">
        <v>40</v>
      </c>
      <c r="I94" s="58">
        <v>33.97</v>
      </c>
      <c r="J94" s="58">
        <v>7.5</v>
      </c>
      <c r="K94" s="59">
        <f t="shared" si="82"/>
        <v>31.42225</v>
      </c>
      <c r="L94" s="436">
        <v>0.12</v>
      </c>
      <c r="M94" s="61">
        <v>0.097</v>
      </c>
      <c r="N94" s="75">
        <v>0.161</v>
      </c>
      <c r="O94" s="60">
        <v>0.12</v>
      </c>
      <c r="P94" s="63">
        <v>90.0</v>
      </c>
      <c r="Q94" s="64">
        <v>89.76</v>
      </c>
      <c r="R94" s="65">
        <v>2637.3</v>
      </c>
      <c r="S94" s="66">
        <f t="shared" si="98"/>
        <v>100</v>
      </c>
      <c r="U94" s="67">
        <v>130.0</v>
      </c>
      <c r="V94" s="67">
        <v>1.1023</v>
      </c>
      <c r="Y94" s="57">
        <v>10.0</v>
      </c>
      <c r="Z94" s="69">
        <f t="shared" si="84"/>
        <v>30</v>
      </c>
      <c r="AA94" s="70">
        <f t="shared" si="85"/>
        <v>40</v>
      </c>
      <c r="AB94" s="71">
        <f t="shared" si="86"/>
        <v>144.1680533</v>
      </c>
      <c r="AC94" s="71">
        <f>+(S94-T94)*V94-'data 1'!$F$4</f>
        <v>30.23</v>
      </c>
      <c r="AD94" s="71">
        <f t="shared" si="87"/>
        <v>-0.7959734755</v>
      </c>
      <c r="AE94" s="71">
        <f t="shared" si="88"/>
        <v>-25.908</v>
      </c>
      <c r="AF94" s="71">
        <f t="shared" si="89"/>
        <v>0</v>
      </c>
      <c r="AG94" s="72">
        <f>+IF(D94="RONALD WILLIAN GARIBAY ESCUDERO",AC94+AD94+AE94+AF94+70,AC94+AD94+AE94+AF94)+70-53</f>
        <v>20.52602652</v>
      </c>
      <c r="AH94" s="52">
        <f t="shared" si="91"/>
        <v>116.0407264</v>
      </c>
      <c r="AI94" s="73">
        <f t="shared" si="92"/>
        <v>21.57341136</v>
      </c>
      <c r="AJ94" s="73">
        <f t="shared" si="93"/>
        <v>116.3509957</v>
      </c>
      <c r="AK94" s="11"/>
      <c r="AL94" s="51">
        <f t="shared" si="94"/>
        <v>4530.084613</v>
      </c>
      <c r="AM94" s="58"/>
    </row>
    <row r="95" ht="15.75" customHeight="1">
      <c r="A95" s="844" t="s">
        <v>4316</v>
      </c>
      <c r="B95" s="841">
        <v>45652.0</v>
      </c>
      <c r="C95" s="56">
        <v>45646.0</v>
      </c>
      <c r="D95" s="57" t="s">
        <v>602</v>
      </c>
      <c r="E95" s="2">
        <v>2.0169040237E10</v>
      </c>
      <c r="F95" s="2" t="s">
        <v>4317</v>
      </c>
      <c r="G95" s="3">
        <v>20.0</v>
      </c>
      <c r="H95" s="57" t="s">
        <v>40</v>
      </c>
      <c r="I95" s="58">
        <v>1.47</v>
      </c>
      <c r="J95" s="58">
        <v>20.0</v>
      </c>
      <c r="K95" s="59">
        <f t="shared" si="82"/>
        <v>1.176</v>
      </c>
      <c r="L95" s="60">
        <v>1.145</v>
      </c>
      <c r="M95" s="60">
        <v>1.099</v>
      </c>
      <c r="N95" s="62">
        <v>1.203</v>
      </c>
      <c r="O95" s="60">
        <f t="shared" ref="O95:O105" si="99">+ROUND((M95+N95)/2,3)</f>
        <v>1.151</v>
      </c>
      <c r="P95" s="63">
        <v>90.0</v>
      </c>
      <c r="Q95" s="64">
        <v>89.74</v>
      </c>
      <c r="R95" s="65">
        <v>2616.45</v>
      </c>
      <c r="S95" s="76">
        <v>180.0</v>
      </c>
      <c r="U95" s="67">
        <v>130.0</v>
      </c>
      <c r="V95" s="67">
        <v>1.1023</v>
      </c>
      <c r="Y95" s="57">
        <v>30.0</v>
      </c>
      <c r="Z95" s="69">
        <f t="shared" si="84"/>
        <v>30</v>
      </c>
      <c r="AA95" s="70">
        <f t="shared" si="85"/>
        <v>60</v>
      </c>
      <c r="AB95" s="71">
        <f t="shared" si="86"/>
        <v>2574.657052</v>
      </c>
      <c r="AC95" s="71">
        <f>+(S95-T95)*V95-'data 1'!$F$4</f>
        <v>118.414</v>
      </c>
      <c r="AD95" s="71">
        <f t="shared" si="87"/>
        <v>-8.159402787</v>
      </c>
      <c r="AE95" s="71">
        <f t="shared" si="88"/>
        <v>-3.862</v>
      </c>
      <c r="AF95" s="71">
        <f t="shared" si="89"/>
        <v>-14.75763801</v>
      </c>
      <c r="AG95" s="72">
        <f t="shared" ref="AG95:AG96" si="100">+IF(D95="RONALD WILLIAN GARIBAY ESCUDERO",AC95+AD95+AE95+AF95+70,AC95+AD95+AE95+AF95)</f>
        <v>91.6349592</v>
      </c>
      <c r="AH95" s="52">
        <f t="shared" si="91"/>
        <v>41.42933315</v>
      </c>
      <c r="AI95" s="73">
        <f t="shared" si="92"/>
        <v>229.415949</v>
      </c>
      <c r="AJ95" s="73">
        <f t="shared" si="93"/>
        <v>41.76709057</v>
      </c>
      <c r="AK95" s="11"/>
      <c r="AL95" s="51">
        <f t="shared" si="94"/>
        <v>3027.796693</v>
      </c>
      <c r="AM95" s="58"/>
    </row>
    <row r="96" ht="15.75" customHeight="1">
      <c r="A96" s="844" t="s">
        <v>4318</v>
      </c>
      <c r="B96" s="841">
        <v>45652.0</v>
      </c>
      <c r="C96" s="56">
        <v>45646.0</v>
      </c>
      <c r="D96" s="57" t="s">
        <v>602</v>
      </c>
      <c r="E96" s="2">
        <v>2.0169040237E10</v>
      </c>
      <c r="F96" s="2" t="s">
        <v>4317</v>
      </c>
      <c r="G96" s="3">
        <v>41.0</v>
      </c>
      <c r="H96" s="57" t="s">
        <v>40</v>
      </c>
      <c r="I96" s="58">
        <v>3.72</v>
      </c>
      <c r="J96" s="58">
        <v>26.15</v>
      </c>
      <c r="K96" s="59">
        <f t="shared" si="82"/>
        <v>2.74722</v>
      </c>
      <c r="L96" s="60">
        <v>1.003</v>
      </c>
      <c r="M96" s="60">
        <v>0.963</v>
      </c>
      <c r="N96" s="62">
        <v>1.106</v>
      </c>
      <c r="O96" s="60">
        <f t="shared" si="99"/>
        <v>1.035</v>
      </c>
      <c r="P96" s="63">
        <v>90.0</v>
      </c>
      <c r="Q96" s="64">
        <v>89.67</v>
      </c>
      <c r="R96" s="65">
        <v>2616.45</v>
      </c>
      <c r="S96" s="76">
        <v>170.0</v>
      </c>
      <c r="U96" s="67">
        <v>130.0</v>
      </c>
      <c r="V96" s="67">
        <v>1.1023</v>
      </c>
      <c r="Y96" s="57">
        <v>30.0</v>
      </c>
      <c r="Z96" s="69">
        <f t="shared" si="84"/>
        <v>30</v>
      </c>
      <c r="AA96" s="70">
        <f t="shared" si="85"/>
        <v>60</v>
      </c>
      <c r="AB96" s="71">
        <f t="shared" si="86"/>
        <v>2299.539087</v>
      </c>
      <c r="AC96" s="71">
        <f>+(S96-T96)*V96-'data 1'!$F$4</f>
        <v>107.391</v>
      </c>
      <c r="AD96" s="71">
        <f t="shared" si="87"/>
        <v>-9.071819712</v>
      </c>
      <c r="AE96" s="71">
        <f t="shared" si="88"/>
        <v>-3.862</v>
      </c>
      <c r="AF96" s="71">
        <f t="shared" si="89"/>
        <v>-78.64600851</v>
      </c>
      <c r="AG96" s="72">
        <f t="shared" si="100"/>
        <v>15.81117178</v>
      </c>
      <c r="AH96" s="52">
        <f t="shared" si="91"/>
        <v>84.7131072</v>
      </c>
      <c r="AI96" s="73">
        <f t="shared" si="92"/>
        <v>200.8076056</v>
      </c>
      <c r="AJ96" s="73">
        <f t="shared" si="93"/>
        <v>87.73752275</v>
      </c>
      <c r="AK96" s="11"/>
      <c r="AL96" s="51">
        <f t="shared" si="94"/>
        <v>6317.339771</v>
      </c>
      <c r="AM96" s="58"/>
    </row>
    <row r="97" ht="15.75" customHeight="1">
      <c r="A97" s="844" t="s">
        <v>4319</v>
      </c>
      <c r="B97" s="841">
        <v>45652.0</v>
      </c>
      <c r="C97" s="56">
        <v>45646.0</v>
      </c>
      <c r="D97" s="57" t="s">
        <v>602</v>
      </c>
      <c r="E97" s="2">
        <v>2.0169040237E10</v>
      </c>
      <c r="F97" s="2"/>
      <c r="G97" s="3">
        <v>53.0</v>
      </c>
      <c r="H97" s="57" t="s">
        <v>40</v>
      </c>
      <c r="I97" s="58">
        <v>4.2</v>
      </c>
      <c r="J97" s="58">
        <v>28.3</v>
      </c>
      <c r="K97" s="59">
        <f t="shared" si="82"/>
        <v>3.0114</v>
      </c>
      <c r="L97" s="60">
        <v>1.226</v>
      </c>
      <c r="M97" s="60">
        <v>1.176</v>
      </c>
      <c r="N97" s="62">
        <v>1.476</v>
      </c>
      <c r="O97" s="60">
        <f t="shared" si="99"/>
        <v>1.326</v>
      </c>
      <c r="P97" s="63">
        <v>90.0</v>
      </c>
      <c r="Q97" s="64">
        <v>89.52</v>
      </c>
      <c r="R97" s="65">
        <v>2616.45</v>
      </c>
      <c r="S97" s="66">
        <f t="shared" ref="S97:S98" si="101">IF((90+ROUNDDOWN(O97,1)*100)&lt;95,95,(90+ROUNDDOWN(O97,1)*100))</f>
        <v>220</v>
      </c>
      <c r="U97" s="67">
        <v>130.0</v>
      </c>
      <c r="V97" s="67">
        <v>1.1023</v>
      </c>
      <c r="Y97" s="57">
        <v>30.0</v>
      </c>
      <c r="Z97" s="69">
        <f t="shared" si="84"/>
        <v>30</v>
      </c>
      <c r="AA97" s="70">
        <f t="shared" si="85"/>
        <v>60</v>
      </c>
      <c r="AB97" s="71">
        <f t="shared" si="86"/>
        <v>2962.243231</v>
      </c>
      <c r="AC97" s="71">
        <f>+(S97-T97)*V97-'data 1'!$F$4</f>
        <v>162.506</v>
      </c>
      <c r="AD97" s="71">
        <f t="shared" si="87"/>
        <v>-16.12914126</v>
      </c>
      <c r="AE97" s="71">
        <f t="shared" si="88"/>
        <v>-3.862</v>
      </c>
      <c r="AF97" s="71">
        <f t="shared" si="89"/>
        <v>-245.3576545</v>
      </c>
      <c r="AG97" s="72">
        <f t="shared" ref="AG97:AG101" si="102">+IF(D97="RONALD WILLIAN GARIBAY ESCUDERO",AC97+AD97+AE97+AF97+70,AC97+AD97+AE97+AF97)+70-53</f>
        <v>-85.84279577</v>
      </c>
      <c r="AH97" s="52">
        <f t="shared" si="91"/>
        <v>113.3151711</v>
      </c>
      <c r="AI97" s="73">
        <f t="shared" si="92"/>
        <v>245.0431681</v>
      </c>
      <c r="AJ97" s="73">
        <f t="shared" si="93"/>
        <v>123.2149908</v>
      </c>
      <c r="AK97" s="11"/>
      <c r="AL97" s="51">
        <f t="shared" si="94"/>
        <v>8920.499265</v>
      </c>
      <c r="AM97" s="58"/>
    </row>
    <row r="98" ht="15.75" customHeight="1">
      <c r="A98" s="844" t="s">
        <v>4320</v>
      </c>
      <c r="B98" s="841">
        <v>45652.0</v>
      </c>
      <c r="C98" s="56">
        <v>45646.0</v>
      </c>
      <c r="D98" s="57" t="s">
        <v>602</v>
      </c>
      <c r="E98" s="2">
        <v>2.0169040237E10</v>
      </c>
      <c r="F98" s="2"/>
      <c r="G98" s="3">
        <v>50.0</v>
      </c>
      <c r="H98" s="57" t="s">
        <v>40</v>
      </c>
      <c r="I98" s="58">
        <v>3.98</v>
      </c>
      <c r="J98" s="58">
        <v>26.0</v>
      </c>
      <c r="K98" s="59">
        <f t="shared" si="82"/>
        <v>2.9452</v>
      </c>
      <c r="L98" s="60">
        <v>1.065</v>
      </c>
      <c r="M98" s="60">
        <v>1.022</v>
      </c>
      <c r="N98" s="62">
        <v>1.09</v>
      </c>
      <c r="O98" s="60">
        <f t="shared" si="99"/>
        <v>1.056</v>
      </c>
      <c r="P98" s="63">
        <v>90.0</v>
      </c>
      <c r="Q98" s="64">
        <v>89.15</v>
      </c>
      <c r="R98" s="65">
        <v>2616.45</v>
      </c>
      <c r="S98" s="66">
        <f t="shared" si="101"/>
        <v>190</v>
      </c>
      <c r="U98" s="67">
        <v>130.0</v>
      </c>
      <c r="V98" s="67">
        <v>1.1023</v>
      </c>
      <c r="Y98" s="57">
        <v>30.0</v>
      </c>
      <c r="Z98" s="69">
        <f t="shared" si="84"/>
        <v>30</v>
      </c>
      <c r="AA98" s="70">
        <f t="shared" si="85"/>
        <v>60</v>
      </c>
      <c r="AB98" s="71">
        <f t="shared" si="86"/>
        <v>2329.294469</v>
      </c>
      <c r="AC98" s="71">
        <f>+(S98-T98)*V98-'data 1'!$F$4</f>
        <v>129.437</v>
      </c>
      <c r="AD98" s="71">
        <f t="shared" si="87"/>
        <v>-24.81121724</v>
      </c>
      <c r="AE98" s="71">
        <f t="shared" si="88"/>
        <v>-3.862</v>
      </c>
      <c r="AF98" s="71">
        <f t="shared" si="89"/>
        <v>21.99091981</v>
      </c>
      <c r="AG98" s="72">
        <f t="shared" si="102"/>
        <v>139.7547026</v>
      </c>
      <c r="AH98" s="52">
        <f t="shared" si="91"/>
        <v>95.87266867</v>
      </c>
      <c r="AI98" s="73">
        <f t="shared" si="92"/>
        <v>211.9839646</v>
      </c>
      <c r="AJ98" s="73">
        <f t="shared" si="93"/>
        <v>95.96884957</v>
      </c>
      <c r="AK98" s="11"/>
      <c r="AL98" s="51">
        <f t="shared" si="94"/>
        <v>6860.238069</v>
      </c>
      <c r="AM98" s="58"/>
    </row>
    <row r="99" ht="15.0" customHeight="1">
      <c r="A99" s="844" t="s">
        <v>4321</v>
      </c>
      <c r="B99" s="56">
        <v>45650.0</v>
      </c>
      <c r="C99" s="56">
        <v>45646.0</v>
      </c>
      <c r="D99" s="57" t="s">
        <v>602</v>
      </c>
      <c r="E99" s="2">
        <v>2.0169040237E10</v>
      </c>
      <c r="G99" s="3">
        <v>21.0</v>
      </c>
      <c r="H99" s="57" t="s">
        <v>40</v>
      </c>
      <c r="I99" s="58">
        <v>1.92</v>
      </c>
      <c r="J99" s="58">
        <v>26.15</v>
      </c>
      <c r="K99" s="59">
        <f t="shared" si="82"/>
        <v>1.41792</v>
      </c>
      <c r="L99" s="60">
        <v>0.888</v>
      </c>
      <c r="M99" s="60">
        <v>0.852</v>
      </c>
      <c r="N99" s="62">
        <v>0.852</v>
      </c>
      <c r="O99" s="60">
        <f t="shared" si="99"/>
        <v>0.852</v>
      </c>
      <c r="P99" s="63">
        <v>90.0</v>
      </c>
      <c r="Q99" s="64">
        <v>89.74</v>
      </c>
      <c r="R99" s="65">
        <v>2616.45</v>
      </c>
      <c r="S99" s="76">
        <v>160.0</v>
      </c>
      <c r="U99" s="67">
        <v>130.0</v>
      </c>
      <c r="V99" s="67">
        <v>1.1023</v>
      </c>
      <c r="Y99" s="57">
        <v>20.0</v>
      </c>
      <c r="Z99" s="69">
        <f t="shared" si="84"/>
        <v>30</v>
      </c>
      <c r="AA99" s="70">
        <f t="shared" si="85"/>
        <v>50</v>
      </c>
      <c r="AB99" s="71">
        <f t="shared" si="86"/>
        <v>1870.173049</v>
      </c>
      <c r="AC99" s="71">
        <f>+(S99-T99)*V99-'data 1'!$F$4</f>
        <v>96.368</v>
      </c>
      <c r="AD99" s="71">
        <f t="shared" si="87"/>
        <v>-6.327990982</v>
      </c>
      <c r="AE99" s="71">
        <f t="shared" si="88"/>
        <v>-14.885</v>
      </c>
      <c r="AF99" s="71">
        <f t="shared" si="89"/>
        <v>88.54582808</v>
      </c>
      <c r="AG99" s="72">
        <f t="shared" si="102"/>
        <v>180.7008371</v>
      </c>
      <c r="AH99" s="52">
        <f t="shared" si="91"/>
        <v>38.74001893</v>
      </c>
      <c r="AI99" s="73">
        <f t="shared" si="92"/>
        <v>177.9225875</v>
      </c>
      <c r="AJ99" s="73">
        <f t="shared" si="93"/>
        <v>37.27716722</v>
      </c>
      <c r="AK99" s="11"/>
      <c r="AL99" s="51">
        <f t="shared" si="94"/>
        <v>2651.755769</v>
      </c>
      <c r="AM99" s="58"/>
    </row>
    <row r="100" ht="15.75" customHeight="1">
      <c r="A100" s="844" t="s">
        <v>4322</v>
      </c>
      <c r="B100" s="56">
        <v>45642.0</v>
      </c>
      <c r="C100" s="56">
        <v>45641.0</v>
      </c>
      <c r="D100" s="57" t="s">
        <v>61</v>
      </c>
      <c r="E100" s="57">
        <v>2.0606526599E10</v>
      </c>
      <c r="G100" s="3">
        <v>69.0</v>
      </c>
      <c r="H100" s="57" t="s">
        <v>47</v>
      </c>
      <c r="I100" s="58">
        <v>5.54</v>
      </c>
      <c r="J100" s="58">
        <v>1.2</v>
      </c>
      <c r="K100" s="59">
        <f t="shared" si="82"/>
        <v>5.47352</v>
      </c>
      <c r="L100" s="60">
        <v>0.6</v>
      </c>
      <c r="M100" s="60">
        <v>0.576</v>
      </c>
      <c r="N100" s="75">
        <v>0.623</v>
      </c>
      <c r="O100" s="60">
        <f t="shared" si="99"/>
        <v>0.6</v>
      </c>
      <c r="P100" s="63">
        <v>90.0</v>
      </c>
      <c r="Q100" s="64">
        <v>89.66</v>
      </c>
      <c r="R100" s="65">
        <v>2659.05</v>
      </c>
      <c r="S100" s="66">
        <f t="shared" ref="S100:S101" si="103">IF((90+ROUNDDOWN(O100,1)*100)&lt;95,95,(90+ROUNDDOWN(O100,1)*100))</f>
        <v>150</v>
      </c>
      <c r="U100" s="67"/>
      <c r="V100" s="67">
        <v>1.1023</v>
      </c>
      <c r="Y100" s="57">
        <v>10.0</v>
      </c>
      <c r="Z100" s="69">
        <f t="shared" si="84"/>
        <v>30</v>
      </c>
      <c r="AA100" s="70">
        <f t="shared" si="85"/>
        <v>40</v>
      </c>
      <c r="AB100" s="71">
        <f t="shared" si="86"/>
        <v>1373.34124</v>
      </c>
      <c r="AC100" s="71">
        <f>+(S100-T100)*V100-'data 1'!$F$4</f>
        <v>85.345</v>
      </c>
      <c r="AD100" s="71">
        <f t="shared" si="87"/>
        <v>-5.979384463</v>
      </c>
      <c r="AE100" s="71">
        <f t="shared" si="88"/>
        <v>-25.908</v>
      </c>
      <c r="AF100" s="71">
        <f t="shared" si="89"/>
        <v>0</v>
      </c>
      <c r="AG100" s="72">
        <f t="shared" si="102"/>
        <v>70.45761554</v>
      </c>
      <c r="AH100" s="52">
        <f t="shared" si="91"/>
        <v>100.9545189</v>
      </c>
      <c r="AI100" s="73">
        <f t="shared" si="92"/>
        <v>17.76014957</v>
      </c>
      <c r="AJ100" s="73">
        <f t="shared" si="93"/>
        <v>101.3373489</v>
      </c>
      <c r="AK100" s="11"/>
      <c r="AL100" s="51">
        <f t="shared" si="94"/>
        <v>7517.010745</v>
      </c>
      <c r="AM100" s="58"/>
    </row>
    <row r="101" ht="15.75" customHeight="1">
      <c r="A101" s="844" t="s">
        <v>4323</v>
      </c>
      <c r="B101" s="56">
        <v>45642.0</v>
      </c>
      <c r="C101" s="56">
        <v>45641.0</v>
      </c>
      <c r="D101" s="57" t="s">
        <v>61</v>
      </c>
      <c r="E101" s="57">
        <v>2.0606526599E10</v>
      </c>
      <c r="G101" s="3">
        <v>250.0</v>
      </c>
      <c r="H101" s="57" t="s">
        <v>47</v>
      </c>
      <c r="I101" s="58">
        <v>20.56</v>
      </c>
      <c r="J101" s="58">
        <v>1.7</v>
      </c>
      <c r="K101" s="59">
        <f t="shared" si="82"/>
        <v>20.21048</v>
      </c>
      <c r="L101" s="60">
        <v>0.491</v>
      </c>
      <c r="M101" s="60">
        <v>0.471</v>
      </c>
      <c r="N101" s="75">
        <v>0.519</v>
      </c>
      <c r="O101" s="60">
        <f t="shared" si="99"/>
        <v>0.495</v>
      </c>
      <c r="P101" s="63">
        <v>90.0</v>
      </c>
      <c r="Q101" s="64">
        <v>89.73</v>
      </c>
      <c r="R101" s="65">
        <v>2659.05</v>
      </c>
      <c r="S101" s="66">
        <f t="shared" si="103"/>
        <v>130</v>
      </c>
      <c r="T101" s="2"/>
      <c r="U101" s="67"/>
      <c r="V101" s="67">
        <v>1.1023</v>
      </c>
      <c r="Y101" s="57">
        <v>10.0</v>
      </c>
      <c r="Z101" s="69">
        <f t="shared" si="84"/>
        <v>30</v>
      </c>
      <c r="AA101" s="70">
        <f t="shared" si="85"/>
        <v>40</v>
      </c>
      <c r="AB101" s="71">
        <f t="shared" si="86"/>
        <v>1118.401048</v>
      </c>
      <c r="AC101" s="71">
        <f>+(S101-T101)*V101-'data 1'!$F$4</f>
        <v>63.299</v>
      </c>
      <c r="AD101" s="71">
        <f t="shared" si="87"/>
        <v>-3.885720579</v>
      </c>
      <c r="AE101" s="71">
        <f t="shared" si="88"/>
        <v>-25.908</v>
      </c>
      <c r="AF101" s="71">
        <f t="shared" si="89"/>
        <v>-10.52019937</v>
      </c>
      <c r="AG101" s="72">
        <f t="shared" si="102"/>
        <v>39.98508005</v>
      </c>
      <c r="AH101" s="52">
        <f t="shared" si="91"/>
        <v>305.2845721</v>
      </c>
      <c r="AI101" s="73">
        <f t="shared" si="92"/>
        <v>14.54506927</v>
      </c>
      <c r="AJ101" s="73">
        <f t="shared" si="93"/>
        <v>308.6977086</v>
      </c>
      <c r="AK101" s="11"/>
      <c r="AL101" s="51">
        <f t="shared" si="94"/>
        <v>22603.42201</v>
      </c>
      <c r="AM101" s="58"/>
    </row>
    <row r="102" ht="15.75" customHeight="1">
      <c r="A102" s="844" t="s">
        <v>4324</v>
      </c>
      <c r="B102" s="56">
        <v>45650.0</v>
      </c>
      <c r="C102" s="56">
        <v>45646.0</v>
      </c>
      <c r="D102" s="57" t="s">
        <v>74</v>
      </c>
      <c r="E102" s="57">
        <v>1.0082235774E10</v>
      </c>
      <c r="G102" s="3">
        <v>41.0</v>
      </c>
      <c r="H102" s="57" t="s">
        <v>47</v>
      </c>
      <c r="I102" s="58">
        <v>3.91</v>
      </c>
      <c r="J102" s="58">
        <v>1.5</v>
      </c>
      <c r="K102" s="59">
        <f t="shared" si="82"/>
        <v>3.85135</v>
      </c>
      <c r="L102" s="60">
        <v>0.33</v>
      </c>
      <c r="M102" s="60">
        <v>0.325</v>
      </c>
      <c r="N102" s="62">
        <v>0.325</v>
      </c>
      <c r="O102" s="60">
        <f t="shared" si="99"/>
        <v>0.325</v>
      </c>
      <c r="P102" s="63">
        <v>90.0</v>
      </c>
      <c r="Q102" s="64">
        <v>89.76</v>
      </c>
      <c r="R102" s="65">
        <v>2616.45</v>
      </c>
      <c r="S102" s="76">
        <v>110.0</v>
      </c>
      <c r="U102" s="67">
        <v>80.0</v>
      </c>
      <c r="V102" s="67">
        <v>1.1023</v>
      </c>
      <c r="Z102" s="77">
        <v>10.0</v>
      </c>
      <c r="AA102" s="70">
        <f t="shared" si="85"/>
        <v>10</v>
      </c>
      <c r="AB102" s="71">
        <f t="shared" si="86"/>
        <v>685.5331842</v>
      </c>
      <c r="AC102" s="71">
        <f>+(S102-T102)*V102-'data 1'!$F$4</f>
        <v>41.253</v>
      </c>
      <c r="AD102" s="71">
        <f t="shared" si="87"/>
        <v>-2.214375637</v>
      </c>
      <c r="AE102" s="71">
        <f t="shared" si="88"/>
        <v>-58.977</v>
      </c>
      <c r="AF102" s="71">
        <f t="shared" si="89"/>
        <v>12.54812861</v>
      </c>
      <c r="AG102" s="72">
        <f>+IF(D102="RONALD WILLIAN GARIBAY ESCUDERO",AC102+AD102+AE102+AF102+70,AC102+AD102+AE102+AF102)+70</f>
        <v>62.60975297</v>
      </c>
      <c r="AH102" s="52">
        <f t="shared" si="91"/>
        <v>39.11279403</v>
      </c>
      <c r="AI102" s="73">
        <f t="shared" si="92"/>
        <v>49.80911246</v>
      </c>
      <c r="AJ102" s="73">
        <f t="shared" si="93"/>
        <v>38.62317106</v>
      </c>
      <c r="AK102" s="11"/>
      <c r="AL102" s="51">
        <f t="shared" si="94"/>
        <v>2640.228229</v>
      </c>
      <c r="AM102" s="58"/>
    </row>
    <row r="103" ht="15.75" customHeight="1">
      <c r="A103" s="844" t="s">
        <v>4325</v>
      </c>
      <c r="B103" s="56">
        <v>0.0</v>
      </c>
      <c r="C103" s="56">
        <v>45649.0</v>
      </c>
      <c r="D103" s="57" t="s">
        <v>602</v>
      </c>
      <c r="E103" s="2">
        <v>2.0169040237E10</v>
      </c>
      <c r="G103" s="3">
        <v>23.0</v>
      </c>
      <c r="H103" s="57" t="s">
        <v>40</v>
      </c>
      <c r="I103" s="58">
        <v>2.02</v>
      </c>
      <c r="J103" s="58">
        <v>21.35</v>
      </c>
      <c r="K103" s="59">
        <f t="shared" si="82"/>
        <v>1.58873</v>
      </c>
      <c r="L103" s="60">
        <v>2.191</v>
      </c>
      <c r="M103" s="60">
        <v>2.103</v>
      </c>
      <c r="N103" s="62">
        <v>2.103</v>
      </c>
      <c r="O103" s="60">
        <f t="shared" si="99"/>
        <v>2.103</v>
      </c>
      <c r="P103" s="63">
        <v>90.0</v>
      </c>
      <c r="Q103" s="64">
        <v>89.46</v>
      </c>
      <c r="R103" s="65">
        <v>2613.8</v>
      </c>
      <c r="S103" s="76">
        <v>280.0</v>
      </c>
      <c r="U103" s="67">
        <v>130.0</v>
      </c>
      <c r="V103" s="67">
        <v>1.1023</v>
      </c>
      <c r="Y103" s="57">
        <v>30.0</v>
      </c>
      <c r="Z103" s="69">
        <f t="shared" ref="Z103:Z105" si="104">IF(IF(D103="UNTUCA",IF(+((W103-3)*1.5+(X103-3)*3.1)&gt;0,+((W103-3)*1.5+(X103-3)*3.1),0),IF(+((W103-3)*1.5+(X103-3)*3.1)&gt;0,+((W103-3)*1.5+(X103-3)*3.1),0))&lt;30,30,IF(D103="UNTUCA",IF(+((W103-3)*1.5+(X103-3)*3.1)&gt;0,+((W103-3)*1.5+(X103-3)*3.1),0),IF(+((W103-3)*1.5+(X103-3)*3.1)&gt;0,+((W103-3)*1.5+(X103-3)*3.1),0)))</f>
        <v>30</v>
      </c>
      <c r="AA103" s="70">
        <f t="shared" si="85"/>
        <v>60</v>
      </c>
      <c r="AB103" s="71">
        <f t="shared" si="86"/>
        <v>4807.227589</v>
      </c>
      <c r="AC103" s="71">
        <f>+(S103-T103)*V103-'data 1'!$F$4</f>
        <v>228.644</v>
      </c>
      <c r="AD103" s="71">
        <f t="shared" si="87"/>
        <v>-32.39310416</v>
      </c>
      <c r="AE103" s="71">
        <f t="shared" si="88"/>
        <v>-3.862</v>
      </c>
      <c r="AF103" s="71">
        <f t="shared" si="89"/>
        <v>215.5400584</v>
      </c>
      <c r="AG103" s="72">
        <f t="shared" ref="AG103:AG105" si="105">+IF(D103="RONALD WILLIAN GARIBAY ESCUDERO",AC103+AD103+AE103+AF103+70,AC103+AD103+AE103+AF103)+70-53</f>
        <v>424.9289542</v>
      </c>
      <c r="AH103" s="52">
        <f t="shared" si="91"/>
        <v>106.7653768</v>
      </c>
      <c r="AI103" s="73">
        <f t="shared" si="92"/>
        <v>443.3517584</v>
      </c>
      <c r="AJ103" s="73">
        <f t="shared" si="93"/>
        <v>103.095794</v>
      </c>
      <c r="AK103" s="11"/>
      <c r="AL103" s="51">
        <f t="shared" si="94"/>
        <v>7637.386687</v>
      </c>
      <c r="AM103" s="58"/>
    </row>
    <row r="104" ht="15.75" customHeight="1">
      <c r="A104" s="844" t="s">
        <v>4326</v>
      </c>
      <c r="B104" s="56">
        <v>45652.0</v>
      </c>
      <c r="C104" s="56">
        <v>45649.0</v>
      </c>
      <c r="D104" s="57" t="s">
        <v>602</v>
      </c>
      <c r="E104" s="2">
        <v>2.0169040237E10</v>
      </c>
      <c r="G104" s="3">
        <v>31.0</v>
      </c>
      <c r="H104" s="57" t="s">
        <v>40</v>
      </c>
      <c r="I104" s="58">
        <v>2.97</v>
      </c>
      <c r="J104" s="58">
        <v>19.1</v>
      </c>
      <c r="K104" s="59">
        <f t="shared" si="82"/>
        <v>2.40273</v>
      </c>
      <c r="L104" s="60">
        <v>1.843</v>
      </c>
      <c r="M104" s="60">
        <v>1.769</v>
      </c>
      <c r="N104" s="62">
        <v>1.769</v>
      </c>
      <c r="O104" s="60">
        <f t="shared" si="99"/>
        <v>1.769</v>
      </c>
      <c r="P104" s="63">
        <v>90.0</v>
      </c>
      <c r="Q104" s="64">
        <v>89.37</v>
      </c>
      <c r="R104" s="65">
        <v>2613.8</v>
      </c>
      <c r="S104" s="76">
        <v>250.0</v>
      </c>
      <c r="U104" s="67">
        <v>130.0</v>
      </c>
      <c r="V104" s="67">
        <v>1.1023</v>
      </c>
      <c r="Y104" s="57">
        <v>30.0</v>
      </c>
      <c r="Z104" s="69">
        <f t="shared" si="104"/>
        <v>30</v>
      </c>
      <c r="AA104" s="70">
        <f t="shared" si="85"/>
        <v>60</v>
      </c>
      <c r="AB104" s="71">
        <f t="shared" si="86"/>
        <v>4017.286031</v>
      </c>
      <c r="AC104" s="71">
        <f>+(S104-T104)*V104-'data 1'!$F$4</f>
        <v>195.575</v>
      </c>
      <c r="AD104" s="71">
        <f t="shared" si="87"/>
        <v>-31.78939881</v>
      </c>
      <c r="AE104" s="71">
        <f t="shared" si="88"/>
        <v>-3.862</v>
      </c>
      <c r="AF104" s="71">
        <f t="shared" si="89"/>
        <v>181.0672509</v>
      </c>
      <c r="AG104" s="72">
        <f t="shared" si="105"/>
        <v>357.9908521</v>
      </c>
      <c r="AH104" s="52">
        <f t="shared" si="91"/>
        <v>135.6847795</v>
      </c>
      <c r="AI104" s="73">
        <f t="shared" si="92"/>
        <v>372.5583118</v>
      </c>
      <c r="AJ104" s="73">
        <f t="shared" si="93"/>
        <v>131.1548583</v>
      </c>
      <c r="AK104" s="11"/>
      <c r="AL104" s="51">
        <f t="shared" si="94"/>
        <v>9652.453666</v>
      </c>
      <c r="AM104" s="58"/>
    </row>
    <row r="105" ht="15.75" customHeight="1">
      <c r="A105" s="844" t="s">
        <v>4327</v>
      </c>
      <c r="B105" s="56">
        <v>45652.0</v>
      </c>
      <c r="C105" s="56">
        <v>45650.0</v>
      </c>
      <c r="D105" s="57" t="s">
        <v>38</v>
      </c>
      <c r="E105" s="57">
        <v>2.0606534923E10</v>
      </c>
      <c r="F105" s="57" t="s">
        <v>4199</v>
      </c>
      <c r="G105" s="3">
        <v>26.0</v>
      </c>
      <c r="H105" s="57" t="s">
        <v>40</v>
      </c>
      <c r="I105" s="58">
        <v>2.23</v>
      </c>
      <c r="J105" s="58">
        <v>26.15</v>
      </c>
      <c r="K105" s="59">
        <f t="shared" si="82"/>
        <v>1.646855</v>
      </c>
      <c r="L105" s="60">
        <v>1.695</v>
      </c>
      <c r="M105" s="62">
        <v>1.627</v>
      </c>
      <c r="N105" s="62">
        <v>1.627</v>
      </c>
      <c r="O105" s="60">
        <f t="shared" si="99"/>
        <v>1.627</v>
      </c>
      <c r="P105" s="63">
        <v>90.0</v>
      </c>
      <c r="Q105" s="64">
        <v>89.77</v>
      </c>
      <c r="R105" s="65">
        <v>2613.8</v>
      </c>
      <c r="S105" s="76">
        <v>240.0</v>
      </c>
      <c r="U105" s="67">
        <v>120.0</v>
      </c>
      <c r="V105" s="67">
        <v>1.1023</v>
      </c>
      <c r="Y105" s="57">
        <v>20.0</v>
      </c>
      <c r="Z105" s="69">
        <f t="shared" si="104"/>
        <v>30</v>
      </c>
      <c r="AA105" s="70">
        <f t="shared" si="85"/>
        <v>50</v>
      </c>
      <c r="AB105" s="71">
        <f t="shared" si="86"/>
        <v>3705.570318</v>
      </c>
      <c r="AC105" s="71">
        <f>+(S105-T105)*V105-'data 1'!$F$4</f>
        <v>184.552</v>
      </c>
      <c r="AD105" s="71">
        <f t="shared" si="87"/>
        <v>-10.71664801</v>
      </c>
      <c r="AE105" s="71">
        <f t="shared" si="88"/>
        <v>-14.885</v>
      </c>
      <c r="AF105" s="71">
        <f t="shared" si="89"/>
        <v>167.8037129</v>
      </c>
      <c r="AG105" s="72">
        <f t="shared" si="105"/>
        <v>343.7540649</v>
      </c>
      <c r="AH105" s="52">
        <f t="shared" si="91"/>
        <v>85.91428096</v>
      </c>
      <c r="AI105" s="73">
        <f t="shared" si="92"/>
        <v>327.4014123</v>
      </c>
      <c r="AJ105" s="73">
        <f t="shared" si="93"/>
        <v>82.67886277</v>
      </c>
      <c r="AK105" s="11"/>
      <c r="AL105" s="51">
        <f t="shared" si="94"/>
        <v>6102.537006</v>
      </c>
      <c r="AM105" s="58"/>
    </row>
    <row r="106" ht="15.75" customHeight="1">
      <c r="B106" s="56"/>
      <c r="C106" s="56"/>
      <c r="G106" s="3"/>
      <c r="L106" s="60"/>
      <c r="M106" s="60"/>
      <c r="N106" s="62"/>
      <c r="P106" s="63"/>
      <c r="Q106" s="64"/>
      <c r="R106" s="65"/>
      <c r="AG106" s="91"/>
      <c r="AH106" s="3"/>
      <c r="AI106" s="3"/>
      <c r="AJ106" s="3"/>
      <c r="AL106" s="3"/>
    </row>
    <row r="107" ht="15.75" customHeight="1">
      <c r="B107" s="56"/>
      <c r="C107" s="56"/>
      <c r="G107" s="3"/>
      <c r="L107" s="60"/>
      <c r="M107" s="60"/>
      <c r="N107" s="62"/>
      <c r="P107" s="63"/>
      <c r="Q107" s="64"/>
      <c r="R107" s="65"/>
      <c r="AG107" s="91"/>
      <c r="AH107" s="3"/>
      <c r="AI107" s="3"/>
      <c r="AJ107" s="3"/>
      <c r="AL107" s="3"/>
    </row>
    <row r="108" ht="15.75" customHeight="1">
      <c r="B108" s="56"/>
      <c r="C108" s="56"/>
      <c r="G108" s="3"/>
      <c r="L108" s="60"/>
      <c r="M108" s="60"/>
      <c r="N108" s="62"/>
      <c r="P108" s="63"/>
      <c r="Q108" s="64"/>
      <c r="R108" s="65"/>
      <c r="AG108" s="91"/>
      <c r="AH108" s="3"/>
      <c r="AI108" s="3"/>
      <c r="AJ108" s="3"/>
      <c r="AL108" s="3"/>
    </row>
    <row r="109" ht="15.75" customHeight="1">
      <c r="B109" s="56"/>
      <c r="C109" s="56"/>
      <c r="G109" s="3"/>
      <c r="L109" s="60"/>
      <c r="M109" s="60"/>
      <c r="N109" s="62"/>
      <c r="P109" s="63"/>
      <c r="Q109" s="64"/>
      <c r="R109" s="65"/>
      <c r="AG109" s="91"/>
      <c r="AH109" s="3"/>
      <c r="AI109" s="3"/>
      <c r="AJ109" s="3"/>
      <c r="AL109" s="3"/>
    </row>
    <row r="110" ht="15.75" customHeight="1">
      <c r="B110" s="56"/>
      <c r="C110" s="56"/>
      <c r="G110" s="3"/>
      <c r="L110" s="60"/>
      <c r="M110" s="60"/>
      <c r="N110" s="62"/>
      <c r="P110" s="63"/>
      <c r="Q110" s="64"/>
      <c r="R110" s="65"/>
      <c r="AG110" s="91"/>
      <c r="AH110" s="3"/>
      <c r="AI110" s="3"/>
      <c r="AJ110" s="3"/>
      <c r="AL110" s="3"/>
    </row>
    <row r="111" ht="15.75" customHeight="1">
      <c r="B111" s="56"/>
      <c r="C111" s="56"/>
      <c r="G111" s="3"/>
      <c r="L111" s="60"/>
      <c r="M111" s="60"/>
      <c r="N111" s="62"/>
      <c r="P111" s="63"/>
      <c r="Q111" s="64"/>
      <c r="R111" s="65"/>
      <c r="AG111" s="91"/>
      <c r="AH111" s="3"/>
      <c r="AI111" s="3"/>
      <c r="AJ111" s="3"/>
      <c r="AL111" s="3"/>
    </row>
    <row r="112" ht="15.75" customHeight="1">
      <c r="B112" s="56"/>
      <c r="C112" s="56"/>
      <c r="G112" s="3"/>
      <c r="L112" s="60"/>
      <c r="M112" s="60"/>
      <c r="N112" s="62"/>
      <c r="P112" s="63"/>
      <c r="Q112" s="64"/>
      <c r="R112" s="65"/>
      <c r="AG112" s="91"/>
      <c r="AH112" s="3"/>
      <c r="AI112" s="3"/>
      <c r="AJ112" s="3"/>
      <c r="AL112" s="3"/>
    </row>
    <row r="113" ht="15.75" customHeight="1">
      <c r="B113" s="56"/>
      <c r="C113" s="56"/>
      <c r="G113" s="3"/>
      <c r="L113" s="60"/>
      <c r="M113" s="60"/>
      <c r="N113" s="62"/>
      <c r="P113" s="63"/>
      <c r="Q113" s="64"/>
      <c r="R113" s="65"/>
      <c r="AG113" s="91"/>
      <c r="AH113" s="3"/>
      <c r="AI113" s="3"/>
      <c r="AJ113" s="3"/>
      <c r="AL113" s="3"/>
    </row>
    <row r="114" ht="15.75" customHeight="1">
      <c r="B114" s="56"/>
      <c r="C114" s="56"/>
      <c r="G114" s="3"/>
      <c r="L114" s="60"/>
      <c r="M114" s="60"/>
      <c r="N114" s="62"/>
      <c r="P114" s="63"/>
      <c r="Q114" s="64"/>
      <c r="R114" s="65"/>
      <c r="AG114" s="91"/>
      <c r="AH114" s="3"/>
      <c r="AI114" s="3"/>
      <c r="AJ114" s="3"/>
      <c r="AL114" s="3"/>
    </row>
    <row r="115" ht="15.75" customHeight="1">
      <c r="B115" s="56"/>
      <c r="C115" s="56"/>
      <c r="G115" s="3"/>
      <c r="L115" s="60"/>
      <c r="M115" s="60"/>
      <c r="N115" s="62"/>
      <c r="P115" s="63"/>
      <c r="Q115" s="64"/>
      <c r="R115" s="65"/>
      <c r="AG115" s="91"/>
      <c r="AH115" s="3"/>
      <c r="AI115" s="3"/>
      <c r="AJ115" s="3"/>
      <c r="AL115" s="3"/>
    </row>
    <row r="116" ht="15.75" customHeight="1">
      <c r="B116" s="56"/>
      <c r="C116" s="56"/>
      <c r="G116" s="3"/>
      <c r="L116" s="60"/>
      <c r="M116" s="60"/>
      <c r="N116" s="62"/>
      <c r="P116" s="63"/>
      <c r="Q116" s="64"/>
      <c r="R116" s="65"/>
      <c r="AG116" s="91"/>
      <c r="AH116" s="3"/>
      <c r="AI116" s="3"/>
      <c r="AJ116" s="3"/>
      <c r="AL116" s="3"/>
    </row>
    <row r="117" ht="15.75" customHeight="1">
      <c r="B117" s="56"/>
      <c r="C117" s="56"/>
      <c r="G117" s="3"/>
      <c r="L117" s="60"/>
      <c r="M117" s="60"/>
      <c r="N117" s="62"/>
      <c r="P117" s="63"/>
      <c r="Q117" s="64"/>
      <c r="R117" s="65"/>
      <c r="AG117" s="91"/>
      <c r="AH117" s="3"/>
      <c r="AI117" s="3"/>
      <c r="AJ117" s="3"/>
      <c r="AL117" s="3"/>
    </row>
    <row r="118" ht="15.75" customHeight="1">
      <c r="B118" s="56"/>
      <c r="C118" s="56"/>
      <c r="G118" s="3"/>
      <c r="L118" s="60"/>
      <c r="M118" s="60"/>
      <c r="N118" s="62"/>
      <c r="P118" s="63"/>
      <c r="Q118" s="64"/>
      <c r="R118" s="65"/>
      <c r="AG118" s="91"/>
      <c r="AH118" s="3"/>
      <c r="AI118" s="3"/>
      <c r="AJ118" s="3"/>
      <c r="AL118" s="3"/>
    </row>
    <row r="119" ht="15.75" customHeight="1">
      <c r="B119" s="56"/>
      <c r="C119" s="56"/>
      <c r="G119" s="3"/>
      <c r="L119" s="60"/>
      <c r="M119" s="60"/>
      <c r="N119" s="62"/>
      <c r="P119" s="63"/>
      <c r="Q119" s="64"/>
      <c r="R119" s="65"/>
      <c r="AG119" s="91"/>
      <c r="AH119" s="3"/>
      <c r="AI119" s="3"/>
      <c r="AJ119" s="3"/>
      <c r="AL119" s="3"/>
    </row>
    <row r="120" ht="15.75" customHeight="1">
      <c r="B120" s="56"/>
      <c r="C120" s="56"/>
      <c r="G120" s="3"/>
      <c r="L120" s="60"/>
      <c r="M120" s="60"/>
      <c r="N120" s="62"/>
      <c r="P120" s="63"/>
      <c r="Q120" s="64"/>
      <c r="R120" s="65"/>
      <c r="AG120" s="91"/>
      <c r="AH120" s="3"/>
      <c r="AI120" s="3"/>
      <c r="AJ120" s="3"/>
      <c r="AL120" s="3"/>
    </row>
    <row r="121" ht="15.75" customHeight="1">
      <c r="B121" s="56"/>
      <c r="C121" s="56"/>
      <c r="G121" s="3"/>
      <c r="L121" s="60"/>
      <c r="M121" s="60"/>
      <c r="N121" s="62"/>
      <c r="P121" s="63"/>
      <c r="Q121" s="64"/>
      <c r="R121" s="65"/>
      <c r="AG121" s="91"/>
      <c r="AH121" s="3"/>
      <c r="AI121" s="3"/>
      <c r="AJ121" s="3"/>
      <c r="AL121" s="3"/>
    </row>
    <row r="122" ht="15.75" customHeight="1">
      <c r="B122" s="56"/>
      <c r="C122" s="56"/>
      <c r="G122" s="3"/>
      <c r="L122" s="60"/>
      <c r="M122" s="60"/>
      <c r="N122" s="62"/>
      <c r="P122" s="63"/>
      <c r="Q122" s="64"/>
      <c r="R122" s="65"/>
      <c r="AG122" s="91"/>
      <c r="AH122" s="3"/>
      <c r="AI122" s="3"/>
      <c r="AJ122" s="3"/>
      <c r="AL122" s="3"/>
    </row>
    <row r="123" ht="15.75" customHeight="1">
      <c r="B123" s="56"/>
      <c r="C123" s="56"/>
      <c r="G123" s="3"/>
      <c r="L123" s="60"/>
      <c r="M123" s="60"/>
      <c r="N123" s="62"/>
      <c r="P123" s="63"/>
      <c r="Q123" s="64"/>
      <c r="R123" s="65"/>
      <c r="AG123" s="91"/>
      <c r="AH123" s="3"/>
      <c r="AI123" s="3"/>
      <c r="AJ123" s="3"/>
      <c r="AL123" s="3"/>
    </row>
    <row r="124" ht="15.75" customHeight="1">
      <c r="B124" s="56"/>
      <c r="C124" s="56"/>
      <c r="G124" s="3"/>
      <c r="L124" s="60"/>
      <c r="M124" s="60"/>
      <c r="N124" s="62"/>
      <c r="P124" s="63"/>
      <c r="Q124" s="64"/>
      <c r="R124" s="65"/>
      <c r="AG124" s="91"/>
      <c r="AH124" s="3"/>
      <c r="AI124" s="3"/>
      <c r="AJ124" s="3"/>
      <c r="AL124" s="3"/>
    </row>
    <row r="125" ht="15.75" customHeight="1">
      <c r="B125" s="56"/>
      <c r="C125" s="56"/>
      <c r="G125" s="3"/>
      <c r="L125" s="60"/>
      <c r="M125" s="60"/>
      <c r="N125" s="62"/>
      <c r="P125" s="63"/>
      <c r="Q125" s="64"/>
      <c r="R125" s="65"/>
      <c r="AG125" s="91"/>
      <c r="AH125" s="3"/>
      <c r="AI125" s="3"/>
      <c r="AJ125" s="3"/>
      <c r="AL125" s="3"/>
    </row>
    <row r="126" ht="15.75" customHeight="1">
      <c r="B126" s="56"/>
      <c r="C126" s="56"/>
      <c r="G126" s="3"/>
      <c r="L126" s="60"/>
      <c r="M126" s="60"/>
      <c r="N126" s="62"/>
      <c r="P126" s="63"/>
      <c r="Q126" s="64"/>
      <c r="R126" s="65"/>
      <c r="AG126" s="91"/>
      <c r="AH126" s="3"/>
      <c r="AI126" s="3"/>
      <c r="AJ126" s="3"/>
      <c r="AL126" s="3"/>
    </row>
    <row r="127" ht="15.75" customHeight="1">
      <c r="B127" s="56"/>
      <c r="C127" s="56"/>
      <c r="G127" s="3"/>
      <c r="L127" s="60"/>
      <c r="M127" s="60"/>
      <c r="N127" s="62"/>
      <c r="P127" s="63"/>
      <c r="Q127" s="64"/>
      <c r="R127" s="65"/>
      <c r="AG127" s="91"/>
      <c r="AH127" s="3"/>
      <c r="AI127" s="3"/>
      <c r="AJ127" s="3"/>
      <c r="AL127" s="3"/>
    </row>
    <row r="128" ht="15.75" customHeight="1">
      <c r="B128" s="56"/>
      <c r="C128" s="56"/>
      <c r="G128" s="3"/>
      <c r="L128" s="60"/>
      <c r="M128" s="60"/>
      <c r="N128" s="62"/>
      <c r="P128" s="63"/>
      <c r="Q128" s="64"/>
      <c r="R128" s="65"/>
      <c r="AG128" s="91"/>
      <c r="AH128" s="3"/>
      <c r="AI128" s="3"/>
      <c r="AJ128" s="3"/>
      <c r="AL128" s="3"/>
    </row>
    <row r="129" ht="15.75" customHeight="1">
      <c r="B129" s="56"/>
      <c r="C129" s="56"/>
      <c r="G129" s="3"/>
      <c r="L129" s="60"/>
      <c r="M129" s="60"/>
      <c r="N129" s="62"/>
      <c r="P129" s="63"/>
      <c r="Q129" s="64"/>
      <c r="R129" s="65"/>
      <c r="AG129" s="91"/>
      <c r="AH129" s="3"/>
      <c r="AI129" s="3"/>
      <c r="AJ129" s="3"/>
      <c r="AL129" s="3"/>
    </row>
    <row r="130" ht="15.75" customHeight="1">
      <c r="B130" s="56"/>
      <c r="C130" s="56"/>
      <c r="G130" s="3"/>
      <c r="L130" s="60"/>
      <c r="M130" s="60"/>
      <c r="N130" s="62"/>
      <c r="P130" s="63"/>
      <c r="Q130" s="64"/>
      <c r="R130" s="65"/>
      <c r="AG130" s="91"/>
      <c r="AH130" s="3"/>
      <c r="AI130" s="3"/>
      <c r="AJ130" s="3"/>
      <c r="AL130" s="3"/>
    </row>
    <row r="131" ht="15.75" customHeight="1">
      <c r="B131" s="56"/>
      <c r="C131" s="56"/>
      <c r="G131" s="3"/>
      <c r="L131" s="60"/>
      <c r="M131" s="60"/>
      <c r="N131" s="62"/>
      <c r="P131" s="63"/>
      <c r="Q131" s="64"/>
      <c r="R131" s="65"/>
      <c r="AG131" s="91"/>
      <c r="AH131" s="3"/>
      <c r="AI131" s="3"/>
      <c r="AJ131" s="3"/>
      <c r="AL131" s="3"/>
    </row>
    <row r="132" ht="15.75" customHeight="1">
      <c r="B132" s="56"/>
      <c r="C132" s="56"/>
      <c r="G132" s="3"/>
      <c r="L132" s="60"/>
      <c r="M132" s="60"/>
      <c r="N132" s="62"/>
      <c r="P132" s="63"/>
      <c r="Q132" s="64"/>
      <c r="R132" s="65"/>
      <c r="AG132" s="91"/>
      <c r="AH132" s="3"/>
      <c r="AI132" s="3"/>
      <c r="AJ132" s="3"/>
      <c r="AL132" s="3"/>
    </row>
    <row r="133" ht="15.75" customHeight="1">
      <c r="B133" s="56"/>
      <c r="C133" s="56"/>
      <c r="G133" s="3"/>
      <c r="L133" s="60"/>
      <c r="M133" s="60"/>
      <c r="N133" s="62"/>
      <c r="P133" s="63"/>
      <c r="Q133" s="64"/>
      <c r="R133" s="65"/>
      <c r="AG133" s="91"/>
      <c r="AH133" s="3"/>
      <c r="AI133" s="3"/>
      <c r="AJ133" s="3"/>
      <c r="AL133" s="3"/>
    </row>
    <row r="134" ht="15.75" customHeight="1">
      <c r="B134" s="56"/>
      <c r="C134" s="56"/>
      <c r="G134" s="3"/>
      <c r="L134" s="60"/>
      <c r="M134" s="60"/>
      <c r="N134" s="62"/>
      <c r="P134" s="63"/>
      <c r="Q134" s="64"/>
      <c r="R134" s="65"/>
      <c r="AG134" s="91"/>
      <c r="AH134" s="3"/>
      <c r="AI134" s="3"/>
      <c r="AJ134" s="3"/>
      <c r="AL134" s="3"/>
    </row>
    <row r="135" ht="15.75" customHeight="1">
      <c r="B135" s="56"/>
      <c r="C135" s="56"/>
      <c r="G135" s="3"/>
      <c r="L135" s="60"/>
      <c r="M135" s="60"/>
      <c r="N135" s="62"/>
      <c r="P135" s="63"/>
      <c r="Q135" s="64"/>
      <c r="R135" s="65"/>
      <c r="AG135" s="91"/>
      <c r="AH135" s="3"/>
      <c r="AI135" s="3"/>
      <c r="AJ135" s="3"/>
      <c r="AL135" s="3"/>
    </row>
    <row r="136" ht="15.75" customHeight="1">
      <c r="B136" s="56"/>
      <c r="C136" s="56"/>
      <c r="G136" s="3"/>
      <c r="L136" s="60"/>
      <c r="M136" s="60"/>
      <c r="N136" s="62"/>
      <c r="P136" s="63"/>
      <c r="Q136" s="64"/>
      <c r="R136" s="65"/>
      <c r="AG136" s="91"/>
      <c r="AH136" s="3"/>
      <c r="AI136" s="3"/>
      <c r="AJ136" s="3"/>
      <c r="AL136" s="3"/>
    </row>
    <row r="137" ht="15.75" customHeight="1">
      <c r="B137" s="56"/>
      <c r="C137" s="56"/>
      <c r="G137" s="3"/>
      <c r="L137" s="60"/>
      <c r="M137" s="60"/>
      <c r="N137" s="62"/>
      <c r="P137" s="63"/>
      <c r="Q137" s="64"/>
      <c r="R137" s="65"/>
      <c r="AG137" s="91"/>
      <c r="AH137" s="3"/>
      <c r="AI137" s="3"/>
      <c r="AJ137" s="3"/>
      <c r="AL137" s="3"/>
    </row>
    <row r="138" ht="15.75" customHeight="1">
      <c r="B138" s="56"/>
      <c r="C138" s="56"/>
      <c r="G138" s="3"/>
      <c r="L138" s="60"/>
      <c r="M138" s="60"/>
      <c r="N138" s="62"/>
      <c r="P138" s="63"/>
      <c r="Q138" s="64"/>
      <c r="R138" s="65"/>
      <c r="AG138" s="91"/>
      <c r="AH138" s="3"/>
      <c r="AI138" s="3"/>
      <c r="AJ138" s="3"/>
      <c r="AL138" s="3"/>
    </row>
    <row r="139" ht="15.75" customHeight="1">
      <c r="B139" s="56"/>
      <c r="C139" s="56"/>
      <c r="G139" s="3"/>
      <c r="L139" s="60"/>
      <c r="M139" s="60"/>
      <c r="N139" s="62"/>
      <c r="P139" s="63"/>
      <c r="Q139" s="64"/>
      <c r="R139" s="65"/>
      <c r="AG139" s="91"/>
      <c r="AH139" s="3"/>
      <c r="AI139" s="3"/>
      <c r="AJ139" s="3"/>
      <c r="AL139" s="3"/>
    </row>
    <row r="140" ht="15.75" customHeight="1">
      <c r="B140" s="56"/>
      <c r="C140" s="56"/>
      <c r="G140" s="3"/>
      <c r="M140" s="60"/>
      <c r="N140" s="62"/>
      <c r="P140" s="63"/>
      <c r="Q140" s="64"/>
      <c r="R140" s="65"/>
      <c r="AG140" s="91"/>
      <c r="AH140" s="3"/>
      <c r="AI140" s="3"/>
      <c r="AJ140" s="3"/>
      <c r="AL140" s="3"/>
    </row>
    <row r="141" ht="15.75" customHeight="1">
      <c r="B141" s="56"/>
      <c r="C141" s="56"/>
      <c r="G141" s="3"/>
      <c r="M141" s="60"/>
      <c r="N141" s="62"/>
      <c r="P141" s="63"/>
      <c r="Q141" s="64"/>
      <c r="R141" s="65"/>
      <c r="AG141" s="91"/>
      <c r="AH141" s="3"/>
      <c r="AI141" s="3"/>
      <c r="AJ141" s="3"/>
      <c r="AL141" s="3"/>
    </row>
    <row r="142" ht="15.75" customHeight="1">
      <c r="B142" s="56"/>
      <c r="C142" s="56"/>
      <c r="G142" s="3"/>
      <c r="M142" s="60"/>
      <c r="N142" s="62"/>
      <c r="P142" s="63"/>
      <c r="Q142" s="64"/>
      <c r="R142" s="65"/>
      <c r="AG142" s="91"/>
      <c r="AH142" s="3"/>
      <c r="AI142" s="3"/>
      <c r="AJ142" s="3"/>
      <c r="AL142" s="3"/>
    </row>
    <row r="143" ht="15.75" customHeight="1">
      <c r="B143" s="56"/>
      <c r="C143" s="56"/>
      <c r="G143" s="3"/>
      <c r="M143" s="60"/>
      <c r="N143" s="62"/>
      <c r="P143" s="63"/>
      <c r="Q143" s="64"/>
      <c r="R143" s="65"/>
      <c r="AG143" s="91"/>
      <c r="AH143" s="3"/>
      <c r="AI143" s="3"/>
      <c r="AJ143" s="3"/>
      <c r="AL143" s="3"/>
    </row>
    <row r="144" ht="15.75" customHeight="1">
      <c r="B144" s="56"/>
      <c r="G144" s="3"/>
      <c r="M144" s="60"/>
      <c r="N144" s="62"/>
      <c r="P144" s="63"/>
      <c r="Q144" s="64"/>
      <c r="R144" s="65"/>
      <c r="AG144" s="91"/>
      <c r="AH144" s="3"/>
      <c r="AI144" s="3"/>
      <c r="AJ144" s="3"/>
      <c r="AL144" s="3"/>
    </row>
    <row r="145" ht="15.75" customHeight="1">
      <c r="B145" s="56"/>
      <c r="G145" s="3"/>
      <c r="M145" s="60"/>
      <c r="N145" s="62"/>
      <c r="P145" s="63"/>
      <c r="Q145" s="64"/>
      <c r="R145" s="65"/>
      <c r="AG145" s="91"/>
      <c r="AH145" s="3"/>
      <c r="AI145" s="3"/>
      <c r="AJ145" s="3"/>
      <c r="AL145" s="3"/>
    </row>
    <row r="146" ht="15.75" customHeight="1">
      <c r="B146" s="56"/>
      <c r="G146" s="3"/>
      <c r="M146" s="60"/>
      <c r="N146" s="62"/>
      <c r="P146" s="63"/>
      <c r="Q146" s="64"/>
      <c r="R146" s="65"/>
      <c r="AG146" s="91"/>
      <c r="AH146" s="3"/>
      <c r="AI146" s="3"/>
      <c r="AJ146" s="3"/>
      <c r="AL146" s="3"/>
    </row>
    <row r="147" ht="15.75" customHeight="1">
      <c r="B147" s="56"/>
      <c r="G147" s="3"/>
      <c r="M147" s="60"/>
      <c r="N147" s="62"/>
      <c r="P147" s="63"/>
      <c r="Q147" s="64"/>
      <c r="R147" s="65"/>
      <c r="AG147" s="91"/>
      <c r="AH147" s="3"/>
      <c r="AI147" s="3"/>
      <c r="AJ147" s="3"/>
      <c r="AL147" s="3"/>
    </row>
    <row r="148" ht="15.75" customHeight="1">
      <c r="B148" s="56"/>
      <c r="G148" s="3"/>
      <c r="M148" s="60"/>
      <c r="N148" s="62"/>
      <c r="P148" s="63"/>
      <c r="Q148" s="64"/>
      <c r="R148" s="65"/>
      <c r="AG148" s="91"/>
      <c r="AH148" s="3"/>
      <c r="AI148" s="3"/>
      <c r="AJ148" s="3"/>
      <c r="AL148" s="3"/>
    </row>
    <row r="149" ht="15.75" customHeight="1">
      <c r="B149" s="56"/>
      <c r="G149" s="3"/>
      <c r="M149" s="60"/>
      <c r="N149" s="62"/>
      <c r="P149" s="63"/>
      <c r="Q149" s="64"/>
      <c r="R149" s="65"/>
      <c r="AG149" s="91"/>
      <c r="AH149" s="3"/>
      <c r="AI149" s="3"/>
      <c r="AJ149" s="3"/>
      <c r="AL149" s="3"/>
    </row>
    <row r="150" ht="15.75" customHeight="1">
      <c r="B150" s="56"/>
      <c r="G150" s="3"/>
      <c r="M150" s="60"/>
      <c r="N150" s="62"/>
      <c r="P150" s="63"/>
      <c r="Q150" s="64"/>
      <c r="R150" s="65"/>
      <c r="AG150" s="91"/>
      <c r="AH150" s="3"/>
      <c r="AI150" s="3"/>
      <c r="AJ150" s="3"/>
      <c r="AL150" s="3"/>
    </row>
    <row r="151" ht="15.75" customHeight="1">
      <c r="B151" s="56"/>
      <c r="G151" s="3"/>
      <c r="M151" s="60"/>
      <c r="N151" s="62"/>
      <c r="P151" s="63"/>
      <c r="Q151" s="64"/>
      <c r="R151" s="65"/>
      <c r="AG151" s="91"/>
      <c r="AH151" s="3"/>
      <c r="AI151" s="3"/>
      <c r="AJ151" s="3"/>
      <c r="AL151" s="3"/>
    </row>
    <row r="152" ht="15.75" customHeight="1">
      <c r="B152" s="56"/>
      <c r="G152" s="3"/>
      <c r="M152" s="60"/>
      <c r="N152" s="62"/>
      <c r="P152" s="63"/>
      <c r="Q152" s="64"/>
      <c r="R152" s="65"/>
      <c r="AG152" s="91"/>
      <c r="AH152" s="3"/>
      <c r="AI152" s="3"/>
      <c r="AJ152" s="3"/>
      <c r="AL152" s="3"/>
    </row>
    <row r="153" ht="15.75" customHeight="1">
      <c r="B153" s="56"/>
      <c r="G153" s="3"/>
      <c r="M153" s="60"/>
      <c r="N153" s="62"/>
      <c r="P153" s="63"/>
      <c r="Q153" s="64"/>
      <c r="R153" s="65"/>
      <c r="AG153" s="91"/>
      <c r="AH153" s="3"/>
      <c r="AI153" s="3"/>
      <c r="AJ153" s="3"/>
      <c r="AL153" s="3"/>
    </row>
    <row r="154" ht="15.75" customHeight="1">
      <c r="B154" s="56"/>
      <c r="G154" s="3"/>
      <c r="M154" s="60"/>
      <c r="N154" s="62"/>
      <c r="P154" s="63"/>
      <c r="Q154" s="64"/>
      <c r="R154" s="65"/>
      <c r="AG154" s="91"/>
      <c r="AH154" s="3"/>
      <c r="AI154" s="3"/>
      <c r="AJ154" s="3"/>
      <c r="AL154" s="3"/>
    </row>
    <row r="155" ht="15.75" customHeight="1">
      <c r="B155" s="56"/>
      <c r="G155" s="3"/>
      <c r="M155" s="60"/>
      <c r="N155" s="62"/>
      <c r="P155" s="63"/>
      <c r="Q155" s="64"/>
      <c r="R155" s="65"/>
      <c r="AG155" s="91"/>
      <c r="AH155" s="3"/>
      <c r="AI155" s="3"/>
      <c r="AJ155" s="3"/>
      <c r="AL155" s="3"/>
    </row>
    <row r="156" ht="15.75" customHeight="1">
      <c r="B156" s="56"/>
      <c r="G156" s="3"/>
      <c r="M156" s="60"/>
      <c r="N156" s="62"/>
      <c r="P156" s="63"/>
      <c r="Q156" s="64"/>
      <c r="R156" s="65"/>
      <c r="AG156" s="91"/>
      <c r="AH156" s="3"/>
      <c r="AI156" s="3"/>
      <c r="AJ156" s="3"/>
      <c r="AL156" s="3"/>
    </row>
    <row r="157" ht="15.75" customHeight="1">
      <c r="B157" s="56"/>
      <c r="G157" s="3"/>
      <c r="M157" s="60"/>
      <c r="N157" s="62"/>
      <c r="P157" s="63"/>
      <c r="Q157" s="64"/>
      <c r="R157" s="65"/>
      <c r="AG157" s="91"/>
      <c r="AH157" s="3"/>
      <c r="AI157" s="3"/>
      <c r="AJ157" s="3"/>
      <c r="AL157" s="3"/>
    </row>
    <row r="158" ht="15.75" customHeight="1">
      <c r="B158" s="56"/>
      <c r="G158" s="3"/>
      <c r="M158" s="60"/>
      <c r="N158" s="62"/>
      <c r="P158" s="63"/>
      <c r="Q158" s="64"/>
      <c r="R158" s="65"/>
      <c r="AG158" s="91"/>
      <c r="AH158" s="3"/>
      <c r="AI158" s="3"/>
      <c r="AJ158" s="3"/>
      <c r="AL158" s="3"/>
    </row>
    <row r="159" ht="15.75" customHeight="1">
      <c r="B159" s="56"/>
      <c r="G159" s="3"/>
      <c r="M159" s="60"/>
      <c r="N159" s="62"/>
      <c r="P159" s="63"/>
      <c r="Q159" s="64"/>
      <c r="R159" s="65"/>
      <c r="AG159" s="91"/>
      <c r="AH159" s="3"/>
      <c r="AI159" s="3"/>
      <c r="AJ159" s="3"/>
      <c r="AL159" s="3"/>
    </row>
    <row r="160" ht="15.75" customHeight="1">
      <c r="B160" s="56"/>
      <c r="G160" s="3"/>
      <c r="M160" s="60"/>
      <c r="N160" s="62"/>
      <c r="P160" s="63"/>
      <c r="Q160" s="64"/>
      <c r="R160" s="65"/>
      <c r="AG160" s="91"/>
      <c r="AH160" s="3"/>
      <c r="AI160" s="3"/>
      <c r="AJ160" s="3"/>
      <c r="AL160" s="3"/>
    </row>
    <row r="161" ht="15.75" customHeight="1">
      <c r="B161" s="56"/>
      <c r="G161" s="3"/>
      <c r="M161" s="60"/>
      <c r="N161" s="62"/>
      <c r="P161" s="63"/>
      <c r="Q161" s="64"/>
      <c r="R161" s="65"/>
      <c r="AG161" s="91"/>
      <c r="AH161" s="3"/>
      <c r="AI161" s="3"/>
      <c r="AJ161" s="3"/>
      <c r="AL161" s="3"/>
    </row>
    <row r="162" ht="15.75" customHeight="1">
      <c r="B162" s="56"/>
      <c r="G162" s="3"/>
      <c r="M162" s="60"/>
      <c r="N162" s="62"/>
      <c r="P162" s="63"/>
      <c r="Q162" s="64"/>
      <c r="R162" s="65"/>
      <c r="AG162" s="91"/>
      <c r="AH162" s="3"/>
      <c r="AI162" s="3"/>
      <c r="AJ162" s="3"/>
      <c r="AL162" s="3"/>
    </row>
    <row r="163" ht="15.75" customHeight="1">
      <c r="B163" s="56"/>
      <c r="G163" s="3"/>
      <c r="M163" s="60"/>
      <c r="N163" s="62"/>
      <c r="P163" s="63"/>
      <c r="Q163" s="64"/>
      <c r="R163" s="65"/>
      <c r="AG163" s="91"/>
      <c r="AH163" s="3"/>
      <c r="AI163" s="3"/>
      <c r="AJ163" s="3"/>
      <c r="AL163" s="3"/>
    </row>
    <row r="164" ht="15.75" customHeight="1">
      <c r="B164" s="56"/>
      <c r="G164" s="3"/>
      <c r="M164" s="60"/>
      <c r="N164" s="62"/>
      <c r="P164" s="63"/>
      <c r="Q164" s="64"/>
      <c r="R164" s="65"/>
      <c r="AG164" s="91"/>
      <c r="AH164" s="3"/>
      <c r="AI164" s="3"/>
      <c r="AJ164" s="3"/>
      <c r="AL164" s="3"/>
    </row>
    <row r="165" ht="15.75" customHeight="1">
      <c r="B165" s="56"/>
      <c r="G165" s="3"/>
      <c r="M165" s="60"/>
      <c r="N165" s="62"/>
      <c r="P165" s="63"/>
      <c r="Q165" s="64"/>
      <c r="R165" s="65"/>
      <c r="AG165" s="91"/>
      <c r="AH165" s="3"/>
      <c r="AI165" s="3"/>
      <c r="AJ165" s="3"/>
      <c r="AL165" s="3"/>
    </row>
    <row r="166" ht="15.75" customHeight="1">
      <c r="B166" s="56"/>
      <c r="G166" s="3"/>
      <c r="M166" s="60"/>
      <c r="N166" s="62"/>
      <c r="P166" s="63"/>
      <c r="Q166" s="64"/>
      <c r="R166" s="65"/>
      <c r="AG166" s="91"/>
      <c r="AH166" s="3"/>
      <c r="AI166" s="3"/>
      <c r="AJ166" s="3"/>
      <c r="AL166" s="3"/>
    </row>
    <row r="167" ht="15.75" customHeight="1">
      <c r="B167" s="56"/>
      <c r="G167" s="3"/>
      <c r="M167" s="60"/>
      <c r="N167" s="62"/>
      <c r="P167" s="63"/>
      <c r="Q167" s="64"/>
      <c r="R167" s="65"/>
      <c r="AG167" s="91"/>
      <c r="AH167" s="3"/>
      <c r="AI167" s="3"/>
      <c r="AJ167" s="3"/>
      <c r="AL167" s="3"/>
    </row>
    <row r="168" ht="15.75" customHeight="1">
      <c r="B168" s="56"/>
      <c r="G168" s="3"/>
      <c r="M168" s="60"/>
      <c r="N168" s="62"/>
      <c r="P168" s="63"/>
      <c r="Q168" s="64"/>
      <c r="R168" s="65"/>
      <c r="AG168" s="91"/>
      <c r="AH168" s="3"/>
      <c r="AI168" s="3"/>
      <c r="AJ168" s="3"/>
      <c r="AL168" s="3"/>
    </row>
    <row r="169" ht="15.75" customHeight="1">
      <c r="B169" s="56"/>
      <c r="G169" s="3"/>
      <c r="M169" s="60"/>
      <c r="N169" s="62"/>
      <c r="P169" s="63"/>
      <c r="Q169" s="64"/>
      <c r="R169" s="65"/>
      <c r="AG169" s="91"/>
      <c r="AH169" s="3"/>
      <c r="AI169" s="3"/>
      <c r="AJ169" s="3"/>
      <c r="AL169" s="3"/>
    </row>
    <row r="170" ht="15.75" customHeight="1">
      <c r="B170" s="56"/>
      <c r="G170" s="3"/>
      <c r="M170" s="60"/>
      <c r="N170" s="62"/>
      <c r="P170" s="63"/>
      <c r="Q170" s="64"/>
      <c r="R170" s="65"/>
      <c r="AG170" s="91"/>
      <c r="AH170" s="3"/>
      <c r="AI170" s="3"/>
      <c r="AJ170" s="3"/>
      <c r="AL170" s="3"/>
    </row>
    <row r="171" ht="15.75" customHeight="1">
      <c r="B171" s="56"/>
      <c r="G171" s="3"/>
      <c r="M171" s="60"/>
      <c r="N171" s="62"/>
      <c r="P171" s="63"/>
      <c r="Q171" s="64"/>
      <c r="R171" s="65"/>
      <c r="AG171" s="91"/>
      <c r="AH171" s="3"/>
      <c r="AI171" s="3"/>
      <c r="AJ171" s="3"/>
      <c r="AL171" s="3"/>
    </row>
    <row r="172" ht="15.75" customHeight="1">
      <c r="B172" s="56"/>
      <c r="G172" s="3"/>
      <c r="M172" s="60"/>
      <c r="N172" s="62"/>
      <c r="P172" s="63"/>
      <c r="Q172" s="64"/>
      <c r="R172" s="65"/>
      <c r="AG172" s="91"/>
      <c r="AH172" s="3"/>
      <c r="AI172" s="3"/>
      <c r="AJ172" s="3"/>
      <c r="AL172" s="3"/>
    </row>
    <row r="173" ht="15.75" customHeight="1">
      <c r="B173" s="56"/>
      <c r="G173" s="3"/>
      <c r="M173" s="60"/>
      <c r="N173" s="62"/>
      <c r="P173" s="63"/>
      <c r="Q173" s="64"/>
      <c r="R173" s="65"/>
      <c r="AG173" s="91"/>
      <c r="AH173" s="3"/>
      <c r="AI173" s="3"/>
      <c r="AJ173" s="3"/>
      <c r="AL173" s="3"/>
    </row>
    <row r="174" ht="15.75" customHeight="1">
      <c r="B174" s="56"/>
      <c r="G174" s="3"/>
      <c r="N174" s="62"/>
      <c r="P174" s="63"/>
      <c r="Q174" s="64"/>
      <c r="R174" s="65"/>
      <c r="AG174" s="91"/>
      <c r="AH174" s="3"/>
      <c r="AI174" s="3"/>
      <c r="AJ174" s="3"/>
      <c r="AL174" s="3"/>
    </row>
    <row r="175" ht="15.75" customHeight="1">
      <c r="B175" s="56"/>
      <c r="G175" s="3"/>
      <c r="N175" s="62"/>
      <c r="P175" s="63"/>
      <c r="Q175" s="64"/>
      <c r="R175" s="65"/>
      <c r="AG175" s="91"/>
      <c r="AH175" s="3"/>
      <c r="AI175" s="3"/>
      <c r="AJ175" s="3"/>
      <c r="AL175" s="3"/>
    </row>
    <row r="176" ht="15.75" customHeight="1">
      <c r="B176" s="56"/>
      <c r="G176" s="3"/>
      <c r="N176" s="62"/>
      <c r="P176" s="63"/>
      <c r="Q176" s="64"/>
      <c r="R176" s="65"/>
      <c r="AG176" s="91"/>
      <c r="AH176" s="3"/>
      <c r="AI176" s="3"/>
      <c r="AJ176" s="3"/>
      <c r="AL176" s="3"/>
    </row>
    <row r="177" ht="15.75" customHeight="1">
      <c r="B177" s="56"/>
      <c r="G177" s="3"/>
      <c r="N177" s="62"/>
      <c r="P177" s="63"/>
      <c r="Q177" s="64"/>
      <c r="R177" s="65"/>
      <c r="AG177" s="91"/>
      <c r="AH177" s="3"/>
      <c r="AI177" s="3"/>
      <c r="AJ177" s="3"/>
      <c r="AL177" s="3"/>
    </row>
    <row r="178" ht="15.75" customHeight="1">
      <c r="B178" s="56"/>
      <c r="G178" s="3"/>
      <c r="N178" s="62"/>
      <c r="P178" s="63"/>
      <c r="Q178" s="64"/>
      <c r="AG178" s="91"/>
      <c r="AH178" s="3"/>
      <c r="AI178" s="3"/>
      <c r="AJ178" s="3"/>
      <c r="AL178" s="3"/>
    </row>
    <row r="179" ht="15.75" customHeight="1">
      <c r="B179" s="56"/>
      <c r="G179" s="3"/>
      <c r="N179" s="62"/>
      <c r="P179" s="63"/>
      <c r="Q179" s="64"/>
      <c r="AG179" s="91"/>
      <c r="AH179" s="3"/>
      <c r="AI179" s="3"/>
      <c r="AJ179" s="3"/>
      <c r="AL179" s="3"/>
    </row>
    <row r="180" ht="15.75" customHeight="1">
      <c r="B180" s="56"/>
      <c r="G180" s="3"/>
      <c r="N180" s="62"/>
      <c r="P180" s="63"/>
      <c r="Q180" s="64"/>
      <c r="AG180" s="91"/>
      <c r="AH180" s="3"/>
      <c r="AI180" s="3"/>
      <c r="AJ180" s="3"/>
      <c r="AL180" s="3"/>
    </row>
    <row r="181" ht="15.75" customHeight="1">
      <c r="B181" s="56"/>
      <c r="G181" s="3"/>
      <c r="N181" s="62"/>
      <c r="P181" s="63"/>
      <c r="Q181" s="64"/>
      <c r="AG181" s="91"/>
      <c r="AH181" s="3"/>
      <c r="AI181" s="3"/>
      <c r="AJ181" s="3"/>
      <c r="AL181" s="3"/>
    </row>
    <row r="182" ht="15.75" customHeight="1">
      <c r="B182" s="56"/>
      <c r="G182" s="3"/>
      <c r="N182" s="62"/>
      <c r="P182" s="63"/>
      <c r="Q182" s="64"/>
      <c r="AG182" s="91"/>
      <c r="AH182" s="3"/>
      <c r="AI182" s="3"/>
      <c r="AJ182" s="3"/>
      <c r="AL182" s="3"/>
    </row>
    <row r="183" ht="15.75" customHeight="1">
      <c r="B183" s="56"/>
      <c r="G183" s="3"/>
      <c r="N183" s="62"/>
      <c r="P183" s="63"/>
      <c r="Q183" s="64"/>
      <c r="AG183" s="91"/>
      <c r="AH183" s="3"/>
      <c r="AI183" s="3"/>
      <c r="AJ183" s="3"/>
      <c r="AL183" s="3"/>
    </row>
    <row r="184" ht="15.75" customHeight="1">
      <c r="B184" s="56"/>
      <c r="G184" s="3"/>
      <c r="N184" s="62"/>
      <c r="P184" s="63"/>
      <c r="Q184" s="64"/>
      <c r="AG184" s="91"/>
      <c r="AH184" s="3"/>
      <c r="AI184" s="3"/>
      <c r="AJ184" s="3"/>
      <c r="AL184" s="3"/>
    </row>
    <row r="185" ht="15.75" customHeight="1">
      <c r="B185" s="56"/>
      <c r="G185" s="3"/>
      <c r="N185" s="62"/>
      <c r="P185" s="63"/>
      <c r="Q185" s="64"/>
      <c r="AG185" s="91"/>
      <c r="AH185" s="3"/>
      <c r="AI185" s="3"/>
      <c r="AJ185" s="3"/>
      <c r="AL185" s="3"/>
    </row>
    <row r="186" ht="15.75" customHeight="1">
      <c r="B186" s="56"/>
      <c r="G186" s="3"/>
      <c r="N186" s="62"/>
      <c r="P186" s="63"/>
      <c r="Q186" s="64"/>
      <c r="AG186" s="91"/>
      <c r="AH186" s="3"/>
      <c r="AI186" s="3"/>
      <c r="AJ186" s="3"/>
      <c r="AL186" s="3"/>
    </row>
    <row r="187" ht="15.75" customHeight="1">
      <c r="B187" s="56"/>
      <c r="G187" s="3"/>
      <c r="N187" s="62"/>
      <c r="P187" s="63"/>
      <c r="Q187" s="64"/>
      <c r="AG187" s="91"/>
      <c r="AH187" s="3"/>
      <c r="AI187" s="3"/>
      <c r="AJ187" s="3"/>
      <c r="AL187" s="3"/>
    </row>
    <row r="188" ht="15.75" customHeight="1">
      <c r="B188" s="56"/>
      <c r="G188" s="3"/>
      <c r="N188" s="62"/>
      <c r="Q188" s="64"/>
      <c r="AG188" s="91"/>
      <c r="AH188" s="3"/>
      <c r="AI188" s="3"/>
      <c r="AJ188" s="3"/>
      <c r="AL188" s="3"/>
    </row>
    <row r="189" ht="15.75" customHeight="1">
      <c r="B189" s="56"/>
      <c r="G189" s="3"/>
      <c r="Q189" s="64"/>
      <c r="AG189" s="91"/>
      <c r="AH189" s="3"/>
      <c r="AI189" s="3"/>
      <c r="AJ189" s="3"/>
      <c r="AL189" s="3"/>
    </row>
    <row r="190" ht="15.75" customHeight="1">
      <c r="B190" s="56"/>
      <c r="G190" s="3"/>
      <c r="Q190" s="64"/>
      <c r="AG190" s="91"/>
      <c r="AH190" s="3"/>
      <c r="AI190" s="3"/>
      <c r="AJ190" s="3"/>
      <c r="AL190" s="3"/>
    </row>
    <row r="191" ht="15.75" customHeight="1">
      <c r="B191" s="56"/>
      <c r="G191" s="3"/>
      <c r="AG191" s="91"/>
      <c r="AH191" s="3"/>
      <c r="AI191" s="3"/>
      <c r="AJ191" s="3"/>
      <c r="AL191" s="3"/>
    </row>
    <row r="192" ht="15.75" customHeight="1">
      <c r="B192" s="56"/>
      <c r="G192" s="3"/>
      <c r="AG192" s="91"/>
      <c r="AH192" s="3"/>
      <c r="AI192" s="3"/>
      <c r="AJ192" s="3"/>
      <c r="AL192" s="3"/>
    </row>
    <row r="193" ht="15.75" customHeight="1">
      <c r="B193" s="56"/>
      <c r="G193" s="3"/>
      <c r="AG193" s="91"/>
      <c r="AH193" s="3"/>
      <c r="AI193" s="3"/>
      <c r="AJ193" s="3"/>
      <c r="AL193" s="3"/>
    </row>
    <row r="194" ht="15.75" customHeight="1">
      <c r="B194" s="56"/>
      <c r="G194" s="3"/>
      <c r="AG194" s="91"/>
      <c r="AH194" s="3"/>
      <c r="AI194" s="3"/>
      <c r="AJ194" s="3"/>
      <c r="AL194" s="3"/>
    </row>
    <row r="195" ht="15.75" customHeight="1">
      <c r="B195" s="56"/>
      <c r="G195" s="3"/>
      <c r="AG195" s="91"/>
      <c r="AH195" s="3"/>
      <c r="AI195" s="3"/>
      <c r="AJ195" s="3"/>
      <c r="AL195" s="3"/>
    </row>
    <row r="196" ht="15.75" customHeight="1">
      <c r="B196" s="56"/>
      <c r="G196" s="3"/>
      <c r="AG196" s="91"/>
      <c r="AH196" s="3"/>
      <c r="AI196" s="3"/>
      <c r="AJ196" s="3"/>
      <c r="AL196" s="3"/>
    </row>
    <row r="197" ht="15.75" customHeight="1">
      <c r="B197" s="56"/>
      <c r="G197" s="3"/>
      <c r="AG197" s="91"/>
      <c r="AH197" s="3"/>
      <c r="AI197" s="3"/>
      <c r="AJ197" s="3"/>
      <c r="AL197" s="3"/>
    </row>
    <row r="198" ht="15.75" customHeight="1">
      <c r="B198" s="56"/>
      <c r="G198" s="3"/>
      <c r="AG198" s="91"/>
      <c r="AH198" s="3"/>
      <c r="AI198" s="3"/>
      <c r="AJ198" s="3"/>
      <c r="AL198" s="3"/>
    </row>
    <row r="199" ht="15.75" customHeight="1">
      <c r="B199" s="56"/>
      <c r="G199" s="3"/>
      <c r="AG199" s="91"/>
      <c r="AH199" s="3"/>
      <c r="AI199" s="3"/>
      <c r="AJ199" s="3"/>
      <c r="AL199" s="3"/>
    </row>
    <row r="200" ht="15.75" customHeight="1">
      <c r="B200" s="56"/>
      <c r="G200" s="3"/>
      <c r="AG200" s="91"/>
      <c r="AH200" s="3"/>
      <c r="AI200" s="3"/>
      <c r="AJ200" s="3"/>
      <c r="AL200" s="3"/>
    </row>
    <row r="201" ht="15.75" customHeight="1">
      <c r="B201" s="56"/>
      <c r="G201" s="3"/>
      <c r="AG201" s="91"/>
      <c r="AH201" s="3"/>
      <c r="AI201" s="3"/>
      <c r="AJ201" s="3"/>
      <c r="AL201" s="3"/>
    </row>
    <row r="202" ht="15.75" customHeight="1">
      <c r="B202" s="56"/>
      <c r="G202" s="3"/>
      <c r="AG202" s="91"/>
      <c r="AH202" s="3"/>
      <c r="AI202" s="3"/>
      <c r="AJ202" s="3"/>
      <c r="AL202" s="3"/>
    </row>
    <row r="203" ht="15.75" customHeight="1">
      <c r="B203" s="56"/>
      <c r="G203" s="3"/>
      <c r="AG203" s="91"/>
      <c r="AH203" s="3"/>
      <c r="AI203" s="3"/>
      <c r="AJ203" s="3"/>
      <c r="AL203" s="3"/>
    </row>
    <row r="204" ht="15.75" customHeight="1">
      <c r="B204" s="56"/>
      <c r="G204" s="3"/>
      <c r="AG204" s="91"/>
      <c r="AH204" s="3"/>
      <c r="AI204" s="3"/>
      <c r="AJ204" s="3"/>
      <c r="AL204" s="3"/>
    </row>
    <row r="205" ht="15.75" customHeight="1">
      <c r="B205" s="56"/>
      <c r="G205" s="3"/>
      <c r="AG205" s="91"/>
      <c r="AH205" s="3"/>
      <c r="AI205" s="3"/>
      <c r="AJ205" s="3"/>
      <c r="AL205" s="3"/>
    </row>
    <row r="206" ht="15.75" customHeight="1">
      <c r="B206" s="56"/>
      <c r="G206" s="3"/>
      <c r="AG206" s="91"/>
      <c r="AH206" s="3"/>
      <c r="AI206" s="3"/>
      <c r="AJ206" s="3"/>
      <c r="AL206" s="3"/>
    </row>
    <row r="207" ht="15.75" customHeight="1">
      <c r="B207" s="56"/>
      <c r="G207" s="3"/>
      <c r="AG207" s="91"/>
      <c r="AH207" s="3"/>
      <c r="AI207" s="3"/>
      <c r="AJ207" s="3"/>
      <c r="AL207" s="3"/>
    </row>
    <row r="208" ht="15.75" customHeight="1">
      <c r="B208" s="56"/>
      <c r="G208" s="3"/>
      <c r="AG208" s="91"/>
      <c r="AH208" s="3"/>
      <c r="AI208" s="3"/>
      <c r="AJ208" s="3"/>
      <c r="AL208" s="3"/>
    </row>
    <row r="209" ht="15.75" customHeight="1">
      <c r="B209" s="56"/>
      <c r="G209" s="3"/>
      <c r="AG209" s="91"/>
      <c r="AH209" s="3"/>
      <c r="AI209" s="3"/>
      <c r="AJ209" s="3"/>
      <c r="AL209" s="3"/>
    </row>
    <row r="210" ht="15.75" customHeight="1">
      <c r="B210" s="56"/>
      <c r="G210" s="3"/>
      <c r="AG210" s="91"/>
      <c r="AH210" s="3"/>
      <c r="AI210" s="3"/>
      <c r="AJ210" s="3"/>
      <c r="AL210" s="3"/>
    </row>
    <row r="211" ht="15.75" customHeight="1">
      <c r="B211" s="56"/>
      <c r="G211" s="3"/>
      <c r="AG211" s="91"/>
      <c r="AH211" s="3"/>
      <c r="AI211" s="3"/>
      <c r="AJ211" s="3"/>
      <c r="AL211" s="3"/>
    </row>
    <row r="212" ht="15.75" customHeight="1">
      <c r="B212" s="56"/>
      <c r="G212" s="3"/>
      <c r="AG212" s="91"/>
      <c r="AH212" s="3"/>
      <c r="AI212" s="3"/>
      <c r="AJ212" s="3"/>
      <c r="AL212" s="3"/>
    </row>
    <row r="213" ht="15.75" customHeight="1">
      <c r="B213" s="56"/>
      <c r="G213" s="3"/>
      <c r="AG213" s="91"/>
      <c r="AH213" s="3"/>
      <c r="AI213" s="3"/>
      <c r="AJ213" s="3"/>
      <c r="AL213" s="3"/>
    </row>
    <row r="214" ht="15.75" customHeight="1">
      <c r="B214" s="56"/>
      <c r="G214" s="3"/>
      <c r="AG214" s="91"/>
      <c r="AH214" s="3"/>
      <c r="AI214" s="3"/>
      <c r="AJ214" s="3"/>
      <c r="AL214" s="3"/>
    </row>
    <row r="215" ht="15.75" customHeight="1">
      <c r="B215" s="56"/>
      <c r="G215" s="3"/>
      <c r="AG215" s="91"/>
      <c r="AH215" s="3"/>
      <c r="AI215" s="3"/>
      <c r="AJ215" s="3"/>
      <c r="AL215" s="3"/>
    </row>
    <row r="216" ht="15.75" customHeight="1">
      <c r="B216" s="56"/>
      <c r="G216" s="3"/>
      <c r="AG216" s="91"/>
      <c r="AH216" s="3"/>
      <c r="AI216" s="3"/>
      <c r="AJ216" s="3"/>
      <c r="AL216" s="3"/>
    </row>
    <row r="217" ht="15.75" customHeight="1">
      <c r="B217" s="56"/>
      <c r="G217" s="3"/>
      <c r="AG217" s="91"/>
      <c r="AH217" s="3"/>
      <c r="AI217" s="3"/>
      <c r="AJ217" s="3"/>
      <c r="AL217" s="3"/>
    </row>
    <row r="218" ht="15.75" customHeight="1">
      <c r="B218" s="56"/>
      <c r="G218" s="3"/>
      <c r="AG218" s="91"/>
      <c r="AH218" s="3"/>
      <c r="AI218" s="3"/>
      <c r="AJ218" s="3"/>
      <c r="AL218" s="3"/>
    </row>
    <row r="219" ht="15.75" customHeight="1">
      <c r="B219" s="56"/>
      <c r="G219" s="3"/>
      <c r="AG219" s="91"/>
      <c r="AH219" s="3"/>
      <c r="AI219" s="3"/>
      <c r="AJ219" s="3"/>
      <c r="AL219" s="3"/>
    </row>
    <row r="220" ht="15.75" customHeight="1">
      <c r="B220" s="56"/>
      <c r="G220" s="3"/>
      <c r="AG220" s="91"/>
      <c r="AH220" s="3"/>
      <c r="AI220" s="3"/>
      <c r="AJ220" s="3"/>
      <c r="AL220" s="3"/>
    </row>
    <row r="221" ht="15.75" customHeight="1">
      <c r="B221" s="56"/>
      <c r="G221" s="3"/>
      <c r="AG221" s="91"/>
      <c r="AH221" s="3"/>
      <c r="AI221" s="3"/>
      <c r="AJ221" s="3"/>
      <c r="AL221" s="3"/>
    </row>
    <row r="222" ht="15.75" customHeight="1">
      <c r="B222" s="56"/>
      <c r="G222" s="3"/>
      <c r="AG222" s="91"/>
      <c r="AH222" s="3"/>
      <c r="AI222" s="3"/>
      <c r="AJ222" s="3"/>
      <c r="AL222" s="3"/>
    </row>
    <row r="223" ht="15.75" customHeight="1">
      <c r="B223" s="56"/>
      <c r="G223" s="3"/>
      <c r="AG223" s="91"/>
      <c r="AH223" s="3"/>
      <c r="AI223" s="3"/>
      <c r="AJ223" s="3"/>
      <c r="AL223" s="3"/>
    </row>
    <row r="224" ht="15.75" customHeight="1">
      <c r="B224" s="56"/>
      <c r="G224" s="3"/>
      <c r="AG224" s="91"/>
      <c r="AH224" s="3"/>
      <c r="AI224" s="3"/>
      <c r="AJ224" s="3"/>
      <c r="AL224" s="3"/>
    </row>
    <row r="225" ht="15.75" customHeight="1">
      <c r="B225" s="56"/>
      <c r="G225" s="3"/>
      <c r="AG225" s="91"/>
      <c r="AH225" s="3"/>
      <c r="AI225" s="3"/>
      <c r="AJ225" s="3"/>
      <c r="AL225" s="3"/>
    </row>
    <row r="226" ht="15.75" customHeight="1">
      <c r="B226" s="56"/>
      <c r="G226" s="3"/>
      <c r="AG226" s="91"/>
      <c r="AH226" s="3"/>
      <c r="AI226" s="3"/>
      <c r="AJ226" s="3"/>
      <c r="AL226" s="3"/>
    </row>
    <row r="227" ht="15.75" customHeight="1">
      <c r="B227" s="56"/>
      <c r="G227" s="3"/>
      <c r="AG227" s="91"/>
      <c r="AH227" s="3"/>
      <c r="AI227" s="3"/>
      <c r="AJ227" s="3"/>
      <c r="AL227" s="3"/>
    </row>
    <row r="228" ht="15.75" customHeight="1">
      <c r="B228" s="56"/>
      <c r="G228" s="3"/>
      <c r="AG228" s="91"/>
      <c r="AH228" s="3"/>
      <c r="AI228" s="3"/>
      <c r="AJ228" s="3"/>
      <c r="AL228" s="3"/>
    </row>
    <row r="229" ht="15.75" customHeight="1">
      <c r="B229" s="56"/>
      <c r="G229" s="3"/>
      <c r="AG229" s="91"/>
      <c r="AH229" s="3"/>
      <c r="AI229" s="3"/>
      <c r="AJ229" s="3"/>
      <c r="AL229" s="3"/>
    </row>
    <row r="230" ht="15.75" customHeight="1">
      <c r="B230" s="56"/>
      <c r="G230" s="3"/>
      <c r="AG230" s="91"/>
      <c r="AH230" s="3"/>
      <c r="AI230" s="3"/>
      <c r="AJ230" s="3"/>
      <c r="AL230" s="3"/>
    </row>
    <row r="231" ht="15.75" customHeight="1">
      <c r="B231" s="56"/>
      <c r="G231" s="3"/>
      <c r="AG231" s="91"/>
      <c r="AH231" s="3"/>
      <c r="AI231" s="3"/>
      <c r="AJ231" s="3"/>
      <c r="AL231" s="3"/>
    </row>
    <row r="232" ht="15.75" customHeight="1">
      <c r="B232" s="56"/>
      <c r="G232" s="3"/>
      <c r="AG232" s="91"/>
      <c r="AH232" s="3"/>
      <c r="AI232" s="3"/>
      <c r="AJ232" s="3"/>
      <c r="AL232" s="3"/>
    </row>
    <row r="233" ht="15.75" customHeight="1">
      <c r="B233" s="56"/>
      <c r="G233" s="3"/>
      <c r="AG233" s="91"/>
      <c r="AH233" s="3"/>
      <c r="AI233" s="3"/>
      <c r="AJ233" s="3"/>
      <c r="AL233" s="3"/>
    </row>
    <row r="234" ht="15.75" customHeight="1">
      <c r="B234" s="56"/>
      <c r="G234" s="3"/>
      <c r="AG234" s="91"/>
      <c r="AH234" s="3"/>
      <c r="AI234" s="3"/>
      <c r="AJ234" s="3"/>
      <c r="AL234" s="3"/>
    </row>
    <row r="235" ht="15.75" customHeight="1">
      <c r="B235" s="56"/>
      <c r="G235" s="3"/>
      <c r="AG235" s="91"/>
      <c r="AH235" s="3"/>
      <c r="AI235" s="3"/>
      <c r="AJ235" s="3"/>
      <c r="AL235" s="3"/>
    </row>
    <row r="236" ht="15.75" customHeight="1">
      <c r="B236" s="56"/>
      <c r="G236" s="3"/>
      <c r="AG236" s="91"/>
      <c r="AH236" s="3"/>
      <c r="AI236" s="3"/>
      <c r="AJ236" s="3"/>
      <c r="AL236" s="3"/>
    </row>
    <row r="237" ht="15.75" customHeight="1">
      <c r="B237" s="56"/>
      <c r="G237" s="3"/>
      <c r="AG237" s="91"/>
      <c r="AH237" s="3"/>
      <c r="AI237" s="3"/>
      <c r="AJ237" s="3"/>
      <c r="AL237" s="3"/>
    </row>
    <row r="238" ht="15.75" customHeight="1">
      <c r="B238" s="56"/>
      <c r="G238" s="3"/>
      <c r="AG238" s="91"/>
      <c r="AH238" s="3"/>
      <c r="AI238" s="3"/>
      <c r="AJ238" s="3"/>
      <c r="AL238" s="3"/>
    </row>
    <row r="239" ht="15.75" customHeight="1">
      <c r="B239" s="56"/>
      <c r="G239" s="3"/>
      <c r="AG239" s="91"/>
      <c r="AH239" s="3"/>
      <c r="AI239" s="3"/>
      <c r="AJ239" s="3"/>
      <c r="AL239" s="3"/>
    </row>
    <row r="240" ht="15.75" customHeight="1">
      <c r="B240" s="56"/>
      <c r="G240" s="3"/>
      <c r="AG240" s="91"/>
      <c r="AH240" s="3"/>
      <c r="AI240" s="3"/>
      <c r="AJ240" s="3"/>
      <c r="AL240" s="3"/>
    </row>
    <row r="241" ht="15.75" customHeight="1">
      <c r="B241" s="56"/>
      <c r="G241" s="3"/>
      <c r="AG241" s="91"/>
      <c r="AH241" s="3"/>
      <c r="AI241" s="3"/>
      <c r="AJ241" s="3"/>
      <c r="AL241" s="3"/>
    </row>
    <row r="242" ht="15.75" customHeight="1">
      <c r="B242" s="56"/>
      <c r="G242" s="3"/>
      <c r="AG242" s="91"/>
      <c r="AH242" s="3"/>
      <c r="AI242" s="3"/>
      <c r="AJ242" s="3"/>
      <c r="AL242" s="3"/>
    </row>
    <row r="243" ht="15.0" customHeight="1">
      <c r="B243" s="56"/>
      <c r="AG243" s="91"/>
    </row>
    <row r="244" ht="15.0" customHeight="1">
      <c r="B244" s="56"/>
      <c r="AG244" s="91"/>
    </row>
    <row r="245" ht="15.0" customHeight="1">
      <c r="B245" s="56"/>
      <c r="AG245" s="91"/>
    </row>
    <row r="246" ht="15.0" customHeight="1">
      <c r="B246" s="56"/>
      <c r="AG246" s="91"/>
    </row>
    <row r="247" ht="15.0" customHeight="1">
      <c r="B247" s="56"/>
      <c r="AG247" s="91"/>
    </row>
    <row r="248" ht="15.0" customHeight="1">
      <c r="B248" s="56"/>
      <c r="AG248" s="91"/>
    </row>
    <row r="249" ht="15.0" customHeight="1">
      <c r="B249" s="56"/>
      <c r="AG249" s="91"/>
    </row>
    <row r="250" ht="15.75" customHeight="1">
      <c r="AG250" s="91"/>
    </row>
    <row r="251" ht="15.75" customHeight="1">
      <c r="AG251" s="91"/>
    </row>
    <row r="252" ht="15.75" customHeight="1">
      <c r="AG252" s="91"/>
    </row>
    <row r="253" ht="15.75" customHeight="1">
      <c r="AG253" s="91"/>
    </row>
    <row r="254" ht="15.75" customHeight="1">
      <c r="AG254" s="91"/>
    </row>
    <row r="255" ht="15.75" customHeight="1">
      <c r="AG255" s="91"/>
    </row>
    <row r="256" ht="15.75" customHeight="1">
      <c r="AG256" s="91"/>
    </row>
    <row r="257" ht="15.75" customHeight="1">
      <c r="AG257" s="91"/>
    </row>
    <row r="258" ht="15.75" customHeight="1">
      <c r="AG258" s="91"/>
    </row>
    <row r="259" ht="15.75" customHeight="1">
      <c r="AG259" s="91"/>
    </row>
    <row r="260" ht="15.75" customHeight="1">
      <c r="AG260" s="91"/>
    </row>
    <row r="261" ht="15.75" customHeight="1">
      <c r="AG261" s="91"/>
    </row>
    <row r="262" ht="15.75" customHeight="1">
      <c r="AG262" s="91"/>
    </row>
    <row r="263" ht="15.75" customHeight="1">
      <c r="AG263" s="91"/>
    </row>
    <row r="264" ht="15.75" customHeight="1">
      <c r="AG264" s="91"/>
    </row>
    <row r="265" ht="15.75" customHeight="1">
      <c r="AG265" s="91"/>
    </row>
    <row r="266" ht="15.75" customHeight="1">
      <c r="AG266" s="91"/>
    </row>
    <row r="267" ht="15.75" customHeight="1">
      <c r="AG267" s="91"/>
    </row>
    <row r="268" ht="15.75" customHeight="1">
      <c r="AG268" s="91"/>
    </row>
    <row r="269" ht="15.75" customHeight="1">
      <c r="AG269" s="91"/>
    </row>
    <row r="270" ht="15.75" customHeight="1">
      <c r="AG270" s="91"/>
    </row>
    <row r="271" ht="15.75" customHeight="1">
      <c r="AG271" s="91"/>
    </row>
    <row r="272" ht="15.75" customHeight="1">
      <c r="AG272" s="91"/>
    </row>
    <row r="273" ht="15.75" customHeight="1">
      <c r="AG273" s="91"/>
    </row>
    <row r="274" ht="15.75" customHeight="1">
      <c r="AG274" s="91"/>
    </row>
    <row r="275" ht="15.75" customHeight="1">
      <c r="AG275" s="91"/>
    </row>
    <row r="276" ht="15.75" customHeight="1">
      <c r="AG276" s="91"/>
    </row>
    <row r="277" ht="15.75" customHeight="1">
      <c r="AG277" s="91"/>
    </row>
    <row r="278" ht="15.75" customHeight="1">
      <c r="AG278" s="91"/>
    </row>
    <row r="279" ht="15.75" customHeight="1">
      <c r="AG279" s="91"/>
    </row>
    <row r="280" ht="15.75" customHeight="1">
      <c r="AG280" s="91"/>
    </row>
    <row r="281" ht="15.75" customHeight="1">
      <c r="AG281" s="91"/>
    </row>
    <row r="282" ht="15.75" customHeight="1">
      <c r="AG282" s="91"/>
    </row>
    <row r="283" ht="15.75" customHeight="1">
      <c r="AG283" s="91"/>
    </row>
    <row r="284" ht="15.75" customHeight="1">
      <c r="AG284" s="91"/>
    </row>
    <row r="285" ht="15.75" customHeight="1">
      <c r="AG285" s="91"/>
    </row>
    <row r="286" ht="15.75" customHeight="1">
      <c r="AG286" s="91"/>
    </row>
    <row r="287" ht="15.75" customHeight="1">
      <c r="AG287" s="91"/>
    </row>
    <row r="288" ht="15.75" customHeight="1">
      <c r="AG288" s="91"/>
    </row>
    <row r="289" ht="15.75" customHeight="1">
      <c r="AG289" s="91"/>
    </row>
    <row r="290" ht="15.75" customHeight="1">
      <c r="AG290" s="91"/>
    </row>
    <row r="291" ht="15.75" customHeight="1">
      <c r="AG291" s="91"/>
    </row>
    <row r="292" ht="15.75" customHeight="1">
      <c r="AG292" s="91"/>
    </row>
    <row r="293" ht="15.75" customHeight="1">
      <c r="AG293" s="91"/>
    </row>
    <row r="294" ht="15.75" customHeight="1">
      <c r="AG294" s="91"/>
    </row>
    <row r="295" ht="15.75" customHeight="1">
      <c r="AG295" s="91"/>
    </row>
    <row r="296" ht="15.75" customHeight="1">
      <c r="AG296" s="91"/>
    </row>
    <row r="297" ht="15.75" customHeight="1">
      <c r="AG297" s="91"/>
    </row>
    <row r="298" ht="15.75" customHeight="1">
      <c r="AG298" s="91"/>
    </row>
    <row r="299" ht="15.75" customHeight="1">
      <c r="AG299" s="91"/>
    </row>
    <row r="300" ht="15.75" customHeight="1">
      <c r="AG300" s="91"/>
    </row>
    <row r="301" ht="15.75" customHeight="1">
      <c r="AG301" s="91"/>
    </row>
    <row r="302" ht="15.75" customHeight="1">
      <c r="AG302" s="91"/>
    </row>
    <row r="303" ht="15.75" customHeight="1">
      <c r="AG303" s="91"/>
    </row>
    <row r="304" ht="15.75" customHeight="1">
      <c r="AG304" s="91"/>
    </row>
    <row r="305" ht="15.75" customHeight="1">
      <c r="AG305" s="91"/>
    </row>
    <row r="306" ht="15.75" customHeight="1">
      <c r="AG306" s="91"/>
    </row>
    <row r="307" ht="15.75" customHeight="1">
      <c r="AG307" s="91"/>
    </row>
    <row r="308" ht="15.75" customHeight="1">
      <c r="AG308" s="91"/>
    </row>
    <row r="309" ht="15.75" customHeight="1">
      <c r="AG309" s="91"/>
    </row>
    <row r="310" ht="15.75" customHeight="1">
      <c r="AG310" s="91"/>
    </row>
    <row r="311" ht="15.75" customHeight="1">
      <c r="AG311" s="91"/>
    </row>
    <row r="312" ht="15.75" customHeight="1">
      <c r="AG312" s="91"/>
    </row>
    <row r="313" ht="15.75" customHeight="1">
      <c r="AG313" s="91"/>
    </row>
    <row r="314" ht="15.75" customHeight="1">
      <c r="AG314" s="91"/>
    </row>
    <row r="315" ht="15.75" customHeight="1">
      <c r="AG315" s="91"/>
    </row>
    <row r="316" ht="15.75" customHeight="1">
      <c r="AG316" s="91"/>
    </row>
    <row r="317" ht="15.75" customHeight="1">
      <c r="AG317" s="91"/>
    </row>
    <row r="318" ht="15.75" customHeight="1">
      <c r="AG318" s="91"/>
    </row>
    <row r="319" ht="15.75" customHeight="1">
      <c r="AG319" s="91"/>
    </row>
    <row r="320" ht="15.75" customHeight="1">
      <c r="AG320" s="91"/>
    </row>
    <row r="321" ht="15.75" customHeight="1">
      <c r="AG321" s="91"/>
    </row>
    <row r="322" ht="15.75" customHeight="1">
      <c r="AG322" s="91"/>
    </row>
    <row r="323" ht="15.75" customHeight="1">
      <c r="AG323" s="91"/>
    </row>
    <row r="324" ht="15.75" customHeight="1">
      <c r="AG324" s="91"/>
    </row>
    <row r="325" ht="15.75" customHeight="1">
      <c r="AG325" s="91"/>
    </row>
    <row r="326" ht="15.75" customHeight="1">
      <c r="AG326" s="91"/>
    </row>
    <row r="327" ht="15.75" customHeight="1">
      <c r="AG327" s="91"/>
    </row>
    <row r="328" ht="15.75" customHeight="1">
      <c r="AG328" s="91"/>
    </row>
    <row r="329" ht="15.75" customHeight="1">
      <c r="AG329" s="91"/>
    </row>
    <row r="330" ht="15.75" customHeight="1">
      <c r="AG330" s="91"/>
    </row>
    <row r="331" ht="15.75" customHeight="1">
      <c r="AG331" s="91"/>
    </row>
    <row r="332" ht="15.75" customHeight="1">
      <c r="AG332" s="91"/>
    </row>
    <row r="333" ht="15.75" customHeight="1">
      <c r="AG333" s="91"/>
    </row>
    <row r="334" ht="15.75" customHeight="1">
      <c r="AG334" s="91"/>
    </row>
    <row r="335" ht="15.75" customHeight="1">
      <c r="AG335" s="91"/>
    </row>
    <row r="336" ht="15.75" customHeight="1">
      <c r="AG336" s="91"/>
    </row>
    <row r="337" ht="15.75" customHeight="1">
      <c r="AG337" s="91"/>
    </row>
    <row r="338" ht="15.75" customHeight="1">
      <c r="AG338" s="91"/>
    </row>
    <row r="339" ht="15.75" customHeight="1">
      <c r="AG339" s="91"/>
    </row>
    <row r="340" ht="15.75" customHeight="1">
      <c r="AG340" s="91"/>
    </row>
    <row r="341" ht="15.75" customHeight="1">
      <c r="AG341" s="91"/>
    </row>
    <row r="342" ht="15.75" customHeight="1">
      <c r="AG342" s="91"/>
    </row>
    <row r="343" ht="15.75" customHeight="1">
      <c r="AG343" s="91"/>
    </row>
    <row r="344" ht="15.75" customHeight="1">
      <c r="AG344" s="91"/>
    </row>
    <row r="345" ht="15.75" customHeight="1">
      <c r="AG345" s="91"/>
    </row>
    <row r="346" ht="15.75" customHeight="1">
      <c r="AG346" s="91"/>
    </row>
    <row r="347" ht="15.75" customHeight="1">
      <c r="AG347" s="91"/>
    </row>
    <row r="348" ht="15.75" customHeight="1">
      <c r="AG348" s="91"/>
    </row>
    <row r="349" ht="15.75" customHeight="1">
      <c r="AG349" s="91"/>
    </row>
    <row r="350" ht="15.75" customHeight="1">
      <c r="AG350" s="91"/>
    </row>
    <row r="351" ht="15.75" customHeight="1">
      <c r="AG351" s="91"/>
    </row>
    <row r="352" ht="15.75" customHeight="1">
      <c r="AG352" s="91"/>
    </row>
    <row r="353" ht="15.75" customHeight="1">
      <c r="AG353" s="91"/>
    </row>
    <row r="354" ht="15.75" customHeight="1">
      <c r="AG354" s="91"/>
    </row>
    <row r="355" ht="15.75" customHeight="1">
      <c r="AG355" s="91"/>
    </row>
    <row r="356" ht="15.75" customHeight="1">
      <c r="AG356" s="91"/>
    </row>
    <row r="357" ht="15.75" customHeight="1">
      <c r="AG357" s="91"/>
    </row>
    <row r="358" ht="15.75" customHeight="1">
      <c r="AG358" s="91"/>
    </row>
    <row r="359" ht="15.75" customHeight="1">
      <c r="AG359" s="91"/>
    </row>
    <row r="360" ht="15.75" customHeight="1">
      <c r="AG360" s="91"/>
    </row>
    <row r="361" ht="15.75" customHeight="1">
      <c r="AG361" s="91"/>
    </row>
    <row r="362" ht="15.75" customHeight="1">
      <c r="AG362" s="91"/>
    </row>
    <row r="363" ht="15.75" customHeight="1">
      <c r="AG363" s="91"/>
    </row>
    <row r="364" ht="15.75" customHeight="1">
      <c r="AG364" s="91"/>
    </row>
    <row r="365" ht="15.75" customHeight="1">
      <c r="AG365" s="91"/>
    </row>
    <row r="366" ht="15.75" customHeight="1">
      <c r="AG366" s="91"/>
    </row>
    <row r="367" ht="15.75" customHeight="1">
      <c r="AG367" s="91"/>
    </row>
    <row r="368" ht="15.75" customHeight="1">
      <c r="AG368" s="91"/>
    </row>
    <row r="369" ht="15.75" customHeight="1">
      <c r="AG369" s="91"/>
    </row>
    <row r="370" ht="15.75" customHeight="1">
      <c r="AG370" s="91"/>
    </row>
    <row r="371" ht="15.75" customHeight="1">
      <c r="AG371" s="91"/>
    </row>
    <row r="372" ht="15.75" customHeight="1">
      <c r="AG372" s="91"/>
    </row>
    <row r="373" ht="15.75" customHeight="1">
      <c r="AG373" s="91"/>
    </row>
    <row r="374" ht="15.75" customHeight="1">
      <c r="AG374" s="91"/>
    </row>
    <row r="375" ht="15.75" customHeight="1">
      <c r="AG375" s="91"/>
    </row>
    <row r="376" ht="15.75" customHeight="1">
      <c r="AG376" s="91"/>
    </row>
    <row r="377" ht="15.75" customHeight="1">
      <c r="AG377" s="91"/>
    </row>
    <row r="378" ht="15.75" customHeight="1">
      <c r="AG378" s="91"/>
    </row>
    <row r="379" ht="15.75" customHeight="1">
      <c r="AG379" s="91"/>
    </row>
    <row r="380" ht="15.75" customHeight="1">
      <c r="AG380" s="91"/>
    </row>
    <row r="381" ht="15.75" customHeight="1">
      <c r="AG381" s="91"/>
    </row>
    <row r="382" ht="15.75" customHeight="1">
      <c r="AG382" s="91"/>
    </row>
    <row r="383" ht="15.75" customHeight="1">
      <c r="AG383" s="91"/>
    </row>
    <row r="384" ht="15.75" customHeight="1">
      <c r="AG384" s="91"/>
    </row>
    <row r="385" ht="15.75" customHeight="1">
      <c r="AG385" s="91"/>
    </row>
    <row r="386" ht="15.75" customHeight="1">
      <c r="AG386" s="91"/>
    </row>
    <row r="387" ht="15.75" customHeight="1">
      <c r="AG387" s="91"/>
    </row>
    <row r="388" ht="15.75" customHeight="1">
      <c r="AG388" s="91"/>
    </row>
    <row r="389" ht="15.75" customHeight="1">
      <c r="AG389" s="91"/>
    </row>
    <row r="390" ht="15.75" customHeight="1">
      <c r="AG390" s="91"/>
    </row>
    <row r="391" ht="15.75" customHeight="1">
      <c r="AG391" s="91"/>
    </row>
    <row r="392" ht="15.75" customHeight="1">
      <c r="AG392" s="91"/>
    </row>
    <row r="393" ht="15.75" customHeight="1">
      <c r="AG393" s="91"/>
    </row>
    <row r="394" ht="15.75" customHeight="1">
      <c r="AG394" s="91"/>
    </row>
    <row r="395" ht="15.75" customHeight="1">
      <c r="AG395" s="91"/>
    </row>
    <row r="396" ht="15.75" customHeight="1">
      <c r="AG396" s="91"/>
    </row>
    <row r="397" ht="15.75" customHeight="1">
      <c r="AG397" s="91"/>
    </row>
    <row r="398" ht="15.75" customHeight="1">
      <c r="AG398" s="91"/>
    </row>
    <row r="399" ht="15.75" customHeight="1">
      <c r="AG399" s="91"/>
    </row>
    <row r="400" ht="15.75" customHeight="1">
      <c r="AG400" s="91"/>
    </row>
    <row r="401" ht="15.75" customHeight="1">
      <c r="AG401" s="91"/>
    </row>
    <row r="402" ht="15.75" customHeight="1">
      <c r="AG402" s="91"/>
    </row>
    <row r="403" ht="15.75" customHeight="1">
      <c r="AG403" s="91"/>
    </row>
    <row r="404" ht="15.75" customHeight="1">
      <c r="AG404" s="91"/>
    </row>
    <row r="405" ht="15.75" customHeight="1">
      <c r="AG405" s="91"/>
    </row>
    <row r="406" ht="15.75" customHeight="1">
      <c r="AG406" s="91"/>
    </row>
    <row r="407" ht="15.75" customHeight="1">
      <c r="AG407" s="91"/>
    </row>
    <row r="408" ht="15.75" customHeight="1">
      <c r="AG408" s="91"/>
    </row>
    <row r="409" ht="15.75" customHeight="1">
      <c r="AG409" s="91"/>
    </row>
    <row r="410" ht="15.75" customHeight="1">
      <c r="AG410" s="91"/>
    </row>
    <row r="411" ht="15.75" customHeight="1">
      <c r="AG411" s="91"/>
    </row>
    <row r="412" ht="15.75" customHeight="1">
      <c r="AG412" s="91"/>
    </row>
    <row r="413" ht="15.75" customHeight="1">
      <c r="AG413" s="91"/>
    </row>
    <row r="414" ht="15.75" customHeight="1">
      <c r="AG414" s="91"/>
    </row>
    <row r="415" ht="15.75" customHeight="1">
      <c r="AG415" s="91"/>
    </row>
    <row r="416" ht="15.75" customHeight="1">
      <c r="AG416" s="91"/>
    </row>
    <row r="417" ht="15.75" customHeight="1">
      <c r="AG417" s="91"/>
    </row>
    <row r="418" ht="15.75" customHeight="1">
      <c r="AG418" s="91"/>
    </row>
    <row r="419" ht="15.75" customHeight="1">
      <c r="AG419" s="91"/>
    </row>
    <row r="420" ht="15.75" customHeight="1">
      <c r="AG420" s="91"/>
    </row>
    <row r="421" ht="15.75" customHeight="1">
      <c r="AG421" s="91"/>
    </row>
    <row r="422" ht="15.75" customHeight="1">
      <c r="AG422" s="91"/>
    </row>
    <row r="423" ht="15.75" customHeight="1">
      <c r="AG423" s="91"/>
    </row>
    <row r="424" ht="15.75" customHeight="1">
      <c r="AG424" s="91"/>
    </row>
    <row r="425" ht="15.75" customHeight="1">
      <c r="AG425" s="91"/>
    </row>
    <row r="426" ht="15.75" customHeight="1">
      <c r="AG426" s="91"/>
    </row>
    <row r="427" ht="15.75" customHeight="1">
      <c r="AG427" s="91"/>
    </row>
    <row r="428" ht="15.75" customHeight="1">
      <c r="AG428" s="91"/>
    </row>
    <row r="429" ht="15.75" customHeight="1">
      <c r="AG429" s="91"/>
    </row>
    <row r="430" ht="15.75" customHeight="1">
      <c r="AG430" s="91"/>
    </row>
    <row r="431" ht="15.75" customHeight="1">
      <c r="AG431" s="91"/>
    </row>
    <row r="432" ht="15.75" customHeight="1">
      <c r="AG432" s="91"/>
    </row>
    <row r="433" ht="15.75" customHeight="1">
      <c r="AG433" s="91"/>
    </row>
    <row r="434" ht="15.75" customHeight="1">
      <c r="AG434" s="91"/>
    </row>
    <row r="435" ht="15.75" customHeight="1">
      <c r="AG435" s="91"/>
    </row>
    <row r="436" ht="15.75" customHeight="1">
      <c r="AG436" s="91"/>
    </row>
    <row r="437" ht="15.75" customHeight="1">
      <c r="AG437" s="91"/>
    </row>
    <row r="438" ht="15.75" customHeight="1">
      <c r="AG438" s="91"/>
    </row>
    <row r="439" ht="15.75" customHeight="1">
      <c r="AG439" s="91"/>
    </row>
    <row r="440" ht="15.75" customHeight="1">
      <c r="AG440" s="91"/>
    </row>
    <row r="441" ht="15.75" customHeight="1">
      <c r="AG441" s="91"/>
    </row>
    <row r="442" ht="15.75" customHeight="1">
      <c r="AG442" s="91"/>
    </row>
    <row r="443" ht="15.75" customHeight="1">
      <c r="AG443" s="91"/>
    </row>
    <row r="444" ht="15.75" customHeight="1">
      <c r="AG444" s="91"/>
    </row>
    <row r="445" ht="15.75" customHeight="1">
      <c r="AG445" s="91"/>
    </row>
    <row r="446" ht="15.75" customHeight="1">
      <c r="AG446" s="91"/>
    </row>
    <row r="447" ht="15.75" customHeight="1">
      <c r="AG447" s="91"/>
    </row>
    <row r="448" ht="15.75" customHeight="1">
      <c r="AG448" s="91"/>
    </row>
    <row r="449" ht="15.75" customHeight="1">
      <c r="AG449" s="91"/>
    </row>
    <row r="450" ht="15.75" customHeight="1">
      <c r="AG450" s="91"/>
    </row>
    <row r="451" ht="15.75" customHeight="1">
      <c r="AG451" s="91"/>
    </row>
    <row r="452" ht="15.75" customHeight="1">
      <c r="AG452" s="91"/>
    </row>
    <row r="453" ht="15.75" customHeight="1">
      <c r="AG453" s="91"/>
    </row>
    <row r="454" ht="15.75" customHeight="1">
      <c r="AG454" s="91"/>
    </row>
    <row r="455" ht="15.75" customHeight="1">
      <c r="AG455" s="91"/>
    </row>
    <row r="456" ht="15.75" customHeight="1">
      <c r="AG456" s="91"/>
    </row>
    <row r="457" ht="15.75" customHeight="1">
      <c r="AG457" s="91"/>
    </row>
    <row r="458" ht="15.75" customHeight="1">
      <c r="AG458" s="91"/>
    </row>
    <row r="459" ht="15.75" customHeight="1">
      <c r="AG459" s="91"/>
    </row>
    <row r="460" ht="15.75" customHeight="1">
      <c r="AG460" s="91"/>
    </row>
    <row r="461" ht="15.75" customHeight="1">
      <c r="AG461" s="91"/>
    </row>
    <row r="462" ht="15.75" customHeight="1">
      <c r="AG462" s="91"/>
    </row>
    <row r="463" ht="15.75" customHeight="1">
      <c r="AG463" s="91"/>
    </row>
    <row r="464" ht="15.75" customHeight="1">
      <c r="AG464" s="91"/>
    </row>
    <row r="465" ht="15.75" customHeight="1">
      <c r="AG465" s="91"/>
    </row>
    <row r="466" ht="15.75" customHeight="1">
      <c r="AG466" s="91"/>
    </row>
    <row r="467" ht="15.75" customHeight="1">
      <c r="AG467" s="91"/>
    </row>
    <row r="468" ht="15.75" customHeight="1">
      <c r="AG468" s="91"/>
    </row>
    <row r="469" ht="15.75" customHeight="1">
      <c r="AG469" s="91"/>
    </row>
    <row r="470" ht="15.75" customHeight="1">
      <c r="AG470" s="91"/>
    </row>
    <row r="471" ht="15.75" customHeight="1">
      <c r="AG471" s="91"/>
    </row>
    <row r="472" ht="15.75" customHeight="1">
      <c r="AG472" s="91"/>
    </row>
    <row r="473" ht="15.75" customHeight="1">
      <c r="AG473" s="91"/>
    </row>
    <row r="474" ht="15.75" customHeight="1">
      <c r="AG474" s="91"/>
    </row>
    <row r="475" ht="15.75" customHeight="1">
      <c r="AG475" s="91"/>
    </row>
    <row r="476" ht="15.75" customHeight="1">
      <c r="AG476" s="91"/>
    </row>
    <row r="477" ht="15.75" customHeight="1">
      <c r="AG477" s="91"/>
    </row>
    <row r="478" ht="15.75" customHeight="1">
      <c r="AG478" s="91"/>
    </row>
    <row r="479" ht="15.75" customHeight="1">
      <c r="AG479" s="91"/>
    </row>
    <row r="480" ht="15.75" customHeight="1">
      <c r="AG480" s="91"/>
    </row>
    <row r="481" ht="15.75" customHeight="1">
      <c r="AG481" s="91"/>
    </row>
    <row r="482" ht="15.75" customHeight="1">
      <c r="AG482" s="91"/>
    </row>
    <row r="483" ht="15.75" customHeight="1">
      <c r="AG483" s="91"/>
    </row>
    <row r="484" ht="15.75" customHeight="1">
      <c r="AG484" s="91"/>
    </row>
    <row r="485" ht="15.75" customHeight="1">
      <c r="AG485" s="91"/>
    </row>
    <row r="486" ht="15.75" customHeight="1">
      <c r="AG486" s="91"/>
    </row>
    <row r="487" ht="15.75" customHeight="1">
      <c r="AG487" s="91"/>
    </row>
    <row r="488" ht="15.75" customHeight="1">
      <c r="AG488" s="91"/>
    </row>
    <row r="489" ht="15.75" customHeight="1">
      <c r="AG489" s="91"/>
    </row>
    <row r="490" ht="15.75" customHeight="1">
      <c r="AG490" s="91"/>
    </row>
    <row r="491" ht="15.75" customHeight="1">
      <c r="AG491" s="91"/>
    </row>
    <row r="492" ht="15.75" customHeight="1">
      <c r="AG492" s="91"/>
    </row>
    <row r="493" ht="15.75" customHeight="1">
      <c r="AG493" s="91"/>
    </row>
    <row r="494" ht="15.75" customHeight="1">
      <c r="AG494" s="91"/>
    </row>
    <row r="495" ht="15.75" customHeight="1">
      <c r="AG495" s="91"/>
    </row>
    <row r="496" ht="15.75" customHeight="1">
      <c r="AG496" s="91"/>
    </row>
    <row r="497" ht="15.75" customHeight="1">
      <c r="AG497" s="91"/>
    </row>
    <row r="498" ht="15.75" customHeight="1">
      <c r="AG498" s="91"/>
    </row>
    <row r="499" ht="15.75" customHeight="1">
      <c r="AG499" s="91"/>
    </row>
    <row r="500" ht="15.75" customHeight="1">
      <c r="AG500" s="91"/>
    </row>
    <row r="501" ht="15.75" customHeight="1">
      <c r="AG501" s="91"/>
    </row>
    <row r="502" ht="15.75" customHeight="1">
      <c r="AG502" s="91"/>
    </row>
    <row r="503" ht="15.75" customHeight="1">
      <c r="AG503" s="91"/>
    </row>
    <row r="504" ht="15.75" customHeight="1">
      <c r="AG504" s="91"/>
    </row>
    <row r="505" ht="15.75" customHeight="1">
      <c r="AG505" s="91"/>
    </row>
    <row r="506" ht="15.75" customHeight="1">
      <c r="AG506" s="91"/>
    </row>
    <row r="507" ht="15.75" customHeight="1">
      <c r="AG507" s="91"/>
    </row>
    <row r="508" ht="15.75" customHeight="1">
      <c r="AG508" s="91"/>
    </row>
    <row r="509" ht="15.75" customHeight="1">
      <c r="AG509" s="91"/>
    </row>
    <row r="510" ht="15.75" customHeight="1">
      <c r="AG510" s="91"/>
    </row>
    <row r="511" ht="15.75" customHeight="1">
      <c r="AG511" s="91"/>
    </row>
    <row r="512" ht="15.75" customHeight="1">
      <c r="AG512" s="91"/>
    </row>
    <row r="513" ht="15.75" customHeight="1">
      <c r="AG513" s="91"/>
    </row>
    <row r="514" ht="15.75" customHeight="1">
      <c r="AG514" s="91"/>
    </row>
    <row r="515" ht="15.75" customHeight="1">
      <c r="AG515" s="91"/>
    </row>
    <row r="516" ht="15.75" customHeight="1">
      <c r="AG516" s="91"/>
    </row>
    <row r="517" ht="15.75" customHeight="1">
      <c r="AG517" s="91"/>
    </row>
    <row r="518" ht="15.75" customHeight="1">
      <c r="AG518" s="91"/>
    </row>
    <row r="519" ht="15.75" customHeight="1">
      <c r="AG519" s="91"/>
    </row>
    <row r="520" ht="15.75" customHeight="1">
      <c r="AG520" s="91"/>
    </row>
    <row r="521" ht="15.75" customHeight="1">
      <c r="AG521" s="91"/>
    </row>
    <row r="522" ht="15.75" customHeight="1">
      <c r="AG522" s="91"/>
    </row>
    <row r="523" ht="15.75" customHeight="1">
      <c r="AG523" s="91"/>
    </row>
    <row r="524" ht="15.75" customHeight="1">
      <c r="AG524" s="91"/>
    </row>
    <row r="525" ht="15.75" customHeight="1">
      <c r="AG525" s="91"/>
    </row>
    <row r="526" ht="15.75" customHeight="1">
      <c r="AG526" s="91"/>
    </row>
    <row r="527" ht="15.75" customHeight="1">
      <c r="AG527" s="91"/>
    </row>
    <row r="528" ht="15.75" customHeight="1">
      <c r="AG528" s="91"/>
    </row>
    <row r="529" ht="15.75" customHeight="1">
      <c r="AG529" s="91"/>
    </row>
    <row r="530" ht="15.75" customHeight="1">
      <c r="AG530" s="91"/>
    </row>
    <row r="531" ht="15.75" customHeight="1">
      <c r="AG531" s="91"/>
    </row>
    <row r="532" ht="15.75" customHeight="1">
      <c r="AG532" s="91"/>
    </row>
    <row r="533" ht="15.75" customHeight="1">
      <c r="AG533" s="91"/>
    </row>
    <row r="534" ht="15.75" customHeight="1">
      <c r="AG534" s="91"/>
    </row>
    <row r="535" ht="15.75" customHeight="1">
      <c r="AG535" s="91"/>
    </row>
    <row r="536" ht="15.75" customHeight="1">
      <c r="AG536" s="91"/>
    </row>
    <row r="537" ht="15.75" customHeight="1">
      <c r="AG537" s="91"/>
    </row>
    <row r="538" ht="15.75" customHeight="1">
      <c r="AG538" s="91"/>
    </row>
    <row r="539" ht="15.75" customHeight="1">
      <c r="AG539" s="91"/>
    </row>
    <row r="540" ht="15.75" customHeight="1">
      <c r="AG540" s="91"/>
    </row>
    <row r="541" ht="15.75" customHeight="1">
      <c r="AG541" s="91"/>
    </row>
    <row r="542" ht="15.75" customHeight="1">
      <c r="AG542" s="91"/>
    </row>
    <row r="543" ht="15.75" customHeight="1">
      <c r="AG543" s="91"/>
    </row>
    <row r="544" ht="15.75" customHeight="1">
      <c r="AG544" s="91"/>
    </row>
    <row r="545" ht="15.75" customHeight="1">
      <c r="AG545" s="91"/>
    </row>
    <row r="546" ht="15.75" customHeight="1">
      <c r="AG546" s="91"/>
    </row>
    <row r="547" ht="15.75" customHeight="1">
      <c r="AG547" s="91"/>
    </row>
    <row r="548" ht="15.75" customHeight="1">
      <c r="AG548" s="91"/>
    </row>
    <row r="549" ht="15.75" customHeight="1">
      <c r="AG549" s="91"/>
    </row>
    <row r="550" ht="15.75" customHeight="1">
      <c r="AG550" s="91"/>
    </row>
    <row r="551" ht="15.75" customHeight="1">
      <c r="AG551" s="91"/>
    </row>
    <row r="552" ht="15.75" customHeight="1">
      <c r="AG552" s="91"/>
    </row>
    <row r="553" ht="15.75" customHeight="1">
      <c r="AG553" s="91"/>
    </row>
    <row r="554" ht="15.75" customHeight="1">
      <c r="AG554" s="91"/>
    </row>
    <row r="555" ht="15.75" customHeight="1">
      <c r="AG555" s="91"/>
    </row>
    <row r="556" ht="15.75" customHeight="1">
      <c r="AG556" s="91"/>
    </row>
    <row r="557" ht="15.75" customHeight="1">
      <c r="AG557" s="91"/>
    </row>
    <row r="558" ht="15.75" customHeight="1">
      <c r="AG558" s="91"/>
    </row>
    <row r="559" ht="15.75" customHeight="1">
      <c r="AG559" s="91"/>
    </row>
    <row r="560" ht="15.75" customHeight="1">
      <c r="AG560" s="91"/>
    </row>
    <row r="561" ht="15.75" customHeight="1">
      <c r="AG561" s="91"/>
    </row>
    <row r="562" ht="15.75" customHeight="1">
      <c r="AG562" s="91"/>
    </row>
    <row r="563" ht="15.75" customHeight="1">
      <c r="AG563" s="91"/>
    </row>
    <row r="564" ht="15.75" customHeight="1">
      <c r="AG564" s="91"/>
    </row>
    <row r="565" ht="15.75" customHeight="1">
      <c r="AG565" s="91"/>
    </row>
    <row r="566" ht="15.75" customHeight="1">
      <c r="AG566" s="91"/>
    </row>
    <row r="567" ht="15.75" customHeight="1">
      <c r="AG567" s="91"/>
    </row>
    <row r="568" ht="15.75" customHeight="1">
      <c r="AG568" s="91"/>
    </row>
    <row r="569" ht="15.75" customHeight="1">
      <c r="AG569" s="91"/>
    </row>
    <row r="570" ht="15.75" customHeight="1">
      <c r="AG570" s="91"/>
    </row>
    <row r="571" ht="15.75" customHeight="1">
      <c r="AG571" s="91"/>
    </row>
    <row r="572" ht="15.75" customHeight="1">
      <c r="AG572" s="91"/>
    </row>
    <row r="573" ht="15.75" customHeight="1">
      <c r="AG573" s="91"/>
    </row>
    <row r="574" ht="15.75" customHeight="1">
      <c r="AG574" s="91"/>
    </row>
    <row r="575" ht="15.75" customHeight="1">
      <c r="AG575" s="91"/>
    </row>
    <row r="576" ht="15.75" customHeight="1">
      <c r="AG576" s="91"/>
    </row>
    <row r="577" ht="15.75" customHeight="1">
      <c r="AG577" s="91"/>
    </row>
    <row r="578" ht="15.75" customHeight="1">
      <c r="AG578" s="91"/>
    </row>
    <row r="579" ht="15.75" customHeight="1">
      <c r="AG579" s="91"/>
    </row>
    <row r="580" ht="15.75" customHeight="1">
      <c r="AG580" s="91"/>
    </row>
    <row r="581" ht="15.75" customHeight="1">
      <c r="AG581" s="91"/>
    </row>
    <row r="582" ht="15.75" customHeight="1">
      <c r="AG582" s="91"/>
    </row>
    <row r="583" ht="15.75" customHeight="1">
      <c r="AG583" s="91"/>
    </row>
    <row r="584" ht="15.75" customHeight="1">
      <c r="AG584" s="91"/>
    </row>
    <row r="585" ht="15.75" customHeight="1">
      <c r="AG585" s="91"/>
    </row>
    <row r="586" ht="15.75" customHeight="1">
      <c r="AG586" s="91"/>
    </row>
    <row r="587" ht="15.75" customHeight="1">
      <c r="AG587" s="91"/>
    </row>
    <row r="588" ht="15.75" customHeight="1">
      <c r="AG588" s="91"/>
    </row>
    <row r="589" ht="15.75" customHeight="1">
      <c r="AG589" s="91"/>
    </row>
    <row r="590" ht="15.75" customHeight="1">
      <c r="AG590" s="91"/>
    </row>
    <row r="591" ht="15.75" customHeight="1">
      <c r="AG591" s="91"/>
    </row>
    <row r="592" ht="15.75" customHeight="1">
      <c r="AG592" s="91"/>
    </row>
    <row r="593" ht="15.75" customHeight="1">
      <c r="AG593" s="91"/>
    </row>
    <row r="594" ht="15.75" customHeight="1">
      <c r="AG594" s="91"/>
    </row>
    <row r="595" ht="15.75" customHeight="1">
      <c r="AG595" s="91"/>
    </row>
    <row r="596" ht="15.75" customHeight="1">
      <c r="AG596" s="91"/>
    </row>
    <row r="597" ht="15.75" customHeight="1">
      <c r="AG597" s="91"/>
    </row>
    <row r="598" ht="15.75" customHeight="1">
      <c r="AG598" s="91"/>
    </row>
    <row r="599" ht="15.75" customHeight="1">
      <c r="AG599" s="91"/>
    </row>
    <row r="600" ht="15.75" customHeight="1">
      <c r="AG600" s="91"/>
    </row>
    <row r="601" ht="15.75" customHeight="1">
      <c r="AG601" s="91"/>
    </row>
    <row r="602" ht="15.75" customHeight="1">
      <c r="AG602" s="91"/>
    </row>
    <row r="603" ht="15.75" customHeight="1">
      <c r="AG603" s="91"/>
    </row>
    <row r="604" ht="15.75" customHeight="1">
      <c r="AG604" s="91"/>
    </row>
    <row r="605" ht="15.75" customHeight="1">
      <c r="AG605" s="91"/>
    </row>
    <row r="606" ht="15.75" customHeight="1">
      <c r="AG606" s="91"/>
    </row>
    <row r="607" ht="15.75" customHeight="1">
      <c r="AG607" s="91"/>
    </row>
    <row r="608" ht="15.75" customHeight="1">
      <c r="AG608" s="91"/>
    </row>
    <row r="609" ht="15.75" customHeight="1">
      <c r="AG609" s="91"/>
    </row>
    <row r="610" ht="15.75" customHeight="1">
      <c r="AG610" s="91"/>
    </row>
    <row r="611" ht="15.75" customHeight="1">
      <c r="AG611" s="91"/>
    </row>
    <row r="612" ht="15.75" customHeight="1">
      <c r="AG612" s="91"/>
    </row>
    <row r="613" ht="15.75" customHeight="1">
      <c r="AG613" s="91"/>
    </row>
    <row r="614" ht="15.75" customHeight="1">
      <c r="AG614" s="91"/>
    </row>
    <row r="615" ht="15.75" customHeight="1">
      <c r="AG615" s="91"/>
    </row>
    <row r="616" ht="15.75" customHeight="1">
      <c r="AG616" s="91"/>
    </row>
    <row r="617" ht="15.75" customHeight="1">
      <c r="AG617" s="91"/>
    </row>
    <row r="618" ht="15.75" customHeight="1">
      <c r="AG618" s="91"/>
    </row>
    <row r="619" ht="15.75" customHeight="1">
      <c r="AG619" s="91"/>
    </row>
    <row r="620" ht="15.75" customHeight="1">
      <c r="AG620" s="91"/>
    </row>
    <row r="621" ht="15.75" customHeight="1">
      <c r="AG621" s="91"/>
    </row>
    <row r="622" ht="15.75" customHeight="1">
      <c r="AG622" s="91"/>
    </row>
    <row r="623" ht="15.75" customHeight="1">
      <c r="AG623" s="91"/>
    </row>
    <row r="624" ht="15.75" customHeight="1">
      <c r="AG624" s="91"/>
    </row>
    <row r="625" ht="15.75" customHeight="1">
      <c r="AG625" s="91"/>
    </row>
    <row r="626" ht="15.75" customHeight="1">
      <c r="AG626" s="91"/>
    </row>
    <row r="627" ht="15.75" customHeight="1">
      <c r="AG627" s="91"/>
    </row>
    <row r="628" ht="15.75" customHeight="1">
      <c r="AG628" s="91"/>
    </row>
    <row r="629" ht="15.75" customHeight="1">
      <c r="AG629" s="91"/>
    </row>
    <row r="630" ht="15.75" customHeight="1">
      <c r="AG630" s="91"/>
    </row>
    <row r="631" ht="15.75" customHeight="1">
      <c r="AG631" s="91"/>
    </row>
    <row r="632" ht="15.75" customHeight="1">
      <c r="AG632" s="91"/>
    </row>
    <row r="633" ht="15.75" customHeight="1">
      <c r="AG633" s="91"/>
    </row>
    <row r="634" ht="15.75" customHeight="1">
      <c r="AG634" s="91"/>
    </row>
    <row r="635" ht="15.75" customHeight="1">
      <c r="AG635" s="91"/>
    </row>
    <row r="636" ht="15.75" customHeight="1">
      <c r="AG636" s="91"/>
    </row>
    <row r="637" ht="15.75" customHeight="1">
      <c r="AG637" s="91"/>
    </row>
    <row r="638" ht="15.75" customHeight="1">
      <c r="AG638" s="91"/>
    </row>
    <row r="639" ht="15.75" customHeight="1">
      <c r="AG639" s="91"/>
    </row>
    <row r="640" ht="15.75" customHeight="1">
      <c r="AG640" s="91"/>
    </row>
    <row r="641" ht="15.75" customHeight="1">
      <c r="AG641" s="91"/>
    </row>
    <row r="642" ht="15.75" customHeight="1">
      <c r="AG642" s="91"/>
    </row>
    <row r="643" ht="15.75" customHeight="1">
      <c r="AG643" s="91"/>
    </row>
    <row r="644" ht="15.75" customHeight="1">
      <c r="AG644" s="91"/>
    </row>
    <row r="645" ht="15.75" customHeight="1">
      <c r="AG645" s="91"/>
    </row>
    <row r="646" ht="15.75" customHeight="1">
      <c r="AG646" s="91"/>
    </row>
    <row r="647" ht="15.75" customHeight="1">
      <c r="AG647" s="91"/>
    </row>
    <row r="648" ht="15.75" customHeight="1">
      <c r="AG648" s="91"/>
    </row>
    <row r="649" ht="15.75" customHeight="1">
      <c r="AG649" s="91"/>
    </row>
    <row r="650" ht="15.75" customHeight="1">
      <c r="AG650" s="91"/>
    </row>
    <row r="651" ht="15.75" customHeight="1">
      <c r="AG651" s="91"/>
    </row>
    <row r="652" ht="15.75" customHeight="1">
      <c r="AG652" s="91"/>
    </row>
    <row r="653" ht="15.75" customHeight="1">
      <c r="AG653" s="91"/>
    </row>
    <row r="654" ht="15.75" customHeight="1">
      <c r="AG654" s="91"/>
    </row>
    <row r="655" ht="15.75" customHeight="1">
      <c r="AG655" s="91"/>
    </row>
    <row r="656" ht="15.75" customHeight="1">
      <c r="AG656" s="91"/>
    </row>
    <row r="657" ht="15.75" customHeight="1">
      <c r="AG657" s="91"/>
    </row>
    <row r="658" ht="15.75" customHeight="1">
      <c r="AG658" s="91"/>
    </row>
    <row r="659" ht="15.75" customHeight="1">
      <c r="AG659" s="91"/>
    </row>
    <row r="660" ht="15.75" customHeight="1">
      <c r="AG660" s="91"/>
    </row>
    <row r="661" ht="15.75" customHeight="1">
      <c r="AG661" s="91"/>
    </row>
    <row r="662" ht="15.75" customHeight="1">
      <c r="AG662" s="91"/>
    </row>
    <row r="663" ht="15.75" customHeight="1">
      <c r="AG663" s="91"/>
    </row>
    <row r="664" ht="15.75" customHeight="1">
      <c r="AG664" s="91"/>
    </row>
    <row r="665" ht="15.75" customHeight="1">
      <c r="AG665" s="91"/>
    </row>
    <row r="666" ht="15.75" customHeight="1">
      <c r="AG666" s="91"/>
    </row>
    <row r="667" ht="15.75" customHeight="1">
      <c r="AG667" s="91"/>
    </row>
    <row r="668" ht="15.75" customHeight="1">
      <c r="AG668" s="91"/>
    </row>
    <row r="669" ht="15.75" customHeight="1">
      <c r="AG669" s="91"/>
    </row>
    <row r="670" ht="15.75" customHeight="1">
      <c r="AG670" s="91"/>
    </row>
    <row r="671" ht="15.75" customHeight="1">
      <c r="AG671" s="91"/>
    </row>
    <row r="672" ht="15.75" customHeight="1">
      <c r="AG672" s="91"/>
    </row>
    <row r="673" ht="15.75" customHeight="1">
      <c r="AG673" s="91"/>
    </row>
    <row r="674" ht="15.75" customHeight="1">
      <c r="AG674" s="91"/>
    </row>
    <row r="675" ht="15.75" customHeight="1">
      <c r="AG675" s="91"/>
    </row>
    <row r="676" ht="15.75" customHeight="1">
      <c r="AG676" s="91"/>
    </row>
    <row r="677" ht="15.75" customHeight="1">
      <c r="AG677" s="91"/>
    </row>
    <row r="678" ht="15.75" customHeight="1">
      <c r="AG678" s="91"/>
    </row>
    <row r="679" ht="15.75" customHeight="1">
      <c r="AG679" s="91"/>
    </row>
    <row r="680" ht="15.75" customHeight="1">
      <c r="AG680" s="91"/>
    </row>
    <row r="681" ht="15.75" customHeight="1">
      <c r="AG681" s="91"/>
    </row>
    <row r="682" ht="15.75" customHeight="1">
      <c r="AG682" s="91"/>
    </row>
    <row r="683" ht="15.75" customHeight="1">
      <c r="AG683" s="91"/>
    </row>
    <row r="684" ht="15.75" customHeight="1">
      <c r="AG684" s="91"/>
    </row>
    <row r="685" ht="15.75" customHeight="1">
      <c r="AG685" s="91"/>
    </row>
    <row r="686" ht="15.75" customHeight="1">
      <c r="AG686" s="91"/>
    </row>
    <row r="687" ht="15.75" customHeight="1">
      <c r="AG687" s="91"/>
    </row>
    <row r="688" ht="15.75" customHeight="1">
      <c r="AG688" s="91"/>
    </row>
    <row r="689" ht="15.75" customHeight="1">
      <c r="AG689" s="91"/>
    </row>
    <row r="690" ht="15.75" customHeight="1">
      <c r="AG690" s="91"/>
    </row>
    <row r="691" ht="15.75" customHeight="1">
      <c r="AG691" s="91"/>
    </row>
    <row r="692" ht="15.75" customHeight="1">
      <c r="AG692" s="91"/>
    </row>
    <row r="693" ht="15.75" customHeight="1">
      <c r="AG693" s="91"/>
    </row>
    <row r="694" ht="15.75" customHeight="1">
      <c r="AG694" s="91"/>
    </row>
    <row r="695" ht="15.75" customHeight="1">
      <c r="AG695" s="91"/>
    </row>
    <row r="696" ht="15.75" customHeight="1">
      <c r="AG696" s="91"/>
    </row>
    <row r="697" ht="15.75" customHeight="1">
      <c r="AG697" s="91"/>
    </row>
    <row r="698" ht="15.75" customHeight="1">
      <c r="AG698" s="91"/>
    </row>
    <row r="699" ht="15.75" customHeight="1">
      <c r="AG699" s="91"/>
    </row>
    <row r="700" ht="15.75" customHeight="1">
      <c r="AG700" s="91"/>
    </row>
    <row r="701" ht="15.75" customHeight="1">
      <c r="AG701" s="91"/>
    </row>
    <row r="702" ht="15.75" customHeight="1">
      <c r="AG702" s="91"/>
    </row>
    <row r="703" ht="15.75" customHeight="1">
      <c r="AG703" s="91"/>
    </row>
    <row r="704" ht="15.75" customHeight="1">
      <c r="AG704" s="91"/>
    </row>
    <row r="705" ht="15.75" customHeight="1">
      <c r="AG705" s="91"/>
    </row>
    <row r="706" ht="15.75" customHeight="1">
      <c r="AG706" s="91"/>
    </row>
    <row r="707" ht="15.75" customHeight="1">
      <c r="AG707" s="91"/>
    </row>
    <row r="708" ht="15.75" customHeight="1">
      <c r="AG708" s="91"/>
    </row>
    <row r="709" ht="15.75" customHeight="1">
      <c r="AG709" s="91"/>
    </row>
    <row r="710" ht="15.75" customHeight="1">
      <c r="AG710" s="91"/>
    </row>
    <row r="711" ht="15.75" customHeight="1">
      <c r="AG711" s="91"/>
    </row>
    <row r="712" ht="15.75" customHeight="1">
      <c r="AG712" s="91"/>
    </row>
    <row r="713" ht="15.75" customHeight="1">
      <c r="AG713" s="91"/>
    </row>
    <row r="714" ht="15.75" customHeight="1">
      <c r="AG714" s="91"/>
    </row>
    <row r="715" ht="15.75" customHeight="1">
      <c r="AG715" s="91"/>
    </row>
    <row r="716" ht="15.75" customHeight="1">
      <c r="AG716" s="91"/>
    </row>
    <row r="717" ht="15.75" customHeight="1">
      <c r="AG717" s="91"/>
    </row>
    <row r="718" ht="15.75" customHeight="1">
      <c r="AG718" s="91"/>
    </row>
    <row r="719" ht="15.75" customHeight="1">
      <c r="AG719" s="91"/>
    </row>
    <row r="720" ht="15.75" customHeight="1">
      <c r="AG720" s="91"/>
    </row>
    <row r="721" ht="15.75" customHeight="1">
      <c r="AG721" s="91"/>
    </row>
    <row r="722" ht="15.75" customHeight="1">
      <c r="AG722" s="91"/>
    </row>
    <row r="723" ht="15.75" customHeight="1">
      <c r="AG723" s="91"/>
    </row>
    <row r="724" ht="15.75" customHeight="1">
      <c r="AG724" s="91"/>
    </row>
    <row r="725" ht="15.75" customHeight="1">
      <c r="AG725" s="91"/>
    </row>
    <row r="726" ht="15.75" customHeight="1">
      <c r="AG726" s="91"/>
    </row>
    <row r="727" ht="15.75" customHeight="1">
      <c r="AG727" s="91"/>
    </row>
    <row r="728" ht="15.75" customHeight="1">
      <c r="AG728" s="91"/>
    </row>
    <row r="729" ht="15.75" customHeight="1">
      <c r="AG729" s="91"/>
    </row>
    <row r="730" ht="15.75" customHeight="1">
      <c r="AG730" s="91"/>
    </row>
    <row r="731" ht="15.75" customHeight="1">
      <c r="AG731" s="91"/>
    </row>
    <row r="732" ht="15.75" customHeight="1">
      <c r="AG732" s="91"/>
    </row>
    <row r="733" ht="15.75" customHeight="1">
      <c r="AG733" s="91"/>
    </row>
    <row r="734" ht="15.75" customHeight="1">
      <c r="AG734" s="91"/>
    </row>
    <row r="735" ht="15.75" customHeight="1">
      <c r="AG735" s="91"/>
    </row>
    <row r="736" ht="15.75" customHeight="1">
      <c r="AG736" s="91"/>
    </row>
    <row r="737" ht="15.75" customHeight="1">
      <c r="AG737" s="91"/>
    </row>
    <row r="738" ht="15.75" customHeight="1">
      <c r="AG738" s="91"/>
    </row>
    <row r="739" ht="15.75" customHeight="1">
      <c r="AG739" s="91"/>
    </row>
    <row r="740" ht="15.75" customHeight="1">
      <c r="AG740" s="91"/>
    </row>
    <row r="741" ht="15.75" customHeight="1">
      <c r="AG741" s="91"/>
    </row>
    <row r="742" ht="15.75" customHeight="1">
      <c r="AG742" s="91"/>
    </row>
    <row r="743" ht="15.75" customHeight="1">
      <c r="AG743" s="91"/>
    </row>
    <row r="744" ht="15.75" customHeight="1">
      <c r="AG744" s="91"/>
    </row>
    <row r="745" ht="15.75" customHeight="1">
      <c r="AG745" s="91"/>
    </row>
    <row r="746" ht="15.75" customHeight="1">
      <c r="AG746" s="91"/>
    </row>
    <row r="747" ht="15.75" customHeight="1">
      <c r="AG747" s="91"/>
    </row>
    <row r="748" ht="15.75" customHeight="1">
      <c r="AG748" s="91"/>
    </row>
    <row r="749" ht="15.75" customHeight="1">
      <c r="AG749" s="91"/>
    </row>
    <row r="750" ht="15.75" customHeight="1">
      <c r="AG750" s="91"/>
    </row>
    <row r="751" ht="15.75" customHeight="1">
      <c r="AG751" s="91"/>
    </row>
    <row r="752" ht="15.75" customHeight="1">
      <c r="AG752" s="91"/>
    </row>
    <row r="753" ht="15.75" customHeight="1">
      <c r="AG753" s="91"/>
    </row>
    <row r="754" ht="15.75" customHeight="1">
      <c r="AG754" s="91"/>
    </row>
    <row r="755" ht="15.75" customHeight="1">
      <c r="AG755" s="91"/>
    </row>
    <row r="756" ht="15.75" customHeight="1">
      <c r="AG756" s="91"/>
    </row>
    <row r="757" ht="15.75" customHeight="1">
      <c r="AG757" s="91"/>
    </row>
    <row r="758" ht="15.75" customHeight="1">
      <c r="AG758" s="91"/>
    </row>
    <row r="759" ht="15.75" customHeight="1">
      <c r="AG759" s="91"/>
    </row>
    <row r="760" ht="15.75" customHeight="1">
      <c r="AG760" s="91"/>
    </row>
    <row r="761" ht="15.75" customHeight="1">
      <c r="AG761" s="91"/>
    </row>
    <row r="762" ht="15.75" customHeight="1">
      <c r="AG762" s="91"/>
    </row>
    <row r="763" ht="15.75" customHeight="1">
      <c r="AG763" s="91"/>
    </row>
    <row r="764" ht="15.75" customHeight="1">
      <c r="AG764" s="91"/>
    </row>
    <row r="765" ht="15.75" customHeight="1">
      <c r="AG765" s="91"/>
    </row>
    <row r="766" ht="15.75" customHeight="1">
      <c r="AG766" s="91"/>
    </row>
    <row r="767" ht="15.75" customHeight="1">
      <c r="AG767" s="91"/>
    </row>
    <row r="768" ht="15.75" customHeight="1">
      <c r="AG768" s="91"/>
    </row>
    <row r="769" ht="15.75" customHeight="1">
      <c r="AG769" s="91"/>
    </row>
    <row r="770" ht="15.75" customHeight="1">
      <c r="AG770" s="91"/>
    </row>
    <row r="771" ht="15.75" customHeight="1">
      <c r="AG771" s="91"/>
    </row>
    <row r="772" ht="15.75" customHeight="1">
      <c r="AG772" s="91"/>
    </row>
    <row r="773" ht="15.75" customHeight="1">
      <c r="AG773" s="91"/>
    </row>
    <row r="774" ht="15.75" customHeight="1">
      <c r="AG774" s="91"/>
    </row>
    <row r="775" ht="15.75" customHeight="1">
      <c r="AG775" s="91"/>
    </row>
    <row r="776" ht="15.75" customHeight="1">
      <c r="AG776" s="91"/>
    </row>
    <row r="777" ht="15.75" customHeight="1">
      <c r="AG777" s="91"/>
    </row>
    <row r="778" ht="15.75" customHeight="1">
      <c r="AG778" s="91"/>
    </row>
    <row r="779" ht="15.75" customHeight="1">
      <c r="AG779" s="91"/>
    </row>
    <row r="780" ht="15.75" customHeight="1">
      <c r="AG780" s="91"/>
    </row>
    <row r="781" ht="15.75" customHeight="1">
      <c r="AG781" s="91"/>
    </row>
    <row r="782" ht="15.75" customHeight="1">
      <c r="AG782" s="91"/>
    </row>
    <row r="783" ht="15.75" customHeight="1">
      <c r="AG783" s="91"/>
    </row>
    <row r="784" ht="15.75" customHeight="1">
      <c r="AG784" s="91"/>
    </row>
    <row r="785" ht="15.75" customHeight="1">
      <c r="AG785" s="91"/>
    </row>
    <row r="786" ht="15.75" customHeight="1">
      <c r="AG786" s="91"/>
    </row>
    <row r="787" ht="15.75" customHeight="1">
      <c r="AG787" s="91"/>
    </row>
    <row r="788" ht="15.75" customHeight="1">
      <c r="AG788" s="91"/>
    </row>
    <row r="789" ht="15.75" customHeight="1">
      <c r="AG789" s="91"/>
    </row>
    <row r="790" ht="15.75" customHeight="1">
      <c r="AG790" s="91"/>
    </row>
    <row r="791" ht="15.75" customHeight="1">
      <c r="AG791" s="91"/>
    </row>
    <row r="792" ht="15.75" customHeight="1">
      <c r="AG792" s="91"/>
    </row>
    <row r="793" ht="15.75" customHeight="1">
      <c r="AG793" s="91"/>
    </row>
    <row r="794" ht="15.75" customHeight="1">
      <c r="AG794" s="91"/>
    </row>
    <row r="795" ht="15.75" customHeight="1">
      <c r="AG795" s="91"/>
    </row>
    <row r="796" ht="15.75" customHeight="1">
      <c r="AG796" s="91"/>
    </row>
    <row r="797" ht="15.75" customHeight="1">
      <c r="AG797" s="91"/>
    </row>
    <row r="798" ht="15.75" customHeight="1">
      <c r="AG798" s="91"/>
    </row>
    <row r="799" ht="15.75" customHeight="1">
      <c r="AG799" s="91"/>
    </row>
    <row r="800" ht="15.75" customHeight="1">
      <c r="AG800" s="91"/>
    </row>
    <row r="801" ht="15.75" customHeight="1">
      <c r="AG801" s="91"/>
    </row>
    <row r="802" ht="15.75" customHeight="1">
      <c r="AG802" s="91"/>
    </row>
    <row r="803" ht="15.75" customHeight="1">
      <c r="AG803" s="91"/>
    </row>
    <row r="804" ht="15.75" customHeight="1">
      <c r="AG804" s="91"/>
    </row>
    <row r="805" ht="15.75" customHeight="1">
      <c r="AG805" s="91"/>
    </row>
    <row r="806" ht="15.75" customHeight="1">
      <c r="AG806" s="91"/>
    </row>
    <row r="807" ht="15.75" customHeight="1">
      <c r="AG807" s="91"/>
    </row>
    <row r="808" ht="15.75" customHeight="1">
      <c r="AG808" s="91"/>
    </row>
    <row r="809" ht="15.75" customHeight="1">
      <c r="AG809" s="91"/>
    </row>
    <row r="810" ht="15.75" customHeight="1">
      <c r="AG810" s="91"/>
    </row>
    <row r="811" ht="15.75" customHeight="1">
      <c r="AG811" s="91"/>
    </row>
    <row r="812" ht="15.75" customHeight="1">
      <c r="AG812" s="91"/>
    </row>
    <row r="813" ht="15.75" customHeight="1">
      <c r="AG813" s="91"/>
    </row>
    <row r="814" ht="15.75" customHeight="1">
      <c r="AG814" s="91"/>
    </row>
    <row r="815" ht="15.75" customHeight="1">
      <c r="AG815" s="91"/>
    </row>
    <row r="816" ht="15.75" customHeight="1">
      <c r="AG816" s="91"/>
    </row>
    <row r="817" ht="15.75" customHeight="1">
      <c r="AG817" s="91"/>
    </row>
    <row r="818" ht="15.75" customHeight="1">
      <c r="AG818" s="91"/>
    </row>
    <row r="819" ht="15.75" customHeight="1">
      <c r="AG819" s="91"/>
    </row>
    <row r="820" ht="15.75" customHeight="1">
      <c r="AG820" s="91"/>
    </row>
    <row r="821" ht="15.75" customHeight="1">
      <c r="AG821" s="91"/>
    </row>
    <row r="822" ht="15.75" customHeight="1">
      <c r="AG822" s="91"/>
    </row>
    <row r="823" ht="15.75" customHeight="1">
      <c r="AG823" s="91"/>
    </row>
    <row r="824" ht="15.75" customHeight="1">
      <c r="AG824" s="91"/>
    </row>
    <row r="825" ht="15.75" customHeight="1">
      <c r="AG825" s="91"/>
    </row>
    <row r="826" ht="15.75" customHeight="1">
      <c r="AG826" s="91"/>
    </row>
    <row r="827" ht="15.75" customHeight="1">
      <c r="AG827" s="91"/>
    </row>
    <row r="828" ht="15.75" customHeight="1">
      <c r="AG828" s="91"/>
    </row>
    <row r="829" ht="15.75" customHeight="1">
      <c r="AG829" s="91"/>
    </row>
    <row r="830" ht="15.75" customHeight="1">
      <c r="AG830" s="91"/>
    </row>
    <row r="831" ht="15.75" customHeight="1">
      <c r="AG831" s="91"/>
    </row>
    <row r="832" ht="15.75" customHeight="1">
      <c r="AG832" s="91"/>
    </row>
    <row r="833" ht="15.75" customHeight="1">
      <c r="AG833" s="91"/>
    </row>
    <row r="834" ht="15.75" customHeight="1">
      <c r="AG834" s="91"/>
    </row>
    <row r="835" ht="15.75" customHeight="1">
      <c r="AG835" s="91"/>
    </row>
    <row r="836" ht="15.75" customHeight="1">
      <c r="AG836" s="91"/>
    </row>
    <row r="837" ht="15.75" customHeight="1">
      <c r="AG837" s="91"/>
    </row>
    <row r="838" ht="15.75" customHeight="1">
      <c r="AG838" s="91"/>
    </row>
    <row r="839" ht="15.75" customHeight="1">
      <c r="AG839" s="91"/>
    </row>
    <row r="840" ht="15.75" customHeight="1">
      <c r="AG840" s="91"/>
    </row>
    <row r="841" ht="15.75" customHeight="1">
      <c r="AG841" s="91"/>
    </row>
    <row r="842" ht="15.75" customHeight="1">
      <c r="AG842" s="91"/>
    </row>
    <row r="843" ht="15.75" customHeight="1">
      <c r="AG843" s="91"/>
    </row>
    <row r="844" ht="15.75" customHeight="1">
      <c r="AG844" s="91"/>
    </row>
    <row r="845" ht="15.75" customHeight="1">
      <c r="AG845" s="91"/>
    </row>
    <row r="846" ht="15.75" customHeight="1">
      <c r="AG846" s="91"/>
    </row>
    <row r="847" ht="15.75" customHeight="1">
      <c r="AG847" s="91"/>
    </row>
    <row r="848" ht="15.75" customHeight="1">
      <c r="AG848" s="91"/>
    </row>
    <row r="849" ht="15.75" customHeight="1">
      <c r="AG849" s="91"/>
    </row>
    <row r="850" ht="15.75" customHeight="1">
      <c r="AG850" s="91"/>
    </row>
    <row r="851" ht="15.75" customHeight="1">
      <c r="AG851" s="91"/>
    </row>
    <row r="852" ht="15.75" customHeight="1">
      <c r="AG852" s="91"/>
    </row>
    <row r="853" ht="15.75" customHeight="1">
      <c r="AG853" s="91"/>
    </row>
    <row r="854" ht="15.75" customHeight="1">
      <c r="AG854" s="91"/>
    </row>
    <row r="855" ht="15.75" customHeight="1">
      <c r="AG855" s="91"/>
    </row>
    <row r="856" ht="15.75" customHeight="1">
      <c r="AG856" s="91"/>
    </row>
    <row r="857" ht="15.75" customHeight="1">
      <c r="AG857" s="91"/>
    </row>
    <row r="858" ht="15.75" customHeight="1">
      <c r="AG858" s="91"/>
    </row>
    <row r="859" ht="15.75" customHeight="1">
      <c r="AG859" s="91"/>
    </row>
    <row r="860" ht="15.75" customHeight="1">
      <c r="AG860" s="91"/>
    </row>
    <row r="861" ht="15.75" customHeight="1">
      <c r="AG861" s="91"/>
    </row>
    <row r="862" ht="15.75" customHeight="1">
      <c r="AG862" s="91"/>
    </row>
    <row r="863" ht="15.75" customHeight="1">
      <c r="AG863" s="91"/>
    </row>
    <row r="864" ht="15.75" customHeight="1">
      <c r="AG864" s="91"/>
    </row>
    <row r="865" ht="15.75" customHeight="1">
      <c r="AG865" s="91"/>
    </row>
    <row r="866" ht="15.75" customHeight="1">
      <c r="AG866" s="91"/>
    </row>
    <row r="867" ht="15.75" customHeight="1">
      <c r="AG867" s="91"/>
    </row>
    <row r="868" ht="15.75" customHeight="1">
      <c r="AG868" s="91"/>
    </row>
    <row r="869" ht="15.75" customHeight="1">
      <c r="AG869" s="91"/>
    </row>
    <row r="870" ht="15.75" customHeight="1">
      <c r="AG870" s="91"/>
    </row>
    <row r="871" ht="15.75" customHeight="1">
      <c r="AG871" s="91"/>
    </row>
    <row r="872" ht="15.75" customHeight="1">
      <c r="AG872" s="91"/>
    </row>
    <row r="873" ht="15.75" customHeight="1">
      <c r="AG873" s="91"/>
    </row>
    <row r="874" ht="15.75" customHeight="1">
      <c r="AG874" s="91"/>
    </row>
    <row r="875" ht="15.75" customHeight="1">
      <c r="AG875" s="91"/>
    </row>
    <row r="876" ht="15.75" customHeight="1">
      <c r="AG876" s="91"/>
    </row>
    <row r="877" ht="15.75" customHeight="1">
      <c r="AG877" s="91"/>
    </row>
    <row r="878" ht="15.75" customHeight="1">
      <c r="AG878" s="91"/>
    </row>
    <row r="879" ht="15.75" customHeight="1">
      <c r="AG879" s="91"/>
    </row>
    <row r="880" ht="15.75" customHeight="1">
      <c r="AG880" s="91"/>
    </row>
    <row r="881" ht="15.75" customHeight="1">
      <c r="AG881" s="91"/>
    </row>
    <row r="882" ht="15.75" customHeight="1">
      <c r="AG882" s="91"/>
    </row>
    <row r="883" ht="15.75" customHeight="1">
      <c r="AG883" s="91"/>
    </row>
    <row r="884" ht="15.75" customHeight="1">
      <c r="AG884" s="91"/>
    </row>
    <row r="885" ht="15.75" customHeight="1">
      <c r="AG885" s="91"/>
    </row>
    <row r="886" ht="15.75" customHeight="1">
      <c r="AG886" s="91"/>
    </row>
    <row r="887" ht="15.75" customHeight="1">
      <c r="AG887" s="91"/>
    </row>
    <row r="888" ht="15.75" customHeight="1">
      <c r="AG888" s="91"/>
    </row>
    <row r="889" ht="15.75" customHeight="1">
      <c r="AG889" s="91"/>
    </row>
    <row r="890" ht="15.75" customHeight="1">
      <c r="AG890" s="91"/>
    </row>
    <row r="891" ht="15.75" customHeight="1">
      <c r="AG891" s="91"/>
    </row>
    <row r="892" ht="15.75" customHeight="1">
      <c r="AG892" s="91"/>
    </row>
    <row r="893" ht="15.75" customHeight="1">
      <c r="AG893" s="91"/>
    </row>
    <row r="894" ht="15.75" customHeight="1">
      <c r="AG894" s="91"/>
    </row>
    <row r="895" ht="15.75" customHeight="1">
      <c r="AG895" s="91"/>
    </row>
    <row r="896" ht="15.75" customHeight="1">
      <c r="AG896" s="91"/>
    </row>
    <row r="897" ht="15.75" customHeight="1">
      <c r="AG897" s="91"/>
    </row>
    <row r="898" ht="15.75" customHeight="1">
      <c r="AG898" s="91"/>
    </row>
    <row r="899" ht="15.75" customHeight="1">
      <c r="AG899" s="91"/>
    </row>
    <row r="900" ht="15.75" customHeight="1">
      <c r="AG900" s="91"/>
    </row>
    <row r="901" ht="15.75" customHeight="1">
      <c r="AG901" s="91"/>
    </row>
    <row r="902" ht="15.75" customHeight="1">
      <c r="AG902" s="91"/>
    </row>
    <row r="903" ht="15.75" customHeight="1">
      <c r="AG903" s="91"/>
    </row>
    <row r="904" ht="15.75" customHeight="1">
      <c r="AG904" s="91"/>
    </row>
    <row r="905" ht="15.75" customHeight="1">
      <c r="AG905" s="91"/>
    </row>
    <row r="906" ht="15.75" customHeight="1">
      <c r="AG906" s="91"/>
    </row>
    <row r="907" ht="15.75" customHeight="1">
      <c r="AG907" s="91"/>
    </row>
    <row r="908" ht="15.75" customHeight="1">
      <c r="AG908" s="91"/>
    </row>
    <row r="909" ht="15.75" customHeight="1">
      <c r="AG909" s="91"/>
    </row>
    <row r="910" ht="15.75" customHeight="1">
      <c r="AG910" s="91"/>
    </row>
    <row r="911" ht="15.75" customHeight="1">
      <c r="AG911" s="91"/>
    </row>
    <row r="912" ht="15.75" customHeight="1">
      <c r="AG912" s="91"/>
    </row>
    <row r="913" ht="15.75" customHeight="1">
      <c r="AG913" s="91"/>
    </row>
    <row r="914" ht="15.75" customHeight="1">
      <c r="AG914" s="91"/>
    </row>
    <row r="915" ht="15.75" customHeight="1">
      <c r="AG915" s="91"/>
    </row>
    <row r="916" ht="15.75" customHeight="1">
      <c r="AG916" s="91"/>
    </row>
    <row r="917" ht="15.75" customHeight="1">
      <c r="AG917" s="91"/>
    </row>
    <row r="918" ht="15.75" customHeight="1">
      <c r="AG918" s="91"/>
    </row>
    <row r="919" ht="15.75" customHeight="1">
      <c r="AG919" s="91"/>
    </row>
    <row r="920" ht="15.75" customHeight="1">
      <c r="AG920" s="91"/>
    </row>
    <row r="921" ht="15.75" customHeight="1">
      <c r="AG921" s="91"/>
    </row>
    <row r="922" ht="15.75" customHeight="1">
      <c r="AG922" s="91"/>
    </row>
    <row r="923" ht="15.75" customHeight="1">
      <c r="AG923" s="91"/>
    </row>
    <row r="924" ht="15.75" customHeight="1">
      <c r="AG924" s="91"/>
    </row>
    <row r="925" ht="15.75" customHeight="1">
      <c r="AG925" s="91"/>
    </row>
    <row r="926" ht="15.75" customHeight="1">
      <c r="AG926" s="91"/>
    </row>
    <row r="927" ht="15.75" customHeight="1">
      <c r="AG927" s="91"/>
    </row>
    <row r="928" ht="15.75" customHeight="1">
      <c r="AG928" s="91"/>
    </row>
    <row r="929" ht="15.75" customHeight="1">
      <c r="AG929" s="91"/>
    </row>
    <row r="930" ht="15.75" customHeight="1">
      <c r="AG930" s="91"/>
    </row>
    <row r="931" ht="15.75" customHeight="1">
      <c r="AG931" s="91"/>
    </row>
    <row r="932" ht="15.75" customHeight="1">
      <c r="AG932" s="91"/>
    </row>
    <row r="933" ht="15.75" customHeight="1">
      <c r="AG933" s="91"/>
    </row>
    <row r="934" ht="15.75" customHeight="1">
      <c r="AG934" s="91"/>
    </row>
    <row r="935" ht="15.75" customHeight="1">
      <c r="AG935" s="91"/>
    </row>
    <row r="936" ht="15.75" customHeight="1">
      <c r="AG936" s="91"/>
    </row>
    <row r="937" ht="15.75" customHeight="1">
      <c r="AG937" s="91"/>
    </row>
    <row r="938" ht="15.75" customHeight="1">
      <c r="AG938" s="91"/>
    </row>
    <row r="939" ht="15.75" customHeight="1">
      <c r="AG939" s="91"/>
    </row>
    <row r="940" ht="15.75" customHeight="1">
      <c r="AG940" s="91"/>
    </row>
    <row r="941" ht="15.75" customHeight="1">
      <c r="AG941" s="91"/>
    </row>
    <row r="942" ht="15.75" customHeight="1">
      <c r="AG942" s="91"/>
    </row>
    <row r="943" ht="15.75" customHeight="1">
      <c r="AG943" s="91"/>
    </row>
    <row r="944" ht="15.75" customHeight="1">
      <c r="AG944" s="91"/>
    </row>
    <row r="945" ht="15.75" customHeight="1">
      <c r="AG945" s="91"/>
    </row>
    <row r="946" ht="15.75" customHeight="1">
      <c r="AG946" s="91"/>
    </row>
    <row r="947" ht="15.75" customHeight="1">
      <c r="AG947" s="91"/>
    </row>
    <row r="948" ht="15.75" customHeight="1">
      <c r="AG948" s="91"/>
    </row>
    <row r="949" ht="15.75" customHeight="1">
      <c r="AG949" s="91"/>
    </row>
    <row r="950" ht="15.75" customHeight="1">
      <c r="AG950" s="91"/>
    </row>
    <row r="951" ht="15.75" customHeight="1">
      <c r="AG951" s="91"/>
    </row>
    <row r="952" ht="15.75" customHeight="1">
      <c r="AG952" s="91"/>
    </row>
    <row r="953" ht="15.75" customHeight="1">
      <c r="AG953" s="91"/>
    </row>
    <row r="954" ht="15.75" customHeight="1">
      <c r="AG954" s="91"/>
    </row>
    <row r="955" ht="15.75" customHeight="1">
      <c r="AG955" s="91"/>
    </row>
    <row r="956" ht="15.75" customHeight="1">
      <c r="AG956" s="91"/>
    </row>
    <row r="957" ht="15.75" customHeight="1">
      <c r="AG957" s="91"/>
    </row>
    <row r="958" ht="15.75" customHeight="1">
      <c r="AG958" s="91"/>
    </row>
    <row r="959" ht="15.75" customHeight="1">
      <c r="AG959" s="91"/>
    </row>
    <row r="960" ht="15.75" customHeight="1">
      <c r="AG960" s="91"/>
    </row>
    <row r="961" ht="15.75" customHeight="1">
      <c r="AG961" s="91"/>
    </row>
    <row r="962" ht="15.75" customHeight="1">
      <c r="AG962" s="91"/>
    </row>
    <row r="963" ht="15.75" customHeight="1">
      <c r="AG963" s="91"/>
    </row>
    <row r="964" ht="15.75" customHeight="1">
      <c r="AG964" s="91"/>
    </row>
    <row r="965" ht="15.75" customHeight="1">
      <c r="AG965" s="91"/>
    </row>
    <row r="966" ht="15.75" customHeight="1">
      <c r="AG966" s="91"/>
    </row>
    <row r="967" ht="15.75" customHeight="1">
      <c r="AG967" s="91"/>
    </row>
    <row r="968" ht="15.75" customHeight="1">
      <c r="AG968" s="91"/>
    </row>
    <row r="969" ht="15.75" customHeight="1">
      <c r="AG969" s="91"/>
    </row>
    <row r="970" ht="15.75" customHeight="1">
      <c r="AG970" s="91"/>
    </row>
    <row r="971" ht="15.75" customHeight="1">
      <c r="AG971" s="91"/>
    </row>
    <row r="972" ht="15.75" customHeight="1">
      <c r="AG972" s="91"/>
    </row>
    <row r="973" ht="15.75" customHeight="1">
      <c r="AG973" s="91"/>
    </row>
    <row r="974" ht="15.75" customHeight="1">
      <c r="AG974" s="91"/>
    </row>
    <row r="975" ht="15.75" customHeight="1">
      <c r="AG975" s="91"/>
    </row>
    <row r="976" ht="15.75" customHeight="1">
      <c r="AG976" s="91"/>
    </row>
    <row r="977" ht="15.75" customHeight="1">
      <c r="AG977" s="91"/>
    </row>
    <row r="978" ht="15.75" customHeight="1">
      <c r="AG978" s="91"/>
    </row>
    <row r="979" ht="15.75" customHeight="1">
      <c r="AG979" s="91"/>
    </row>
    <row r="980" ht="15.75" customHeight="1">
      <c r="AG980" s="91"/>
    </row>
    <row r="981" ht="15.75" customHeight="1">
      <c r="AG981" s="91"/>
    </row>
    <row r="982" ht="15.75" customHeight="1">
      <c r="AG982" s="91"/>
    </row>
    <row r="983" ht="15.75" customHeight="1">
      <c r="AG983" s="91"/>
    </row>
    <row r="984" ht="15.75" customHeight="1">
      <c r="AG984" s="91"/>
    </row>
    <row r="985" ht="15.75" customHeight="1">
      <c r="AG985" s="91"/>
    </row>
    <row r="986" ht="15.75" customHeight="1">
      <c r="AG986" s="91"/>
    </row>
    <row r="987" ht="15.75" customHeight="1">
      <c r="AG987" s="91"/>
    </row>
    <row r="988" ht="15.75" customHeight="1">
      <c r="AG988" s="91"/>
    </row>
    <row r="989" ht="15.75" customHeight="1">
      <c r="AG989" s="91"/>
    </row>
    <row r="990" ht="15.75" customHeight="1">
      <c r="AG990" s="91"/>
    </row>
    <row r="991" ht="15.75" customHeight="1">
      <c r="AG991" s="91"/>
    </row>
    <row r="992" ht="15.75" customHeight="1">
      <c r="AG992" s="91"/>
    </row>
    <row r="993" ht="15.75" customHeight="1">
      <c r="AG993" s="91"/>
    </row>
    <row r="994" ht="15.75" customHeight="1">
      <c r="AG994" s="91"/>
    </row>
    <row r="995" ht="15.75" customHeight="1">
      <c r="AG995" s="91"/>
    </row>
    <row r="996" ht="15.75" customHeight="1">
      <c r="AG996" s="91"/>
    </row>
    <row r="997" ht="15.75" customHeight="1">
      <c r="AG997" s="91"/>
    </row>
    <row r="998" ht="15.75" customHeight="1">
      <c r="AG998" s="91"/>
    </row>
    <row r="999" ht="15.75" customHeight="1">
      <c r="AG999" s="91"/>
    </row>
    <row r="1000" ht="15.75" customHeight="1">
      <c r="AG1000" s="91"/>
    </row>
  </sheetData>
  <autoFilter ref="$A$3:$AL$4">
    <sortState ref="A3:AL4">
      <sortCondition ref="A3:A4"/>
    </sortState>
  </autoFilter>
  <printOptions/>
  <pageMargins bottom="0.75" footer="0.0" header="0.0" left="0.7" right="0.7" top="0.75"/>
  <pageSetup fitToHeight="0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40" width="14.43"/>
  </cols>
  <sheetData>
    <row r="1" ht="15.0" customHeight="1">
      <c r="D1" s="1"/>
      <c r="F1" s="2"/>
      <c r="G1" s="3"/>
      <c r="H1" s="4"/>
      <c r="I1" s="5">
        <v>746.87</v>
      </c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  <c r="AM1" s="3"/>
      <c r="AN1" s="3"/>
    </row>
    <row r="2" ht="15.0" customHeight="1">
      <c r="D2" s="1"/>
      <c r="G2" s="13"/>
      <c r="H2" s="13"/>
      <c r="I2" s="14">
        <f>SUBTOTAL(9,I4:I9533)</f>
        <v>746.87</v>
      </c>
      <c r="J2" s="4"/>
      <c r="K2" s="14">
        <f>SUBTOTAL(9,K4:K9533)</f>
        <v>694.493674</v>
      </c>
      <c r="L2" s="15">
        <f>SUMPRODUCT(L5:L364,K5:K364)/K2</f>
        <v>0.2647361076</v>
      </c>
      <c r="M2" s="2"/>
      <c r="P2" s="2"/>
      <c r="Q2" s="16">
        <f>+SUMPRODUCT(Q5:Q252,AH5:AH252)/SUM(AH5:AH252)</f>
        <v>89.47923145</v>
      </c>
      <c r="R2" s="12">
        <f>+SUMPRODUCT(R5:R252,AH5:AH252)/SUM(AH5:AH252)</f>
        <v>2641.17898</v>
      </c>
      <c r="S2" s="2"/>
      <c r="AB2" s="7"/>
      <c r="AC2" s="850">
        <f>SUMPRODUCT($AC5:$AC252,$K5:$K252)/SUM($K5:$K252)</f>
        <v>41.57229522</v>
      </c>
      <c r="AD2" s="850">
        <f>SUMPRODUCT($AD5:$AD252,$K5:$K252)/SUM($K5:$K252)</f>
        <v>2.122201019</v>
      </c>
      <c r="AE2" s="850">
        <f>SUMPRODUCT($AE5:$AE252,$K5:$K252)/SUM($K5:$K252)</f>
        <v>-32.34169729</v>
      </c>
      <c r="AF2" s="850">
        <f>SUMPRODUCT($AF5:$AF252,$K5:$K252)/SUM($K5:$K252)</f>
        <v>-6.277250749</v>
      </c>
      <c r="AG2" s="851">
        <f>SUMPRODUCT($AG5:$AG252,$K5:$K252)/SUM($K5:$K252)</f>
        <v>33.41671612</v>
      </c>
      <c r="AH2" s="18"/>
      <c r="AI2" s="19">
        <v>2617.5</v>
      </c>
      <c r="AJ2" s="20"/>
      <c r="AK2" s="11"/>
      <c r="AL2" s="21"/>
      <c r="AM2" s="3"/>
      <c r="AN2" s="3"/>
    </row>
    <row r="3" ht="15.0" customHeight="1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3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852" t="s">
        <v>32</v>
      </c>
      <c r="AD3" s="853" t="s">
        <v>33</v>
      </c>
      <c r="AE3" s="853" t="s">
        <v>34</v>
      </c>
      <c r="AF3" s="853" t="s">
        <v>35</v>
      </c>
      <c r="AG3" s="38" t="s">
        <v>36</v>
      </c>
      <c r="AH3" s="39">
        <f>SUBTOTAL(9,AH5:AH9534)</f>
        <v>5640.356446</v>
      </c>
      <c r="AI3" s="40">
        <f>SUMPRODUCT(K5:K252,AI5:AI252)/K2</f>
        <v>21.13785971</v>
      </c>
      <c r="AJ3" s="39">
        <f>SUBTOTAL(9,AJ5:AJ9534)</f>
        <v>5677.979674</v>
      </c>
      <c r="AK3" s="11"/>
      <c r="AL3" s="39">
        <f>SUBTOTAL(9,AL5:AL9534)</f>
        <v>352418.4578</v>
      </c>
      <c r="AM3" s="3"/>
      <c r="AN3" s="3"/>
      <c r="AO3" s="7"/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  <c r="AM4" s="134"/>
      <c r="AN4" s="134"/>
      <c r="AO4" s="67"/>
      <c r="AP4" s="67"/>
      <c r="AQ4" s="67"/>
    </row>
    <row r="5" ht="15.75" customHeight="1">
      <c r="A5" s="844" t="s">
        <v>4328</v>
      </c>
      <c r="B5" s="841"/>
      <c r="C5" s="854">
        <v>45595.0</v>
      </c>
      <c r="D5" s="57" t="s">
        <v>4329</v>
      </c>
      <c r="E5" s="2">
        <v>2.0605956905E10</v>
      </c>
      <c r="G5" s="3">
        <v>105.0</v>
      </c>
      <c r="H5" s="58" t="s">
        <v>40</v>
      </c>
      <c r="I5" s="58">
        <v>6.57</v>
      </c>
      <c r="J5" s="58">
        <v>1.88</v>
      </c>
      <c r="K5" s="59">
        <f t="shared" ref="K5:K59" si="1">+I5-(I5*(J5/100))</f>
        <v>6.446484</v>
      </c>
      <c r="L5" s="60">
        <v>0.081</v>
      </c>
      <c r="M5" s="60">
        <v>0.077</v>
      </c>
      <c r="N5" s="62">
        <v>0.077</v>
      </c>
      <c r="O5" s="60">
        <f t="shared" ref="O5:O25" si="2">+ROUND((M5+N5)/2,3)</f>
        <v>0.077</v>
      </c>
      <c r="P5" s="63">
        <v>90.0</v>
      </c>
      <c r="Q5" s="58">
        <v>89.52</v>
      </c>
      <c r="R5" s="65">
        <v>2767.8</v>
      </c>
      <c r="S5" s="66">
        <f t="shared" ref="S5:S6" si="3">IF((90+ROUNDDOWN(O5,1)*100)&lt;95,95,(90+ROUNDDOWN(O5,1)*100))</f>
        <v>95</v>
      </c>
      <c r="U5" s="67">
        <v>130.0</v>
      </c>
      <c r="V5" s="67">
        <v>1.1023</v>
      </c>
      <c r="Y5" s="68">
        <v>30.0</v>
      </c>
      <c r="Z5" s="69">
        <f t="shared" ref="Z5:Z6" si="4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79" si="5">+Y5+Z5</f>
        <v>60</v>
      </c>
      <c r="AB5" s="71">
        <f t="shared" ref="AB5:AB79" si="6">+((O5*P5*(R5-U5)/100)-S5-AA5+T5)*V5</f>
        <v>30.64343294</v>
      </c>
      <c r="AC5" s="71">
        <f>+(S5-T5)*V5-'data 1'!$F$4</f>
        <v>24.7185</v>
      </c>
      <c r="AD5" s="71">
        <f t="shared" ref="AD5:AD79" si="7">+(Q5-P5)*(R5-U5)*L5*V5/100</f>
        <v>-1.13049313</v>
      </c>
      <c r="AE5" s="71">
        <f t="shared" ref="AE5:AE79" si="8">+(Y5*V5-70)+V5*(Z5-IF(D5="UNTUCA",IF(+((W5-3)*2.5+(X5-3)*3.1)&gt;0,+((W5-3)*1.5+(X5-3)*3.1),0),IF(+((W5-3)*1.5+(X5-3)*3.1)&gt;0,+((W5-3)*1.5+(X5-3)*3.1),0)))</f>
        <v>-3.862</v>
      </c>
      <c r="AF5" s="71">
        <f t="shared" ref="AF5:AF79" si="9">(L5-O5)*(R5-U5)*Q5*V5/100</f>
        <v>10.41170216</v>
      </c>
      <c r="AG5" s="72">
        <f t="shared" ref="AG5:AG6" si="10">+IF(D5="RONALD WILLIAN GARIBAY ESCUDERO",AC5+AD5+AE5+AF5+70,AC5+AD5+AE5+AF5)+70-53</f>
        <v>47.13770903</v>
      </c>
      <c r="AH5" s="52">
        <f t="shared" ref="AH5:AH79" si="11">31.1035*L5*Q5*1.1023*K5/100</f>
        <v>16.02644032</v>
      </c>
      <c r="AI5" s="73">
        <f t="shared" ref="AI5:AI79" si="12">+((+$AI$2-R5+U5)*L5*Q5*V5)/100</f>
        <v>-1.622560644</v>
      </c>
      <c r="AJ5" s="73">
        <f t="shared" ref="AJ5:AJ79" si="13">31.1035*1.1023*K5*P5*O5/100</f>
        <v>15.31670024</v>
      </c>
      <c r="AK5" s="53"/>
      <c r="AL5" s="51">
        <f t="shared" ref="AL5:AL79" si="14">+IF(AB5*K5&gt;0,AB5*K5,0)</f>
        <v>197.5424002</v>
      </c>
      <c r="AM5" s="134"/>
      <c r="AN5" s="134"/>
      <c r="AO5" s="58"/>
      <c r="AQ5" s="58"/>
    </row>
    <row r="6" ht="15.75" customHeight="1">
      <c r="A6" s="844" t="s">
        <v>4330</v>
      </c>
      <c r="B6" s="841"/>
      <c r="C6" s="854">
        <v>45595.0</v>
      </c>
      <c r="D6" s="57" t="s">
        <v>4329</v>
      </c>
      <c r="E6" s="2">
        <v>2.0605956905E10</v>
      </c>
      <c r="G6" s="3">
        <v>87.0</v>
      </c>
      <c r="H6" s="58" t="s">
        <v>40</v>
      </c>
      <c r="I6" s="58">
        <v>5.3</v>
      </c>
      <c r="J6" s="58">
        <v>5.65</v>
      </c>
      <c r="K6" s="59">
        <f t="shared" si="1"/>
        <v>5.00055</v>
      </c>
      <c r="L6" s="60">
        <v>0.063</v>
      </c>
      <c r="M6" s="60">
        <v>0.06</v>
      </c>
      <c r="N6" s="62">
        <v>0.06</v>
      </c>
      <c r="O6" s="60">
        <f t="shared" si="2"/>
        <v>0.06</v>
      </c>
      <c r="P6" s="63">
        <v>85.0</v>
      </c>
      <c r="Q6" s="58">
        <v>89.34</v>
      </c>
      <c r="R6" s="65">
        <v>2767.8</v>
      </c>
      <c r="S6" s="66">
        <f t="shared" si="3"/>
        <v>95</v>
      </c>
      <c r="U6" s="67">
        <v>130.0</v>
      </c>
      <c r="V6" s="67">
        <v>1.1023</v>
      </c>
      <c r="Y6" s="68">
        <v>30.0</v>
      </c>
      <c r="Z6" s="69">
        <f t="shared" si="4"/>
        <v>30</v>
      </c>
      <c r="AA6" s="70">
        <f t="shared" si="5"/>
        <v>60</v>
      </c>
      <c r="AB6" s="71">
        <f t="shared" si="6"/>
        <v>-22.56650606</v>
      </c>
      <c r="AC6" s="71">
        <f>+(S6-T6)*V6-'data 1'!$F$4</f>
        <v>24.7185</v>
      </c>
      <c r="AD6" s="71">
        <f t="shared" si="7"/>
        <v>7.950088263</v>
      </c>
      <c r="AE6" s="71">
        <f t="shared" si="8"/>
        <v>-3.862</v>
      </c>
      <c r="AF6" s="71">
        <f t="shared" si="9"/>
        <v>7.793075329</v>
      </c>
      <c r="AG6" s="72">
        <f t="shared" si="10"/>
        <v>53.59966359</v>
      </c>
      <c r="AH6" s="52">
        <f t="shared" si="11"/>
        <v>9.64968954</v>
      </c>
      <c r="AI6" s="73">
        <f t="shared" si="12"/>
        <v>-1.259454095</v>
      </c>
      <c r="AJ6" s="73">
        <f t="shared" si="13"/>
        <v>8.743735658</v>
      </c>
      <c r="AK6" s="53"/>
      <c r="AL6" s="51">
        <f t="shared" si="14"/>
        <v>0</v>
      </c>
      <c r="AM6" s="3"/>
      <c r="AN6" s="3"/>
      <c r="AO6" s="58"/>
      <c r="AQ6" s="58"/>
    </row>
    <row r="7" ht="15.75" customHeight="1">
      <c r="A7" s="844" t="s">
        <v>4331</v>
      </c>
      <c r="B7" s="841">
        <v>45615.0</v>
      </c>
      <c r="C7" s="56">
        <v>45606.0</v>
      </c>
      <c r="D7" s="57" t="s">
        <v>79</v>
      </c>
      <c r="E7" s="67">
        <v>1.0421580605E10</v>
      </c>
      <c r="G7" s="3" t="s">
        <v>4100</v>
      </c>
      <c r="H7" s="57" t="s">
        <v>47</v>
      </c>
      <c r="I7" s="58">
        <v>33.68</v>
      </c>
      <c r="J7" s="58">
        <v>12.2</v>
      </c>
      <c r="K7" s="59">
        <f t="shared" si="1"/>
        <v>29.57104</v>
      </c>
      <c r="L7" s="60">
        <v>0.145</v>
      </c>
      <c r="M7" s="60">
        <v>0.139</v>
      </c>
      <c r="N7" s="75">
        <v>0.167</v>
      </c>
      <c r="O7" s="60">
        <f t="shared" si="2"/>
        <v>0.153</v>
      </c>
      <c r="P7" s="63">
        <v>90.0</v>
      </c>
      <c r="Q7" s="64">
        <v>89.66</v>
      </c>
      <c r="R7" s="65">
        <v>2624.75</v>
      </c>
      <c r="S7" s="3">
        <v>85.0</v>
      </c>
      <c r="U7" s="67">
        <v>90.0</v>
      </c>
      <c r="V7" s="67">
        <v>1.1023</v>
      </c>
      <c r="Y7" s="67"/>
      <c r="Z7" s="77">
        <v>15.0</v>
      </c>
      <c r="AA7" s="70">
        <f t="shared" si="5"/>
        <v>15</v>
      </c>
      <c r="AB7" s="71">
        <f t="shared" si="6"/>
        <v>274.5113632</v>
      </c>
      <c r="AC7" s="71">
        <f>+(S7-T7)*V7-'data 1'!$F$4</f>
        <v>13.6955</v>
      </c>
      <c r="AD7" s="71">
        <f t="shared" si="7"/>
        <v>-1.377469078</v>
      </c>
      <c r="AE7" s="71">
        <f t="shared" si="8"/>
        <v>-53.4655</v>
      </c>
      <c r="AF7" s="71">
        <f t="shared" si="9"/>
        <v>-20.04119717</v>
      </c>
      <c r="AG7" s="72">
        <f>+IF(D7="RONALD WILLIAN GARIBAY ESCUDERO",AC7+AD7+AE7+AF7+80,AC7+AD7+AE7+AF7)+70-20</f>
        <v>-11.18866624</v>
      </c>
      <c r="AH7" s="52">
        <f t="shared" si="11"/>
        <v>131.8081926</v>
      </c>
      <c r="AI7" s="73">
        <f t="shared" si="12"/>
        <v>11.85863076</v>
      </c>
      <c r="AJ7" s="73">
        <f t="shared" si="13"/>
        <v>139.6077759</v>
      </c>
      <c r="AK7" s="11"/>
      <c r="AL7" s="51">
        <f t="shared" si="14"/>
        <v>8117.586501</v>
      </c>
      <c r="AM7" s="3"/>
      <c r="AN7" s="3"/>
      <c r="AO7" s="58"/>
      <c r="AQ7" s="58"/>
    </row>
    <row r="8" ht="15.75" customHeight="1">
      <c r="A8" s="844" t="s">
        <v>4332</v>
      </c>
      <c r="B8" s="841">
        <v>45616.0</v>
      </c>
      <c r="C8" s="56">
        <v>45607.0</v>
      </c>
      <c r="D8" s="57" t="s">
        <v>38</v>
      </c>
      <c r="E8" s="2">
        <v>2.0606534923E10</v>
      </c>
      <c r="F8" s="57" t="s">
        <v>4333</v>
      </c>
      <c r="G8" s="3">
        <v>150.0</v>
      </c>
      <c r="H8" s="57" t="s">
        <v>40</v>
      </c>
      <c r="I8" s="58">
        <v>12.21</v>
      </c>
      <c r="J8" s="58">
        <v>10.9</v>
      </c>
      <c r="K8" s="59">
        <f t="shared" si="1"/>
        <v>10.87911</v>
      </c>
      <c r="L8" s="60">
        <v>0.233</v>
      </c>
      <c r="M8" s="60">
        <v>0.224</v>
      </c>
      <c r="N8" s="62">
        <v>0.224</v>
      </c>
      <c r="O8" s="60">
        <f t="shared" si="2"/>
        <v>0.224</v>
      </c>
      <c r="P8" s="63">
        <v>90.0</v>
      </c>
      <c r="Q8" s="64">
        <v>89.23</v>
      </c>
      <c r="R8" s="65">
        <v>2624.75</v>
      </c>
      <c r="S8" s="76">
        <v>120.0</v>
      </c>
      <c r="U8" s="67">
        <v>100.0</v>
      </c>
      <c r="V8" s="67">
        <v>1.1023</v>
      </c>
      <c r="Y8" s="68">
        <v>20.0</v>
      </c>
      <c r="Z8" s="69">
        <f t="shared" ref="Z8:Z13" si="15">IF(IF(D8="UNTUCA",IF(+((W8-3)*1.5+(X8-3)*3.1)&gt;0,+((W8-3)*1.5+(X8-3)*3.1),0),IF(+((W8-3)*1.5+(X8-3)*3.1)&gt;0,+((W8-3)*1.5+(X8-3)*3.1),0))&lt;30,30,IF(D8="UNTUCA",IF(+((W8-3)*1.5+(X8-3)*3.1)&gt;0,+((W8-3)*1.5+(X8-3)*3.1),0),IF(+((W8-3)*1.5+(X8-3)*3.1)&gt;0,+((W8-3)*1.5+(X8-3)*3.1),0)))</f>
        <v>30</v>
      </c>
      <c r="AA8" s="70">
        <f t="shared" si="5"/>
        <v>50</v>
      </c>
      <c r="AB8" s="71">
        <f t="shared" si="6"/>
        <v>373.6682361</v>
      </c>
      <c r="AC8" s="71">
        <f>+(S8-T8)*V8-'data 1'!$F$4</f>
        <v>52.276</v>
      </c>
      <c r="AD8" s="71">
        <f t="shared" si="7"/>
        <v>-4.993037577</v>
      </c>
      <c r="AE8" s="71">
        <f t="shared" si="8"/>
        <v>-14.885</v>
      </c>
      <c r="AF8" s="71">
        <f t="shared" si="9"/>
        <v>22.34969448</v>
      </c>
      <c r="AG8" s="72">
        <f t="shared" ref="AG8:AG13" si="16">+IF(D8="RONALD WILLIAN GARIBAY ESCUDERO",AC8+AD8+AE8+AF8+70,AC8+AD8+AE8+AF8)</f>
        <v>54.7476569</v>
      </c>
      <c r="AH8" s="52">
        <f t="shared" si="11"/>
        <v>77.54775888</v>
      </c>
      <c r="AI8" s="73">
        <f t="shared" si="12"/>
        <v>21.25595097</v>
      </c>
      <c r="AJ8" s="73">
        <f t="shared" si="13"/>
        <v>75.19569281</v>
      </c>
      <c r="AK8" s="11"/>
      <c r="AL8" s="51">
        <f t="shared" si="14"/>
        <v>4065.177844</v>
      </c>
      <c r="AM8" s="3"/>
      <c r="AN8" s="3"/>
      <c r="AO8" s="58"/>
      <c r="AQ8" s="58"/>
    </row>
    <row r="9" ht="15.75" customHeight="1">
      <c r="A9" s="844" t="s">
        <v>4334</v>
      </c>
      <c r="B9" s="841">
        <v>45616.0</v>
      </c>
      <c r="C9" s="56">
        <v>45607.0</v>
      </c>
      <c r="D9" s="57" t="s">
        <v>38</v>
      </c>
      <c r="E9" s="2">
        <v>2.0606534923E10</v>
      </c>
      <c r="F9" s="57" t="s">
        <v>4333</v>
      </c>
      <c r="G9" s="3">
        <v>150.0</v>
      </c>
      <c r="H9" s="57" t="s">
        <v>40</v>
      </c>
      <c r="I9" s="58">
        <v>12.44</v>
      </c>
      <c r="J9" s="58">
        <v>8.2</v>
      </c>
      <c r="K9" s="59">
        <f t="shared" si="1"/>
        <v>11.41992</v>
      </c>
      <c r="L9" s="60">
        <v>0.242</v>
      </c>
      <c r="M9" s="60">
        <v>0.232</v>
      </c>
      <c r="N9" s="75">
        <v>0.256</v>
      </c>
      <c r="O9" s="60">
        <f t="shared" si="2"/>
        <v>0.244</v>
      </c>
      <c r="P9" s="63">
        <v>90.0</v>
      </c>
      <c r="Q9" s="64">
        <v>89.55</v>
      </c>
      <c r="R9" s="65">
        <v>2624.75</v>
      </c>
      <c r="S9" s="76">
        <v>120.0</v>
      </c>
      <c r="U9" s="67">
        <v>100.0</v>
      </c>
      <c r="V9" s="67">
        <v>1.1023</v>
      </c>
      <c r="Y9" s="68">
        <v>20.0</v>
      </c>
      <c r="Z9" s="69">
        <f t="shared" si="15"/>
        <v>30</v>
      </c>
      <c r="AA9" s="70">
        <f t="shared" si="5"/>
        <v>50</v>
      </c>
      <c r="AB9" s="71">
        <f t="shared" si="6"/>
        <v>423.7628107</v>
      </c>
      <c r="AC9" s="71">
        <f>+(S9-T9)*V9-'data 1'!$F$4</f>
        <v>52.276</v>
      </c>
      <c r="AD9" s="71">
        <f t="shared" si="7"/>
        <v>-3.030721766</v>
      </c>
      <c r="AE9" s="71">
        <f t="shared" si="8"/>
        <v>-14.885</v>
      </c>
      <c r="AF9" s="71">
        <f t="shared" si="9"/>
        <v>-4.984410178</v>
      </c>
      <c r="AG9" s="72">
        <f t="shared" si="16"/>
        <v>29.37586806</v>
      </c>
      <c r="AH9" s="52">
        <f t="shared" si="11"/>
        <v>84.85024233</v>
      </c>
      <c r="AI9" s="73">
        <f t="shared" si="12"/>
        <v>22.15616965</v>
      </c>
      <c r="AJ9" s="73">
        <f t="shared" si="13"/>
        <v>85.98139096</v>
      </c>
      <c r="AK9" s="11"/>
      <c r="AL9" s="51">
        <f t="shared" si="14"/>
        <v>4839.337398</v>
      </c>
      <c r="AM9" s="3"/>
      <c r="AN9" s="3"/>
      <c r="AO9" s="58"/>
      <c r="AQ9" s="58"/>
    </row>
    <row r="10" ht="15.75" customHeight="1">
      <c r="A10" s="844" t="s">
        <v>4335</v>
      </c>
      <c r="B10" s="841">
        <v>45616.0</v>
      </c>
      <c r="C10" s="56">
        <v>45607.0</v>
      </c>
      <c r="D10" s="57" t="s">
        <v>38</v>
      </c>
      <c r="E10" s="2">
        <v>2.0606534923E10</v>
      </c>
      <c r="F10" s="57" t="s">
        <v>4333</v>
      </c>
      <c r="G10" s="3">
        <v>150.0</v>
      </c>
      <c r="H10" s="57" t="s">
        <v>40</v>
      </c>
      <c r="I10" s="58">
        <v>11.85</v>
      </c>
      <c r="J10" s="58">
        <v>9.2</v>
      </c>
      <c r="K10" s="59">
        <f t="shared" si="1"/>
        <v>10.7598</v>
      </c>
      <c r="L10" s="60">
        <v>0.17</v>
      </c>
      <c r="M10" s="60">
        <v>0.163</v>
      </c>
      <c r="N10" s="75">
        <v>0.205</v>
      </c>
      <c r="O10" s="60">
        <f t="shared" si="2"/>
        <v>0.184</v>
      </c>
      <c r="P10" s="63">
        <v>90.0</v>
      </c>
      <c r="Q10" s="64">
        <v>89.42</v>
      </c>
      <c r="R10" s="65">
        <v>2624.75</v>
      </c>
      <c r="S10" s="76">
        <v>120.0</v>
      </c>
      <c r="U10" s="67">
        <v>100.0</v>
      </c>
      <c r="V10" s="67">
        <v>1.1023</v>
      </c>
      <c r="Y10" s="68">
        <v>20.0</v>
      </c>
      <c r="Z10" s="69">
        <f t="shared" si="15"/>
        <v>30</v>
      </c>
      <c r="AA10" s="70">
        <f t="shared" si="5"/>
        <v>50</v>
      </c>
      <c r="AB10" s="71">
        <f t="shared" si="6"/>
        <v>273.4790868</v>
      </c>
      <c r="AC10" s="71">
        <f>+(S10-T10)*V10-'data 1'!$F$4</f>
        <v>52.276</v>
      </c>
      <c r="AD10" s="71">
        <f t="shared" si="7"/>
        <v>-2.744069478</v>
      </c>
      <c r="AE10" s="71">
        <f t="shared" si="8"/>
        <v>-14.885</v>
      </c>
      <c r="AF10" s="71">
        <f t="shared" si="9"/>
        <v>-34.84022006</v>
      </c>
      <c r="AG10" s="72">
        <f t="shared" si="16"/>
        <v>-0.1932895407</v>
      </c>
      <c r="AH10" s="52">
        <f t="shared" si="11"/>
        <v>56.07856024</v>
      </c>
      <c r="AI10" s="73">
        <f t="shared" si="12"/>
        <v>15.54165674</v>
      </c>
      <c r="AJ10" s="73">
        <f t="shared" si="13"/>
        <v>61.09048888</v>
      </c>
      <c r="AK10" s="11"/>
      <c r="AL10" s="51">
        <f t="shared" si="14"/>
        <v>2942.580278</v>
      </c>
      <c r="AM10" s="3"/>
      <c r="AN10" s="3"/>
      <c r="AO10" s="58"/>
      <c r="AQ10" s="58"/>
    </row>
    <row r="11" ht="15.75" customHeight="1">
      <c r="A11" s="844" t="s">
        <v>4336</v>
      </c>
      <c r="B11" s="841">
        <v>45616.0</v>
      </c>
      <c r="C11" s="56">
        <v>45607.0</v>
      </c>
      <c r="D11" s="57" t="s">
        <v>38</v>
      </c>
      <c r="E11" s="2">
        <v>2.0606534923E10</v>
      </c>
      <c r="F11" s="57" t="s">
        <v>4333</v>
      </c>
      <c r="G11" s="3">
        <v>150.0</v>
      </c>
      <c r="H11" s="57" t="s">
        <v>40</v>
      </c>
      <c r="I11" s="58">
        <v>12.09</v>
      </c>
      <c r="J11" s="58">
        <v>9.3</v>
      </c>
      <c r="K11" s="59">
        <f t="shared" si="1"/>
        <v>10.96563</v>
      </c>
      <c r="L11" s="60">
        <v>0.207</v>
      </c>
      <c r="M11" s="60">
        <v>0.199</v>
      </c>
      <c r="N11" s="75">
        <v>0.224</v>
      </c>
      <c r="O11" s="60">
        <f t="shared" si="2"/>
        <v>0.212</v>
      </c>
      <c r="P11" s="63">
        <v>90.0</v>
      </c>
      <c r="Q11" s="64">
        <v>89.33</v>
      </c>
      <c r="R11" s="65">
        <v>2624.75</v>
      </c>
      <c r="S11" s="76">
        <v>120.0</v>
      </c>
      <c r="U11" s="67">
        <v>100.0</v>
      </c>
      <c r="V11" s="67">
        <v>1.1023</v>
      </c>
      <c r="Y11" s="68">
        <v>20.0</v>
      </c>
      <c r="Z11" s="69">
        <f t="shared" si="15"/>
        <v>30</v>
      </c>
      <c r="AA11" s="70">
        <f t="shared" si="5"/>
        <v>50</v>
      </c>
      <c r="AB11" s="71">
        <f t="shared" si="6"/>
        <v>343.6114913</v>
      </c>
      <c r="AC11" s="71">
        <f>+(S11-T11)*V11-'data 1'!$F$4</f>
        <v>52.276</v>
      </c>
      <c r="AD11" s="71">
        <f t="shared" si="7"/>
        <v>-3.859786977</v>
      </c>
      <c r="AE11" s="71">
        <f t="shared" si="8"/>
        <v>-14.885</v>
      </c>
      <c r="AF11" s="71">
        <f t="shared" si="9"/>
        <v>-12.43041209</v>
      </c>
      <c r="AG11" s="72">
        <f t="shared" si="16"/>
        <v>21.10080093</v>
      </c>
      <c r="AH11" s="52">
        <f t="shared" si="11"/>
        <v>69.52009176</v>
      </c>
      <c r="AI11" s="73">
        <f t="shared" si="12"/>
        <v>18.90520561</v>
      </c>
      <c r="AJ11" s="73">
        <f t="shared" si="13"/>
        <v>71.73333586</v>
      </c>
      <c r="AK11" s="11"/>
      <c r="AL11" s="51">
        <f t="shared" si="14"/>
        <v>3767.916477</v>
      </c>
      <c r="AM11" s="3"/>
      <c r="AN11" s="3"/>
      <c r="AO11" s="58"/>
      <c r="AQ11" s="58"/>
    </row>
    <row r="12" ht="15.75" customHeight="1">
      <c r="A12" s="844" t="s">
        <v>4337</v>
      </c>
      <c r="B12" s="841">
        <v>45616.0</v>
      </c>
      <c r="C12" s="56">
        <v>45607.0</v>
      </c>
      <c r="D12" s="57" t="s">
        <v>38</v>
      </c>
      <c r="E12" s="2">
        <v>2.0606534923E10</v>
      </c>
      <c r="F12" s="57" t="s">
        <v>4333</v>
      </c>
      <c r="G12" s="3">
        <v>150.0</v>
      </c>
      <c r="H12" s="57" t="s">
        <v>40</v>
      </c>
      <c r="I12" s="58">
        <v>13.51</v>
      </c>
      <c r="J12" s="58">
        <v>19.2</v>
      </c>
      <c r="K12" s="59">
        <f t="shared" si="1"/>
        <v>10.91608</v>
      </c>
      <c r="L12" s="60">
        <v>0.206</v>
      </c>
      <c r="M12" s="60">
        <v>0.198</v>
      </c>
      <c r="N12" s="75">
        <v>0.219</v>
      </c>
      <c r="O12" s="60">
        <f t="shared" si="2"/>
        <v>0.209</v>
      </c>
      <c r="P12" s="63">
        <v>90.0</v>
      </c>
      <c r="Q12" s="64">
        <v>89.74</v>
      </c>
      <c r="R12" s="65">
        <v>2624.75</v>
      </c>
      <c r="S12" s="76">
        <v>120.0</v>
      </c>
      <c r="U12" s="67">
        <v>100.0</v>
      </c>
      <c r="V12" s="67">
        <v>1.1023</v>
      </c>
      <c r="Y12" s="68">
        <v>20.0</v>
      </c>
      <c r="Z12" s="69">
        <f t="shared" si="15"/>
        <v>30</v>
      </c>
      <c r="AA12" s="70">
        <f t="shared" si="5"/>
        <v>50</v>
      </c>
      <c r="AB12" s="71">
        <f t="shared" si="6"/>
        <v>336.0973051</v>
      </c>
      <c r="AC12" s="71">
        <f>+(S12-T12)*V12-'data 1'!$F$4</f>
        <v>52.276</v>
      </c>
      <c r="AD12" s="71">
        <f t="shared" si="7"/>
        <v>-1.490591899</v>
      </c>
      <c r="AE12" s="71">
        <f t="shared" si="8"/>
        <v>-14.885</v>
      </c>
      <c r="AF12" s="71">
        <f t="shared" si="9"/>
        <v>-7.492478548</v>
      </c>
      <c r="AG12" s="72">
        <f t="shared" si="16"/>
        <v>28.40792955</v>
      </c>
      <c r="AH12" s="52">
        <f t="shared" si="11"/>
        <v>69.18772724</v>
      </c>
      <c r="AI12" s="73">
        <f t="shared" si="12"/>
        <v>18.90022661</v>
      </c>
      <c r="AJ12" s="73">
        <f t="shared" si="13"/>
        <v>70.3986895</v>
      </c>
      <c r="AK12" s="11"/>
      <c r="AL12" s="51">
        <f t="shared" si="14"/>
        <v>3668.86507</v>
      </c>
      <c r="AM12" s="3"/>
      <c r="AN12" s="3"/>
      <c r="AO12" s="58"/>
      <c r="AQ12" s="58"/>
    </row>
    <row r="13" ht="15.75" customHeight="1">
      <c r="A13" s="844" t="s">
        <v>4338</v>
      </c>
      <c r="B13" s="841">
        <v>45616.0</v>
      </c>
      <c r="C13" s="56">
        <v>45607.0</v>
      </c>
      <c r="D13" s="57" t="s">
        <v>38</v>
      </c>
      <c r="E13" s="2">
        <v>2.0606534923E10</v>
      </c>
      <c r="F13" s="57" t="s">
        <v>4333</v>
      </c>
      <c r="G13" s="3">
        <v>150.0</v>
      </c>
      <c r="H13" s="57" t="s">
        <v>40</v>
      </c>
      <c r="I13" s="58">
        <v>11.1</v>
      </c>
      <c r="J13" s="58">
        <v>9.7</v>
      </c>
      <c r="K13" s="59">
        <f t="shared" si="1"/>
        <v>10.0233</v>
      </c>
      <c r="L13" s="60">
        <v>0.19</v>
      </c>
      <c r="M13" s="60">
        <v>0.182</v>
      </c>
      <c r="N13" s="75">
        <v>0.193</v>
      </c>
      <c r="O13" s="60">
        <f t="shared" si="2"/>
        <v>0.188</v>
      </c>
      <c r="P13" s="63">
        <v>90.0</v>
      </c>
      <c r="Q13" s="64">
        <v>89.25</v>
      </c>
      <c r="R13" s="65">
        <v>2624.75</v>
      </c>
      <c r="S13" s="76">
        <v>120.0</v>
      </c>
      <c r="U13" s="67">
        <v>100.0</v>
      </c>
      <c r="V13" s="67">
        <v>1.1023</v>
      </c>
      <c r="Y13" s="68">
        <v>20.0</v>
      </c>
      <c r="Z13" s="69">
        <f t="shared" si="15"/>
        <v>30</v>
      </c>
      <c r="AA13" s="70">
        <f t="shared" si="5"/>
        <v>50</v>
      </c>
      <c r="AB13" s="71">
        <f t="shared" si="6"/>
        <v>283.4980017</v>
      </c>
      <c r="AC13" s="71">
        <f>+(S13-T13)*V13-'data 1'!$F$4</f>
        <v>52.276</v>
      </c>
      <c r="AD13" s="71">
        <f t="shared" si="7"/>
        <v>-3.965820493</v>
      </c>
      <c r="AE13" s="71">
        <f t="shared" si="8"/>
        <v>-14.885</v>
      </c>
      <c r="AF13" s="71">
        <f t="shared" si="9"/>
        <v>4.967711986</v>
      </c>
      <c r="AG13" s="72">
        <f t="shared" si="16"/>
        <v>38.39289149</v>
      </c>
      <c r="AH13" s="52">
        <f t="shared" si="11"/>
        <v>58.2749117</v>
      </c>
      <c r="AI13" s="73">
        <f t="shared" si="12"/>
        <v>17.33706396</v>
      </c>
      <c r="AJ13" s="73">
        <f t="shared" si="13"/>
        <v>58.14604192</v>
      </c>
      <c r="AK13" s="11"/>
      <c r="AL13" s="51">
        <f t="shared" si="14"/>
        <v>2841.585521</v>
      </c>
      <c r="AM13" s="3"/>
      <c r="AN13" s="3"/>
      <c r="AO13" s="58"/>
      <c r="AQ13" s="58"/>
    </row>
    <row r="14" ht="15.75" customHeight="1">
      <c r="A14" s="844" t="s">
        <v>4339</v>
      </c>
      <c r="B14" s="841">
        <v>45616.0</v>
      </c>
      <c r="C14" s="56">
        <v>45608.0</v>
      </c>
      <c r="D14" s="57" t="s">
        <v>3847</v>
      </c>
      <c r="E14" s="67">
        <v>2.0611424541E10</v>
      </c>
      <c r="G14" s="3" t="s">
        <v>4100</v>
      </c>
      <c r="H14" s="57" t="s">
        <v>47</v>
      </c>
      <c r="I14" s="58">
        <v>10.39</v>
      </c>
      <c r="J14" s="58">
        <v>2.0</v>
      </c>
      <c r="K14" s="59">
        <f t="shared" si="1"/>
        <v>10.1822</v>
      </c>
      <c r="L14" s="60">
        <v>0.258</v>
      </c>
      <c r="M14" s="60">
        <v>0.248</v>
      </c>
      <c r="N14" s="62">
        <v>0.248</v>
      </c>
      <c r="O14" s="60">
        <f t="shared" si="2"/>
        <v>0.248</v>
      </c>
      <c r="P14" s="63">
        <v>90.0</v>
      </c>
      <c r="Q14" s="64">
        <v>89.29</v>
      </c>
      <c r="R14" s="65">
        <v>2606.85</v>
      </c>
      <c r="S14" s="96">
        <f>-8+95</f>
        <v>87</v>
      </c>
      <c r="U14" s="67">
        <v>80.0</v>
      </c>
      <c r="V14" s="67">
        <v>1.1023</v>
      </c>
      <c r="Y14" s="67"/>
      <c r="Z14" s="77">
        <v>22.0</v>
      </c>
      <c r="AA14" s="70">
        <f t="shared" si="5"/>
        <v>22</v>
      </c>
      <c r="AB14" s="71">
        <f t="shared" si="6"/>
        <v>501.5386957</v>
      </c>
      <c r="AC14" s="71">
        <f>+(S14-T14)*V14-'data 1'!$F$4</f>
        <v>15.9001</v>
      </c>
      <c r="AD14" s="71">
        <f t="shared" si="7"/>
        <v>-5.102198186</v>
      </c>
      <c r="AE14" s="71">
        <f t="shared" si="8"/>
        <v>-45.7494</v>
      </c>
      <c r="AF14" s="71">
        <f t="shared" si="9"/>
        <v>24.87036118</v>
      </c>
      <c r="AG14" s="72">
        <f>+IF(D14="RONALD WILLIAN GARIBAY ESCUDERO",AC14+AD14+AE14+AF14+70,AC14+AD14+AE14+AF14)+70+8</f>
        <v>67.91886299</v>
      </c>
      <c r="AH14" s="52">
        <f t="shared" si="11"/>
        <v>80.42169486</v>
      </c>
      <c r="AI14" s="73">
        <f t="shared" si="12"/>
        <v>23.01919568</v>
      </c>
      <c r="AJ14" s="73">
        <f t="shared" si="13"/>
        <v>77.91927137</v>
      </c>
      <c r="AK14" s="11"/>
      <c r="AL14" s="51">
        <f t="shared" si="14"/>
        <v>5106.767308</v>
      </c>
      <c r="AM14" s="3"/>
      <c r="AN14" s="3"/>
      <c r="AO14" s="58"/>
      <c r="AQ14" s="58"/>
    </row>
    <row r="15" ht="15.75" customHeight="1">
      <c r="A15" s="844" t="s">
        <v>4340</v>
      </c>
      <c r="B15" s="855">
        <v>45609.0</v>
      </c>
      <c r="C15" s="856">
        <v>45609.0</v>
      </c>
      <c r="D15" s="91" t="s">
        <v>53</v>
      </c>
      <c r="E15" s="91">
        <v>1.0457401928E10</v>
      </c>
      <c r="F15" s="67" t="s">
        <v>4341</v>
      </c>
      <c r="G15" s="134">
        <v>36.0</v>
      </c>
      <c r="H15" s="58" t="s">
        <v>47</v>
      </c>
      <c r="I15" s="58">
        <v>2.89</v>
      </c>
      <c r="J15" s="58">
        <v>9.32</v>
      </c>
      <c r="K15" s="59">
        <f t="shared" si="1"/>
        <v>2.620652</v>
      </c>
      <c r="L15" s="106">
        <v>0.14450000000000002</v>
      </c>
      <c r="M15" s="106">
        <v>0.13872</v>
      </c>
      <c r="N15" s="135">
        <v>0.13872</v>
      </c>
      <c r="O15" s="106">
        <f t="shared" si="2"/>
        <v>0.139</v>
      </c>
      <c r="P15" s="136">
        <v>85.0</v>
      </c>
      <c r="Q15" s="67">
        <v>89.31</v>
      </c>
      <c r="R15" s="70">
        <v>2742.6</v>
      </c>
      <c r="S15" s="134">
        <v>105.0</v>
      </c>
      <c r="T15" s="67"/>
      <c r="U15" s="67">
        <v>130.0</v>
      </c>
      <c r="V15" s="67">
        <v>1.1023</v>
      </c>
      <c r="W15" s="67"/>
      <c r="X15" s="67"/>
      <c r="Y15" s="67">
        <v>15.0</v>
      </c>
      <c r="Z15" s="69">
        <f t="shared" ref="Z15:Z20" si="17">IF(IF(D15="UNTUCA",IF(+((W15-3)*1.5+(X15-3)*3.1)&gt;0,+((W15-3)*1.5+(X15-3)*3.1),0),IF(+((W15-3)*1.5+(X15-3)*3.1)&gt;0,+((W15-3)*1.5+(X15-3)*3.1),0))&lt;30,30,IF(D15="UNTUCA",IF(+((W15-3)*1.5+(X15-3)*3.1)&gt;0,+((W15-3)*1.5+(X15-3)*3.1),0),IF(+((W15-3)*1.5+(X15-3)*3.1)&gt;0,+((W15-3)*1.5+(X15-3)*3.1),0)))</f>
        <v>30</v>
      </c>
      <c r="AA15" s="70">
        <f t="shared" si="5"/>
        <v>45</v>
      </c>
      <c r="AB15" s="71">
        <f t="shared" si="6"/>
        <v>174.91152</v>
      </c>
      <c r="AC15" s="71">
        <f>+(S15-T15)*V15-'data 1'!$F$4</f>
        <v>35.7415</v>
      </c>
      <c r="AD15" s="71">
        <f t="shared" si="7"/>
        <v>17.93568001</v>
      </c>
      <c r="AE15" s="71">
        <f t="shared" si="8"/>
        <v>-20.3965</v>
      </c>
      <c r="AF15" s="71">
        <f t="shared" si="9"/>
        <v>14.14606042</v>
      </c>
      <c r="AG15" s="72">
        <f t="shared" ref="AG15:AG20" si="18">+IF(D15="RONALD WILLIAN GARIBAY ESCUDERO",AC15+AD15+AE15+AF15+70,AC15+AD15+AE15+AF15)</f>
        <v>47.42674044</v>
      </c>
      <c r="AH15" s="52">
        <f t="shared" si="11"/>
        <v>11.59541669</v>
      </c>
      <c r="AI15" s="73">
        <f t="shared" si="12"/>
        <v>0.6970498272</v>
      </c>
      <c r="AJ15" s="73">
        <f t="shared" si="13"/>
        <v>10.61578586</v>
      </c>
      <c r="AK15" s="53"/>
      <c r="AL15" s="51">
        <f t="shared" si="14"/>
        <v>458.3822247</v>
      </c>
      <c r="AM15" s="3"/>
      <c r="AN15" s="3"/>
    </row>
    <row r="16" ht="15.75" customHeight="1">
      <c r="A16" s="844" t="s">
        <v>4342</v>
      </c>
      <c r="B16" s="855">
        <v>45609.0</v>
      </c>
      <c r="C16" s="856">
        <v>45608.0</v>
      </c>
      <c r="D16" s="91" t="s">
        <v>53</v>
      </c>
      <c r="E16" s="91">
        <v>1.0457401928E10</v>
      </c>
      <c r="F16" s="2" t="s">
        <v>4343</v>
      </c>
      <c r="G16" s="3">
        <v>28.0</v>
      </c>
      <c r="H16" s="58" t="s">
        <v>47</v>
      </c>
      <c r="I16" s="58">
        <v>2.16</v>
      </c>
      <c r="J16" s="58">
        <v>5.65</v>
      </c>
      <c r="K16" s="59">
        <f t="shared" si="1"/>
        <v>2.03796</v>
      </c>
      <c r="L16" s="60">
        <v>0.475</v>
      </c>
      <c r="M16" s="60">
        <v>0.45599999999999996</v>
      </c>
      <c r="N16" s="75">
        <v>0.487</v>
      </c>
      <c r="O16" s="60">
        <f t="shared" si="2"/>
        <v>0.472</v>
      </c>
      <c r="P16" s="63">
        <v>90.0</v>
      </c>
      <c r="Q16" s="64">
        <v>89.26</v>
      </c>
      <c r="R16" s="65">
        <v>2742.6</v>
      </c>
      <c r="S16" s="66">
        <f t="shared" ref="S16:S19" si="19">IF((90+ROUNDDOWN(O16,1)*100)&lt;95,95,(90+ROUNDDOWN(O16,1)*100))</f>
        <v>130</v>
      </c>
      <c r="U16" s="67">
        <v>130.0</v>
      </c>
      <c r="V16" s="67">
        <v>1.1023</v>
      </c>
      <c r="Y16" s="68">
        <v>30.0</v>
      </c>
      <c r="Z16" s="69">
        <f t="shared" si="17"/>
        <v>30</v>
      </c>
      <c r="AA16" s="70">
        <f t="shared" si="5"/>
        <v>60</v>
      </c>
      <c r="AB16" s="71">
        <f t="shared" si="6"/>
        <v>1013.931343</v>
      </c>
      <c r="AC16" s="71">
        <f>+(S16-T16)*V16-'data 1'!$F$4</f>
        <v>63.299</v>
      </c>
      <c r="AD16" s="71">
        <f t="shared" si="7"/>
        <v>-10.12273946</v>
      </c>
      <c r="AE16" s="71">
        <f t="shared" si="8"/>
        <v>-3.862</v>
      </c>
      <c r="AF16" s="71">
        <f t="shared" si="9"/>
        <v>7.711713155</v>
      </c>
      <c r="AG16" s="72">
        <f t="shared" si="18"/>
        <v>57.02597369</v>
      </c>
      <c r="AH16" s="52">
        <f t="shared" si="11"/>
        <v>29.62478567</v>
      </c>
      <c r="AI16" s="73">
        <f t="shared" si="12"/>
        <v>2.290057461</v>
      </c>
      <c r="AJ16" s="73">
        <f t="shared" si="13"/>
        <v>29.68173156</v>
      </c>
      <c r="AK16" s="53"/>
      <c r="AL16" s="51">
        <f t="shared" si="14"/>
        <v>2066.351519</v>
      </c>
      <c r="AM16" s="3"/>
      <c r="AN16" s="3"/>
    </row>
    <row r="17" ht="15.75" customHeight="1">
      <c r="A17" s="844" t="s">
        <v>4344</v>
      </c>
      <c r="B17" s="855">
        <v>45609.0</v>
      </c>
      <c r="C17" s="856">
        <v>45608.0</v>
      </c>
      <c r="D17" s="91" t="s">
        <v>53</v>
      </c>
      <c r="E17" s="91">
        <v>1.0457401928E10</v>
      </c>
      <c r="F17" s="2" t="s">
        <v>4345</v>
      </c>
      <c r="G17" s="3">
        <v>83.0</v>
      </c>
      <c r="H17" s="58" t="s">
        <v>47</v>
      </c>
      <c r="I17" s="58">
        <v>6.73</v>
      </c>
      <c r="J17" s="58">
        <v>4.55</v>
      </c>
      <c r="K17" s="59">
        <f t="shared" si="1"/>
        <v>6.423785</v>
      </c>
      <c r="L17" s="60">
        <v>0.339</v>
      </c>
      <c r="M17" s="60">
        <v>0.32544</v>
      </c>
      <c r="N17" s="75">
        <v>0.369</v>
      </c>
      <c r="O17" s="60">
        <f t="shared" si="2"/>
        <v>0.347</v>
      </c>
      <c r="P17" s="63">
        <v>90.0</v>
      </c>
      <c r="Q17" s="64">
        <v>89.74</v>
      </c>
      <c r="R17" s="65">
        <v>2742.6</v>
      </c>
      <c r="S17" s="66">
        <f t="shared" si="19"/>
        <v>120</v>
      </c>
      <c r="U17" s="67">
        <v>130.0</v>
      </c>
      <c r="V17" s="67">
        <v>1.1023</v>
      </c>
      <c r="Y17" s="68">
        <v>30.0</v>
      </c>
      <c r="Z17" s="69">
        <f t="shared" si="17"/>
        <v>30</v>
      </c>
      <c r="AA17" s="70">
        <f t="shared" si="5"/>
        <v>60</v>
      </c>
      <c r="AB17" s="71">
        <f t="shared" si="6"/>
        <v>700.9690825</v>
      </c>
      <c r="AC17" s="71">
        <f>+(S17-T17)*V17-'data 1'!$F$4</f>
        <v>52.276</v>
      </c>
      <c r="AD17" s="71">
        <f t="shared" si="7"/>
        <v>-2.538316519</v>
      </c>
      <c r="AE17" s="71">
        <f t="shared" si="8"/>
        <v>-3.862</v>
      </c>
      <c r="AF17" s="71">
        <f t="shared" si="9"/>
        <v>-20.67515538</v>
      </c>
      <c r="AG17" s="72">
        <f t="shared" si="18"/>
        <v>25.2005281</v>
      </c>
      <c r="AH17" s="52">
        <f t="shared" si="11"/>
        <v>67.00170118</v>
      </c>
      <c r="AI17" s="73">
        <f t="shared" si="12"/>
        <v>1.643166798</v>
      </c>
      <c r="AJ17" s="73">
        <f t="shared" si="13"/>
        <v>68.78156457</v>
      </c>
      <c r="AK17" s="53"/>
      <c r="AL17" s="51">
        <f t="shared" si="14"/>
        <v>4502.874677</v>
      </c>
      <c r="AM17" s="3"/>
      <c r="AN17" s="3"/>
    </row>
    <row r="18" ht="15.75" customHeight="1">
      <c r="A18" s="844" t="s">
        <v>4346</v>
      </c>
      <c r="B18" s="855">
        <v>45609.0</v>
      </c>
      <c r="C18" s="856">
        <v>45608.0</v>
      </c>
      <c r="D18" s="91" t="s">
        <v>53</v>
      </c>
      <c r="E18" s="91">
        <v>1.0457401928E10</v>
      </c>
      <c r="F18" s="2" t="s">
        <v>4347</v>
      </c>
      <c r="G18" s="3">
        <v>78.0</v>
      </c>
      <c r="H18" s="58" t="s">
        <v>47</v>
      </c>
      <c r="I18" s="58">
        <v>5.73</v>
      </c>
      <c r="J18" s="58">
        <v>4.7</v>
      </c>
      <c r="K18" s="59">
        <f t="shared" si="1"/>
        <v>5.46069</v>
      </c>
      <c r="L18" s="60">
        <v>0.20950000000000002</v>
      </c>
      <c r="M18" s="60">
        <v>0.20112000000000002</v>
      </c>
      <c r="N18" s="75">
        <v>0.267</v>
      </c>
      <c r="O18" s="60">
        <f t="shared" si="2"/>
        <v>0.234</v>
      </c>
      <c r="P18" s="63">
        <v>90.0</v>
      </c>
      <c r="Q18" s="64">
        <v>89.61</v>
      </c>
      <c r="R18" s="65">
        <v>2742.6</v>
      </c>
      <c r="S18" s="66">
        <f t="shared" si="19"/>
        <v>110</v>
      </c>
      <c r="U18" s="67">
        <v>130.0</v>
      </c>
      <c r="V18" s="67">
        <v>1.1023</v>
      </c>
      <c r="Y18" s="68">
        <v>45.0</v>
      </c>
      <c r="Z18" s="69">
        <f t="shared" si="17"/>
        <v>30</v>
      </c>
      <c r="AA18" s="70">
        <f t="shared" si="5"/>
        <v>75</v>
      </c>
      <c r="AB18" s="71">
        <f t="shared" si="6"/>
        <v>402.5749072</v>
      </c>
      <c r="AC18" s="71">
        <f>+(S18-T18)*V18-'data 1'!$F$4</f>
        <v>41.253</v>
      </c>
      <c r="AD18" s="71">
        <f t="shared" si="7"/>
        <v>-2.35299695</v>
      </c>
      <c r="AE18" s="71">
        <f t="shared" si="8"/>
        <v>12.6725</v>
      </c>
      <c r="AF18" s="71">
        <f t="shared" si="9"/>
        <v>-63.22593953</v>
      </c>
      <c r="AG18" s="72">
        <f t="shared" si="18"/>
        <v>-11.65343648</v>
      </c>
      <c r="AH18" s="52">
        <f t="shared" si="11"/>
        <v>35.14771502</v>
      </c>
      <c r="AI18" s="73">
        <f t="shared" si="12"/>
        <v>1.013996351</v>
      </c>
      <c r="AJ18" s="73">
        <f t="shared" si="13"/>
        <v>39.42892702</v>
      </c>
      <c r="AK18" s="53"/>
      <c r="AL18" s="51">
        <f t="shared" si="14"/>
        <v>2198.33677</v>
      </c>
      <c r="AM18" s="3"/>
      <c r="AN18" s="3"/>
    </row>
    <row r="19" ht="15.75" customHeight="1">
      <c r="A19" s="92" t="s">
        <v>4348</v>
      </c>
      <c r="B19" s="855">
        <v>45609.0</v>
      </c>
      <c r="C19" s="856">
        <v>45609.0</v>
      </c>
      <c r="D19" s="91" t="s">
        <v>53</v>
      </c>
      <c r="E19" s="91">
        <v>1.0457401928E10</v>
      </c>
      <c r="F19" s="57">
        <v>671.0</v>
      </c>
      <c r="G19" s="3" t="s">
        <v>4100</v>
      </c>
      <c r="H19" s="58" t="s">
        <v>47</v>
      </c>
      <c r="I19" s="58">
        <v>34.68</v>
      </c>
      <c r="J19" s="58">
        <v>3.45</v>
      </c>
      <c r="K19" s="59">
        <f t="shared" si="1"/>
        <v>33.48354</v>
      </c>
      <c r="L19" s="60">
        <v>0.15550000000000003</v>
      </c>
      <c r="M19" s="60">
        <v>0.14928000000000002</v>
      </c>
      <c r="N19" s="62">
        <v>0.15</v>
      </c>
      <c r="O19" s="60">
        <f t="shared" si="2"/>
        <v>0.15</v>
      </c>
      <c r="P19" s="63">
        <v>85.0</v>
      </c>
      <c r="Q19" s="64">
        <v>89.63</v>
      </c>
      <c r="R19" s="65">
        <v>2742.55</v>
      </c>
      <c r="S19" s="66">
        <f t="shared" si="19"/>
        <v>100</v>
      </c>
      <c r="U19" s="67">
        <v>100.0</v>
      </c>
      <c r="V19" s="67">
        <v>1.1023</v>
      </c>
      <c r="Y19" s="68"/>
      <c r="Z19" s="69">
        <f t="shared" si="17"/>
        <v>30</v>
      </c>
      <c r="AA19" s="70">
        <f t="shared" si="5"/>
        <v>30</v>
      </c>
      <c r="AB19" s="71">
        <f t="shared" si="6"/>
        <v>228.0935653</v>
      </c>
      <c r="AC19" s="71">
        <f>+(S19-T19)*V19-'data 1'!$F$4</f>
        <v>30.23</v>
      </c>
      <c r="AD19" s="71">
        <f t="shared" si="7"/>
        <v>20.97173712</v>
      </c>
      <c r="AE19" s="71">
        <f t="shared" si="8"/>
        <v>-36.931</v>
      </c>
      <c r="AF19" s="71">
        <f t="shared" si="9"/>
        <v>14.35949302</v>
      </c>
      <c r="AG19" s="72">
        <f t="shared" si="18"/>
        <v>28.63023013</v>
      </c>
      <c r="AH19" s="52">
        <f t="shared" si="11"/>
        <v>160.0015633</v>
      </c>
      <c r="AI19" s="73">
        <f t="shared" si="12"/>
        <v>-3.848498551</v>
      </c>
      <c r="AJ19" s="73">
        <f t="shared" si="13"/>
        <v>146.3695107</v>
      </c>
      <c r="AK19" s="53"/>
      <c r="AL19" s="51">
        <f t="shared" si="14"/>
        <v>7637.380017</v>
      </c>
      <c r="AM19" s="3"/>
      <c r="AN19" s="3"/>
    </row>
    <row r="20" ht="15.75" customHeight="1">
      <c r="A20" s="844" t="s">
        <v>4349</v>
      </c>
      <c r="B20" s="855">
        <v>45609.0</v>
      </c>
      <c r="C20" s="856">
        <v>45609.0</v>
      </c>
      <c r="D20" s="91" t="s">
        <v>53</v>
      </c>
      <c r="E20" s="91">
        <v>1.0457401928E10</v>
      </c>
      <c r="F20" s="2" t="s">
        <v>4350</v>
      </c>
      <c r="G20" s="3" t="s">
        <v>4100</v>
      </c>
      <c r="H20" s="58" t="s">
        <v>47</v>
      </c>
      <c r="I20" s="58">
        <v>38.83</v>
      </c>
      <c r="J20" s="58">
        <v>6.3</v>
      </c>
      <c r="K20" s="59">
        <f t="shared" si="1"/>
        <v>36.38371</v>
      </c>
      <c r="L20" s="60">
        <v>0.141</v>
      </c>
      <c r="M20" s="60">
        <v>0.134</v>
      </c>
      <c r="N20" s="62">
        <v>0.134</v>
      </c>
      <c r="O20" s="60">
        <f t="shared" si="2"/>
        <v>0.134</v>
      </c>
      <c r="P20" s="136">
        <v>85.0</v>
      </c>
      <c r="Q20" s="458">
        <v>89.16</v>
      </c>
      <c r="R20" s="70">
        <v>2712.5</v>
      </c>
      <c r="S20" s="3">
        <v>110.0</v>
      </c>
      <c r="U20" s="2">
        <v>100.0</v>
      </c>
      <c r="V20" s="2">
        <v>1.1023</v>
      </c>
      <c r="Y20" s="68">
        <v>0.0</v>
      </c>
      <c r="Z20" s="69">
        <f t="shared" si="17"/>
        <v>30</v>
      </c>
      <c r="AA20" s="70">
        <f t="shared" si="5"/>
        <v>30</v>
      </c>
      <c r="AB20" s="71">
        <f t="shared" si="6"/>
        <v>173.6825216</v>
      </c>
      <c r="AC20" s="71">
        <f>+(S20-T20)*V20-'data 1'!$F$4</f>
        <v>41.253</v>
      </c>
      <c r="AD20" s="71">
        <f t="shared" si="7"/>
        <v>16.89151292</v>
      </c>
      <c r="AE20" s="71">
        <f t="shared" si="8"/>
        <v>-36.931</v>
      </c>
      <c r="AF20" s="71">
        <f t="shared" si="9"/>
        <v>17.97315031</v>
      </c>
      <c r="AG20" s="72">
        <f t="shared" si="18"/>
        <v>39.18666323</v>
      </c>
      <c r="AH20" s="52">
        <f t="shared" si="11"/>
        <v>156.8213626</v>
      </c>
      <c r="AI20" s="73">
        <f t="shared" si="12"/>
        <v>0.6928815294</v>
      </c>
      <c r="AJ20" s="73">
        <f t="shared" si="13"/>
        <v>142.0822333</v>
      </c>
      <c r="AK20" s="11"/>
      <c r="AL20" s="122">
        <f t="shared" si="14"/>
        <v>6319.214499</v>
      </c>
      <c r="AM20" s="3"/>
      <c r="AN20" s="3"/>
    </row>
    <row r="21" ht="15.75" customHeight="1">
      <c r="A21" s="844" t="s">
        <v>4351</v>
      </c>
      <c r="B21" s="841">
        <v>45641.0</v>
      </c>
      <c r="C21" s="56">
        <v>45609.0</v>
      </c>
      <c r="D21" s="57" t="s">
        <v>74</v>
      </c>
      <c r="G21" s="3">
        <v>67.0</v>
      </c>
      <c r="H21" s="57" t="s">
        <v>47</v>
      </c>
      <c r="I21" s="58">
        <v>5.89</v>
      </c>
      <c r="J21" s="58">
        <v>1.3</v>
      </c>
      <c r="K21" s="59">
        <f t="shared" si="1"/>
        <v>5.81343</v>
      </c>
      <c r="L21" s="60">
        <v>0.219</v>
      </c>
      <c r="M21" s="61">
        <v>0.217</v>
      </c>
      <c r="N21" s="61">
        <v>0.217</v>
      </c>
      <c r="O21" s="60">
        <f t="shared" si="2"/>
        <v>0.217</v>
      </c>
      <c r="P21" s="63">
        <v>85.0</v>
      </c>
      <c r="Q21" s="64">
        <v>89.47</v>
      </c>
      <c r="R21" s="65">
        <v>2598.75</v>
      </c>
      <c r="S21" s="86">
        <v>105.0</v>
      </c>
      <c r="U21" s="67">
        <v>80.0</v>
      </c>
      <c r="V21" s="67">
        <v>1.1023</v>
      </c>
      <c r="Y21" s="67"/>
      <c r="Z21" s="77">
        <v>10.0</v>
      </c>
      <c r="AA21" s="70">
        <f t="shared" si="5"/>
        <v>10</v>
      </c>
      <c r="AB21" s="71">
        <f t="shared" si="6"/>
        <v>385.3458232</v>
      </c>
      <c r="AC21" s="71">
        <f>+(S21-T21)*V21-'data 1'!$F$4</f>
        <v>35.7415</v>
      </c>
      <c r="AD21" s="71">
        <f t="shared" si="7"/>
        <v>27.17918995</v>
      </c>
      <c r="AE21" s="71">
        <f t="shared" si="8"/>
        <v>-58.977</v>
      </c>
      <c r="AF21" s="71">
        <f t="shared" si="9"/>
        <v>4.968122593</v>
      </c>
      <c r="AG21" s="72">
        <f>+IF(D21="RONALD WILLIAN GARIBAY ESCUDERO",AC21+AD21+AE21+AF21+80,AC21+AD21+AE21+AF21)+70</f>
        <v>78.91181254</v>
      </c>
      <c r="AH21" s="52">
        <f t="shared" si="11"/>
        <v>39.05377941</v>
      </c>
      <c r="AI21" s="73">
        <f t="shared" si="12"/>
        <v>21.32840918</v>
      </c>
      <c r="AJ21" s="73">
        <f t="shared" si="13"/>
        <v>36.7637815</v>
      </c>
      <c r="AK21" s="11"/>
      <c r="AL21" s="51">
        <f t="shared" si="14"/>
        <v>2240.180969</v>
      </c>
      <c r="AM21" s="3"/>
      <c r="AN21" s="3"/>
    </row>
    <row r="22" ht="15.75" customHeight="1">
      <c r="A22" s="844" t="s">
        <v>4352</v>
      </c>
      <c r="B22" s="841">
        <v>45641.0</v>
      </c>
      <c r="C22" s="56">
        <v>45609.0</v>
      </c>
      <c r="D22" s="57" t="s">
        <v>74</v>
      </c>
      <c r="G22" s="3">
        <v>14.0</v>
      </c>
      <c r="H22" s="57" t="s">
        <v>47</v>
      </c>
      <c r="I22" s="58">
        <v>1.26</v>
      </c>
      <c r="J22" s="58">
        <v>1.1</v>
      </c>
      <c r="K22" s="59">
        <f t="shared" si="1"/>
        <v>1.24614</v>
      </c>
      <c r="L22" s="60">
        <v>0.077</v>
      </c>
      <c r="M22" s="61">
        <v>0.076</v>
      </c>
      <c r="N22" s="61">
        <v>0.076</v>
      </c>
      <c r="O22" s="60">
        <f t="shared" si="2"/>
        <v>0.076</v>
      </c>
      <c r="P22" s="63">
        <v>85.0</v>
      </c>
      <c r="Q22" s="64">
        <v>83.55</v>
      </c>
      <c r="R22" s="65">
        <v>2598.75</v>
      </c>
      <c r="S22" s="86">
        <v>95.0</v>
      </c>
      <c r="U22" s="67">
        <v>80.0</v>
      </c>
      <c r="V22" s="67">
        <v>1.1023</v>
      </c>
      <c r="Y22" s="67"/>
      <c r="Z22" s="77">
        <v>10.0</v>
      </c>
      <c r="AA22" s="70">
        <f t="shared" si="5"/>
        <v>10</v>
      </c>
      <c r="AB22" s="71">
        <f t="shared" si="6"/>
        <v>63.61511088</v>
      </c>
      <c r="AC22" s="71">
        <f>+(S22-T22)*V22-'data 1'!$F$4</f>
        <v>24.7185</v>
      </c>
      <c r="AD22" s="71">
        <f t="shared" si="7"/>
        <v>-3.099870837</v>
      </c>
      <c r="AE22" s="71">
        <f t="shared" si="8"/>
        <v>-58.977</v>
      </c>
      <c r="AF22" s="71">
        <f t="shared" si="9"/>
        <v>2.319697343</v>
      </c>
      <c r="AG22" s="72">
        <f>+IF(D22="RONALD WILLIAN GARIBAY ESCUDERO",AC22+AD22+AE22+AF22+70,AC22+AD22+AE22+AF22)+70</f>
        <v>34.96132651</v>
      </c>
      <c r="AH22" s="52">
        <f t="shared" si="11"/>
        <v>2.748609767</v>
      </c>
      <c r="AI22" s="73">
        <f t="shared" si="12"/>
        <v>7.002838184</v>
      </c>
      <c r="AJ22" s="73">
        <f t="shared" si="13"/>
        <v>2.759995818</v>
      </c>
      <c r="AK22" s="11"/>
      <c r="AL22" s="51">
        <f t="shared" si="14"/>
        <v>79.27333427</v>
      </c>
      <c r="AM22" s="3"/>
      <c r="AN22" s="3"/>
    </row>
    <row r="23" ht="15.75" customHeight="1">
      <c r="A23" s="844" t="s">
        <v>4353</v>
      </c>
      <c r="B23" s="841">
        <v>45642.0</v>
      </c>
      <c r="C23" s="56">
        <v>45610.0</v>
      </c>
      <c r="D23" s="57" t="s">
        <v>121</v>
      </c>
      <c r="E23" s="68">
        <v>2.0611329556E10</v>
      </c>
      <c r="G23" s="3">
        <v>84.0</v>
      </c>
      <c r="H23" s="57" t="s">
        <v>47</v>
      </c>
      <c r="I23" s="58">
        <v>7.18</v>
      </c>
      <c r="J23" s="58">
        <v>1.0</v>
      </c>
      <c r="K23" s="59">
        <f t="shared" si="1"/>
        <v>7.1082</v>
      </c>
      <c r="L23" s="60">
        <v>0.445</v>
      </c>
      <c r="M23" s="60">
        <v>0.427</v>
      </c>
      <c r="N23" s="75">
        <v>0.532</v>
      </c>
      <c r="O23" s="60">
        <f t="shared" si="2"/>
        <v>0.48</v>
      </c>
      <c r="P23" s="63">
        <v>90.0</v>
      </c>
      <c r="Q23" s="64">
        <v>89.27</v>
      </c>
      <c r="R23" s="65">
        <v>2567.3</v>
      </c>
      <c r="S23" s="66">
        <f t="shared" ref="S23:S25" si="20">IF((90+ROUNDDOWN(O23,1)*100)&lt;95,95,(90+ROUNDDOWN(O23,1)*100))</f>
        <v>130</v>
      </c>
      <c r="U23" s="67">
        <v>130.0</v>
      </c>
      <c r="V23" s="67">
        <v>1.1023</v>
      </c>
      <c r="Y23" s="68">
        <v>10.0</v>
      </c>
      <c r="Z23" s="69">
        <f t="shared" ref="Z23:Z32" si="21">IF(IF(D23="UNTUCA",IF(+((W23-3)*1.5+(X23-3)*3.1)&gt;0,+((W23-3)*1.5+(X23-3)*3.1),0),IF(+((W23-3)*1.5+(X23-3)*3.1)&gt;0,+((W23-3)*1.5+(X23-3)*3.1),0))&lt;30,30,IF(D23="UNTUCA",IF(+((W23-3)*1.5+(X23-3)*3.1)&gt;0,+((W23-3)*1.5+(X23-3)*3.1),0),IF(+((W23-3)*1.5+(X23-3)*3.1)&gt;0,+((W23-3)*1.5+(X23-3)*3.1),0)))</f>
        <v>30</v>
      </c>
      <c r="AA23" s="70">
        <f t="shared" si="5"/>
        <v>40</v>
      </c>
      <c r="AB23" s="71">
        <f t="shared" si="6"/>
        <v>973.2356613</v>
      </c>
      <c r="AC23" s="71">
        <f>+(S23-T23)*V23-'data 1'!$F$4</f>
        <v>63.299</v>
      </c>
      <c r="AD23" s="71">
        <f t="shared" si="7"/>
        <v>-8.727536364</v>
      </c>
      <c r="AE23" s="71">
        <f t="shared" si="8"/>
        <v>-25.908</v>
      </c>
      <c r="AF23" s="71">
        <f t="shared" si="9"/>
        <v>-83.94259194</v>
      </c>
      <c r="AG23" s="72">
        <f t="shared" ref="AG23:AG26" si="22">+IF(D23="RONALD WILLIAN GARIBAY ESCUDERO",AC23+AD23+AE23+AF23+70,AC23+AD23+AE23+AF23)+70-53</f>
        <v>-38.2791283</v>
      </c>
      <c r="AH23" s="52">
        <f t="shared" si="11"/>
        <v>96.81312836</v>
      </c>
      <c r="AI23" s="73">
        <f t="shared" si="12"/>
        <v>78.90783719</v>
      </c>
      <c r="AJ23" s="73">
        <f t="shared" si="13"/>
        <v>105.2815948</v>
      </c>
      <c r="AK23" s="11"/>
      <c r="AL23" s="51">
        <f t="shared" si="14"/>
        <v>6917.953728</v>
      </c>
      <c r="AM23" s="3"/>
      <c r="AN23" s="3"/>
    </row>
    <row r="24" ht="15.75" customHeight="1">
      <c r="A24" s="844" t="s">
        <v>4354</v>
      </c>
      <c r="B24" s="841">
        <v>45615.0</v>
      </c>
      <c r="C24" s="56">
        <v>45610.0</v>
      </c>
      <c r="D24" s="57" t="s">
        <v>3794</v>
      </c>
      <c r="E24" s="57">
        <v>2.0611748486E10</v>
      </c>
      <c r="G24" s="3">
        <v>88.0</v>
      </c>
      <c r="H24" s="57" t="s">
        <v>47</v>
      </c>
      <c r="I24" s="57">
        <v>7.46</v>
      </c>
      <c r="J24" s="58">
        <v>1.2</v>
      </c>
      <c r="K24" s="59">
        <f t="shared" si="1"/>
        <v>7.37048</v>
      </c>
      <c r="L24" s="60">
        <v>0.396</v>
      </c>
      <c r="M24" s="60">
        <v>0.384</v>
      </c>
      <c r="N24" s="62">
        <v>0.429</v>
      </c>
      <c r="O24" s="60">
        <f t="shared" si="2"/>
        <v>0.407</v>
      </c>
      <c r="P24" s="63">
        <v>90.0</v>
      </c>
      <c r="Q24" s="64">
        <v>89.64</v>
      </c>
      <c r="R24" s="65">
        <v>2567.3</v>
      </c>
      <c r="S24" s="66">
        <f t="shared" si="20"/>
        <v>130</v>
      </c>
      <c r="U24" s="67">
        <v>130.0</v>
      </c>
      <c r="V24" s="67">
        <v>1.1023</v>
      </c>
      <c r="Y24" s="68">
        <v>15.0</v>
      </c>
      <c r="Z24" s="69">
        <f t="shared" si="21"/>
        <v>30</v>
      </c>
      <c r="AA24" s="70">
        <f t="shared" si="5"/>
        <v>45</v>
      </c>
      <c r="AB24" s="71">
        <f t="shared" si="6"/>
        <v>791.2121899</v>
      </c>
      <c r="AC24" s="71">
        <f>+(S24-T24)*V24-'data 1'!$F$4</f>
        <v>63.299</v>
      </c>
      <c r="AD24" s="71">
        <f t="shared" si="7"/>
        <v>-3.830067982</v>
      </c>
      <c r="AE24" s="71">
        <f t="shared" si="8"/>
        <v>-20.3965</v>
      </c>
      <c r="AF24" s="71">
        <f t="shared" si="9"/>
        <v>-26.49130354</v>
      </c>
      <c r="AG24" s="72">
        <f t="shared" si="22"/>
        <v>29.58112847</v>
      </c>
      <c r="AH24" s="52">
        <f t="shared" si="11"/>
        <v>89.70194814</v>
      </c>
      <c r="AI24" s="73">
        <f t="shared" si="12"/>
        <v>70.51014826</v>
      </c>
      <c r="AJ24" s="73">
        <f t="shared" si="13"/>
        <v>92.56392462</v>
      </c>
      <c r="AK24" s="11"/>
      <c r="AL24" s="51">
        <f t="shared" si="14"/>
        <v>5831.613621</v>
      </c>
      <c r="AM24" s="3"/>
      <c r="AN24" s="3"/>
    </row>
    <row r="25" ht="15.75" customHeight="1">
      <c r="A25" s="844" t="s">
        <v>4355</v>
      </c>
      <c r="B25" s="841">
        <v>45615.0</v>
      </c>
      <c r="C25" s="56">
        <v>45610.0</v>
      </c>
      <c r="D25" s="57" t="s">
        <v>3794</v>
      </c>
      <c r="E25" s="57">
        <v>2.0611748486E10</v>
      </c>
      <c r="G25" s="3">
        <v>36.0</v>
      </c>
      <c r="H25" s="57" t="s">
        <v>47</v>
      </c>
      <c r="I25" s="57">
        <v>2.93</v>
      </c>
      <c r="J25" s="58">
        <v>1.1</v>
      </c>
      <c r="K25" s="59">
        <f t="shared" si="1"/>
        <v>2.89777</v>
      </c>
      <c r="L25" s="79">
        <v>0.211</v>
      </c>
      <c r="M25" s="79">
        <v>0.211</v>
      </c>
      <c r="N25" s="79">
        <v>0.211</v>
      </c>
      <c r="O25" s="60">
        <f t="shared" si="2"/>
        <v>0.211</v>
      </c>
      <c r="P25" s="63">
        <v>90.0</v>
      </c>
      <c r="Q25" s="64">
        <v>89.15</v>
      </c>
      <c r="R25" s="65">
        <v>2567.3</v>
      </c>
      <c r="S25" s="66">
        <f t="shared" si="20"/>
        <v>110</v>
      </c>
      <c r="U25" s="67">
        <v>130.0</v>
      </c>
      <c r="V25" s="67">
        <v>1.1023</v>
      </c>
      <c r="Y25" s="68">
        <v>10.0</v>
      </c>
      <c r="Z25" s="69">
        <f t="shared" si="21"/>
        <v>30</v>
      </c>
      <c r="AA25" s="70">
        <f t="shared" si="5"/>
        <v>40</v>
      </c>
      <c r="AB25" s="71">
        <f t="shared" si="6"/>
        <v>344.8471365</v>
      </c>
      <c r="AC25" s="71">
        <f>+(S25-T25)*V25-'data 1'!$F$4</f>
        <v>41.253</v>
      </c>
      <c r="AD25" s="71">
        <f t="shared" si="7"/>
        <v>-4.818481289</v>
      </c>
      <c r="AE25" s="71">
        <f t="shared" si="8"/>
        <v>-25.908</v>
      </c>
      <c r="AF25" s="71">
        <f t="shared" si="9"/>
        <v>0</v>
      </c>
      <c r="AG25" s="72">
        <f t="shared" si="22"/>
        <v>27.52651871</v>
      </c>
      <c r="AH25" s="52">
        <f t="shared" si="11"/>
        <v>18.68860066</v>
      </c>
      <c r="AI25" s="73">
        <f t="shared" si="12"/>
        <v>37.36443305</v>
      </c>
      <c r="AJ25" s="73">
        <f t="shared" si="13"/>
        <v>18.86678698</v>
      </c>
      <c r="AK25" s="11"/>
      <c r="AL25" s="51">
        <f t="shared" si="14"/>
        <v>999.2876868</v>
      </c>
      <c r="AM25" s="3"/>
      <c r="AN25" s="3"/>
    </row>
    <row r="26" ht="15.75" customHeight="1">
      <c r="A26" s="844" t="s">
        <v>4356</v>
      </c>
      <c r="B26" s="841">
        <v>45615.0</v>
      </c>
      <c r="C26" s="56">
        <v>45610.0</v>
      </c>
      <c r="D26" s="57" t="s">
        <v>67</v>
      </c>
      <c r="E26" s="2">
        <v>2.060609401E10</v>
      </c>
      <c r="G26" s="3">
        <v>100.0</v>
      </c>
      <c r="H26" s="57" t="s">
        <v>47</v>
      </c>
      <c r="I26" s="58">
        <v>8.03</v>
      </c>
      <c r="J26" s="58">
        <v>1.2</v>
      </c>
      <c r="K26" s="59">
        <f t="shared" si="1"/>
        <v>7.93364</v>
      </c>
      <c r="L26" s="60">
        <v>0.316</v>
      </c>
      <c r="M26" s="60">
        <v>0.303</v>
      </c>
      <c r="N26" s="62">
        <v>0.401</v>
      </c>
      <c r="O26" s="60">
        <v>0.36</v>
      </c>
      <c r="P26" s="63">
        <v>90.0</v>
      </c>
      <c r="Q26" s="64">
        <v>89.43</v>
      </c>
      <c r="R26" s="65">
        <v>2567.3</v>
      </c>
      <c r="S26" s="66">
        <v>110.0</v>
      </c>
      <c r="U26" s="67">
        <v>130.0</v>
      </c>
      <c r="V26" s="67">
        <v>1.1023</v>
      </c>
      <c r="Y26" s="68">
        <v>30.0</v>
      </c>
      <c r="Z26" s="69">
        <f t="shared" si="21"/>
        <v>30</v>
      </c>
      <c r="AA26" s="70">
        <f t="shared" si="5"/>
        <v>60</v>
      </c>
      <c r="AB26" s="71">
        <f t="shared" si="6"/>
        <v>683.078996</v>
      </c>
      <c r="AC26" s="71">
        <f>+(S26-T26)*V26-'data 1'!$F$4</f>
        <v>41.253</v>
      </c>
      <c r="AD26" s="71">
        <f t="shared" si="7"/>
        <v>-4.839168385</v>
      </c>
      <c r="AE26" s="71">
        <f t="shared" si="8"/>
        <v>-3.862</v>
      </c>
      <c r="AF26" s="71">
        <f t="shared" si="9"/>
        <v>-105.716969</v>
      </c>
      <c r="AG26" s="72">
        <f t="shared" si="22"/>
        <v>-56.16513741</v>
      </c>
      <c r="AH26" s="52">
        <f t="shared" si="11"/>
        <v>76.86911349</v>
      </c>
      <c r="AI26" s="73">
        <f t="shared" si="12"/>
        <v>56.13386003</v>
      </c>
      <c r="AJ26" s="73">
        <f t="shared" si="13"/>
        <v>88.13056804</v>
      </c>
      <c r="AK26" s="11"/>
      <c r="AL26" s="51">
        <f t="shared" si="14"/>
        <v>5419.302846</v>
      </c>
      <c r="AM26" s="3"/>
      <c r="AN26" s="3"/>
    </row>
    <row r="27" ht="15.75" customHeight="1">
      <c r="A27" s="844" t="s">
        <v>4357</v>
      </c>
      <c r="B27" s="841">
        <v>45368.0</v>
      </c>
      <c r="C27" s="56">
        <v>45610.0</v>
      </c>
      <c r="D27" s="57" t="s">
        <v>63</v>
      </c>
      <c r="E27" s="2">
        <v>1.0437450094E10</v>
      </c>
      <c r="G27" s="3">
        <v>130.0</v>
      </c>
      <c r="H27" s="57" t="s">
        <v>47</v>
      </c>
      <c r="I27" s="58">
        <v>10.46</v>
      </c>
      <c r="J27" s="58">
        <v>1.2</v>
      </c>
      <c r="K27" s="59">
        <f t="shared" si="1"/>
        <v>10.33448</v>
      </c>
      <c r="L27" s="60">
        <v>0.31</v>
      </c>
      <c r="M27" s="60">
        <v>0.298</v>
      </c>
      <c r="N27" s="62">
        <v>0.298</v>
      </c>
      <c r="O27" s="60">
        <f t="shared" ref="O27:O79" si="23">+ROUND((M27+N27)/2,3)</f>
        <v>0.298</v>
      </c>
      <c r="P27" s="63">
        <v>90.0</v>
      </c>
      <c r="Q27" s="64">
        <v>89.23</v>
      </c>
      <c r="R27" s="65">
        <v>2567.3</v>
      </c>
      <c r="S27" s="66">
        <f t="shared" ref="S27:S31" si="24">IF((90+ROUNDDOWN(O27,1)*100)&lt;95,95,(90+ROUNDDOWN(O27,1)*100))</f>
        <v>110</v>
      </c>
      <c r="U27" s="67">
        <v>100.0</v>
      </c>
      <c r="V27" s="67">
        <v>1.1023</v>
      </c>
      <c r="Y27" s="68">
        <v>10.0</v>
      </c>
      <c r="Z27" s="69">
        <f t="shared" si="21"/>
        <v>30</v>
      </c>
      <c r="AA27" s="70">
        <f t="shared" si="5"/>
        <v>40</v>
      </c>
      <c r="AB27" s="71">
        <f t="shared" si="6"/>
        <v>564.0798247</v>
      </c>
      <c r="AC27" s="71">
        <f>+(S27-T27)*V27-'data 1'!$F$4</f>
        <v>41.253</v>
      </c>
      <c r="AD27" s="71">
        <f t="shared" si="7"/>
        <v>-6.491935334</v>
      </c>
      <c r="AE27" s="71">
        <f t="shared" si="8"/>
        <v>-25.908</v>
      </c>
      <c r="AF27" s="71">
        <f t="shared" si="9"/>
        <v>29.12151101</v>
      </c>
      <c r="AG27" s="72">
        <f>+IF(D27="RONALD WILLIAN GARIBAY ESCUDERO",AC27+AD27+AE27+AF27+70,AC27+AD27+AE27+AF27)+70-40</f>
        <v>67.97457568</v>
      </c>
      <c r="AH27" s="52">
        <f t="shared" si="11"/>
        <v>98.00997653</v>
      </c>
      <c r="AI27" s="73">
        <f t="shared" si="12"/>
        <v>45.79755859</v>
      </c>
      <c r="AJ27" s="73">
        <f t="shared" si="13"/>
        <v>95.02906843</v>
      </c>
      <c r="AK27" s="11"/>
      <c r="AL27" s="51">
        <f t="shared" si="14"/>
        <v>5829.471667</v>
      </c>
      <c r="AM27" s="3"/>
      <c r="AN27" s="3"/>
    </row>
    <row r="28" ht="15.75" customHeight="1">
      <c r="A28" s="844" t="s">
        <v>4358</v>
      </c>
      <c r="B28" s="841">
        <v>45615.0</v>
      </c>
      <c r="C28" s="56">
        <v>45610.0</v>
      </c>
      <c r="D28" s="57" t="s">
        <v>51</v>
      </c>
      <c r="E28" s="2">
        <v>1.042310973E10</v>
      </c>
      <c r="G28" s="3">
        <v>300.0</v>
      </c>
      <c r="H28" s="57" t="s">
        <v>40</v>
      </c>
      <c r="I28" s="58">
        <v>27.28</v>
      </c>
      <c r="J28" s="58">
        <v>12.3</v>
      </c>
      <c r="K28" s="59">
        <f t="shared" si="1"/>
        <v>23.92456</v>
      </c>
      <c r="L28" s="60">
        <v>0.134</v>
      </c>
      <c r="M28" s="60">
        <v>0.13</v>
      </c>
      <c r="N28" s="62">
        <v>0.16</v>
      </c>
      <c r="O28" s="60">
        <f t="shared" si="23"/>
        <v>0.145</v>
      </c>
      <c r="P28" s="63">
        <v>90.0</v>
      </c>
      <c r="Q28" s="64">
        <v>89.25</v>
      </c>
      <c r="R28" s="65">
        <v>2567.3</v>
      </c>
      <c r="S28" s="66">
        <f t="shared" si="24"/>
        <v>100</v>
      </c>
      <c r="U28" s="67">
        <v>100.0</v>
      </c>
      <c r="V28" s="67">
        <v>1.1023</v>
      </c>
      <c r="Y28" s="68"/>
      <c r="Z28" s="69">
        <f t="shared" si="21"/>
        <v>30</v>
      </c>
      <c r="AA28" s="70">
        <f t="shared" si="5"/>
        <v>30</v>
      </c>
      <c r="AB28" s="71">
        <f t="shared" si="6"/>
        <v>211.6224751</v>
      </c>
      <c r="AC28" s="71">
        <f>+(S28-T28)*V28-'data 1'!$F$4</f>
        <v>30.23</v>
      </c>
      <c r="AD28" s="71">
        <f t="shared" si="7"/>
        <v>-2.733303314</v>
      </c>
      <c r="AE28" s="71">
        <f t="shared" si="8"/>
        <v>-36.931</v>
      </c>
      <c r="AF28" s="71">
        <f t="shared" si="9"/>
        <v>-26.70070178</v>
      </c>
      <c r="AG28" s="72">
        <f>+IF(D28="RONALD WILLIAN GARIBAY ESCUDERO",AC28+AD28+AE28+AF28+70,AC28+AD28+AE28+AF28)</f>
        <v>33.86499491</v>
      </c>
      <c r="AH28" s="52">
        <f t="shared" si="11"/>
        <v>98.09933238</v>
      </c>
      <c r="AI28" s="73">
        <f t="shared" si="12"/>
        <v>19.80080119</v>
      </c>
      <c r="AJ28" s="73">
        <f t="shared" si="13"/>
        <v>107.0442985</v>
      </c>
      <c r="AK28" s="11"/>
      <c r="AL28" s="51">
        <f t="shared" si="14"/>
        <v>5062.974603</v>
      </c>
      <c r="AM28" s="3"/>
      <c r="AN28" s="3"/>
    </row>
    <row r="29" ht="15.75" customHeight="1">
      <c r="A29" s="844" t="s">
        <v>4359</v>
      </c>
      <c r="B29" s="841">
        <v>45615.0</v>
      </c>
      <c r="C29" s="56">
        <v>45611.0</v>
      </c>
      <c r="D29" s="57" t="s">
        <v>63</v>
      </c>
      <c r="E29" s="2">
        <v>1.0437450094E10</v>
      </c>
      <c r="G29" s="3">
        <v>35.0</v>
      </c>
      <c r="H29" s="57" t="s">
        <v>47</v>
      </c>
      <c r="I29" s="58">
        <v>2.83</v>
      </c>
      <c r="J29" s="58">
        <v>1.3</v>
      </c>
      <c r="K29" s="59">
        <f t="shared" si="1"/>
        <v>2.79321</v>
      </c>
      <c r="L29" s="60">
        <v>0.189</v>
      </c>
      <c r="M29" s="60">
        <v>0.183</v>
      </c>
      <c r="N29" s="62">
        <v>0.183</v>
      </c>
      <c r="O29" s="60">
        <f t="shared" si="23"/>
        <v>0.183</v>
      </c>
      <c r="P29" s="63">
        <v>90.0</v>
      </c>
      <c r="Q29" s="64">
        <v>89.62</v>
      </c>
      <c r="R29" s="65">
        <v>2571.8</v>
      </c>
      <c r="S29" s="3">
        <f t="shared" si="24"/>
        <v>100</v>
      </c>
      <c r="U29" s="67">
        <v>130.0</v>
      </c>
      <c r="V29" s="67">
        <v>1.1023</v>
      </c>
      <c r="Y29" s="68">
        <v>10.0</v>
      </c>
      <c r="Z29" s="69">
        <f t="shared" si="21"/>
        <v>30</v>
      </c>
      <c r="AA29" s="70">
        <f t="shared" si="5"/>
        <v>40</v>
      </c>
      <c r="AB29" s="71">
        <f t="shared" si="6"/>
        <v>288.9838843</v>
      </c>
      <c r="AC29" s="71">
        <f>+(S29-T29)*V29-'data 1'!$F$4</f>
        <v>30.23</v>
      </c>
      <c r="AD29" s="71">
        <f t="shared" si="7"/>
        <v>-1.933104348</v>
      </c>
      <c r="AE29" s="71">
        <f t="shared" si="8"/>
        <v>-25.908</v>
      </c>
      <c r="AF29" s="71">
        <f t="shared" si="9"/>
        <v>14.47325076</v>
      </c>
      <c r="AG29" s="72">
        <f t="shared" ref="AG29:AG41" si="25">+IF(D29="RONALD WILLIAN GARIBAY ESCUDERO",AC29+AD29+AE29+AF29+70,AC29+AD29+AE29+AF29)+70-53</f>
        <v>33.86214642</v>
      </c>
      <c r="AH29" s="52">
        <f t="shared" si="11"/>
        <v>16.22106637</v>
      </c>
      <c r="AI29" s="73">
        <f t="shared" si="12"/>
        <v>32.80486937</v>
      </c>
      <c r="AJ29" s="73">
        <f t="shared" si="13"/>
        <v>15.77270776</v>
      </c>
      <c r="AK29" s="11"/>
      <c r="AL29" s="51">
        <f t="shared" si="14"/>
        <v>807.1926753</v>
      </c>
      <c r="AM29" s="3"/>
      <c r="AN29" s="3"/>
    </row>
    <row r="30" ht="15.75" customHeight="1">
      <c r="A30" s="844" t="s">
        <v>4360</v>
      </c>
      <c r="B30" s="841">
        <v>45615.0</v>
      </c>
      <c r="C30" s="56">
        <v>45611.0</v>
      </c>
      <c r="D30" s="57" t="s">
        <v>63</v>
      </c>
      <c r="E30" s="2">
        <v>1.0437450094E10</v>
      </c>
      <c r="G30" s="3">
        <v>35.0</v>
      </c>
      <c r="H30" s="57" t="s">
        <v>47</v>
      </c>
      <c r="I30" s="58">
        <v>2.74</v>
      </c>
      <c r="J30" s="58">
        <v>1.4</v>
      </c>
      <c r="K30" s="59">
        <f t="shared" si="1"/>
        <v>2.70164</v>
      </c>
      <c r="L30" s="60">
        <v>0.265</v>
      </c>
      <c r="M30" s="60">
        <v>0.254</v>
      </c>
      <c r="N30" s="62">
        <v>0.254</v>
      </c>
      <c r="O30" s="60">
        <f t="shared" si="23"/>
        <v>0.254</v>
      </c>
      <c r="P30" s="63">
        <v>90.0</v>
      </c>
      <c r="Q30" s="64">
        <v>89.41</v>
      </c>
      <c r="R30" s="65">
        <v>2571.8</v>
      </c>
      <c r="S30" s="66">
        <f t="shared" si="24"/>
        <v>110</v>
      </c>
      <c r="U30" s="67">
        <v>130.0</v>
      </c>
      <c r="V30" s="67">
        <v>1.1023</v>
      </c>
      <c r="Y30" s="68">
        <v>15.0</v>
      </c>
      <c r="Z30" s="69">
        <f t="shared" si="21"/>
        <v>30</v>
      </c>
      <c r="AA30" s="70">
        <f t="shared" si="5"/>
        <v>45</v>
      </c>
      <c r="AB30" s="71">
        <f t="shared" si="6"/>
        <v>444.4423776</v>
      </c>
      <c r="AC30" s="71">
        <f>+(S30-T30)*V30-'data 1'!$F$4</f>
        <v>41.253</v>
      </c>
      <c r="AD30" s="71">
        <f t="shared" si="7"/>
        <v>-4.208310565</v>
      </c>
      <c r="AE30" s="71">
        <f t="shared" si="8"/>
        <v>-20.3965</v>
      </c>
      <c r="AF30" s="71">
        <f t="shared" si="9"/>
        <v>26.4721172</v>
      </c>
      <c r="AG30" s="72">
        <f t="shared" si="25"/>
        <v>60.12030663</v>
      </c>
      <c r="AH30" s="52">
        <f t="shared" si="11"/>
        <v>21.94666406</v>
      </c>
      <c r="AI30" s="73">
        <f t="shared" si="12"/>
        <v>45.88846576</v>
      </c>
      <c r="AJ30" s="73">
        <f t="shared" si="13"/>
        <v>21.17448094</v>
      </c>
      <c r="AK30" s="11"/>
      <c r="AL30" s="51">
        <f t="shared" si="14"/>
        <v>1200.723305</v>
      </c>
      <c r="AM30" s="3"/>
      <c r="AN30" s="3"/>
    </row>
    <row r="31" ht="15.75" customHeight="1">
      <c r="A31" s="844" t="s">
        <v>4361</v>
      </c>
      <c r="B31" s="841">
        <v>45615.0</v>
      </c>
      <c r="C31" s="56">
        <v>45611.0</v>
      </c>
      <c r="D31" s="57" t="s">
        <v>63</v>
      </c>
      <c r="E31" s="2">
        <v>1.0437450094E10</v>
      </c>
      <c r="G31" s="3">
        <v>35.0</v>
      </c>
      <c r="H31" s="57" t="s">
        <v>47</v>
      </c>
      <c r="I31" s="58">
        <v>2.77</v>
      </c>
      <c r="J31" s="58">
        <v>1.2</v>
      </c>
      <c r="K31" s="59">
        <f t="shared" si="1"/>
        <v>2.73676</v>
      </c>
      <c r="L31" s="60">
        <v>0.359</v>
      </c>
      <c r="M31" s="60">
        <v>0.344</v>
      </c>
      <c r="N31" s="62">
        <v>0.344</v>
      </c>
      <c r="O31" s="60">
        <f t="shared" si="23"/>
        <v>0.344</v>
      </c>
      <c r="P31" s="63">
        <v>90.0</v>
      </c>
      <c r="Q31" s="64">
        <v>89.27</v>
      </c>
      <c r="R31" s="65">
        <v>2571.8</v>
      </c>
      <c r="S31" s="66">
        <f t="shared" si="24"/>
        <v>120</v>
      </c>
      <c r="U31" s="67">
        <v>130.0</v>
      </c>
      <c r="V31" s="67">
        <v>1.1023</v>
      </c>
      <c r="Y31" s="68">
        <v>15.0</v>
      </c>
      <c r="Z31" s="69">
        <f t="shared" si="21"/>
        <v>30</v>
      </c>
      <c r="AA31" s="70">
        <f t="shared" si="5"/>
        <v>45</v>
      </c>
      <c r="AB31" s="71">
        <f t="shared" si="6"/>
        <v>651.4386649</v>
      </c>
      <c r="AC31" s="71">
        <f>+(S31-T31)*V31-'data 1'!$F$4</f>
        <v>52.276</v>
      </c>
      <c r="AD31" s="71">
        <f t="shared" si="7"/>
        <v>-7.053866004</v>
      </c>
      <c r="AE31" s="71">
        <f t="shared" si="8"/>
        <v>-20.3965</v>
      </c>
      <c r="AF31" s="71">
        <f t="shared" si="9"/>
        <v>36.04181811</v>
      </c>
      <c r="AG31" s="72">
        <f t="shared" si="25"/>
        <v>77.86745211</v>
      </c>
      <c r="AH31" s="52">
        <f t="shared" si="11"/>
        <v>30.07085429</v>
      </c>
      <c r="AI31" s="73">
        <f t="shared" si="12"/>
        <v>62.0685432</v>
      </c>
      <c r="AJ31" s="73">
        <f t="shared" si="13"/>
        <v>29.05004001</v>
      </c>
      <c r="AK31" s="11"/>
      <c r="AL31" s="51">
        <f t="shared" si="14"/>
        <v>1782.831281</v>
      </c>
      <c r="AM31" s="3"/>
      <c r="AN31" s="3"/>
    </row>
    <row r="32" ht="15.0" customHeight="1">
      <c r="A32" s="844" t="s">
        <v>4362</v>
      </c>
      <c r="B32" s="841">
        <v>45615.0</v>
      </c>
      <c r="C32" s="56">
        <v>45611.0</v>
      </c>
      <c r="D32" s="57" t="s">
        <v>67</v>
      </c>
      <c r="E32" s="2">
        <v>2.060609401E10</v>
      </c>
      <c r="G32" s="3">
        <v>100.0</v>
      </c>
      <c r="H32" s="57" t="s">
        <v>47</v>
      </c>
      <c r="I32" s="58">
        <v>8.03</v>
      </c>
      <c r="J32" s="58">
        <v>1.1</v>
      </c>
      <c r="K32" s="59">
        <f t="shared" si="1"/>
        <v>7.94167</v>
      </c>
      <c r="L32" s="60">
        <v>1.138</v>
      </c>
      <c r="M32" s="60">
        <v>1.092</v>
      </c>
      <c r="N32" s="75">
        <v>1.17</v>
      </c>
      <c r="O32" s="60">
        <f t="shared" si="23"/>
        <v>1.131</v>
      </c>
      <c r="P32" s="63">
        <v>90.0</v>
      </c>
      <c r="Q32" s="64">
        <v>89.12</v>
      </c>
      <c r="R32" s="65">
        <v>2571.8</v>
      </c>
      <c r="S32" s="76">
        <v>190.0</v>
      </c>
      <c r="U32" s="67">
        <v>130.0</v>
      </c>
      <c r="V32" s="67">
        <v>1.1023</v>
      </c>
      <c r="Y32" s="68">
        <v>10.0</v>
      </c>
      <c r="Z32" s="69">
        <f t="shared" si="21"/>
        <v>30</v>
      </c>
      <c r="AA32" s="70">
        <f t="shared" si="5"/>
        <v>40</v>
      </c>
      <c r="AB32" s="71">
        <f t="shared" si="6"/>
        <v>2486.246711</v>
      </c>
      <c r="AC32" s="71">
        <f>+(S32-T32)*V32-'data 1'!$F$4</f>
        <v>129.437</v>
      </c>
      <c r="AD32" s="71">
        <f t="shared" si="7"/>
        <v>-26.95472038</v>
      </c>
      <c r="AE32" s="71">
        <f t="shared" si="8"/>
        <v>-25.908</v>
      </c>
      <c r="AF32" s="71">
        <f t="shared" si="9"/>
        <v>16.79125336</v>
      </c>
      <c r="AG32" s="72">
        <f t="shared" si="25"/>
        <v>110.365533</v>
      </c>
      <c r="AH32" s="52">
        <f t="shared" si="11"/>
        <v>276.1457388</v>
      </c>
      <c r="AI32" s="73">
        <f t="shared" si="12"/>
        <v>196.4214935</v>
      </c>
      <c r="AJ32" s="73">
        <f t="shared" si="13"/>
        <v>277.1571077</v>
      </c>
      <c r="AK32" s="11"/>
      <c r="AL32" s="51">
        <f t="shared" si="14"/>
        <v>19744.95092</v>
      </c>
      <c r="AM32" s="3"/>
      <c r="AN32" s="3"/>
    </row>
    <row r="33" ht="15.75" customHeight="1">
      <c r="A33" s="844" t="s">
        <v>4363</v>
      </c>
      <c r="B33" s="841">
        <v>45615.0</v>
      </c>
      <c r="C33" s="56">
        <v>45611.0</v>
      </c>
      <c r="D33" s="57" t="s">
        <v>45</v>
      </c>
      <c r="E33" s="67">
        <v>1.0416085884E10</v>
      </c>
      <c r="G33" s="3" t="s">
        <v>4100</v>
      </c>
      <c r="H33" s="57" t="s">
        <v>47</v>
      </c>
      <c r="I33" s="58">
        <v>31.66</v>
      </c>
      <c r="J33" s="58">
        <v>13.5</v>
      </c>
      <c r="K33" s="59">
        <f t="shared" si="1"/>
        <v>27.3859</v>
      </c>
      <c r="L33" s="60">
        <v>0.182</v>
      </c>
      <c r="M33" s="60">
        <v>0.174</v>
      </c>
      <c r="N33" s="75">
        <v>0.208</v>
      </c>
      <c r="O33" s="60">
        <f t="shared" si="23"/>
        <v>0.191</v>
      </c>
      <c r="P33" s="63">
        <v>90.0</v>
      </c>
      <c r="Q33" s="64">
        <v>89.5</v>
      </c>
      <c r="R33" s="65">
        <v>2571.8</v>
      </c>
      <c r="S33" s="76">
        <v>85.0</v>
      </c>
      <c r="U33" s="67">
        <v>90.0</v>
      </c>
      <c r="V33" s="67">
        <v>1.1023</v>
      </c>
      <c r="Y33" s="68"/>
      <c r="Z33" s="77">
        <v>15.0</v>
      </c>
      <c r="AA33" s="70">
        <f t="shared" si="5"/>
        <v>15</v>
      </c>
      <c r="AB33" s="71">
        <f t="shared" si="6"/>
        <v>360.0347913</v>
      </c>
      <c r="AC33" s="71">
        <f>+(S33-T33)*V33-'data 1'!$F$4</f>
        <v>13.6955</v>
      </c>
      <c r="AD33" s="71">
        <f t="shared" si="7"/>
        <v>-2.489476207</v>
      </c>
      <c r="AE33" s="71">
        <f t="shared" si="8"/>
        <v>-53.4655</v>
      </c>
      <c r="AF33" s="71">
        <f t="shared" si="9"/>
        <v>-22.03596797</v>
      </c>
      <c r="AG33" s="72">
        <f t="shared" si="25"/>
        <v>-47.29544418</v>
      </c>
      <c r="AH33" s="52">
        <f t="shared" si="11"/>
        <v>152.943319</v>
      </c>
      <c r="AI33" s="73">
        <f t="shared" si="12"/>
        <v>24.3654299</v>
      </c>
      <c r="AJ33" s="73">
        <f t="shared" si="13"/>
        <v>161.4031343</v>
      </c>
      <c r="AK33" s="11"/>
      <c r="AL33" s="51">
        <f t="shared" si="14"/>
        <v>9859.87679</v>
      </c>
      <c r="AM33" s="3"/>
      <c r="AN33" s="3"/>
    </row>
    <row r="34" ht="15.75" customHeight="1">
      <c r="A34" s="844" t="s">
        <v>4364</v>
      </c>
      <c r="B34" s="841">
        <v>45615.0</v>
      </c>
      <c r="C34" s="56">
        <v>45612.0</v>
      </c>
      <c r="D34" s="57" t="s">
        <v>67</v>
      </c>
      <c r="E34" s="2">
        <v>2.060609401E10</v>
      </c>
      <c r="G34" s="3">
        <v>100.0</v>
      </c>
      <c r="H34" s="57" t="s">
        <v>47</v>
      </c>
      <c r="I34" s="58">
        <v>8.29</v>
      </c>
      <c r="J34" s="58">
        <v>1.2</v>
      </c>
      <c r="K34" s="59">
        <f t="shared" si="1"/>
        <v>8.19052</v>
      </c>
      <c r="L34" s="60">
        <v>0.309</v>
      </c>
      <c r="M34" s="60">
        <v>0.296</v>
      </c>
      <c r="N34" s="62">
        <v>0.364</v>
      </c>
      <c r="O34" s="60">
        <f t="shared" si="23"/>
        <v>0.33</v>
      </c>
      <c r="P34" s="63">
        <v>90.0</v>
      </c>
      <c r="Q34" s="64">
        <v>89.45</v>
      </c>
      <c r="R34" s="65">
        <v>2571.8</v>
      </c>
      <c r="S34" s="66">
        <f t="shared" ref="S34:S37" si="26">IF((90+ROUNDDOWN(O34,1)*100)&lt;95,95,(90+ROUNDDOWN(O34,1)*100))</f>
        <v>120</v>
      </c>
      <c r="U34" s="67">
        <v>130.0</v>
      </c>
      <c r="V34" s="67">
        <v>1.1023</v>
      </c>
      <c r="Y34" s="68">
        <v>30.0</v>
      </c>
      <c r="Z34" s="69">
        <f t="shared" ref="Z34:Z37" si="27">IF(IF(D34="UNTUCA",IF(+((W34-3)*1.5+(X34-3)*3.1)&gt;0,+((W34-3)*1.5+(X34-3)*3.1),0),IF(+((W34-3)*1.5+(X34-3)*3.1)&gt;0,+((W34-3)*1.5+(X34-3)*3.1),0))&lt;30,30,IF(D34="UNTUCA",IF(+((W34-3)*1.5+(X34-3)*3.1)&gt;0,+((W34-3)*1.5+(X34-3)*3.1),0),IF(+((W34-3)*1.5+(X34-3)*3.1)&gt;0,+((W34-3)*1.5+(X34-3)*3.1),0)))</f>
        <v>30</v>
      </c>
      <c r="AA34" s="70">
        <f t="shared" si="5"/>
        <v>60</v>
      </c>
      <c r="AB34" s="71">
        <f t="shared" si="6"/>
        <v>600.9900536</v>
      </c>
      <c r="AC34" s="71">
        <f>+(S34-T34)*V34-'data 1'!$F$4</f>
        <v>52.276</v>
      </c>
      <c r="AD34" s="71">
        <f t="shared" si="7"/>
        <v>-4.57436764</v>
      </c>
      <c r="AE34" s="71">
        <f t="shared" si="8"/>
        <v>-3.862</v>
      </c>
      <c r="AF34" s="71">
        <f t="shared" si="9"/>
        <v>-50.56028769</v>
      </c>
      <c r="AG34" s="72">
        <f t="shared" si="25"/>
        <v>10.27934467</v>
      </c>
      <c r="AH34" s="52">
        <f t="shared" si="11"/>
        <v>77.61744967</v>
      </c>
      <c r="AI34" s="73">
        <f t="shared" si="12"/>
        <v>53.53162084</v>
      </c>
      <c r="AJ34" s="73">
        <f t="shared" si="13"/>
        <v>83.40210149</v>
      </c>
      <c r="AK34" s="11"/>
      <c r="AL34" s="51">
        <f t="shared" si="14"/>
        <v>4922.421054</v>
      </c>
      <c r="AM34" s="3"/>
      <c r="AN34" s="3"/>
    </row>
    <row r="35" ht="15.75" customHeight="1">
      <c r="A35" s="844" t="s">
        <v>4365</v>
      </c>
      <c r="B35" s="841">
        <v>45605.0</v>
      </c>
      <c r="C35" s="56">
        <v>45613.0</v>
      </c>
      <c r="D35" s="57" t="s">
        <v>63</v>
      </c>
      <c r="E35" s="2">
        <v>1.0437450094E10</v>
      </c>
      <c r="G35" s="3">
        <v>35.0</v>
      </c>
      <c r="H35" s="57" t="s">
        <v>47</v>
      </c>
      <c r="I35" s="58">
        <v>3.15</v>
      </c>
      <c r="J35" s="58">
        <v>1.3</v>
      </c>
      <c r="K35" s="59">
        <f t="shared" si="1"/>
        <v>3.10905</v>
      </c>
      <c r="L35" s="60">
        <v>0.475</v>
      </c>
      <c r="M35" s="60">
        <v>0.46</v>
      </c>
      <c r="N35" s="62">
        <v>0.46</v>
      </c>
      <c r="O35" s="60">
        <f t="shared" si="23"/>
        <v>0.46</v>
      </c>
      <c r="P35" s="63">
        <v>90.0</v>
      </c>
      <c r="Q35" s="64">
        <v>89.61</v>
      </c>
      <c r="R35" s="65">
        <v>2606.85</v>
      </c>
      <c r="S35" s="66">
        <f t="shared" si="26"/>
        <v>130</v>
      </c>
      <c r="U35" s="67">
        <v>130.0</v>
      </c>
      <c r="V35" s="67">
        <v>1.1023</v>
      </c>
      <c r="Y35" s="68">
        <v>10.0</v>
      </c>
      <c r="Z35" s="69">
        <f t="shared" si="27"/>
        <v>30</v>
      </c>
      <c r="AA35" s="70">
        <f t="shared" si="5"/>
        <v>40</v>
      </c>
      <c r="AB35" s="71">
        <f t="shared" si="6"/>
        <v>942.9249466</v>
      </c>
      <c r="AC35" s="71">
        <f>+(S35-T35)*V35-'data 1'!$F$4</f>
        <v>63.299</v>
      </c>
      <c r="AD35" s="71">
        <f t="shared" si="7"/>
        <v>-5.057754326</v>
      </c>
      <c r="AE35" s="71">
        <f t="shared" si="8"/>
        <v>-25.908</v>
      </c>
      <c r="AF35" s="71">
        <f t="shared" si="9"/>
        <v>36.69841013</v>
      </c>
      <c r="AG35" s="72">
        <f t="shared" si="25"/>
        <v>86.03165581</v>
      </c>
      <c r="AH35" s="52">
        <f t="shared" si="11"/>
        <v>45.37188918</v>
      </c>
      <c r="AI35" s="73">
        <f t="shared" si="12"/>
        <v>65.9917478</v>
      </c>
      <c r="AJ35" s="73">
        <f t="shared" si="13"/>
        <v>44.13032409</v>
      </c>
      <c r="AK35" s="11"/>
      <c r="AL35" s="51">
        <f t="shared" si="14"/>
        <v>2931.600805</v>
      </c>
      <c r="AM35" s="3"/>
      <c r="AN35" s="3"/>
    </row>
    <row r="36" ht="15.75" customHeight="1">
      <c r="A36" s="844" t="s">
        <v>4366</v>
      </c>
      <c r="B36" s="841">
        <v>45605.0</v>
      </c>
      <c r="C36" s="56">
        <v>45613.0</v>
      </c>
      <c r="D36" s="57" t="s">
        <v>63</v>
      </c>
      <c r="E36" s="2">
        <v>1.0437450094E10</v>
      </c>
      <c r="G36" s="3">
        <v>65.0</v>
      </c>
      <c r="H36" s="57" t="s">
        <v>47</v>
      </c>
      <c r="I36" s="58">
        <v>5.52</v>
      </c>
      <c r="J36" s="58">
        <v>1.2</v>
      </c>
      <c r="K36" s="59">
        <f t="shared" si="1"/>
        <v>5.45376</v>
      </c>
      <c r="L36" s="60">
        <v>0.902</v>
      </c>
      <c r="M36" s="60">
        <v>0.883</v>
      </c>
      <c r="N36" s="62">
        <v>0.883</v>
      </c>
      <c r="O36" s="60">
        <f t="shared" si="23"/>
        <v>0.883</v>
      </c>
      <c r="P36" s="63">
        <v>90.0</v>
      </c>
      <c r="Q36" s="64">
        <v>89.45</v>
      </c>
      <c r="R36" s="65">
        <v>2606.85</v>
      </c>
      <c r="S36" s="66">
        <f t="shared" si="26"/>
        <v>170</v>
      </c>
      <c r="U36" s="67">
        <v>130.0</v>
      </c>
      <c r="V36" s="67">
        <v>1.1023</v>
      </c>
      <c r="Y36" s="68">
        <v>10.0</v>
      </c>
      <c r="Z36" s="69">
        <f t="shared" si="27"/>
        <v>30</v>
      </c>
      <c r="AA36" s="70">
        <f t="shared" si="5"/>
        <v>40</v>
      </c>
      <c r="AB36" s="71">
        <f t="shared" si="6"/>
        <v>1938.232176</v>
      </c>
      <c r="AC36" s="71">
        <f>+(S36-T36)*V36-'data 1'!$F$4</f>
        <v>107.391</v>
      </c>
      <c r="AD36" s="71">
        <f t="shared" si="7"/>
        <v>-13.54467974</v>
      </c>
      <c r="AE36" s="71">
        <f t="shared" si="8"/>
        <v>-25.908</v>
      </c>
      <c r="AF36" s="71">
        <f t="shared" si="9"/>
        <v>46.40165379</v>
      </c>
      <c r="AG36" s="72">
        <f t="shared" si="25"/>
        <v>131.3399741</v>
      </c>
      <c r="AH36" s="52">
        <f t="shared" si="11"/>
        <v>150.8662078</v>
      </c>
      <c r="AI36" s="73">
        <f t="shared" si="12"/>
        <v>125.0911043</v>
      </c>
      <c r="AJ36" s="73">
        <f t="shared" si="13"/>
        <v>148.5964057</v>
      </c>
      <c r="AK36" s="11"/>
      <c r="AL36" s="51">
        <f t="shared" si="14"/>
        <v>10570.65311</v>
      </c>
      <c r="AM36" s="3"/>
      <c r="AN36" s="3"/>
    </row>
    <row r="37" ht="15.75" customHeight="1">
      <c r="A37" s="844" t="s">
        <v>4367</v>
      </c>
      <c r="B37" s="841">
        <v>45605.0</v>
      </c>
      <c r="C37" s="56">
        <v>45613.0</v>
      </c>
      <c r="D37" s="57" t="s">
        <v>63</v>
      </c>
      <c r="E37" s="2">
        <v>1.0437450094E10</v>
      </c>
      <c r="G37" s="3">
        <v>40.0</v>
      </c>
      <c r="H37" s="57" t="s">
        <v>47</v>
      </c>
      <c r="I37" s="58">
        <v>3.71</v>
      </c>
      <c r="J37" s="58">
        <v>1.1</v>
      </c>
      <c r="K37" s="59">
        <f t="shared" si="1"/>
        <v>3.66919</v>
      </c>
      <c r="L37" s="60">
        <v>0.203</v>
      </c>
      <c r="M37" s="60">
        <v>0.195</v>
      </c>
      <c r="N37" s="62">
        <v>0.195</v>
      </c>
      <c r="O37" s="60">
        <f t="shared" si="23"/>
        <v>0.195</v>
      </c>
      <c r="P37" s="63">
        <v>90.0</v>
      </c>
      <c r="Q37" s="64">
        <v>89.7</v>
      </c>
      <c r="R37" s="65">
        <v>2606.85</v>
      </c>
      <c r="S37" s="66">
        <f t="shared" si="26"/>
        <v>100</v>
      </c>
      <c r="U37" s="67">
        <v>130.0</v>
      </c>
      <c r="V37" s="67">
        <v>1.1023</v>
      </c>
      <c r="Y37" s="68">
        <v>10.0</v>
      </c>
      <c r="Z37" s="69">
        <f t="shared" si="27"/>
        <v>30</v>
      </c>
      <c r="AA37" s="70">
        <f t="shared" si="5"/>
        <v>40</v>
      </c>
      <c r="AB37" s="71">
        <f t="shared" si="6"/>
        <v>324.833673</v>
      </c>
      <c r="AC37" s="71">
        <f>+(S37-T37)*V37-'data 1'!$F$4</f>
        <v>30.23</v>
      </c>
      <c r="AD37" s="71">
        <f t="shared" si="7"/>
        <v>-1.662711139</v>
      </c>
      <c r="AE37" s="71">
        <f t="shared" si="8"/>
        <v>-25.908</v>
      </c>
      <c r="AF37" s="71">
        <f t="shared" si="9"/>
        <v>19.59214307</v>
      </c>
      <c r="AG37" s="72">
        <f t="shared" si="25"/>
        <v>39.25143194</v>
      </c>
      <c r="AH37" s="52">
        <f t="shared" si="11"/>
        <v>22.90697551</v>
      </c>
      <c r="AI37" s="73">
        <f t="shared" si="12"/>
        <v>28.23111459</v>
      </c>
      <c r="AJ37" s="73">
        <f t="shared" si="13"/>
        <v>22.07783032</v>
      </c>
      <c r="AK37" s="11"/>
      <c r="AL37" s="51">
        <f t="shared" si="14"/>
        <v>1191.876465</v>
      </c>
      <c r="AM37" s="3"/>
      <c r="AN37" s="3"/>
    </row>
    <row r="38" ht="15.75" customHeight="1">
      <c r="A38" s="844" t="s">
        <v>4368</v>
      </c>
      <c r="B38" s="56">
        <v>45616.0</v>
      </c>
      <c r="C38" s="56">
        <v>45614.0</v>
      </c>
      <c r="D38" s="57" t="s">
        <v>82</v>
      </c>
      <c r="E38" s="2">
        <v>2.0601620147E10</v>
      </c>
      <c r="G38" s="3" t="s">
        <v>4100</v>
      </c>
      <c r="H38" s="57" t="s">
        <v>47</v>
      </c>
      <c r="I38" s="58">
        <v>34.72</v>
      </c>
      <c r="J38" s="58">
        <v>19.0</v>
      </c>
      <c r="K38" s="59">
        <f t="shared" si="1"/>
        <v>28.1232</v>
      </c>
      <c r="L38" s="60">
        <v>0.446</v>
      </c>
      <c r="M38" s="60">
        <v>0.428</v>
      </c>
      <c r="N38" s="75">
        <v>0.475</v>
      </c>
      <c r="O38" s="60">
        <f t="shared" si="23"/>
        <v>0.452</v>
      </c>
      <c r="P38" s="63">
        <v>90.0</v>
      </c>
      <c r="Q38" s="64">
        <v>89.75</v>
      </c>
      <c r="R38" s="65">
        <v>2606.85</v>
      </c>
      <c r="S38" s="76">
        <v>110.0</v>
      </c>
      <c r="U38" s="67">
        <v>90.0</v>
      </c>
      <c r="V38" s="67">
        <v>1.1023</v>
      </c>
      <c r="Y38" s="68">
        <v>30.0</v>
      </c>
      <c r="Z38" s="77">
        <v>15.0</v>
      </c>
      <c r="AA38" s="70">
        <f t="shared" si="5"/>
        <v>45</v>
      </c>
      <c r="AB38" s="71">
        <f t="shared" si="6"/>
        <v>957.7384035</v>
      </c>
      <c r="AC38" s="71">
        <f>+(S38-T38)*V38-'data 1'!$F$4</f>
        <v>41.253</v>
      </c>
      <c r="AD38" s="71">
        <f t="shared" si="7"/>
        <v>-3.093370987</v>
      </c>
      <c r="AE38" s="71">
        <f t="shared" si="8"/>
        <v>-20.3965</v>
      </c>
      <c r="AF38" s="71">
        <f t="shared" si="9"/>
        <v>-14.93973342</v>
      </c>
      <c r="AG38" s="72">
        <f t="shared" si="25"/>
        <v>19.82339559</v>
      </c>
      <c r="AH38" s="52">
        <f t="shared" si="11"/>
        <v>385.9607313</v>
      </c>
      <c r="AI38" s="73">
        <f t="shared" si="12"/>
        <v>44.41021775</v>
      </c>
      <c r="AJ38" s="73">
        <f t="shared" si="13"/>
        <v>392.2425909</v>
      </c>
      <c r="AK38" s="11"/>
      <c r="AL38" s="51">
        <f t="shared" si="14"/>
        <v>26934.66867</v>
      </c>
      <c r="AM38" s="3"/>
      <c r="AN38" s="3"/>
    </row>
    <row r="39" ht="15.75" customHeight="1">
      <c r="A39" s="844" t="s">
        <v>4369</v>
      </c>
      <c r="B39" s="56">
        <v>45625.0</v>
      </c>
      <c r="C39" s="56">
        <v>45615.0</v>
      </c>
      <c r="D39" s="57" t="s">
        <v>63</v>
      </c>
      <c r="E39" s="2">
        <v>1.0437450094E10</v>
      </c>
      <c r="G39" s="3">
        <v>100.0</v>
      </c>
      <c r="H39" s="57" t="s">
        <v>47</v>
      </c>
      <c r="I39" s="58">
        <v>7.8</v>
      </c>
      <c r="J39" s="58">
        <v>1.2</v>
      </c>
      <c r="K39" s="59">
        <f t="shared" si="1"/>
        <v>7.7064</v>
      </c>
      <c r="L39" s="60">
        <v>0.341</v>
      </c>
      <c r="M39" s="60">
        <v>0.327</v>
      </c>
      <c r="N39" s="62">
        <v>0.327</v>
      </c>
      <c r="O39" s="60">
        <f t="shared" si="23"/>
        <v>0.327</v>
      </c>
      <c r="P39" s="63">
        <v>90.0</v>
      </c>
      <c r="Q39" s="64">
        <v>89.84</v>
      </c>
      <c r="R39" s="65">
        <v>2623.2</v>
      </c>
      <c r="S39" s="66">
        <f t="shared" ref="S39:S43" si="28">IF((90+ROUNDDOWN(O39,1)*100)&lt;95,95,(90+ROUNDDOWN(O39,1)*100))</f>
        <v>120</v>
      </c>
      <c r="U39" s="67">
        <v>100.0</v>
      </c>
      <c r="V39" s="67">
        <v>1.1023</v>
      </c>
      <c r="Y39" s="68">
        <v>10.0</v>
      </c>
      <c r="Z39" s="69">
        <f t="shared" ref="Z39:Z43" si="29">IF(IF(D39="UNTUCA",IF(+((W39-3)*1.5+(X39-3)*3.1)&gt;0,+((W39-3)*1.5+(X39-3)*3.1),0),IF(+((W39-3)*1.5+(X39-3)*3.1)&gt;0,+((W39-3)*1.5+(X39-3)*3.1),0))&lt;30,30,IF(D39="UNTUCA",IF(+((W39-3)*1.5+(X39-3)*3.1)&gt;0,+((W39-3)*1.5+(X39-3)*3.1),0),IF(+((W39-3)*1.5+(X39-3)*3.1)&gt;0,+((W39-3)*1.5+(X39-3)*3.1),0)))</f>
        <v>30</v>
      </c>
      <c r="AA39" s="70">
        <f t="shared" si="5"/>
        <v>40</v>
      </c>
      <c r="AB39" s="71">
        <f t="shared" si="6"/>
        <v>642.1754648</v>
      </c>
      <c r="AC39" s="71">
        <f>+(S39-T39)*V39-'data 1'!$F$4</f>
        <v>52.276</v>
      </c>
      <c r="AD39" s="71">
        <f t="shared" si="7"/>
        <v>-1.517490025</v>
      </c>
      <c r="AE39" s="71">
        <f t="shared" si="8"/>
        <v>-25.908</v>
      </c>
      <c r="AF39" s="71">
        <f t="shared" si="9"/>
        <v>34.98237269</v>
      </c>
      <c r="AG39" s="72">
        <f t="shared" si="25"/>
        <v>76.83288267</v>
      </c>
      <c r="AH39" s="52">
        <f t="shared" si="11"/>
        <v>80.9440143</v>
      </c>
      <c r="AI39" s="73">
        <f t="shared" si="12"/>
        <v>31.84458712</v>
      </c>
      <c r="AJ39" s="73">
        <f t="shared" si="13"/>
        <v>77.75903793</v>
      </c>
      <c r="AK39" s="11"/>
      <c r="AL39" s="51">
        <f t="shared" si="14"/>
        <v>4948.861002</v>
      </c>
      <c r="AM39" s="3"/>
      <c r="AN39" s="3"/>
    </row>
    <row r="40" ht="15.75" customHeight="1">
      <c r="A40" s="844" t="s">
        <v>4370</v>
      </c>
      <c r="B40" s="841">
        <v>45618.0</v>
      </c>
      <c r="C40" s="854">
        <v>45595.0</v>
      </c>
      <c r="D40" s="57" t="s">
        <v>63</v>
      </c>
      <c r="E40" s="2">
        <v>1.0437450094E10</v>
      </c>
      <c r="F40" s="2" t="s">
        <v>4371</v>
      </c>
      <c r="G40" s="3">
        <v>95.0</v>
      </c>
      <c r="H40" s="58" t="s">
        <v>40</v>
      </c>
      <c r="I40" s="58">
        <v>6.21</v>
      </c>
      <c r="J40" s="58">
        <v>11.5</v>
      </c>
      <c r="K40" s="59">
        <f t="shared" si="1"/>
        <v>5.49585</v>
      </c>
      <c r="L40" s="60">
        <v>0.851</v>
      </c>
      <c r="M40" s="60">
        <v>0.817</v>
      </c>
      <c r="N40" s="75">
        <v>0.874</v>
      </c>
      <c r="O40" s="60">
        <f t="shared" si="23"/>
        <v>0.846</v>
      </c>
      <c r="P40" s="63">
        <v>90.0</v>
      </c>
      <c r="Q40" s="77">
        <v>89.0</v>
      </c>
      <c r="R40" s="65">
        <v>2767.8</v>
      </c>
      <c r="S40" s="66">
        <f t="shared" si="28"/>
        <v>170</v>
      </c>
      <c r="U40" s="67">
        <v>130.0</v>
      </c>
      <c r="V40" s="67">
        <v>1.1023</v>
      </c>
      <c r="Y40" s="68">
        <v>30.0</v>
      </c>
      <c r="Z40" s="69">
        <f t="shared" si="29"/>
        <v>30</v>
      </c>
      <c r="AA40" s="70">
        <f t="shared" si="5"/>
        <v>60</v>
      </c>
      <c r="AB40" s="71">
        <f t="shared" si="6"/>
        <v>1960.35338</v>
      </c>
      <c r="AC40" s="71">
        <f>+(S40-T40)*V40-'data 1'!$F$4</f>
        <v>107.391</v>
      </c>
      <c r="AD40" s="71">
        <f t="shared" si="7"/>
        <v>-24.74407546</v>
      </c>
      <c r="AE40" s="71">
        <f t="shared" si="8"/>
        <v>-3.862</v>
      </c>
      <c r="AF40" s="71">
        <f t="shared" si="9"/>
        <v>12.93902888</v>
      </c>
      <c r="AG40" s="72">
        <f t="shared" si="25"/>
        <v>108.7239534</v>
      </c>
      <c r="AH40" s="52">
        <f t="shared" si="11"/>
        <v>142.7129906</v>
      </c>
      <c r="AI40" s="73">
        <f t="shared" si="12"/>
        <v>-16.94788124</v>
      </c>
      <c r="AJ40" s="73">
        <f t="shared" si="13"/>
        <v>143.4685842</v>
      </c>
      <c r="AK40" s="53"/>
      <c r="AL40" s="51">
        <f t="shared" si="14"/>
        <v>10773.80812</v>
      </c>
      <c r="AM40" s="3"/>
      <c r="AN40" s="3"/>
    </row>
    <row r="41" ht="15.75" customHeight="1">
      <c r="A41" s="844" t="s">
        <v>4372</v>
      </c>
      <c r="B41" s="841">
        <v>45618.0</v>
      </c>
      <c r="C41" s="854">
        <v>45595.0</v>
      </c>
      <c r="D41" s="57" t="s">
        <v>63</v>
      </c>
      <c r="E41" s="2">
        <v>1.0437450094E10</v>
      </c>
      <c r="F41" s="2" t="s">
        <v>4373</v>
      </c>
      <c r="G41" s="3">
        <v>75.0</v>
      </c>
      <c r="H41" s="58" t="s">
        <v>40</v>
      </c>
      <c r="I41" s="58">
        <v>5.27</v>
      </c>
      <c r="J41" s="58">
        <v>14.78</v>
      </c>
      <c r="K41" s="59">
        <f t="shared" si="1"/>
        <v>4.491094</v>
      </c>
      <c r="L41" s="60">
        <v>0.678</v>
      </c>
      <c r="M41" s="60">
        <v>0.65</v>
      </c>
      <c r="N41" s="62">
        <v>0.7</v>
      </c>
      <c r="O41" s="60">
        <f t="shared" si="23"/>
        <v>0.675</v>
      </c>
      <c r="P41" s="63">
        <v>90.0</v>
      </c>
      <c r="Q41" s="58">
        <v>89.31</v>
      </c>
      <c r="R41" s="65">
        <v>2767.8</v>
      </c>
      <c r="S41" s="66">
        <f t="shared" si="28"/>
        <v>150</v>
      </c>
      <c r="U41" s="67">
        <v>130.0</v>
      </c>
      <c r="V41" s="67">
        <v>1.1023</v>
      </c>
      <c r="Y41" s="68">
        <v>10.0</v>
      </c>
      <c r="Z41" s="69">
        <f t="shared" si="29"/>
        <v>30</v>
      </c>
      <c r="AA41" s="70">
        <f t="shared" si="5"/>
        <v>40</v>
      </c>
      <c r="AB41" s="71">
        <f t="shared" si="6"/>
        <v>1556.958516</v>
      </c>
      <c r="AC41" s="71">
        <f>+(S41-T41)*V41-'data 1'!$F$4</f>
        <v>85.345</v>
      </c>
      <c r="AD41" s="71">
        <f t="shared" si="7"/>
        <v>-13.60255391</v>
      </c>
      <c r="AE41" s="71">
        <f t="shared" si="8"/>
        <v>-25.908</v>
      </c>
      <c r="AF41" s="71">
        <f t="shared" si="9"/>
        <v>7.790458446</v>
      </c>
      <c r="AG41" s="72">
        <f t="shared" si="25"/>
        <v>70.62490453</v>
      </c>
      <c r="AH41" s="52">
        <f t="shared" si="11"/>
        <v>93.23758103</v>
      </c>
      <c r="AI41" s="73">
        <f t="shared" si="12"/>
        <v>-13.54957361</v>
      </c>
      <c r="AJ41" s="73">
        <f t="shared" si="13"/>
        <v>93.54218209</v>
      </c>
      <c r="AK41" s="53"/>
      <c r="AL41" s="51">
        <f t="shared" si="14"/>
        <v>6992.44705</v>
      </c>
      <c r="AM41" s="3"/>
      <c r="AN41" s="3"/>
    </row>
    <row r="42" ht="15.75" customHeight="1">
      <c r="A42" s="844" t="s">
        <v>4374</v>
      </c>
      <c r="B42" s="56">
        <v>45617.0</v>
      </c>
      <c r="C42" s="56">
        <v>45615.0</v>
      </c>
      <c r="D42" s="57" t="s">
        <v>51</v>
      </c>
      <c r="E42" s="2">
        <v>1.042310973E10</v>
      </c>
      <c r="G42" s="3" t="s">
        <v>4100</v>
      </c>
      <c r="H42" s="57" t="s">
        <v>47</v>
      </c>
      <c r="I42" s="58">
        <v>21.52</v>
      </c>
      <c r="J42" s="58">
        <v>1.3</v>
      </c>
      <c r="K42" s="59">
        <f t="shared" si="1"/>
        <v>21.24024</v>
      </c>
      <c r="L42" s="60">
        <v>0.203</v>
      </c>
      <c r="M42" s="60">
        <v>0.218</v>
      </c>
      <c r="N42" s="75">
        <v>0.25</v>
      </c>
      <c r="O42" s="60">
        <f t="shared" si="23"/>
        <v>0.234</v>
      </c>
      <c r="P42" s="63">
        <v>90.0</v>
      </c>
      <c r="Q42" s="64">
        <v>89.92</v>
      </c>
      <c r="R42" s="65">
        <v>2623.2</v>
      </c>
      <c r="S42" s="66">
        <f t="shared" si="28"/>
        <v>110</v>
      </c>
      <c r="U42" s="67">
        <v>100.0</v>
      </c>
      <c r="V42" s="67">
        <v>1.1023</v>
      </c>
      <c r="Y42" s="68"/>
      <c r="Z42" s="69">
        <f t="shared" si="29"/>
        <v>30</v>
      </c>
      <c r="AA42" s="70">
        <f t="shared" si="5"/>
        <v>30</v>
      </c>
      <c r="AB42" s="71">
        <f t="shared" si="6"/>
        <v>431.4246996</v>
      </c>
      <c r="AC42" s="71">
        <f>+(S42-T42)*V42-'data 1'!$F$4</f>
        <v>41.253</v>
      </c>
      <c r="AD42" s="71">
        <f t="shared" si="7"/>
        <v>-0.4516869137</v>
      </c>
      <c r="AE42" s="71">
        <f t="shared" si="8"/>
        <v>-36.931</v>
      </c>
      <c r="AF42" s="71">
        <f t="shared" si="9"/>
        <v>-77.52994492</v>
      </c>
      <c r="AG42" s="72">
        <f t="shared" ref="AG42:AG43" si="30">+IF(D42="RONALD WILLIAN GARIBAY ESCUDERO",AC42+AD42+AE42+AF42+70,AC42+AD42+AE42+AF42)</f>
        <v>-3.659631838</v>
      </c>
      <c r="AH42" s="52">
        <f t="shared" si="11"/>
        <v>132.9293328</v>
      </c>
      <c r="AI42" s="73">
        <f t="shared" si="12"/>
        <v>18.97421583</v>
      </c>
      <c r="AJ42" s="73">
        <f t="shared" si="13"/>
        <v>153.3652108</v>
      </c>
      <c r="AK42" s="11"/>
      <c r="AL42" s="51">
        <f t="shared" si="14"/>
        <v>9163.564162</v>
      </c>
      <c r="AM42" s="3"/>
      <c r="AN42" s="3"/>
    </row>
    <row r="43" ht="15.75" customHeight="1">
      <c r="A43" s="844" t="s">
        <v>4375</v>
      </c>
      <c r="B43" s="56">
        <v>45621.0</v>
      </c>
      <c r="C43" s="56">
        <v>45616.0</v>
      </c>
      <c r="D43" s="57" t="s">
        <v>51</v>
      </c>
      <c r="E43" s="2">
        <v>1.042310973E10</v>
      </c>
      <c r="G43" s="3">
        <v>96.0</v>
      </c>
      <c r="H43" s="57" t="s">
        <v>47</v>
      </c>
      <c r="I43" s="58">
        <v>11.85</v>
      </c>
      <c r="J43" s="58">
        <v>1.2</v>
      </c>
      <c r="K43" s="59">
        <f t="shared" si="1"/>
        <v>11.7078</v>
      </c>
      <c r="L43" s="60">
        <v>0.63</v>
      </c>
      <c r="M43" s="60">
        <v>0.63</v>
      </c>
      <c r="N43" s="75">
        <v>0.664</v>
      </c>
      <c r="O43" s="60">
        <f t="shared" si="23"/>
        <v>0.647</v>
      </c>
      <c r="P43" s="63">
        <v>90.0</v>
      </c>
      <c r="Q43" s="64">
        <v>89.59</v>
      </c>
      <c r="R43" s="65">
        <v>2640.55</v>
      </c>
      <c r="S43" s="66">
        <f t="shared" si="28"/>
        <v>150</v>
      </c>
      <c r="U43" s="67">
        <v>100.0</v>
      </c>
      <c r="V43" s="67">
        <v>1.1023</v>
      </c>
      <c r="Y43" s="68"/>
      <c r="Z43" s="69">
        <f t="shared" si="29"/>
        <v>30</v>
      </c>
      <c r="AA43" s="70">
        <f t="shared" si="5"/>
        <v>30</v>
      </c>
      <c r="AB43" s="71">
        <f t="shared" si="6"/>
        <v>1432.287025</v>
      </c>
      <c r="AC43" s="71">
        <f>+(S43-T43)*V43-'data 1'!$F$4</f>
        <v>85.345</v>
      </c>
      <c r="AD43" s="71">
        <f t="shared" si="7"/>
        <v>-7.233557868</v>
      </c>
      <c r="AE43" s="71">
        <f t="shared" si="8"/>
        <v>-36.931</v>
      </c>
      <c r="AF43" s="71">
        <f t="shared" si="9"/>
        <v>-42.65166721</v>
      </c>
      <c r="AG43" s="72">
        <f t="shared" si="30"/>
        <v>68.52877492</v>
      </c>
      <c r="AH43" s="52">
        <f t="shared" si="11"/>
        <v>226.5606334</v>
      </c>
      <c r="AI43" s="73">
        <f t="shared" si="12"/>
        <v>47.87497031</v>
      </c>
      <c r="AJ43" s="73">
        <f t="shared" si="13"/>
        <v>233.7389853</v>
      </c>
      <c r="AK43" s="11"/>
      <c r="AL43" s="51">
        <f t="shared" si="14"/>
        <v>16768.93003</v>
      </c>
      <c r="AM43" s="3"/>
      <c r="AN43" s="3"/>
    </row>
    <row r="44" ht="15.75" customHeight="1">
      <c r="A44" s="844" t="s">
        <v>4376</v>
      </c>
      <c r="B44" s="56">
        <v>45619.0</v>
      </c>
      <c r="C44" s="56">
        <v>45617.0</v>
      </c>
      <c r="D44" s="57" t="s">
        <v>79</v>
      </c>
      <c r="E44" s="67">
        <v>1.0421580605E10</v>
      </c>
      <c r="G44" s="3" t="s">
        <v>4100</v>
      </c>
      <c r="H44" s="57" t="s">
        <v>47</v>
      </c>
      <c r="I44" s="58">
        <v>32.49</v>
      </c>
      <c r="J44" s="58">
        <v>16.4</v>
      </c>
      <c r="K44" s="59">
        <f t="shared" si="1"/>
        <v>27.16164</v>
      </c>
      <c r="L44" s="60">
        <v>0.161</v>
      </c>
      <c r="M44" s="60">
        <v>0.145</v>
      </c>
      <c r="N44" s="75">
        <v>0.172</v>
      </c>
      <c r="O44" s="60">
        <f t="shared" si="23"/>
        <v>0.159</v>
      </c>
      <c r="P44" s="63">
        <v>90.0</v>
      </c>
      <c r="Q44" s="64">
        <v>89.23</v>
      </c>
      <c r="R44" s="65">
        <v>2665.3</v>
      </c>
      <c r="S44" s="76">
        <v>85.0</v>
      </c>
      <c r="U44" s="67">
        <v>90.0</v>
      </c>
      <c r="V44" s="67">
        <v>1.1023</v>
      </c>
      <c r="Y44" s="68"/>
      <c r="Z44" s="77">
        <v>15.0</v>
      </c>
      <c r="AA44" s="70">
        <f t="shared" si="5"/>
        <v>15</v>
      </c>
      <c r="AB44" s="71">
        <f t="shared" si="6"/>
        <v>295.9955815</v>
      </c>
      <c r="AC44" s="71">
        <f>+(S44-T44)*V44-'data 1'!$F$4</f>
        <v>13.6955</v>
      </c>
      <c r="AD44" s="71">
        <f t="shared" si="7"/>
        <v>-3.51920233</v>
      </c>
      <c r="AE44" s="71">
        <f t="shared" si="8"/>
        <v>-53.4655</v>
      </c>
      <c r="AF44" s="71">
        <f t="shared" si="9"/>
        <v>5.066038943</v>
      </c>
      <c r="AG44" s="72">
        <f>+IF(D44="RONALD WILLIAN GARIBAY ESCUDERO",AC44+AD44+AE44+AF44+70,AC44+AD44+AE44+AF44)+70-20</f>
        <v>11.77683661</v>
      </c>
      <c r="AH44" s="52">
        <f t="shared" si="11"/>
        <v>133.7832762</v>
      </c>
      <c r="AI44" s="73">
        <f t="shared" si="12"/>
        <v>6.682654795</v>
      </c>
      <c r="AJ44" s="73">
        <f t="shared" si="13"/>
        <v>133.2614983</v>
      </c>
      <c r="AK44" s="11"/>
      <c r="AL44" s="51">
        <f t="shared" si="14"/>
        <v>8039.725426</v>
      </c>
      <c r="AM44" s="3"/>
      <c r="AN44" s="3"/>
    </row>
    <row r="45" ht="15.75" customHeight="1">
      <c r="A45" s="844" t="s">
        <v>4377</v>
      </c>
      <c r="B45" s="56">
        <v>45619.0</v>
      </c>
      <c r="C45" s="56">
        <v>45617.0</v>
      </c>
      <c r="D45" s="57" t="s">
        <v>45</v>
      </c>
      <c r="E45" s="67">
        <v>1.0416085884E10</v>
      </c>
      <c r="G45" s="3">
        <v>114.0</v>
      </c>
      <c r="H45" s="57" t="s">
        <v>47</v>
      </c>
      <c r="I45" s="58">
        <v>8.09</v>
      </c>
      <c r="J45" s="58">
        <v>4.15</v>
      </c>
      <c r="K45" s="59">
        <f t="shared" si="1"/>
        <v>7.754265</v>
      </c>
      <c r="L45" s="60">
        <v>0.113</v>
      </c>
      <c r="M45" s="60">
        <v>0.108</v>
      </c>
      <c r="N45" s="75">
        <v>0.126</v>
      </c>
      <c r="O45" s="60">
        <f t="shared" si="23"/>
        <v>0.117</v>
      </c>
      <c r="P45" s="63">
        <v>85.0</v>
      </c>
      <c r="Q45" s="64">
        <v>89.46</v>
      </c>
      <c r="R45" s="65">
        <v>2665.3</v>
      </c>
      <c r="S45" s="76">
        <v>110.0</v>
      </c>
      <c r="U45" s="67">
        <v>90.0</v>
      </c>
      <c r="V45" s="67">
        <v>1.1023</v>
      </c>
      <c r="Y45" s="68"/>
      <c r="Z45" s="69">
        <f t="shared" ref="Z45:Z59" si="31">IF(IF(D45="UNTUCA",IF(+((W45-3)*1.5+(X45-3)*3.1)&gt;0,+((W45-3)*1.5+(X45-3)*3.1),0),IF(+((W45-3)*1.5+(X45-3)*3.1)&gt;0,+((W45-3)*1.5+(X45-3)*3.1),0))&lt;30,30,IF(D45="UNTUCA",IF(+((W45-3)*1.5+(X45-3)*3.1)&gt;0,+((W45-3)*1.5+(X45-3)*3.1),0),IF(+((W45-3)*1.5+(X45-3)*3.1)&gt;0,+((W45-3)*1.5+(X45-3)*3.1),0)))</f>
        <v>30</v>
      </c>
      <c r="AA45" s="70">
        <f t="shared" si="5"/>
        <v>30</v>
      </c>
      <c r="AB45" s="71">
        <f t="shared" si="6"/>
        <v>127.9920047</v>
      </c>
      <c r="AC45" s="71">
        <f>+(S45-T45)*V45-'data 1'!$F$4</f>
        <v>41.253</v>
      </c>
      <c r="AD45" s="71">
        <f t="shared" si="7"/>
        <v>14.30674833</v>
      </c>
      <c r="AE45" s="71">
        <f t="shared" si="8"/>
        <v>-36.931</v>
      </c>
      <c r="AF45" s="71">
        <f t="shared" si="9"/>
        <v>-10.15819442</v>
      </c>
      <c r="AG45" s="72">
        <f t="shared" ref="AG45:AG46" si="32">+IF(D45="RONALD WILLIAN GARIBAY ESCUDERO",AC45+AD45+AE45+AF45+70,AC45+AD45+AE45+AF45)+90-53</f>
        <v>45.47055391</v>
      </c>
      <c r="AH45" s="52">
        <f t="shared" si="11"/>
        <v>26.87553049</v>
      </c>
      <c r="AI45" s="73">
        <f t="shared" si="12"/>
        <v>4.702400292</v>
      </c>
      <c r="AJ45" s="73">
        <f t="shared" si="13"/>
        <v>26.43957657</v>
      </c>
      <c r="AK45" s="11"/>
      <c r="AL45" s="51">
        <f t="shared" si="14"/>
        <v>992.4839227</v>
      </c>
      <c r="AM45" s="3"/>
      <c r="AN45" s="3"/>
    </row>
    <row r="46" ht="15.75" customHeight="1">
      <c r="A46" s="844" t="s">
        <v>4378</v>
      </c>
      <c r="B46" s="56">
        <v>45619.0</v>
      </c>
      <c r="C46" s="56">
        <v>45617.0</v>
      </c>
      <c r="D46" s="57" t="s">
        <v>45</v>
      </c>
      <c r="E46" s="67">
        <v>1.0416085884E10</v>
      </c>
      <c r="G46" s="3" t="s">
        <v>4100</v>
      </c>
      <c r="H46" s="57" t="s">
        <v>47</v>
      </c>
      <c r="I46" s="58">
        <v>19.15</v>
      </c>
      <c r="J46" s="58">
        <v>9.95</v>
      </c>
      <c r="K46" s="59">
        <f t="shared" si="1"/>
        <v>17.244575</v>
      </c>
      <c r="L46" s="60">
        <v>0.127</v>
      </c>
      <c r="M46" s="60">
        <v>0.113</v>
      </c>
      <c r="N46" s="75">
        <v>0.133</v>
      </c>
      <c r="O46" s="60">
        <f t="shared" si="23"/>
        <v>0.123</v>
      </c>
      <c r="P46" s="63">
        <v>85.0</v>
      </c>
      <c r="Q46" s="64">
        <v>89.78</v>
      </c>
      <c r="R46" s="65">
        <v>2665.3</v>
      </c>
      <c r="S46" s="76">
        <v>110.0</v>
      </c>
      <c r="U46" s="67">
        <v>90.0</v>
      </c>
      <c r="V46" s="67">
        <v>1.1023</v>
      </c>
      <c r="Y46" s="68"/>
      <c r="Z46" s="69">
        <f t="shared" si="31"/>
        <v>30</v>
      </c>
      <c r="AA46" s="70">
        <f t="shared" si="5"/>
        <v>30</v>
      </c>
      <c r="AB46" s="71">
        <f t="shared" si="6"/>
        <v>142.469646</v>
      </c>
      <c r="AC46" s="71">
        <f>+(S46-T46)*V46-'data 1'!$F$4</f>
        <v>41.253</v>
      </c>
      <c r="AD46" s="71">
        <f t="shared" si="7"/>
        <v>17.23293512</v>
      </c>
      <c r="AE46" s="71">
        <f t="shared" si="8"/>
        <v>-36.931</v>
      </c>
      <c r="AF46" s="71">
        <f t="shared" si="9"/>
        <v>10.19453046</v>
      </c>
      <c r="AG46" s="72">
        <f t="shared" si="32"/>
        <v>68.74946557</v>
      </c>
      <c r="AH46" s="52">
        <f t="shared" si="11"/>
        <v>67.41319128</v>
      </c>
      <c r="AI46" s="73">
        <f t="shared" si="12"/>
        <v>5.303903091</v>
      </c>
      <c r="AJ46" s="73">
        <f t="shared" si="13"/>
        <v>61.81382267</v>
      </c>
      <c r="AK46" s="11"/>
      <c r="AL46" s="51">
        <f t="shared" si="14"/>
        <v>2456.828496</v>
      </c>
      <c r="AM46" s="3"/>
      <c r="AN46" s="3"/>
    </row>
    <row r="47" ht="15.75" customHeight="1">
      <c r="A47" s="844" t="s">
        <v>4379</v>
      </c>
      <c r="B47" s="56">
        <v>45622.0</v>
      </c>
      <c r="C47" s="56">
        <v>45619.0</v>
      </c>
      <c r="D47" s="57" t="s">
        <v>70</v>
      </c>
      <c r="E47" s="67">
        <v>2.0606527439E10</v>
      </c>
      <c r="G47" s="3" t="s">
        <v>4100</v>
      </c>
      <c r="H47" s="57" t="s">
        <v>47</v>
      </c>
      <c r="I47" s="58">
        <v>4.56</v>
      </c>
      <c r="J47" s="58">
        <v>5.2</v>
      </c>
      <c r="K47" s="59">
        <f t="shared" si="1"/>
        <v>4.32288</v>
      </c>
      <c r="L47" s="60">
        <v>0.157</v>
      </c>
      <c r="M47" s="60">
        <v>0.147</v>
      </c>
      <c r="N47" s="62">
        <v>0.147</v>
      </c>
      <c r="O47" s="60">
        <f t="shared" si="23"/>
        <v>0.147</v>
      </c>
      <c r="P47" s="63">
        <v>85.0</v>
      </c>
      <c r="Q47" s="64">
        <v>89.89</v>
      </c>
      <c r="R47" s="65">
        <v>2694.95</v>
      </c>
      <c r="S47" s="76">
        <v>110.0</v>
      </c>
      <c r="U47" s="67">
        <v>90.0</v>
      </c>
      <c r="V47" s="67">
        <v>1.1023</v>
      </c>
      <c r="Y47" s="68"/>
      <c r="Z47" s="69">
        <f t="shared" si="31"/>
        <v>30</v>
      </c>
      <c r="AA47" s="70">
        <f t="shared" si="5"/>
        <v>30</v>
      </c>
      <c r="AB47" s="71">
        <f t="shared" si="6"/>
        <v>204.4639763</v>
      </c>
      <c r="AC47" s="71">
        <f>+(S47-T47)*V47-'data 1'!$F$4</f>
        <v>41.253</v>
      </c>
      <c r="AD47" s="71">
        <f t="shared" si="7"/>
        <v>22.04487856</v>
      </c>
      <c r="AE47" s="71">
        <f t="shared" si="8"/>
        <v>-36.931</v>
      </c>
      <c r="AF47" s="71">
        <f t="shared" si="9"/>
        <v>25.81134166</v>
      </c>
      <c r="AG47" s="72">
        <f>+IF(D47="RONALD WILLIAN GARIBAY ESCUDERO",AC47+AD47+AE47+AF47+70,AC47+AD47+AE47+AF47)+70-53</f>
        <v>69.17822022</v>
      </c>
      <c r="AH47" s="52">
        <f t="shared" si="11"/>
        <v>20.91670552</v>
      </c>
      <c r="AI47" s="73">
        <f t="shared" si="12"/>
        <v>1.952336016</v>
      </c>
      <c r="AJ47" s="73">
        <f t="shared" si="13"/>
        <v>18.51904171</v>
      </c>
      <c r="AK47" s="11"/>
      <c r="AL47" s="51">
        <f t="shared" si="14"/>
        <v>883.8732339</v>
      </c>
      <c r="AM47" s="3"/>
      <c r="AN47" s="3"/>
    </row>
    <row r="48" ht="15.75" customHeight="1">
      <c r="A48" s="844" t="s">
        <v>4380</v>
      </c>
      <c r="B48" s="56">
        <v>45622.0</v>
      </c>
      <c r="C48" s="56">
        <v>45619.0</v>
      </c>
      <c r="D48" s="57" t="s">
        <v>51</v>
      </c>
      <c r="E48" s="2">
        <v>1.042310973E10</v>
      </c>
      <c r="G48" s="3">
        <v>38.0</v>
      </c>
      <c r="H48" s="57" t="s">
        <v>47</v>
      </c>
      <c r="I48" s="58">
        <v>3.72</v>
      </c>
      <c r="J48" s="58">
        <v>1.02</v>
      </c>
      <c r="K48" s="59">
        <f t="shared" si="1"/>
        <v>3.682056</v>
      </c>
      <c r="L48" s="60">
        <v>0.468</v>
      </c>
      <c r="M48" s="60">
        <v>0.458</v>
      </c>
      <c r="N48" s="62">
        <v>0.458</v>
      </c>
      <c r="O48" s="60">
        <f t="shared" si="23"/>
        <v>0.458</v>
      </c>
      <c r="P48" s="63">
        <v>90.0</v>
      </c>
      <c r="Q48" s="64">
        <v>89.78</v>
      </c>
      <c r="R48" s="65">
        <v>2694.95</v>
      </c>
      <c r="S48" s="66">
        <f t="shared" ref="S48:S59" si="33">IF((90+ROUNDDOWN(O48,1)*100)&lt;95,95,(90+ROUNDDOWN(O48,1)*100))</f>
        <v>130</v>
      </c>
      <c r="U48" s="67">
        <v>100.0</v>
      </c>
      <c r="V48" s="67">
        <v>1.1023</v>
      </c>
      <c r="Y48" s="68"/>
      <c r="Z48" s="69">
        <f t="shared" si="31"/>
        <v>30</v>
      </c>
      <c r="AA48" s="70">
        <f t="shared" si="5"/>
        <v>30</v>
      </c>
      <c r="AB48" s="71">
        <f t="shared" si="6"/>
        <v>1002.694397</v>
      </c>
      <c r="AC48" s="71">
        <f>+(S48-T48)*V48-'data 1'!$F$4</f>
        <v>63.299</v>
      </c>
      <c r="AD48" s="71">
        <f t="shared" si="7"/>
        <v>-2.945081621</v>
      </c>
      <c r="AE48" s="71">
        <f t="shared" si="8"/>
        <v>-36.931</v>
      </c>
      <c r="AF48" s="71">
        <f t="shared" si="9"/>
        <v>25.68079137</v>
      </c>
      <c r="AG48" s="72">
        <f t="shared" ref="AG48:AG59" si="34">+IF(D48="RONALD WILLIAN GARIBAY ESCUDERO",AC48+AD48+AE48+AF48+70,AC48+AD48+AE48+AF48)</f>
        <v>119.1037097</v>
      </c>
      <c r="AH48" s="52">
        <f t="shared" si="11"/>
        <v>53.04261331</v>
      </c>
      <c r="AI48" s="73">
        <f t="shared" si="12"/>
        <v>10.44411891</v>
      </c>
      <c r="AJ48" s="73">
        <f t="shared" si="13"/>
        <v>52.03642428</v>
      </c>
      <c r="AK48" s="11"/>
      <c r="AL48" s="51">
        <f t="shared" si="14"/>
        <v>3691.976922</v>
      </c>
      <c r="AM48" s="3"/>
      <c r="AN48" s="3"/>
    </row>
    <row r="49" ht="15.75" customHeight="1">
      <c r="A49" s="844" t="s">
        <v>4381</v>
      </c>
      <c r="B49" s="56">
        <v>45622.0</v>
      </c>
      <c r="C49" s="56">
        <v>45619.0</v>
      </c>
      <c r="D49" s="57" t="s">
        <v>51</v>
      </c>
      <c r="E49" s="2">
        <v>1.042310973E10</v>
      </c>
      <c r="G49" s="3">
        <v>37.0</v>
      </c>
      <c r="H49" s="57" t="s">
        <v>47</v>
      </c>
      <c r="I49" s="58">
        <v>4.0</v>
      </c>
      <c r="J49" s="58">
        <v>1.12</v>
      </c>
      <c r="K49" s="59">
        <f t="shared" si="1"/>
        <v>3.9552</v>
      </c>
      <c r="L49" s="60">
        <v>0.208</v>
      </c>
      <c r="M49" s="60">
        <v>0.198</v>
      </c>
      <c r="N49" s="62">
        <v>0.198</v>
      </c>
      <c r="O49" s="60">
        <f t="shared" si="23"/>
        <v>0.198</v>
      </c>
      <c r="P49" s="63">
        <v>90.0</v>
      </c>
      <c r="Q49" s="64">
        <v>89.56</v>
      </c>
      <c r="R49" s="65">
        <v>2694.95</v>
      </c>
      <c r="S49" s="66">
        <f t="shared" si="33"/>
        <v>100</v>
      </c>
      <c r="U49" s="67">
        <v>100.0</v>
      </c>
      <c r="V49" s="67">
        <v>1.1023</v>
      </c>
      <c r="Y49" s="68"/>
      <c r="Z49" s="69">
        <f t="shared" si="31"/>
        <v>30</v>
      </c>
      <c r="AA49" s="70">
        <f t="shared" si="5"/>
        <v>30</v>
      </c>
      <c r="AB49" s="71">
        <f t="shared" si="6"/>
        <v>366.4266652</v>
      </c>
      <c r="AC49" s="71">
        <f>+(S49-T49)*V49-'data 1'!$F$4</f>
        <v>30.23</v>
      </c>
      <c r="AD49" s="71">
        <f t="shared" si="7"/>
        <v>-2.61785033</v>
      </c>
      <c r="AE49" s="71">
        <f t="shared" si="8"/>
        <v>-36.931</v>
      </c>
      <c r="AF49" s="71">
        <f t="shared" si="9"/>
        <v>25.61786228</v>
      </c>
      <c r="AG49" s="72">
        <f t="shared" si="34"/>
        <v>86.29901195</v>
      </c>
      <c r="AH49" s="52">
        <f t="shared" si="11"/>
        <v>25.26125589</v>
      </c>
      <c r="AI49" s="73">
        <f t="shared" si="12"/>
        <v>4.630456125</v>
      </c>
      <c r="AJ49" s="73">
        <f t="shared" si="13"/>
        <v>24.16491201</v>
      </c>
      <c r="AK49" s="11"/>
      <c r="AL49" s="51">
        <f t="shared" si="14"/>
        <v>1449.290746</v>
      </c>
      <c r="AM49" s="3"/>
      <c r="AN49" s="3"/>
    </row>
    <row r="50" ht="15.75" customHeight="1">
      <c r="A50" s="844" t="s">
        <v>4382</v>
      </c>
      <c r="B50" s="56">
        <v>45622.0</v>
      </c>
      <c r="C50" s="56">
        <v>45619.0</v>
      </c>
      <c r="D50" s="57" t="s">
        <v>51</v>
      </c>
      <c r="E50" s="2">
        <v>1.042310973E10</v>
      </c>
      <c r="G50" s="3">
        <v>22.0</v>
      </c>
      <c r="H50" s="57" t="s">
        <v>47</v>
      </c>
      <c r="I50" s="58">
        <v>2.57</v>
      </c>
      <c r="J50" s="58">
        <v>1.05</v>
      </c>
      <c r="K50" s="59">
        <f t="shared" si="1"/>
        <v>2.543015</v>
      </c>
      <c r="L50" s="60">
        <v>0.757</v>
      </c>
      <c r="M50" s="60">
        <v>0.747</v>
      </c>
      <c r="N50" s="75">
        <v>0.795</v>
      </c>
      <c r="O50" s="60">
        <f t="shared" si="23"/>
        <v>0.771</v>
      </c>
      <c r="P50" s="63">
        <v>90.0</v>
      </c>
      <c r="Q50" s="64">
        <v>89.81</v>
      </c>
      <c r="R50" s="65">
        <v>2694.95</v>
      </c>
      <c r="S50" s="66">
        <f t="shared" si="33"/>
        <v>160</v>
      </c>
      <c r="U50" s="67">
        <v>100.0</v>
      </c>
      <c r="V50" s="67">
        <v>1.1023</v>
      </c>
      <c r="Y50" s="68"/>
      <c r="Z50" s="69">
        <f t="shared" si="31"/>
        <v>30</v>
      </c>
      <c r="AA50" s="70">
        <f t="shared" si="5"/>
        <v>30</v>
      </c>
      <c r="AB50" s="71">
        <f t="shared" si="6"/>
        <v>1775.403848</v>
      </c>
      <c r="AC50" s="71">
        <f>+(S50-T50)*V50-'data 1'!$F$4</f>
        <v>96.368</v>
      </c>
      <c r="AD50" s="71">
        <f t="shared" si="7"/>
        <v>-4.114132572</v>
      </c>
      <c r="AE50" s="71">
        <f t="shared" si="8"/>
        <v>-36.931</v>
      </c>
      <c r="AF50" s="71">
        <f t="shared" si="9"/>
        <v>-35.96512165</v>
      </c>
      <c r="AG50" s="72">
        <f t="shared" si="34"/>
        <v>89.35774577</v>
      </c>
      <c r="AH50" s="52">
        <f t="shared" si="11"/>
        <v>59.27595601</v>
      </c>
      <c r="AI50" s="73">
        <f t="shared" si="12"/>
        <v>16.8992305</v>
      </c>
      <c r="AJ50" s="73">
        <f t="shared" si="13"/>
        <v>60.4999309</v>
      </c>
      <c r="AK50" s="11"/>
      <c r="AL50" s="51">
        <f t="shared" si="14"/>
        <v>4514.878616</v>
      </c>
      <c r="AM50" s="3">
        <v>0.799</v>
      </c>
      <c r="AN50" s="60">
        <f>+AM50-L50</f>
        <v>0.042</v>
      </c>
    </row>
    <row r="51" ht="15.75" customHeight="1">
      <c r="A51" s="844" t="s">
        <v>4383</v>
      </c>
      <c r="B51" s="56">
        <v>45628.0</v>
      </c>
      <c r="C51" s="56">
        <v>45621.0</v>
      </c>
      <c r="D51" s="57" t="s">
        <v>38</v>
      </c>
      <c r="E51" s="2">
        <v>2.0606534923E10</v>
      </c>
      <c r="F51" s="2" t="s">
        <v>4384</v>
      </c>
      <c r="G51" s="3">
        <v>170.0</v>
      </c>
      <c r="H51" s="57" t="s">
        <v>71</v>
      </c>
      <c r="I51" s="58">
        <v>12.46</v>
      </c>
      <c r="J51" s="58">
        <v>12.8</v>
      </c>
      <c r="K51" s="59">
        <f t="shared" si="1"/>
        <v>10.86512</v>
      </c>
      <c r="L51" s="60">
        <v>0.361</v>
      </c>
      <c r="M51" s="60">
        <v>0.356</v>
      </c>
      <c r="N51" s="60">
        <v>0.356</v>
      </c>
      <c r="O51" s="60">
        <f t="shared" si="23"/>
        <v>0.356</v>
      </c>
      <c r="P51" s="63">
        <v>89.0</v>
      </c>
      <c r="Q51" s="64">
        <v>89.56</v>
      </c>
      <c r="R51" s="65">
        <v>2670.4</v>
      </c>
      <c r="S51" s="66">
        <f t="shared" si="33"/>
        <v>120</v>
      </c>
      <c r="U51" s="67">
        <v>100.0</v>
      </c>
      <c r="V51" s="67">
        <v>1.1023</v>
      </c>
      <c r="Y51" s="68">
        <v>40.0</v>
      </c>
      <c r="Z51" s="69">
        <f t="shared" si="31"/>
        <v>30</v>
      </c>
      <c r="AA51" s="70">
        <f t="shared" si="5"/>
        <v>70</v>
      </c>
      <c r="AB51" s="71">
        <f t="shared" si="6"/>
        <v>688.2822223</v>
      </c>
      <c r="AC51" s="71">
        <f>+(S51-T51)*V51-'data 1'!$F$4</f>
        <v>52.276</v>
      </c>
      <c r="AD51" s="71">
        <f t="shared" si="7"/>
        <v>5.727904241</v>
      </c>
      <c r="AE51" s="71">
        <f t="shared" si="8"/>
        <v>7.161</v>
      </c>
      <c r="AF51" s="71">
        <f t="shared" si="9"/>
        <v>12.6877499</v>
      </c>
      <c r="AG51" s="72">
        <f t="shared" si="34"/>
        <v>77.85265414</v>
      </c>
      <c r="AH51" s="52">
        <f t="shared" si="11"/>
        <v>120.4383739</v>
      </c>
      <c r="AI51" s="73">
        <f t="shared" si="12"/>
        <v>16.78579834</v>
      </c>
      <c r="AJ51" s="73">
        <f t="shared" si="13"/>
        <v>118.0276068</v>
      </c>
      <c r="AK51" s="11"/>
      <c r="AL51" s="51">
        <f t="shared" si="14"/>
        <v>7478.26894</v>
      </c>
      <c r="AM51" s="3"/>
      <c r="AN51" s="3"/>
    </row>
    <row r="52" ht="15.75" customHeight="1">
      <c r="A52" s="844" t="s">
        <v>4385</v>
      </c>
      <c r="B52" s="56">
        <v>45629.0</v>
      </c>
      <c r="C52" s="56">
        <v>45621.0</v>
      </c>
      <c r="D52" s="2" t="s">
        <v>602</v>
      </c>
      <c r="E52" s="2">
        <v>2.0169040237E10</v>
      </c>
      <c r="F52" s="2" t="s">
        <v>4386</v>
      </c>
      <c r="G52" s="3">
        <v>74.0</v>
      </c>
      <c r="H52" s="57" t="s">
        <v>47</v>
      </c>
      <c r="I52" s="58">
        <v>7.34</v>
      </c>
      <c r="J52" s="58">
        <v>1.23</v>
      </c>
      <c r="K52" s="59">
        <f t="shared" si="1"/>
        <v>7.249718</v>
      </c>
      <c r="L52" s="60">
        <v>0.141</v>
      </c>
      <c r="M52" s="60">
        <v>0.131</v>
      </c>
      <c r="N52" s="62">
        <v>0.131</v>
      </c>
      <c r="O52" s="60">
        <f t="shared" si="23"/>
        <v>0.131</v>
      </c>
      <c r="P52" s="63">
        <v>85.0</v>
      </c>
      <c r="Q52" s="64">
        <v>89.75</v>
      </c>
      <c r="R52" s="65">
        <v>2670.4</v>
      </c>
      <c r="S52" s="66">
        <f t="shared" si="33"/>
        <v>100</v>
      </c>
      <c r="U52" s="67">
        <v>100.0</v>
      </c>
      <c r="V52" s="67">
        <v>1.1023</v>
      </c>
      <c r="Y52" s="68">
        <v>20.0</v>
      </c>
      <c r="Z52" s="69">
        <f t="shared" si="31"/>
        <v>30</v>
      </c>
      <c r="AA52" s="70">
        <f t="shared" si="5"/>
        <v>50</v>
      </c>
      <c r="AB52" s="71">
        <f t="shared" si="6"/>
        <v>150.1487363</v>
      </c>
      <c r="AC52" s="71">
        <f>+(S52-T52)*V52-'data 1'!$F$4</f>
        <v>30.23</v>
      </c>
      <c r="AD52" s="71">
        <f t="shared" si="7"/>
        <v>18.97637448</v>
      </c>
      <c r="AE52" s="71">
        <f t="shared" si="8"/>
        <v>-14.885</v>
      </c>
      <c r="AF52" s="71">
        <f t="shared" si="9"/>
        <v>25.42933348</v>
      </c>
      <c r="AG52" s="72">
        <f t="shared" si="34"/>
        <v>59.75070797</v>
      </c>
      <c r="AH52" s="52">
        <f t="shared" si="11"/>
        <v>31.45457002</v>
      </c>
      <c r="AI52" s="73">
        <f t="shared" si="12"/>
        <v>6.570134866</v>
      </c>
      <c r="AJ52" s="73">
        <f t="shared" si="13"/>
        <v>27.67708862</v>
      </c>
      <c r="AK52" s="11"/>
      <c r="AL52" s="51">
        <f t="shared" si="14"/>
        <v>1088.535996</v>
      </c>
      <c r="AM52" s="3"/>
      <c r="AN52" s="3"/>
    </row>
    <row r="53" ht="15.75" customHeight="1">
      <c r="A53" s="844" t="s">
        <v>4387</v>
      </c>
      <c r="B53" s="56">
        <v>45629.0</v>
      </c>
      <c r="C53" s="56">
        <v>45621.0</v>
      </c>
      <c r="D53" s="57" t="s">
        <v>602</v>
      </c>
      <c r="E53" s="2">
        <v>2.0169040237E10</v>
      </c>
      <c r="F53" s="2" t="s">
        <v>4386</v>
      </c>
      <c r="G53" s="3">
        <v>80.0</v>
      </c>
      <c r="H53" s="57" t="s">
        <v>47</v>
      </c>
      <c r="I53" s="58">
        <v>7.93</v>
      </c>
      <c r="J53" s="58">
        <v>1.15</v>
      </c>
      <c r="K53" s="59">
        <f t="shared" si="1"/>
        <v>7.838805</v>
      </c>
      <c r="L53" s="60">
        <v>0.183</v>
      </c>
      <c r="M53" s="60">
        <v>0.173</v>
      </c>
      <c r="N53" s="62">
        <v>0.173</v>
      </c>
      <c r="O53" s="60">
        <f t="shared" si="23"/>
        <v>0.173</v>
      </c>
      <c r="P53" s="63">
        <v>90.0</v>
      </c>
      <c r="Q53" s="64">
        <v>89.88</v>
      </c>
      <c r="R53" s="65">
        <v>2670.4</v>
      </c>
      <c r="S53" s="66">
        <f t="shared" si="33"/>
        <v>100</v>
      </c>
      <c r="U53" s="67">
        <v>100.0</v>
      </c>
      <c r="V53" s="67">
        <v>1.1023</v>
      </c>
      <c r="Y53" s="68">
        <v>20.0</v>
      </c>
      <c r="Z53" s="69">
        <f t="shared" si="31"/>
        <v>30</v>
      </c>
      <c r="AA53" s="70">
        <f t="shared" si="5"/>
        <v>50</v>
      </c>
      <c r="AB53" s="71">
        <f t="shared" si="6"/>
        <v>275.8078939</v>
      </c>
      <c r="AC53" s="71">
        <f>+(S53-T53)*V53-'data 1'!$F$4</f>
        <v>30.23</v>
      </c>
      <c r="AD53" s="71">
        <f t="shared" si="7"/>
        <v>-0.6222040816</v>
      </c>
      <c r="AE53" s="71">
        <f t="shared" si="8"/>
        <v>-14.885</v>
      </c>
      <c r="AF53" s="71">
        <f t="shared" si="9"/>
        <v>25.46616706</v>
      </c>
      <c r="AG53" s="72">
        <f t="shared" si="34"/>
        <v>40.18896298</v>
      </c>
      <c r="AH53" s="52">
        <f t="shared" si="11"/>
        <v>44.2051719</v>
      </c>
      <c r="AI53" s="73">
        <f t="shared" si="12"/>
        <v>8.539547686</v>
      </c>
      <c r="AJ53" s="73">
        <f t="shared" si="13"/>
        <v>41.84538258</v>
      </c>
      <c r="AK53" s="11"/>
      <c r="AL53" s="51">
        <f t="shared" si="14"/>
        <v>2162.004298</v>
      </c>
      <c r="AM53" s="3"/>
      <c r="AN53" s="3"/>
    </row>
    <row r="54" ht="15.75" customHeight="1">
      <c r="A54" s="844" t="s">
        <v>4388</v>
      </c>
      <c r="B54" s="56">
        <v>45628.0</v>
      </c>
      <c r="C54" s="56">
        <v>45621.0</v>
      </c>
      <c r="D54" s="57" t="s">
        <v>38</v>
      </c>
      <c r="E54" s="2">
        <v>2.0606534923E10</v>
      </c>
      <c r="F54" s="2" t="s">
        <v>4384</v>
      </c>
      <c r="G54" s="3">
        <v>30.0</v>
      </c>
      <c r="H54" s="57" t="s">
        <v>71</v>
      </c>
      <c r="I54" s="58">
        <v>2.37</v>
      </c>
      <c r="J54" s="58">
        <v>15.35</v>
      </c>
      <c r="K54" s="59">
        <f t="shared" si="1"/>
        <v>2.006205</v>
      </c>
      <c r="L54" s="60">
        <v>0.175</v>
      </c>
      <c r="M54" s="60">
        <v>0.165</v>
      </c>
      <c r="N54" s="75">
        <v>0.195</v>
      </c>
      <c r="O54" s="60">
        <f t="shared" si="23"/>
        <v>0.18</v>
      </c>
      <c r="P54" s="63">
        <v>90.0</v>
      </c>
      <c r="Q54" s="64">
        <v>89.75</v>
      </c>
      <c r="R54" s="65">
        <v>2670.4</v>
      </c>
      <c r="S54" s="66">
        <f t="shared" si="33"/>
        <v>100</v>
      </c>
      <c r="U54" s="67">
        <v>100.0</v>
      </c>
      <c r="V54" s="67">
        <v>1.1023</v>
      </c>
      <c r="Y54" s="68">
        <v>40.0</v>
      </c>
      <c r="Z54" s="69">
        <f t="shared" si="31"/>
        <v>30</v>
      </c>
      <c r="AA54" s="70">
        <f t="shared" si="5"/>
        <v>70</v>
      </c>
      <c r="AB54" s="71">
        <f t="shared" si="6"/>
        <v>271.612011</v>
      </c>
      <c r="AC54" s="71">
        <f>+(S54-T54)*V54-'data 1'!$F$4</f>
        <v>30.23</v>
      </c>
      <c r="AD54" s="71">
        <f t="shared" si="7"/>
        <v>-1.239591465</v>
      </c>
      <c r="AE54" s="71">
        <f t="shared" si="8"/>
        <v>7.161</v>
      </c>
      <c r="AF54" s="71">
        <f t="shared" si="9"/>
        <v>-12.71466674</v>
      </c>
      <c r="AG54" s="72">
        <f t="shared" si="34"/>
        <v>23.43674179</v>
      </c>
      <c r="AH54" s="52">
        <f t="shared" si="11"/>
        <v>10.80331113</v>
      </c>
      <c r="AI54" s="73">
        <f t="shared" si="12"/>
        <v>8.154422706</v>
      </c>
      <c r="AJ54" s="73">
        <f t="shared" si="13"/>
        <v>11.14292974</v>
      </c>
      <c r="AK54" s="11"/>
      <c r="AL54" s="51">
        <f t="shared" si="14"/>
        <v>544.9093746</v>
      </c>
      <c r="AM54" s="3">
        <v>0.159</v>
      </c>
      <c r="AN54" s="60">
        <f t="shared" ref="AN54:AN56" si="35">+AM54-L54</f>
        <v>-0.016</v>
      </c>
    </row>
    <row r="55" ht="15.75" customHeight="1">
      <c r="A55" s="844" t="s">
        <v>4389</v>
      </c>
      <c r="B55" s="56">
        <v>45628.0</v>
      </c>
      <c r="C55" s="56">
        <v>45621.0</v>
      </c>
      <c r="D55" s="57" t="s">
        <v>38</v>
      </c>
      <c r="E55" s="2">
        <v>2.0606534923E10</v>
      </c>
      <c r="F55" s="2" t="s">
        <v>4384</v>
      </c>
      <c r="G55" s="3">
        <v>17.0</v>
      </c>
      <c r="H55" s="57" t="s">
        <v>40</v>
      </c>
      <c r="I55" s="58">
        <v>1.73</v>
      </c>
      <c r="J55" s="58">
        <v>17.65</v>
      </c>
      <c r="K55" s="59">
        <f t="shared" si="1"/>
        <v>1.424655</v>
      </c>
      <c r="L55" s="60">
        <v>0.653</v>
      </c>
      <c r="M55" s="60">
        <v>0.617</v>
      </c>
      <c r="N55" s="75">
        <v>0.821</v>
      </c>
      <c r="O55" s="60">
        <f t="shared" si="23"/>
        <v>0.719</v>
      </c>
      <c r="P55" s="63">
        <v>90.0</v>
      </c>
      <c r="Q55" s="64">
        <v>89.42</v>
      </c>
      <c r="R55" s="65">
        <v>2670.4</v>
      </c>
      <c r="S55" s="66">
        <f t="shared" si="33"/>
        <v>160</v>
      </c>
      <c r="U55" s="67">
        <v>100.0</v>
      </c>
      <c r="V55" s="67">
        <v>1.1023</v>
      </c>
      <c r="Y55" s="68">
        <v>40.0</v>
      </c>
      <c r="Z55" s="69">
        <f t="shared" si="31"/>
        <v>30</v>
      </c>
      <c r="AA55" s="70">
        <f t="shared" si="5"/>
        <v>70</v>
      </c>
      <c r="AB55" s="71">
        <f t="shared" si="6"/>
        <v>1579.933027</v>
      </c>
      <c r="AC55" s="71">
        <f>+(S55-T55)*V55-'data 1'!$F$4</f>
        <v>96.368</v>
      </c>
      <c r="AD55" s="71">
        <f t="shared" si="7"/>
        <v>-10.73103706</v>
      </c>
      <c r="AE55" s="71">
        <f t="shared" si="8"/>
        <v>7.161</v>
      </c>
      <c r="AF55" s="71">
        <f t="shared" si="9"/>
        <v>-167.2164969</v>
      </c>
      <c r="AG55" s="72">
        <f t="shared" si="34"/>
        <v>-74.41853399</v>
      </c>
      <c r="AH55" s="52">
        <f t="shared" si="11"/>
        <v>28.52112308</v>
      </c>
      <c r="AI55" s="73">
        <f t="shared" si="12"/>
        <v>30.31576706</v>
      </c>
      <c r="AJ55" s="73">
        <f t="shared" si="13"/>
        <v>31.60750212</v>
      </c>
      <c r="AK55" s="11"/>
      <c r="AL55" s="51">
        <f t="shared" si="14"/>
        <v>2250.859487</v>
      </c>
      <c r="AM55" s="3">
        <v>0.782</v>
      </c>
      <c r="AN55" s="60">
        <f t="shared" si="35"/>
        <v>0.129</v>
      </c>
    </row>
    <row r="56" ht="15.75" customHeight="1">
      <c r="A56" s="92" t="s">
        <v>4390</v>
      </c>
      <c r="B56" s="56">
        <v>45629.0</v>
      </c>
      <c r="C56" s="56">
        <v>45622.0</v>
      </c>
      <c r="D56" s="57" t="s">
        <v>53</v>
      </c>
      <c r="E56" s="57">
        <v>1.0457401928E10</v>
      </c>
      <c r="F56" s="2" t="s">
        <v>4142</v>
      </c>
      <c r="G56" s="3">
        <v>148.0</v>
      </c>
      <c r="H56" s="2" t="s">
        <v>47</v>
      </c>
      <c r="I56" s="58">
        <v>13.08</v>
      </c>
      <c r="J56" s="58">
        <v>7.4</v>
      </c>
      <c r="K56" s="59">
        <f t="shared" si="1"/>
        <v>12.11208</v>
      </c>
      <c r="L56" s="60">
        <v>0.434</v>
      </c>
      <c r="M56" s="60">
        <v>0.4</v>
      </c>
      <c r="N56" s="75">
        <v>0.582</v>
      </c>
      <c r="O56" s="75">
        <f t="shared" si="23"/>
        <v>0.491</v>
      </c>
      <c r="P56" s="63">
        <v>90.0</v>
      </c>
      <c r="Q56" s="64">
        <v>89.7</v>
      </c>
      <c r="R56" s="65">
        <v>2622.1</v>
      </c>
      <c r="S56" s="66">
        <f t="shared" si="33"/>
        <v>130</v>
      </c>
      <c r="U56" s="67">
        <v>130.0</v>
      </c>
      <c r="V56" s="67">
        <v>1.1023</v>
      </c>
      <c r="Y56" s="68">
        <v>20.0</v>
      </c>
      <c r="Z56" s="69">
        <f t="shared" si="31"/>
        <v>30</v>
      </c>
      <c r="AA56" s="70">
        <f t="shared" si="5"/>
        <v>50</v>
      </c>
      <c r="AB56" s="71">
        <f t="shared" si="6"/>
        <v>1015.503785</v>
      </c>
      <c r="AC56" s="71">
        <f>+(S56-T56)*V56-'data 1'!$F$4</f>
        <v>63.299</v>
      </c>
      <c r="AD56" s="71">
        <f t="shared" si="7"/>
        <v>-3.576648463</v>
      </c>
      <c r="AE56" s="71">
        <f t="shared" si="8"/>
        <v>-14.885</v>
      </c>
      <c r="AF56" s="71">
        <f t="shared" si="9"/>
        <v>-140.4535017</v>
      </c>
      <c r="AG56" s="72">
        <f t="shared" si="34"/>
        <v>-95.61615019</v>
      </c>
      <c r="AH56" s="52">
        <f t="shared" si="11"/>
        <v>161.6627538</v>
      </c>
      <c r="AI56" s="73">
        <f t="shared" si="12"/>
        <v>53.81204745</v>
      </c>
      <c r="AJ56" s="73">
        <f t="shared" si="13"/>
        <v>183.5066477</v>
      </c>
      <c r="AK56" s="11"/>
      <c r="AL56" s="51">
        <f t="shared" si="14"/>
        <v>12299.86308</v>
      </c>
      <c r="AM56" s="3">
        <v>0.513</v>
      </c>
      <c r="AN56" s="60">
        <f t="shared" si="35"/>
        <v>0.079</v>
      </c>
    </row>
    <row r="57" ht="15.75" customHeight="1">
      <c r="A57" s="92" t="s">
        <v>4391</v>
      </c>
      <c r="B57" s="56">
        <v>45629.0</v>
      </c>
      <c r="C57" s="56">
        <v>45622.0</v>
      </c>
      <c r="D57" s="57" t="s">
        <v>53</v>
      </c>
      <c r="E57" s="57">
        <v>1.0457401928E10</v>
      </c>
      <c r="F57" s="2" t="s">
        <v>4142</v>
      </c>
      <c r="G57" s="3">
        <v>147.0</v>
      </c>
      <c r="H57" s="2" t="s">
        <v>47</v>
      </c>
      <c r="I57" s="58">
        <v>13.18</v>
      </c>
      <c r="J57" s="58">
        <v>8.0</v>
      </c>
      <c r="K57" s="59">
        <f t="shared" si="1"/>
        <v>12.1256</v>
      </c>
      <c r="L57" s="60">
        <v>0.515</v>
      </c>
      <c r="M57" s="60">
        <v>0.475</v>
      </c>
      <c r="N57" s="75">
        <v>0.5</v>
      </c>
      <c r="O57" s="60">
        <f t="shared" si="23"/>
        <v>0.488</v>
      </c>
      <c r="P57" s="63">
        <v>90.0</v>
      </c>
      <c r="Q57" s="64">
        <v>89.64</v>
      </c>
      <c r="R57" s="65">
        <v>2622.1</v>
      </c>
      <c r="S57" s="66">
        <f t="shared" si="33"/>
        <v>130</v>
      </c>
      <c r="U57" s="67">
        <v>130.0</v>
      </c>
      <c r="V57" s="67">
        <v>1.1023</v>
      </c>
      <c r="Y57" s="68">
        <v>20.0</v>
      </c>
      <c r="Z57" s="69">
        <f t="shared" si="31"/>
        <v>30</v>
      </c>
      <c r="AA57" s="70">
        <f t="shared" si="5"/>
        <v>50</v>
      </c>
      <c r="AB57" s="71">
        <f t="shared" si="6"/>
        <v>1008.086772</v>
      </c>
      <c r="AC57" s="71">
        <f>+(S57-T57)*V57-'data 1'!$F$4</f>
        <v>63.299</v>
      </c>
      <c r="AD57" s="71">
        <f t="shared" si="7"/>
        <v>-5.093015553</v>
      </c>
      <c r="AE57" s="71">
        <f t="shared" si="8"/>
        <v>-14.885</v>
      </c>
      <c r="AF57" s="71">
        <f t="shared" si="9"/>
        <v>66.486104</v>
      </c>
      <c r="AG57" s="72">
        <f t="shared" si="34"/>
        <v>109.8070885</v>
      </c>
      <c r="AH57" s="52">
        <f t="shared" si="11"/>
        <v>191.9205077</v>
      </c>
      <c r="AI57" s="73">
        <f t="shared" si="12"/>
        <v>63.81259718</v>
      </c>
      <c r="AJ57" s="73">
        <f t="shared" si="13"/>
        <v>182.5890119</v>
      </c>
      <c r="AK57" s="11"/>
      <c r="AL57" s="51">
        <f t="shared" si="14"/>
        <v>12223.65696</v>
      </c>
      <c r="AM57" s="3"/>
      <c r="AN57" s="3"/>
    </row>
    <row r="58" ht="15.75" customHeight="1">
      <c r="A58" s="92" t="s">
        <v>4392</v>
      </c>
      <c r="B58" s="56">
        <v>45629.0</v>
      </c>
      <c r="C58" s="56">
        <v>45622.0</v>
      </c>
      <c r="D58" s="57" t="s">
        <v>53</v>
      </c>
      <c r="E58" s="57">
        <v>1.0457401928E10</v>
      </c>
      <c r="F58" s="2" t="s">
        <v>4142</v>
      </c>
      <c r="G58" s="3" t="s">
        <v>4100</v>
      </c>
      <c r="H58" s="2" t="s">
        <v>47</v>
      </c>
      <c r="I58" s="58">
        <v>13.23</v>
      </c>
      <c r="J58" s="58">
        <v>5.5</v>
      </c>
      <c r="K58" s="59">
        <f t="shared" si="1"/>
        <v>12.50235</v>
      </c>
      <c r="L58" s="60">
        <v>0.257</v>
      </c>
      <c r="M58" s="60">
        <v>0.237</v>
      </c>
      <c r="N58" s="75">
        <v>0.251</v>
      </c>
      <c r="O58" s="60">
        <f t="shared" si="23"/>
        <v>0.244</v>
      </c>
      <c r="P58" s="63">
        <v>90.0</v>
      </c>
      <c r="Q58" s="64">
        <v>89.24</v>
      </c>
      <c r="R58" s="65">
        <v>2622.1</v>
      </c>
      <c r="S58" s="66">
        <f t="shared" si="33"/>
        <v>110</v>
      </c>
      <c r="U58" s="67">
        <v>130.0</v>
      </c>
      <c r="V58" s="67">
        <v>1.1023</v>
      </c>
      <c r="Y58" s="68">
        <v>20.0</v>
      </c>
      <c r="Z58" s="69">
        <f t="shared" si="31"/>
        <v>30</v>
      </c>
      <c r="AA58" s="70">
        <f t="shared" si="5"/>
        <v>50</v>
      </c>
      <c r="AB58" s="71">
        <f t="shared" si="6"/>
        <v>426.8823859</v>
      </c>
      <c r="AC58" s="71">
        <f>+(S58-T58)*V58-'data 1'!$F$4</f>
        <v>41.253</v>
      </c>
      <c r="AD58" s="71">
        <f t="shared" si="7"/>
        <v>-5.365522102</v>
      </c>
      <c r="AE58" s="71">
        <f t="shared" si="8"/>
        <v>-14.885</v>
      </c>
      <c r="AF58" s="71">
        <f t="shared" si="9"/>
        <v>31.86898168</v>
      </c>
      <c r="AG58" s="72">
        <f t="shared" si="34"/>
        <v>52.87145958</v>
      </c>
      <c r="AH58" s="52">
        <f t="shared" si="11"/>
        <v>98.30902907</v>
      </c>
      <c r="AI58" s="73">
        <f t="shared" si="12"/>
        <v>31.7022458</v>
      </c>
      <c r="AJ58" s="73">
        <f t="shared" si="13"/>
        <v>94.13108351</v>
      </c>
      <c r="AK58" s="11"/>
      <c r="AL58" s="51">
        <f t="shared" si="14"/>
        <v>5337.032997</v>
      </c>
      <c r="AM58" s="3"/>
      <c r="AN58" s="3"/>
    </row>
    <row r="59" ht="15.75" customHeight="1">
      <c r="A59" s="92" t="s">
        <v>4393</v>
      </c>
      <c r="B59" s="56">
        <v>45626.0</v>
      </c>
      <c r="C59" s="56">
        <v>45624.0</v>
      </c>
      <c r="D59" s="57" t="s">
        <v>602</v>
      </c>
      <c r="E59" s="2">
        <v>2.0169040237E10</v>
      </c>
      <c r="F59" s="2" t="s">
        <v>4394</v>
      </c>
      <c r="G59" s="3"/>
      <c r="H59" s="57" t="s">
        <v>40</v>
      </c>
      <c r="I59" s="58">
        <v>1.66</v>
      </c>
      <c r="J59" s="58">
        <v>29.55</v>
      </c>
      <c r="K59" s="59">
        <f t="shared" si="1"/>
        <v>1.16947</v>
      </c>
      <c r="L59" s="60">
        <v>1.425</v>
      </c>
      <c r="M59" s="60">
        <v>1.368</v>
      </c>
      <c r="N59" s="62">
        <v>1.368</v>
      </c>
      <c r="O59" s="60">
        <f t="shared" si="23"/>
        <v>1.368</v>
      </c>
      <c r="P59" s="63">
        <v>90.0</v>
      </c>
      <c r="Q59" s="64">
        <v>89.21</v>
      </c>
      <c r="R59" s="65">
        <v>2641.85</v>
      </c>
      <c r="S59" s="66">
        <f t="shared" si="33"/>
        <v>220</v>
      </c>
      <c r="U59" s="67">
        <v>100.0</v>
      </c>
      <c r="V59" s="67">
        <v>1.1023</v>
      </c>
      <c r="Y59" s="68">
        <v>20.0</v>
      </c>
      <c r="Z59" s="69">
        <f t="shared" si="31"/>
        <v>30</v>
      </c>
      <c r="AA59" s="70">
        <f t="shared" si="5"/>
        <v>50</v>
      </c>
      <c r="AB59" s="71">
        <f t="shared" si="6"/>
        <v>3152.055201</v>
      </c>
      <c r="AC59" s="71">
        <f>+(S59-T59)*V59-'data 1'!$F$4</f>
        <v>162.506</v>
      </c>
      <c r="AD59" s="71">
        <f t="shared" si="7"/>
        <v>-31.54217823</v>
      </c>
      <c r="AE59" s="71">
        <f t="shared" si="8"/>
        <v>-14.885</v>
      </c>
      <c r="AF59" s="71">
        <f t="shared" si="9"/>
        <v>142.4748213</v>
      </c>
      <c r="AG59" s="72">
        <f t="shared" si="34"/>
        <v>258.553643</v>
      </c>
      <c r="AH59" s="52">
        <f t="shared" si="11"/>
        <v>50.97139956</v>
      </c>
      <c r="AI59" s="73">
        <f t="shared" si="12"/>
        <v>106.0076345</v>
      </c>
      <c r="AJ59" s="73">
        <f t="shared" si="13"/>
        <v>49.36586618</v>
      </c>
      <c r="AK59" s="11"/>
      <c r="AL59" s="51">
        <f t="shared" si="14"/>
        <v>3686.233996</v>
      </c>
      <c r="AM59" s="3"/>
      <c r="AN59" s="3"/>
    </row>
    <row r="60" ht="15.75" customHeight="1">
      <c r="A60" s="92" t="s">
        <v>4395</v>
      </c>
      <c r="B60" s="56">
        <v>45629.0</v>
      </c>
      <c r="C60" s="56">
        <v>45626.0</v>
      </c>
      <c r="D60" s="57" t="s">
        <v>74</v>
      </c>
      <c r="E60" s="57">
        <v>1.0082235774E10</v>
      </c>
      <c r="F60" s="57" t="s">
        <v>4396</v>
      </c>
      <c r="G60" s="3">
        <v>51.0</v>
      </c>
      <c r="H60" s="57" t="s">
        <v>47</v>
      </c>
      <c r="I60" s="57">
        <v>4.85</v>
      </c>
      <c r="J60" s="58">
        <v>3.15</v>
      </c>
      <c r="K60" s="57">
        <v>4.697</v>
      </c>
      <c r="L60" s="60">
        <v>0.287</v>
      </c>
      <c r="M60" s="60">
        <v>0.282</v>
      </c>
      <c r="N60" s="62">
        <v>0.282</v>
      </c>
      <c r="O60" s="60">
        <f t="shared" si="23"/>
        <v>0.282</v>
      </c>
      <c r="P60" s="63">
        <v>90.0</v>
      </c>
      <c r="Q60" s="64">
        <v>89.6</v>
      </c>
      <c r="R60" s="65">
        <v>2651.05</v>
      </c>
      <c r="S60" s="76">
        <v>105.0</v>
      </c>
      <c r="U60" s="67">
        <v>80.0</v>
      </c>
      <c r="V60" s="67">
        <v>1.1023</v>
      </c>
      <c r="Z60" s="77">
        <v>10.0</v>
      </c>
      <c r="AA60" s="70">
        <f t="shared" si="5"/>
        <v>10</v>
      </c>
      <c r="AB60" s="71">
        <f t="shared" si="6"/>
        <v>592.5220637</v>
      </c>
      <c r="AC60" s="71">
        <f>+(S60-T60)*V60-'data 1'!$F$4</f>
        <v>35.7415</v>
      </c>
      <c r="AD60" s="71">
        <f t="shared" si="7"/>
        <v>-3.25351054</v>
      </c>
      <c r="AE60" s="71">
        <f t="shared" si="8"/>
        <v>-58.977</v>
      </c>
      <c r="AF60" s="71">
        <f t="shared" si="9"/>
        <v>12.6966265</v>
      </c>
      <c r="AG60" s="72">
        <f t="shared" ref="AG60:AG75" si="36">+IF(D60="RONALD WILLIAN GARIBAY ESCUDERO",AC60+AD60+AE60+AF60+70,AC60+AD60+AE60+AF60)+70</f>
        <v>56.20761596</v>
      </c>
      <c r="AH60" s="52">
        <f t="shared" si="11"/>
        <v>41.41136404</v>
      </c>
      <c r="AI60" s="73">
        <f t="shared" si="12"/>
        <v>13.16665427</v>
      </c>
      <c r="AJ60" s="73">
        <f t="shared" si="13"/>
        <v>40.87156309</v>
      </c>
      <c r="AK60" s="11"/>
      <c r="AL60" s="51">
        <f t="shared" si="14"/>
        <v>2783.076133</v>
      </c>
      <c r="AM60" s="3"/>
      <c r="AN60" s="3"/>
    </row>
    <row r="61" ht="15.75" customHeight="1">
      <c r="A61" s="92" t="s">
        <v>4397</v>
      </c>
      <c r="B61" s="56">
        <v>45629.0</v>
      </c>
      <c r="C61" s="56">
        <v>45626.0</v>
      </c>
      <c r="D61" s="57" t="s">
        <v>74</v>
      </c>
      <c r="E61" s="57">
        <v>1.0082235774E10</v>
      </c>
      <c r="F61" s="57" t="s">
        <v>4396</v>
      </c>
      <c r="G61" s="3">
        <v>52.0</v>
      </c>
      <c r="H61" s="57" t="s">
        <v>47</v>
      </c>
      <c r="I61" s="57">
        <v>4.68</v>
      </c>
      <c r="J61" s="58">
        <v>2.3</v>
      </c>
      <c r="K61" s="57">
        <v>4.572</v>
      </c>
      <c r="L61" s="60">
        <v>0.363</v>
      </c>
      <c r="M61" s="60">
        <v>0.357</v>
      </c>
      <c r="N61" s="62">
        <v>0.357</v>
      </c>
      <c r="O61" s="60">
        <f t="shared" si="23"/>
        <v>0.357</v>
      </c>
      <c r="P61" s="63">
        <v>90.0</v>
      </c>
      <c r="Q61" s="64">
        <v>89.71</v>
      </c>
      <c r="R61" s="65">
        <v>2651.05</v>
      </c>
      <c r="S61" s="76">
        <v>110.0</v>
      </c>
      <c r="U61" s="67">
        <v>80.0</v>
      </c>
      <c r="V61" s="67">
        <v>1.1023</v>
      </c>
      <c r="Z61" s="77">
        <v>10.0</v>
      </c>
      <c r="AA61" s="70">
        <f t="shared" si="5"/>
        <v>10</v>
      </c>
      <c r="AB61" s="71">
        <f t="shared" si="6"/>
        <v>778.3101817</v>
      </c>
      <c r="AC61" s="71">
        <f>+(S61-T61)*V61-'data 1'!$F$4</f>
        <v>41.253</v>
      </c>
      <c r="AD61" s="71">
        <f t="shared" si="7"/>
        <v>-2.98342382</v>
      </c>
      <c r="AE61" s="71">
        <f t="shared" si="8"/>
        <v>-58.977</v>
      </c>
      <c r="AF61" s="71">
        <f t="shared" si="9"/>
        <v>15.25465665</v>
      </c>
      <c r="AG61" s="72">
        <f t="shared" si="36"/>
        <v>64.54723283</v>
      </c>
      <c r="AH61" s="52">
        <f t="shared" si="11"/>
        <v>51.04612419</v>
      </c>
      <c r="AI61" s="73">
        <f t="shared" si="12"/>
        <v>16.67373932</v>
      </c>
      <c r="AJ61" s="73">
        <f t="shared" si="13"/>
        <v>50.36467277</v>
      </c>
      <c r="AK61" s="11"/>
      <c r="AL61" s="51">
        <f t="shared" si="14"/>
        <v>3558.434151</v>
      </c>
      <c r="AM61" s="3"/>
      <c r="AN61" s="3"/>
    </row>
    <row r="62" ht="15.75" customHeight="1">
      <c r="A62" s="92" t="s">
        <v>4398</v>
      </c>
      <c r="B62" s="56">
        <v>45629.0</v>
      </c>
      <c r="C62" s="56">
        <v>45626.0</v>
      </c>
      <c r="D62" s="57" t="s">
        <v>74</v>
      </c>
      <c r="E62" s="57">
        <v>1.0082235774E10</v>
      </c>
      <c r="F62" s="57" t="s">
        <v>4396</v>
      </c>
      <c r="G62" s="3">
        <v>56.0</v>
      </c>
      <c r="H62" s="57" t="s">
        <v>47</v>
      </c>
      <c r="I62" s="58">
        <v>5.0</v>
      </c>
      <c r="J62" s="58">
        <v>1.95</v>
      </c>
      <c r="K62" s="57">
        <v>4.903</v>
      </c>
      <c r="L62" s="60">
        <v>0.489</v>
      </c>
      <c r="M62" s="60">
        <v>0.481</v>
      </c>
      <c r="N62" s="62">
        <v>0.481</v>
      </c>
      <c r="O62" s="60">
        <f t="shared" si="23"/>
        <v>0.481</v>
      </c>
      <c r="P62" s="63">
        <v>90.0</v>
      </c>
      <c r="Q62" s="64">
        <v>89.38</v>
      </c>
      <c r="R62" s="65">
        <v>2651.05</v>
      </c>
      <c r="S62" s="76">
        <v>115.0</v>
      </c>
      <c r="U62" s="67">
        <v>80.0</v>
      </c>
      <c r="V62" s="67">
        <v>1.1023</v>
      </c>
      <c r="Z62" s="77">
        <v>10.0</v>
      </c>
      <c r="AA62" s="70">
        <f t="shared" si="5"/>
        <v>10</v>
      </c>
      <c r="AB62" s="71">
        <f t="shared" si="6"/>
        <v>1089.080717</v>
      </c>
      <c r="AC62" s="71">
        <f>+(S62-T62)*V62-'data 1'!$F$4</f>
        <v>46.7645</v>
      </c>
      <c r="AD62" s="71">
        <f t="shared" si="7"/>
        <v>-8.592328621</v>
      </c>
      <c r="AE62" s="71">
        <f t="shared" si="8"/>
        <v>-58.977</v>
      </c>
      <c r="AF62" s="71">
        <f t="shared" si="9"/>
        <v>20.26472279</v>
      </c>
      <c r="AG62" s="72">
        <f t="shared" si="36"/>
        <v>69.45989417</v>
      </c>
      <c r="AH62" s="52">
        <f t="shared" si="11"/>
        <v>73.47171408</v>
      </c>
      <c r="AI62" s="73">
        <f t="shared" si="12"/>
        <v>22.37869386</v>
      </c>
      <c r="AJ62" s="73">
        <f t="shared" si="13"/>
        <v>72.77103442</v>
      </c>
      <c r="AK62" s="11"/>
      <c r="AL62" s="51">
        <f t="shared" si="14"/>
        <v>5339.762755</v>
      </c>
      <c r="AM62" s="3"/>
      <c r="AN62" s="3"/>
    </row>
    <row r="63" ht="15.75" customHeight="1">
      <c r="A63" s="92" t="s">
        <v>4399</v>
      </c>
      <c r="B63" s="56">
        <v>45629.0</v>
      </c>
      <c r="C63" s="56">
        <v>45626.0</v>
      </c>
      <c r="D63" s="57" t="s">
        <v>74</v>
      </c>
      <c r="E63" s="57">
        <v>1.0082235774E10</v>
      </c>
      <c r="F63" s="57" t="s">
        <v>4396</v>
      </c>
      <c r="G63" s="3">
        <v>64.0</v>
      </c>
      <c r="H63" s="57" t="s">
        <v>47</v>
      </c>
      <c r="I63" s="57">
        <v>5.57</v>
      </c>
      <c r="J63" s="58">
        <v>1.6</v>
      </c>
      <c r="K63" s="57">
        <v>5.481</v>
      </c>
      <c r="L63" s="60">
        <v>0.305</v>
      </c>
      <c r="M63" s="60">
        <v>0.3</v>
      </c>
      <c r="N63" s="62">
        <v>0.3</v>
      </c>
      <c r="O63" s="60">
        <f t="shared" si="23"/>
        <v>0.3</v>
      </c>
      <c r="P63" s="63">
        <v>90.0</v>
      </c>
      <c r="Q63" s="64">
        <v>89.46</v>
      </c>
      <c r="R63" s="65">
        <v>2651.05</v>
      </c>
      <c r="S63" s="76">
        <v>110.0</v>
      </c>
      <c r="U63" s="67">
        <v>80.0</v>
      </c>
      <c r="V63" s="67">
        <v>1.1023</v>
      </c>
      <c r="Z63" s="77">
        <v>10.0</v>
      </c>
      <c r="AA63" s="70">
        <f t="shared" si="5"/>
        <v>10</v>
      </c>
      <c r="AB63" s="71">
        <f t="shared" si="6"/>
        <v>632.9224721</v>
      </c>
      <c r="AC63" s="71">
        <f>+(S63-T63)*V63-'data 1'!$F$4</f>
        <v>41.253</v>
      </c>
      <c r="AD63" s="71">
        <f t="shared" si="7"/>
        <v>-4.66771068</v>
      </c>
      <c r="AE63" s="71">
        <f t="shared" si="8"/>
        <v>-58.977</v>
      </c>
      <c r="AF63" s="71">
        <f t="shared" si="9"/>
        <v>12.67678802</v>
      </c>
      <c r="AG63" s="72">
        <f t="shared" si="36"/>
        <v>60.28507734</v>
      </c>
      <c r="AH63" s="52">
        <f t="shared" si="11"/>
        <v>51.27404787</v>
      </c>
      <c r="AI63" s="73">
        <f t="shared" si="12"/>
        <v>13.97057429</v>
      </c>
      <c r="AJ63" s="73">
        <f t="shared" si="13"/>
        <v>50.73791721</v>
      </c>
      <c r="AK63" s="11"/>
      <c r="AL63" s="51">
        <f t="shared" si="14"/>
        <v>3469.048069</v>
      </c>
      <c r="AM63" s="3"/>
      <c r="AN63" s="3"/>
    </row>
    <row r="64" ht="15.75" customHeight="1">
      <c r="A64" s="92" t="s">
        <v>4400</v>
      </c>
      <c r="B64" s="56">
        <v>45629.0</v>
      </c>
      <c r="C64" s="56">
        <v>45626.0</v>
      </c>
      <c r="D64" s="57" t="s">
        <v>74</v>
      </c>
      <c r="E64" s="57">
        <v>1.0082235774E10</v>
      </c>
      <c r="F64" s="57" t="s">
        <v>4396</v>
      </c>
      <c r="G64" s="3">
        <v>50.0</v>
      </c>
      <c r="H64" s="57" t="s">
        <v>47</v>
      </c>
      <c r="I64" s="57">
        <v>4.45</v>
      </c>
      <c r="J64" s="58">
        <v>1.4</v>
      </c>
      <c r="K64" s="57">
        <v>4.388</v>
      </c>
      <c r="L64" s="60">
        <v>0.705</v>
      </c>
      <c r="M64" s="60">
        <v>0.694</v>
      </c>
      <c r="N64" s="62">
        <v>0.694</v>
      </c>
      <c r="O64" s="60">
        <f t="shared" si="23"/>
        <v>0.694</v>
      </c>
      <c r="P64" s="63">
        <v>90.0</v>
      </c>
      <c r="Q64" s="64">
        <v>89.29</v>
      </c>
      <c r="R64" s="65">
        <v>2651.05</v>
      </c>
      <c r="S64" s="76">
        <v>125.0</v>
      </c>
      <c r="U64" s="67">
        <v>80.0</v>
      </c>
      <c r="V64" s="67">
        <v>1.1023</v>
      </c>
      <c r="Z64" s="77">
        <v>10.0</v>
      </c>
      <c r="AA64" s="70">
        <f t="shared" si="5"/>
        <v>10</v>
      </c>
      <c r="AB64" s="71">
        <f t="shared" si="6"/>
        <v>1621.348632</v>
      </c>
      <c r="AC64" s="71">
        <f>+(S64-T64)*V64-'data 1'!$F$4</f>
        <v>57.7875</v>
      </c>
      <c r="AD64" s="71">
        <f t="shared" si="7"/>
        <v>-14.18592945</v>
      </c>
      <c r="AE64" s="71">
        <f t="shared" si="8"/>
        <v>-58.977</v>
      </c>
      <c r="AF64" s="71">
        <f t="shared" si="9"/>
        <v>27.83593657</v>
      </c>
      <c r="AG64" s="72">
        <f t="shared" si="36"/>
        <v>82.46050711</v>
      </c>
      <c r="AH64" s="52">
        <f t="shared" si="11"/>
        <v>94.70384856</v>
      </c>
      <c r="AI64" s="73">
        <f t="shared" si="12"/>
        <v>32.23127352</v>
      </c>
      <c r="AJ64" s="73">
        <f t="shared" si="13"/>
        <v>93.96749901</v>
      </c>
      <c r="AK64" s="11"/>
      <c r="AL64" s="51">
        <f t="shared" si="14"/>
        <v>7114.477797</v>
      </c>
      <c r="AM64" s="3"/>
      <c r="AN64" s="3"/>
    </row>
    <row r="65" ht="15.75" customHeight="1">
      <c r="A65" s="92" t="s">
        <v>4401</v>
      </c>
      <c r="B65" s="56">
        <v>45629.0</v>
      </c>
      <c r="C65" s="56">
        <v>45626.0</v>
      </c>
      <c r="D65" s="57" t="s">
        <v>74</v>
      </c>
      <c r="E65" s="57">
        <v>1.0082235774E10</v>
      </c>
      <c r="F65" s="57" t="s">
        <v>4396</v>
      </c>
      <c r="G65" s="3">
        <v>53.0</v>
      </c>
      <c r="H65" s="57" t="s">
        <v>47</v>
      </c>
      <c r="I65" s="57">
        <v>4.74</v>
      </c>
      <c r="J65" s="58">
        <v>1.65</v>
      </c>
      <c r="K65" s="57">
        <v>4.662</v>
      </c>
      <c r="L65" s="60">
        <v>0.601</v>
      </c>
      <c r="M65" s="60">
        <v>0.591</v>
      </c>
      <c r="N65" s="62">
        <v>0.591</v>
      </c>
      <c r="O65" s="60">
        <f t="shared" si="23"/>
        <v>0.591</v>
      </c>
      <c r="P65" s="63">
        <v>90.0</v>
      </c>
      <c r="Q65" s="64">
        <v>89.33</v>
      </c>
      <c r="R65" s="65">
        <v>2651.05</v>
      </c>
      <c r="S65" s="76">
        <v>120.0</v>
      </c>
      <c r="U65" s="67">
        <v>80.0</v>
      </c>
      <c r="V65" s="67">
        <v>1.1023</v>
      </c>
      <c r="Z65" s="77">
        <v>10.0</v>
      </c>
      <c r="AA65" s="70">
        <f t="shared" si="5"/>
        <v>10</v>
      </c>
      <c r="AB65" s="71">
        <f t="shared" si="6"/>
        <v>1364.14199</v>
      </c>
      <c r="AC65" s="71">
        <f>+(S65-T65)*V65-'data 1'!$F$4</f>
        <v>52.276</v>
      </c>
      <c r="AD65" s="71">
        <f t="shared" si="7"/>
        <v>-11.41194329</v>
      </c>
      <c r="AE65" s="71">
        <f t="shared" si="8"/>
        <v>-58.977</v>
      </c>
      <c r="AF65" s="71">
        <f t="shared" si="9"/>
        <v>25.31673315</v>
      </c>
      <c r="AG65" s="72">
        <f t="shared" si="36"/>
        <v>77.20378986</v>
      </c>
      <c r="AH65" s="52">
        <f t="shared" si="11"/>
        <v>85.81301174</v>
      </c>
      <c r="AI65" s="73">
        <f t="shared" si="12"/>
        <v>27.48889812</v>
      </c>
      <c r="AJ65" s="73">
        <f t="shared" si="13"/>
        <v>85.01808703</v>
      </c>
      <c r="AK65" s="11"/>
      <c r="AL65" s="51">
        <f t="shared" si="14"/>
        <v>6359.629957</v>
      </c>
      <c r="AM65" s="3"/>
      <c r="AN65" s="3"/>
    </row>
    <row r="66" ht="15.75" customHeight="1">
      <c r="A66" s="92" t="s">
        <v>4402</v>
      </c>
      <c r="B66" s="56">
        <v>45629.0</v>
      </c>
      <c r="C66" s="56">
        <v>45626.0</v>
      </c>
      <c r="D66" s="57" t="s">
        <v>74</v>
      </c>
      <c r="E66" s="57">
        <v>1.0082235774E10</v>
      </c>
      <c r="F66" s="57" t="s">
        <v>4396</v>
      </c>
      <c r="G66" s="3">
        <v>35.0</v>
      </c>
      <c r="H66" s="57" t="s">
        <v>47</v>
      </c>
      <c r="I66" s="57">
        <v>3.09</v>
      </c>
      <c r="J66" s="58">
        <v>1.7</v>
      </c>
      <c r="K66" s="57">
        <v>3.037</v>
      </c>
      <c r="L66" s="60">
        <v>0.516</v>
      </c>
      <c r="M66" s="60">
        <v>0.508</v>
      </c>
      <c r="N66" s="62">
        <v>0.508</v>
      </c>
      <c r="O66" s="60">
        <f t="shared" si="23"/>
        <v>0.508</v>
      </c>
      <c r="P66" s="63">
        <v>90.0</v>
      </c>
      <c r="Q66" s="64">
        <v>89.82</v>
      </c>
      <c r="R66" s="65">
        <v>2651.05</v>
      </c>
      <c r="S66" s="76">
        <v>120.0</v>
      </c>
      <c r="U66" s="67">
        <v>80.0</v>
      </c>
      <c r="V66" s="67">
        <v>1.1023</v>
      </c>
      <c r="Z66" s="77">
        <v>10.0</v>
      </c>
      <c r="AA66" s="70">
        <f t="shared" si="5"/>
        <v>10</v>
      </c>
      <c r="AB66" s="71">
        <f t="shared" si="6"/>
        <v>1152.437079</v>
      </c>
      <c r="AC66" s="71">
        <f>+(S66-T66)*V66-'data 1'!$F$4</f>
        <v>52.276</v>
      </c>
      <c r="AD66" s="71">
        <f t="shared" si="7"/>
        <v>-2.632282744</v>
      </c>
      <c r="AE66" s="71">
        <f t="shared" si="8"/>
        <v>-58.977</v>
      </c>
      <c r="AF66" s="71">
        <f t="shared" si="9"/>
        <v>20.364482</v>
      </c>
      <c r="AG66" s="72">
        <f t="shared" si="36"/>
        <v>81.03119926</v>
      </c>
      <c r="AH66" s="52">
        <f t="shared" si="11"/>
        <v>48.25881055</v>
      </c>
      <c r="AI66" s="73">
        <f t="shared" si="12"/>
        <v>23.73057591</v>
      </c>
      <c r="AJ66" s="73">
        <f t="shared" si="13"/>
        <v>47.60582359</v>
      </c>
      <c r="AK66" s="11"/>
      <c r="AL66" s="51">
        <f t="shared" si="14"/>
        <v>3499.95141</v>
      </c>
      <c r="AM66" s="3"/>
      <c r="AN66" s="3"/>
    </row>
    <row r="67" ht="15.75" customHeight="1">
      <c r="A67" s="92" t="s">
        <v>4403</v>
      </c>
      <c r="B67" s="56">
        <v>45629.0</v>
      </c>
      <c r="C67" s="56">
        <v>45626.0</v>
      </c>
      <c r="D67" s="57" t="s">
        <v>74</v>
      </c>
      <c r="E67" s="57">
        <v>1.0082235774E10</v>
      </c>
      <c r="F67" s="57" t="s">
        <v>4396</v>
      </c>
      <c r="G67" s="3">
        <v>47.0</v>
      </c>
      <c r="H67" s="57" t="s">
        <v>47</v>
      </c>
      <c r="I67" s="57">
        <v>4.37</v>
      </c>
      <c r="J67" s="58">
        <v>1.95</v>
      </c>
      <c r="K67" s="57">
        <v>4.285</v>
      </c>
      <c r="L67" s="60">
        <v>0.263</v>
      </c>
      <c r="M67" s="60">
        <v>0.259</v>
      </c>
      <c r="N67" s="62">
        <v>0.259</v>
      </c>
      <c r="O67" s="60">
        <f t="shared" si="23"/>
        <v>0.259</v>
      </c>
      <c r="P67" s="63">
        <v>90.0</v>
      </c>
      <c r="Q67" s="64">
        <v>89.13</v>
      </c>
      <c r="R67" s="65">
        <v>2651.05</v>
      </c>
      <c r="S67" s="76">
        <v>105.0</v>
      </c>
      <c r="U67" s="67">
        <v>80.0</v>
      </c>
      <c r="V67" s="67">
        <v>1.1023</v>
      </c>
      <c r="Z67" s="77">
        <v>10.0</v>
      </c>
      <c r="AA67" s="70">
        <f t="shared" si="5"/>
        <v>10</v>
      </c>
      <c r="AB67" s="71">
        <f t="shared" si="6"/>
        <v>533.8568475</v>
      </c>
      <c r="AC67" s="71">
        <f>+(S67-T67)*V67-'data 1'!$F$4</f>
        <v>35.7415</v>
      </c>
      <c r="AD67" s="71">
        <f t="shared" si="7"/>
        <v>-6.48463194</v>
      </c>
      <c r="AE67" s="71">
        <f t="shared" si="8"/>
        <v>-58.977</v>
      </c>
      <c r="AF67" s="71">
        <f t="shared" si="9"/>
        <v>10.10402071</v>
      </c>
      <c r="AG67" s="72">
        <f t="shared" si="36"/>
        <v>50.38388877</v>
      </c>
      <c r="AH67" s="52">
        <f t="shared" si="11"/>
        <v>34.43812916</v>
      </c>
      <c r="AI67" s="73">
        <f t="shared" si="12"/>
        <v>12.00231943</v>
      </c>
      <c r="AJ67" s="73">
        <f t="shared" si="13"/>
        <v>34.24539414</v>
      </c>
      <c r="AK67" s="11"/>
      <c r="AL67" s="51">
        <f t="shared" si="14"/>
        <v>2287.576592</v>
      </c>
      <c r="AM67" s="3"/>
      <c r="AN67" s="3"/>
    </row>
    <row r="68" ht="15.75" customHeight="1">
      <c r="A68" s="92" t="s">
        <v>4404</v>
      </c>
      <c r="B68" s="56">
        <v>45629.0</v>
      </c>
      <c r="C68" s="56">
        <v>45626.0</v>
      </c>
      <c r="D68" s="57" t="s">
        <v>74</v>
      </c>
      <c r="E68" s="57">
        <v>1.0082235774E10</v>
      </c>
      <c r="F68" s="57" t="s">
        <v>4396</v>
      </c>
      <c r="G68" s="3">
        <v>45.0</v>
      </c>
      <c r="H68" s="57" t="s">
        <v>47</v>
      </c>
      <c r="I68" s="57">
        <v>4.11</v>
      </c>
      <c r="J68" s="58">
        <v>1.04</v>
      </c>
      <c r="K68" s="57">
        <v>4.067</v>
      </c>
      <c r="L68" s="60">
        <v>0.311</v>
      </c>
      <c r="M68" s="60">
        <v>0.306</v>
      </c>
      <c r="N68" s="62">
        <v>0.306</v>
      </c>
      <c r="O68" s="60">
        <f t="shared" si="23"/>
        <v>0.306</v>
      </c>
      <c r="P68" s="63">
        <v>90.0</v>
      </c>
      <c r="Q68" s="64">
        <v>89.6</v>
      </c>
      <c r="R68" s="65">
        <v>2651.05</v>
      </c>
      <c r="S68" s="76">
        <v>110.0</v>
      </c>
      <c r="U68" s="67">
        <v>80.0</v>
      </c>
      <c r="V68" s="67">
        <v>1.1023</v>
      </c>
      <c r="Z68" s="77">
        <v>10.0</v>
      </c>
      <c r="AA68" s="70">
        <f t="shared" si="5"/>
        <v>10</v>
      </c>
      <c r="AB68" s="71">
        <f t="shared" si="6"/>
        <v>648.2264415</v>
      </c>
      <c r="AC68" s="71">
        <f>+(S68-T68)*V68-'data 1'!$F$4</f>
        <v>41.253</v>
      </c>
      <c r="AD68" s="71">
        <f t="shared" si="7"/>
        <v>-3.525581108</v>
      </c>
      <c r="AE68" s="71">
        <f t="shared" si="8"/>
        <v>-58.977</v>
      </c>
      <c r="AF68" s="71">
        <f t="shared" si="9"/>
        <v>12.6966265</v>
      </c>
      <c r="AG68" s="72">
        <f t="shared" si="36"/>
        <v>61.44704539</v>
      </c>
      <c r="AH68" s="52">
        <f t="shared" si="11"/>
        <v>38.85542292</v>
      </c>
      <c r="AI68" s="73">
        <f t="shared" si="12"/>
        <v>14.26769853</v>
      </c>
      <c r="AJ68" s="73">
        <f t="shared" si="13"/>
        <v>38.4014106</v>
      </c>
      <c r="AK68" s="11"/>
      <c r="AL68" s="51">
        <f t="shared" si="14"/>
        <v>2636.336938</v>
      </c>
      <c r="AM68" s="3"/>
      <c r="AN68" s="3"/>
    </row>
    <row r="69" ht="15.75" customHeight="1">
      <c r="A69" s="92" t="s">
        <v>4405</v>
      </c>
      <c r="B69" s="56">
        <v>45629.0</v>
      </c>
      <c r="C69" s="56">
        <v>45626.0</v>
      </c>
      <c r="D69" s="57" t="s">
        <v>74</v>
      </c>
      <c r="E69" s="57">
        <v>1.0082235774E10</v>
      </c>
      <c r="F69" s="57" t="s">
        <v>4396</v>
      </c>
      <c r="G69" s="3">
        <v>51.0</v>
      </c>
      <c r="H69" s="57" t="s">
        <v>47</v>
      </c>
      <c r="I69" s="57">
        <v>4.54</v>
      </c>
      <c r="J69" s="58">
        <v>1.4</v>
      </c>
      <c r="K69" s="57">
        <v>4.476</v>
      </c>
      <c r="L69" s="60">
        <v>0.113</v>
      </c>
      <c r="M69" s="60">
        <v>0.111</v>
      </c>
      <c r="N69" s="62">
        <v>0.111</v>
      </c>
      <c r="O69" s="60">
        <f t="shared" si="23"/>
        <v>0.111</v>
      </c>
      <c r="P69" s="63">
        <v>85.0</v>
      </c>
      <c r="Q69" s="64">
        <v>85.74</v>
      </c>
      <c r="R69" s="65">
        <v>2651.05</v>
      </c>
      <c r="S69" s="76">
        <f>IF((90+ROUNDDOWN(O69,1)*100)&lt;95,95,(90+ROUNDDOWN(O69,1)*100))</f>
        <v>100</v>
      </c>
      <c r="U69" s="67">
        <v>80.0</v>
      </c>
      <c r="V69" s="67">
        <v>1.1023</v>
      </c>
      <c r="Z69" s="77">
        <v>10.0</v>
      </c>
      <c r="AA69" s="70">
        <f t="shared" si="5"/>
        <v>10</v>
      </c>
      <c r="AB69" s="71">
        <f t="shared" si="6"/>
        <v>146.141355</v>
      </c>
      <c r="AC69" s="71">
        <f>+(S69-T69)*V69-'data 1'!$F$4</f>
        <v>30.23</v>
      </c>
      <c r="AD69" s="71">
        <f t="shared" si="7"/>
        <v>2.369848009</v>
      </c>
      <c r="AE69" s="71">
        <f t="shared" si="8"/>
        <v>-58.977</v>
      </c>
      <c r="AF69" s="71">
        <f t="shared" si="9"/>
        <v>4.859860518</v>
      </c>
      <c r="AG69" s="72">
        <f t="shared" si="36"/>
        <v>48.48270853</v>
      </c>
      <c r="AH69" s="52">
        <f t="shared" si="11"/>
        <v>14.86829159</v>
      </c>
      <c r="AI69" s="73">
        <f t="shared" si="12"/>
        <v>4.960751226</v>
      </c>
      <c r="AJ69" s="73">
        <f t="shared" si="13"/>
        <v>14.4790828</v>
      </c>
      <c r="AK69" s="11"/>
      <c r="AL69" s="51">
        <f t="shared" si="14"/>
        <v>654.1287048</v>
      </c>
      <c r="AM69" s="3"/>
      <c r="AN69" s="3"/>
    </row>
    <row r="70" ht="15.75" customHeight="1">
      <c r="A70" s="92" t="s">
        <v>4406</v>
      </c>
      <c r="B70" s="56">
        <v>45629.0</v>
      </c>
      <c r="C70" s="56">
        <v>45626.0</v>
      </c>
      <c r="D70" s="57" t="s">
        <v>74</v>
      </c>
      <c r="E70" s="57">
        <v>1.0082235774E10</v>
      </c>
      <c r="F70" s="57" t="s">
        <v>4396</v>
      </c>
      <c r="G70" s="3">
        <v>46.0</v>
      </c>
      <c r="H70" s="57" t="s">
        <v>47</v>
      </c>
      <c r="I70" s="57">
        <v>4.07</v>
      </c>
      <c r="J70" s="58">
        <v>1.45</v>
      </c>
      <c r="K70" s="57">
        <v>4.011</v>
      </c>
      <c r="L70" s="60">
        <v>0.068</v>
      </c>
      <c r="M70" s="60">
        <v>0.066</v>
      </c>
      <c r="N70" s="62">
        <v>0.066</v>
      </c>
      <c r="O70" s="60">
        <f t="shared" si="23"/>
        <v>0.066</v>
      </c>
      <c r="P70" s="63">
        <v>85.0</v>
      </c>
      <c r="Q70" s="64">
        <v>89.73</v>
      </c>
      <c r="R70" s="65">
        <v>2651.05</v>
      </c>
      <c r="S70" s="76">
        <v>95.0</v>
      </c>
      <c r="U70" s="67">
        <v>80.0</v>
      </c>
      <c r="V70" s="67">
        <v>1.1023</v>
      </c>
      <c r="Z70" s="77">
        <v>10.0</v>
      </c>
      <c r="AA70" s="70">
        <f t="shared" si="5"/>
        <v>10</v>
      </c>
      <c r="AB70" s="71">
        <f t="shared" si="6"/>
        <v>43.24973808</v>
      </c>
      <c r="AC70" s="71">
        <f>+(S70-T70)*V70-'data 1'!$F$4</f>
        <v>24.7185</v>
      </c>
      <c r="AD70" s="71">
        <f t="shared" si="7"/>
        <v>9.11549765</v>
      </c>
      <c r="AE70" s="71">
        <f t="shared" si="8"/>
        <v>-58.977</v>
      </c>
      <c r="AF70" s="71">
        <f t="shared" si="9"/>
        <v>5.086019178</v>
      </c>
      <c r="AG70" s="72">
        <f t="shared" si="36"/>
        <v>49.94301683</v>
      </c>
      <c r="AH70" s="52">
        <f t="shared" si="11"/>
        <v>8.390895486</v>
      </c>
      <c r="AI70" s="73">
        <f t="shared" si="12"/>
        <v>3.124151645</v>
      </c>
      <c r="AJ70" s="73">
        <f t="shared" si="13"/>
        <v>7.714798591</v>
      </c>
      <c r="AK70" s="11"/>
      <c r="AL70" s="51">
        <f t="shared" si="14"/>
        <v>173.4746994</v>
      </c>
      <c r="AM70" s="3"/>
      <c r="AN70" s="3"/>
    </row>
    <row r="71" ht="15.75" customHeight="1">
      <c r="A71" s="92" t="s">
        <v>4407</v>
      </c>
      <c r="B71" s="56">
        <v>45629.0</v>
      </c>
      <c r="C71" s="56">
        <v>45626.0</v>
      </c>
      <c r="D71" s="57" t="s">
        <v>74</v>
      </c>
      <c r="E71" s="57">
        <v>1.0082235774E10</v>
      </c>
      <c r="F71" s="57" t="s">
        <v>4396</v>
      </c>
      <c r="G71" s="3">
        <v>35.0</v>
      </c>
      <c r="H71" s="57" t="s">
        <v>47</v>
      </c>
      <c r="I71" s="57">
        <v>3.02</v>
      </c>
      <c r="J71" s="58">
        <v>1.2</v>
      </c>
      <c r="K71" s="57">
        <v>2.984</v>
      </c>
      <c r="L71" s="60">
        <v>0.469</v>
      </c>
      <c r="M71" s="60">
        <v>0.461</v>
      </c>
      <c r="N71" s="62">
        <v>0.461</v>
      </c>
      <c r="O71" s="60">
        <f t="shared" si="23"/>
        <v>0.461</v>
      </c>
      <c r="P71" s="63">
        <v>90.0</v>
      </c>
      <c r="Q71" s="64">
        <v>89.49</v>
      </c>
      <c r="R71" s="65">
        <v>2651.05</v>
      </c>
      <c r="S71" s="76">
        <v>115.0</v>
      </c>
      <c r="U71" s="67">
        <v>80.0</v>
      </c>
      <c r="V71" s="67">
        <v>1.1023</v>
      </c>
      <c r="Z71" s="77">
        <v>10.0</v>
      </c>
      <c r="AA71" s="70">
        <f t="shared" si="5"/>
        <v>10</v>
      </c>
      <c r="AB71" s="71">
        <f t="shared" si="6"/>
        <v>1038.067485</v>
      </c>
      <c r="AC71" s="71">
        <f>+(S71-T71)*V71-'data 1'!$F$4</f>
        <v>46.7645</v>
      </c>
      <c r="AD71" s="71">
        <f t="shared" si="7"/>
        <v>-6.778808242</v>
      </c>
      <c r="AE71" s="71">
        <f t="shared" si="8"/>
        <v>-58.977</v>
      </c>
      <c r="AF71" s="71">
        <f t="shared" si="9"/>
        <v>20.2896626</v>
      </c>
      <c r="AG71" s="72">
        <f t="shared" si="36"/>
        <v>71.29835435</v>
      </c>
      <c r="AH71" s="52">
        <f t="shared" si="11"/>
        <v>42.93932755</v>
      </c>
      <c r="AI71" s="73">
        <f t="shared" si="12"/>
        <v>21.48982488</v>
      </c>
      <c r="AJ71" s="73">
        <f t="shared" si="13"/>
        <v>42.44742239</v>
      </c>
      <c r="AK71" s="11"/>
      <c r="AL71" s="51">
        <f t="shared" si="14"/>
        <v>3097.593376</v>
      </c>
      <c r="AM71" s="3"/>
      <c r="AN71" s="3"/>
    </row>
    <row r="72" ht="15.75" customHeight="1">
      <c r="A72" s="92" t="s">
        <v>4408</v>
      </c>
      <c r="B72" s="56">
        <v>45629.0</v>
      </c>
      <c r="C72" s="56">
        <v>45626.0</v>
      </c>
      <c r="D72" s="57" t="s">
        <v>74</v>
      </c>
      <c r="E72" s="57">
        <v>1.0082235774E10</v>
      </c>
      <c r="F72" s="57" t="s">
        <v>4396</v>
      </c>
      <c r="G72" s="3">
        <v>53.0</v>
      </c>
      <c r="H72" s="57" t="s">
        <v>47</v>
      </c>
      <c r="I72" s="57">
        <v>4.57</v>
      </c>
      <c r="J72" s="58">
        <v>1.4</v>
      </c>
      <c r="K72" s="57">
        <v>4.506</v>
      </c>
      <c r="L72" s="60">
        <v>0.379</v>
      </c>
      <c r="M72" s="60">
        <v>0.373</v>
      </c>
      <c r="N72" s="62">
        <v>0.373</v>
      </c>
      <c r="O72" s="60">
        <f t="shared" si="23"/>
        <v>0.373</v>
      </c>
      <c r="P72" s="63">
        <v>90.0</v>
      </c>
      <c r="Q72" s="64">
        <v>89.29</v>
      </c>
      <c r="R72" s="65">
        <v>2651.05</v>
      </c>
      <c r="S72" s="76">
        <v>110.0</v>
      </c>
      <c r="U72" s="67">
        <v>80.0</v>
      </c>
      <c r="V72" s="67">
        <v>1.1023</v>
      </c>
      <c r="Z72" s="77">
        <v>10.0</v>
      </c>
      <c r="AA72" s="70">
        <f t="shared" si="5"/>
        <v>10</v>
      </c>
      <c r="AB72" s="71">
        <f t="shared" si="6"/>
        <v>819.1207669</v>
      </c>
      <c r="AC72" s="71">
        <f>+(S72-T72)*V72-'data 1'!$F$4</f>
        <v>41.253</v>
      </c>
      <c r="AD72" s="71">
        <f t="shared" si="7"/>
        <v>-7.626194698</v>
      </c>
      <c r="AE72" s="71">
        <f t="shared" si="8"/>
        <v>-58.977</v>
      </c>
      <c r="AF72" s="71">
        <f t="shared" si="9"/>
        <v>15.18323813</v>
      </c>
      <c r="AG72" s="72">
        <f t="shared" si="36"/>
        <v>59.83304343</v>
      </c>
      <c r="AH72" s="52">
        <f t="shared" si="11"/>
        <v>52.28080783</v>
      </c>
      <c r="AI72" s="73">
        <f t="shared" si="12"/>
        <v>17.3271669</v>
      </c>
      <c r="AJ72" s="73">
        <f t="shared" si="13"/>
        <v>51.86227909</v>
      </c>
      <c r="AK72" s="11"/>
      <c r="AL72" s="51">
        <f t="shared" si="14"/>
        <v>3690.958176</v>
      </c>
      <c r="AM72" s="3"/>
      <c r="AN72" s="3"/>
    </row>
    <row r="73" ht="15.75" customHeight="1">
      <c r="A73" s="92" t="s">
        <v>4409</v>
      </c>
      <c r="B73" s="56">
        <v>45629.0</v>
      </c>
      <c r="C73" s="56">
        <v>45626.0</v>
      </c>
      <c r="D73" s="57" t="s">
        <v>74</v>
      </c>
      <c r="E73" s="57">
        <v>1.0082235774E10</v>
      </c>
      <c r="F73" s="57" t="s">
        <v>4396</v>
      </c>
      <c r="G73" s="3">
        <v>54.0</v>
      </c>
      <c r="H73" s="57" t="s">
        <v>47</v>
      </c>
      <c r="I73" s="57">
        <v>4.72</v>
      </c>
      <c r="J73" s="58">
        <v>1.45</v>
      </c>
      <c r="K73" s="57">
        <v>4.652</v>
      </c>
      <c r="L73" s="60">
        <v>0.22</v>
      </c>
      <c r="M73" s="60">
        <v>0.217</v>
      </c>
      <c r="N73" s="62">
        <v>0.217</v>
      </c>
      <c r="O73" s="60">
        <f t="shared" si="23"/>
        <v>0.217</v>
      </c>
      <c r="P73" s="63">
        <v>85.0</v>
      </c>
      <c r="Q73" s="64">
        <v>89.75</v>
      </c>
      <c r="R73" s="65">
        <v>2651.05</v>
      </c>
      <c r="S73" s="76">
        <v>105.0</v>
      </c>
      <c r="U73" s="67">
        <v>80.0</v>
      </c>
      <c r="V73" s="67">
        <v>1.1023</v>
      </c>
      <c r="Z73" s="77">
        <v>10.0</v>
      </c>
      <c r="AA73" s="70">
        <f t="shared" si="5"/>
        <v>10</v>
      </c>
      <c r="AB73" s="71">
        <f t="shared" si="6"/>
        <v>395.9794191</v>
      </c>
      <c r="AC73" s="71">
        <f>+(S73-T73)*V73-'data 1'!$F$4</f>
        <v>35.7415</v>
      </c>
      <c r="AD73" s="71">
        <f t="shared" si="7"/>
        <v>29.61601494</v>
      </c>
      <c r="AE73" s="71">
        <f t="shared" si="8"/>
        <v>-58.977</v>
      </c>
      <c r="AF73" s="71">
        <f t="shared" si="9"/>
        <v>7.630729207</v>
      </c>
      <c r="AG73" s="72">
        <f t="shared" si="36"/>
        <v>84.01124414</v>
      </c>
      <c r="AH73" s="52">
        <f t="shared" si="11"/>
        <v>31.4924112</v>
      </c>
      <c r="AI73" s="73">
        <f t="shared" si="12"/>
        <v>10.10980232</v>
      </c>
      <c r="AJ73" s="73">
        <f t="shared" si="13"/>
        <v>29.41896807</v>
      </c>
      <c r="AK73" s="11"/>
      <c r="AL73" s="51">
        <f t="shared" si="14"/>
        <v>1842.096258</v>
      </c>
      <c r="AM73" s="3"/>
      <c r="AN73" s="3"/>
    </row>
    <row r="74" ht="15.75" customHeight="1">
      <c r="A74" s="92" t="s">
        <v>4410</v>
      </c>
      <c r="B74" s="56">
        <v>45629.0</v>
      </c>
      <c r="C74" s="56">
        <v>45626.0</v>
      </c>
      <c r="D74" s="57" t="s">
        <v>74</v>
      </c>
      <c r="E74" s="57">
        <v>1.0082235774E10</v>
      </c>
      <c r="F74" s="57" t="s">
        <v>4396</v>
      </c>
      <c r="G74" s="3">
        <v>63.0</v>
      </c>
      <c r="H74" s="57" t="s">
        <v>47</v>
      </c>
      <c r="I74" s="57">
        <v>5.57</v>
      </c>
      <c r="J74" s="58">
        <v>1.2</v>
      </c>
      <c r="K74" s="57">
        <v>5.503</v>
      </c>
      <c r="L74" s="60">
        <v>0.233</v>
      </c>
      <c r="M74" s="60">
        <v>0.23</v>
      </c>
      <c r="N74" s="62">
        <v>0.23</v>
      </c>
      <c r="O74" s="60">
        <f t="shared" si="23"/>
        <v>0.23</v>
      </c>
      <c r="P74" s="63">
        <v>85.0</v>
      </c>
      <c r="Q74" s="64">
        <v>89.55</v>
      </c>
      <c r="R74" s="65">
        <v>2651.05</v>
      </c>
      <c r="S74" s="76">
        <v>105.0</v>
      </c>
      <c r="U74" s="67">
        <v>80.0</v>
      </c>
      <c r="V74" s="67">
        <v>1.1023</v>
      </c>
      <c r="Z74" s="77">
        <v>10.0</v>
      </c>
      <c r="AA74" s="70">
        <f t="shared" si="5"/>
        <v>10</v>
      </c>
      <c r="AB74" s="71">
        <f t="shared" si="6"/>
        <v>427.2958751</v>
      </c>
      <c r="AC74" s="71">
        <f>+(S74-T74)*V74-'data 1'!$F$4</f>
        <v>35.7415</v>
      </c>
      <c r="AD74" s="71">
        <f t="shared" si="7"/>
        <v>30.0453763</v>
      </c>
      <c r="AE74" s="71">
        <f t="shared" si="8"/>
        <v>-58.977</v>
      </c>
      <c r="AF74" s="71">
        <f t="shared" si="9"/>
        <v>7.613724797</v>
      </c>
      <c r="AG74" s="72">
        <f t="shared" si="36"/>
        <v>84.4236011</v>
      </c>
      <c r="AH74" s="52">
        <f t="shared" si="11"/>
        <v>39.36679814</v>
      </c>
      <c r="AI74" s="73">
        <f t="shared" si="12"/>
        <v>10.68333968</v>
      </c>
      <c r="AJ74" s="73">
        <f t="shared" si="13"/>
        <v>36.88547188</v>
      </c>
      <c r="AK74" s="11"/>
      <c r="AL74" s="51">
        <f t="shared" si="14"/>
        <v>2351.409201</v>
      </c>
      <c r="AM74" s="3"/>
      <c r="AN74" s="3"/>
    </row>
    <row r="75" ht="15.75" customHeight="1">
      <c r="A75" s="92" t="s">
        <v>4411</v>
      </c>
      <c r="B75" s="56">
        <v>45629.0</v>
      </c>
      <c r="C75" s="56">
        <v>45626.0</v>
      </c>
      <c r="D75" s="57" t="s">
        <v>74</v>
      </c>
      <c r="E75" s="57">
        <v>1.0082235774E10</v>
      </c>
      <c r="F75" s="57" t="s">
        <v>4396</v>
      </c>
      <c r="G75" s="3">
        <v>42.0</v>
      </c>
      <c r="H75" s="57" t="s">
        <v>47</v>
      </c>
      <c r="I75" s="57">
        <v>3.69</v>
      </c>
      <c r="J75" s="58">
        <v>1.45</v>
      </c>
      <c r="K75" s="57">
        <v>3.636</v>
      </c>
      <c r="L75" s="60">
        <v>0.153</v>
      </c>
      <c r="M75" s="60">
        <v>0.15</v>
      </c>
      <c r="N75" s="62">
        <v>0.15</v>
      </c>
      <c r="O75" s="60">
        <f t="shared" si="23"/>
        <v>0.15</v>
      </c>
      <c r="P75" s="63">
        <v>85.0</v>
      </c>
      <c r="Q75" s="64">
        <v>89.37</v>
      </c>
      <c r="R75" s="65">
        <v>2651.05</v>
      </c>
      <c r="S75" s="76">
        <v>95.0</v>
      </c>
      <c r="U75" s="67">
        <v>80.0</v>
      </c>
      <c r="V75" s="67">
        <v>1.1023</v>
      </c>
      <c r="Z75" s="77">
        <v>10.0</v>
      </c>
      <c r="AA75" s="70">
        <f t="shared" si="5"/>
        <v>10</v>
      </c>
      <c r="AB75" s="71">
        <f t="shared" si="6"/>
        <v>245.6022229</v>
      </c>
      <c r="AC75" s="71">
        <f>+(S75-T75)*V75-'data 1'!$F$4</f>
        <v>24.7185</v>
      </c>
      <c r="AD75" s="71">
        <f t="shared" si="7"/>
        <v>18.94886483</v>
      </c>
      <c r="AE75" s="71">
        <f t="shared" si="8"/>
        <v>-58.977</v>
      </c>
      <c r="AF75" s="71">
        <f t="shared" si="9"/>
        <v>7.598420827</v>
      </c>
      <c r="AG75" s="72">
        <f t="shared" si="36"/>
        <v>62.28878566</v>
      </c>
      <c r="AH75" s="52">
        <f t="shared" si="11"/>
        <v>17.04575071</v>
      </c>
      <c r="AI75" s="73">
        <f t="shared" si="12"/>
        <v>7.001139231</v>
      </c>
      <c r="AJ75" s="73">
        <f t="shared" si="13"/>
        <v>15.89436305</v>
      </c>
      <c r="AK75" s="11"/>
      <c r="AL75" s="51">
        <f t="shared" si="14"/>
        <v>893.0096825</v>
      </c>
      <c r="AM75" s="3"/>
      <c r="AN75" s="3"/>
    </row>
    <row r="76" ht="15.75" customHeight="1">
      <c r="A76" s="92" t="s">
        <v>4412</v>
      </c>
      <c r="B76" s="56">
        <v>45633.0</v>
      </c>
      <c r="C76" s="56">
        <v>45632.0</v>
      </c>
      <c r="D76" s="57" t="s">
        <v>82</v>
      </c>
      <c r="E76" s="57">
        <v>2.0601620147E10</v>
      </c>
      <c r="G76" s="3" t="s">
        <v>4100</v>
      </c>
      <c r="H76" s="57" t="s">
        <v>71</v>
      </c>
      <c r="I76" s="58">
        <v>26.09</v>
      </c>
      <c r="J76" s="58">
        <v>2.95</v>
      </c>
      <c r="K76" s="59">
        <f t="shared" ref="K76:K79" si="37">+I76-(I76*(J76/100))</f>
        <v>25.320345</v>
      </c>
      <c r="L76" s="60">
        <v>0.144</v>
      </c>
      <c r="M76" s="60">
        <v>0.134</v>
      </c>
      <c r="N76" s="62">
        <v>0.134</v>
      </c>
      <c r="O76" s="60">
        <f t="shared" si="23"/>
        <v>0.134</v>
      </c>
      <c r="P76" s="2">
        <v>85.0</v>
      </c>
      <c r="Q76" s="64">
        <v>89.88</v>
      </c>
      <c r="R76" s="65">
        <v>2637.3</v>
      </c>
      <c r="S76" s="76">
        <v>110.0</v>
      </c>
      <c r="U76" s="67">
        <v>90.0</v>
      </c>
      <c r="V76" s="67">
        <v>1.1023</v>
      </c>
      <c r="Z76" s="69">
        <f t="shared" ref="Z76:Z79" si="38">IF(IF(D76="UNTUCA",IF(+((W76-3)*1.5+(X76-3)*3.1)&gt;0,+((W76-3)*1.5+(X76-3)*3.1),0),IF(+((W76-3)*1.5+(X76-3)*3.1)&gt;0,+((W76-3)*1.5+(X76-3)*3.1),0))&lt;30,30,IF(D76="UNTUCA",IF(+((W76-3)*1.5+(X76-3)*3.1)&gt;0,+((W76-3)*1.5+(X76-3)*3.1),0),IF(+((W76-3)*1.5+(X76-3)*3.1)&gt;0,+((W76-3)*1.5+(X76-3)*3.1),0)))</f>
        <v>30</v>
      </c>
      <c r="AA76" s="70">
        <f t="shared" si="5"/>
        <v>30</v>
      </c>
      <c r="AB76" s="71">
        <f t="shared" si="6"/>
        <v>165.4965332</v>
      </c>
      <c r="AC76" s="71">
        <f>+(S76-T76)*V76-'data 1'!$F$4</f>
        <v>41.253</v>
      </c>
      <c r="AD76" s="71">
        <f t="shared" si="7"/>
        <v>19.73159611</v>
      </c>
      <c r="AE76" s="71">
        <f t="shared" si="8"/>
        <v>-36.931</v>
      </c>
      <c r="AF76" s="71">
        <f t="shared" si="9"/>
        <v>25.23730444</v>
      </c>
      <c r="AG76" s="72">
        <f>+IF(D76="RONALD WILLIAN GARIBAY ESCUDERO",AC76+AD76+AE76+AF76+70,AC76+AD76+AE76+AF76)+70-20</f>
        <v>99.29090055</v>
      </c>
      <c r="AH76" s="52">
        <f t="shared" si="11"/>
        <v>112.3580631</v>
      </c>
      <c r="AI76" s="73">
        <f t="shared" si="12"/>
        <v>10.0152657</v>
      </c>
      <c r="AJ76" s="73">
        <f t="shared" si="13"/>
        <v>98.87862356</v>
      </c>
      <c r="AK76" s="11"/>
      <c r="AL76" s="51">
        <f t="shared" si="14"/>
        <v>4190.429316</v>
      </c>
      <c r="AM76" s="3"/>
      <c r="AN76" s="3"/>
    </row>
    <row r="77" ht="15.75" customHeight="1">
      <c r="A77" s="92" t="s">
        <v>4413</v>
      </c>
      <c r="B77" s="56"/>
      <c r="C77" s="56">
        <v>45637.0</v>
      </c>
      <c r="D77" s="57" t="s">
        <v>61</v>
      </c>
      <c r="G77" s="3">
        <v>101.0</v>
      </c>
      <c r="H77" s="57" t="s">
        <v>47</v>
      </c>
      <c r="I77" s="58">
        <v>8.84</v>
      </c>
      <c r="J77" s="58">
        <v>1.1</v>
      </c>
      <c r="K77" s="59">
        <f t="shared" si="37"/>
        <v>8.74276</v>
      </c>
      <c r="L77" s="60">
        <v>0.139</v>
      </c>
      <c r="M77" s="60">
        <v>0.133</v>
      </c>
      <c r="N77" s="62">
        <v>0.133</v>
      </c>
      <c r="O77" s="60">
        <f t="shared" si="23"/>
        <v>0.133</v>
      </c>
      <c r="P77" s="63">
        <v>90.0</v>
      </c>
      <c r="Q77" s="64">
        <v>89.87</v>
      </c>
      <c r="R77" s="65">
        <v>2705.45</v>
      </c>
      <c r="S77" s="66">
        <f t="shared" ref="S77:S79" si="39">IF((90+ROUNDDOWN(O77,1)*100)&lt;95,95,(90+ROUNDDOWN(O77,1)*100))</f>
        <v>100</v>
      </c>
      <c r="U77" s="67">
        <v>100.0</v>
      </c>
      <c r="V77" s="67">
        <v>1.1023</v>
      </c>
      <c r="Y77" s="57">
        <v>10.0</v>
      </c>
      <c r="Z77" s="69">
        <f t="shared" si="38"/>
        <v>30</v>
      </c>
      <c r="AA77" s="70">
        <f t="shared" si="5"/>
        <v>40</v>
      </c>
      <c r="AB77" s="71">
        <f t="shared" si="6"/>
        <v>189.4549079</v>
      </c>
      <c r="AC77" s="71">
        <f>+(S77-T77)*V77-'data 1'!$F$4</f>
        <v>30.23</v>
      </c>
      <c r="AD77" s="71">
        <f t="shared" si="7"/>
        <v>-0.5189681476</v>
      </c>
      <c r="AE77" s="71">
        <f t="shared" si="8"/>
        <v>-25.908</v>
      </c>
      <c r="AF77" s="71">
        <f t="shared" si="9"/>
        <v>15.48633119</v>
      </c>
      <c r="AG77" s="72">
        <f t="shared" ref="AG77:AG79" si="40">+IF(D77="RONALD WILLIAN GARIBAY ESCUDERO",AC77+AD77+AE77+AF77+70,AC77+AD77+AE77+AF77)+70-53</f>
        <v>36.28936304</v>
      </c>
      <c r="AH77" s="52">
        <f t="shared" si="11"/>
        <v>37.44442517</v>
      </c>
      <c r="AI77" s="73">
        <f t="shared" si="12"/>
        <v>1.65926746</v>
      </c>
      <c r="AJ77" s="73">
        <f t="shared" si="13"/>
        <v>35.87994563</v>
      </c>
      <c r="AK77" s="11"/>
      <c r="AL77" s="51">
        <f t="shared" si="14"/>
        <v>1656.358791</v>
      </c>
      <c r="AM77" s="3"/>
      <c r="AN77" s="3"/>
    </row>
    <row r="78" ht="15.75" customHeight="1">
      <c r="A78" s="92" t="s">
        <v>4414</v>
      </c>
      <c r="B78" s="56"/>
      <c r="C78" s="56">
        <v>45637.0</v>
      </c>
      <c r="D78" s="57" t="s">
        <v>61</v>
      </c>
      <c r="G78" s="3">
        <v>64.0</v>
      </c>
      <c r="H78" s="57" t="s">
        <v>47</v>
      </c>
      <c r="I78" s="58">
        <v>5.53</v>
      </c>
      <c r="J78" s="58">
        <v>1.2</v>
      </c>
      <c r="K78" s="59">
        <f t="shared" si="37"/>
        <v>5.46364</v>
      </c>
      <c r="L78" s="60">
        <v>0.208</v>
      </c>
      <c r="M78" s="60">
        <v>0.199</v>
      </c>
      <c r="N78" s="62">
        <v>0.199</v>
      </c>
      <c r="O78" s="60">
        <f t="shared" si="23"/>
        <v>0.199</v>
      </c>
      <c r="P78" s="63">
        <v>90.0</v>
      </c>
      <c r="Q78" s="64">
        <v>89.57</v>
      </c>
      <c r="R78" s="65">
        <v>2705.45</v>
      </c>
      <c r="S78" s="66">
        <f t="shared" si="39"/>
        <v>100</v>
      </c>
      <c r="U78" s="67">
        <v>100.0</v>
      </c>
      <c r="V78" s="67">
        <v>1.1023</v>
      </c>
      <c r="Y78" s="57">
        <v>10.0</v>
      </c>
      <c r="Z78" s="69">
        <f t="shared" si="38"/>
        <v>30</v>
      </c>
      <c r="AA78" s="70">
        <f t="shared" si="5"/>
        <v>40</v>
      </c>
      <c r="AB78" s="71">
        <f t="shared" si="6"/>
        <v>360.0509675</v>
      </c>
      <c r="AC78" s="71">
        <f>+(S78-T78)*V78-'data 1'!$F$4</f>
        <v>30.23</v>
      </c>
      <c r="AD78" s="71">
        <f t="shared" si="7"/>
        <v>-2.568705651</v>
      </c>
      <c r="AE78" s="71">
        <f t="shared" si="8"/>
        <v>-25.908</v>
      </c>
      <c r="AF78" s="71">
        <f t="shared" si="9"/>
        <v>23.15195312</v>
      </c>
      <c r="AG78" s="72">
        <f t="shared" si="40"/>
        <v>41.90524746</v>
      </c>
      <c r="AH78" s="52">
        <f t="shared" si="11"/>
        <v>34.89932718</v>
      </c>
      <c r="AI78" s="73">
        <f t="shared" si="12"/>
        <v>2.474644188</v>
      </c>
      <c r="AJ78" s="73">
        <f t="shared" si="13"/>
        <v>33.54955245</v>
      </c>
      <c r="AK78" s="11"/>
      <c r="AL78" s="51">
        <f t="shared" si="14"/>
        <v>1967.188868</v>
      </c>
      <c r="AM78" s="3"/>
      <c r="AN78" s="3"/>
    </row>
    <row r="79" ht="15.75" customHeight="1">
      <c r="A79" s="92" t="s">
        <v>4415</v>
      </c>
      <c r="B79" s="841">
        <v>45646.0</v>
      </c>
      <c r="C79" s="854">
        <v>45594.0</v>
      </c>
      <c r="D79" s="57" t="s">
        <v>3795</v>
      </c>
      <c r="E79" s="2">
        <v>2.060499E10</v>
      </c>
      <c r="F79" s="2" t="s">
        <v>4314</v>
      </c>
      <c r="G79" s="3" t="s">
        <v>46</v>
      </c>
      <c r="H79" s="58" t="s">
        <v>40</v>
      </c>
      <c r="I79" s="58">
        <v>41.09</v>
      </c>
      <c r="J79" s="58">
        <v>4.6</v>
      </c>
      <c r="K79" s="59">
        <f t="shared" si="37"/>
        <v>39.19986</v>
      </c>
      <c r="L79" s="60">
        <v>0.096</v>
      </c>
      <c r="M79" s="60">
        <v>0.09</v>
      </c>
      <c r="N79" s="62">
        <v>0.147</v>
      </c>
      <c r="O79" s="60">
        <f t="shared" si="23"/>
        <v>0.119</v>
      </c>
      <c r="P79" s="63">
        <v>85.0</v>
      </c>
      <c r="Q79" s="58">
        <v>89.26</v>
      </c>
      <c r="R79" s="65">
        <v>2769.15</v>
      </c>
      <c r="S79" s="66">
        <f t="shared" si="39"/>
        <v>100</v>
      </c>
      <c r="U79" s="67">
        <v>100.0</v>
      </c>
      <c r="V79" s="67">
        <v>1.1023</v>
      </c>
      <c r="Y79" s="68">
        <v>0.0</v>
      </c>
      <c r="Z79" s="69">
        <f t="shared" si="38"/>
        <v>30</v>
      </c>
      <c r="AA79" s="70">
        <f t="shared" si="5"/>
        <v>30</v>
      </c>
      <c r="AB79" s="71">
        <f t="shared" si="6"/>
        <v>154.3049392</v>
      </c>
      <c r="AC79" s="71">
        <f>+(S79-T79)*V79-'data 1'!$F$4</f>
        <v>30.23</v>
      </c>
      <c r="AD79" s="71">
        <f t="shared" si="7"/>
        <v>12.03243766</v>
      </c>
      <c r="AE79" s="71">
        <f t="shared" si="8"/>
        <v>-36.931</v>
      </c>
      <c r="AF79" s="71">
        <f t="shared" si="9"/>
        <v>-60.4028606</v>
      </c>
      <c r="AG79" s="72">
        <f t="shared" si="40"/>
        <v>-38.07142294</v>
      </c>
      <c r="AH79" s="52">
        <f t="shared" si="11"/>
        <v>115.1653153</v>
      </c>
      <c r="AI79" s="73">
        <f t="shared" si="12"/>
        <v>-4.87863412</v>
      </c>
      <c r="AJ79" s="73">
        <f t="shared" si="13"/>
        <v>135.9438209</v>
      </c>
      <c r="AK79" s="53"/>
      <c r="AL79" s="51">
        <f t="shared" si="14"/>
        <v>6048.732012</v>
      </c>
      <c r="AM79" s="3"/>
      <c r="AN79" s="3"/>
      <c r="AO79" s="58"/>
      <c r="AQ79" s="58"/>
    </row>
    <row r="80" ht="15.75" customHeight="1">
      <c r="G80" s="3"/>
      <c r="L80" s="60"/>
      <c r="M80" s="60"/>
      <c r="N80" s="62"/>
      <c r="P80" s="63"/>
      <c r="Q80" s="64"/>
      <c r="R80" s="65"/>
      <c r="AG80" s="91"/>
      <c r="AH80" s="3"/>
      <c r="AI80" s="3"/>
      <c r="AJ80" s="3"/>
      <c r="AL80" s="3"/>
      <c r="AM80" s="3"/>
      <c r="AN80" s="3"/>
    </row>
    <row r="81" ht="15.75" customHeight="1">
      <c r="G81" s="3"/>
      <c r="L81" s="60"/>
      <c r="M81" s="60"/>
      <c r="N81" s="62"/>
      <c r="P81" s="63"/>
      <c r="Q81" s="64"/>
      <c r="R81" s="65"/>
      <c r="AG81" s="91"/>
      <c r="AH81" s="3"/>
      <c r="AI81" s="3"/>
      <c r="AJ81" s="3"/>
      <c r="AL81" s="3"/>
      <c r="AM81" s="3"/>
      <c r="AN81" s="3"/>
    </row>
    <row r="82" ht="15.75" customHeight="1">
      <c r="G82" s="3"/>
      <c r="L82" s="60"/>
      <c r="M82" s="60"/>
      <c r="N82" s="62"/>
      <c r="P82" s="63"/>
      <c r="Q82" s="64"/>
      <c r="R82" s="65"/>
      <c r="AG82" s="91"/>
      <c r="AH82" s="3"/>
      <c r="AI82" s="3"/>
      <c r="AJ82" s="3"/>
      <c r="AL82" s="3"/>
      <c r="AM82" s="3"/>
      <c r="AN82" s="3"/>
    </row>
    <row r="83" ht="15.75" customHeight="1">
      <c r="G83" s="3"/>
      <c r="L83" s="60"/>
      <c r="M83" s="60"/>
      <c r="N83" s="62"/>
      <c r="P83" s="63"/>
      <c r="Q83" s="64"/>
      <c r="R83" s="65"/>
      <c r="AG83" s="91"/>
      <c r="AH83" s="3"/>
      <c r="AI83" s="3"/>
      <c r="AJ83" s="3"/>
      <c r="AL83" s="3"/>
      <c r="AM83" s="3"/>
      <c r="AN83" s="3"/>
    </row>
    <row r="84" ht="15.75" customHeight="1">
      <c r="G84" s="3"/>
      <c r="L84" s="60"/>
      <c r="M84" s="60"/>
      <c r="N84" s="62"/>
      <c r="P84" s="63"/>
      <c r="Q84" s="64"/>
      <c r="R84" s="65"/>
      <c r="AG84" s="91"/>
      <c r="AH84" s="3"/>
      <c r="AI84" s="3"/>
      <c r="AJ84" s="3"/>
      <c r="AL84" s="3"/>
      <c r="AM84" s="3"/>
      <c r="AN84" s="3"/>
    </row>
    <row r="85" ht="15.75" customHeight="1">
      <c r="G85" s="3"/>
      <c r="L85" s="60"/>
      <c r="M85" s="60"/>
      <c r="N85" s="62"/>
      <c r="P85" s="63"/>
      <c r="Q85" s="64"/>
      <c r="R85" s="65"/>
      <c r="AG85" s="91"/>
      <c r="AH85" s="3"/>
      <c r="AI85" s="3"/>
      <c r="AJ85" s="3"/>
      <c r="AL85" s="3"/>
      <c r="AM85" s="3"/>
      <c r="AN85" s="3"/>
    </row>
    <row r="86" ht="15.75" customHeight="1">
      <c r="G86" s="3"/>
      <c r="L86" s="60"/>
      <c r="M86" s="60"/>
      <c r="N86" s="62"/>
      <c r="P86" s="63"/>
      <c r="Q86" s="64"/>
      <c r="R86" s="65"/>
      <c r="AG86" s="91"/>
      <c r="AH86" s="3"/>
      <c r="AI86" s="3"/>
      <c r="AJ86" s="3"/>
      <c r="AL86" s="3"/>
      <c r="AM86" s="3"/>
      <c r="AN86" s="3"/>
    </row>
    <row r="87" ht="15.75" customHeight="1">
      <c r="G87" s="3"/>
      <c r="L87" s="60"/>
      <c r="M87" s="60"/>
      <c r="N87" s="62"/>
      <c r="P87" s="63"/>
      <c r="Q87" s="64"/>
      <c r="R87" s="65"/>
      <c r="AG87" s="91"/>
      <c r="AH87" s="3"/>
      <c r="AI87" s="3"/>
      <c r="AJ87" s="3"/>
      <c r="AL87" s="3"/>
      <c r="AM87" s="3"/>
      <c r="AN87" s="3"/>
    </row>
    <row r="88" ht="15.75" customHeight="1">
      <c r="G88" s="3"/>
      <c r="L88" s="60"/>
      <c r="M88" s="60"/>
      <c r="N88" s="62"/>
      <c r="P88" s="63"/>
      <c r="Q88" s="64"/>
      <c r="R88" s="65"/>
      <c r="AG88" s="91"/>
      <c r="AH88" s="3"/>
      <c r="AI88" s="3"/>
      <c r="AJ88" s="3"/>
      <c r="AL88" s="3"/>
      <c r="AM88" s="3"/>
      <c r="AN88" s="3"/>
    </row>
    <row r="89" ht="15.75" customHeight="1">
      <c r="G89" s="3"/>
      <c r="L89" s="60"/>
      <c r="M89" s="60"/>
      <c r="N89" s="62"/>
      <c r="P89" s="63"/>
      <c r="Q89" s="64"/>
      <c r="R89" s="65"/>
      <c r="AG89" s="91"/>
      <c r="AH89" s="3"/>
      <c r="AI89" s="3"/>
      <c r="AJ89" s="3"/>
      <c r="AL89" s="3"/>
      <c r="AM89" s="3"/>
      <c r="AN89" s="3"/>
    </row>
    <row r="90" ht="15.75" customHeight="1">
      <c r="G90" s="3"/>
      <c r="L90" s="60"/>
      <c r="M90" s="60"/>
      <c r="N90" s="62"/>
      <c r="P90" s="63"/>
      <c r="Q90" s="64"/>
      <c r="R90" s="65"/>
      <c r="AG90" s="91"/>
      <c r="AH90" s="3"/>
      <c r="AI90" s="3"/>
      <c r="AJ90" s="3"/>
      <c r="AL90" s="3"/>
      <c r="AM90" s="3"/>
      <c r="AN90" s="3"/>
    </row>
    <row r="91" ht="15.75" customHeight="1">
      <c r="G91" s="3"/>
      <c r="L91" s="60"/>
      <c r="M91" s="60"/>
      <c r="N91" s="62"/>
      <c r="P91" s="63"/>
      <c r="Q91" s="64"/>
      <c r="R91" s="65"/>
      <c r="AG91" s="91"/>
      <c r="AH91" s="3"/>
      <c r="AI91" s="3"/>
      <c r="AJ91" s="3"/>
      <c r="AL91" s="3"/>
      <c r="AM91" s="3"/>
      <c r="AN91" s="3"/>
    </row>
    <row r="92" ht="15.75" customHeight="1">
      <c r="G92" s="3"/>
      <c r="L92" s="60"/>
      <c r="M92" s="60"/>
      <c r="N92" s="62"/>
      <c r="P92" s="63"/>
      <c r="Q92" s="64"/>
      <c r="R92" s="65"/>
      <c r="AG92" s="91"/>
      <c r="AH92" s="3"/>
      <c r="AI92" s="3"/>
      <c r="AJ92" s="3"/>
      <c r="AL92" s="3"/>
      <c r="AM92" s="3"/>
      <c r="AN92" s="3"/>
    </row>
    <row r="93" ht="15.75" customHeight="1">
      <c r="G93" s="3"/>
      <c r="L93" s="60"/>
      <c r="M93" s="60"/>
      <c r="N93" s="62"/>
      <c r="P93" s="63"/>
      <c r="Q93" s="64"/>
      <c r="R93" s="65"/>
      <c r="AG93" s="91"/>
      <c r="AH93" s="3"/>
      <c r="AI93" s="3"/>
      <c r="AJ93" s="3"/>
      <c r="AL93" s="3"/>
      <c r="AM93" s="3"/>
      <c r="AN93" s="3"/>
    </row>
    <row r="94" ht="15.75" customHeight="1">
      <c r="G94" s="3"/>
      <c r="L94" s="60"/>
      <c r="M94" s="60"/>
      <c r="N94" s="62"/>
      <c r="P94" s="63"/>
      <c r="Q94" s="64"/>
      <c r="R94" s="65"/>
      <c r="AG94" s="91"/>
      <c r="AH94" s="3"/>
      <c r="AI94" s="3"/>
      <c r="AJ94" s="3"/>
      <c r="AL94" s="3"/>
      <c r="AM94" s="3"/>
      <c r="AN94" s="3"/>
    </row>
    <row r="95" ht="15.75" customHeight="1">
      <c r="G95" s="3"/>
      <c r="L95" s="60"/>
      <c r="M95" s="60"/>
      <c r="N95" s="62"/>
      <c r="P95" s="63"/>
      <c r="Q95" s="64"/>
      <c r="R95" s="65"/>
      <c r="AG95" s="91"/>
      <c r="AH95" s="3"/>
      <c r="AI95" s="3"/>
      <c r="AJ95" s="3"/>
      <c r="AL95" s="3"/>
      <c r="AM95" s="3"/>
      <c r="AN95" s="3"/>
    </row>
    <row r="96" ht="15.75" customHeight="1">
      <c r="G96" s="3"/>
      <c r="L96" s="60"/>
      <c r="M96" s="60"/>
      <c r="N96" s="62"/>
      <c r="P96" s="63"/>
      <c r="Q96" s="64"/>
      <c r="R96" s="65"/>
      <c r="AG96" s="91"/>
      <c r="AH96" s="3"/>
      <c r="AI96" s="3"/>
      <c r="AJ96" s="3"/>
      <c r="AL96" s="3"/>
      <c r="AM96" s="3"/>
      <c r="AN96" s="3"/>
    </row>
    <row r="97" ht="15.75" customHeight="1">
      <c r="G97" s="3"/>
      <c r="L97" s="60"/>
      <c r="M97" s="60"/>
      <c r="N97" s="62"/>
      <c r="P97" s="63"/>
      <c r="Q97" s="64"/>
      <c r="R97" s="65"/>
      <c r="AG97" s="91"/>
      <c r="AH97" s="3"/>
      <c r="AI97" s="3"/>
      <c r="AJ97" s="3"/>
      <c r="AL97" s="3"/>
      <c r="AM97" s="3"/>
      <c r="AN97" s="3"/>
    </row>
    <row r="98" ht="15.75" customHeight="1">
      <c r="G98" s="3"/>
      <c r="L98" s="60"/>
      <c r="M98" s="60"/>
      <c r="N98" s="62"/>
      <c r="P98" s="63"/>
      <c r="Q98" s="64"/>
      <c r="R98" s="65"/>
      <c r="AG98" s="91"/>
      <c r="AH98" s="3"/>
      <c r="AI98" s="3"/>
      <c r="AJ98" s="3"/>
      <c r="AL98" s="3"/>
      <c r="AM98" s="3"/>
      <c r="AN98" s="3"/>
    </row>
    <row r="99" ht="15.75" customHeight="1">
      <c r="G99" s="3"/>
      <c r="L99" s="60"/>
      <c r="M99" s="60"/>
      <c r="N99" s="62"/>
      <c r="P99" s="63"/>
      <c r="Q99" s="64"/>
      <c r="R99" s="65"/>
      <c r="AG99" s="91"/>
      <c r="AH99" s="3"/>
      <c r="AI99" s="3"/>
      <c r="AJ99" s="3"/>
      <c r="AL99" s="3"/>
      <c r="AM99" s="3"/>
      <c r="AN99" s="3"/>
    </row>
    <row r="100" ht="15.75" customHeight="1">
      <c r="G100" s="3"/>
      <c r="L100" s="60"/>
      <c r="M100" s="60"/>
      <c r="N100" s="62"/>
      <c r="P100" s="63"/>
      <c r="Q100" s="64"/>
      <c r="R100" s="65"/>
      <c r="AG100" s="91"/>
      <c r="AH100" s="3"/>
      <c r="AI100" s="3"/>
      <c r="AJ100" s="3"/>
      <c r="AL100" s="3"/>
      <c r="AM100" s="3"/>
      <c r="AN100" s="3"/>
    </row>
    <row r="101" ht="15.75" customHeight="1">
      <c r="G101" s="3"/>
      <c r="L101" s="60"/>
      <c r="M101" s="60"/>
      <c r="N101" s="62"/>
      <c r="P101" s="63"/>
      <c r="Q101" s="64"/>
      <c r="R101" s="65"/>
      <c r="AG101" s="91"/>
      <c r="AH101" s="3"/>
      <c r="AI101" s="3"/>
      <c r="AJ101" s="3"/>
      <c r="AL101" s="3"/>
      <c r="AM101" s="3"/>
      <c r="AN101" s="3"/>
    </row>
    <row r="102" ht="15.75" customHeight="1">
      <c r="G102" s="3"/>
      <c r="L102" s="60"/>
      <c r="M102" s="60"/>
      <c r="N102" s="62"/>
      <c r="P102" s="63"/>
      <c r="Q102" s="64"/>
      <c r="R102" s="65"/>
      <c r="AG102" s="91"/>
      <c r="AH102" s="3"/>
      <c r="AI102" s="3"/>
      <c r="AJ102" s="3"/>
      <c r="AL102" s="3"/>
      <c r="AM102" s="3"/>
      <c r="AN102" s="3"/>
    </row>
    <row r="103" ht="15.75" customHeight="1">
      <c r="G103" s="3"/>
      <c r="L103" s="60"/>
      <c r="M103" s="60"/>
      <c r="N103" s="62"/>
      <c r="P103" s="63"/>
      <c r="Q103" s="64"/>
      <c r="R103" s="65"/>
      <c r="AG103" s="91"/>
      <c r="AH103" s="3"/>
      <c r="AI103" s="3"/>
      <c r="AJ103" s="3"/>
      <c r="AL103" s="3"/>
      <c r="AM103" s="3"/>
      <c r="AN103" s="3"/>
    </row>
    <row r="104" ht="15.75" customHeight="1">
      <c r="G104" s="3"/>
      <c r="L104" s="60"/>
      <c r="M104" s="60"/>
      <c r="N104" s="62"/>
      <c r="P104" s="63"/>
      <c r="Q104" s="64"/>
      <c r="R104" s="65"/>
      <c r="AG104" s="91"/>
      <c r="AH104" s="3"/>
      <c r="AI104" s="3"/>
      <c r="AJ104" s="3"/>
      <c r="AL104" s="3"/>
      <c r="AM104" s="3"/>
      <c r="AN104" s="3"/>
    </row>
    <row r="105" ht="15.75" customHeight="1">
      <c r="G105" s="3"/>
      <c r="L105" s="60"/>
      <c r="M105" s="60"/>
      <c r="N105" s="62"/>
      <c r="P105" s="63"/>
      <c r="Q105" s="64"/>
      <c r="R105" s="65"/>
      <c r="AG105" s="91"/>
      <c r="AH105" s="3"/>
      <c r="AI105" s="3"/>
      <c r="AJ105" s="3"/>
      <c r="AL105" s="3"/>
      <c r="AM105" s="3"/>
      <c r="AN105" s="3"/>
    </row>
    <row r="106" ht="15.75" customHeight="1">
      <c r="G106" s="3"/>
      <c r="L106" s="60"/>
      <c r="M106" s="60"/>
      <c r="N106" s="62"/>
      <c r="P106" s="63"/>
      <c r="Q106" s="64"/>
      <c r="R106" s="65"/>
      <c r="AG106" s="91"/>
      <c r="AH106" s="3"/>
      <c r="AI106" s="3"/>
      <c r="AJ106" s="3"/>
      <c r="AL106" s="3"/>
      <c r="AM106" s="3"/>
      <c r="AN106" s="3"/>
    </row>
    <row r="107" ht="15.75" customHeight="1">
      <c r="G107" s="3"/>
      <c r="L107" s="60"/>
      <c r="M107" s="60"/>
      <c r="N107" s="62"/>
      <c r="P107" s="63"/>
      <c r="Q107" s="64"/>
      <c r="R107" s="65"/>
      <c r="AG107" s="91"/>
      <c r="AH107" s="3"/>
      <c r="AI107" s="3"/>
      <c r="AJ107" s="3"/>
      <c r="AL107" s="3"/>
      <c r="AM107" s="3"/>
      <c r="AN107" s="3"/>
    </row>
    <row r="108" ht="15.75" customHeight="1">
      <c r="G108" s="3"/>
      <c r="L108" s="60"/>
      <c r="M108" s="60"/>
      <c r="N108" s="62"/>
      <c r="P108" s="63"/>
      <c r="Q108" s="64"/>
      <c r="R108" s="65"/>
      <c r="AG108" s="91"/>
      <c r="AH108" s="3"/>
      <c r="AI108" s="3"/>
      <c r="AJ108" s="3"/>
      <c r="AL108" s="3"/>
      <c r="AM108" s="3"/>
      <c r="AN108" s="3"/>
    </row>
    <row r="109" ht="15.75" customHeight="1">
      <c r="G109" s="3"/>
      <c r="L109" s="60"/>
      <c r="M109" s="60"/>
      <c r="N109" s="62"/>
      <c r="P109" s="63"/>
      <c r="Q109" s="64"/>
      <c r="R109" s="65"/>
      <c r="AG109" s="91"/>
      <c r="AH109" s="3"/>
      <c r="AI109" s="3"/>
      <c r="AJ109" s="3"/>
      <c r="AL109" s="3"/>
      <c r="AM109" s="3"/>
      <c r="AN109" s="3"/>
    </row>
    <row r="110" ht="15.75" customHeight="1">
      <c r="G110" s="3"/>
      <c r="L110" s="60"/>
      <c r="M110" s="60"/>
      <c r="N110" s="62"/>
      <c r="P110" s="63"/>
      <c r="Q110" s="64"/>
      <c r="R110" s="65"/>
      <c r="AG110" s="91"/>
      <c r="AH110" s="3"/>
      <c r="AI110" s="3"/>
      <c r="AJ110" s="3"/>
      <c r="AL110" s="3"/>
      <c r="AM110" s="3"/>
      <c r="AN110" s="3"/>
    </row>
    <row r="111" ht="15.75" customHeight="1">
      <c r="G111" s="3"/>
      <c r="L111" s="60"/>
      <c r="M111" s="60"/>
      <c r="N111" s="62"/>
      <c r="P111" s="63"/>
      <c r="Q111" s="64"/>
      <c r="R111" s="65"/>
      <c r="AG111" s="91"/>
      <c r="AH111" s="3"/>
      <c r="AI111" s="3"/>
      <c r="AJ111" s="3"/>
      <c r="AL111" s="3"/>
      <c r="AM111" s="3"/>
      <c r="AN111" s="3"/>
    </row>
    <row r="112" ht="15.75" customHeight="1">
      <c r="G112" s="3"/>
      <c r="L112" s="60"/>
      <c r="M112" s="60"/>
      <c r="N112" s="62"/>
      <c r="P112" s="63"/>
      <c r="Q112" s="64"/>
      <c r="R112" s="65"/>
      <c r="AG112" s="91"/>
      <c r="AH112" s="3"/>
      <c r="AI112" s="3"/>
      <c r="AJ112" s="3"/>
      <c r="AL112" s="3"/>
      <c r="AM112" s="3"/>
      <c r="AN112" s="3"/>
    </row>
    <row r="113" ht="15.75" customHeight="1">
      <c r="G113" s="3"/>
      <c r="L113" s="60"/>
      <c r="M113" s="60"/>
      <c r="N113" s="62"/>
      <c r="P113" s="63"/>
      <c r="Q113" s="64"/>
      <c r="R113" s="65"/>
      <c r="AG113" s="91"/>
      <c r="AH113" s="3"/>
      <c r="AI113" s="3"/>
      <c r="AJ113" s="3"/>
      <c r="AL113" s="3"/>
      <c r="AM113" s="3"/>
      <c r="AN113" s="3"/>
    </row>
    <row r="114" ht="15.75" customHeight="1">
      <c r="G114" s="3"/>
      <c r="L114" s="60"/>
      <c r="M114" s="60"/>
      <c r="N114" s="62"/>
      <c r="P114" s="63"/>
      <c r="Q114" s="64"/>
      <c r="R114" s="65"/>
      <c r="AG114" s="91"/>
      <c r="AH114" s="3"/>
      <c r="AI114" s="3"/>
      <c r="AJ114" s="3"/>
      <c r="AL114" s="3"/>
      <c r="AM114" s="3"/>
      <c r="AN114" s="3"/>
    </row>
    <row r="115" ht="15.75" customHeight="1">
      <c r="G115" s="3"/>
      <c r="L115" s="60"/>
      <c r="M115" s="60"/>
      <c r="N115" s="62"/>
      <c r="P115" s="63"/>
      <c r="Q115" s="64"/>
      <c r="R115" s="65"/>
      <c r="AG115" s="91"/>
      <c r="AH115" s="3"/>
      <c r="AI115" s="3"/>
      <c r="AJ115" s="3"/>
      <c r="AL115" s="3"/>
      <c r="AM115" s="3"/>
      <c r="AN115" s="3"/>
    </row>
    <row r="116" ht="15.75" customHeight="1">
      <c r="G116" s="3"/>
      <c r="L116" s="60"/>
      <c r="M116" s="60"/>
      <c r="N116" s="62"/>
      <c r="P116" s="63"/>
      <c r="Q116" s="64"/>
      <c r="R116" s="65"/>
      <c r="AG116" s="91"/>
      <c r="AH116" s="3"/>
      <c r="AI116" s="3"/>
      <c r="AJ116" s="3"/>
      <c r="AL116" s="3"/>
      <c r="AM116" s="3"/>
      <c r="AN116" s="3"/>
    </row>
    <row r="117" ht="15.75" customHeight="1">
      <c r="G117" s="3"/>
      <c r="L117" s="60"/>
      <c r="M117" s="60"/>
      <c r="N117" s="62"/>
      <c r="P117" s="63"/>
      <c r="Q117" s="64"/>
      <c r="R117" s="65"/>
      <c r="AG117" s="91"/>
      <c r="AH117" s="3"/>
      <c r="AI117" s="3"/>
      <c r="AJ117" s="3"/>
      <c r="AL117" s="3"/>
      <c r="AM117" s="3"/>
      <c r="AN117" s="3"/>
    </row>
    <row r="118" ht="15.75" customHeight="1">
      <c r="G118" s="3"/>
      <c r="L118" s="60"/>
      <c r="M118" s="60"/>
      <c r="N118" s="62"/>
      <c r="P118" s="63"/>
      <c r="Q118" s="64"/>
      <c r="R118" s="65"/>
      <c r="AG118" s="91"/>
      <c r="AH118" s="3"/>
      <c r="AI118" s="3"/>
      <c r="AJ118" s="3"/>
      <c r="AL118" s="3"/>
      <c r="AM118" s="3"/>
      <c r="AN118" s="3"/>
    </row>
    <row r="119" ht="15.75" customHeight="1">
      <c r="G119" s="3"/>
      <c r="L119" s="60"/>
      <c r="M119" s="60"/>
      <c r="N119" s="62"/>
      <c r="P119" s="63"/>
      <c r="Q119" s="64"/>
      <c r="R119" s="65"/>
      <c r="AG119" s="91"/>
      <c r="AH119" s="3"/>
      <c r="AI119" s="3"/>
      <c r="AJ119" s="3"/>
      <c r="AL119" s="3"/>
      <c r="AM119" s="3"/>
      <c r="AN119" s="3"/>
    </row>
    <row r="120" ht="15.75" customHeight="1">
      <c r="G120" s="3"/>
      <c r="L120" s="60"/>
      <c r="M120" s="60"/>
      <c r="N120" s="62"/>
      <c r="P120" s="63"/>
      <c r="Q120" s="64"/>
      <c r="R120" s="65"/>
      <c r="AG120" s="91"/>
      <c r="AH120" s="3"/>
      <c r="AI120" s="3"/>
      <c r="AJ120" s="3"/>
      <c r="AL120" s="3"/>
      <c r="AM120" s="3"/>
      <c r="AN120" s="3"/>
    </row>
    <row r="121" ht="15.75" customHeight="1">
      <c r="G121" s="3"/>
      <c r="L121" s="60"/>
      <c r="M121" s="60"/>
      <c r="N121" s="62"/>
      <c r="P121" s="63"/>
      <c r="Q121" s="64"/>
      <c r="R121" s="65"/>
      <c r="AG121" s="91"/>
      <c r="AH121" s="3"/>
      <c r="AI121" s="3"/>
      <c r="AJ121" s="3"/>
      <c r="AL121" s="3"/>
      <c r="AM121" s="3"/>
      <c r="AN121" s="3"/>
    </row>
    <row r="122" ht="15.75" customHeight="1">
      <c r="G122" s="3"/>
      <c r="L122" s="60"/>
      <c r="M122" s="60"/>
      <c r="N122" s="62"/>
      <c r="P122" s="63"/>
      <c r="Q122" s="64"/>
      <c r="R122" s="65"/>
      <c r="AG122" s="91"/>
      <c r="AH122" s="3"/>
      <c r="AI122" s="3"/>
      <c r="AJ122" s="3"/>
      <c r="AL122" s="3"/>
      <c r="AM122" s="3"/>
      <c r="AN122" s="3"/>
    </row>
    <row r="123" ht="15.75" customHeight="1">
      <c r="G123" s="3"/>
      <c r="L123" s="60"/>
      <c r="M123" s="60"/>
      <c r="N123" s="62"/>
      <c r="P123" s="63"/>
      <c r="Q123" s="64"/>
      <c r="R123" s="65"/>
      <c r="AG123" s="91"/>
      <c r="AH123" s="3"/>
      <c r="AI123" s="3"/>
      <c r="AJ123" s="3"/>
      <c r="AL123" s="3"/>
      <c r="AM123" s="3"/>
      <c r="AN123" s="3"/>
    </row>
    <row r="124" ht="15.75" customHeight="1">
      <c r="G124" s="3"/>
      <c r="L124" s="60"/>
      <c r="M124" s="60"/>
      <c r="N124" s="62"/>
      <c r="P124" s="63"/>
      <c r="Q124" s="64"/>
      <c r="R124" s="65"/>
      <c r="AG124" s="91"/>
      <c r="AH124" s="3"/>
      <c r="AI124" s="3"/>
      <c r="AJ124" s="3"/>
      <c r="AL124" s="3"/>
      <c r="AM124" s="3"/>
      <c r="AN124" s="3"/>
    </row>
    <row r="125" ht="15.75" customHeight="1">
      <c r="G125" s="3"/>
      <c r="L125" s="60"/>
      <c r="M125" s="60"/>
      <c r="N125" s="62"/>
      <c r="P125" s="63"/>
      <c r="Q125" s="64"/>
      <c r="R125" s="65"/>
      <c r="AG125" s="91"/>
      <c r="AH125" s="3"/>
      <c r="AI125" s="3"/>
      <c r="AJ125" s="3"/>
      <c r="AL125" s="3"/>
      <c r="AM125" s="3"/>
      <c r="AN125" s="3"/>
    </row>
    <row r="126" ht="15.75" customHeight="1">
      <c r="G126" s="3"/>
      <c r="L126" s="60"/>
      <c r="M126" s="60"/>
      <c r="N126" s="62"/>
      <c r="P126" s="63"/>
      <c r="Q126" s="64"/>
      <c r="R126" s="65"/>
      <c r="AG126" s="91"/>
      <c r="AH126" s="3"/>
      <c r="AI126" s="3"/>
      <c r="AJ126" s="3"/>
      <c r="AL126" s="3"/>
      <c r="AM126" s="3"/>
      <c r="AN126" s="3"/>
    </row>
    <row r="127" ht="15.75" customHeight="1">
      <c r="G127" s="3"/>
      <c r="L127" s="60"/>
      <c r="M127" s="60"/>
      <c r="N127" s="62"/>
      <c r="P127" s="63"/>
      <c r="Q127" s="64"/>
      <c r="R127" s="65"/>
      <c r="AG127" s="91"/>
      <c r="AH127" s="3"/>
      <c r="AI127" s="3"/>
      <c r="AJ127" s="3"/>
      <c r="AL127" s="3"/>
      <c r="AM127" s="3"/>
      <c r="AN127" s="3"/>
    </row>
    <row r="128" ht="15.75" customHeight="1">
      <c r="G128" s="3"/>
      <c r="L128" s="60"/>
      <c r="M128" s="60"/>
      <c r="N128" s="62"/>
      <c r="P128" s="63"/>
      <c r="Q128" s="64"/>
      <c r="R128" s="65"/>
      <c r="AG128" s="91"/>
      <c r="AH128" s="3"/>
      <c r="AI128" s="3"/>
      <c r="AJ128" s="3"/>
      <c r="AL128" s="3"/>
      <c r="AM128" s="3"/>
      <c r="AN128" s="3"/>
    </row>
    <row r="129" ht="15.75" customHeight="1">
      <c r="G129" s="3"/>
      <c r="L129" s="60"/>
      <c r="M129" s="60"/>
      <c r="N129" s="62"/>
      <c r="P129" s="63"/>
      <c r="Q129" s="64"/>
      <c r="R129" s="65"/>
      <c r="AG129" s="91"/>
      <c r="AH129" s="3"/>
      <c r="AI129" s="3"/>
      <c r="AJ129" s="3"/>
      <c r="AL129" s="3"/>
      <c r="AM129" s="3"/>
      <c r="AN129" s="3"/>
    </row>
    <row r="130" ht="15.75" customHeight="1">
      <c r="G130" s="3"/>
      <c r="L130" s="60"/>
      <c r="M130" s="60"/>
      <c r="N130" s="62"/>
      <c r="P130" s="63"/>
      <c r="Q130" s="64"/>
      <c r="R130" s="65"/>
      <c r="AG130" s="91"/>
      <c r="AH130" s="3"/>
      <c r="AI130" s="3"/>
      <c r="AJ130" s="3"/>
      <c r="AL130" s="3"/>
      <c r="AM130" s="3"/>
      <c r="AN130" s="3"/>
    </row>
    <row r="131" ht="15.75" customHeight="1">
      <c r="G131" s="3"/>
      <c r="L131" s="60"/>
      <c r="M131" s="60"/>
      <c r="N131" s="62"/>
      <c r="P131" s="63"/>
      <c r="Q131" s="64"/>
      <c r="R131" s="65"/>
      <c r="AG131" s="91"/>
      <c r="AH131" s="3"/>
      <c r="AI131" s="3"/>
      <c r="AJ131" s="3"/>
      <c r="AL131" s="3"/>
      <c r="AM131" s="3"/>
      <c r="AN131" s="3"/>
    </row>
    <row r="132" ht="15.75" customHeight="1">
      <c r="G132" s="3"/>
      <c r="L132" s="60"/>
      <c r="M132" s="60"/>
      <c r="N132" s="62"/>
      <c r="P132" s="63"/>
      <c r="Q132" s="64"/>
      <c r="R132" s="65"/>
      <c r="AG132" s="91"/>
      <c r="AH132" s="3"/>
      <c r="AI132" s="3"/>
      <c r="AJ132" s="3"/>
      <c r="AL132" s="3"/>
      <c r="AM132" s="3"/>
      <c r="AN132" s="3"/>
    </row>
    <row r="133" ht="15.75" customHeight="1">
      <c r="G133" s="3"/>
      <c r="L133" s="60"/>
      <c r="M133" s="60"/>
      <c r="N133" s="62"/>
      <c r="P133" s="63"/>
      <c r="Q133" s="64"/>
      <c r="R133" s="65"/>
      <c r="AG133" s="91"/>
      <c r="AH133" s="3"/>
      <c r="AI133" s="3"/>
      <c r="AJ133" s="3"/>
      <c r="AL133" s="3"/>
      <c r="AM133" s="3"/>
      <c r="AN133" s="3"/>
    </row>
    <row r="134" ht="15.75" customHeight="1">
      <c r="G134" s="3"/>
      <c r="L134" s="60"/>
      <c r="M134" s="60"/>
      <c r="N134" s="62"/>
      <c r="P134" s="63"/>
      <c r="Q134" s="64"/>
      <c r="R134" s="65"/>
      <c r="AG134" s="91"/>
      <c r="AH134" s="3"/>
      <c r="AI134" s="3"/>
      <c r="AJ134" s="3"/>
      <c r="AL134" s="3"/>
      <c r="AM134" s="3"/>
      <c r="AN134" s="3"/>
    </row>
    <row r="135" ht="15.75" customHeight="1">
      <c r="G135" s="3"/>
      <c r="L135" s="60"/>
      <c r="M135" s="60"/>
      <c r="N135" s="62"/>
      <c r="P135" s="63"/>
      <c r="Q135" s="64"/>
      <c r="R135" s="65"/>
      <c r="AG135" s="91"/>
      <c r="AH135" s="3"/>
      <c r="AI135" s="3"/>
      <c r="AJ135" s="3"/>
      <c r="AL135" s="3"/>
      <c r="AM135" s="3"/>
      <c r="AN135" s="3"/>
    </row>
    <row r="136" ht="15.75" customHeight="1">
      <c r="G136" s="3"/>
      <c r="L136" s="60"/>
      <c r="M136" s="60"/>
      <c r="N136" s="62"/>
      <c r="P136" s="63"/>
      <c r="Q136" s="64"/>
      <c r="R136" s="65"/>
      <c r="AG136" s="91"/>
      <c r="AH136" s="3"/>
      <c r="AI136" s="3"/>
      <c r="AJ136" s="3"/>
      <c r="AL136" s="3"/>
      <c r="AM136" s="3"/>
      <c r="AN136" s="3"/>
    </row>
    <row r="137" ht="15.75" customHeight="1">
      <c r="G137" s="3"/>
      <c r="L137" s="60"/>
      <c r="M137" s="60"/>
      <c r="N137" s="62"/>
      <c r="P137" s="63"/>
      <c r="Q137" s="64"/>
      <c r="R137" s="65"/>
      <c r="AG137" s="91"/>
      <c r="AH137" s="3"/>
      <c r="AI137" s="3"/>
      <c r="AJ137" s="3"/>
      <c r="AL137" s="3"/>
      <c r="AM137" s="3"/>
      <c r="AN137" s="3"/>
    </row>
    <row r="138" ht="15.75" customHeight="1">
      <c r="G138" s="3"/>
      <c r="L138" s="60"/>
      <c r="M138" s="60"/>
      <c r="N138" s="62"/>
      <c r="P138" s="63"/>
      <c r="Q138" s="64"/>
      <c r="R138" s="65"/>
      <c r="AG138" s="91"/>
      <c r="AH138" s="3"/>
      <c r="AI138" s="3"/>
      <c r="AJ138" s="3"/>
      <c r="AL138" s="3"/>
      <c r="AM138" s="3"/>
      <c r="AN138" s="3"/>
    </row>
    <row r="139" ht="15.75" customHeight="1">
      <c r="G139" s="3"/>
      <c r="L139" s="60"/>
      <c r="M139" s="60"/>
      <c r="N139" s="62"/>
      <c r="P139" s="63"/>
      <c r="Q139" s="64"/>
      <c r="R139" s="65"/>
      <c r="AG139" s="91"/>
      <c r="AH139" s="3"/>
      <c r="AI139" s="3"/>
      <c r="AJ139" s="3"/>
      <c r="AL139" s="3"/>
      <c r="AM139" s="3"/>
      <c r="AN139" s="3"/>
    </row>
    <row r="140" ht="15.75" customHeight="1">
      <c r="G140" s="3"/>
      <c r="L140" s="60"/>
      <c r="M140" s="60"/>
      <c r="N140" s="62"/>
      <c r="P140" s="63"/>
      <c r="Q140" s="64"/>
      <c r="R140" s="65"/>
      <c r="AG140" s="91"/>
      <c r="AH140" s="3"/>
      <c r="AI140" s="3"/>
      <c r="AJ140" s="3"/>
      <c r="AL140" s="3"/>
      <c r="AM140" s="3"/>
      <c r="AN140" s="3"/>
    </row>
    <row r="141" ht="15.75" customHeight="1">
      <c r="G141" s="3"/>
      <c r="L141" s="60"/>
      <c r="M141" s="60"/>
      <c r="N141" s="62"/>
      <c r="P141" s="63"/>
      <c r="Q141" s="64"/>
      <c r="R141" s="65"/>
      <c r="AG141" s="91"/>
      <c r="AH141" s="3"/>
      <c r="AI141" s="3"/>
      <c r="AJ141" s="3"/>
      <c r="AL141" s="3"/>
      <c r="AM141" s="3"/>
      <c r="AN141" s="3"/>
    </row>
    <row r="142" ht="15.75" customHeight="1">
      <c r="G142" s="3"/>
      <c r="L142" s="60"/>
      <c r="M142" s="60"/>
      <c r="N142" s="62"/>
      <c r="P142" s="63"/>
      <c r="Q142" s="64"/>
      <c r="R142" s="65"/>
      <c r="AG142" s="91"/>
      <c r="AH142" s="3"/>
      <c r="AI142" s="3"/>
      <c r="AJ142" s="3"/>
      <c r="AL142" s="3"/>
      <c r="AM142" s="3"/>
      <c r="AN142" s="3"/>
    </row>
    <row r="143" ht="15.75" customHeight="1">
      <c r="G143" s="3"/>
      <c r="L143" s="60"/>
      <c r="M143" s="60"/>
      <c r="N143" s="62"/>
      <c r="P143" s="63"/>
      <c r="Q143" s="64"/>
      <c r="R143" s="65"/>
      <c r="AG143" s="91"/>
      <c r="AH143" s="3"/>
      <c r="AI143" s="3"/>
      <c r="AJ143" s="3"/>
      <c r="AL143" s="3"/>
      <c r="AM143" s="3"/>
      <c r="AN143" s="3"/>
    </row>
    <row r="144" ht="15.75" customHeight="1">
      <c r="G144" s="3"/>
      <c r="L144" s="60"/>
      <c r="M144" s="60"/>
      <c r="N144" s="62"/>
      <c r="P144" s="63"/>
      <c r="Q144" s="64"/>
      <c r="R144" s="65"/>
      <c r="AG144" s="91"/>
      <c r="AH144" s="3"/>
      <c r="AI144" s="3"/>
      <c r="AJ144" s="3"/>
      <c r="AL144" s="3"/>
      <c r="AM144" s="3"/>
      <c r="AN144" s="3"/>
    </row>
    <row r="145" ht="15.75" customHeight="1">
      <c r="G145" s="3"/>
      <c r="L145" s="60"/>
      <c r="M145" s="60"/>
      <c r="N145" s="62"/>
      <c r="P145" s="63"/>
      <c r="Q145" s="64"/>
      <c r="R145" s="65"/>
      <c r="AG145" s="91"/>
      <c r="AH145" s="3"/>
      <c r="AI145" s="3"/>
      <c r="AJ145" s="3"/>
      <c r="AL145" s="3"/>
      <c r="AM145" s="3"/>
      <c r="AN145" s="3"/>
    </row>
    <row r="146" ht="15.75" customHeight="1">
      <c r="G146" s="3"/>
      <c r="M146" s="60"/>
      <c r="N146" s="62"/>
      <c r="P146" s="63"/>
      <c r="Q146" s="64"/>
      <c r="R146" s="65"/>
      <c r="AG146" s="91"/>
      <c r="AH146" s="3"/>
      <c r="AI146" s="3"/>
      <c r="AJ146" s="3"/>
      <c r="AL146" s="3"/>
      <c r="AM146" s="3"/>
      <c r="AN146" s="3"/>
    </row>
    <row r="147" ht="15.75" customHeight="1">
      <c r="G147" s="3"/>
      <c r="M147" s="60"/>
      <c r="N147" s="62"/>
      <c r="P147" s="63"/>
      <c r="Q147" s="64"/>
      <c r="R147" s="65"/>
      <c r="AG147" s="91"/>
      <c r="AH147" s="3"/>
      <c r="AI147" s="3"/>
      <c r="AJ147" s="3"/>
      <c r="AL147" s="3"/>
      <c r="AM147" s="3"/>
      <c r="AN147" s="3"/>
    </row>
    <row r="148" ht="15.75" customHeight="1">
      <c r="G148" s="3"/>
      <c r="M148" s="60"/>
      <c r="N148" s="62"/>
      <c r="P148" s="63"/>
      <c r="Q148" s="64"/>
      <c r="R148" s="65"/>
      <c r="AG148" s="91"/>
      <c r="AH148" s="3"/>
      <c r="AI148" s="3"/>
      <c r="AJ148" s="3"/>
      <c r="AL148" s="3"/>
      <c r="AM148" s="3"/>
      <c r="AN148" s="3"/>
    </row>
    <row r="149" ht="15.75" customHeight="1">
      <c r="G149" s="3"/>
      <c r="M149" s="60"/>
      <c r="N149" s="62"/>
      <c r="P149" s="63"/>
      <c r="Q149" s="64"/>
      <c r="R149" s="65"/>
      <c r="AG149" s="91"/>
      <c r="AH149" s="3"/>
      <c r="AI149" s="3"/>
      <c r="AJ149" s="3"/>
      <c r="AL149" s="3"/>
      <c r="AM149" s="3"/>
      <c r="AN149" s="3"/>
    </row>
    <row r="150" ht="15.75" customHeight="1">
      <c r="G150" s="3"/>
      <c r="M150" s="60"/>
      <c r="N150" s="62"/>
      <c r="P150" s="63"/>
      <c r="Q150" s="64"/>
      <c r="R150" s="65"/>
      <c r="AG150" s="91"/>
      <c r="AH150" s="3"/>
      <c r="AI150" s="3"/>
      <c r="AJ150" s="3"/>
      <c r="AL150" s="3"/>
      <c r="AM150" s="3"/>
      <c r="AN150" s="3"/>
    </row>
    <row r="151" ht="15.75" customHeight="1">
      <c r="G151" s="3"/>
      <c r="M151" s="60"/>
      <c r="N151" s="62"/>
      <c r="P151" s="63"/>
      <c r="Q151" s="64"/>
      <c r="R151" s="65"/>
      <c r="AG151" s="91"/>
      <c r="AH151" s="3"/>
      <c r="AI151" s="3"/>
      <c r="AJ151" s="3"/>
      <c r="AL151" s="3"/>
      <c r="AM151" s="3"/>
      <c r="AN151" s="3"/>
    </row>
    <row r="152" ht="15.75" customHeight="1">
      <c r="G152" s="3"/>
      <c r="M152" s="60"/>
      <c r="N152" s="62"/>
      <c r="P152" s="63"/>
      <c r="Q152" s="64"/>
      <c r="R152" s="65"/>
      <c r="AG152" s="91"/>
      <c r="AH152" s="3"/>
      <c r="AI152" s="3"/>
      <c r="AJ152" s="3"/>
      <c r="AL152" s="3"/>
      <c r="AM152" s="3"/>
      <c r="AN152" s="3"/>
    </row>
    <row r="153" ht="15.75" customHeight="1">
      <c r="G153" s="3"/>
      <c r="M153" s="60"/>
      <c r="N153" s="62"/>
      <c r="P153" s="63"/>
      <c r="Q153" s="64"/>
      <c r="R153" s="65"/>
      <c r="AG153" s="91"/>
      <c r="AH153" s="3"/>
      <c r="AI153" s="3"/>
      <c r="AJ153" s="3"/>
      <c r="AL153" s="3"/>
      <c r="AM153" s="3"/>
      <c r="AN153" s="3"/>
    </row>
    <row r="154" ht="15.75" customHeight="1">
      <c r="G154" s="3"/>
      <c r="M154" s="60"/>
      <c r="N154" s="62"/>
      <c r="P154" s="63"/>
      <c r="Q154" s="64"/>
      <c r="R154" s="65"/>
      <c r="AG154" s="91"/>
      <c r="AH154" s="3"/>
      <c r="AI154" s="3"/>
      <c r="AJ154" s="3"/>
      <c r="AL154" s="3"/>
      <c r="AM154" s="3"/>
      <c r="AN154" s="3"/>
    </row>
    <row r="155" ht="15.75" customHeight="1">
      <c r="G155" s="3"/>
      <c r="M155" s="60"/>
      <c r="N155" s="62"/>
      <c r="P155" s="63"/>
      <c r="Q155" s="64"/>
      <c r="R155" s="65"/>
      <c r="AG155" s="91"/>
      <c r="AH155" s="3"/>
      <c r="AI155" s="3"/>
      <c r="AJ155" s="3"/>
      <c r="AL155" s="3"/>
      <c r="AM155" s="3"/>
      <c r="AN155" s="3"/>
    </row>
    <row r="156" ht="15.75" customHeight="1">
      <c r="G156" s="3"/>
      <c r="M156" s="60"/>
      <c r="N156" s="62"/>
      <c r="P156" s="63"/>
      <c r="Q156" s="64"/>
      <c r="R156" s="65"/>
      <c r="AG156" s="91"/>
      <c r="AH156" s="3"/>
      <c r="AI156" s="3"/>
      <c r="AJ156" s="3"/>
      <c r="AL156" s="3"/>
      <c r="AM156" s="3"/>
      <c r="AN156" s="3"/>
    </row>
    <row r="157" ht="15.75" customHeight="1">
      <c r="G157" s="3"/>
      <c r="M157" s="60"/>
      <c r="N157" s="62"/>
      <c r="P157" s="63"/>
      <c r="Q157" s="64"/>
      <c r="R157" s="65"/>
      <c r="AG157" s="91"/>
      <c r="AH157" s="3"/>
      <c r="AI157" s="3"/>
      <c r="AJ157" s="3"/>
      <c r="AL157" s="3"/>
      <c r="AM157" s="3"/>
      <c r="AN157" s="3"/>
    </row>
    <row r="158" ht="15.75" customHeight="1">
      <c r="G158" s="3"/>
      <c r="M158" s="60"/>
      <c r="N158" s="62"/>
      <c r="P158" s="63"/>
      <c r="Q158" s="64"/>
      <c r="R158" s="65"/>
      <c r="AG158" s="91"/>
      <c r="AH158" s="3"/>
      <c r="AI158" s="3"/>
      <c r="AJ158" s="3"/>
      <c r="AL158" s="3"/>
      <c r="AM158" s="3"/>
      <c r="AN158" s="3"/>
    </row>
    <row r="159" ht="15.75" customHeight="1">
      <c r="G159" s="3"/>
      <c r="M159" s="60"/>
      <c r="N159" s="62"/>
      <c r="P159" s="63"/>
      <c r="Q159" s="64"/>
      <c r="R159" s="65"/>
      <c r="AG159" s="91"/>
      <c r="AH159" s="3"/>
      <c r="AI159" s="3"/>
      <c r="AJ159" s="3"/>
      <c r="AL159" s="3"/>
      <c r="AM159" s="3"/>
      <c r="AN159" s="3"/>
    </row>
    <row r="160" ht="15.75" customHeight="1">
      <c r="G160" s="3"/>
      <c r="M160" s="60"/>
      <c r="N160" s="62"/>
      <c r="P160" s="63"/>
      <c r="Q160" s="64"/>
      <c r="R160" s="65"/>
      <c r="AG160" s="91"/>
      <c r="AH160" s="3"/>
      <c r="AI160" s="3"/>
      <c r="AJ160" s="3"/>
      <c r="AL160" s="3"/>
      <c r="AM160" s="3"/>
      <c r="AN160" s="3"/>
    </row>
    <row r="161" ht="15.75" customHeight="1">
      <c r="G161" s="3"/>
      <c r="M161" s="60"/>
      <c r="N161" s="62"/>
      <c r="P161" s="63"/>
      <c r="Q161" s="64"/>
      <c r="R161" s="65"/>
      <c r="AG161" s="91"/>
      <c r="AH161" s="3"/>
      <c r="AI161" s="3"/>
      <c r="AJ161" s="3"/>
      <c r="AL161" s="3"/>
      <c r="AM161" s="3"/>
      <c r="AN161" s="3"/>
    </row>
    <row r="162" ht="15.75" customHeight="1">
      <c r="G162" s="3"/>
      <c r="M162" s="60"/>
      <c r="N162" s="62"/>
      <c r="P162" s="63"/>
      <c r="Q162" s="64"/>
      <c r="R162" s="65"/>
      <c r="AG162" s="91"/>
      <c r="AH162" s="3"/>
      <c r="AI162" s="3"/>
      <c r="AJ162" s="3"/>
      <c r="AL162" s="3"/>
      <c r="AM162" s="3"/>
      <c r="AN162" s="3"/>
    </row>
    <row r="163" ht="15.75" customHeight="1">
      <c r="G163" s="3"/>
      <c r="M163" s="60"/>
      <c r="N163" s="62"/>
      <c r="P163" s="63"/>
      <c r="Q163" s="64"/>
      <c r="R163" s="65"/>
      <c r="AG163" s="91"/>
      <c r="AH163" s="3"/>
      <c r="AI163" s="3"/>
      <c r="AJ163" s="3"/>
      <c r="AL163" s="3"/>
      <c r="AM163" s="3"/>
      <c r="AN163" s="3"/>
    </row>
    <row r="164" ht="15.75" customHeight="1">
      <c r="G164" s="3"/>
      <c r="M164" s="60"/>
      <c r="N164" s="62"/>
      <c r="P164" s="63"/>
      <c r="Q164" s="64"/>
      <c r="R164" s="65"/>
      <c r="AG164" s="91"/>
      <c r="AH164" s="3"/>
      <c r="AI164" s="3"/>
      <c r="AJ164" s="3"/>
      <c r="AL164" s="3"/>
      <c r="AM164" s="3"/>
      <c r="AN164" s="3"/>
    </row>
    <row r="165" ht="15.75" customHeight="1">
      <c r="G165" s="3"/>
      <c r="M165" s="60"/>
      <c r="N165" s="62"/>
      <c r="P165" s="63"/>
      <c r="Q165" s="64"/>
      <c r="R165" s="65"/>
      <c r="AG165" s="91"/>
      <c r="AH165" s="3"/>
      <c r="AI165" s="3"/>
      <c r="AJ165" s="3"/>
      <c r="AL165" s="3"/>
      <c r="AM165" s="3"/>
      <c r="AN165" s="3"/>
    </row>
    <row r="166" ht="15.75" customHeight="1">
      <c r="G166" s="3"/>
      <c r="M166" s="60"/>
      <c r="N166" s="62"/>
      <c r="P166" s="63"/>
      <c r="Q166" s="64"/>
      <c r="R166" s="65"/>
      <c r="AG166" s="91"/>
      <c r="AH166" s="3"/>
      <c r="AI166" s="3"/>
      <c r="AJ166" s="3"/>
      <c r="AL166" s="3"/>
      <c r="AM166" s="3"/>
      <c r="AN166" s="3"/>
    </row>
    <row r="167" ht="15.75" customHeight="1">
      <c r="G167" s="3"/>
      <c r="M167" s="60"/>
      <c r="N167" s="62"/>
      <c r="P167" s="63"/>
      <c r="Q167" s="64"/>
      <c r="R167" s="65"/>
      <c r="AG167" s="91"/>
      <c r="AH167" s="3"/>
      <c r="AI167" s="3"/>
      <c r="AJ167" s="3"/>
      <c r="AL167" s="3"/>
      <c r="AM167" s="3"/>
      <c r="AN167" s="3"/>
    </row>
    <row r="168" ht="15.75" customHeight="1">
      <c r="G168" s="3"/>
      <c r="M168" s="60"/>
      <c r="N168" s="62"/>
      <c r="P168" s="63"/>
      <c r="Q168" s="64"/>
      <c r="R168" s="65"/>
      <c r="AG168" s="91"/>
      <c r="AH168" s="3"/>
      <c r="AI168" s="3"/>
      <c r="AJ168" s="3"/>
      <c r="AL168" s="3"/>
      <c r="AM168" s="3"/>
      <c r="AN168" s="3"/>
    </row>
    <row r="169" ht="15.75" customHeight="1">
      <c r="G169" s="3"/>
      <c r="M169" s="60"/>
      <c r="N169" s="62"/>
      <c r="P169" s="63"/>
      <c r="Q169" s="64"/>
      <c r="R169" s="65"/>
      <c r="AG169" s="91"/>
      <c r="AH169" s="3"/>
      <c r="AI169" s="3"/>
      <c r="AJ169" s="3"/>
      <c r="AL169" s="3"/>
      <c r="AM169" s="3"/>
      <c r="AN169" s="3"/>
    </row>
    <row r="170" ht="15.75" customHeight="1">
      <c r="G170" s="3"/>
      <c r="M170" s="60"/>
      <c r="N170" s="62"/>
      <c r="P170" s="63"/>
      <c r="Q170" s="64"/>
      <c r="R170" s="65"/>
      <c r="AG170" s="91"/>
      <c r="AH170" s="3"/>
      <c r="AI170" s="3"/>
      <c r="AJ170" s="3"/>
      <c r="AL170" s="3"/>
      <c r="AM170" s="3"/>
      <c r="AN170" s="3"/>
    </row>
    <row r="171" ht="15.75" customHeight="1">
      <c r="G171" s="3"/>
      <c r="M171" s="60"/>
      <c r="N171" s="62"/>
      <c r="P171" s="63"/>
      <c r="Q171" s="64"/>
      <c r="R171" s="65"/>
      <c r="AG171" s="91"/>
      <c r="AH171" s="3"/>
      <c r="AI171" s="3"/>
      <c r="AJ171" s="3"/>
      <c r="AL171" s="3"/>
      <c r="AM171" s="3"/>
      <c r="AN171" s="3"/>
    </row>
    <row r="172" ht="15.75" customHeight="1">
      <c r="G172" s="3"/>
      <c r="M172" s="60"/>
      <c r="N172" s="62"/>
      <c r="P172" s="63"/>
      <c r="Q172" s="64"/>
      <c r="R172" s="65"/>
      <c r="AG172" s="91"/>
      <c r="AH172" s="3"/>
      <c r="AI172" s="3"/>
      <c r="AJ172" s="3"/>
      <c r="AL172" s="3"/>
      <c r="AM172" s="3"/>
      <c r="AN172" s="3"/>
    </row>
    <row r="173" ht="15.75" customHeight="1">
      <c r="G173" s="3"/>
      <c r="M173" s="60"/>
      <c r="N173" s="62"/>
      <c r="P173" s="63"/>
      <c r="Q173" s="64"/>
      <c r="R173" s="65"/>
      <c r="AG173" s="91"/>
      <c r="AH173" s="3"/>
      <c r="AI173" s="3"/>
      <c r="AJ173" s="3"/>
      <c r="AL173" s="3"/>
      <c r="AM173" s="3"/>
      <c r="AN173" s="3"/>
    </row>
    <row r="174" ht="15.75" customHeight="1">
      <c r="G174" s="3"/>
      <c r="M174" s="60"/>
      <c r="N174" s="62"/>
      <c r="P174" s="63"/>
      <c r="Q174" s="64"/>
      <c r="R174" s="65"/>
      <c r="AG174" s="91"/>
      <c r="AH174" s="3"/>
      <c r="AI174" s="3"/>
      <c r="AJ174" s="3"/>
      <c r="AL174" s="3"/>
      <c r="AM174" s="3"/>
      <c r="AN174" s="3"/>
    </row>
    <row r="175" ht="15.75" customHeight="1">
      <c r="G175" s="3"/>
      <c r="M175" s="60"/>
      <c r="N175" s="62"/>
      <c r="P175" s="63"/>
      <c r="Q175" s="64"/>
      <c r="R175" s="65"/>
      <c r="AG175" s="91"/>
      <c r="AH175" s="3"/>
      <c r="AI175" s="3"/>
      <c r="AJ175" s="3"/>
      <c r="AL175" s="3"/>
      <c r="AM175" s="3"/>
      <c r="AN175" s="3"/>
    </row>
    <row r="176" ht="15.75" customHeight="1">
      <c r="G176" s="3"/>
      <c r="M176" s="60"/>
      <c r="N176" s="62"/>
      <c r="P176" s="63"/>
      <c r="Q176" s="64"/>
      <c r="R176" s="65"/>
      <c r="AG176" s="91"/>
      <c r="AH176" s="3"/>
      <c r="AI176" s="3"/>
      <c r="AJ176" s="3"/>
      <c r="AL176" s="3"/>
      <c r="AM176" s="3"/>
      <c r="AN176" s="3"/>
    </row>
    <row r="177" ht="15.75" customHeight="1">
      <c r="G177" s="3"/>
      <c r="M177" s="60"/>
      <c r="N177" s="62"/>
      <c r="P177" s="63"/>
      <c r="Q177" s="64"/>
      <c r="R177" s="65"/>
      <c r="AG177" s="91"/>
      <c r="AH177" s="3"/>
      <c r="AI177" s="3"/>
      <c r="AJ177" s="3"/>
      <c r="AL177" s="3"/>
      <c r="AM177" s="3"/>
      <c r="AN177" s="3"/>
    </row>
    <row r="178" ht="15.75" customHeight="1">
      <c r="G178" s="3"/>
      <c r="M178" s="60"/>
      <c r="N178" s="62"/>
      <c r="P178" s="63"/>
      <c r="Q178" s="64"/>
      <c r="R178" s="65"/>
      <c r="AG178" s="91"/>
      <c r="AH178" s="3"/>
      <c r="AI178" s="3"/>
      <c r="AJ178" s="3"/>
      <c r="AL178" s="3"/>
      <c r="AM178" s="3"/>
      <c r="AN178" s="3"/>
    </row>
    <row r="179" ht="15.75" customHeight="1">
      <c r="G179" s="3"/>
      <c r="M179" s="60"/>
      <c r="N179" s="62"/>
      <c r="P179" s="63"/>
      <c r="Q179" s="64"/>
      <c r="R179" s="65"/>
      <c r="AG179" s="91"/>
      <c r="AH179" s="3"/>
      <c r="AI179" s="3"/>
      <c r="AJ179" s="3"/>
      <c r="AL179" s="3"/>
      <c r="AM179" s="3"/>
      <c r="AN179" s="3"/>
    </row>
    <row r="180" ht="15.75" customHeight="1">
      <c r="G180" s="3"/>
      <c r="N180" s="62"/>
      <c r="P180" s="63"/>
      <c r="Q180" s="64"/>
      <c r="R180" s="65"/>
      <c r="AG180" s="91"/>
      <c r="AH180" s="3"/>
      <c r="AI180" s="3"/>
      <c r="AJ180" s="3"/>
      <c r="AL180" s="3"/>
      <c r="AM180" s="3"/>
      <c r="AN180" s="3"/>
    </row>
    <row r="181" ht="15.75" customHeight="1">
      <c r="G181" s="3"/>
      <c r="N181" s="62"/>
      <c r="P181" s="63"/>
      <c r="Q181" s="64"/>
      <c r="R181" s="65"/>
      <c r="AG181" s="91"/>
      <c r="AH181" s="3"/>
      <c r="AI181" s="3"/>
      <c r="AJ181" s="3"/>
      <c r="AL181" s="3"/>
      <c r="AM181" s="3"/>
      <c r="AN181" s="3"/>
    </row>
    <row r="182" ht="15.75" customHeight="1">
      <c r="G182" s="3"/>
      <c r="N182" s="62"/>
      <c r="P182" s="63"/>
      <c r="Q182" s="64"/>
      <c r="R182" s="65"/>
      <c r="AG182" s="91"/>
      <c r="AH182" s="3"/>
      <c r="AI182" s="3"/>
      <c r="AJ182" s="3"/>
      <c r="AL182" s="3"/>
      <c r="AM182" s="3"/>
      <c r="AN182" s="3"/>
    </row>
    <row r="183" ht="15.75" customHeight="1">
      <c r="G183" s="3"/>
      <c r="N183" s="62"/>
      <c r="P183" s="63"/>
      <c r="Q183" s="64"/>
      <c r="R183" s="65"/>
      <c r="AG183" s="91"/>
      <c r="AH183" s="3"/>
      <c r="AI183" s="3"/>
      <c r="AJ183" s="3"/>
      <c r="AL183" s="3"/>
      <c r="AM183" s="3"/>
      <c r="AN183" s="3"/>
    </row>
    <row r="184" ht="15.75" customHeight="1">
      <c r="G184" s="3"/>
      <c r="N184" s="62"/>
      <c r="P184" s="63"/>
      <c r="Q184" s="64"/>
      <c r="AG184" s="91"/>
      <c r="AH184" s="3"/>
      <c r="AI184" s="3"/>
      <c r="AJ184" s="3"/>
      <c r="AL184" s="3"/>
      <c r="AM184" s="3"/>
      <c r="AN184" s="3"/>
    </row>
    <row r="185" ht="15.75" customHeight="1">
      <c r="G185" s="3"/>
      <c r="N185" s="62"/>
      <c r="P185" s="63"/>
      <c r="Q185" s="64"/>
      <c r="AG185" s="91"/>
      <c r="AH185" s="3"/>
      <c r="AI185" s="3"/>
      <c r="AJ185" s="3"/>
      <c r="AL185" s="3"/>
      <c r="AM185" s="3"/>
      <c r="AN185" s="3"/>
    </row>
    <row r="186" ht="15.75" customHeight="1">
      <c r="G186" s="3"/>
      <c r="N186" s="62"/>
      <c r="P186" s="63"/>
      <c r="Q186" s="64"/>
      <c r="AG186" s="91"/>
      <c r="AH186" s="3"/>
      <c r="AI186" s="3"/>
      <c r="AJ186" s="3"/>
      <c r="AL186" s="3"/>
      <c r="AM186" s="3"/>
      <c r="AN186" s="3"/>
    </row>
    <row r="187" ht="15.75" customHeight="1">
      <c r="G187" s="3"/>
      <c r="N187" s="62"/>
      <c r="P187" s="63"/>
      <c r="Q187" s="64"/>
      <c r="AG187" s="91"/>
      <c r="AH187" s="3"/>
      <c r="AI187" s="3"/>
      <c r="AJ187" s="3"/>
      <c r="AL187" s="3"/>
      <c r="AM187" s="3"/>
      <c r="AN187" s="3"/>
    </row>
    <row r="188" ht="15.75" customHeight="1">
      <c r="G188" s="3"/>
      <c r="N188" s="62"/>
      <c r="P188" s="63"/>
      <c r="Q188" s="64"/>
      <c r="AG188" s="91"/>
      <c r="AH188" s="3"/>
      <c r="AI188" s="3"/>
      <c r="AJ188" s="3"/>
      <c r="AL188" s="3"/>
      <c r="AM188" s="3"/>
      <c r="AN188" s="3"/>
    </row>
    <row r="189" ht="15.75" customHeight="1">
      <c r="G189" s="3"/>
      <c r="N189" s="62"/>
      <c r="P189" s="63"/>
      <c r="Q189" s="64"/>
      <c r="AG189" s="91"/>
      <c r="AH189" s="3"/>
      <c r="AI189" s="3"/>
      <c r="AJ189" s="3"/>
      <c r="AL189" s="3"/>
      <c r="AM189" s="3"/>
      <c r="AN189" s="3"/>
    </row>
    <row r="190" ht="15.75" customHeight="1">
      <c r="G190" s="3"/>
      <c r="N190" s="62"/>
      <c r="P190" s="63"/>
      <c r="Q190" s="64"/>
      <c r="AG190" s="91"/>
      <c r="AH190" s="3"/>
      <c r="AI190" s="3"/>
      <c r="AJ190" s="3"/>
      <c r="AL190" s="3"/>
      <c r="AM190" s="3"/>
      <c r="AN190" s="3"/>
    </row>
    <row r="191" ht="15.75" customHeight="1">
      <c r="G191" s="3"/>
      <c r="N191" s="62"/>
      <c r="P191" s="63"/>
      <c r="Q191" s="64"/>
      <c r="AG191" s="91"/>
      <c r="AH191" s="3"/>
      <c r="AI191" s="3"/>
      <c r="AJ191" s="3"/>
      <c r="AL191" s="3"/>
      <c r="AM191" s="3"/>
      <c r="AN191" s="3"/>
    </row>
    <row r="192" ht="15.75" customHeight="1">
      <c r="G192" s="3"/>
      <c r="N192" s="62"/>
      <c r="P192" s="63"/>
      <c r="Q192" s="64"/>
      <c r="AG192" s="91"/>
      <c r="AH192" s="3"/>
      <c r="AI192" s="3"/>
      <c r="AJ192" s="3"/>
      <c r="AL192" s="3"/>
      <c r="AM192" s="3"/>
      <c r="AN192" s="3"/>
    </row>
    <row r="193" ht="15.75" customHeight="1">
      <c r="G193" s="3"/>
      <c r="N193" s="62"/>
      <c r="P193" s="63"/>
      <c r="Q193" s="64"/>
      <c r="AG193" s="91"/>
      <c r="AH193" s="3"/>
      <c r="AI193" s="3"/>
      <c r="AJ193" s="3"/>
      <c r="AL193" s="3"/>
      <c r="AM193" s="3"/>
      <c r="AN193" s="3"/>
    </row>
    <row r="194" ht="15.75" customHeight="1">
      <c r="G194" s="3"/>
      <c r="N194" s="62"/>
      <c r="Q194" s="64"/>
      <c r="AG194" s="91"/>
      <c r="AH194" s="3"/>
      <c r="AI194" s="3"/>
      <c r="AJ194" s="3"/>
      <c r="AL194" s="3"/>
      <c r="AM194" s="3"/>
      <c r="AN194" s="3"/>
    </row>
    <row r="195" ht="15.75" customHeight="1">
      <c r="G195" s="3"/>
      <c r="Q195" s="64"/>
      <c r="AG195" s="91"/>
      <c r="AH195" s="3"/>
      <c r="AI195" s="3"/>
      <c r="AJ195" s="3"/>
      <c r="AL195" s="3"/>
      <c r="AM195" s="3"/>
      <c r="AN195" s="3"/>
    </row>
    <row r="196" ht="15.75" customHeight="1">
      <c r="G196" s="3"/>
      <c r="Q196" s="64"/>
      <c r="AG196" s="91"/>
      <c r="AH196" s="3"/>
      <c r="AI196" s="3"/>
      <c r="AJ196" s="3"/>
      <c r="AL196" s="3"/>
      <c r="AM196" s="3"/>
      <c r="AN196" s="3"/>
    </row>
    <row r="197" ht="15.75" customHeight="1">
      <c r="G197" s="3"/>
      <c r="AG197" s="91"/>
      <c r="AH197" s="3"/>
      <c r="AI197" s="3"/>
      <c r="AJ197" s="3"/>
      <c r="AL197" s="3"/>
      <c r="AM197" s="3"/>
      <c r="AN197" s="3"/>
    </row>
    <row r="198" ht="15.75" customHeight="1">
      <c r="G198" s="3"/>
      <c r="AG198" s="91"/>
      <c r="AH198" s="3"/>
      <c r="AI198" s="3"/>
      <c r="AJ198" s="3"/>
      <c r="AL198" s="3"/>
      <c r="AM198" s="3"/>
      <c r="AN198" s="3"/>
    </row>
    <row r="199" ht="15.75" customHeight="1">
      <c r="G199" s="3"/>
      <c r="AG199" s="91"/>
      <c r="AH199" s="3"/>
      <c r="AI199" s="3"/>
      <c r="AJ199" s="3"/>
      <c r="AL199" s="3"/>
      <c r="AM199" s="3"/>
      <c r="AN199" s="3"/>
    </row>
    <row r="200" ht="15.75" customHeight="1">
      <c r="G200" s="3"/>
      <c r="AG200" s="91"/>
      <c r="AH200" s="3"/>
      <c r="AI200" s="3"/>
      <c r="AJ200" s="3"/>
      <c r="AL200" s="3"/>
      <c r="AM200" s="3"/>
      <c r="AN200" s="3"/>
    </row>
    <row r="201" ht="15.75" customHeight="1">
      <c r="G201" s="3"/>
      <c r="AG201" s="91"/>
      <c r="AH201" s="3"/>
      <c r="AI201" s="3"/>
      <c r="AJ201" s="3"/>
      <c r="AL201" s="3"/>
      <c r="AM201" s="3"/>
      <c r="AN201" s="3"/>
    </row>
    <row r="202" ht="15.75" customHeight="1">
      <c r="G202" s="3"/>
      <c r="AG202" s="91"/>
      <c r="AH202" s="3"/>
      <c r="AI202" s="3"/>
      <c r="AJ202" s="3"/>
      <c r="AL202" s="3"/>
      <c r="AM202" s="3"/>
      <c r="AN202" s="3"/>
    </row>
    <row r="203" ht="15.75" customHeight="1">
      <c r="G203" s="3"/>
      <c r="AG203" s="91"/>
      <c r="AH203" s="3"/>
      <c r="AI203" s="3"/>
      <c r="AJ203" s="3"/>
      <c r="AL203" s="3"/>
      <c r="AM203" s="3"/>
      <c r="AN203" s="3"/>
    </row>
    <row r="204" ht="15.75" customHeight="1">
      <c r="G204" s="3"/>
      <c r="AG204" s="91"/>
      <c r="AH204" s="3"/>
      <c r="AI204" s="3"/>
      <c r="AJ204" s="3"/>
      <c r="AL204" s="3"/>
      <c r="AM204" s="3"/>
      <c r="AN204" s="3"/>
    </row>
    <row r="205" ht="15.75" customHeight="1">
      <c r="G205" s="3"/>
      <c r="AG205" s="91"/>
      <c r="AH205" s="3"/>
      <c r="AI205" s="3"/>
      <c r="AJ205" s="3"/>
      <c r="AL205" s="3"/>
      <c r="AM205" s="3"/>
      <c r="AN205" s="3"/>
    </row>
    <row r="206" ht="15.75" customHeight="1">
      <c r="G206" s="3"/>
      <c r="AG206" s="91"/>
      <c r="AH206" s="3"/>
      <c r="AI206" s="3"/>
      <c r="AJ206" s="3"/>
      <c r="AL206" s="3"/>
      <c r="AM206" s="3"/>
      <c r="AN206" s="3"/>
    </row>
    <row r="207" ht="15.75" customHeight="1">
      <c r="G207" s="3"/>
      <c r="AG207" s="91"/>
      <c r="AH207" s="3"/>
      <c r="AI207" s="3"/>
      <c r="AJ207" s="3"/>
      <c r="AL207" s="3"/>
      <c r="AM207" s="3"/>
      <c r="AN207" s="3"/>
    </row>
    <row r="208" ht="15.75" customHeight="1">
      <c r="G208" s="3"/>
      <c r="AG208" s="91"/>
      <c r="AH208" s="3"/>
      <c r="AI208" s="3"/>
      <c r="AJ208" s="3"/>
      <c r="AL208" s="3"/>
      <c r="AM208" s="3"/>
      <c r="AN208" s="3"/>
    </row>
    <row r="209" ht="15.75" customHeight="1">
      <c r="G209" s="3"/>
      <c r="AG209" s="91"/>
      <c r="AH209" s="3"/>
      <c r="AI209" s="3"/>
      <c r="AJ209" s="3"/>
      <c r="AL209" s="3"/>
      <c r="AM209" s="3"/>
      <c r="AN209" s="3"/>
    </row>
    <row r="210" ht="15.75" customHeight="1">
      <c r="G210" s="3"/>
      <c r="AG210" s="91"/>
      <c r="AH210" s="3"/>
      <c r="AI210" s="3"/>
      <c r="AJ210" s="3"/>
      <c r="AL210" s="3"/>
      <c r="AM210" s="3"/>
      <c r="AN210" s="3"/>
    </row>
    <row r="211" ht="15.75" customHeight="1">
      <c r="G211" s="3"/>
      <c r="AG211" s="91"/>
      <c r="AH211" s="3"/>
      <c r="AI211" s="3"/>
      <c r="AJ211" s="3"/>
      <c r="AL211" s="3"/>
      <c r="AM211" s="3"/>
      <c r="AN211" s="3"/>
    </row>
    <row r="212" ht="15.75" customHeight="1">
      <c r="G212" s="3"/>
      <c r="AG212" s="91"/>
      <c r="AH212" s="3"/>
      <c r="AI212" s="3"/>
      <c r="AJ212" s="3"/>
      <c r="AL212" s="3"/>
      <c r="AM212" s="3"/>
      <c r="AN212" s="3"/>
    </row>
    <row r="213" ht="15.75" customHeight="1">
      <c r="G213" s="3"/>
      <c r="AG213" s="91"/>
      <c r="AH213" s="3"/>
      <c r="AI213" s="3"/>
      <c r="AJ213" s="3"/>
      <c r="AL213" s="3"/>
      <c r="AM213" s="3"/>
      <c r="AN213" s="3"/>
    </row>
    <row r="214" ht="15.75" customHeight="1">
      <c r="G214" s="3"/>
      <c r="AG214" s="91"/>
      <c r="AH214" s="3"/>
      <c r="AI214" s="3"/>
      <c r="AJ214" s="3"/>
      <c r="AL214" s="3"/>
      <c r="AM214" s="3"/>
      <c r="AN214" s="3"/>
    </row>
    <row r="215" ht="15.75" customHeight="1">
      <c r="G215" s="3"/>
      <c r="AG215" s="91"/>
      <c r="AH215" s="3"/>
      <c r="AI215" s="3"/>
      <c r="AJ215" s="3"/>
      <c r="AL215" s="3"/>
      <c r="AM215" s="3"/>
      <c r="AN215" s="3"/>
    </row>
    <row r="216" ht="15.75" customHeight="1">
      <c r="G216" s="3"/>
      <c r="AG216" s="91"/>
      <c r="AH216" s="3"/>
      <c r="AI216" s="3"/>
      <c r="AJ216" s="3"/>
      <c r="AL216" s="3"/>
      <c r="AM216" s="3"/>
      <c r="AN216" s="3"/>
    </row>
    <row r="217" ht="15.75" customHeight="1">
      <c r="G217" s="3"/>
      <c r="AG217" s="91"/>
      <c r="AH217" s="3"/>
      <c r="AI217" s="3"/>
      <c r="AJ217" s="3"/>
      <c r="AL217" s="3"/>
      <c r="AM217" s="3"/>
      <c r="AN217" s="3"/>
    </row>
    <row r="218" ht="15.75" customHeight="1">
      <c r="G218" s="3"/>
      <c r="AG218" s="91"/>
      <c r="AH218" s="3"/>
      <c r="AI218" s="3"/>
      <c r="AJ218" s="3"/>
      <c r="AL218" s="3"/>
      <c r="AM218" s="3"/>
      <c r="AN218" s="3"/>
    </row>
    <row r="219" ht="15.75" customHeight="1">
      <c r="G219" s="3"/>
      <c r="AG219" s="91"/>
      <c r="AH219" s="3"/>
      <c r="AI219" s="3"/>
      <c r="AJ219" s="3"/>
      <c r="AL219" s="3"/>
      <c r="AM219" s="3"/>
      <c r="AN219" s="3"/>
    </row>
    <row r="220" ht="15.75" customHeight="1">
      <c r="G220" s="3"/>
      <c r="AG220" s="91"/>
      <c r="AH220" s="3"/>
      <c r="AI220" s="3"/>
      <c r="AJ220" s="3"/>
      <c r="AL220" s="3"/>
      <c r="AM220" s="3"/>
      <c r="AN220" s="3"/>
    </row>
    <row r="221" ht="15.75" customHeight="1">
      <c r="G221" s="3"/>
      <c r="AG221" s="91"/>
      <c r="AH221" s="3"/>
      <c r="AI221" s="3"/>
      <c r="AJ221" s="3"/>
      <c r="AL221" s="3"/>
      <c r="AM221" s="3"/>
      <c r="AN221" s="3"/>
    </row>
    <row r="222" ht="15.75" customHeight="1">
      <c r="G222" s="3"/>
      <c r="AG222" s="91"/>
      <c r="AH222" s="3"/>
      <c r="AI222" s="3"/>
      <c r="AJ222" s="3"/>
      <c r="AL222" s="3"/>
      <c r="AM222" s="3"/>
      <c r="AN222" s="3"/>
    </row>
    <row r="223" ht="15.75" customHeight="1">
      <c r="G223" s="3"/>
      <c r="AG223" s="91"/>
      <c r="AH223" s="3"/>
      <c r="AI223" s="3"/>
      <c r="AJ223" s="3"/>
      <c r="AL223" s="3"/>
      <c r="AM223" s="3"/>
      <c r="AN223" s="3"/>
    </row>
    <row r="224" ht="15.75" customHeight="1">
      <c r="G224" s="3"/>
      <c r="AG224" s="91"/>
      <c r="AH224" s="3"/>
      <c r="AI224" s="3"/>
      <c r="AJ224" s="3"/>
      <c r="AL224" s="3"/>
      <c r="AM224" s="3"/>
      <c r="AN224" s="3"/>
    </row>
    <row r="225" ht="15.75" customHeight="1">
      <c r="G225" s="3"/>
      <c r="AG225" s="91"/>
      <c r="AH225" s="3"/>
      <c r="AI225" s="3"/>
      <c r="AJ225" s="3"/>
      <c r="AL225" s="3"/>
      <c r="AM225" s="3"/>
      <c r="AN225" s="3"/>
    </row>
    <row r="226" ht="15.75" customHeight="1">
      <c r="G226" s="3"/>
      <c r="AG226" s="91"/>
      <c r="AH226" s="3"/>
      <c r="AI226" s="3"/>
      <c r="AJ226" s="3"/>
      <c r="AL226" s="3"/>
      <c r="AM226" s="3"/>
      <c r="AN226" s="3"/>
    </row>
    <row r="227" ht="15.75" customHeight="1">
      <c r="G227" s="3"/>
      <c r="AG227" s="91"/>
      <c r="AH227" s="3"/>
      <c r="AI227" s="3"/>
      <c r="AJ227" s="3"/>
      <c r="AL227" s="3"/>
      <c r="AM227" s="3"/>
      <c r="AN227" s="3"/>
    </row>
    <row r="228" ht="15.75" customHeight="1">
      <c r="G228" s="3"/>
      <c r="AG228" s="91"/>
      <c r="AH228" s="3"/>
      <c r="AI228" s="3"/>
      <c r="AJ228" s="3"/>
      <c r="AL228" s="3"/>
      <c r="AM228" s="3"/>
      <c r="AN228" s="3"/>
    </row>
    <row r="229" ht="15.75" customHeight="1">
      <c r="G229" s="3"/>
      <c r="AG229" s="91"/>
      <c r="AH229" s="3"/>
      <c r="AI229" s="3"/>
      <c r="AJ229" s="3"/>
      <c r="AL229" s="3"/>
      <c r="AM229" s="3"/>
      <c r="AN229" s="3"/>
    </row>
    <row r="230" ht="15.75" customHeight="1">
      <c r="G230" s="3"/>
      <c r="AG230" s="91"/>
      <c r="AH230" s="3"/>
      <c r="AI230" s="3"/>
      <c r="AJ230" s="3"/>
      <c r="AL230" s="3"/>
      <c r="AM230" s="3"/>
      <c r="AN230" s="3"/>
    </row>
    <row r="231" ht="15.75" customHeight="1">
      <c r="G231" s="3"/>
      <c r="AG231" s="91"/>
      <c r="AH231" s="3"/>
      <c r="AI231" s="3"/>
      <c r="AJ231" s="3"/>
      <c r="AL231" s="3"/>
      <c r="AM231" s="3"/>
      <c r="AN231" s="3"/>
    </row>
    <row r="232" ht="15.75" customHeight="1">
      <c r="G232" s="3"/>
      <c r="AG232" s="91"/>
      <c r="AH232" s="3"/>
      <c r="AI232" s="3"/>
      <c r="AJ232" s="3"/>
      <c r="AL232" s="3"/>
      <c r="AM232" s="3"/>
      <c r="AN232" s="3"/>
    </row>
    <row r="233" ht="15.75" customHeight="1">
      <c r="G233" s="3"/>
      <c r="AG233" s="91"/>
      <c r="AH233" s="3"/>
      <c r="AI233" s="3"/>
      <c r="AJ233" s="3"/>
      <c r="AL233" s="3"/>
      <c r="AM233" s="3"/>
      <c r="AN233" s="3"/>
    </row>
    <row r="234" ht="15.75" customHeight="1">
      <c r="G234" s="3"/>
      <c r="AG234" s="91"/>
      <c r="AH234" s="3"/>
      <c r="AI234" s="3"/>
      <c r="AJ234" s="3"/>
      <c r="AL234" s="3"/>
      <c r="AM234" s="3"/>
      <c r="AN234" s="3"/>
    </row>
    <row r="235" ht="15.75" customHeight="1">
      <c r="G235" s="3"/>
      <c r="AG235" s="91"/>
      <c r="AH235" s="3"/>
      <c r="AI235" s="3"/>
      <c r="AJ235" s="3"/>
      <c r="AL235" s="3"/>
      <c r="AM235" s="3"/>
      <c r="AN235" s="3"/>
    </row>
    <row r="236" ht="15.75" customHeight="1">
      <c r="G236" s="3"/>
      <c r="AG236" s="91"/>
      <c r="AH236" s="3"/>
      <c r="AI236" s="3"/>
      <c r="AJ236" s="3"/>
      <c r="AL236" s="3"/>
      <c r="AM236" s="3"/>
      <c r="AN236" s="3"/>
    </row>
    <row r="237" ht="15.75" customHeight="1">
      <c r="G237" s="3"/>
      <c r="AG237" s="91"/>
      <c r="AH237" s="3"/>
      <c r="AI237" s="3"/>
      <c r="AJ237" s="3"/>
      <c r="AL237" s="3"/>
      <c r="AM237" s="3"/>
      <c r="AN237" s="3"/>
    </row>
    <row r="238" ht="15.75" customHeight="1">
      <c r="G238" s="3"/>
      <c r="AG238" s="91"/>
      <c r="AH238" s="3"/>
      <c r="AI238" s="3"/>
      <c r="AJ238" s="3"/>
      <c r="AL238" s="3"/>
      <c r="AM238" s="3"/>
      <c r="AN238" s="3"/>
    </row>
    <row r="239" ht="15.75" customHeight="1">
      <c r="G239" s="3"/>
      <c r="AG239" s="91"/>
      <c r="AH239" s="3"/>
      <c r="AI239" s="3"/>
      <c r="AJ239" s="3"/>
      <c r="AL239" s="3"/>
      <c r="AM239" s="3"/>
      <c r="AN239" s="3"/>
    </row>
    <row r="240" ht="15.75" customHeight="1">
      <c r="G240" s="3"/>
      <c r="AG240" s="91"/>
      <c r="AH240" s="3"/>
      <c r="AI240" s="3"/>
      <c r="AJ240" s="3"/>
      <c r="AL240" s="3"/>
      <c r="AM240" s="3"/>
      <c r="AN240" s="3"/>
    </row>
    <row r="241" ht="15.75" customHeight="1">
      <c r="G241" s="3"/>
      <c r="AG241" s="91"/>
      <c r="AH241" s="3"/>
      <c r="AI241" s="3"/>
      <c r="AJ241" s="3"/>
      <c r="AL241" s="3"/>
      <c r="AM241" s="3"/>
      <c r="AN241" s="3"/>
    </row>
    <row r="242" ht="15.75" customHeight="1">
      <c r="G242" s="3"/>
      <c r="AG242" s="91"/>
      <c r="AH242" s="3"/>
      <c r="AI242" s="3"/>
      <c r="AJ242" s="3"/>
      <c r="AL242" s="3"/>
      <c r="AM242" s="3"/>
      <c r="AN242" s="3"/>
    </row>
    <row r="243" ht="15.75" customHeight="1">
      <c r="G243" s="3"/>
      <c r="AG243" s="91"/>
      <c r="AH243" s="3"/>
      <c r="AI243" s="3"/>
      <c r="AJ243" s="3"/>
      <c r="AL243" s="3"/>
      <c r="AM243" s="3"/>
      <c r="AN243" s="3"/>
    </row>
    <row r="244" ht="15.75" customHeight="1">
      <c r="G244" s="3"/>
      <c r="AG244" s="91"/>
      <c r="AH244" s="3"/>
      <c r="AI244" s="3"/>
      <c r="AJ244" s="3"/>
      <c r="AL244" s="3"/>
      <c r="AM244" s="3"/>
      <c r="AN244" s="3"/>
    </row>
    <row r="245" ht="15.75" customHeight="1">
      <c r="G245" s="3"/>
      <c r="AG245" s="91"/>
      <c r="AH245" s="3"/>
      <c r="AI245" s="3"/>
      <c r="AJ245" s="3"/>
      <c r="AL245" s="3"/>
      <c r="AM245" s="3"/>
      <c r="AN245" s="3"/>
    </row>
    <row r="246" ht="15.75" customHeight="1">
      <c r="G246" s="3"/>
      <c r="AG246" s="91"/>
      <c r="AH246" s="3"/>
      <c r="AI246" s="3"/>
      <c r="AJ246" s="3"/>
      <c r="AL246" s="3"/>
      <c r="AM246" s="3"/>
      <c r="AN246" s="3"/>
    </row>
    <row r="247" ht="15.75" customHeight="1">
      <c r="G247" s="3"/>
      <c r="AG247" s="91"/>
      <c r="AH247" s="3"/>
      <c r="AI247" s="3"/>
      <c r="AJ247" s="3"/>
      <c r="AL247" s="3"/>
      <c r="AM247" s="3"/>
      <c r="AN247" s="3"/>
    </row>
    <row r="248" ht="15.75" customHeight="1">
      <c r="G248" s="3"/>
      <c r="AG248" s="91"/>
      <c r="AH248" s="3"/>
      <c r="AI248" s="3"/>
      <c r="AJ248" s="3"/>
      <c r="AL248" s="3"/>
      <c r="AM248" s="3"/>
      <c r="AN248" s="3"/>
    </row>
    <row r="249" ht="15.75" customHeight="1">
      <c r="AG249" s="91"/>
      <c r="AM249" s="3"/>
      <c r="AN249" s="3"/>
    </row>
    <row r="250" ht="15.75" customHeight="1">
      <c r="AG250" s="91"/>
      <c r="AM250" s="3"/>
      <c r="AN250" s="3"/>
    </row>
    <row r="251" ht="15.75" customHeight="1">
      <c r="AG251" s="91"/>
      <c r="AM251" s="3"/>
      <c r="AN251" s="3"/>
    </row>
    <row r="252" ht="15.75" customHeight="1">
      <c r="AG252" s="91"/>
      <c r="AM252" s="3"/>
      <c r="AN252" s="3"/>
    </row>
    <row r="253" ht="15.75" customHeight="1">
      <c r="AG253" s="91"/>
      <c r="AM253" s="3"/>
      <c r="AN253" s="3"/>
    </row>
    <row r="254" ht="15.75" customHeight="1">
      <c r="AG254" s="91"/>
      <c r="AM254" s="3"/>
      <c r="AN254" s="3"/>
    </row>
    <row r="255" ht="15.75" customHeight="1">
      <c r="AG255" s="91"/>
      <c r="AM255" s="3"/>
      <c r="AN255" s="3"/>
    </row>
    <row r="256" ht="15.75" customHeight="1">
      <c r="AG256" s="91"/>
      <c r="AM256" s="3"/>
      <c r="AN256" s="3"/>
    </row>
    <row r="257" ht="15.75" customHeight="1">
      <c r="AG257" s="91"/>
      <c r="AM257" s="3"/>
      <c r="AN257" s="3"/>
    </row>
    <row r="258" ht="15.75" customHeight="1">
      <c r="AG258" s="91"/>
      <c r="AM258" s="3"/>
      <c r="AN258" s="3"/>
    </row>
    <row r="259" ht="15.75" customHeight="1">
      <c r="AG259" s="91"/>
      <c r="AM259" s="3"/>
      <c r="AN259" s="3"/>
    </row>
    <row r="260" ht="15.75" customHeight="1">
      <c r="AG260" s="91"/>
      <c r="AM260" s="3"/>
      <c r="AN260" s="3"/>
    </row>
    <row r="261" ht="15.75" customHeight="1">
      <c r="AG261" s="91"/>
      <c r="AM261" s="3"/>
      <c r="AN261" s="3"/>
    </row>
    <row r="262" ht="15.75" customHeight="1">
      <c r="AG262" s="91"/>
      <c r="AM262" s="3"/>
      <c r="AN262" s="3"/>
    </row>
    <row r="263" ht="15.75" customHeight="1">
      <c r="AG263" s="91"/>
      <c r="AM263" s="3"/>
      <c r="AN263" s="3"/>
    </row>
    <row r="264" ht="15.75" customHeight="1">
      <c r="AG264" s="91"/>
      <c r="AM264" s="3"/>
      <c r="AN264" s="3"/>
    </row>
    <row r="265" ht="15.75" customHeight="1">
      <c r="AG265" s="91"/>
      <c r="AM265" s="3"/>
      <c r="AN265" s="3"/>
    </row>
    <row r="266" ht="15.75" customHeight="1">
      <c r="AG266" s="91"/>
      <c r="AM266" s="3"/>
      <c r="AN266" s="3"/>
    </row>
    <row r="267" ht="15.75" customHeight="1">
      <c r="AG267" s="91"/>
      <c r="AM267" s="3"/>
      <c r="AN267" s="3"/>
    </row>
    <row r="268" ht="15.75" customHeight="1">
      <c r="AG268" s="91"/>
      <c r="AM268" s="3"/>
      <c r="AN268" s="3"/>
    </row>
    <row r="269" ht="15.75" customHeight="1">
      <c r="AG269" s="91"/>
      <c r="AM269" s="3"/>
      <c r="AN269" s="3"/>
    </row>
    <row r="270" ht="15.75" customHeight="1">
      <c r="AG270" s="91"/>
      <c r="AM270" s="3"/>
      <c r="AN270" s="3"/>
    </row>
    <row r="271" ht="15.75" customHeight="1">
      <c r="AG271" s="91"/>
      <c r="AM271" s="3"/>
      <c r="AN271" s="3"/>
    </row>
    <row r="272" ht="15.75" customHeight="1">
      <c r="AG272" s="91"/>
      <c r="AM272" s="3"/>
      <c r="AN272" s="3"/>
    </row>
    <row r="273" ht="15.75" customHeight="1">
      <c r="AG273" s="91"/>
      <c r="AM273" s="3"/>
      <c r="AN273" s="3"/>
    </row>
    <row r="274" ht="15.75" customHeight="1">
      <c r="AG274" s="91"/>
      <c r="AM274" s="3"/>
      <c r="AN274" s="3"/>
    </row>
    <row r="275" ht="15.75" customHeight="1">
      <c r="AG275" s="91"/>
      <c r="AM275" s="3"/>
      <c r="AN275" s="3"/>
    </row>
    <row r="276" ht="15.75" customHeight="1">
      <c r="AG276" s="91"/>
      <c r="AM276" s="3"/>
      <c r="AN276" s="3"/>
    </row>
    <row r="277" ht="15.75" customHeight="1">
      <c r="AG277" s="91"/>
      <c r="AM277" s="3"/>
      <c r="AN277" s="3"/>
    </row>
    <row r="278" ht="15.75" customHeight="1">
      <c r="AG278" s="91"/>
      <c r="AM278" s="3"/>
      <c r="AN278" s="3"/>
    </row>
    <row r="279" ht="15.75" customHeight="1">
      <c r="AG279" s="91"/>
      <c r="AM279" s="3"/>
      <c r="AN279" s="3"/>
    </row>
    <row r="280" ht="15.75" customHeight="1">
      <c r="AG280" s="91"/>
      <c r="AM280" s="3"/>
      <c r="AN280" s="3"/>
    </row>
    <row r="281" ht="15.75" customHeight="1">
      <c r="AG281" s="91"/>
      <c r="AM281" s="3"/>
      <c r="AN281" s="3"/>
    </row>
    <row r="282" ht="15.75" customHeight="1">
      <c r="AG282" s="91"/>
      <c r="AM282" s="3"/>
      <c r="AN282" s="3"/>
    </row>
    <row r="283" ht="15.75" customHeight="1">
      <c r="AG283" s="91"/>
      <c r="AM283" s="3"/>
      <c r="AN283" s="3"/>
    </row>
    <row r="284" ht="15.75" customHeight="1">
      <c r="AG284" s="91"/>
      <c r="AM284" s="3"/>
      <c r="AN284" s="3"/>
    </row>
    <row r="285" ht="15.75" customHeight="1">
      <c r="AG285" s="91"/>
      <c r="AM285" s="3"/>
      <c r="AN285" s="3"/>
    </row>
    <row r="286" ht="15.75" customHeight="1">
      <c r="AG286" s="91"/>
      <c r="AM286" s="3"/>
      <c r="AN286" s="3"/>
    </row>
    <row r="287" ht="15.75" customHeight="1">
      <c r="AG287" s="91"/>
      <c r="AM287" s="3"/>
      <c r="AN287" s="3"/>
    </row>
    <row r="288" ht="15.75" customHeight="1">
      <c r="AG288" s="91"/>
      <c r="AM288" s="3"/>
      <c r="AN288" s="3"/>
    </row>
    <row r="289" ht="15.75" customHeight="1">
      <c r="AG289" s="91"/>
      <c r="AM289" s="3"/>
      <c r="AN289" s="3"/>
    </row>
    <row r="290" ht="15.75" customHeight="1">
      <c r="AG290" s="91"/>
      <c r="AM290" s="3"/>
      <c r="AN290" s="3"/>
    </row>
    <row r="291" ht="15.75" customHeight="1">
      <c r="AG291" s="91"/>
      <c r="AM291" s="3"/>
      <c r="AN291" s="3"/>
    </row>
    <row r="292" ht="15.75" customHeight="1">
      <c r="AG292" s="91"/>
      <c r="AM292" s="3"/>
      <c r="AN292" s="3"/>
    </row>
    <row r="293" ht="15.75" customHeight="1">
      <c r="AG293" s="91"/>
      <c r="AM293" s="3"/>
      <c r="AN293" s="3"/>
    </row>
    <row r="294" ht="15.75" customHeight="1">
      <c r="AG294" s="91"/>
      <c r="AM294" s="3"/>
      <c r="AN294" s="3"/>
    </row>
    <row r="295" ht="15.75" customHeight="1">
      <c r="AG295" s="91"/>
      <c r="AM295" s="3"/>
      <c r="AN295" s="3"/>
    </row>
    <row r="296" ht="15.75" customHeight="1">
      <c r="AG296" s="91"/>
      <c r="AM296" s="3"/>
      <c r="AN296" s="3"/>
    </row>
    <row r="297" ht="15.75" customHeight="1">
      <c r="AG297" s="91"/>
      <c r="AM297" s="3"/>
      <c r="AN297" s="3"/>
    </row>
    <row r="298" ht="15.75" customHeight="1">
      <c r="AG298" s="91"/>
      <c r="AM298" s="3"/>
      <c r="AN298" s="3"/>
    </row>
    <row r="299" ht="15.75" customHeight="1">
      <c r="AG299" s="91"/>
      <c r="AM299" s="3"/>
      <c r="AN299" s="3"/>
    </row>
    <row r="300" ht="15.75" customHeight="1">
      <c r="AG300" s="91"/>
      <c r="AM300" s="3"/>
      <c r="AN300" s="3"/>
    </row>
    <row r="301" ht="15.75" customHeight="1">
      <c r="AG301" s="91"/>
      <c r="AM301" s="3"/>
      <c r="AN301" s="3"/>
    </row>
    <row r="302" ht="15.75" customHeight="1">
      <c r="AG302" s="91"/>
      <c r="AM302" s="3"/>
      <c r="AN302" s="3"/>
    </row>
    <row r="303" ht="15.75" customHeight="1">
      <c r="AG303" s="91"/>
      <c r="AM303" s="3"/>
      <c r="AN303" s="3"/>
    </row>
    <row r="304" ht="15.75" customHeight="1">
      <c r="AG304" s="91"/>
      <c r="AM304" s="3"/>
      <c r="AN304" s="3"/>
    </row>
    <row r="305" ht="15.75" customHeight="1">
      <c r="AG305" s="91"/>
      <c r="AM305" s="3"/>
      <c r="AN305" s="3"/>
    </row>
    <row r="306" ht="15.75" customHeight="1">
      <c r="AG306" s="91"/>
      <c r="AM306" s="3"/>
      <c r="AN306" s="3"/>
    </row>
    <row r="307" ht="15.75" customHeight="1">
      <c r="AG307" s="91"/>
      <c r="AM307" s="3"/>
      <c r="AN307" s="3"/>
    </row>
    <row r="308" ht="15.75" customHeight="1">
      <c r="AG308" s="91"/>
      <c r="AM308" s="3"/>
      <c r="AN308" s="3"/>
    </row>
    <row r="309" ht="15.75" customHeight="1">
      <c r="AG309" s="91"/>
      <c r="AM309" s="3"/>
      <c r="AN309" s="3"/>
    </row>
    <row r="310" ht="15.75" customHeight="1">
      <c r="AG310" s="91"/>
      <c r="AM310" s="3"/>
      <c r="AN310" s="3"/>
    </row>
    <row r="311" ht="15.75" customHeight="1">
      <c r="AG311" s="91"/>
      <c r="AM311" s="3"/>
      <c r="AN311" s="3"/>
    </row>
    <row r="312" ht="15.75" customHeight="1">
      <c r="AG312" s="91"/>
      <c r="AM312" s="3"/>
      <c r="AN312" s="3"/>
    </row>
    <row r="313" ht="15.75" customHeight="1">
      <c r="AG313" s="91"/>
      <c r="AM313" s="3"/>
      <c r="AN313" s="3"/>
    </row>
    <row r="314" ht="15.75" customHeight="1">
      <c r="AG314" s="91"/>
      <c r="AM314" s="3"/>
      <c r="AN314" s="3"/>
    </row>
    <row r="315" ht="15.75" customHeight="1">
      <c r="AG315" s="91"/>
      <c r="AM315" s="3"/>
      <c r="AN315" s="3"/>
    </row>
    <row r="316" ht="15.75" customHeight="1">
      <c r="AG316" s="91"/>
      <c r="AM316" s="3"/>
      <c r="AN316" s="3"/>
    </row>
    <row r="317" ht="15.75" customHeight="1">
      <c r="AG317" s="91"/>
      <c r="AM317" s="3"/>
      <c r="AN317" s="3"/>
    </row>
    <row r="318" ht="15.75" customHeight="1">
      <c r="AG318" s="91"/>
      <c r="AM318" s="3"/>
      <c r="AN318" s="3"/>
    </row>
    <row r="319" ht="15.75" customHeight="1">
      <c r="AG319" s="91"/>
      <c r="AM319" s="3"/>
      <c r="AN319" s="3"/>
    </row>
    <row r="320" ht="15.75" customHeight="1">
      <c r="AG320" s="91"/>
      <c r="AM320" s="3"/>
      <c r="AN320" s="3"/>
    </row>
    <row r="321" ht="15.75" customHeight="1">
      <c r="AG321" s="91"/>
      <c r="AM321" s="3"/>
      <c r="AN321" s="3"/>
    </row>
    <row r="322" ht="15.75" customHeight="1">
      <c r="AG322" s="91"/>
      <c r="AM322" s="3"/>
      <c r="AN322" s="3"/>
    </row>
    <row r="323" ht="15.75" customHeight="1">
      <c r="AG323" s="91"/>
      <c r="AM323" s="3"/>
      <c r="AN323" s="3"/>
    </row>
    <row r="324" ht="15.75" customHeight="1">
      <c r="AG324" s="91"/>
      <c r="AM324" s="3"/>
      <c r="AN324" s="3"/>
    </row>
    <row r="325" ht="15.75" customHeight="1">
      <c r="AG325" s="91"/>
      <c r="AM325" s="3"/>
      <c r="AN325" s="3"/>
    </row>
    <row r="326" ht="15.75" customHeight="1">
      <c r="AG326" s="91"/>
      <c r="AM326" s="3"/>
      <c r="AN326" s="3"/>
    </row>
    <row r="327" ht="15.75" customHeight="1">
      <c r="AG327" s="91"/>
      <c r="AM327" s="3"/>
      <c r="AN327" s="3"/>
    </row>
    <row r="328" ht="15.75" customHeight="1">
      <c r="AG328" s="91"/>
      <c r="AM328" s="3"/>
      <c r="AN328" s="3"/>
    </row>
    <row r="329" ht="15.75" customHeight="1">
      <c r="AG329" s="91"/>
      <c r="AM329" s="3"/>
      <c r="AN329" s="3"/>
    </row>
    <row r="330" ht="15.75" customHeight="1">
      <c r="AG330" s="91"/>
      <c r="AM330" s="3"/>
      <c r="AN330" s="3"/>
    </row>
    <row r="331" ht="15.75" customHeight="1">
      <c r="AG331" s="91"/>
      <c r="AM331" s="3"/>
      <c r="AN331" s="3"/>
    </row>
    <row r="332" ht="15.75" customHeight="1">
      <c r="AG332" s="91"/>
      <c r="AM332" s="3"/>
      <c r="AN332" s="3"/>
    </row>
    <row r="333" ht="15.75" customHeight="1">
      <c r="AG333" s="91"/>
      <c r="AM333" s="3"/>
      <c r="AN333" s="3"/>
    </row>
    <row r="334" ht="15.75" customHeight="1">
      <c r="AG334" s="91"/>
      <c r="AM334" s="3"/>
      <c r="AN334" s="3"/>
    </row>
    <row r="335" ht="15.75" customHeight="1">
      <c r="AG335" s="91"/>
      <c r="AM335" s="3"/>
      <c r="AN335" s="3"/>
    </row>
    <row r="336" ht="15.75" customHeight="1">
      <c r="AG336" s="91"/>
      <c r="AM336" s="3"/>
      <c r="AN336" s="3"/>
    </row>
    <row r="337" ht="15.75" customHeight="1">
      <c r="AG337" s="91"/>
      <c r="AM337" s="3"/>
      <c r="AN337" s="3"/>
    </row>
    <row r="338" ht="15.75" customHeight="1">
      <c r="AG338" s="91"/>
      <c r="AM338" s="3"/>
      <c r="AN338" s="3"/>
    </row>
    <row r="339" ht="15.75" customHeight="1">
      <c r="AG339" s="91"/>
      <c r="AM339" s="3"/>
      <c r="AN339" s="3"/>
    </row>
    <row r="340" ht="15.75" customHeight="1">
      <c r="AG340" s="91"/>
      <c r="AM340" s="3"/>
      <c r="AN340" s="3"/>
    </row>
    <row r="341" ht="15.75" customHeight="1">
      <c r="AG341" s="91"/>
      <c r="AM341" s="3"/>
      <c r="AN341" s="3"/>
    </row>
    <row r="342" ht="15.75" customHeight="1">
      <c r="AG342" s="91"/>
      <c r="AM342" s="3"/>
      <c r="AN342" s="3"/>
    </row>
    <row r="343" ht="15.75" customHeight="1">
      <c r="AG343" s="91"/>
      <c r="AM343" s="3"/>
      <c r="AN343" s="3"/>
    </row>
    <row r="344" ht="15.75" customHeight="1">
      <c r="AG344" s="91"/>
      <c r="AM344" s="3"/>
      <c r="AN344" s="3"/>
    </row>
    <row r="345" ht="15.75" customHeight="1">
      <c r="AG345" s="91"/>
      <c r="AM345" s="3"/>
      <c r="AN345" s="3"/>
    </row>
    <row r="346" ht="15.75" customHeight="1">
      <c r="AG346" s="91"/>
      <c r="AM346" s="3"/>
      <c r="AN346" s="3"/>
    </row>
    <row r="347" ht="15.75" customHeight="1">
      <c r="AG347" s="91"/>
      <c r="AM347" s="3"/>
      <c r="AN347" s="3"/>
    </row>
    <row r="348" ht="15.75" customHeight="1">
      <c r="AG348" s="91"/>
      <c r="AM348" s="3"/>
      <c r="AN348" s="3"/>
    </row>
    <row r="349" ht="15.75" customHeight="1">
      <c r="AG349" s="91"/>
      <c r="AM349" s="3"/>
      <c r="AN349" s="3"/>
    </row>
    <row r="350" ht="15.75" customHeight="1">
      <c r="AG350" s="91"/>
      <c r="AM350" s="3"/>
      <c r="AN350" s="3"/>
    </row>
    <row r="351" ht="15.75" customHeight="1">
      <c r="AG351" s="91"/>
      <c r="AM351" s="3"/>
      <c r="AN351" s="3"/>
    </row>
    <row r="352" ht="15.75" customHeight="1">
      <c r="AG352" s="91"/>
      <c r="AM352" s="3"/>
      <c r="AN352" s="3"/>
    </row>
    <row r="353" ht="15.75" customHeight="1">
      <c r="AG353" s="91"/>
      <c r="AM353" s="3"/>
      <c r="AN353" s="3"/>
    </row>
    <row r="354" ht="15.75" customHeight="1">
      <c r="AG354" s="91"/>
      <c r="AM354" s="3"/>
      <c r="AN354" s="3"/>
    </row>
    <row r="355" ht="15.75" customHeight="1">
      <c r="AG355" s="91"/>
      <c r="AM355" s="3"/>
      <c r="AN355" s="3"/>
    </row>
    <row r="356" ht="15.75" customHeight="1">
      <c r="AG356" s="91"/>
      <c r="AM356" s="3"/>
      <c r="AN356" s="3"/>
    </row>
    <row r="357" ht="15.75" customHeight="1">
      <c r="AG357" s="91"/>
      <c r="AM357" s="3"/>
      <c r="AN357" s="3"/>
    </row>
    <row r="358" ht="15.75" customHeight="1">
      <c r="AG358" s="91"/>
      <c r="AM358" s="3"/>
      <c r="AN358" s="3"/>
    </row>
    <row r="359" ht="15.75" customHeight="1">
      <c r="AG359" s="91"/>
      <c r="AM359" s="3"/>
      <c r="AN359" s="3"/>
    </row>
    <row r="360" ht="15.75" customHeight="1">
      <c r="AG360" s="91"/>
      <c r="AM360" s="3"/>
      <c r="AN360" s="3"/>
    </row>
    <row r="361" ht="15.75" customHeight="1">
      <c r="AG361" s="91"/>
      <c r="AM361" s="3"/>
      <c r="AN361" s="3"/>
    </row>
    <row r="362" ht="15.75" customHeight="1">
      <c r="AG362" s="91"/>
      <c r="AM362" s="3"/>
      <c r="AN362" s="3"/>
    </row>
    <row r="363" ht="15.75" customHeight="1">
      <c r="AG363" s="91"/>
      <c r="AM363" s="3"/>
      <c r="AN363" s="3"/>
    </row>
    <row r="364" ht="15.75" customHeight="1">
      <c r="AG364" s="91"/>
      <c r="AM364" s="3"/>
      <c r="AN364" s="3"/>
    </row>
    <row r="365" ht="15.75" customHeight="1">
      <c r="AG365" s="91"/>
      <c r="AM365" s="3"/>
      <c r="AN365" s="3"/>
    </row>
    <row r="366" ht="15.75" customHeight="1">
      <c r="AG366" s="91"/>
      <c r="AM366" s="3"/>
      <c r="AN366" s="3"/>
    </row>
    <row r="367" ht="15.75" customHeight="1">
      <c r="AG367" s="91"/>
      <c r="AM367" s="3"/>
      <c r="AN367" s="3"/>
    </row>
    <row r="368" ht="15.75" customHeight="1">
      <c r="AG368" s="91"/>
      <c r="AM368" s="3"/>
      <c r="AN368" s="3"/>
    </row>
    <row r="369" ht="15.75" customHeight="1">
      <c r="AG369" s="91"/>
      <c r="AM369" s="3"/>
      <c r="AN369" s="3"/>
    </row>
    <row r="370" ht="15.75" customHeight="1">
      <c r="AG370" s="91"/>
      <c r="AM370" s="3"/>
      <c r="AN370" s="3"/>
    </row>
    <row r="371" ht="15.75" customHeight="1">
      <c r="AG371" s="91"/>
      <c r="AM371" s="3"/>
      <c r="AN371" s="3"/>
    </row>
    <row r="372" ht="15.75" customHeight="1">
      <c r="AG372" s="91"/>
      <c r="AM372" s="3"/>
      <c r="AN372" s="3"/>
    </row>
    <row r="373" ht="15.75" customHeight="1">
      <c r="AG373" s="91"/>
      <c r="AM373" s="3"/>
      <c r="AN373" s="3"/>
    </row>
    <row r="374" ht="15.75" customHeight="1">
      <c r="AG374" s="91"/>
      <c r="AM374" s="3"/>
      <c r="AN374" s="3"/>
    </row>
    <row r="375" ht="15.75" customHeight="1">
      <c r="AG375" s="91"/>
      <c r="AM375" s="3"/>
      <c r="AN375" s="3"/>
    </row>
    <row r="376" ht="15.75" customHeight="1">
      <c r="AG376" s="91"/>
      <c r="AM376" s="3"/>
      <c r="AN376" s="3"/>
    </row>
    <row r="377" ht="15.75" customHeight="1">
      <c r="AG377" s="91"/>
      <c r="AM377" s="3"/>
      <c r="AN377" s="3"/>
    </row>
    <row r="378" ht="15.75" customHeight="1">
      <c r="AG378" s="91"/>
      <c r="AM378" s="3"/>
      <c r="AN378" s="3"/>
    </row>
    <row r="379" ht="15.75" customHeight="1">
      <c r="AG379" s="91"/>
      <c r="AM379" s="3"/>
      <c r="AN379" s="3"/>
    </row>
    <row r="380" ht="15.75" customHeight="1">
      <c r="AG380" s="91"/>
      <c r="AM380" s="3"/>
      <c r="AN380" s="3"/>
    </row>
    <row r="381" ht="15.75" customHeight="1">
      <c r="AG381" s="91"/>
      <c r="AM381" s="3"/>
      <c r="AN381" s="3"/>
    </row>
    <row r="382" ht="15.75" customHeight="1">
      <c r="AG382" s="91"/>
      <c r="AM382" s="3"/>
      <c r="AN382" s="3"/>
    </row>
    <row r="383" ht="15.75" customHeight="1">
      <c r="AG383" s="91"/>
      <c r="AM383" s="3"/>
      <c r="AN383" s="3"/>
    </row>
    <row r="384" ht="15.75" customHeight="1">
      <c r="AG384" s="91"/>
      <c r="AM384" s="3"/>
      <c r="AN384" s="3"/>
    </row>
    <row r="385" ht="15.75" customHeight="1">
      <c r="AG385" s="91"/>
      <c r="AM385" s="3"/>
      <c r="AN385" s="3"/>
    </row>
    <row r="386" ht="15.75" customHeight="1">
      <c r="AG386" s="91"/>
      <c r="AM386" s="3"/>
      <c r="AN386" s="3"/>
    </row>
    <row r="387" ht="15.75" customHeight="1">
      <c r="AG387" s="91"/>
      <c r="AM387" s="3"/>
      <c r="AN387" s="3"/>
    </row>
    <row r="388" ht="15.75" customHeight="1">
      <c r="AG388" s="91"/>
      <c r="AM388" s="3"/>
      <c r="AN388" s="3"/>
    </row>
    <row r="389" ht="15.75" customHeight="1">
      <c r="AG389" s="91"/>
      <c r="AM389" s="3"/>
      <c r="AN389" s="3"/>
    </row>
    <row r="390" ht="15.75" customHeight="1">
      <c r="AG390" s="91"/>
      <c r="AM390" s="3"/>
      <c r="AN390" s="3"/>
    </row>
    <row r="391" ht="15.75" customHeight="1">
      <c r="AG391" s="91"/>
      <c r="AM391" s="3"/>
      <c r="AN391" s="3"/>
    </row>
    <row r="392" ht="15.75" customHeight="1">
      <c r="AG392" s="91"/>
      <c r="AM392" s="3"/>
      <c r="AN392" s="3"/>
    </row>
    <row r="393" ht="15.75" customHeight="1">
      <c r="AG393" s="91"/>
      <c r="AM393" s="3"/>
      <c r="AN393" s="3"/>
    </row>
    <row r="394" ht="15.75" customHeight="1">
      <c r="AG394" s="91"/>
      <c r="AM394" s="3"/>
      <c r="AN394" s="3"/>
    </row>
    <row r="395" ht="15.75" customHeight="1">
      <c r="AG395" s="91"/>
      <c r="AM395" s="3"/>
      <c r="AN395" s="3"/>
    </row>
    <row r="396" ht="15.75" customHeight="1">
      <c r="AG396" s="91"/>
      <c r="AM396" s="3"/>
      <c r="AN396" s="3"/>
    </row>
    <row r="397" ht="15.75" customHeight="1">
      <c r="AG397" s="91"/>
      <c r="AM397" s="3"/>
      <c r="AN397" s="3"/>
    </row>
    <row r="398" ht="15.75" customHeight="1">
      <c r="AG398" s="91"/>
      <c r="AM398" s="3"/>
      <c r="AN398" s="3"/>
    </row>
    <row r="399" ht="15.75" customHeight="1">
      <c r="AG399" s="91"/>
      <c r="AM399" s="3"/>
      <c r="AN399" s="3"/>
    </row>
    <row r="400" ht="15.75" customHeight="1">
      <c r="AG400" s="91"/>
      <c r="AM400" s="3"/>
      <c r="AN400" s="3"/>
    </row>
    <row r="401" ht="15.75" customHeight="1">
      <c r="AG401" s="91"/>
      <c r="AM401" s="3"/>
      <c r="AN401" s="3"/>
    </row>
    <row r="402" ht="15.75" customHeight="1">
      <c r="AG402" s="91"/>
      <c r="AM402" s="3"/>
      <c r="AN402" s="3"/>
    </row>
    <row r="403" ht="15.75" customHeight="1">
      <c r="AG403" s="91"/>
      <c r="AM403" s="3"/>
      <c r="AN403" s="3"/>
    </row>
    <row r="404" ht="15.75" customHeight="1">
      <c r="AG404" s="91"/>
      <c r="AM404" s="3"/>
      <c r="AN404" s="3"/>
    </row>
    <row r="405" ht="15.75" customHeight="1">
      <c r="AG405" s="91"/>
      <c r="AM405" s="3"/>
      <c r="AN405" s="3"/>
    </row>
    <row r="406" ht="15.75" customHeight="1">
      <c r="AG406" s="91"/>
      <c r="AM406" s="3"/>
      <c r="AN406" s="3"/>
    </row>
    <row r="407" ht="15.75" customHeight="1">
      <c r="AG407" s="91"/>
      <c r="AM407" s="3"/>
      <c r="AN407" s="3"/>
    </row>
    <row r="408" ht="15.75" customHeight="1">
      <c r="AG408" s="91"/>
      <c r="AM408" s="3"/>
      <c r="AN408" s="3"/>
    </row>
    <row r="409" ht="15.75" customHeight="1">
      <c r="AG409" s="91"/>
      <c r="AM409" s="3"/>
      <c r="AN409" s="3"/>
    </row>
    <row r="410" ht="15.75" customHeight="1">
      <c r="AG410" s="91"/>
      <c r="AM410" s="3"/>
      <c r="AN410" s="3"/>
    </row>
    <row r="411" ht="15.75" customHeight="1">
      <c r="AG411" s="91"/>
      <c r="AM411" s="3"/>
      <c r="AN411" s="3"/>
    </row>
    <row r="412" ht="15.75" customHeight="1">
      <c r="AG412" s="91"/>
      <c r="AM412" s="3"/>
      <c r="AN412" s="3"/>
    </row>
    <row r="413" ht="15.75" customHeight="1">
      <c r="AG413" s="91"/>
      <c r="AM413" s="3"/>
      <c r="AN413" s="3"/>
    </row>
    <row r="414" ht="15.75" customHeight="1">
      <c r="AG414" s="91"/>
      <c r="AM414" s="3"/>
      <c r="AN414" s="3"/>
    </row>
    <row r="415" ht="15.75" customHeight="1">
      <c r="AG415" s="91"/>
      <c r="AM415" s="3"/>
      <c r="AN415" s="3"/>
    </row>
    <row r="416" ht="15.75" customHeight="1">
      <c r="AG416" s="91"/>
      <c r="AM416" s="3"/>
      <c r="AN416" s="3"/>
    </row>
    <row r="417" ht="15.75" customHeight="1">
      <c r="AG417" s="91"/>
      <c r="AM417" s="3"/>
      <c r="AN417" s="3"/>
    </row>
    <row r="418" ht="15.75" customHeight="1">
      <c r="AG418" s="91"/>
      <c r="AM418" s="3"/>
      <c r="AN418" s="3"/>
    </row>
    <row r="419" ht="15.75" customHeight="1">
      <c r="AG419" s="91"/>
      <c r="AM419" s="3"/>
      <c r="AN419" s="3"/>
    </row>
    <row r="420" ht="15.75" customHeight="1">
      <c r="AG420" s="91"/>
      <c r="AM420" s="3"/>
      <c r="AN420" s="3"/>
    </row>
    <row r="421" ht="15.75" customHeight="1">
      <c r="AG421" s="91"/>
      <c r="AM421" s="3"/>
      <c r="AN421" s="3"/>
    </row>
    <row r="422" ht="15.75" customHeight="1">
      <c r="AG422" s="91"/>
      <c r="AM422" s="3"/>
      <c r="AN422" s="3"/>
    </row>
    <row r="423" ht="15.75" customHeight="1">
      <c r="AG423" s="91"/>
      <c r="AM423" s="3"/>
      <c r="AN423" s="3"/>
    </row>
    <row r="424" ht="15.75" customHeight="1">
      <c r="AG424" s="91"/>
      <c r="AM424" s="3"/>
      <c r="AN424" s="3"/>
    </row>
    <row r="425" ht="15.75" customHeight="1">
      <c r="AG425" s="91"/>
      <c r="AM425" s="3"/>
      <c r="AN425" s="3"/>
    </row>
    <row r="426" ht="15.75" customHeight="1">
      <c r="AG426" s="91"/>
      <c r="AM426" s="3"/>
      <c r="AN426" s="3"/>
    </row>
    <row r="427" ht="15.75" customHeight="1">
      <c r="AG427" s="91"/>
      <c r="AM427" s="3"/>
      <c r="AN427" s="3"/>
    </row>
    <row r="428" ht="15.75" customHeight="1">
      <c r="AG428" s="91"/>
      <c r="AM428" s="3"/>
      <c r="AN428" s="3"/>
    </row>
    <row r="429" ht="15.75" customHeight="1">
      <c r="AG429" s="91"/>
      <c r="AM429" s="3"/>
      <c r="AN429" s="3"/>
    </row>
    <row r="430" ht="15.75" customHeight="1">
      <c r="AG430" s="91"/>
      <c r="AM430" s="3"/>
      <c r="AN430" s="3"/>
    </row>
    <row r="431" ht="15.75" customHeight="1">
      <c r="AG431" s="91"/>
      <c r="AM431" s="3"/>
      <c r="AN431" s="3"/>
    </row>
    <row r="432" ht="15.75" customHeight="1">
      <c r="AG432" s="91"/>
      <c r="AM432" s="3"/>
      <c r="AN432" s="3"/>
    </row>
    <row r="433" ht="15.75" customHeight="1">
      <c r="AG433" s="91"/>
      <c r="AM433" s="3"/>
      <c r="AN433" s="3"/>
    </row>
    <row r="434" ht="15.75" customHeight="1">
      <c r="AG434" s="91"/>
      <c r="AM434" s="3"/>
      <c r="AN434" s="3"/>
    </row>
    <row r="435" ht="15.75" customHeight="1">
      <c r="AG435" s="91"/>
      <c r="AM435" s="3"/>
      <c r="AN435" s="3"/>
    </row>
    <row r="436" ht="15.75" customHeight="1">
      <c r="AG436" s="91"/>
      <c r="AM436" s="3"/>
      <c r="AN436" s="3"/>
    </row>
    <row r="437" ht="15.75" customHeight="1">
      <c r="AG437" s="91"/>
      <c r="AM437" s="3"/>
      <c r="AN437" s="3"/>
    </row>
    <row r="438" ht="15.75" customHeight="1">
      <c r="AG438" s="91"/>
      <c r="AM438" s="3"/>
      <c r="AN438" s="3"/>
    </row>
    <row r="439" ht="15.75" customHeight="1">
      <c r="AG439" s="91"/>
      <c r="AM439" s="3"/>
      <c r="AN439" s="3"/>
    </row>
    <row r="440" ht="15.75" customHeight="1">
      <c r="AG440" s="91"/>
      <c r="AM440" s="3"/>
      <c r="AN440" s="3"/>
    </row>
    <row r="441" ht="15.75" customHeight="1">
      <c r="AG441" s="91"/>
      <c r="AM441" s="3"/>
      <c r="AN441" s="3"/>
    </row>
    <row r="442" ht="15.75" customHeight="1">
      <c r="AG442" s="91"/>
      <c r="AM442" s="3"/>
      <c r="AN442" s="3"/>
    </row>
    <row r="443" ht="15.75" customHeight="1">
      <c r="AG443" s="91"/>
      <c r="AM443" s="3"/>
      <c r="AN443" s="3"/>
    </row>
    <row r="444" ht="15.75" customHeight="1">
      <c r="AG444" s="91"/>
      <c r="AM444" s="3"/>
      <c r="AN444" s="3"/>
    </row>
    <row r="445" ht="15.75" customHeight="1">
      <c r="AG445" s="91"/>
      <c r="AM445" s="3"/>
      <c r="AN445" s="3"/>
    </row>
    <row r="446" ht="15.75" customHeight="1">
      <c r="AG446" s="91"/>
      <c r="AM446" s="3"/>
      <c r="AN446" s="3"/>
    </row>
    <row r="447" ht="15.75" customHeight="1">
      <c r="AG447" s="91"/>
      <c r="AM447" s="3"/>
      <c r="AN447" s="3"/>
    </row>
    <row r="448" ht="15.75" customHeight="1">
      <c r="AG448" s="91"/>
      <c r="AM448" s="3"/>
      <c r="AN448" s="3"/>
    </row>
    <row r="449" ht="15.75" customHeight="1">
      <c r="AG449" s="91"/>
      <c r="AM449" s="3"/>
      <c r="AN449" s="3"/>
    </row>
    <row r="450" ht="15.75" customHeight="1">
      <c r="AG450" s="91"/>
      <c r="AM450" s="3"/>
      <c r="AN450" s="3"/>
    </row>
    <row r="451" ht="15.75" customHeight="1">
      <c r="AG451" s="91"/>
      <c r="AM451" s="3"/>
      <c r="AN451" s="3"/>
    </row>
    <row r="452" ht="15.75" customHeight="1">
      <c r="AG452" s="91"/>
      <c r="AM452" s="3"/>
      <c r="AN452" s="3"/>
    </row>
    <row r="453" ht="15.75" customHeight="1">
      <c r="AG453" s="91"/>
      <c r="AM453" s="3"/>
      <c r="AN453" s="3"/>
    </row>
    <row r="454" ht="15.75" customHeight="1">
      <c r="AG454" s="91"/>
      <c r="AM454" s="3"/>
      <c r="AN454" s="3"/>
    </row>
    <row r="455" ht="15.75" customHeight="1">
      <c r="AG455" s="91"/>
      <c r="AM455" s="3"/>
      <c r="AN455" s="3"/>
    </row>
    <row r="456" ht="15.75" customHeight="1">
      <c r="AG456" s="91"/>
      <c r="AM456" s="3"/>
      <c r="AN456" s="3"/>
    </row>
    <row r="457" ht="15.75" customHeight="1">
      <c r="AG457" s="91"/>
      <c r="AM457" s="3"/>
      <c r="AN457" s="3"/>
    </row>
    <row r="458" ht="15.75" customHeight="1">
      <c r="AG458" s="91"/>
      <c r="AM458" s="3"/>
      <c r="AN458" s="3"/>
    </row>
    <row r="459" ht="15.75" customHeight="1">
      <c r="AG459" s="91"/>
      <c r="AM459" s="3"/>
      <c r="AN459" s="3"/>
    </row>
    <row r="460" ht="15.75" customHeight="1">
      <c r="AG460" s="91"/>
      <c r="AM460" s="3"/>
      <c r="AN460" s="3"/>
    </row>
    <row r="461" ht="15.75" customHeight="1">
      <c r="AG461" s="91"/>
      <c r="AM461" s="3"/>
      <c r="AN461" s="3"/>
    </row>
    <row r="462" ht="15.75" customHeight="1">
      <c r="AG462" s="91"/>
      <c r="AM462" s="3"/>
      <c r="AN462" s="3"/>
    </row>
    <row r="463" ht="15.75" customHeight="1">
      <c r="AG463" s="91"/>
      <c r="AM463" s="3"/>
      <c r="AN463" s="3"/>
    </row>
    <row r="464" ht="15.75" customHeight="1">
      <c r="AG464" s="91"/>
      <c r="AM464" s="3"/>
      <c r="AN464" s="3"/>
    </row>
    <row r="465" ht="15.75" customHeight="1">
      <c r="AG465" s="91"/>
      <c r="AM465" s="3"/>
      <c r="AN465" s="3"/>
    </row>
    <row r="466" ht="15.75" customHeight="1">
      <c r="AG466" s="91"/>
      <c r="AM466" s="3"/>
      <c r="AN466" s="3"/>
    </row>
    <row r="467" ht="15.75" customHeight="1">
      <c r="AG467" s="91"/>
      <c r="AM467" s="3"/>
      <c r="AN467" s="3"/>
    </row>
    <row r="468" ht="15.75" customHeight="1">
      <c r="AG468" s="91"/>
      <c r="AM468" s="3"/>
      <c r="AN468" s="3"/>
    </row>
    <row r="469" ht="15.75" customHeight="1">
      <c r="AG469" s="91"/>
      <c r="AM469" s="3"/>
      <c r="AN469" s="3"/>
    </row>
    <row r="470" ht="15.75" customHeight="1">
      <c r="AG470" s="91"/>
      <c r="AM470" s="3"/>
      <c r="AN470" s="3"/>
    </row>
    <row r="471" ht="15.75" customHeight="1">
      <c r="AG471" s="91"/>
      <c r="AM471" s="3"/>
      <c r="AN471" s="3"/>
    </row>
    <row r="472" ht="15.75" customHeight="1">
      <c r="AG472" s="91"/>
      <c r="AM472" s="3"/>
      <c r="AN472" s="3"/>
    </row>
    <row r="473" ht="15.75" customHeight="1">
      <c r="AG473" s="91"/>
      <c r="AM473" s="3"/>
      <c r="AN473" s="3"/>
    </row>
    <row r="474" ht="15.75" customHeight="1">
      <c r="AG474" s="91"/>
      <c r="AM474" s="3"/>
      <c r="AN474" s="3"/>
    </row>
    <row r="475" ht="15.75" customHeight="1">
      <c r="AG475" s="91"/>
      <c r="AM475" s="3"/>
      <c r="AN475" s="3"/>
    </row>
    <row r="476" ht="15.75" customHeight="1">
      <c r="AG476" s="91"/>
      <c r="AM476" s="3"/>
      <c r="AN476" s="3"/>
    </row>
    <row r="477" ht="15.75" customHeight="1">
      <c r="AG477" s="91"/>
      <c r="AM477" s="3"/>
      <c r="AN477" s="3"/>
    </row>
    <row r="478" ht="15.75" customHeight="1">
      <c r="AG478" s="91"/>
      <c r="AM478" s="3"/>
      <c r="AN478" s="3"/>
    </row>
    <row r="479" ht="15.75" customHeight="1">
      <c r="AG479" s="91"/>
      <c r="AM479" s="3"/>
      <c r="AN479" s="3"/>
    </row>
    <row r="480" ht="15.75" customHeight="1">
      <c r="AG480" s="91"/>
      <c r="AM480" s="3"/>
      <c r="AN480" s="3"/>
    </row>
    <row r="481" ht="15.75" customHeight="1">
      <c r="AG481" s="91"/>
      <c r="AM481" s="3"/>
      <c r="AN481" s="3"/>
    </row>
    <row r="482" ht="15.75" customHeight="1">
      <c r="AG482" s="91"/>
      <c r="AM482" s="3"/>
      <c r="AN482" s="3"/>
    </row>
    <row r="483" ht="15.75" customHeight="1">
      <c r="AG483" s="91"/>
      <c r="AM483" s="3"/>
      <c r="AN483" s="3"/>
    </row>
    <row r="484" ht="15.75" customHeight="1">
      <c r="AG484" s="91"/>
      <c r="AM484" s="3"/>
      <c r="AN484" s="3"/>
    </row>
    <row r="485" ht="15.75" customHeight="1">
      <c r="AG485" s="91"/>
      <c r="AM485" s="3"/>
      <c r="AN485" s="3"/>
    </row>
    <row r="486" ht="15.75" customHeight="1">
      <c r="AG486" s="91"/>
      <c r="AM486" s="3"/>
      <c r="AN486" s="3"/>
    </row>
    <row r="487" ht="15.75" customHeight="1">
      <c r="AG487" s="91"/>
      <c r="AM487" s="3"/>
      <c r="AN487" s="3"/>
    </row>
    <row r="488" ht="15.75" customHeight="1">
      <c r="AG488" s="91"/>
      <c r="AM488" s="3"/>
      <c r="AN488" s="3"/>
    </row>
    <row r="489" ht="15.75" customHeight="1">
      <c r="AG489" s="91"/>
      <c r="AM489" s="3"/>
      <c r="AN489" s="3"/>
    </row>
    <row r="490" ht="15.75" customHeight="1">
      <c r="AG490" s="91"/>
      <c r="AM490" s="3"/>
      <c r="AN490" s="3"/>
    </row>
    <row r="491" ht="15.75" customHeight="1">
      <c r="AG491" s="91"/>
      <c r="AM491" s="3"/>
      <c r="AN491" s="3"/>
    </row>
    <row r="492" ht="15.75" customHeight="1">
      <c r="AG492" s="91"/>
      <c r="AM492" s="3"/>
      <c r="AN492" s="3"/>
    </row>
    <row r="493" ht="15.75" customHeight="1">
      <c r="AG493" s="91"/>
      <c r="AM493" s="3"/>
      <c r="AN493" s="3"/>
    </row>
    <row r="494" ht="15.75" customHeight="1">
      <c r="AG494" s="91"/>
      <c r="AM494" s="3"/>
      <c r="AN494" s="3"/>
    </row>
    <row r="495" ht="15.75" customHeight="1">
      <c r="AG495" s="91"/>
      <c r="AM495" s="3"/>
      <c r="AN495" s="3"/>
    </row>
    <row r="496" ht="15.75" customHeight="1">
      <c r="AG496" s="91"/>
      <c r="AM496" s="3"/>
      <c r="AN496" s="3"/>
    </row>
    <row r="497" ht="15.75" customHeight="1">
      <c r="AG497" s="91"/>
      <c r="AM497" s="3"/>
      <c r="AN497" s="3"/>
    </row>
    <row r="498" ht="15.75" customHeight="1">
      <c r="AG498" s="91"/>
      <c r="AM498" s="3"/>
      <c r="AN498" s="3"/>
    </row>
    <row r="499" ht="15.75" customHeight="1">
      <c r="AG499" s="91"/>
      <c r="AM499" s="3"/>
      <c r="AN499" s="3"/>
    </row>
    <row r="500" ht="15.75" customHeight="1">
      <c r="AG500" s="91"/>
      <c r="AM500" s="3"/>
      <c r="AN500" s="3"/>
    </row>
    <row r="501" ht="15.75" customHeight="1">
      <c r="AG501" s="91"/>
      <c r="AM501" s="3"/>
      <c r="AN501" s="3"/>
    </row>
    <row r="502" ht="15.75" customHeight="1">
      <c r="AG502" s="91"/>
      <c r="AM502" s="3"/>
      <c r="AN502" s="3"/>
    </row>
    <row r="503" ht="15.75" customHeight="1">
      <c r="AG503" s="91"/>
      <c r="AM503" s="3"/>
      <c r="AN503" s="3"/>
    </row>
    <row r="504" ht="15.75" customHeight="1">
      <c r="AG504" s="91"/>
      <c r="AM504" s="3"/>
      <c r="AN504" s="3"/>
    </row>
    <row r="505" ht="15.75" customHeight="1">
      <c r="AG505" s="91"/>
      <c r="AM505" s="3"/>
      <c r="AN505" s="3"/>
    </row>
    <row r="506" ht="15.75" customHeight="1">
      <c r="AG506" s="91"/>
      <c r="AM506" s="3"/>
      <c r="AN506" s="3"/>
    </row>
    <row r="507" ht="15.75" customHeight="1">
      <c r="AG507" s="91"/>
      <c r="AM507" s="3"/>
      <c r="AN507" s="3"/>
    </row>
    <row r="508" ht="15.75" customHeight="1">
      <c r="AG508" s="91"/>
      <c r="AM508" s="3"/>
      <c r="AN508" s="3"/>
    </row>
    <row r="509" ht="15.75" customHeight="1">
      <c r="AG509" s="91"/>
      <c r="AM509" s="3"/>
      <c r="AN509" s="3"/>
    </row>
    <row r="510" ht="15.75" customHeight="1">
      <c r="AG510" s="91"/>
      <c r="AM510" s="3"/>
      <c r="AN510" s="3"/>
    </row>
    <row r="511" ht="15.75" customHeight="1">
      <c r="AG511" s="91"/>
      <c r="AM511" s="3"/>
      <c r="AN511" s="3"/>
    </row>
    <row r="512" ht="15.75" customHeight="1">
      <c r="AG512" s="91"/>
      <c r="AM512" s="3"/>
      <c r="AN512" s="3"/>
    </row>
    <row r="513" ht="15.75" customHeight="1">
      <c r="AG513" s="91"/>
      <c r="AM513" s="3"/>
      <c r="AN513" s="3"/>
    </row>
    <row r="514" ht="15.75" customHeight="1">
      <c r="AG514" s="91"/>
      <c r="AM514" s="3"/>
      <c r="AN514" s="3"/>
    </row>
    <row r="515" ht="15.75" customHeight="1">
      <c r="AG515" s="91"/>
      <c r="AM515" s="3"/>
      <c r="AN515" s="3"/>
    </row>
    <row r="516" ht="15.75" customHeight="1">
      <c r="AG516" s="91"/>
      <c r="AM516" s="3"/>
      <c r="AN516" s="3"/>
    </row>
    <row r="517" ht="15.75" customHeight="1">
      <c r="AG517" s="91"/>
      <c r="AM517" s="3"/>
      <c r="AN517" s="3"/>
    </row>
    <row r="518" ht="15.75" customHeight="1">
      <c r="AG518" s="91"/>
      <c r="AM518" s="3"/>
      <c r="AN518" s="3"/>
    </row>
    <row r="519" ht="15.75" customHeight="1">
      <c r="AG519" s="91"/>
      <c r="AM519" s="3"/>
      <c r="AN519" s="3"/>
    </row>
    <row r="520" ht="15.75" customHeight="1">
      <c r="AG520" s="91"/>
      <c r="AM520" s="3"/>
      <c r="AN520" s="3"/>
    </row>
    <row r="521" ht="15.75" customHeight="1">
      <c r="AG521" s="91"/>
      <c r="AM521" s="3"/>
      <c r="AN521" s="3"/>
    </row>
    <row r="522" ht="15.75" customHeight="1">
      <c r="AG522" s="91"/>
      <c r="AM522" s="3"/>
      <c r="AN522" s="3"/>
    </row>
    <row r="523" ht="15.75" customHeight="1">
      <c r="AG523" s="91"/>
      <c r="AM523" s="3"/>
      <c r="AN523" s="3"/>
    </row>
    <row r="524" ht="15.75" customHeight="1">
      <c r="AG524" s="91"/>
      <c r="AM524" s="3"/>
      <c r="AN524" s="3"/>
    </row>
    <row r="525" ht="15.75" customHeight="1">
      <c r="AG525" s="91"/>
      <c r="AM525" s="3"/>
      <c r="AN525" s="3"/>
    </row>
    <row r="526" ht="15.75" customHeight="1">
      <c r="AG526" s="91"/>
      <c r="AM526" s="3"/>
      <c r="AN526" s="3"/>
    </row>
    <row r="527" ht="15.75" customHeight="1">
      <c r="AG527" s="91"/>
      <c r="AM527" s="3"/>
      <c r="AN527" s="3"/>
    </row>
    <row r="528" ht="15.75" customHeight="1">
      <c r="AG528" s="91"/>
      <c r="AM528" s="3"/>
      <c r="AN528" s="3"/>
    </row>
    <row r="529" ht="15.75" customHeight="1">
      <c r="AG529" s="91"/>
      <c r="AM529" s="3"/>
      <c r="AN529" s="3"/>
    </row>
    <row r="530" ht="15.75" customHeight="1">
      <c r="AG530" s="91"/>
      <c r="AM530" s="3"/>
      <c r="AN530" s="3"/>
    </row>
    <row r="531" ht="15.75" customHeight="1">
      <c r="AG531" s="91"/>
      <c r="AM531" s="3"/>
      <c r="AN531" s="3"/>
    </row>
    <row r="532" ht="15.75" customHeight="1">
      <c r="AG532" s="91"/>
      <c r="AM532" s="3"/>
      <c r="AN532" s="3"/>
    </row>
    <row r="533" ht="15.75" customHeight="1">
      <c r="AG533" s="91"/>
      <c r="AM533" s="3"/>
      <c r="AN533" s="3"/>
    </row>
    <row r="534" ht="15.75" customHeight="1">
      <c r="AG534" s="91"/>
      <c r="AM534" s="3"/>
      <c r="AN534" s="3"/>
    </row>
    <row r="535" ht="15.75" customHeight="1">
      <c r="AG535" s="91"/>
      <c r="AM535" s="3"/>
      <c r="AN535" s="3"/>
    </row>
    <row r="536" ht="15.75" customHeight="1">
      <c r="AG536" s="91"/>
      <c r="AM536" s="3"/>
      <c r="AN536" s="3"/>
    </row>
    <row r="537" ht="15.75" customHeight="1">
      <c r="AG537" s="91"/>
      <c r="AM537" s="3"/>
      <c r="AN537" s="3"/>
    </row>
    <row r="538" ht="15.75" customHeight="1">
      <c r="AG538" s="91"/>
      <c r="AM538" s="3"/>
      <c r="AN538" s="3"/>
    </row>
    <row r="539" ht="15.75" customHeight="1">
      <c r="AG539" s="91"/>
      <c r="AM539" s="3"/>
      <c r="AN539" s="3"/>
    </row>
    <row r="540" ht="15.75" customHeight="1">
      <c r="AG540" s="91"/>
      <c r="AM540" s="3"/>
      <c r="AN540" s="3"/>
    </row>
    <row r="541" ht="15.75" customHeight="1">
      <c r="AG541" s="91"/>
      <c r="AM541" s="3"/>
      <c r="AN541" s="3"/>
    </row>
    <row r="542" ht="15.75" customHeight="1">
      <c r="AG542" s="91"/>
      <c r="AM542" s="3"/>
      <c r="AN542" s="3"/>
    </row>
    <row r="543" ht="15.75" customHeight="1">
      <c r="AG543" s="91"/>
      <c r="AM543" s="3"/>
      <c r="AN543" s="3"/>
    </row>
    <row r="544" ht="15.75" customHeight="1">
      <c r="AG544" s="91"/>
      <c r="AM544" s="3"/>
      <c r="AN544" s="3"/>
    </row>
    <row r="545" ht="15.75" customHeight="1">
      <c r="AG545" s="91"/>
      <c r="AM545" s="3"/>
      <c r="AN545" s="3"/>
    </row>
    <row r="546" ht="15.75" customHeight="1">
      <c r="AG546" s="91"/>
      <c r="AM546" s="3"/>
      <c r="AN546" s="3"/>
    </row>
    <row r="547" ht="15.75" customHeight="1">
      <c r="AG547" s="91"/>
      <c r="AM547" s="3"/>
      <c r="AN547" s="3"/>
    </row>
    <row r="548" ht="15.75" customHeight="1">
      <c r="AG548" s="91"/>
      <c r="AM548" s="3"/>
      <c r="AN548" s="3"/>
    </row>
    <row r="549" ht="15.75" customHeight="1">
      <c r="AG549" s="91"/>
      <c r="AM549" s="3"/>
      <c r="AN549" s="3"/>
    </row>
    <row r="550" ht="15.75" customHeight="1">
      <c r="AG550" s="91"/>
      <c r="AM550" s="3"/>
      <c r="AN550" s="3"/>
    </row>
    <row r="551" ht="15.75" customHeight="1">
      <c r="AG551" s="91"/>
      <c r="AM551" s="3"/>
      <c r="AN551" s="3"/>
    </row>
    <row r="552" ht="15.75" customHeight="1">
      <c r="AG552" s="91"/>
      <c r="AM552" s="3"/>
      <c r="AN552" s="3"/>
    </row>
    <row r="553" ht="15.75" customHeight="1">
      <c r="AG553" s="91"/>
      <c r="AM553" s="3"/>
      <c r="AN553" s="3"/>
    </row>
    <row r="554" ht="15.75" customHeight="1">
      <c r="AG554" s="91"/>
      <c r="AM554" s="3"/>
      <c r="AN554" s="3"/>
    </row>
    <row r="555" ht="15.75" customHeight="1">
      <c r="AG555" s="91"/>
      <c r="AM555" s="3"/>
      <c r="AN555" s="3"/>
    </row>
    <row r="556" ht="15.75" customHeight="1">
      <c r="AG556" s="91"/>
      <c r="AM556" s="3"/>
      <c r="AN556" s="3"/>
    </row>
    <row r="557" ht="15.75" customHeight="1">
      <c r="AG557" s="91"/>
      <c r="AM557" s="3"/>
      <c r="AN557" s="3"/>
    </row>
    <row r="558" ht="15.75" customHeight="1">
      <c r="AG558" s="91"/>
      <c r="AM558" s="3"/>
      <c r="AN558" s="3"/>
    </row>
    <row r="559" ht="15.75" customHeight="1">
      <c r="AG559" s="91"/>
      <c r="AM559" s="3"/>
      <c r="AN559" s="3"/>
    </row>
    <row r="560" ht="15.75" customHeight="1">
      <c r="AG560" s="91"/>
      <c r="AM560" s="3"/>
      <c r="AN560" s="3"/>
    </row>
    <row r="561" ht="15.75" customHeight="1">
      <c r="AG561" s="91"/>
      <c r="AM561" s="3"/>
      <c r="AN561" s="3"/>
    </row>
    <row r="562" ht="15.75" customHeight="1">
      <c r="AG562" s="91"/>
      <c r="AM562" s="3"/>
      <c r="AN562" s="3"/>
    </row>
    <row r="563" ht="15.75" customHeight="1">
      <c r="AG563" s="91"/>
      <c r="AM563" s="3"/>
      <c r="AN563" s="3"/>
    </row>
    <row r="564" ht="15.75" customHeight="1">
      <c r="AG564" s="91"/>
      <c r="AM564" s="3"/>
      <c r="AN564" s="3"/>
    </row>
    <row r="565" ht="15.75" customHeight="1">
      <c r="AG565" s="91"/>
      <c r="AM565" s="3"/>
      <c r="AN565" s="3"/>
    </row>
    <row r="566" ht="15.75" customHeight="1">
      <c r="AG566" s="91"/>
      <c r="AM566" s="3"/>
      <c r="AN566" s="3"/>
    </row>
    <row r="567" ht="15.75" customHeight="1">
      <c r="AG567" s="91"/>
      <c r="AM567" s="3"/>
      <c r="AN567" s="3"/>
    </row>
    <row r="568" ht="15.75" customHeight="1">
      <c r="AG568" s="91"/>
      <c r="AM568" s="3"/>
      <c r="AN568" s="3"/>
    </row>
    <row r="569" ht="15.75" customHeight="1">
      <c r="AG569" s="91"/>
      <c r="AM569" s="3"/>
      <c r="AN569" s="3"/>
    </row>
    <row r="570" ht="15.75" customHeight="1">
      <c r="AG570" s="91"/>
      <c r="AM570" s="3"/>
      <c r="AN570" s="3"/>
    </row>
    <row r="571" ht="15.75" customHeight="1">
      <c r="AG571" s="91"/>
      <c r="AM571" s="3"/>
      <c r="AN571" s="3"/>
    </row>
    <row r="572" ht="15.75" customHeight="1">
      <c r="AG572" s="91"/>
      <c r="AM572" s="3"/>
      <c r="AN572" s="3"/>
    </row>
    <row r="573" ht="15.75" customHeight="1">
      <c r="AG573" s="91"/>
      <c r="AM573" s="3"/>
      <c r="AN573" s="3"/>
    </row>
    <row r="574" ht="15.75" customHeight="1">
      <c r="AG574" s="91"/>
      <c r="AM574" s="3"/>
      <c r="AN574" s="3"/>
    </row>
    <row r="575" ht="15.75" customHeight="1">
      <c r="AG575" s="91"/>
      <c r="AM575" s="3"/>
      <c r="AN575" s="3"/>
    </row>
    <row r="576" ht="15.75" customHeight="1">
      <c r="AG576" s="91"/>
      <c r="AM576" s="3"/>
      <c r="AN576" s="3"/>
    </row>
    <row r="577" ht="15.75" customHeight="1">
      <c r="AG577" s="91"/>
      <c r="AM577" s="3"/>
      <c r="AN577" s="3"/>
    </row>
    <row r="578" ht="15.75" customHeight="1">
      <c r="AG578" s="91"/>
      <c r="AM578" s="3"/>
      <c r="AN578" s="3"/>
    </row>
    <row r="579" ht="15.75" customHeight="1">
      <c r="AG579" s="91"/>
      <c r="AM579" s="3"/>
      <c r="AN579" s="3"/>
    </row>
    <row r="580" ht="15.75" customHeight="1">
      <c r="AG580" s="91"/>
      <c r="AM580" s="3"/>
      <c r="AN580" s="3"/>
    </row>
    <row r="581" ht="15.75" customHeight="1">
      <c r="AG581" s="91"/>
      <c r="AM581" s="3"/>
      <c r="AN581" s="3"/>
    </row>
    <row r="582" ht="15.75" customHeight="1">
      <c r="AG582" s="91"/>
      <c r="AM582" s="3"/>
      <c r="AN582" s="3"/>
    </row>
    <row r="583" ht="15.75" customHeight="1">
      <c r="AG583" s="91"/>
      <c r="AM583" s="3"/>
      <c r="AN583" s="3"/>
    </row>
    <row r="584" ht="15.75" customHeight="1">
      <c r="AG584" s="91"/>
      <c r="AM584" s="3"/>
      <c r="AN584" s="3"/>
    </row>
    <row r="585" ht="15.75" customHeight="1">
      <c r="AG585" s="91"/>
      <c r="AM585" s="3"/>
      <c r="AN585" s="3"/>
    </row>
    <row r="586" ht="15.75" customHeight="1">
      <c r="AG586" s="91"/>
      <c r="AM586" s="3"/>
      <c r="AN586" s="3"/>
    </row>
    <row r="587" ht="15.75" customHeight="1">
      <c r="AG587" s="91"/>
      <c r="AM587" s="3"/>
      <c r="AN587" s="3"/>
    </row>
    <row r="588" ht="15.75" customHeight="1">
      <c r="AG588" s="91"/>
      <c r="AM588" s="3"/>
      <c r="AN588" s="3"/>
    </row>
    <row r="589" ht="15.75" customHeight="1">
      <c r="AG589" s="91"/>
      <c r="AM589" s="3"/>
      <c r="AN589" s="3"/>
    </row>
    <row r="590" ht="15.75" customHeight="1">
      <c r="AG590" s="91"/>
      <c r="AM590" s="3"/>
      <c r="AN590" s="3"/>
    </row>
    <row r="591" ht="15.75" customHeight="1">
      <c r="AG591" s="91"/>
      <c r="AM591" s="3"/>
      <c r="AN591" s="3"/>
    </row>
    <row r="592" ht="15.75" customHeight="1">
      <c r="AG592" s="91"/>
      <c r="AM592" s="3"/>
      <c r="AN592" s="3"/>
    </row>
    <row r="593" ht="15.75" customHeight="1">
      <c r="AG593" s="91"/>
      <c r="AM593" s="3"/>
      <c r="AN593" s="3"/>
    </row>
    <row r="594" ht="15.75" customHeight="1">
      <c r="AG594" s="91"/>
      <c r="AM594" s="3"/>
      <c r="AN594" s="3"/>
    </row>
    <row r="595" ht="15.75" customHeight="1">
      <c r="AG595" s="91"/>
      <c r="AM595" s="3"/>
      <c r="AN595" s="3"/>
    </row>
    <row r="596" ht="15.75" customHeight="1">
      <c r="AG596" s="91"/>
      <c r="AM596" s="3"/>
      <c r="AN596" s="3"/>
    </row>
    <row r="597" ht="15.75" customHeight="1">
      <c r="AG597" s="91"/>
      <c r="AM597" s="3"/>
      <c r="AN597" s="3"/>
    </row>
    <row r="598" ht="15.75" customHeight="1">
      <c r="AG598" s="91"/>
      <c r="AM598" s="3"/>
      <c r="AN598" s="3"/>
    </row>
    <row r="599" ht="15.75" customHeight="1">
      <c r="AG599" s="91"/>
      <c r="AM599" s="3"/>
      <c r="AN599" s="3"/>
    </row>
    <row r="600" ht="15.75" customHeight="1">
      <c r="AG600" s="91"/>
      <c r="AM600" s="3"/>
      <c r="AN600" s="3"/>
    </row>
    <row r="601" ht="15.75" customHeight="1">
      <c r="AG601" s="91"/>
      <c r="AM601" s="3"/>
      <c r="AN601" s="3"/>
    </row>
    <row r="602" ht="15.75" customHeight="1">
      <c r="AG602" s="91"/>
      <c r="AM602" s="3"/>
      <c r="AN602" s="3"/>
    </row>
    <row r="603" ht="15.75" customHeight="1">
      <c r="AG603" s="91"/>
      <c r="AM603" s="3"/>
      <c r="AN603" s="3"/>
    </row>
    <row r="604" ht="15.75" customHeight="1">
      <c r="AG604" s="91"/>
      <c r="AM604" s="3"/>
      <c r="AN604" s="3"/>
    </row>
    <row r="605" ht="15.75" customHeight="1">
      <c r="AG605" s="91"/>
      <c r="AM605" s="3"/>
      <c r="AN605" s="3"/>
    </row>
    <row r="606" ht="15.75" customHeight="1">
      <c r="AG606" s="91"/>
      <c r="AM606" s="3"/>
      <c r="AN606" s="3"/>
    </row>
    <row r="607" ht="15.75" customHeight="1">
      <c r="AG607" s="91"/>
      <c r="AM607" s="3"/>
      <c r="AN607" s="3"/>
    </row>
    <row r="608" ht="15.75" customHeight="1">
      <c r="AG608" s="91"/>
      <c r="AM608" s="3"/>
      <c r="AN608" s="3"/>
    </row>
    <row r="609" ht="15.75" customHeight="1">
      <c r="AG609" s="91"/>
      <c r="AM609" s="3"/>
      <c r="AN609" s="3"/>
    </row>
    <row r="610" ht="15.75" customHeight="1">
      <c r="AG610" s="91"/>
      <c r="AM610" s="3"/>
      <c r="AN610" s="3"/>
    </row>
    <row r="611" ht="15.75" customHeight="1">
      <c r="AG611" s="91"/>
      <c r="AM611" s="3"/>
      <c r="AN611" s="3"/>
    </row>
    <row r="612" ht="15.75" customHeight="1">
      <c r="AG612" s="91"/>
      <c r="AM612" s="3"/>
      <c r="AN612" s="3"/>
    </row>
    <row r="613" ht="15.75" customHeight="1">
      <c r="AG613" s="91"/>
      <c r="AM613" s="3"/>
      <c r="AN613" s="3"/>
    </row>
    <row r="614" ht="15.75" customHeight="1">
      <c r="AG614" s="91"/>
      <c r="AM614" s="3"/>
      <c r="AN614" s="3"/>
    </row>
    <row r="615" ht="15.75" customHeight="1">
      <c r="AG615" s="91"/>
      <c r="AM615" s="3"/>
      <c r="AN615" s="3"/>
    </row>
    <row r="616" ht="15.75" customHeight="1">
      <c r="AG616" s="91"/>
      <c r="AM616" s="3"/>
      <c r="AN616" s="3"/>
    </row>
    <row r="617" ht="15.75" customHeight="1">
      <c r="AG617" s="91"/>
      <c r="AM617" s="3"/>
      <c r="AN617" s="3"/>
    </row>
    <row r="618" ht="15.75" customHeight="1">
      <c r="AG618" s="91"/>
      <c r="AM618" s="3"/>
      <c r="AN618" s="3"/>
    </row>
    <row r="619" ht="15.75" customHeight="1">
      <c r="AG619" s="91"/>
      <c r="AM619" s="3"/>
      <c r="AN619" s="3"/>
    </row>
    <row r="620" ht="15.75" customHeight="1">
      <c r="AG620" s="91"/>
      <c r="AM620" s="3"/>
      <c r="AN620" s="3"/>
    </row>
    <row r="621" ht="15.75" customHeight="1">
      <c r="AG621" s="91"/>
      <c r="AM621" s="3"/>
      <c r="AN621" s="3"/>
    </row>
    <row r="622" ht="15.75" customHeight="1">
      <c r="AG622" s="91"/>
      <c r="AM622" s="3"/>
      <c r="AN622" s="3"/>
    </row>
    <row r="623" ht="15.75" customHeight="1">
      <c r="AG623" s="91"/>
      <c r="AM623" s="3"/>
      <c r="AN623" s="3"/>
    </row>
    <row r="624" ht="15.75" customHeight="1">
      <c r="AG624" s="91"/>
      <c r="AM624" s="3"/>
      <c r="AN624" s="3"/>
    </row>
    <row r="625" ht="15.75" customHeight="1">
      <c r="AG625" s="91"/>
      <c r="AM625" s="3"/>
      <c r="AN625" s="3"/>
    </row>
    <row r="626" ht="15.75" customHeight="1">
      <c r="AG626" s="91"/>
      <c r="AM626" s="3"/>
      <c r="AN626" s="3"/>
    </row>
    <row r="627" ht="15.75" customHeight="1">
      <c r="AG627" s="91"/>
      <c r="AM627" s="3"/>
      <c r="AN627" s="3"/>
    </row>
    <row r="628" ht="15.75" customHeight="1">
      <c r="AG628" s="91"/>
      <c r="AM628" s="3"/>
      <c r="AN628" s="3"/>
    </row>
    <row r="629" ht="15.75" customHeight="1">
      <c r="AG629" s="91"/>
      <c r="AM629" s="3"/>
      <c r="AN629" s="3"/>
    </row>
    <row r="630" ht="15.75" customHeight="1">
      <c r="AG630" s="91"/>
      <c r="AM630" s="3"/>
      <c r="AN630" s="3"/>
    </row>
    <row r="631" ht="15.75" customHeight="1">
      <c r="AG631" s="91"/>
      <c r="AM631" s="3"/>
      <c r="AN631" s="3"/>
    </row>
    <row r="632" ht="15.75" customHeight="1">
      <c r="AG632" s="91"/>
      <c r="AM632" s="3"/>
      <c r="AN632" s="3"/>
    </row>
    <row r="633" ht="15.75" customHeight="1">
      <c r="AG633" s="91"/>
      <c r="AM633" s="3"/>
      <c r="AN633" s="3"/>
    </row>
    <row r="634" ht="15.75" customHeight="1">
      <c r="AG634" s="91"/>
      <c r="AM634" s="3"/>
      <c r="AN634" s="3"/>
    </row>
    <row r="635" ht="15.75" customHeight="1">
      <c r="AG635" s="91"/>
      <c r="AM635" s="3"/>
      <c r="AN635" s="3"/>
    </row>
    <row r="636" ht="15.75" customHeight="1">
      <c r="AG636" s="91"/>
      <c r="AM636" s="3"/>
      <c r="AN636" s="3"/>
    </row>
    <row r="637" ht="15.75" customHeight="1">
      <c r="AG637" s="91"/>
      <c r="AM637" s="3"/>
      <c r="AN637" s="3"/>
    </row>
    <row r="638" ht="15.75" customHeight="1">
      <c r="AG638" s="91"/>
      <c r="AM638" s="3"/>
      <c r="AN638" s="3"/>
    </row>
    <row r="639" ht="15.75" customHeight="1">
      <c r="AG639" s="91"/>
      <c r="AM639" s="3"/>
      <c r="AN639" s="3"/>
    </row>
    <row r="640" ht="15.75" customHeight="1">
      <c r="AG640" s="91"/>
      <c r="AM640" s="3"/>
      <c r="AN640" s="3"/>
    </row>
    <row r="641" ht="15.75" customHeight="1">
      <c r="AG641" s="91"/>
      <c r="AM641" s="3"/>
      <c r="AN641" s="3"/>
    </row>
    <row r="642" ht="15.75" customHeight="1">
      <c r="AG642" s="91"/>
      <c r="AM642" s="3"/>
      <c r="AN642" s="3"/>
    </row>
    <row r="643" ht="15.75" customHeight="1">
      <c r="AG643" s="91"/>
      <c r="AM643" s="3"/>
      <c r="AN643" s="3"/>
    </row>
    <row r="644" ht="15.75" customHeight="1">
      <c r="AG644" s="91"/>
      <c r="AM644" s="3"/>
      <c r="AN644" s="3"/>
    </row>
    <row r="645" ht="15.75" customHeight="1">
      <c r="AG645" s="91"/>
      <c r="AM645" s="3"/>
      <c r="AN645" s="3"/>
    </row>
    <row r="646" ht="15.75" customHeight="1">
      <c r="AG646" s="91"/>
      <c r="AM646" s="3"/>
      <c r="AN646" s="3"/>
    </row>
    <row r="647" ht="15.75" customHeight="1">
      <c r="AG647" s="91"/>
      <c r="AM647" s="3"/>
      <c r="AN647" s="3"/>
    </row>
    <row r="648" ht="15.75" customHeight="1">
      <c r="AG648" s="91"/>
      <c r="AM648" s="3"/>
      <c r="AN648" s="3"/>
    </row>
    <row r="649" ht="15.75" customHeight="1">
      <c r="AG649" s="91"/>
      <c r="AM649" s="3"/>
      <c r="AN649" s="3"/>
    </row>
    <row r="650" ht="15.75" customHeight="1">
      <c r="AG650" s="91"/>
      <c r="AM650" s="3"/>
      <c r="AN650" s="3"/>
    </row>
    <row r="651" ht="15.75" customHeight="1">
      <c r="AG651" s="91"/>
      <c r="AM651" s="3"/>
      <c r="AN651" s="3"/>
    </row>
    <row r="652" ht="15.75" customHeight="1">
      <c r="AG652" s="91"/>
      <c r="AM652" s="3"/>
      <c r="AN652" s="3"/>
    </row>
    <row r="653" ht="15.75" customHeight="1">
      <c r="AG653" s="91"/>
      <c r="AM653" s="3"/>
      <c r="AN653" s="3"/>
    </row>
    <row r="654" ht="15.75" customHeight="1">
      <c r="AG654" s="91"/>
      <c r="AM654" s="3"/>
      <c r="AN654" s="3"/>
    </row>
    <row r="655" ht="15.75" customHeight="1">
      <c r="AG655" s="91"/>
      <c r="AM655" s="3"/>
      <c r="AN655" s="3"/>
    </row>
    <row r="656" ht="15.75" customHeight="1">
      <c r="AG656" s="91"/>
      <c r="AM656" s="3"/>
      <c r="AN656" s="3"/>
    </row>
    <row r="657" ht="15.75" customHeight="1">
      <c r="AG657" s="91"/>
      <c r="AM657" s="3"/>
      <c r="AN657" s="3"/>
    </row>
    <row r="658" ht="15.75" customHeight="1">
      <c r="AG658" s="91"/>
      <c r="AM658" s="3"/>
      <c r="AN658" s="3"/>
    </row>
    <row r="659" ht="15.75" customHeight="1">
      <c r="AG659" s="91"/>
      <c r="AM659" s="3"/>
      <c r="AN659" s="3"/>
    </row>
    <row r="660" ht="15.75" customHeight="1">
      <c r="AG660" s="91"/>
      <c r="AM660" s="3"/>
      <c r="AN660" s="3"/>
    </row>
    <row r="661" ht="15.75" customHeight="1">
      <c r="AG661" s="91"/>
      <c r="AM661" s="3"/>
      <c r="AN661" s="3"/>
    </row>
    <row r="662" ht="15.75" customHeight="1">
      <c r="AG662" s="91"/>
      <c r="AM662" s="3"/>
      <c r="AN662" s="3"/>
    </row>
    <row r="663" ht="15.75" customHeight="1">
      <c r="AG663" s="91"/>
      <c r="AM663" s="3"/>
      <c r="AN663" s="3"/>
    </row>
    <row r="664" ht="15.75" customHeight="1">
      <c r="AG664" s="91"/>
      <c r="AM664" s="3"/>
      <c r="AN664" s="3"/>
    </row>
    <row r="665" ht="15.75" customHeight="1">
      <c r="AG665" s="91"/>
      <c r="AM665" s="3"/>
      <c r="AN665" s="3"/>
    </row>
    <row r="666" ht="15.75" customHeight="1">
      <c r="AG666" s="91"/>
      <c r="AM666" s="3"/>
      <c r="AN666" s="3"/>
    </row>
    <row r="667" ht="15.75" customHeight="1">
      <c r="AG667" s="91"/>
      <c r="AM667" s="3"/>
      <c r="AN667" s="3"/>
    </row>
    <row r="668" ht="15.75" customHeight="1">
      <c r="AG668" s="91"/>
      <c r="AM668" s="3"/>
      <c r="AN668" s="3"/>
    </row>
    <row r="669" ht="15.75" customHeight="1">
      <c r="AG669" s="91"/>
      <c r="AM669" s="3"/>
      <c r="AN669" s="3"/>
    </row>
    <row r="670" ht="15.75" customHeight="1">
      <c r="AG670" s="91"/>
      <c r="AM670" s="3"/>
      <c r="AN670" s="3"/>
    </row>
    <row r="671" ht="15.75" customHeight="1">
      <c r="AG671" s="91"/>
      <c r="AM671" s="3"/>
      <c r="AN671" s="3"/>
    </row>
    <row r="672" ht="15.75" customHeight="1">
      <c r="AG672" s="91"/>
      <c r="AM672" s="3"/>
      <c r="AN672" s="3"/>
    </row>
    <row r="673" ht="15.75" customHeight="1">
      <c r="AG673" s="91"/>
      <c r="AM673" s="3"/>
      <c r="AN673" s="3"/>
    </row>
    <row r="674" ht="15.75" customHeight="1">
      <c r="AG674" s="91"/>
      <c r="AM674" s="3"/>
      <c r="AN674" s="3"/>
    </row>
    <row r="675" ht="15.75" customHeight="1">
      <c r="AG675" s="91"/>
      <c r="AM675" s="3"/>
      <c r="AN675" s="3"/>
    </row>
    <row r="676" ht="15.75" customHeight="1">
      <c r="AG676" s="91"/>
      <c r="AM676" s="3"/>
      <c r="AN676" s="3"/>
    </row>
    <row r="677" ht="15.75" customHeight="1">
      <c r="AG677" s="91"/>
      <c r="AM677" s="3"/>
      <c r="AN677" s="3"/>
    </row>
    <row r="678" ht="15.75" customHeight="1">
      <c r="AG678" s="91"/>
      <c r="AM678" s="3"/>
      <c r="AN678" s="3"/>
    </row>
    <row r="679" ht="15.75" customHeight="1">
      <c r="AG679" s="91"/>
      <c r="AM679" s="3"/>
      <c r="AN679" s="3"/>
    </row>
    <row r="680" ht="15.75" customHeight="1">
      <c r="AG680" s="91"/>
      <c r="AM680" s="3"/>
      <c r="AN680" s="3"/>
    </row>
    <row r="681" ht="15.75" customHeight="1">
      <c r="AG681" s="91"/>
      <c r="AM681" s="3"/>
      <c r="AN681" s="3"/>
    </row>
    <row r="682" ht="15.75" customHeight="1">
      <c r="AG682" s="91"/>
      <c r="AM682" s="3"/>
      <c r="AN682" s="3"/>
    </row>
    <row r="683" ht="15.75" customHeight="1">
      <c r="AG683" s="91"/>
      <c r="AM683" s="3"/>
      <c r="AN683" s="3"/>
    </row>
    <row r="684" ht="15.75" customHeight="1">
      <c r="AG684" s="91"/>
      <c r="AM684" s="3"/>
      <c r="AN684" s="3"/>
    </row>
    <row r="685" ht="15.75" customHeight="1">
      <c r="AG685" s="91"/>
      <c r="AM685" s="3"/>
      <c r="AN685" s="3"/>
    </row>
    <row r="686" ht="15.75" customHeight="1">
      <c r="AG686" s="91"/>
      <c r="AM686" s="3"/>
      <c r="AN686" s="3"/>
    </row>
    <row r="687" ht="15.75" customHeight="1">
      <c r="AG687" s="91"/>
      <c r="AM687" s="3"/>
      <c r="AN687" s="3"/>
    </row>
    <row r="688" ht="15.75" customHeight="1">
      <c r="AG688" s="91"/>
      <c r="AM688" s="3"/>
      <c r="AN688" s="3"/>
    </row>
    <row r="689" ht="15.75" customHeight="1">
      <c r="AG689" s="91"/>
      <c r="AM689" s="3"/>
      <c r="AN689" s="3"/>
    </row>
    <row r="690" ht="15.75" customHeight="1">
      <c r="AG690" s="91"/>
      <c r="AM690" s="3"/>
      <c r="AN690" s="3"/>
    </row>
    <row r="691" ht="15.75" customHeight="1">
      <c r="AG691" s="91"/>
      <c r="AM691" s="3"/>
      <c r="AN691" s="3"/>
    </row>
    <row r="692" ht="15.75" customHeight="1">
      <c r="AG692" s="91"/>
      <c r="AM692" s="3"/>
      <c r="AN692" s="3"/>
    </row>
    <row r="693" ht="15.75" customHeight="1">
      <c r="AG693" s="91"/>
      <c r="AM693" s="3"/>
      <c r="AN693" s="3"/>
    </row>
    <row r="694" ht="15.75" customHeight="1">
      <c r="AG694" s="91"/>
      <c r="AM694" s="3"/>
      <c r="AN694" s="3"/>
    </row>
    <row r="695" ht="15.75" customHeight="1">
      <c r="AG695" s="91"/>
      <c r="AM695" s="3"/>
      <c r="AN695" s="3"/>
    </row>
    <row r="696" ht="15.75" customHeight="1">
      <c r="AG696" s="91"/>
      <c r="AM696" s="3"/>
      <c r="AN696" s="3"/>
    </row>
    <row r="697" ht="15.75" customHeight="1">
      <c r="AG697" s="91"/>
      <c r="AM697" s="3"/>
      <c r="AN697" s="3"/>
    </row>
    <row r="698" ht="15.75" customHeight="1">
      <c r="AG698" s="91"/>
      <c r="AM698" s="3"/>
      <c r="AN698" s="3"/>
    </row>
    <row r="699" ht="15.75" customHeight="1">
      <c r="AG699" s="91"/>
      <c r="AM699" s="3"/>
      <c r="AN699" s="3"/>
    </row>
    <row r="700" ht="15.75" customHeight="1">
      <c r="AG700" s="91"/>
      <c r="AM700" s="3"/>
      <c r="AN700" s="3"/>
    </row>
    <row r="701" ht="15.75" customHeight="1">
      <c r="AG701" s="91"/>
      <c r="AM701" s="3"/>
      <c r="AN701" s="3"/>
    </row>
    <row r="702" ht="15.75" customHeight="1">
      <c r="AG702" s="91"/>
      <c r="AM702" s="3"/>
      <c r="AN702" s="3"/>
    </row>
    <row r="703" ht="15.75" customHeight="1">
      <c r="AG703" s="91"/>
      <c r="AM703" s="3"/>
      <c r="AN703" s="3"/>
    </row>
    <row r="704" ht="15.75" customHeight="1">
      <c r="AG704" s="91"/>
      <c r="AM704" s="3"/>
      <c r="AN704" s="3"/>
    </row>
    <row r="705" ht="15.75" customHeight="1">
      <c r="AG705" s="91"/>
      <c r="AM705" s="3"/>
      <c r="AN705" s="3"/>
    </row>
    <row r="706" ht="15.75" customHeight="1">
      <c r="AG706" s="91"/>
      <c r="AM706" s="3"/>
      <c r="AN706" s="3"/>
    </row>
    <row r="707" ht="15.75" customHeight="1">
      <c r="AG707" s="91"/>
      <c r="AM707" s="3"/>
      <c r="AN707" s="3"/>
    </row>
    <row r="708" ht="15.75" customHeight="1">
      <c r="AG708" s="91"/>
      <c r="AM708" s="3"/>
      <c r="AN708" s="3"/>
    </row>
    <row r="709" ht="15.75" customHeight="1">
      <c r="AG709" s="91"/>
      <c r="AM709" s="3"/>
      <c r="AN709" s="3"/>
    </row>
    <row r="710" ht="15.75" customHeight="1">
      <c r="AG710" s="91"/>
      <c r="AM710" s="3"/>
      <c r="AN710" s="3"/>
    </row>
    <row r="711" ht="15.75" customHeight="1">
      <c r="AG711" s="91"/>
      <c r="AM711" s="3"/>
      <c r="AN711" s="3"/>
    </row>
    <row r="712" ht="15.75" customHeight="1">
      <c r="AG712" s="91"/>
      <c r="AM712" s="3"/>
      <c r="AN712" s="3"/>
    </row>
    <row r="713" ht="15.75" customHeight="1">
      <c r="AG713" s="91"/>
      <c r="AM713" s="3"/>
      <c r="AN713" s="3"/>
    </row>
    <row r="714" ht="15.75" customHeight="1">
      <c r="AG714" s="91"/>
      <c r="AM714" s="3"/>
      <c r="AN714" s="3"/>
    </row>
    <row r="715" ht="15.75" customHeight="1">
      <c r="AG715" s="91"/>
      <c r="AM715" s="3"/>
      <c r="AN715" s="3"/>
    </row>
    <row r="716" ht="15.75" customHeight="1">
      <c r="AG716" s="91"/>
      <c r="AM716" s="3"/>
      <c r="AN716" s="3"/>
    </row>
    <row r="717" ht="15.75" customHeight="1">
      <c r="AG717" s="91"/>
      <c r="AM717" s="3"/>
      <c r="AN717" s="3"/>
    </row>
    <row r="718" ht="15.75" customHeight="1">
      <c r="AG718" s="91"/>
      <c r="AM718" s="3"/>
      <c r="AN718" s="3"/>
    </row>
    <row r="719" ht="15.75" customHeight="1">
      <c r="AG719" s="91"/>
      <c r="AM719" s="3"/>
      <c r="AN719" s="3"/>
    </row>
    <row r="720" ht="15.75" customHeight="1">
      <c r="AG720" s="91"/>
      <c r="AM720" s="3"/>
      <c r="AN720" s="3"/>
    </row>
    <row r="721" ht="15.75" customHeight="1">
      <c r="AG721" s="91"/>
      <c r="AM721" s="3"/>
      <c r="AN721" s="3"/>
    </row>
    <row r="722" ht="15.75" customHeight="1">
      <c r="AG722" s="91"/>
      <c r="AM722" s="3"/>
      <c r="AN722" s="3"/>
    </row>
    <row r="723" ht="15.75" customHeight="1">
      <c r="AG723" s="91"/>
      <c r="AM723" s="3"/>
      <c r="AN723" s="3"/>
    </row>
    <row r="724" ht="15.75" customHeight="1">
      <c r="AG724" s="91"/>
      <c r="AM724" s="3"/>
      <c r="AN724" s="3"/>
    </row>
    <row r="725" ht="15.75" customHeight="1">
      <c r="AG725" s="91"/>
      <c r="AM725" s="3"/>
      <c r="AN725" s="3"/>
    </row>
    <row r="726" ht="15.75" customHeight="1">
      <c r="AG726" s="91"/>
      <c r="AM726" s="3"/>
      <c r="AN726" s="3"/>
    </row>
    <row r="727" ht="15.75" customHeight="1">
      <c r="AG727" s="91"/>
      <c r="AM727" s="3"/>
      <c r="AN727" s="3"/>
    </row>
    <row r="728" ht="15.75" customHeight="1">
      <c r="AG728" s="91"/>
      <c r="AM728" s="3"/>
      <c r="AN728" s="3"/>
    </row>
    <row r="729" ht="15.75" customHeight="1">
      <c r="AG729" s="91"/>
      <c r="AM729" s="3"/>
      <c r="AN729" s="3"/>
    </row>
    <row r="730" ht="15.75" customHeight="1">
      <c r="AG730" s="91"/>
      <c r="AM730" s="3"/>
      <c r="AN730" s="3"/>
    </row>
    <row r="731" ht="15.75" customHeight="1">
      <c r="AG731" s="91"/>
      <c r="AM731" s="3"/>
      <c r="AN731" s="3"/>
    </row>
    <row r="732" ht="15.75" customHeight="1">
      <c r="AG732" s="91"/>
      <c r="AM732" s="3"/>
      <c r="AN732" s="3"/>
    </row>
    <row r="733" ht="15.75" customHeight="1">
      <c r="AG733" s="91"/>
      <c r="AM733" s="3"/>
      <c r="AN733" s="3"/>
    </row>
    <row r="734" ht="15.75" customHeight="1">
      <c r="AG734" s="91"/>
      <c r="AM734" s="3"/>
      <c r="AN734" s="3"/>
    </row>
    <row r="735" ht="15.75" customHeight="1">
      <c r="AG735" s="91"/>
      <c r="AM735" s="3"/>
      <c r="AN735" s="3"/>
    </row>
    <row r="736" ht="15.75" customHeight="1">
      <c r="AG736" s="91"/>
      <c r="AM736" s="3"/>
      <c r="AN736" s="3"/>
    </row>
    <row r="737" ht="15.75" customHeight="1">
      <c r="AG737" s="91"/>
      <c r="AM737" s="3"/>
      <c r="AN737" s="3"/>
    </row>
    <row r="738" ht="15.75" customHeight="1">
      <c r="AG738" s="91"/>
      <c r="AM738" s="3"/>
      <c r="AN738" s="3"/>
    </row>
    <row r="739" ht="15.75" customHeight="1">
      <c r="AG739" s="91"/>
      <c r="AM739" s="3"/>
      <c r="AN739" s="3"/>
    </row>
    <row r="740" ht="15.75" customHeight="1">
      <c r="AG740" s="91"/>
      <c r="AM740" s="3"/>
      <c r="AN740" s="3"/>
    </row>
    <row r="741" ht="15.75" customHeight="1">
      <c r="AG741" s="91"/>
      <c r="AM741" s="3"/>
      <c r="AN741" s="3"/>
    </row>
    <row r="742" ht="15.75" customHeight="1">
      <c r="AG742" s="91"/>
      <c r="AM742" s="3"/>
      <c r="AN742" s="3"/>
    </row>
    <row r="743" ht="15.75" customHeight="1">
      <c r="AG743" s="91"/>
      <c r="AM743" s="3"/>
      <c r="AN743" s="3"/>
    </row>
    <row r="744" ht="15.75" customHeight="1">
      <c r="AG744" s="91"/>
      <c r="AM744" s="3"/>
      <c r="AN744" s="3"/>
    </row>
    <row r="745" ht="15.75" customHeight="1">
      <c r="AG745" s="91"/>
      <c r="AM745" s="3"/>
      <c r="AN745" s="3"/>
    </row>
    <row r="746" ht="15.75" customHeight="1">
      <c r="AG746" s="91"/>
      <c r="AM746" s="3"/>
      <c r="AN746" s="3"/>
    </row>
    <row r="747" ht="15.75" customHeight="1">
      <c r="AG747" s="91"/>
      <c r="AM747" s="3"/>
      <c r="AN747" s="3"/>
    </row>
    <row r="748" ht="15.75" customHeight="1">
      <c r="AG748" s="91"/>
      <c r="AM748" s="3"/>
      <c r="AN748" s="3"/>
    </row>
    <row r="749" ht="15.75" customHeight="1">
      <c r="AG749" s="91"/>
      <c r="AM749" s="3"/>
      <c r="AN749" s="3"/>
    </row>
    <row r="750" ht="15.75" customHeight="1">
      <c r="AG750" s="91"/>
      <c r="AM750" s="3"/>
      <c r="AN750" s="3"/>
    </row>
    <row r="751" ht="15.75" customHeight="1">
      <c r="AG751" s="91"/>
      <c r="AM751" s="3"/>
      <c r="AN751" s="3"/>
    </row>
    <row r="752" ht="15.75" customHeight="1">
      <c r="AG752" s="91"/>
      <c r="AM752" s="3"/>
      <c r="AN752" s="3"/>
    </row>
    <row r="753" ht="15.75" customHeight="1">
      <c r="AG753" s="91"/>
      <c r="AM753" s="3"/>
      <c r="AN753" s="3"/>
    </row>
    <row r="754" ht="15.75" customHeight="1">
      <c r="AG754" s="91"/>
      <c r="AM754" s="3"/>
      <c r="AN754" s="3"/>
    </row>
    <row r="755" ht="15.75" customHeight="1">
      <c r="AG755" s="91"/>
      <c r="AM755" s="3"/>
      <c r="AN755" s="3"/>
    </row>
    <row r="756" ht="15.75" customHeight="1">
      <c r="AG756" s="91"/>
      <c r="AM756" s="3"/>
      <c r="AN756" s="3"/>
    </row>
    <row r="757" ht="15.75" customHeight="1">
      <c r="AG757" s="91"/>
      <c r="AM757" s="3"/>
      <c r="AN757" s="3"/>
    </row>
    <row r="758" ht="15.75" customHeight="1">
      <c r="AG758" s="91"/>
      <c r="AM758" s="3"/>
      <c r="AN758" s="3"/>
    </row>
    <row r="759" ht="15.75" customHeight="1">
      <c r="AG759" s="91"/>
      <c r="AM759" s="3"/>
      <c r="AN759" s="3"/>
    </row>
    <row r="760" ht="15.75" customHeight="1">
      <c r="AG760" s="91"/>
      <c r="AM760" s="3"/>
      <c r="AN760" s="3"/>
    </row>
    <row r="761" ht="15.75" customHeight="1">
      <c r="AG761" s="91"/>
      <c r="AM761" s="3"/>
      <c r="AN761" s="3"/>
    </row>
    <row r="762" ht="15.75" customHeight="1">
      <c r="AG762" s="91"/>
      <c r="AM762" s="3"/>
      <c r="AN762" s="3"/>
    </row>
    <row r="763" ht="15.75" customHeight="1">
      <c r="AG763" s="91"/>
      <c r="AM763" s="3"/>
      <c r="AN763" s="3"/>
    </row>
    <row r="764" ht="15.75" customHeight="1">
      <c r="AG764" s="91"/>
      <c r="AM764" s="3"/>
      <c r="AN764" s="3"/>
    </row>
    <row r="765" ht="15.75" customHeight="1">
      <c r="AG765" s="91"/>
      <c r="AM765" s="3"/>
      <c r="AN765" s="3"/>
    </row>
    <row r="766" ht="15.75" customHeight="1">
      <c r="AG766" s="91"/>
      <c r="AM766" s="3"/>
      <c r="AN766" s="3"/>
    </row>
    <row r="767" ht="15.75" customHeight="1">
      <c r="AG767" s="91"/>
      <c r="AM767" s="3"/>
      <c r="AN767" s="3"/>
    </row>
    <row r="768" ht="15.75" customHeight="1">
      <c r="AG768" s="91"/>
      <c r="AM768" s="3"/>
      <c r="AN768" s="3"/>
    </row>
    <row r="769" ht="15.75" customHeight="1">
      <c r="AG769" s="91"/>
      <c r="AM769" s="3"/>
      <c r="AN769" s="3"/>
    </row>
    <row r="770" ht="15.75" customHeight="1">
      <c r="AG770" s="91"/>
      <c r="AM770" s="3"/>
      <c r="AN770" s="3"/>
    </row>
    <row r="771" ht="15.75" customHeight="1">
      <c r="AG771" s="91"/>
      <c r="AM771" s="3"/>
      <c r="AN771" s="3"/>
    </row>
    <row r="772" ht="15.75" customHeight="1">
      <c r="AG772" s="91"/>
      <c r="AM772" s="3"/>
      <c r="AN772" s="3"/>
    </row>
    <row r="773" ht="15.75" customHeight="1">
      <c r="AG773" s="91"/>
      <c r="AM773" s="3"/>
      <c r="AN773" s="3"/>
    </row>
    <row r="774" ht="15.75" customHeight="1">
      <c r="AG774" s="91"/>
      <c r="AM774" s="3"/>
      <c r="AN774" s="3"/>
    </row>
    <row r="775" ht="15.75" customHeight="1">
      <c r="AG775" s="91"/>
      <c r="AM775" s="3"/>
      <c r="AN775" s="3"/>
    </row>
    <row r="776" ht="15.75" customHeight="1">
      <c r="AG776" s="91"/>
      <c r="AM776" s="3"/>
      <c r="AN776" s="3"/>
    </row>
    <row r="777" ht="15.75" customHeight="1">
      <c r="AG777" s="91"/>
      <c r="AM777" s="3"/>
      <c r="AN777" s="3"/>
    </row>
    <row r="778" ht="15.75" customHeight="1">
      <c r="AG778" s="91"/>
      <c r="AM778" s="3"/>
      <c r="AN778" s="3"/>
    </row>
    <row r="779" ht="15.75" customHeight="1">
      <c r="AG779" s="91"/>
      <c r="AM779" s="3"/>
      <c r="AN779" s="3"/>
    </row>
    <row r="780" ht="15.75" customHeight="1">
      <c r="AG780" s="91"/>
      <c r="AM780" s="3"/>
      <c r="AN780" s="3"/>
    </row>
    <row r="781" ht="15.75" customHeight="1">
      <c r="AG781" s="91"/>
      <c r="AM781" s="3"/>
      <c r="AN781" s="3"/>
    </row>
    <row r="782" ht="15.75" customHeight="1">
      <c r="AG782" s="91"/>
      <c r="AM782" s="3"/>
      <c r="AN782" s="3"/>
    </row>
    <row r="783" ht="15.75" customHeight="1">
      <c r="AG783" s="91"/>
      <c r="AM783" s="3"/>
      <c r="AN783" s="3"/>
    </row>
    <row r="784" ht="15.75" customHeight="1">
      <c r="AG784" s="91"/>
      <c r="AM784" s="3"/>
      <c r="AN784" s="3"/>
    </row>
    <row r="785" ht="15.75" customHeight="1">
      <c r="AG785" s="91"/>
      <c r="AM785" s="3"/>
      <c r="AN785" s="3"/>
    </row>
    <row r="786" ht="15.75" customHeight="1">
      <c r="AG786" s="91"/>
      <c r="AM786" s="3"/>
      <c r="AN786" s="3"/>
    </row>
    <row r="787" ht="15.75" customHeight="1">
      <c r="AG787" s="91"/>
      <c r="AM787" s="3"/>
      <c r="AN787" s="3"/>
    </row>
    <row r="788" ht="15.75" customHeight="1">
      <c r="AG788" s="91"/>
      <c r="AM788" s="3"/>
      <c r="AN788" s="3"/>
    </row>
    <row r="789" ht="15.75" customHeight="1">
      <c r="AG789" s="91"/>
      <c r="AM789" s="3"/>
      <c r="AN789" s="3"/>
    </row>
    <row r="790" ht="15.75" customHeight="1">
      <c r="AG790" s="91"/>
      <c r="AM790" s="3"/>
      <c r="AN790" s="3"/>
    </row>
    <row r="791" ht="15.75" customHeight="1">
      <c r="AG791" s="91"/>
      <c r="AM791" s="3"/>
      <c r="AN791" s="3"/>
    </row>
    <row r="792" ht="15.75" customHeight="1">
      <c r="AG792" s="91"/>
      <c r="AM792" s="3"/>
      <c r="AN792" s="3"/>
    </row>
    <row r="793" ht="15.75" customHeight="1">
      <c r="AG793" s="91"/>
      <c r="AM793" s="3"/>
      <c r="AN793" s="3"/>
    </row>
    <row r="794" ht="15.75" customHeight="1">
      <c r="AG794" s="91"/>
      <c r="AM794" s="3"/>
      <c r="AN794" s="3"/>
    </row>
    <row r="795" ht="15.75" customHeight="1">
      <c r="AG795" s="91"/>
      <c r="AM795" s="3"/>
      <c r="AN795" s="3"/>
    </row>
    <row r="796" ht="15.75" customHeight="1">
      <c r="AG796" s="91"/>
      <c r="AM796" s="3"/>
      <c r="AN796" s="3"/>
    </row>
    <row r="797" ht="15.75" customHeight="1">
      <c r="AG797" s="91"/>
      <c r="AM797" s="3"/>
      <c r="AN797" s="3"/>
    </row>
    <row r="798" ht="15.75" customHeight="1">
      <c r="AG798" s="91"/>
      <c r="AM798" s="3"/>
      <c r="AN798" s="3"/>
    </row>
    <row r="799" ht="15.75" customHeight="1">
      <c r="AG799" s="91"/>
      <c r="AM799" s="3"/>
      <c r="AN799" s="3"/>
    </row>
    <row r="800" ht="15.75" customHeight="1">
      <c r="AG800" s="91"/>
      <c r="AM800" s="3"/>
      <c r="AN800" s="3"/>
    </row>
    <row r="801" ht="15.75" customHeight="1">
      <c r="AG801" s="91"/>
      <c r="AM801" s="3"/>
      <c r="AN801" s="3"/>
    </row>
    <row r="802" ht="15.75" customHeight="1">
      <c r="AG802" s="91"/>
      <c r="AM802" s="3"/>
      <c r="AN802" s="3"/>
    </row>
    <row r="803" ht="15.75" customHeight="1">
      <c r="AG803" s="91"/>
      <c r="AM803" s="3"/>
      <c r="AN803" s="3"/>
    </row>
    <row r="804" ht="15.75" customHeight="1">
      <c r="AG804" s="91"/>
      <c r="AM804" s="3"/>
      <c r="AN804" s="3"/>
    </row>
    <row r="805" ht="15.75" customHeight="1">
      <c r="AG805" s="91"/>
      <c r="AM805" s="3"/>
      <c r="AN805" s="3"/>
    </row>
    <row r="806" ht="15.75" customHeight="1">
      <c r="AG806" s="91"/>
      <c r="AM806" s="3"/>
      <c r="AN806" s="3"/>
    </row>
    <row r="807" ht="15.75" customHeight="1">
      <c r="AG807" s="91"/>
      <c r="AM807" s="3"/>
      <c r="AN807" s="3"/>
    </row>
    <row r="808" ht="15.75" customHeight="1">
      <c r="AG808" s="91"/>
      <c r="AM808" s="3"/>
      <c r="AN808" s="3"/>
    </row>
    <row r="809" ht="15.75" customHeight="1">
      <c r="AG809" s="91"/>
      <c r="AM809" s="3"/>
      <c r="AN809" s="3"/>
    </row>
    <row r="810" ht="15.75" customHeight="1">
      <c r="AG810" s="91"/>
      <c r="AM810" s="3"/>
      <c r="AN810" s="3"/>
    </row>
    <row r="811" ht="15.75" customHeight="1">
      <c r="AG811" s="91"/>
      <c r="AM811" s="3"/>
      <c r="AN811" s="3"/>
    </row>
    <row r="812" ht="15.75" customHeight="1">
      <c r="AG812" s="91"/>
      <c r="AM812" s="3"/>
      <c r="AN812" s="3"/>
    </row>
    <row r="813" ht="15.75" customHeight="1">
      <c r="AG813" s="91"/>
      <c r="AM813" s="3"/>
      <c r="AN813" s="3"/>
    </row>
    <row r="814" ht="15.75" customHeight="1">
      <c r="AG814" s="91"/>
      <c r="AM814" s="3"/>
      <c r="AN814" s="3"/>
    </row>
    <row r="815" ht="15.75" customHeight="1">
      <c r="AG815" s="91"/>
      <c r="AM815" s="3"/>
      <c r="AN815" s="3"/>
    </row>
    <row r="816" ht="15.75" customHeight="1">
      <c r="AG816" s="91"/>
      <c r="AM816" s="3"/>
      <c r="AN816" s="3"/>
    </row>
    <row r="817" ht="15.75" customHeight="1">
      <c r="AG817" s="91"/>
      <c r="AM817" s="3"/>
      <c r="AN817" s="3"/>
    </row>
    <row r="818" ht="15.75" customHeight="1">
      <c r="AG818" s="91"/>
      <c r="AM818" s="3"/>
      <c r="AN818" s="3"/>
    </row>
    <row r="819" ht="15.75" customHeight="1">
      <c r="AG819" s="91"/>
      <c r="AM819" s="3"/>
      <c r="AN819" s="3"/>
    </row>
    <row r="820" ht="15.75" customHeight="1">
      <c r="AG820" s="91"/>
      <c r="AM820" s="3"/>
      <c r="AN820" s="3"/>
    </row>
    <row r="821" ht="15.75" customHeight="1">
      <c r="AG821" s="91"/>
      <c r="AM821" s="3"/>
      <c r="AN821" s="3"/>
    </row>
    <row r="822" ht="15.75" customHeight="1">
      <c r="AG822" s="91"/>
      <c r="AM822" s="3"/>
      <c r="AN822" s="3"/>
    </row>
    <row r="823" ht="15.75" customHeight="1">
      <c r="AG823" s="91"/>
      <c r="AM823" s="3"/>
      <c r="AN823" s="3"/>
    </row>
    <row r="824" ht="15.75" customHeight="1">
      <c r="AG824" s="91"/>
      <c r="AM824" s="3"/>
      <c r="AN824" s="3"/>
    </row>
    <row r="825" ht="15.75" customHeight="1">
      <c r="AG825" s="91"/>
      <c r="AM825" s="3"/>
      <c r="AN825" s="3"/>
    </row>
    <row r="826" ht="15.75" customHeight="1">
      <c r="AG826" s="91"/>
      <c r="AM826" s="3"/>
      <c r="AN826" s="3"/>
    </row>
    <row r="827" ht="15.75" customHeight="1">
      <c r="AG827" s="91"/>
      <c r="AM827" s="3"/>
      <c r="AN827" s="3"/>
    </row>
    <row r="828" ht="15.75" customHeight="1">
      <c r="AG828" s="91"/>
      <c r="AM828" s="3"/>
      <c r="AN828" s="3"/>
    </row>
    <row r="829" ht="15.75" customHeight="1">
      <c r="AG829" s="91"/>
      <c r="AM829" s="3"/>
      <c r="AN829" s="3"/>
    </row>
    <row r="830" ht="15.75" customHeight="1">
      <c r="AG830" s="91"/>
      <c r="AM830" s="3"/>
      <c r="AN830" s="3"/>
    </row>
    <row r="831" ht="15.75" customHeight="1">
      <c r="AG831" s="91"/>
      <c r="AM831" s="3"/>
      <c r="AN831" s="3"/>
    </row>
    <row r="832" ht="15.75" customHeight="1">
      <c r="AG832" s="91"/>
      <c r="AM832" s="3"/>
      <c r="AN832" s="3"/>
    </row>
    <row r="833" ht="15.75" customHeight="1">
      <c r="AG833" s="91"/>
      <c r="AM833" s="3"/>
      <c r="AN833" s="3"/>
    </row>
    <row r="834" ht="15.75" customHeight="1">
      <c r="AG834" s="91"/>
      <c r="AM834" s="3"/>
      <c r="AN834" s="3"/>
    </row>
    <row r="835" ht="15.75" customHeight="1">
      <c r="AG835" s="91"/>
      <c r="AM835" s="3"/>
      <c r="AN835" s="3"/>
    </row>
    <row r="836" ht="15.75" customHeight="1">
      <c r="AG836" s="91"/>
      <c r="AM836" s="3"/>
      <c r="AN836" s="3"/>
    </row>
    <row r="837" ht="15.75" customHeight="1">
      <c r="AG837" s="91"/>
      <c r="AM837" s="3"/>
      <c r="AN837" s="3"/>
    </row>
    <row r="838" ht="15.75" customHeight="1">
      <c r="AG838" s="91"/>
      <c r="AM838" s="3"/>
      <c r="AN838" s="3"/>
    </row>
    <row r="839" ht="15.75" customHeight="1">
      <c r="AG839" s="91"/>
      <c r="AM839" s="3"/>
      <c r="AN839" s="3"/>
    </row>
    <row r="840" ht="15.75" customHeight="1">
      <c r="AG840" s="91"/>
      <c r="AM840" s="3"/>
      <c r="AN840" s="3"/>
    </row>
    <row r="841" ht="15.75" customHeight="1">
      <c r="AG841" s="91"/>
      <c r="AM841" s="3"/>
      <c r="AN841" s="3"/>
    </row>
    <row r="842" ht="15.75" customHeight="1">
      <c r="AG842" s="91"/>
      <c r="AM842" s="3"/>
      <c r="AN842" s="3"/>
    </row>
    <row r="843" ht="15.75" customHeight="1">
      <c r="AG843" s="91"/>
      <c r="AM843" s="3"/>
      <c r="AN843" s="3"/>
    </row>
    <row r="844" ht="15.75" customHeight="1">
      <c r="AG844" s="91"/>
      <c r="AM844" s="3"/>
      <c r="AN844" s="3"/>
    </row>
    <row r="845" ht="15.75" customHeight="1">
      <c r="AG845" s="91"/>
      <c r="AM845" s="3"/>
      <c r="AN845" s="3"/>
    </row>
    <row r="846" ht="15.75" customHeight="1">
      <c r="AG846" s="91"/>
      <c r="AM846" s="3"/>
      <c r="AN846" s="3"/>
    </row>
    <row r="847" ht="15.75" customHeight="1">
      <c r="AG847" s="91"/>
      <c r="AM847" s="3"/>
      <c r="AN847" s="3"/>
    </row>
    <row r="848" ht="15.75" customHeight="1">
      <c r="AG848" s="91"/>
      <c r="AM848" s="3"/>
      <c r="AN848" s="3"/>
    </row>
    <row r="849" ht="15.75" customHeight="1">
      <c r="AG849" s="91"/>
      <c r="AM849" s="3"/>
      <c r="AN849" s="3"/>
    </row>
    <row r="850" ht="15.75" customHeight="1">
      <c r="AG850" s="91"/>
      <c r="AM850" s="3"/>
      <c r="AN850" s="3"/>
    </row>
    <row r="851" ht="15.75" customHeight="1">
      <c r="AG851" s="91"/>
      <c r="AM851" s="3"/>
      <c r="AN851" s="3"/>
    </row>
    <row r="852" ht="15.75" customHeight="1">
      <c r="AG852" s="91"/>
      <c r="AM852" s="3"/>
      <c r="AN852" s="3"/>
    </row>
    <row r="853" ht="15.75" customHeight="1">
      <c r="AG853" s="91"/>
      <c r="AM853" s="3"/>
      <c r="AN853" s="3"/>
    </row>
    <row r="854" ht="15.75" customHeight="1">
      <c r="AG854" s="91"/>
      <c r="AM854" s="3"/>
      <c r="AN854" s="3"/>
    </row>
    <row r="855" ht="15.75" customHeight="1">
      <c r="AG855" s="91"/>
      <c r="AM855" s="3"/>
      <c r="AN855" s="3"/>
    </row>
    <row r="856" ht="15.75" customHeight="1">
      <c r="AG856" s="91"/>
      <c r="AM856" s="3"/>
      <c r="AN856" s="3"/>
    </row>
    <row r="857" ht="15.75" customHeight="1">
      <c r="AG857" s="91"/>
      <c r="AM857" s="3"/>
      <c r="AN857" s="3"/>
    </row>
    <row r="858" ht="15.75" customHeight="1">
      <c r="AG858" s="91"/>
      <c r="AM858" s="3"/>
      <c r="AN858" s="3"/>
    </row>
    <row r="859" ht="15.75" customHeight="1">
      <c r="AG859" s="91"/>
      <c r="AM859" s="3"/>
      <c r="AN859" s="3"/>
    </row>
    <row r="860" ht="15.75" customHeight="1">
      <c r="AG860" s="91"/>
      <c r="AM860" s="3"/>
      <c r="AN860" s="3"/>
    </row>
    <row r="861" ht="15.75" customHeight="1">
      <c r="AG861" s="91"/>
      <c r="AM861" s="3"/>
      <c r="AN861" s="3"/>
    </row>
    <row r="862" ht="15.75" customHeight="1">
      <c r="AG862" s="91"/>
      <c r="AM862" s="3"/>
      <c r="AN862" s="3"/>
    </row>
    <row r="863" ht="15.75" customHeight="1">
      <c r="AG863" s="91"/>
      <c r="AM863" s="3"/>
      <c r="AN863" s="3"/>
    </row>
    <row r="864" ht="15.75" customHeight="1">
      <c r="AG864" s="91"/>
      <c r="AM864" s="3"/>
      <c r="AN864" s="3"/>
    </row>
    <row r="865" ht="15.75" customHeight="1">
      <c r="AG865" s="91"/>
      <c r="AM865" s="3"/>
      <c r="AN865" s="3"/>
    </row>
    <row r="866" ht="15.75" customHeight="1">
      <c r="AG866" s="91"/>
      <c r="AM866" s="3"/>
      <c r="AN866" s="3"/>
    </row>
    <row r="867" ht="15.75" customHeight="1">
      <c r="AG867" s="91"/>
      <c r="AM867" s="3"/>
      <c r="AN867" s="3"/>
    </row>
    <row r="868" ht="15.75" customHeight="1">
      <c r="AG868" s="91"/>
      <c r="AM868" s="3"/>
      <c r="AN868" s="3"/>
    </row>
    <row r="869" ht="15.75" customHeight="1">
      <c r="AG869" s="91"/>
      <c r="AM869" s="3"/>
      <c r="AN869" s="3"/>
    </row>
    <row r="870" ht="15.75" customHeight="1">
      <c r="AG870" s="91"/>
      <c r="AM870" s="3"/>
      <c r="AN870" s="3"/>
    </row>
    <row r="871" ht="15.75" customHeight="1">
      <c r="AG871" s="91"/>
      <c r="AM871" s="3"/>
      <c r="AN871" s="3"/>
    </row>
    <row r="872" ht="15.75" customHeight="1">
      <c r="AG872" s="91"/>
      <c r="AM872" s="3"/>
      <c r="AN872" s="3"/>
    </row>
    <row r="873" ht="15.75" customHeight="1">
      <c r="AG873" s="91"/>
      <c r="AM873" s="3"/>
      <c r="AN873" s="3"/>
    </row>
    <row r="874" ht="15.75" customHeight="1">
      <c r="AG874" s="91"/>
      <c r="AM874" s="3"/>
      <c r="AN874" s="3"/>
    </row>
    <row r="875" ht="15.75" customHeight="1">
      <c r="AG875" s="91"/>
      <c r="AM875" s="3"/>
      <c r="AN875" s="3"/>
    </row>
    <row r="876" ht="15.75" customHeight="1">
      <c r="AG876" s="91"/>
      <c r="AM876" s="3"/>
      <c r="AN876" s="3"/>
    </row>
    <row r="877" ht="15.75" customHeight="1">
      <c r="AG877" s="91"/>
      <c r="AM877" s="3"/>
      <c r="AN877" s="3"/>
    </row>
    <row r="878" ht="15.75" customHeight="1">
      <c r="AG878" s="91"/>
      <c r="AM878" s="3"/>
      <c r="AN878" s="3"/>
    </row>
    <row r="879" ht="15.75" customHeight="1">
      <c r="AG879" s="91"/>
      <c r="AM879" s="3"/>
      <c r="AN879" s="3"/>
    </row>
    <row r="880" ht="15.75" customHeight="1">
      <c r="AG880" s="91"/>
      <c r="AM880" s="3"/>
      <c r="AN880" s="3"/>
    </row>
    <row r="881" ht="15.75" customHeight="1">
      <c r="AG881" s="91"/>
      <c r="AM881" s="3"/>
      <c r="AN881" s="3"/>
    </row>
    <row r="882" ht="15.75" customHeight="1">
      <c r="AG882" s="91"/>
      <c r="AM882" s="3"/>
      <c r="AN882" s="3"/>
    </row>
    <row r="883" ht="15.75" customHeight="1">
      <c r="AG883" s="91"/>
      <c r="AM883" s="3"/>
      <c r="AN883" s="3"/>
    </row>
    <row r="884" ht="15.75" customHeight="1">
      <c r="AG884" s="91"/>
      <c r="AM884" s="3"/>
      <c r="AN884" s="3"/>
    </row>
    <row r="885" ht="15.75" customHeight="1">
      <c r="AG885" s="91"/>
      <c r="AM885" s="3"/>
      <c r="AN885" s="3"/>
    </row>
    <row r="886" ht="15.75" customHeight="1">
      <c r="AG886" s="91"/>
      <c r="AM886" s="3"/>
      <c r="AN886" s="3"/>
    </row>
    <row r="887" ht="15.75" customHeight="1">
      <c r="AG887" s="91"/>
      <c r="AM887" s="3"/>
      <c r="AN887" s="3"/>
    </row>
    <row r="888" ht="15.75" customHeight="1">
      <c r="AG888" s="91"/>
      <c r="AM888" s="3"/>
      <c r="AN888" s="3"/>
    </row>
    <row r="889" ht="15.75" customHeight="1">
      <c r="AG889" s="91"/>
      <c r="AM889" s="3"/>
      <c r="AN889" s="3"/>
    </row>
    <row r="890" ht="15.75" customHeight="1">
      <c r="AG890" s="91"/>
      <c r="AM890" s="3"/>
      <c r="AN890" s="3"/>
    </row>
    <row r="891" ht="15.75" customHeight="1">
      <c r="AG891" s="91"/>
      <c r="AM891" s="3"/>
      <c r="AN891" s="3"/>
    </row>
    <row r="892" ht="15.75" customHeight="1">
      <c r="AG892" s="91"/>
      <c r="AM892" s="3"/>
      <c r="AN892" s="3"/>
    </row>
    <row r="893" ht="15.75" customHeight="1">
      <c r="AG893" s="91"/>
      <c r="AM893" s="3"/>
      <c r="AN893" s="3"/>
    </row>
    <row r="894" ht="15.75" customHeight="1">
      <c r="AG894" s="91"/>
      <c r="AM894" s="3"/>
      <c r="AN894" s="3"/>
    </row>
    <row r="895" ht="15.75" customHeight="1">
      <c r="AG895" s="91"/>
      <c r="AM895" s="3"/>
      <c r="AN895" s="3"/>
    </row>
    <row r="896" ht="15.75" customHeight="1">
      <c r="AG896" s="91"/>
      <c r="AM896" s="3"/>
      <c r="AN896" s="3"/>
    </row>
    <row r="897" ht="15.75" customHeight="1">
      <c r="AG897" s="91"/>
      <c r="AM897" s="3"/>
      <c r="AN897" s="3"/>
    </row>
    <row r="898" ht="15.75" customHeight="1">
      <c r="AG898" s="91"/>
      <c r="AM898" s="3"/>
      <c r="AN898" s="3"/>
    </row>
    <row r="899" ht="15.75" customHeight="1">
      <c r="AG899" s="91"/>
      <c r="AM899" s="3"/>
      <c r="AN899" s="3"/>
    </row>
    <row r="900" ht="15.75" customHeight="1">
      <c r="AG900" s="91"/>
      <c r="AM900" s="3"/>
      <c r="AN900" s="3"/>
    </row>
    <row r="901" ht="15.75" customHeight="1">
      <c r="AG901" s="91"/>
      <c r="AM901" s="3"/>
      <c r="AN901" s="3"/>
    </row>
    <row r="902" ht="15.75" customHeight="1">
      <c r="AG902" s="91"/>
      <c r="AM902" s="3"/>
      <c r="AN902" s="3"/>
    </row>
    <row r="903" ht="15.75" customHeight="1">
      <c r="AG903" s="91"/>
      <c r="AM903" s="3"/>
      <c r="AN903" s="3"/>
    </row>
    <row r="904" ht="15.75" customHeight="1">
      <c r="AG904" s="91"/>
      <c r="AM904" s="3"/>
      <c r="AN904" s="3"/>
    </row>
    <row r="905" ht="15.75" customHeight="1">
      <c r="AG905" s="91"/>
      <c r="AM905" s="3"/>
      <c r="AN905" s="3"/>
    </row>
    <row r="906" ht="15.75" customHeight="1">
      <c r="AG906" s="91"/>
      <c r="AM906" s="3"/>
      <c r="AN906" s="3"/>
    </row>
    <row r="907" ht="15.75" customHeight="1">
      <c r="AG907" s="91"/>
      <c r="AM907" s="3"/>
      <c r="AN907" s="3"/>
    </row>
    <row r="908" ht="15.75" customHeight="1">
      <c r="AG908" s="91"/>
      <c r="AM908" s="3"/>
      <c r="AN908" s="3"/>
    </row>
    <row r="909" ht="15.75" customHeight="1">
      <c r="AG909" s="91"/>
      <c r="AM909" s="3"/>
      <c r="AN909" s="3"/>
    </row>
    <row r="910" ht="15.75" customHeight="1">
      <c r="AG910" s="91"/>
      <c r="AM910" s="3"/>
      <c r="AN910" s="3"/>
    </row>
    <row r="911" ht="15.75" customHeight="1">
      <c r="AG911" s="91"/>
      <c r="AM911" s="3"/>
      <c r="AN911" s="3"/>
    </row>
    <row r="912" ht="15.75" customHeight="1">
      <c r="AG912" s="91"/>
      <c r="AM912" s="3"/>
      <c r="AN912" s="3"/>
    </row>
    <row r="913" ht="15.75" customHeight="1">
      <c r="AG913" s="91"/>
      <c r="AM913" s="3"/>
      <c r="AN913" s="3"/>
    </row>
    <row r="914" ht="15.75" customHeight="1">
      <c r="AG914" s="91"/>
      <c r="AM914" s="3"/>
      <c r="AN914" s="3"/>
    </row>
    <row r="915" ht="15.75" customHeight="1">
      <c r="AG915" s="91"/>
      <c r="AM915" s="3"/>
      <c r="AN915" s="3"/>
    </row>
    <row r="916" ht="15.75" customHeight="1">
      <c r="AG916" s="91"/>
      <c r="AM916" s="3"/>
      <c r="AN916" s="3"/>
    </row>
    <row r="917" ht="15.75" customHeight="1">
      <c r="AG917" s="91"/>
      <c r="AM917" s="3"/>
      <c r="AN917" s="3"/>
    </row>
    <row r="918" ht="15.75" customHeight="1">
      <c r="AG918" s="91"/>
      <c r="AM918" s="3"/>
      <c r="AN918" s="3"/>
    </row>
    <row r="919" ht="15.75" customHeight="1">
      <c r="AG919" s="91"/>
      <c r="AM919" s="3"/>
      <c r="AN919" s="3"/>
    </row>
    <row r="920" ht="15.75" customHeight="1">
      <c r="AG920" s="91"/>
      <c r="AM920" s="3"/>
      <c r="AN920" s="3"/>
    </row>
    <row r="921" ht="15.75" customHeight="1">
      <c r="AG921" s="91"/>
      <c r="AM921" s="3"/>
      <c r="AN921" s="3"/>
    </row>
    <row r="922" ht="15.75" customHeight="1">
      <c r="AG922" s="91"/>
      <c r="AM922" s="3"/>
      <c r="AN922" s="3"/>
    </row>
    <row r="923" ht="15.75" customHeight="1">
      <c r="AG923" s="91"/>
      <c r="AM923" s="3"/>
      <c r="AN923" s="3"/>
    </row>
    <row r="924" ht="15.75" customHeight="1">
      <c r="AG924" s="91"/>
      <c r="AM924" s="3"/>
      <c r="AN924" s="3"/>
    </row>
    <row r="925" ht="15.75" customHeight="1">
      <c r="AG925" s="91"/>
      <c r="AM925" s="3"/>
      <c r="AN925" s="3"/>
    </row>
    <row r="926" ht="15.75" customHeight="1">
      <c r="AG926" s="91"/>
      <c r="AM926" s="3"/>
      <c r="AN926" s="3"/>
    </row>
    <row r="927" ht="15.75" customHeight="1">
      <c r="AG927" s="91"/>
      <c r="AM927" s="3"/>
      <c r="AN927" s="3"/>
    </row>
    <row r="928" ht="15.75" customHeight="1">
      <c r="AG928" s="91"/>
      <c r="AM928" s="3"/>
      <c r="AN928" s="3"/>
    </row>
    <row r="929" ht="15.75" customHeight="1">
      <c r="AG929" s="91"/>
      <c r="AM929" s="3"/>
      <c r="AN929" s="3"/>
    </row>
    <row r="930" ht="15.75" customHeight="1">
      <c r="AG930" s="91"/>
      <c r="AM930" s="3"/>
      <c r="AN930" s="3"/>
    </row>
    <row r="931" ht="15.75" customHeight="1">
      <c r="AG931" s="91"/>
      <c r="AM931" s="3"/>
      <c r="AN931" s="3"/>
    </row>
    <row r="932" ht="15.75" customHeight="1">
      <c r="AG932" s="91"/>
      <c r="AM932" s="3"/>
      <c r="AN932" s="3"/>
    </row>
    <row r="933" ht="15.75" customHeight="1">
      <c r="AG933" s="91"/>
      <c r="AM933" s="3"/>
      <c r="AN933" s="3"/>
    </row>
    <row r="934" ht="15.75" customHeight="1">
      <c r="AG934" s="91"/>
      <c r="AM934" s="3"/>
      <c r="AN934" s="3"/>
    </row>
    <row r="935" ht="15.75" customHeight="1">
      <c r="AG935" s="91"/>
      <c r="AM935" s="3"/>
      <c r="AN935" s="3"/>
    </row>
    <row r="936" ht="15.75" customHeight="1">
      <c r="AG936" s="91"/>
      <c r="AM936" s="3"/>
      <c r="AN936" s="3"/>
    </row>
    <row r="937" ht="15.75" customHeight="1">
      <c r="AG937" s="91"/>
      <c r="AM937" s="3"/>
      <c r="AN937" s="3"/>
    </row>
    <row r="938" ht="15.75" customHeight="1">
      <c r="AG938" s="91"/>
      <c r="AM938" s="3"/>
      <c r="AN938" s="3"/>
    </row>
    <row r="939" ht="15.75" customHeight="1">
      <c r="AG939" s="91"/>
      <c r="AM939" s="3"/>
      <c r="AN939" s="3"/>
    </row>
    <row r="940" ht="15.75" customHeight="1">
      <c r="AG940" s="91"/>
      <c r="AM940" s="3"/>
      <c r="AN940" s="3"/>
    </row>
    <row r="941" ht="15.75" customHeight="1">
      <c r="AG941" s="91"/>
      <c r="AM941" s="3"/>
      <c r="AN941" s="3"/>
    </row>
    <row r="942" ht="15.75" customHeight="1">
      <c r="AG942" s="91"/>
      <c r="AM942" s="3"/>
      <c r="AN942" s="3"/>
    </row>
    <row r="943" ht="15.75" customHeight="1">
      <c r="AG943" s="91"/>
      <c r="AM943" s="3"/>
      <c r="AN943" s="3"/>
    </row>
    <row r="944" ht="15.75" customHeight="1">
      <c r="AG944" s="91"/>
      <c r="AM944" s="3"/>
      <c r="AN944" s="3"/>
    </row>
    <row r="945" ht="15.75" customHeight="1">
      <c r="AG945" s="91"/>
      <c r="AM945" s="3"/>
      <c r="AN945" s="3"/>
    </row>
    <row r="946" ht="15.75" customHeight="1">
      <c r="AG946" s="91"/>
      <c r="AM946" s="3"/>
      <c r="AN946" s="3"/>
    </row>
    <row r="947" ht="15.75" customHeight="1">
      <c r="AG947" s="91"/>
      <c r="AM947" s="3"/>
      <c r="AN947" s="3"/>
    </row>
    <row r="948" ht="15.75" customHeight="1">
      <c r="AG948" s="91"/>
      <c r="AM948" s="3"/>
      <c r="AN948" s="3"/>
    </row>
    <row r="949" ht="15.75" customHeight="1">
      <c r="AG949" s="91"/>
      <c r="AM949" s="3"/>
      <c r="AN949" s="3"/>
    </row>
    <row r="950" ht="15.75" customHeight="1">
      <c r="AG950" s="91"/>
      <c r="AM950" s="3"/>
      <c r="AN950" s="3"/>
    </row>
    <row r="951" ht="15.75" customHeight="1">
      <c r="AG951" s="91"/>
      <c r="AM951" s="3"/>
      <c r="AN951" s="3"/>
    </row>
    <row r="952" ht="15.75" customHeight="1">
      <c r="AG952" s="91"/>
      <c r="AM952" s="3"/>
      <c r="AN952" s="3"/>
    </row>
    <row r="953" ht="15.75" customHeight="1">
      <c r="AG953" s="91"/>
      <c r="AM953" s="3"/>
      <c r="AN953" s="3"/>
    </row>
    <row r="954" ht="15.75" customHeight="1">
      <c r="AG954" s="91"/>
      <c r="AM954" s="3"/>
      <c r="AN954" s="3"/>
    </row>
    <row r="955" ht="15.75" customHeight="1">
      <c r="AG955" s="91"/>
      <c r="AM955" s="3"/>
      <c r="AN955" s="3"/>
    </row>
    <row r="956" ht="15.75" customHeight="1">
      <c r="AG956" s="91"/>
      <c r="AM956" s="3"/>
      <c r="AN956" s="3"/>
    </row>
    <row r="957" ht="15.75" customHeight="1">
      <c r="AG957" s="91"/>
      <c r="AM957" s="3"/>
      <c r="AN957" s="3"/>
    </row>
    <row r="958" ht="15.75" customHeight="1">
      <c r="AG958" s="91"/>
      <c r="AM958" s="3"/>
      <c r="AN958" s="3"/>
    </row>
    <row r="959" ht="15.75" customHeight="1">
      <c r="AG959" s="91"/>
      <c r="AM959" s="3"/>
      <c r="AN959" s="3"/>
    </row>
    <row r="960" ht="15.75" customHeight="1">
      <c r="AG960" s="91"/>
      <c r="AM960" s="3"/>
      <c r="AN960" s="3"/>
    </row>
    <row r="961" ht="15.75" customHeight="1">
      <c r="AG961" s="91"/>
      <c r="AM961" s="3"/>
      <c r="AN961" s="3"/>
    </row>
    <row r="962" ht="15.75" customHeight="1">
      <c r="AG962" s="91"/>
      <c r="AM962" s="3"/>
      <c r="AN962" s="3"/>
    </row>
    <row r="963" ht="15.75" customHeight="1">
      <c r="AG963" s="91"/>
      <c r="AM963" s="3"/>
      <c r="AN963" s="3"/>
    </row>
    <row r="964" ht="15.75" customHeight="1">
      <c r="AG964" s="91"/>
      <c r="AM964" s="3"/>
      <c r="AN964" s="3"/>
    </row>
    <row r="965" ht="15.75" customHeight="1">
      <c r="AG965" s="91"/>
      <c r="AM965" s="3"/>
      <c r="AN965" s="3"/>
    </row>
    <row r="966" ht="15.75" customHeight="1">
      <c r="AG966" s="91"/>
      <c r="AM966" s="3"/>
      <c r="AN966" s="3"/>
    </row>
    <row r="967" ht="15.75" customHeight="1">
      <c r="AG967" s="91"/>
      <c r="AM967" s="3"/>
      <c r="AN967" s="3"/>
    </row>
    <row r="968" ht="15.75" customHeight="1">
      <c r="AG968" s="91"/>
      <c r="AM968" s="3"/>
      <c r="AN968" s="3"/>
    </row>
    <row r="969" ht="15.75" customHeight="1">
      <c r="AG969" s="91"/>
      <c r="AM969" s="3"/>
      <c r="AN969" s="3"/>
    </row>
    <row r="970" ht="15.75" customHeight="1">
      <c r="AG970" s="91"/>
      <c r="AM970" s="3"/>
      <c r="AN970" s="3"/>
    </row>
    <row r="971" ht="15.75" customHeight="1">
      <c r="AG971" s="91"/>
      <c r="AM971" s="3"/>
      <c r="AN971" s="3"/>
    </row>
    <row r="972" ht="15.75" customHeight="1">
      <c r="AG972" s="91"/>
      <c r="AM972" s="3"/>
      <c r="AN972" s="3"/>
    </row>
    <row r="973" ht="15.75" customHeight="1">
      <c r="AG973" s="91"/>
      <c r="AM973" s="3"/>
      <c r="AN973" s="3"/>
    </row>
    <row r="974" ht="15.75" customHeight="1">
      <c r="AG974" s="91"/>
      <c r="AM974" s="3"/>
      <c r="AN974" s="3"/>
    </row>
    <row r="975" ht="15.75" customHeight="1">
      <c r="AG975" s="91"/>
      <c r="AM975" s="3"/>
      <c r="AN975" s="3"/>
    </row>
    <row r="976" ht="15.75" customHeight="1">
      <c r="AG976" s="91"/>
      <c r="AM976" s="3"/>
      <c r="AN976" s="3"/>
    </row>
    <row r="977" ht="15.75" customHeight="1">
      <c r="AG977" s="91"/>
      <c r="AM977" s="3"/>
      <c r="AN977" s="3"/>
    </row>
    <row r="978" ht="15.75" customHeight="1">
      <c r="AG978" s="91"/>
      <c r="AM978" s="3"/>
      <c r="AN978" s="3"/>
    </row>
    <row r="979" ht="15.75" customHeight="1">
      <c r="AG979" s="91"/>
      <c r="AM979" s="3"/>
      <c r="AN979" s="3"/>
    </row>
    <row r="980" ht="15.75" customHeight="1">
      <c r="AG980" s="91"/>
      <c r="AM980" s="3"/>
      <c r="AN980" s="3"/>
    </row>
    <row r="981" ht="15.75" customHeight="1">
      <c r="AG981" s="91"/>
      <c r="AM981" s="3"/>
      <c r="AN981" s="3"/>
    </row>
    <row r="982" ht="15.75" customHeight="1">
      <c r="AG982" s="91"/>
      <c r="AM982" s="3"/>
      <c r="AN982" s="3"/>
    </row>
    <row r="983" ht="15.75" customHeight="1">
      <c r="AG983" s="91"/>
      <c r="AM983" s="3"/>
      <c r="AN983" s="3"/>
    </row>
    <row r="984" ht="15.75" customHeight="1">
      <c r="AG984" s="91"/>
      <c r="AM984" s="3"/>
      <c r="AN984" s="3"/>
    </row>
    <row r="985" ht="15.75" customHeight="1">
      <c r="AG985" s="91"/>
      <c r="AM985" s="3"/>
      <c r="AN985" s="3"/>
    </row>
    <row r="986" ht="15.75" customHeight="1">
      <c r="AG986" s="91"/>
      <c r="AM986" s="3"/>
      <c r="AN986" s="3"/>
    </row>
    <row r="987" ht="15.75" customHeight="1">
      <c r="AG987" s="91"/>
      <c r="AM987" s="3"/>
      <c r="AN987" s="3"/>
    </row>
    <row r="988" ht="15.75" customHeight="1">
      <c r="AG988" s="91"/>
      <c r="AM988" s="3"/>
      <c r="AN988" s="3"/>
    </row>
    <row r="989" ht="15.75" customHeight="1">
      <c r="AG989" s="91"/>
      <c r="AM989" s="3"/>
      <c r="AN989" s="3"/>
    </row>
    <row r="990" ht="15.75" customHeight="1">
      <c r="AG990" s="91"/>
      <c r="AM990" s="3"/>
      <c r="AN990" s="3"/>
    </row>
    <row r="991" ht="15.75" customHeight="1">
      <c r="AG991" s="91"/>
      <c r="AM991" s="3"/>
      <c r="AN991" s="3"/>
    </row>
    <row r="992" ht="15.75" customHeight="1">
      <c r="AG992" s="91"/>
      <c r="AM992" s="3"/>
      <c r="AN992" s="3"/>
    </row>
    <row r="993" ht="15.75" customHeight="1">
      <c r="AG993" s="91"/>
      <c r="AM993" s="3"/>
      <c r="AN993" s="3"/>
    </row>
    <row r="994" ht="15.75" customHeight="1">
      <c r="AG994" s="91"/>
      <c r="AM994" s="3"/>
      <c r="AN994" s="3"/>
    </row>
    <row r="995" ht="15.75" customHeight="1">
      <c r="AG995" s="91"/>
      <c r="AM995" s="3"/>
      <c r="AN995" s="3"/>
    </row>
    <row r="996" ht="15.75" customHeight="1">
      <c r="AG996" s="91"/>
      <c r="AM996" s="3"/>
      <c r="AN996" s="3"/>
    </row>
    <row r="997" ht="15.75" customHeight="1">
      <c r="AG997" s="91"/>
      <c r="AM997" s="3"/>
      <c r="AN997" s="3"/>
    </row>
    <row r="998" ht="15.75" customHeight="1">
      <c r="AG998" s="91"/>
      <c r="AM998" s="3"/>
      <c r="AN998" s="3"/>
    </row>
    <row r="999" ht="15.75" customHeight="1">
      <c r="AG999" s="91"/>
      <c r="AM999" s="3"/>
      <c r="AN999" s="3"/>
    </row>
    <row r="1000" ht="15.75" customHeight="1">
      <c r="AG1000" s="91"/>
      <c r="AM1000" s="3"/>
      <c r="AN1000" s="3"/>
    </row>
  </sheetData>
  <autoFilter ref="$A$3:$AL$23">
    <sortState ref="A3:AL23">
      <sortCondition ref="A3:A23"/>
    </sortState>
  </autoFilter>
  <printOptions/>
  <pageMargins bottom="0.75" footer="0.0" header="0.0" left="0.7" right="0.7" top="0.75"/>
  <pageSetup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40" width="14.43"/>
  </cols>
  <sheetData>
    <row r="1" ht="15.0" customHeight="1">
      <c r="D1" s="1"/>
      <c r="F1" s="2"/>
      <c r="G1" s="3"/>
      <c r="H1" s="4"/>
      <c r="I1" s="5">
        <v>507.82</v>
      </c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  <c r="AM1" s="3"/>
      <c r="AN1" s="3"/>
    </row>
    <row r="2" ht="15.0" customHeight="1">
      <c r="D2" s="1"/>
      <c r="G2" s="13"/>
      <c r="H2" s="13"/>
      <c r="I2" s="14">
        <f>SUBTOTAL(9,I4:I9555)</f>
        <v>507.82</v>
      </c>
      <c r="J2" s="4"/>
      <c r="K2" s="14">
        <f>SUBTOTAL(9,K4:K9555)</f>
        <v>486.93731</v>
      </c>
      <c r="L2" s="15">
        <f>SUMPRODUCT(L5:L386,K5:K386)/K2</f>
        <v>0.3466137734</v>
      </c>
      <c r="M2" s="2"/>
      <c r="P2" s="2"/>
      <c r="Q2" s="16">
        <f>+SUMPRODUCT(Q5:Q274,AH5:AH274)/SUM(AH5:AH274)</f>
        <v>89.45689533</v>
      </c>
      <c r="R2" s="12">
        <f>+SUMPRODUCT(R5:R274,AH5:AH274)/SUM(AH5:AH274)</f>
        <v>2643.9924</v>
      </c>
      <c r="S2" s="2"/>
      <c r="AB2" s="7"/>
      <c r="AC2" s="7"/>
      <c r="AD2" s="7"/>
      <c r="AE2" s="7"/>
      <c r="AF2" s="7"/>
      <c r="AG2" s="17">
        <f>SUMPRODUCT($AG5:$AG274,$K5:$K274)/SUM($K5:$K274)</f>
        <v>72.85983938</v>
      </c>
      <c r="AH2" s="18"/>
      <c r="AI2" s="19">
        <v>2635.0</v>
      </c>
      <c r="AJ2" s="20"/>
      <c r="AK2" s="11"/>
      <c r="AL2" s="21"/>
      <c r="AM2" s="3"/>
      <c r="AN2" s="3"/>
    </row>
    <row r="3" ht="15.0" customHeight="1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3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SUBTOTAL(9,AH5:AH9556)</f>
        <v>5176.536525</v>
      </c>
      <c r="AI3" s="40">
        <f>SUMPRODUCT(K5:K274,AI5:AI274)/K2</f>
        <v>26.98099419</v>
      </c>
      <c r="AJ3" s="39">
        <f>SUBTOTAL(9,AJ5:AJ9556)</f>
        <v>5036.865219</v>
      </c>
      <c r="AK3" s="11"/>
      <c r="AL3" s="39">
        <f>SUBTOTAL(9,AL5:AL9556)</f>
        <v>344211.2373</v>
      </c>
      <c r="AM3" s="3"/>
      <c r="AN3" s="3"/>
      <c r="AO3" s="7"/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  <c r="AM4" s="134"/>
      <c r="AN4" s="134"/>
      <c r="AO4" s="67"/>
      <c r="AP4" s="67"/>
      <c r="AQ4" s="67"/>
    </row>
    <row r="5" ht="15.75" customHeight="1">
      <c r="A5" s="92" t="s">
        <v>4416</v>
      </c>
      <c r="B5" s="841">
        <v>45594.0</v>
      </c>
      <c r="C5" s="854">
        <v>45588.0</v>
      </c>
      <c r="D5" s="57" t="s">
        <v>63</v>
      </c>
      <c r="E5" s="2">
        <v>1.0437450094E10</v>
      </c>
      <c r="F5" s="57" t="s">
        <v>4417</v>
      </c>
      <c r="G5" s="3">
        <v>21.0</v>
      </c>
      <c r="H5" s="58" t="s">
        <v>47</v>
      </c>
      <c r="I5" s="58">
        <v>1.77</v>
      </c>
      <c r="J5" s="58">
        <v>2.3</v>
      </c>
      <c r="K5" s="59">
        <f t="shared" ref="K5:K35" si="1">+I5-(I5*(J5/100))</f>
        <v>1.72929</v>
      </c>
      <c r="L5" s="60">
        <v>0.352</v>
      </c>
      <c r="M5" s="60">
        <v>0.337</v>
      </c>
      <c r="N5" s="62">
        <v>0.337</v>
      </c>
      <c r="O5" s="60">
        <f t="shared" ref="O5:O35" si="2">+ROUND((M5+N5)/2,3)</f>
        <v>0.337</v>
      </c>
      <c r="P5" s="63">
        <v>90.0</v>
      </c>
      <c r="Q5" s="2">
        <v>89.12</v>
      </c>
      <c r="R5" s="65">
        <v>2736.45</v>
      </c>
      <c r="S5" s="143">
        <v>100.0</v>
      </c>
      <c r="U5" s="2">
        <v>130.0</v>
      </c>
      <c r="V5" s="2">
        <v>1.1023</v>
      </c>
      <c r="Y5" s="68">
        <v>30.0</v>
      </c>
      <c r="Z5" s="69">
        <f t="shared" ref="Z5:Z10" si="3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35" si="4">+Y5+Z5</f>
        <v>60</v>
      </c>
      <c r="AB5" s="71">
        <f t="shared" ref="AB5:AB10" si="5">+((O5*P5*(R5-U5)/100)-S5-AA5+T5)*V5</f>
        <v>695.040147</v>
      </c>
      <c r="AC5" s="71">
        <f>+(S5-T5)*V5-'data 1'!$F$4</f>
        <v>30.23</v>
      </c>
      <c r="AD5" s="71">
        <f t="shared" ref="AD5:AD35" si="6">+(Q5-P5)*(R5-U5)*L5*V5/100</f>
        <v>-8.899683073</v>
      </c>
      <c r="AE5" s="71">
        <f t="shared" ref="AE5:AE35" si="7">+(Y5*V5-70)+V5*(Z5-IF(D5="UNTUCA",IF(+((W5-3)*2.5+(X5-3)*3.1)&gt;0,+((W5-3)*1.5+(X5-3)*3.1),0),IF(+((W5-3)*1.5+(X5-3)*3.1)&gt;0,+((W5-3)*1.5+(X5-3)*3.1),0)))</f>
        <v>-3.862</v>
      </c>
      <c r="AF5" s="71">
        <f t="shared" ref="AF5:AF35" si="8">(L5-O5)*(R5-U5)*Q5*V5/100</f>
        <v>38.40746491</v>
      </c>
      <c r="AG5" s="72">
        <f>+IF(D5="RONALD WILLIAN GARIBAY ESCUDERO",AC5+AD5+AE5+AF5+70,AC5+AD5+AE5+AF5)+70-53</f>
        <v>72.87578184</v>
      </c>
      <c r="AH5" s="52">
        <f t="shared" ref="AH5:AH35" si="9">31.1035*L5*Q5*1.1023*K5/100</f>
        <v>18.59922039</v>
      </c>
      <c r="AI5" s="73">
        <f t="shared" ref="AI5:AI35" si="10">+((+$AI$2-R5+U5)*L5*Q5*V5)/100</f>
        <v>9.87242314</v>
      </c>
      <c r="AJ5" s="73">
        <f t="shared" ref="AJ5:AJ35" si="11">31.1035*1.1023*K5*P5*O5/100</f>
        <v>17.98246856</v>
      </c>
      <c r="AK5" s="11"/>
      <c r="AL5" s="122">
        <f t="shared" ref="AL5:AL35" si="12">+IF(AB5*K5&gt;0,AB5*K5,0)</f>
        <v>1201.925976</v>
      </c>
      <c r="AM5" s="3"/>
      <c r="AN5" s="3"/>
      <c r="AO5" s="58"/>
      <c r="AQ5" s="58"/>
    </row>
    <row r="6" ht="15.75" customHeight="1">
      <c r="A6" s="92" t="s">
        <v>4418</v>
      </c>
      <c r="B6" s="841">
        <v>45603.0</v>
      </c>
      <c r="C6" s="854">
        <v>45598.0</v>
      </c>
      <c r="D6" s="57" t="s">
        <v>45</v>
      </c>
      <c r="E6" s="67">
        <v>1.0416085884E10</v>
      </c>
      <c r="G6" s="3" t="s">
        <v>4100</v>
      </c>
      <c r="H6" s="58" t="s">
        <v>47</v>
      </c>
      <c r="I6" s="58">
        <v>23.54</v>
      </c>
      <c r="J6" s="58">
        <v>6.35</v>
      </c>
      <c r="K6" s="59">
        <f t="shared" si="1"/>
        <v>22.04521</v>
      </c>
      <c r="L6" s="60">
        <v>0.14200000000000002</v>
      </c>
      <c r="M6" s="60">
        <v>0.14</v>
      </c>
      <c r="N6" s="62">
        <v>0.145</v>
      </c>
      <c r="O6" s="60">
        <f t="shared" si="2"/>
        <v>0.143</v>
      </c>
      <c r="P6" s="63">
        <v>85.0</v>
      </c>
      <c r="Q6" s="58">
        <v>89.51</v>
      </c>
      <c r="R6" s="65">
        <v>2744.3</v>
      </c>
      <c r="S6" s="3">
        <v>110.0</v>
      </c>
      <c r="U6" s="67">
        <v>90.0</v>
      </c>
      <c r="V6" s="67">
        <v>1.1023</v>
      </c>
      <c r="Y6" s="68"/>
      <c r="Z6" s="69">
        <f t="shared" si="3"/>
        <v>30</v>
      </c>
      <c r="AA6" s="70">
        <f t="shared" si="4"/>
        <v>30</v>
      </c>
      <c r="AB6" s="71">
        <f t="shared" si="5"/>
        <v>201.3132309</v>
      </c>
      <c r="AC6" s="71">
        <f>+(S6-T6)*V6-'data 1'!$F$4</f>
        <v>41.253</v>
      </c>
      <c r="AD6" s="71">
        <f t="shared" si="6"/>
        <v>18.7376318</v>
      </c>
      <c r="AE6" s="71">
        <f t="shared" si="7"/>
        <v>-36.931</v>
      </c>
      <c r="AF6" s="71">
        <f t="shared" si="8"/>
        <v>-2.61891481</v>
      </c>
      <c r="AG6" s="72">
        <f t="shared" ref="AG6:AG8" si="13">+IF(D6="RONALD WILLIAN GARIBAY ESCUDERO",AC6+AD6+AE6+AF6+70,AC6+AD6+AE6+AF6)</f>
        <v>20.44071699</v>
      </c>
      <c r="AH6" s="52">
        <f t="shared" si="9"/>
        <v>96.06898693</v>
      </c>
      <c r="AI6" s="73">
        <f t="shared" si="10"/>
        <v>-2.704064321</v>
      </c>
      <c r="AJ6" s="73">
        <f t="shared" si="11"/>
        <v>91.87096384</v>
      </c>
      <c r="AK6" s="53"/>
      <c r="AL6" s="51">
        <f t="shared" si="12"/>
        <v>4437.992451</v>
      </c>
      <c r="AM6" s="3"/>
      <c r="AN6" s="3"/>
      <c r="AO6" s="58"/>
      <c r="AQ6" s="58"/>
    </row>
    <row r="7" ht="15.75" customHeight="1">
      <c r="A7" s="92" t="s">
        <v>4419</v>
      </c>
      <c r="B7" s="841">
        <v>45604.0</v>
      </c>
      <c r="C7" s="854">
        <v>45601.0</v>
      </c>
      <c r="D7" s="2" t="s">
        <v>4420</v>
      </c>
      <c r="E7" s="2">
        <v>2.060609401E10</v>
      </c>
      <c r="F7" s="2" t="s">
        <v>4421</v>
      </c>
      <c r="G7" s="3">
        <v>110.0</v>
      </c>
      <c r="H7" s="58" t="s">
        <v>47</v>
      </c>
      <c r="I7" s="58">
        <v>9.47</v>
      </c>
      <c r="J7" s="58">
        <v>1.3</v>
      </c>
      <c r="K7" s="59">
        <f t="shared" si="1"/>
        <v>9.34689</v>
      </c>
      <c r="L7" s="60">
        <v>0.378</v>
      </c>
      <c r="M7" s="60">
        <v>0.36666</v>
      </c>
      <c r="N7" s="62">
        <v>0.367</v>
      </c>
      <c r="O7" s="60">
        <f t="shared" si="2"/>
        <v>0.367</v>
      </c>
      <c r="P7" s="63">
        <v>90.0</v>
      </c>
      <c r="Q7" s="64">
        <v>89.0</v>
      </c>
      <c r="R7" s="433">
        <v>2742.6</v>
      </c>
      <c r="S7" s="66">
        <f t="shared" ref="S7:S8" si="14">IF((90+ROUNDDOWN(O7,1)*100)&lt;95,95,(90+ROUNDDOWN(O7,1)*100))</f>
        <v>120</v>
      </c>
      <c r="U7" s="67">
        <v>130.0</v>
      </c>
      <c r="V7" s="67">
        <v>1.1023</v>
      </c>
      <c r="Y7" s="68">
        <v>10.0</v>
      </c>
      <c r="Z7" s="69">
        <f t="shared" si="3"/>
        <v>30</v>
      </c>
      <c r="AA7" s="70">
        <f t="shared" si="4"/>
        <v>40</v>
      </c>
      <c r="AB7" s="71">
        <f t="shared" si="5"/>
        <v>774.8527241</v>
      </c>
      <c r="AC7" s="71">
        <f>+(S7-T7)*V7-'data 1'!$F$4</f>
        <v>52.276</v>
      </c>
      <c r="AD7" s="71">
        <f t="shared" si="6"/>
        <v>-10.88590474</v>
      </c>
      <c r="AE7" s="71">
        <f t="shared" si="7"/>
        <v>-25.908</v>
      </c>
      <c r="AF7" s="71">
        <f t="shared" si="8"/>
        <v>28.19391731</v>
      </c>
      <c r="AG7" s="72">
        <f t="shared" si="13"/>
        <v>43.67601257</v>
      </c>
      <c r="AH7" s="52">
        <f t="shared" si="9"/>
        <v>107.8097422</v>
      </c>
      <c r="AI7" s="73">
        <f t="shared" si="10"/>
        <v>8.306721158</v>
      </c>
      <c r="AJ7" s="73">
        <f t="shared" si="11"/>
        <v>105.8485163</v>
      </c>
      <c r="AK7" s="53"/>
      <c r="AL7" s="51">
        <f t="shared" si="12"/>
        <v>7242.463178</v>
      </c>
      <c r="AM7" s="3"/>
      <c r="AN7" s="3"/>
      <c r="AO7" s="58"/>
      <c r="AQ7" s="58"/>
    </row>
    <row r="8" ht="15.75" customHeight="1">
      <c r="A8" s="92" t="s">
        <v>4422</v>
      </c>
      <c r="B8" s="841">
        <v>45604.0</v>
      </c>
      <c r="C8" s="854">
        <v>45601.0</v>
      </c>
      <c r="D8" s="57" t="s">
        <v>38</v>
      </c>
      <c r="E8" s="2">
        <v>2.0606534923E10</v>
      </c>
      <c r="F8" s="57" t="s">
        <v>4423</v>
      </c>
      <c r="G8" s="3">
        <v>7.0</v>
      </c>
      <c r="H8" s="58" t="s">
        <v>47</v>
      </c>
      <c r="I8" s="58">
        <v>0.61</v>
      </c>
      <c r="J8" s="58">
        <v>1.0</v>
      </c>
      <c r="K8" s="59">
        <f t="shared" si="1"/>
        <v>0.6039</v>
      </c>
      <c r="L8" s="60">
        <v>0.6559999999999999</v>
      </c>
      <c r="M8" s="60">
        <v>0.6297599999999999</v>
      </c>
      <c r="N8" s="62">
        <v>0.6297599999999999</v>
      </c>
      <c r="O8" s="60">
        <f t="shared" si="2"/>
        <v>0.63</v>
      </c>
      <c r="P8" s="63">
        <v>90.0</v>
      </c>
      <c r="Q8" s="64">
        <v>89.26</v>
      </c>
      <c r="R8" s="65">
        <v>2732.55</v>
      </c>
      <c r="S8" s="66">
        <f t="shared" si="14"/>
        <v>150</v>
      </c>
      <c r="U8" s="67">
        <v>130.0</v>
      </c>
      <c r="V8" s="67">
        <v>1.1023</v>
      </c>
      <c r="Y8" s="68">
        <v>30.0</v>
      </c>
      <c r="Z8" s="69">
        <f t="shared" si="3"/>
        <v>30</v>
      </c>
      <c r="AA8" s="70">
        <f t="shared" si="4"/>
        <v>60</v>
      </c>
      <c r="AB8" s="71">
        <f t="shared" si="5"/>
        <v>1395.12142</v>
      </c>
      <c r="AC8" s="71">
        <f>+(S8-T8)*V8-'data 1'!$F$4</f>
        <v>85.345</v>
      </c>
      <c r="AD8" s="71">
        <f t="shared" si="6"/>
        <v>-13.92625838</v>
      </c>
      <c r="AE8" s="71">
        <f t="shared" si="7"/>
        <v>-3.862</v>
      </c>
      <c r="AF8" s="71">
        <f t="shared" si="8"/>
        <v>66.57775088</v>
      </c>
      <c r="AG8" s="72">
        <f t="shared" si="13"/>
        <v>134.1344925</v>
      </c>
      <c r="AH8" s="52">
        <f t="shared" si="9"/>
        <v>12.12368994</v>
      </c>
      <c r="AI8" s="73">
        <f t="shared" si="10"/>
        <v>20.94475239</v>
      </c>
      <c r="AJ8" s="73">
        <f t="shared" si="11"/>
        <v>11.73970429</v>
      </c>
      <c r="AK8" s="53"/>
      <c r="AL8" s="51">
        <f t="shared" si="12"/>
        <v>842.5138258</v>
      </c>
      <c r="AM8" s="3"/>
      <c r="AN8" s="3"/>
      <c r="AO8" s="58"/>
      <c r="AQ8" s="58"/>
    </row>
    <row r="9" ht="15.75" customHeight="1">
      <c r="A9" s="92" t="s">
        <v>4424</v>
      </c>
      <c r="B9" s="841">
        <v>45609.0</v>
      </c>
      <c r="C9" s="854">
        <v>45601.0</v>
      </c>
      <c r="D9" s="2" t="s">
        <v>4420</v>
      </c>
      <c r="E9" s="2">
        <v>2.060609401E10</v>
      </c>
      <c r="F9" s="2" t="s">
        <v>4417</v>
      </c>
      <c r="G9" s="3">
        <v>20.0</v>
      </c>
      <c r="H9" s="58" t="s">
        <v>47</v>
      </c>
      <c r="I9" s="58">
        <v>1.95</v>
      </c>
      <c r="J9" s="58">
        <v>1.2</v>
      </c>
      <c r="K9" s="59">
        <f t="shared" si="1"/>
        <v>1.9266</v>
      </c>
      <c r="L9" s="60">
        <v>0.3645</v>
      </c>
      <c r="M9" s="60">
        <v>0.34991999999999995</v>
      </c>
      <c r="N9" s="62">
        <v>0.34991999999999995</v>
      </c>
      <c r="O9" s="60">
        <f t="shared" si="2"/>
        <v>0.35</v>
      </c>
      <c r="P9" s="63">
        <v>90.0</v>
      </c>
      <c r="Q9" s="64">
        <v>89.36</v>
      </c>
      <c r="R9" s="65">
        <v>2742.55</v>
      </c>
      <c r="S9" s="76">
        <v>115.0</v>
      </c>
      <c r="U9" s="67">
        <v>130.0</v>
      </c>
      <c r="V9" s="67">
        <v>1.1023</v>
      </c>
      <c r="Y9" s="68">
        <v>30.0</v>
      </c>
      <c r="Z9" s="69">
        <f t="shared" si="3"/>
        <v>30</v>
      </c>
      <c r="AA9" s="70">
        <f t="shared" si="4"/>
        <v>60</v>
      </c>
      <c r="AB9" s="71">
        <f t="shared" si="5"/>
        <v>714.2388675</v>
      </c>
      <c r="AC9" s="71">
        <f>+(S9-T9)*V9-'data 1'!$F$4</f>
        <v>46.7645</v>
      </c>
      <c r="AD9" s="71">
        <f t="shared" si="6"/>
        <v>-6.718029784</v>
      </c>
      <c r="AE9" s="71">
        <f t="shared" si="7"/>
        <v>-3.862</v>
      </c>
      <c r="AF9" s="71">
        <f t="shared" si="8"/>
        <v>37.31432421</v>
      </c>
      <c r="AG9" s="72">
        <f>+IF(D9="RONALD WILLIAN GARIBAY ESCUDERO",AC9+AD9+AE9+AF9+70,AC9+AD9+AE9+AF9)+70-53</f>
        <v>90.49879443</v>
      </c>
      <c r="AH9" s="52">
        <f t="shared" si="9"/>
        <v>21.51499839</v>
      </c>
      <c r="AI9" s="73">
        <f t="shared" si="10"/>
        <v>8.060404662</v>
      </c>
      <c r="AJ9" s="73">
        <f t="shared" si="11"/>
        <v>20.80708201</v>
      </c>
      <c r="AK9" s="53"/>
      <c r="AL9" s="51">
        <f t="shared" si="12"/>
        <v>1376.052602</v>
      </c>
      <c r="AM9" s="3"/>
      <c r="AN9" s="3"/>
      <c r="AO9" s="58"/>
      <c r="AQ9" s="58"/>
    </row>
    <row r="10" ht="15.75" customHeight="1">
      <c r="A10" s="92" t="s">
        <v>4425</v>
      </c>
      <c r="B10" s="841">
        <v>45607.0</v>
      </c>
      <c r="C10" s="56">
        <v>45604.0</v>
      </c>
      <c r="D10" s="57" t="s">
        <v>51</v>
      </c>
      <c r="E10" s="2">
        <v>1.042310973E10</v>
      </c>
      <c r="F10" s="57" t="s">
        <v>4426</v>
      </c>
      <c r="G10" s="3">
        <v>280.0</v>
      </c>
      <c r="H10" s="58" t="s">
        <v>47</v>
      </c>
      <c r="I10" s="58">
        <v>30.99</v>
      </c>
      <c r="J10" s="58">
        <v>1.2</v>
      </c>
      <c r="K10" s="59">
        <f t="shared" si="1"/>
        <v>30.61812</v>
      </c>
      <c r="L10" s="60">
        <v>0.5</v>
      </c>
      <c r="M10" s="60">
        <v>0.48</v>
      </c>
      <c r="N10" s="62">
        <v>0.48</v>
      </c>
      <c r="O10" s="60">
        <f t="shared" si="2"/>
        <v>0.48</v>
      </c>
      <c r="P10" s="63">
        <v>90.0</v>
      </c>
      <c r="Q10" s="64">
        <v>89.52</v>
      </c>
      <c r="R10" s="65">
        <v>2681.15</v>
      </c>
      <c r="S10" s="66">
        <f>IF((90+ROUNDDOWN(O10,1)*100)&lt;95,95,(90+ROUNDDOWN(O10,1)*100))</f>
        <v>130</v>
      </c>
      <c r="U10" s="67">
        <v>100.0</v>
      </c>
      <c r="V10" s="67">
        <v>1.1023</v>
      </c>
      <c r="Y10" s="68">
        <v>30.0</v>
      </c>
      <c r="Z10" s="69">
        <f t="shared" si="3"/>
        <v>30</v>
      </c>
      <c r="AA10" s="70">
        <f t="shared" si="4"/>
        <v>60</v>
      </c>
      <c r="AB10" s="71">
        <f t="shared" si="5"/>
        <v>1019.690111</v>
      </c>
      <c r="AC10" s="71">
        <f>+(S10-T10)*V10-'data 1'!$F$4</f>
        <v>63.299</v>
      </c>
      <c r="AD10" s="71">
        <f t="shared" si="6"/>
        <v>-6.828483948</v>
      </c>
      <c r="AE10" s="71">
        <f t="shared" si="7"/>
        <v>-3.862</v>
      </c>
      <c r="AF10" s="71">
        <f t="shared" si="8"/>
        <v>50.94049025</v>
      </c>
      <c r="AG10" s="72">
        <f>+IF(D10="RONALD WILLIAN GARIBAY ESCUDERO",AC10+AD10+AE10+AF10+70,AC10+AD10+AE10+AF10)</f>
        <v>173.5490063</v>
      </c>
      <c r="AH10" s="52">
        <f t="shared" si="9"/>
        <v>469.8699466</v>
      </c>
      <c r="AI10" s="73">
        <f t="shared" si="10"/>
        <v>26.5690235</v>
      </c>
      <c r="AJ10" s="73">
        <f t="shared" si="11"/>
        <v>453.4937822</v>
      </c>
      <c r="AK10" s="53"/>
      <c r="AL10" s="51">
        <f t="shared" si="12"/>
        <v>31220.99417</v>
      </c>
      <c r="AM10" s="3"/>
      <c r="AN10" s="3"/>
      <c r="AO10" s="58"/>
      <c r="AQ10" s="58"/>
    </row>
    <row r="11" ht="15.75" customHeight="1">
      <c r="A11" s="92" t="s">
        <v>4427</v>
      </c>
      <c r="B11" s="841">
        <v>45612.0</v>
      </c>
      <c r="C11" s="56">
        <v>45606.0</v>
      </c>
      <c r="D11" s="57" t="s">
        <v>45</v>
      </c>
      <c r="E11" s="67">
        <v>1.0416085884E10</v>
      </c>
      <c r="G11" s="3">
        <v>78.0</v>
      </c>
      <c r="H11" s="57" t="s">
        <v>47</v>
      </c>
      <c r="I11" s="58">
        <v>7.24</v>
      </c>
      <c r="J11" s="58">
        <v>7.25</v>
      </c>
      <c r="K11" s="59">
        <f t="shared" si="1"/>
        <v>6.7151</v>
      </c>
      <c r="L11" s="60">
        <v>0.035</v>
      </c>
      <c r="M11" s="60">
        <v>0.034</v>
      </c>
      <c r="N11" s="62">
        <v>0.034</v>
      </c>
      <c r="O11" s="60">
        <f t="shared" si="2"/>
        <v>0.034</v>
      </c>
      <c r="P11" s="63">
        <v>85.0</v>
      </c>
      <c r="Q11" s="77">
        <v>89.0</v>
      </c>
      <c r="R11" s="65">
        <v>2624.75</v>
      </c>
      <c r="S11" s="76">
        <v>110.0</v>
      </c>
      <c r="U11" s="67">
        <v>90.0</v>
      </c>
      <c r="V11" s="67">
        <v>1.1023</v>
      </c>
      <c r="Y11" s="67"/>
      <c r="Z11" s="77">
        <v>15.0</v>
      </c>
      <c r="AA11" s="70">
        <f t="shared" si="4"/>
        <v>15</v>
      </c>
      <c r="AB11" s="447">
        <v>0.0</v>
      </c>
      <c r="AC11" s="71">
        <f>+(S11-T11)*V11-'data 1'!$F$4</f>
        <v>41.253</v>
      </c>
      <c r="AD11" s="71">
        <f t="shared" si="6"/>
        <v>3.911676895</v>
      </c>
      <c r="AE11" s="71">
        <f t="shared" si="7"/>
        <v>-53.4655</v>
      </c>
      <c r="AF11" s="71">
        <f t="shared" si="8"/>
        <v>2.486708883</v>
      </c>
      <c r="AG11" s="447">
        <v>0.0</v>
      </c>
      <c r="AH11" s="52">
        <f t="shared" si="9"/>
        <v>7.17165856</v>
      </c>
      <c r="AI11" s="73">
        <f t="shared" si="10"/>
        <v>3.442248661</v>
      </c>
      <c r="AJ11" s="73">
        <f t="shared" si="11"/>
        <v>6.653641489</v>
      </c>
      <c r="AK11" s="11"/>
      <c r="AL11" s="51">
        <f t="shared" si="12"/>
        <v>0</v>
      </c>
      <c r="AM11" s="3"/>
      <c r="AN11" s="3"/>
      <c r="AO11" s="58"/>
      <c r="AQ11" s="58"/>
    </row>
    <row r="12" ht="15.75" customHeight="1">
      <c r="A12" s="92" t="s">
        <v>4428</v>
      </c>
      <c r="B12" s="841">
        <v>45612.0</v>
      </c>
      <c r="C12" s="56">
        <v>45606.0</v>
      </c>
      <c r="D12" s="57" t="s">
        <v>45</v>
      </c>
      <c r="E12" s="67">
        <v>1.0416085884E10</v>
      </c>
      <c r="G12" s="3">
        <v>10.0</v>
      </c>
      <c r="H12" s="57" t="s">
        <v>47</v>
      </c>
      <c r="I12" s="58">
        <v>0.93</v>
      </c>
      <c r="J12" s="58">
        <v>6.4</v>
      </c>
      <c r="K12" s="59">
        <f t="shared" si="1"/>
        <v>0.87048</v>
      </c>
      <c r="L12" s="60">
        <v>0.316</v>
      </c>
      <c r="M12" s="60">
        <v>0.303</v>
      </c>
      <c r="N12" s="62">
        <v>0.303</v>
      </c>
      <c r="O12" s="60">
        <f t="shared" si="2"/>
        <v>0.303</v>
      </c>
      <c r="P12" s="63">
        <v>90.0</v>
      </c>
      <c r="Q12" s="64">
        <v>89.41</v>
      </c>
      <c r="R12" s="65">
        <v>2624.75</v>
      </c>
      <c r="S12" s="76">
        <v>100.0</v>
      </c>
      <c r="U12" s="67">
        <v>90.0</v>
      </c>
      <c r="V12" s="67">
        <v>1.1023</v>
      </c>
      <c r="Y12" s="67"/>
      <c r="Z12" s="77">
        <v>15.0</v>
      </c>
      <c r="AA12" s="70">
        <f t="shared" si="4"/>
        <v>15</v>
      </c>
      <c r="AB12" s="71">
        <f t="shared" ref="AB12:AB35" si="15">+((O12*P12*(R12-U12)/100)-S12-AA12+T12)*V12</f>
        <v>635.174278</v>
      </c>
      <c r="AC12" s="71">
        <f>+(S12-T12)*V12-'data 1'!$F$4</f>
        <v>30.23</v>
      </c>
      <c r="AD12" s="71">
        <f t="shared" si="6"/>
        <v>-5.209236002</v>
      </c>
      <c r="AE12" s="71">
        <f t="shared" si="7"/>
        <v>-53.4655</v>
      </c>
      <c r="AF12" s="71">
        <f t="shared" si="8"/>
        <v>32.47613861</v>
      </c>
      <c r="AG12" s="72">
        <f t="shared" ref="AG12:AG13" si="16">+IF(D12="RONALD WILLIAN GARIBAY ESCUDERO",AC12+AD12+AE12+AF12+70,AC12+AD12+AE12+AF12)+70-53</f>
        <v>21.03140261</v>
      </c>
      <c r="AH12" s="52">
        <f t="shared" si="9"/>
        <v>8.43220282</v>
      </c>
      <c r="AI12" s="73">
        <f t="shared" si="10"/>
        <v>31.22175894</v>
      </c>
      <c r="AJ12" s="73">
        <f t="shared" si="11"/>
        <v>8.13866185</v>
      </c>
      <c r="AK12" s="11"/>
      <c r="AL12" s="51">
        <f t="shared" si="12"/>
        <v>552.9065056</v>
      </c>
      <c r="AM12" s="3"/>
      <c r="AN12" s="3"/>
      <c r="AO12" s="58"/>
      <c r="AQ12" s="58"/>
    </row>
    <row r="13" ht="15.75" customHeight="1">
      <c r="A13" s="92" t="s">
        <v>4429</v>
      </c>
      <c r="B13" s="841">
        <v>45612.0</v>
      </c>
      <c r="C13" s="56">
        <v>45606.0</v>
      </c>
      <c r="D13" s="57" t="s">
        <v>45</v>
      </c>
      <c r="E13" s="67">
        <v>1.0416085884E10</v>
      </c>
      <c r="G13" s="3" t="s">
        <v>4100</v>
      </c>
      <c r="H13" s="57" t="s">
        <v>47</v>
      </c>
      <c r="I13" s="58">
        <v>26.01</v>
      </c>
      <c r="J13" s="58">
        <v>10.5</v>
      </c>
      <c r="K13" s="59">
        <f t="shared" si="1"/>
        <v>23.27895</v>
      </c>
      <c r="L13" s="60">
        <v>0.133</v>
      </c>
      <c r="M13" s="60">
        <v>0.127</v>
      </c>
      <c r="N13" s="75">
        <v>0.13</v>
      </c>
      <c r="O13" s="60">
        <f t="shared" si="2"/>
        <v>0.129</v>
      </c>
      <c r="P13" s="63">
        <v>85.0</v>
      </c>
      <c r="Q13" s="64">
        <v>89.67</v>
      </c>
      <c r="R13" s="65">
        <v>2624.75</v>
      </c>
      <c r="S13" s="76">
        <v>110.0</v>
      </c>
      <c r="U13" s="67">
        <v>90.0</v>
      </c>
      <c r="V13" s="67">
        <v>1.1023</v>
      </c>
      <c r="Y13" s="67"/>
      <c r="Z13" s="69">
        <f>IF(IF(D13="UNTUCA",IF(+((W13-3)*1.5+(X13-3)*3.1)&gt;0,+((W13-3)*1.5+(X13-3)*3.1),0),IF(+((W13-3)*1.5+(X13-3)*3.1)&gt;0,+((W13-3)*1.5+(X13-3)*3.1),0))&lt;30,30,IF(D13="UNTUCA",IF(+((W13-3)*1.5+(X13-3)*3.1)&gt;0,+((W13-3)*1.5+(X13-3)*3.1),0),IF(+((W13-3)*1.5+(X13-3)*3.1)&gt;0,+((W13-3)*1.5+(X13-3)*3.1),0)))</f>
        <v>30</v>
      </c>
      <c r="AA13" s="70">
        <f t="shared" si="4"/>
        <v>30</v>
      </c>
      <c r="AB13" s="71">
        <f t="shared" si="15"/>
        <v>152.0461225</v>
      </c>
      <c r="AC13" s="71">
        <f>+(S13-T13)*V13-'data 1'!$F$4</f>
        <v>41.253</v>
      </c>
      <c r="AD13" s="71">
        <f t="shared" si="6"/>
        <v>17.35415454</v>
      </c>
      <c r="AE13" s="71">
        <f t="shared" si="7"/>
        <v>-36.931</v>
      </c>
      <c r="AF13" s="71">
        <f t="shared" si="8"/>
        <v>10.0217162</v>
      </c>
      <c r="AG13" s="72">
        <f t="shared" si="16"/>
        <v>48.69787075</v>
      </c>
      <c r="AH13" s="52">
        <f t="shared" si="9"/>
        <v>95.18560344</v>
      </c>
      <c r="AI13" s="73">
        <f t="shared" si="10"/>
        <v>13.17901643</v>
      </c>
      <c r="AJ13" s="73">
        <f t="shared" si="11"/>
        <v>87.51471701</v>
      </c>
      <c r="AK13" s="11"/>
      <c r="AL13" s="51">
        <f t="shared" si="12"/>
        <v>3539.474084</v>
      </c>
      <c r="AM13" s="3"/>
      <c r="AN13" s="3"/>
      <c r="AO13" s="58"/>
      <c r="AQ13" s="58"/>
    </row>
    <row r="14" ht="15.75" customHeight="1">
      <c r="A14" s="92" t="s">
        <v>4430</v>
      </c>
      <c r="B14" s="841">
        <v>45616.0</v>
      </c>
      <c r="C14" s="56">
        <v>45608.0</v>
      </c>
      <c r="D14" s="57" t="s">
        <v>3847</v>
      </c>
      <c r="E14" s="67">
        <v>2.0611424541E10</v>
      </c>
      <c r="G14" s="3" t="s">
        <v>4100</v>
      </c>
      <c r="H14" s="57" t="s">
        <v>47</v>
      </c>
      <c r="I14" s="58">
        <v>11.93</v>
      </c>
      <c r="J14" s="58">
        <v>3.45</v>
      </c>
      <c r="K14" s="59">
        <f t="shared" si="1"/>
        <v>11.518415</v>
      </c>
      <c r="L14" s="60">
        <v>0.392</v>
      </c>
      <c r="M14" s="60">
        <v>0.38</v>
      </c>
      <c r="N14" s="62">
        <v>0.38</v>
      </c>
      <c r="O14" s="60">
        <f t="shared" si="2"/>
        <v>0.38</v>
      </c>
      <c r="P14" s="63">
        <v>90.0</v>
      </c>
      <c r="Q14" s="64">
        <v>89.56</v>
      </c>
      <c r="R14" s="65">
        <v>2606.85</v>
      </c>
      <c r="S14" s="96">
        <f>-8+100</f>
        <v>92</v>
      </c>
      <c r="U14" s="67">
        <v>80.0</v>
      </c>
      <c r="V14" s="67">
        <v>1.1023</v>
      </c>
      <c r="Y14" s="67"/>
      <c r="Z14" s="77">
        <v>22.0</v>
      </c>
      <c r="AA14" s="70">
        <f t="shared" si="4"/>
        <v>22</v>
      </c>
      <c r="AB14" s="71">
        <f t="shared" si="15"/>
        <v>826.9263902</v>
      </c>
      <c r="AC14" s="71">
        <f>+(S14-T14)*V14-'data 1'!$F$4</f>
        <v>21.4116</v>
      </c>
      <c r="AD14" s="71">
        <f t="shared" si="6"/>
        <v>-4.804166083</v>
      </c>
      <c r="AE14" s="71">
        <f t="shared" si="7"/>
        <v>-45.7494</v>
      </c>
      <c r="AF14" s="71">
        <f t="shared" si="8"/>
        <v>29.93467865</v>
      </c>
      <c r="AG14" s="72">
        <f t="shared" ref="AG14:AG30" si="17">+IF(D14="RONALD WILLIAN GARIBAY ESCUDERO",AC14+AD14+AE14+AF14+70,AC14+AD14+AE14+AF14)+70+8</f>
        <v>78.79271256</v>
      </c>
      <c r="AH14" s="52">
        <f t="shared" si="9"/>
        <v>138.6442756</v>
      </c>
      <c r="AI14" s="73">
        <f t="shared" si="10"/>
        <v>41.85298937</v>
      </c>
      <c r="AJ14" s="73">
        <f t="shared" si="11"/>
        <v>135.0603582</v>
      </c>
      <c r="AK14" s="11"/>
      <c r="AL14" s="51">
        <f t="shared" si="12"/>
        <v>9524.881337</v>
      </c>
      <c r="AM14" s="3"/>
      <c r="AN14" s="3"/>
      <c r="AO14" s="58"/>
      <c r="AQ14" s="58"/>
    </row>
    <row r="15" ht="15.75" customHeight="1">
      <c r="A15" s="92" t="s">
        <v>4431</v>
      </c>
      <c r="B15" s="841">
        <v>45616.0</v>
      </c>
      <c r="C15" s="56">
        <v>45608.0</v>
      </c>
      <c r="D15" s="57" t="s">
        <v>3847</v>
      </c>
      <c r="E15" s="67">
        <v>2.0611424541E10</v>
      </c>
      <c r="G15" s="3" t="s">
        <v>4100</v>
      </c>
      <c r="H15" s="57" t="s">
        <v>47</v>
      </c>
      <c r="I15" s="58">
        <v>14.54</v>
      </c>
      <c r="J15" s="58">
        <v>2.0</v>
      </c>
      <c r="K15" s="59">
        <f t="shared" si="1"/>
        <v>14.2492</v>
      </c>
      <c r="L15" s="60">
        <v>0.258</v>
      </c>
      <c r="M15" s="60">
        <v>0.248</v>
      </c>
      <c r="N15" s="62">
        <v>0.248</v>
      </c>
      <c r="O15" s="60">
        <f t="shared" si="2"/>
        <v>0.248</v>
      </c>
      <c r="P15" s="63">
        <v>90.0</v>
      </c>
      <c r="Q15" s="64">
        <v>89.29</v>
      </c>
      <c r="R15" s="65">
        <v>2606.85</v>
      </c>
      <c r="S15" s="96">
        <f>-8+95</f>
        <v>87</v>
      </c>
      <c r="U15" s="67">
        <v>80.0</v>
      </c>
      <c r="V15" s="67">
        <v>1.1023</v>
      </c>
      <c r="Y15" s="67"/>
      <c r="Z15" s="77">
        <v>22.0</v>
      </c>
      <c r="AA15" s="70">
        <f t="shared" si="4"/>
        <v>22</v>
      </c>
      <c r="AB15" s="71">
        <f t="shared" si="15"/>
        <v>501.5386957</v>
      </c>
      <c r="AC15" s="71">
        <f>+(S15-T15)*V15-'data 1'!$F$4</f>
        <v>15.9001</v>
      </c>
      <c r="AD15" s="71">
        <f t="shared" si="6"/>
        <v>-5.102198186</v>
      </c>
      <c r="AE15" s="71">
        <f t="shared" si="7"/>
        <v>-45.7494</v>
      </c>
      <c r="AF15" s="71">
        <f t="shared" si="8"/>
        <v>24.87036118</v>
      </c>
      <c r="AG15" s="72">
        <f t="shared" si="17"/>
        <v>67.91886299</v>
      </c>
      <c r="AH15" s="52">
        <f t="shared" si="9"/>
        <v>112.543931</v>
      </c>
      <c r="AI15" s="73">
        <f t="shared" si="10"/>
        <v>27.46305585</v>
      </c>
      <c r="AJ15" s="73">
        <f t="shared" si="11"/>
        <v>109.0419832</v>
      </c>
      <c r="AK15" s="11"/>
      <c r="AL15" s="51">
        <f t="shared" si="12"/>
        <v>7146.525183</v>
      </c>
      <c r="AM15" s="3"/>
      <c r="AN15" s="3"/>
    </row>
    <row r="16" ht="15.75" customHeight="1">
      <c r="A16" s="92" t="s">
        <v>4432</v>
      </c>
      <c r="B16" s="841">
        <v>45616.0</v>
      </c>
      <c r="C16" s="56">
        <v>45608.0</v>
      </c>
      <c r="D16" s="57" t="s">
        <v>3847</v>
      </c>
      <c r="E16" s="67">
        <v>2.0611424541E10</v>
      </c>
      <c r="G16" s="3" t="s">
        <v>4100</v>
      </c>
      <c r="H16" s="57" t="s">
        <v>47</v>
      </c>
      <c r="I16" s="58">
        <v>10.87</v>
      </c>
      <c r="J16" s="58">
        <v>3.45</v>
      </c>
      <c r="K16" s="59">
        <f t="shared" si="1"/>
        <v>10.494985</v>
      </c>
      <c r="L16" s="60">
        <v>0.392</v>
      </c>
      <c r="M16" s="60">
        <v>0.38</v>
      </c>
      <c r="N16" s="62">
        <v>0.38</v>
      </c>
      <c r="O16" s="60">
        <f t="shared" si="2"/>
        <v>0.38</v>
      </c>
      <c r="P16" s="63">
        <v>90.0</v>
      </c>
      <c r="Q16" s="64">
        <v>89.56</v>
      </c>
      <c r="R16" s="65">
        <v>2606.85</v>
      </c>
      <c r="S16" s="96">
        <f t="shared" ref="S16:S18" si="18">-8+100</f>
        <v>92</v>
      </c>
      <c r="U16" s="67">
        <v>80.0</v>
      </c>
      <c r="V16" s="67">
        <v>1.1023</v>
      </c>
      <c r="Y16" s="67"/>
      <c r="Z16" s="77">
        <v>22.0</v>
      </c>
      <c r="AA16" s="70">
        <f t="shared" si="4"/>
        <v>22</v>
      </c>
      <c r="AB16" s="71">
        <f t="shared" si="15"/>
        <v>826.9263902</v>
      </c>
      <c r="AC16" s="71">
        <f>+(S16-T16)*V16-'data 1'!$F$4</f>
        <v>21.4116</v>
      </c>
      <c r="AD16" s="71">
        <f t="shared" si="6"/>
        <v>-4.804166083</v>
      </c>
      <c r="AE16" s="71">
        <f t="shared" si="7"/>
        <v>-45.7494</v>
      </c>
      <c r="AF16" s="71">
        <f t="shared" si="8"/>
        <v>29.93467865</v>
      </c>
      <c r="AG16" s="72">
        <f t="shared" si="17"/>
        <v>78.79271256</v>
      </c>
      <c r="AH16" s="52">
        <f t="shared" si="9"/>
        <v>126.3255051</v>
      </c>
      <c r="AI16" s="73">
        <f t="shared" si="10"/>
        <v>41.85298937</v>
      </c>
      <c r="AJ16" s="73">
        <f t="shared" si="11"/>
        <v>123.0600246</v>
      </c>
      <c r="AK16" s="11"/>
      <c r="AL16" s="51">
        <f t="shared" si="12"/>
        <v>8678.580061</v>
      </c>
      <c r="AM16" s="3"/>
      <c r="AN16" s="3"/>
    </row>
    <row r="17" ht="15.75" customHeight="1">
      <c r="A17" s="92" t="s">
        <v>4433</v>
      </c>
      <c r="B17" s="841">
        <v>45616.0</v>
      </c>
      <c r="C17" s="56">
        <v>45608.0</v>
      </c>
      <c r="D17" s="57" t="s">
        <v>3847</v>
      </c>
      <c r="E17" s="67">
        <v>2.0611424541E10</v>
      </c>
      <c r="G17" s="3" t="s">
        <v>4100</v>
      </c>
      <c r="H17" s="57" t="s">
        <v>47</v>
      </c>
      <c r="I17" s="58">
        <v>25.63</v>
      </c>
      <c r="J17" s="58">
        <v>2.0</v>
      </c>
      <c r="K17" s="59">
        <f t="shared" si="1"/>
        <v>25.1174</v>
      </c>
      <c r="L17" s="60">
        <v>0.403</v>
      </c>
      <c r="M17" s="60">
        <v>0.391</v>
      </c>
      <c r="N17" s="62">
        <v>0.391</v>
      </c>
      <c r="O17" s="60">
        <f t="shared" si="2"/>
        <v>0.391</v>
      </c>
      <c r="P17" s="63">
        <v>90.0</v>
      </c>
      <c r="Q17" s="64">
        <v>89.47</v>
      </c>
      <c r="R17" s="65">
        <v>2606.85</v>
      </c>
      <c r="S17" s="96">
        <f t="shared" si="18"/>
        <v>92</v>
      </c>
      <c r="U17" s="67">
        <v>80.0</v>
      </c>
      <c r="V17" s="67">
        <v>1.1023</v>
      </c>
      <c r="Y17" s="67"/>
      <c r="Z17" s="77">
        <v>22.0</v>
      </c>
      <c r="AA17" s="70">
        <f t="shared" si="4"/>
        <v>22</v>
      </c>
      <c r="AB17" s="71">
        <f t="shared" si="15"/>
        <v>854.5013231</v>
      </c>
      <c r="AC17" s="71">
        <f>+(S17-T17)*V17-'data 1'!$F$4</f>
        <v>21.4116</v>
      </c>
      <c r="AD17" s="71">
        <f t="shared" si="6"/>
        <v>-5.949222134</v>
      </c>
      <c r="AE17" s="71">
        <f t="shared" si="7"/>
        <v>-45.7494</v>
      </c>
      <c r="AF17" s="71">
        <f t="shared" si="8"/>
        <v>29.9045969</v>
      </c>
      <c r="AG17" s="72">
        <f t="shared" si="17"/>
        <v>77.61757477</v>
      </c>
      <c r="AH17" s="52">
        <f t="shared" si="9"/>
        <v>310.5033103</v>
      </c>
      <c r="AI17" s="73">
        <f t="shared" si="10"/>
        <v>42.98419667</v>
      </c>
      <c r="AJ17" s="73">
        <f t="shared" si="11"/>
        <v>303.0421357</v>
      </c>
      <c r="AK17" s="11"/>
      <c r="AL17" s="51">
        <f t="shared" si="12"/>
        <v>21462.85153</v>
      </c>
      <c r="AM17" s="3"/>
      <c r="AN17" s="3"/>
    </row>
    <row r="18" ht="15.75" customHeight="1">
      <c r="A18" s="92" t="s">
        <v>4434</v>
      </c>
      <c r="B18" s="841">
        <v>45616.0</v>
      </c>
      <c r="C18" s="56">
        <v>45608.0</v>
      </c>
      <c r="D18" s="57" t="s">
        <v>3847</v>
      </c>
      <c r="E18" s="67">
        <v>2.0611424541E10</v>
      </c>
      <c r="G18" s="3" t="s">
        <v>4100</v>
      </c>
      <c r="H18" s="57" t="s">
        <v>47</v>
      </c>
      <c r="I18" s="58">
        <v>24.65</v>
      </c>
      <c r="J18" s="58">
        <v>2.0</v>
      </c>
      <c r="K18" s="59">
        <f t="shared" si="1"/>
        <v>24.157</v>
      </c>
      <c r="L18" s="60">
        <v>0.325</v>
      </c>
      <c r="M18" s="60">
        <v>0.312</v>
      </c>
      <c r="N18" s="62">
        <v>0.312</v>
      </c>
      <c r="O18" s="60">
        <f t="shared" si="2"/>
        <v>0.312</v>
      </c>
      <c r="P18" s="63">
        <v>90.0</v>
      </c>
      <c r="Q18" s="64">
        <v>89.53</v>
      </c>
      <c r="R18" s="65">
        <v>2606.85</v>
      </c>
      <c r="S18" s="96">
        <f t="shared" si="18"/>
        <v>92</v>
      </c>
      <c r="U18" s="67">
        <v>80.0</v>
      </c>
      <c r="V18" s="67">
        <v>1.1023</v>
      </c>
      <c r="Y18" s="67"/>
      <c r="Z18" s="77">
        <v>22.0</v>
      </c>
      <c r="AA18" s="70">
        <f t="shared" si="4"/>
        <v>22</v>
      </c>
      <c r="AB18" s="71">
        <f t="shared" si="15"/>
        <v>656.4631688</v>
      </c>
      <c r="AC18" s="71">
        <f>+(S18-T18)*V18-'data 1'!$F$4</f>
        <v>21.4116</v>
      </c>
      <c r="AD18" s="71">
        <f t="shared" si="6"/>
        <v>-4.254617168</v>
      </c>
      <c r="AE18" s="71">
        <f t="shared" si="7"/>
        <v>-45.7494</v>
      </c>
      <c r="AF18" s="71">
        <f t="shared" si="8"/>
        <v>32.41837235</v>
      </c>
      <c r="AG18" s="72">
        <f t="shared" si="17"/>
        <v>81.82595518</v>
      </c>
      <c r="AH18" s="52">
        <f t="shared" si="9"/>
        <v>240.9927703</v>
      </c>
      <c r="AI18" s="73">
        <f t="shared" si="10"/>
        <v>34.68792142</v>
      </c>
      <c r="AJ18" s="73">
        <f t="shared" si="11"/>
        <v>232.567579</v>
      </c>
      <c r="AK18" s="11"/>
      <c r="AL18" s="51">
        <f t="shared" si="12"/>
        <v>15858.18077</v>
      </c>
      <c r="AM18" s="3"/>
      <c r="AN18" s="3"/>
    </row>
    <row r="19" ht="15.75" customHeight="1">
      <c r="A19" s="92" t="s">
        <v>4435</v>
      </c>
      <c r="B19" s="841">
        <v>45616.0</v>
      </c>
      <c r="C19" s="56">
        <v>45608.0</v>
      </c>
      <c r="D19" s="57" t="s">
        <v>3847</v>
      </c>
      <c r="E19" s="67">
        <v>2.0611424541E10</v>
      </c>
      <c r="G19" s="3" t="s">
        <v>4100</v>
      </c>
      <c r="H19" s="57" t="s">
        <v>47</v>
      </c>
      <c r="I19" s="58">
        <v>25.86</v>
      </c>
      <c r="J19" s="58">
        <v>2.5</v>
      </c>
      <c r="K19" s="59">
        <f t="shared" si="1"/>
        <v>25.2135</v>
      </c>
      <c r="L19" s="60">
        <v>0.26</v>
      </c>
      <c r="M19" s="60">
        <v>0.25</v>
      </c>
      <c r="N19" s="62">
        <v>0.25</v>
      </c>
      <c r="O19" s="60">
        <f t="shared" si="2"/>
        <v>0.25</v>
      </c>
      <c r="P19" s="63">
        <v>90.0</v>
      </c>
      <c r="Q19" s="64">
        <v>89.28</v>
      </c>
      <c r="R19" s="65">
        <v>2606.85</v>
      </c>
      <c r="S19" s="96">
        <f>-8+95</f>
        <v>87</v>
      </c>
      <c r="U19" s="67">
        <v>80.0</v>
      </c>
      <c r="V19" s="67">
        <v>1.1023</v>
      </c>
      <c r="Y19" s="67"/>
      <c r="Z19" s="77">
        <v>22.0</v>
      </c>
      <c r="AA19" s="70">
        <f t="shared" si="4"/>
        <v>22</v>
      </c>
      <c r="AB19" s="71">
        <f t="shared" si="15"/>
        <v>506.5523199</v>
      </c>
      <c r="AC19" s="71">
        <f>+(S19-T19)*V19-'data 1'!$F$4</f>
        <v>15.9001</v>
      </c>
      <c r="AD19" s="71">
        <f t="shared" si="6"/>
        <v>-5.214169125</v>
      </c>
      <c r="AE19" s="71">
        <f t="shared" si="7"/>
        <v>-45.7494</v>
      </c>
      <c r="AF19" s="71">
        <f t="shared" si="8"/>
        <v>24.86757583</v>
      </c>
      <c r="AG19" s="72">
        <f t="shared" si="17"/>
        <v>67.8041067</v>
      </c>
      <c r="AH19" s="52">
        <f t="shared" si="9"/>
        <v>200.6641247</v>
      </c>
      <c r="AI19" s="73">
        <f t="shared" si="10"/>
        <v>27.6728482</v>
      </c>
      <c r="AJ19" s="73">
        <f t="shared" si="11"/>
        <v>194.5022921</v>
      </c>
      <c r="AK19" s="11"/>
      <c r="AL19" s="51">
        <f t="shared" si="12"/>
        <v>12771.95692</v>
      </c>
      <c r="AM19" s="3"/>
      <c r="AN19" s="3"/>
    </row>
    <row r="20" ht="15.75" customHeight="1">
      <c r="A20" s="92" t="s">
        <v>4436</v>
      </c>
      <c r="B20" s="841">
        <v>45616.0</v>
      </c>
      <c r="C20" s="56">
        <v>45608.0</v>
      </c>
      <c r="D20" s="57" t="s">
        <v>3847</v>
      </c>
      <c r="E20" s="67">
        <v>2.0611424541E10</v>
      </c>
      <c r="G20" s="3" t="s">
        <v>4100</v>
      </c>
      <c r="H20" s="57" t="s">
        <v>47</v>
      </c>
      <c r="I20" s="58">
        <v>19.57</v>
      </c>
      <c r="J20" s="58">
        <v>2.6</v>
      </c>
      <c r="K20" s="59">
        <f t="shared" si="1"/>
        <v>19.06118</v>
      </c>
      <c r="L20" s="60">
        <v>0.371</v>
      </c>
      <c r="M20" s="60">
        <v>0.356</v>
      </c>
      <c r="N20" s="62">
        <v>0.356</v>
      </c>
      <c r="O20" s="60">
        <f t="shared" si="2"/>
        <v>0.356</v>
      </c>
      <c r="P20" s="63">
        <v>90.0</v>
      </c>
      <c r="Q20" s="64">
        <v>89.93</v>
      </c>
      <c r="R20" s="65">
        <v>2606.85</v>
      </c>
      <c r="S20" s="96">
        <f>-8+100</f>
        <v>92</v>
      </c>
      <c r="U20" s="67">
        <v>80.0</v>
      </c>
      <c r="V20" s="67">
        <v>1.1023</v>
      </c>
      <c r="Y20" s="67"/>
      <c r="Z20" s="77">
        <v>22.0</v>
      </c>
      <c r="AA20" s="70">
        <f t="shared" si="4"/>
        <v>22</v>
      </c>
      <c r="AB20" s="71">
        <f t="shared" si="15"/>
        <v>766.7629003</v>
      </c>
      <c r="AC20" s="71">
        <f>+(S20-T20)*V20-'data 1'!$F$4</f>
        <v>21.4116</v>
      </c>
      <c r="AD20" s="71">
        <f t="shared" si="6"/>
        <v>-0.7233545523</v>
      </c>
      <c r="AE20" s="71">
        <f t="shared" si="7"/>
        <v>-45.7494</v>
      </c>
      <c r="AF20" s="71">
        <f t="shared" si="8"/>
        <v>37.57293505</v>
      </c>
      <c r="AG20" s="72">
        <f t="shared" si="17"/>
        <v>90.5117805</v>
      </c>
      <c r="AH20" s="52">
        <f t="shared" si="9"/>
        <v>218.0405932</v>
      </c>
      <c r="AI20" s="73">
        <f t="shared" si="10"/>
        <v>39.77450965</v>
      </c>
      <c r="AJ20" s="73">
        <f t="shared" si="11"/>
        <v>209.3877929</v>
      </c>
      <c r="AK20" s="11"/>
      <c r="AL20" s="51">
        <f t="shared" si="12"/>
        <v>14615.40566</v>
      </c>
      <c r="AM20" s="3"/>
      <c r="AN20" s="3"/>
    </row>
    <row r="21" ht="15.75" customHeight="1">
      <c r="A21" s="92" t="s">
        <v>4437</v>
      </c>
      <c r="B21" s="841">
        <v>45616.0</v>
      </c>
      <c r="C21" s="56">
        <v>45608.0</v>
      </c>
      <c r="D21" s="57" t="s">
        <v>3847</v>
      </c>
      <c r="E21" s="67">
        <v>2.0611424541E10</v>
      </c>
      <c r="G21" s="3" t="s">
        <v>4100</v>
      </c>
      <c r="H21" s="57" t="s">
        <v>47</v>
      </c>
      <c r="I21" s="58">
        <v>16.4</v>
      </c>
      <c r="J21" s="58">
        <v>1.1</v>
      </c>
      <c r="K21" s="59">
        <f t="shared" si="1"/>
        <v>16.2196</v>
      </c>
      <c r="L21" s="60">
        <v>0.443</v>
      </c>
      <c r="M21" s="60">
        <v>0.425</v>
      </c>
      <c r="N21" s="62">
        <v>0.425</v>
      </c>
      <c r="O21" s="60">
        <f t="shared" si="2"/>
        <v>0.425</v>
      </c>
      <c r="P21" s="63">
        <v>90.0</v>
      </c>
      <c r="Q21" s="64">
        <v>89.8</v>
      </c>
      <c r="R21" s="65">
        <v>2606.85</v>
      </c>
      <c r="S21" s="96">
        <f>-8+110</f>
        <v>102</v>
      </c>
      <c r="U21" s="67">
        <v>80.0</v>
      </c>
      <c r="V21" s="67">
        <v>1.1023</v>
      </c>
      <c r="Y21" s="67"/>
      <c r="Z21" s="77">
        <v>22.0</v>
      </c>
      <c r="AA21" s="70">
        <f t="shared" si="4"/>
        <v>22</v>
      </c>
      <c r="AB21" s="71">
        <f t="shared" si="15"/>
        <v>928.7099338</v>
      </c>
      <c r="AC21" s="71">
        <f>+(S21-T21)*V21-'data 1'!$F$4</f>
        <v>32.4346</v>
      </c>
      <c r="AD21" s="71">
        <f t="shared" si="6"/>
        <v>-2.467817225</v>
      </c>
      <c r="AE21" s="71">
        <f t="shared" si="7"/>
        <v>-45.7494</v>
      </c>
      <c r="AF21" s="71">
        <f t="shared" si="8"/>
        <v>45.02234495</v>
      </c>
      <c r="AG21" s="72">
        <f t="shared" si="17"/>
        <v>107.2397277</v>
      </c>
      <c r="AH21" s="52">
        <f t="shared" si="9"/>
        <v>221.2224877</v>
      </c>
      <c r="AI21" s="73">
        <f t="shared" si="10"/>
        <v>47.42489675</v>
      </c>
      <c r="AJ21" s="73">
        <f t="shared" si="11"/>
        <v>212.7064446</v>
      </c>
      <c r="AK21" s="11"/>
      <c r="AL21" s="51">
        <f t="shared" si="12"/>
        <v>15063.30364</v>
      </c>
      <c r="AM21" s="3"/>
      <c r="AN21" s="3"/>
    </row>
    <row r="22" ht="15.75" customHeight="1">
      <c r="A22" s="92" t="s">
        <v>4438</v>
      </c>
      <c r="B22" s="841">
        <v>45616.0</v>
      </c>
      <c r="C22" s="56">
        <v>45608.0</v>
      </c>
      <c r="D22" s="57" t="s">
        <v>3847</v>
      </c>
      <c r="E22" s="67">
        <v>2.0611424541E10</v>
      </c>
      <c r="G22" s="3" t="s">
        <v>4100</v>
      </c>
      <c r="H22" s="57" t="s">
        <v>47</v>
      </c>
      <c r="I22" s="58">
        <v>17.08</v>
      </c>
      <c r="J22" s="58">
        <v>2.9</v>
      </c>
      <c r="K22" s="59">
        <f t="shared" si="1"/>
        <v>16.58468</v>
      </c>
      <c r="L22" s="60">
        <v>0.363</v>
      </c>
      <c r="M22" s="60">
        <v>0.348</v>
      </c>
      <c r="N22" s="62">
        <v>0.348</v>
      </c>
      <c r="O22" s="60">
        <f t="shared" si="2"/>
        <v>0.348</v>
      </c>
      <c r="P22" s="63">
        <v>90.0</v>
      </c>
      <c r="Q22" s="64">
        <v>89.52</v>
      </c>
      <c r="R22" s="65">
        <v>2606.85</v>
      </c>
      <c r="S22" s="96">
        <f>-8+100</f>
        <v>92</v>
      </c>
      <c r="U22" s="67">
        <v>80.0</v>
      </c>
      <c r="V22" s="67">
        <v>1.1023</v>
      </c>
      <c r="Y22" s="67"/>
      <c r="Z22" s="77">
        <v>22.0</v>
      </c>
      <c r="AA22" s="70">
        <f t="shared" si="4"/>
        <v>22</v>
      </c>
      <c r="AB22" s="71">
        <f t="shared" si="15"/>
        <v>746.7084037</v>
      </c>
      <c r="AC22" s="71">
        <f>+(S22-T22)*V22-'data 1'!$F$4</f>
        <v>21.4116</v>
      </c>
      <c r="AD22" s="71">
        <f t="shared" si="6"/>
        <v>-4.853188186</v>
      </c>
      <c r="AE22" s="71">
        <f t="shared" si="7"/>
        <v>-45.7494</v>
      </c>
      <c r="AF22" s="71">
        <f t="shared" si="8"/>
        <v>37.40163623</v>
      </c>
      <c r="AG22" s="72">
        <f t="shared" si="17"/>
        <v>86.21064804</v>
      </c>
      <c r="AH22" s="52">
        <f t="shared" si="9"/>
        <v>184.7748524</v>
      </c>
      <c r="AI22" s="73">
        <f t="shared" si="10"/>
        <v>38.73941246</v>
      </c>
      <c r="AJ22" s="73">
        <f t="shared" si="11"/>
        <v>178.0893377</v>
      </c>
      <c r="AK22" s="11"/>
      <c r="AL22" s="51">
        <f t="shared" si="12"/>
        <v>12383.91993</v>
      </c>
      <c r="AM22" s="3"/>
      <c r="AN22" s="3"/>
    </row>
    <row r="23" ht="15.75" customHeight="1">
      <c r="A23" s="92" t="s">
        <v>4439</v>
      </c>
      <c r="B23" s="841">
        <v>45641.0</v>
      </c>
      <c r="C23" s="56">
        <v>45608.0</v>
      </c>
      <c r="D23" s="57" t="s">
        <v>4420</v>
      </c>
      <c r="E23" s="2">
        <v>2.060609401E10</v>
      </c>
      <c r="G23" s="3">
        <v>55.0</v>
      </c>
      <c r="H23" s="57" t="s">
        <v>47</v>
      </c>
      <c r="I23" s="58">
        <v>4.43</v>
      </c>
      <c r="J23" s="58">
        <v>1.1</v>
      </c>
      <c r="K23" s="59">
        <f t="shared" si="1"/>
        <v>4.38127</v>
      </c>
      <c r="L23" s="60">
        <v>0.525</v>
      </c>
      <c r="M23" s="60">
        <v>0.504</v>
      </c>
      <c r="N23" s="62">
        <v>0.504</v>
      </c>
      <c r="O23" s="60">
        <f t="shared" si="2"/>
        <v>0.504</v>
      </c>
      <c r="P23" s="63">
        <v>90.0</v>
      </c>
      <c r="Q23" s="64">
        <v>89.4</v>
      </c>
      <c r="R23" s="65">
        <v>2606.85</v>
      </c>
      <c r="S23" s="86">
        <f>130</f>
        <v>130</v>
      </c>
      <c r="U23" s="67">
        <v>100.0</v>
      </c>
      <c r="V23" s="67">
        <v>1.1023</v>
      </c>
      <c r="Y23" s="68">
        <v>10.0</v>
      </c>
      <c r="Z23" s="69">
        <f>IF(IF(D23="UNTUCA",IF(+((W23-3)*1.5+(X23-3)*3.1)&gt;0,+((W23-3)*1.5+(X23-3)*3.1),0),IF(+((W23-3)*1.5+(X23-3)*3.1)&gt;0,+((W23-3)*1.5+(X23-3)*3.1),0))&lt;30,30,IF(D23="UNTUCA",IF(+((W23-3)*1.5+(X23-3)*3.1)&gt;0,+((W23-3)*1.5+(X23-3)*3.1),0),IF(+((W23-3)*1.5+(X23-3)*3.1)&gt;0,+((W23-3)*1.5+(X23-3)*3.1),0)))</f>
        <v>30</v>
      </c>
      <c r="AA23" s="70">
        <f t="shared" si="4"/>
        <v>40</v>
      </c>
      <c r="AB23" s="71">
        <f t="shared" si="15"/>
        <v>1066.042222</v>
      </c>
      <c r="AC23" s="71">
        <f>+(S23-T23)*V23-'data 1'!$F$4</f>
        <v>63.299</v>
      </c>
      <c r="AD23" s="71">
        <f t="shared" si="6"/>
        <v>-8.704397378</v>
      </c>
      <c r="AE23" s="71">
        <f t="shared" si="7"/>
        <v>-25.908</v>
      </c>
      <c r="AF23" s="71">
        <f t="shared" si="8"/>
        <v>51.87820837</v>
      </c>
      <c r="AG23" s="72">
        <f t="shared" si="17"/>
        <v>158.564811</v>
      </c>
      <c r="AH23" s="52">
        <f t="shared" si="9"/>
        <v>70.50272599</v>
      </c>
      <c r="AI23" s="73">
        <f t="shared" si="10"/>
        <v>66.30026132</v>
      </c>
      <c r="AJ23" s="73">
        <f t="shared" si="11"/>
        <v>68.1368627</v>
      </c>
      <c r="AK23" s="11"/>
      <c r="AL23" s="51">
        <f t="shared" si="12"/>
        <v>4670.618808</v>
      </c>
      <c r="AM23" s="3"/>
      <c r="AN23" s="3"/>
    </row>
    <row r="24" ht="15.75" customHeight="1">
      <c r="A24" s="92" t="s">
        <v>4440</v>
      </c>
      <c r="B24" s="841">
        <v>45616.0</v>
      </c>
      <c r="C24" s="56">
        <v>45608.0</v>
      </c>
      <c r="D24" s="57" t="s">
        <v>3847</v>
      </c>
      <c r="E24" s="67">
        <v>2.0611424541E10</v>
      </c>
      <c r="G24" s="3" t="s">
        <v>4100</v>
      </c>
      <c r="H24" s="57" t="s">
        <v>47</v>
      </c>
      <c r="I24" s="58">
        <v>19.28</v>
      </c>
      <c r="J24" s="58">
        <v>3.4</v>
      </c>
      <c r="K24" s="59">
        <f t="shared" si="1"/>
        <v>18.62448</v>
      </c>
      <c r="L24" s="60">
        <v>0.359</v>
      </c>
      <c r="M24" s="60">
        <v>0.345</v>
      </c>
      <c r="N24" s="62">
        <v>0.345</v>
      </c>
      <c r="O24" s="60">
        <f t="shared" si="2"/>
        <v>0.345</v>
      </c>
      <c r="P24" s="63">
        <v>90.0</v>
      </c>
      <c r="Q24" s="64">
        <v>89.48</v>
      </c>
      <c r="R24" s="65">
        <v>2606.85</v>
      </c>
      <c r="S24" s="96">
        <f t="shared" ref="S24:S25" si="19">-8+100</f>
        <v>92</v>
      </c>
      <c r="U24" s="67">
        <v>80.0</v>
      </c>
      <c r="V24" s="67">
        <v>1.1023</v>
      </c>
      <c r="Y24" s="67"/>
      <c r="Z24" s="77">
        <v>22.0</v>
      </c>
      <c r="AA24" s="70">
        <f t="shared" si="4"/>
        <v>22</v>
      </c>
      <c r="AB24" s="71">
        <f t="shared" si="15"/>
        <v>739.1879674</v>
      </c>
      <c r="AC24" s="71">
        <f>+(S24-T24)*V24-'data 1'!$F$4</f>
        <v>21.4116</v>
      </c>
      <c r="AD24" s="71">
        <f t="shared" si="6"/>
        <v>-5.199685322</v>
      </c>
      <c r="AE24" s="71">
        <f t="shared" si="7"/>
        <v>-45.7494</v>
      </c>
      <c r="AF24" s="71">
        <f t="shared" si="8"/>
        <v>34.89259587</v>
      </c>
      <c r="AG24" s="72">
        <f t="shared" si="17"/>
        <v>83.35511055</v>
      </c>
      <c r="AH24" s="52">
        <f t="shared" si="9"/>
        <v>205.1226645</v>
      </c>
      <c r="AI24" s="73">
        <f t="shared" si="10"/>
        <v>38.29541279</v>
      </c>
      <c r="AJ24" s="73">
        <f t="shared" si="11"/>
        <v>198.2690062</v>
      </c>
      <c r="AK24" s="11"/>
      <c r="AL24" s="51">
        <f t="shared" si="12"/>
        <v>13766.99152</v>
      </c>
      <c r="AM24" s="3"/>
      <c r="AN24" s="3"/>
    </row>
    <row r="25" ht="15.75" customHeight="1">
      <c r="A25" s="92" t="s">
        <v>4441</v>
      </c>
      <c r="B25" s="841">
        <v>45616.0</v>
      </c>
      <c r="C25" s="56">
        <v>45608.0</v>
      </c>
      <c r="D25" s="57" t="s">
        <v>3847</v>
      </c>
      <c r="E25" s="67">
        <v>2.0611424541E10</v>
      </c>
      <c r="G25" s="3" t="s">
        <v>4100</v>
      </c>
      <c r="H25" s="57" t="s">
        <v>47</v>
      </c>
      <c r="I25" s="58">
        <v>20.5</v>
      </c>
      <c r="J25" s="58">
        <v>3.6</v>
      </c>
      <c r="K25" s="59">
        <f t="shared" si="1"/>
        <v>19.762</v>
      </c>
      <c r="L25" s="60">
        <v>0.364</v>
      </c>
      <c r="M25" s="60">
        <v>0.349</v>
      </c>
      <c r="N25" s="62">
        <v>0.349</v>
      </c>
      <c r="O25" s="60">
        <f t="shared" si="2"/>
        <v>0.349</v>
      </c>
      <c r="P25" s="63">
        <v>90.0</v>
      </c>
      <c r="Q25" s="64">
        <v>89.36</v>
      </c>
      <c r="R25" s="65">
        <v>2606.85</v>
      </c>
      <c r="S25" s="96">
        <f t="shared" si="19"/>
        <v>92</v>
      </c>
      <c r="U25" s="67">
        <v>80.0</v>
      </c>
      <c r="V25" s="67">
        <v>1.1023</v>
      </c>
      <c r="Y25" s="67"/>
      <c r="Z25" s="77">
        <v>22.0</v>
      </c>
      <c r="AA25" s="70">
        <f t="shared" si="4"/>
        <v>22</v>
      </c>
      <c r="AB25" s="71">
        <f t="shared" si="15"/>
        <v>749.2152157</v>
      </c>
      <c r="AC25" s="71">
        <f>+(S25-T25)*V25-'data 1'!$F$4</f>
        <v>21.4116</v>
      </c>
      <c r="AD25" s="71">
        <f t="shared" si="6"/>
        <v>-6.4887438</v>
      </c>
      <c r="AE25" s="71">
        <f t="shared" si="7"/>
        <v>-45.7494</v>
      </c>
      <c r="AF25" s="71">
        <f t="shared" si="8"/>
        <v>37.3347879</v>
      </c>
      <c r="AG25" s="72">
        <f t="shared" si="17"/>
        <v>84.5082441</v>
      </c>
      <c r="AH25" s="52">
        <f t="shared" si="9"/>
        <v>220.3862565</v>
      </c>
      <c r="AI25" s="73">
        <f t="shared" si="10"/>
        <v>38.77670252</v>
      </c>
      <c r="AJ25" s="73">
        <f t="shared" si="11"/>
        <v>212.8177761</v>
      </c>
      <c r="AK25" s="11"/>
      <c r="AL25" s="51">
        <f t="shared" si="12"/>
        <v>14805.99109</v>
      </c>
      <c r="AM25" s="3"/>
      <c r="AN25" s="3"/>
    </row>
    <row r="26" ht="15.75" customHeight="1">
      <c r="A26" s="92" t="s">
        <v>4442</v>
      </c>
      <c r="B26" s="841">
        <v>45616.0</v>
      </c>
      <c r="C26" s="56">
        <v>45608.0</v>
      </c>
      <c r="D26" s="57" t="s">
        <v>3847</v>
      </c>
      <c r="E26" s="67">
        <v>2.0611424541E10</v>
      </c>
      <c r="G26" s="3" t="s">
        <v>4100</v>
      </c>
      <c r="H26" s="57" t="s">
        <v>47</v>
      </c>
      <c r="I26" s="58">
        <v>34.86</v>
      </c>
      <c r="J26" s="58">
        <v>2.9</v>
      </c>
      <c r="K26" s="59">
        <f t="shared" si="1"/>
        <v>33.84906</v>
      </c>
      <c r="L26" s="60">
        <v>0.441</v>
      </c>
      <c r="M26" s="60">
        <v>0.423</v>
      </c>
      <c r="N26" s="62">
        <v>0.475</v>
      </c>
      <c r="O26" s="60">
        <f t="shared" si="2"/>
        <v>0.449</v>
      </c>
      <c r="P26" s="63">
        <v>90.0</v>
      </c>
      <c r="Q26" s="64">
        <v>89.17</v>
      </c>
      <c r="R26" s="65">
        <v>2606.85</v>
      </c>
      <c r="S26" s="96">
        <f>-8+110</f>
        <v>102</v>
      </c>
      <c r="U26" s="67">
        <v>80.0</v>
      </c>
      <c r="V26" s="67">
        <v>1.1023</v>
      </c>
      <c r="Y26" s="67"/>
      <c r="Z26" s="77">
        <v>22.0</v>
      </c>
      <c r="AA26" s="70">
        <f t="shared" si="4"/>
        <v>22</v>
      </c>
      <c r="AB26" s="71">
        <f t="shared" si="15"/>
        <v>988.8734237</v>
      </c>
      <c r="AC26" s="71">
        <f>+(S26-T26)*V26-'data 1'!$F$4</f>
        <v>32.4346</v>
      </c>
      <c r="AD26" s="71">
        <f t="shared" si="6"/>
        <v>-10.19520473</v>
      </c>
      <c r="AE26" s="71">
        <f t="shared" si="7"/>
        <v>-45.7494</v>
      </c>
      <c r="AF26" s="71">
        <f t="shared" si="8"/>
        <v>-19.86954961</v>
      </c>
      <c r="AG26" s="72">
        <f t="shared" si="17"/>
        <v>34.62044566</v>
      </c>
      <c r="AH26" s="52">
        <f t="shared" si="9"/>
        <v>456.3657444</v>
      </c>
      <c r="AI26" s="73">
        <f t="shared" si="10"/>
        <v>46.87957732</v>
      </c>
      <c r="AJ26" s="73">
        <f t="shared" si="11"/>
        <v>468.9694283</v>
      </c>
      <c r="AK26" s="11"/>
      <c r="AL26" s="51">
        <f t="shared" si="12"/>
        <v>33472.43585</v>
      </c>
      <c r="AM26" s="3"/>
      <c r="AN26" s="3"/>
    </row>
    <row r="27" ht="15.75" customHeight="1">
      <c r="A27" s="92" t="s">
        <v>4443</v>
      </c>
      <c r="B27" s="841">
        <v>45616.0</v>
      </c>
      <c r="C27" s="56">
        <v>45608.0</v>
      </c>
      <c r="D27" s="57" t="s">
        <v>3847</v>
      </c>
      <c r="E27" s="67">
        <v>2.0611424541E10</v>
      </c>
      <c r="G27" s="3" t="s">
        <v>4100</v>
      </c>
      <c r="H27" s="57" t="s">
        <v>47</v>
      </c>
      <c r="I27" s="58">
        <v>12.69</v>
      </c>
      <c r="J27" s="58">
        <v>2.5</v>
      </c>
      <c r="K27" s="59">
        <f t="shared" si="1"/>
        <v>12.37275</v>
      </c>
      <c r="L27" s="60">
        <v>0.261</v>
      </c>
      <c r="M27" s="60">
        <v>0.25</v>
      </c>
      <c r="N27" s="62">
        <v>0.25</v>
      </c>
      <c r="O27" s="60">
        <f t="shared" si="2"/>
        <v>0.25</v>
      </c>
      <c r="P27" s="63">
        <v>90.0</v>
      </c>
      <c r="Q27" s="64">
        <v>89.35</v>
      </c>
      <c r="R27" s="65">
        <v>2606.85</v>
      </c>
      <c r="S27" s="96">
        <f t="shared" ref="S27:S29" si="20">-8+95</f>
        <v>87</v>
      </c>
      <c r="U27" s="67">
        <v>80.0</v>
      </c>
      <c r="V27" s="67">
        <v>1.1023</v>
      </c>
      <c r="Y27" s="67"/>
      <c r="Z27" s="77">
        <v>22.0</v>
      </c>
      <c r="AA27" s="70">
        <f t="shared" si="4"/>
        <v>22</v>
      </c>
      <c r="AB27" s="71">
        <f t="shared" si="15"/>
        <v>506.5523199</v>
      </c>
      <c r="AC27" s="71">
        <f>+(S27-T27)*V27-'data 1'!$F$4</f>
        <v>15.9001</v>
      </c>
      <c r="AD27" s="71">
        <f t="shared" si="6"/>
        <v>-4.72534077</v>
      </c>
      <c r="AE27" s="71">
        <f t="shared" si="7"/>
        <v>-45.7494</v>
      </c>
      <c r="AF27" s="71">
        <f t="shared" si="8"/>
        <v>27.37578058</v>
      </c>
      <c r="AG27" s="72">
        <f t="shared" si="17"/>
        <v>70.80113981</v>
      </c>
      <c r="AH27" s="52">
        <f t="shared" si="9"/>
        <v>98.92598228</v>
      </c>
      <c r="AI27" s="73">
        <f t="shared" si="10"/>
        <v>27.80106258</v>
      </c>
      <c r="AJ27" s="73">
        <f t="shared" si="11"/>
        <v>95.44602037</v>
      </c>
      <c r="AK27" s="11"/>
      <c r="AL27" s="51">
        <f t="shared" si="12"/>
        <v>6267.445216</v>
      </c>
      <c r="AM27" s="3"/>
      <c r="AN27" s="3"/>
    </row>
    <row r="28" ht="15.75" customHeight="1">
      <c r="A28" s="92" t="s">
        <v>4444</v>
      </c>
      <c r="B28" s="841">
        <v>45616.0</v>
      </c>
      <c r="C28" s="56">
        <v>45608.0</v>
      </c>
      <c r="D28" s="57" t="s">
        <v>3847</v>
      </c>
      <c r="E28" s="67">
        <v>2.0611424541E10</v>
      </c>
      <c r="G28" s="3" t="s">
        <v>4100</v>
      </c>
      <c r="H28" s="57" t="s">
        <v>47</v>
      </c>
      <c r="I28" s="58">
        <v>15.38</v>
      </c>
      <c r="J28" s="58">
        <v>2.2</v>
      </c>
      <c r="K28" s="59">
        <f t="shared" si="1"/>
        <v>15.04164</v>
      </c>
      <c r="L28" s="60">
        <v>0.294</v>
      </c>
      <c r="M28" s="60">
        <v>0.285</v>
      </c>
      <c r="N28" s="62">
        <v>0.285</v>
      </c>
      <c r="O28" s="60">
        <f t="shared" si="2"/>
        <v>0.285</v>
      </c>
      <c r="P28" s="63">
        <v>90.0</v>
      </c>
      <c r="Q28" s="64">
        <v>89.6</v>
      </c>
      <c r="R28" s="65">
        <v>2606.85</v>
      </c>
      <c r="S28" s="96">
        <f t="shared" si="20"/>
        <v>87</v>
      </c>
      <c r="U28" s="67">
        <v>80.0</v>
      </c>
      <c r="V28" s="67">
        <v>1.1023</v>
      </c>
      <c r="Y28" s="67"/>
      <c r="Z28" s="77">
        <v>22.0</v>
      </c>
      <c r="AA28" s="70">
        <f t="shared" si="4"/>
        <v>22</v>
      </c>
      <c r="AB28" s="71">
        <f t="shared" si="15"/>
        <v>594.2907427</v>
      </c>
      <c r="AC28" s="71">
        <f>+(S28-T28)*V28-'data 1'!$F$4</f>
        <v>15.9001</v>
      </c>
      <c r="AD28" s="71">
        <f t="shared" si="6"/>
        <v>-3.275567784</v>
      </c>
      <c r="AE28" s="71">
        <f t="shared" si="7"/>
        <v>-45.7494</v>
      </c>
      <c r="AF28" s="71">
        <f t="shared" si="8"/>
        <v>22.46103623</v>
      </c>
      <c r="AG28" s="72">
        <f t="shared" si="17"/>
        <v>67.33616845</v>
      </c>
      <c r="AH28" s="52">
        <f t="shared" si="9"/>
        <v>135.8499865</v>
      </c>
      <c r="AI28" s="73">
        <f t="shared" si="10"/>
        <v>31.40376156</v>
      </c>
      <c r="AJ28" s="73">
        <f t="shared" si="11"/>
        <v>132.2792211</v>
      </c>
      <c r="AK28" s="11"/>
      <c r="AL28" s="51">
        <f t="shared" si="12"/>
        <v>8939.107406</v>
      </c>
      <c r="AM28" s="3"/>
      <c r="AN28" s="3"/>
    </row>
    <row r="29" ht="15.75" customHeight="1">
      <c r="A29" s="92" t="s">
        <v>4445</v>
      </c>
      <c r="B29" s="841">
        <v>45616.0</v>
      </c>
      <c r="C29" s="56">
        <v>45608.0</v>
      </c>
      <c r="D29" s="57" t="s">
        <v>3847</v>
      </c>
      <c r="E29" s="67">
        <v>2.0611424541E10</v>
      </c>
      <c r="G29" s="3" t="s">
        <v>4100</v>
      </c>
      <c r="H29" s="57" t="s">
        <v>47</v>
      </c>
      <c r="I29" s="58">
        <v>23.34</v>
      </c>
      <c r="J29" s="58">
        <v>2.15</v>
      </c>
      <c r="K29" s="59">
        <f t="shared" si="1"/>
        <v>22.83819</v>
      </c>
      <c r="L29" s="60">
        <v>0.265</v>
      </c>
      <c r="M29" s="60">
        <v>0.254</v>
      </c>
      <c r="N29" s="62">
        <v>0.254</v>
      </c>
      <c r="O29" s="60">
        <f t="shared" si="2"/>
        <v>0.254</v>
      </c>
      <c r="P29" s="63">
        <v>90.0</v>
      </c>
      <c r="Q29" s="64">
        <v>89.47</v>
      </c>
      <c r="R29" s="65">
        <v>2606.85</v>
      </c>
      <c r="S29" s="96">
        <f t="shared" si="20"/>
        <v>87</v>
      </c>
      <c r="U29" s="67">
        <v>80.0</v>
      </c>
      <c r="V29" s="67">
        <v>1.1023</v>
      </c>
      <c r="Y29" s="67"/>
      <c r="Z29" s="77">
        <v>22.0</v>
      </c>
      <c r="AA29" s="70">
        <f t="shared" si="4"/>
        <v>22</v>
      </c>
      <c r="AB29" s="71">
        <f t="shared" si="15"/>
        <v>516.5795682</v>
      </c>
      <c r="AC29" s="71">
        <f>+(S29-T29)*V29-'data 1'!$F$4</f>
        <v>15.9001</v>
      </c>
      <c r="AD29" s="71">
        <f t="shared" si="6"/>
        <v>-3.912019517</v>
      </c>
      <c r="AE29" s="71">
        <f t="shared" si="7"/>
        <v>-45.7494</v>
      </c>
      <c r="AF29" s="71">
        <f t="shared" si="8"/>
        <v>27.41254716</v>
      </c>
      <c r="AG29" s="72">
        <f t="shared" si="17"/>
        <v>71.65122764</v>
      </c>
      <c r="AH29" s="52">
        <f t="shared" si="9"/>
        <v>185.649619</v>
      </c>
      <c r="AI29" s="73">
        <f t="shared" si="10"/>
        <v>28.26504248</v>
      </c>
      <c r="AJ29" s="73">
        <f t="shared" si="11"/>
        <v>178.9975048</v>
      </c>
      <c r="AK29" s="11"/>
      <c r="AL29" s="51">
        <f t="shared" si="12"/>
        <v>11797.74233</v>
      </c>
      <c r="AM29" s="3"/>
      <c r="AN29" s="3"/>
    </row>
    <row r="30" ht="15.75" customHeight="1">
      <c r="A30" s="92" t="s">
        <v>4446</v>
      </c>
      <c r="B30" s="841">
        <v>45616.0</v>
      </c>
      <c r="C30" s="56">
        <v>45608.0</v>
      </c>
      <c r="D30" s="57" t="s">
        <v>3847</v>
      </c>
      <c r="E30" s="67">
        <v>2.0611424541E10</v>
      </c>
      <c r="G30" s="3" t="s">
        <v>4100</v>
      </c>
      <c r="H30" s="57" t="s">
        <v>47</v>
      </c>
      <c r="I30" s="58">
        <v>21.38</v>
      </c>
      <c r="J30" s="58">
        <v>3.1</v>
      </c>
      <c r="K30" s="59">
        <f t="shared" si="1"/>
        <v>20.71722</v>
      </c>
      <c r="L30" s="60">
        <v>0.457</v>
      </c>
      <c r="M30" s="60">
        <v>0.443</v>
      </c>
      <c r="N30" s="62">
        <v>0.443</v>
      </c>
      <c r="O30" s="60">
        <f t="shared" si="2"/>
        <v>0.443</v>
      </c>
      <c r="P30" s="63">
        <v>90.0</v>
      </c>
      <c r="Q30" s="64">
        <v>89.78</v>
      </c>
      <c r="R30" s="65">
        <v>2606.85</v>
      </c>
      <c r="S30" s="96">
        <f>-8+110</f>
        <v>102</v>
      </c>
      <c r="U30" s="67">
        <v>80.0</v>
      </c>
      <c r="V30" s="67">
        <v>1.1023</v>
      </c>
      <c r="Y30" s="67"/>
      <c r="Z30" s="77">
        <v>22.0</v>
      </c>
      <c r="AA30" s="70">
        <f t="shared" si="4"/>
        <v>22</v>
      </c>
      <c r="AB30" s="71">
        <f t="shared" si="15"/>
        <v>973.8325512</v>
      </c>
      <c r="AC30" s="71">
        <f>+(S30-T30)*V30-'data 1'!$F$4</f>
        <v>32.4346</v>
      </c>
      <c r="AD30" s="71">
        <f t="shared" si="6"/>
        <v>-2.800387627</v>
      </c>
      <c r="AE30" s="71">
        <f t="shared" si="7"/>
        <v>-45.7494</v>
      </c>
      <c r="AF30" s="71">
        <f t="shared" si="8"/>
        <v>35.00958043</v>
      </c>
      <c r="AG30" s="72">
        <f t="shared" si="17"/>
        <v>96.89439281</v>
      </c>
      <c r="AH30" s="52">
        <f t="shared" si="9"/>
        <v>291.4314038</v>
      </c>
      <c r="AI30" s="73">
        <f t="shared" si="10"/>
        <v>48.91275582</v>
      </c>
      <c r="AJ30" s="73">
        <f t="shared" si="11"/>
        <v>283.1957835</v>
      </c>
      <c r="AK30" s="11"/>
      <c r="AL30" s="51">
        <f t="shared" si="12"/>
        <v>20175.10321</v>
      </c>
      <c r="AM30" s="3"/>
      <c r="AN30" s="3"/>
    </row>
    <row r="31" ht="15.75" customHeight="1">
      <c r="A31" s="92" t="s">
        <v>4447</v>
      </c>
      <c r="B31" s="855">
        <v>45609.0</v>
      </c>
      <c r="C31" s="856">
        <v>45608.0</v>
      </c>
      <c r="D31" s="91" t="s">
        <v>53</v>
      </c>
      <c r="E31" s="91">
        <v>1.0457401928E10</v>
      </c>
      <c r="F31" s="67" t="s">
        <v>4448</v>
      </c>
      <c r="G31" s="134" t="s">
        <v>4100</v>
      </c>
      <c r="H31" s="58" t="s">
        <v>47</v>
      </c>
      <c r="I31" s="58">
        <v>37.2</v>
      </c>
      <c r="J31" s="58">
        <v>10.0</v>
      </c>
      <c r="K31" s="59">
        <f t="shared" si="1"/>
        <v>33.48</v>
      </c>
      <c r="L31" s="106">
        <v>0.552</v>
      </c>
      <c r="M31" s="106">
        <v>0.524</v>
      </c>
      <c r="N31" s="111">
        <v>0.552</v>
      </c>
      <c r="O31" s="106">
        <f t="shared" si="2"/>
        <v>0.538</v>
      </c>
      <c r="P31" s="136">
        <v>90.0</v>
      </c>
      <c r="Q31" s="67">
        <v>89.25</v>
      </c>
      <c r="R31" s="70">
        <v>2736.45</v>
      </c>
      <c r="S31" s="134">
        <v>140.0</v>
      </c>
      <c r="T31" s="67"/>
      <c r="U31" s="67">
        <v>100.0</v>
      </c>
      <c r="V31" s="67">
        <v>1.1023</v>
      </c>
      <c r="W31" s="67"/>
      <c r="X31" s="67"/>
      <c r="Y31" s="67"/>
      <c r="Z31" s="69">
        <f t="shared" ref="Z31:Z35" si="21">IF(IF(D31="UNTUCA",IF(+((W31-3)*1.5+(X31-3)*3.1)&gt;0,+((W31-3)*1.5+(X31-3)*3.1),0),IF(+((W31-3)*1.5+(X31-3)*3.1)&gt;0,+((W31-3)*1.5+(X31-3)*3.1),0))&lt;30,30,IF(D31="UNTUCA",IF(+((W31-3)*1.5+(X31-3)*3.1)&gt;0,+((W31-3)*1.5+(X31-3)*3.1),0),IF(+((W31-3)*1.5+(X31-3)*3.1)&gt;0,+((W31-3)*1.5+(X31-3)*3.1),0)))</f>
        <v>30</v>
      </c>
      <c r="AA31" s="70">
        <f t="shared" si="4"/>
        <v>30</v>
      </c>
      <c r="AB31" s="71">
        <f t="shared" si="15"/>
        <v>1219.771108</v>
      </c>
      <c r="AC31" s="71">
        <f>+(S31-T31)*V31-'data 1'!$F$4</f>
        <v>74.322</v>
      </c>
      <c r="AD31" s="71">
        <f t="shared" si="6"/>
        <v>-12.03149758</v>
      </c>
      <c r="AE31" s="71">
        <f t="shared" si="7"/>
        <v>-36.931</v>
      </c>
      <c r="AF31" s="71">
        <f t="shared" si="8"/>
        <v>36.31245464</v>
      </c>
      <c r="AG31" s="72">
        <f t="shared" ref="AG31:AG34" si="22">+IF(D31="RONALD WILLIAN GARIBAY ESCUDERO",AC31+AD31+AE31+AF31+70,AC31+AD31+AE31+AF31)</f>
        <v>61.67195707</v>
      </c>
      <c r="AH31" s="52">
        <f t="shared" si="9"/>
        <v>565.511995</v>
      </c>
      <c r="AI31" s="73">
        <f t="shared" si="10"/>
        <v>-0.7874357211</v>
      </c>
      <c r="AJ31" s="73">
        <f t="shared" si="11"/>
        <v>555.8009742</v>
      </c>
      <c r="AK31" s="53"/>
      <c r="AL31" s="51">
        <f t="shared" si="12"/>
        <v>40837.93669</v>
      </c>
      <c r="AM31" s="3"/>
      <c r="AN31" s="3"/>
    </row>
    <row r="32" ht="15.75" customHeight="1">
      <c r="A32" s="92" t="s">
        <v>4449</v>
      </c>
      <c r="B32" s="855">
        <v>45609.0</v>
      </c>
      <c r="C32" s="856">
        <v>45608.0</v>
      </c>
      <c r="D32" s="91" t="s">
        <v>53</v>
      </c>
      <c r="E32" s="91">
        <v>1.0457401928E10</v>
      </c>
      <c r="F32" s="67" t="s">
        <v>4450</v>
      </c>
      <c r="G32" s="134" t="s">
        <v>4100</v>
      </c>
      <c r="H32" s="58" t="s">
        <v>47</v>
      </c>
      <c r="I32" s="58">
        <v>17.41</v>
      </c>
      <c r="J32" s="58">
        <v>7.0</v>
      </c>
      <c r="K32" s="59">
        <f t="shared" si="1"/>
        <v>16.1913</v>
      </c>
      <c r="L32" s="106">
        <v>0.27</v>
      </c>
      <c r="M32" s="106">
        <v>0.2508</v>
      </c>
      <c r="N32" s="135">
        <v>0.257</v>
      </c>
      <c r="O32" s="106">
        <f t="shared" si="2"/>
        <v>0.254</v>
      </c>
      <c r="P32" s="136">
        <v>90.0</v>
      </c>
      <c r="Q32" s="67">
        <v>89.25</v>
      </c>
      <c r="R32" s="70">
        <v>2732.0</v>
      </c>
      <c r="S32" s="134">
        <v>110.0</v>
      </c>
      <c r="T32" s="67"/>
      <c r="U32" s="67">
        <v>100.0</v>
      </c>
      <c r="V32" s="67">
        <v>1.1023</v>
      </c>
      <c r="W32" s="67"/>
      <c r="X32" s="67"/>
      <c r="Y32" s="67"/>
      <c r="Z32" s="69">
        <f t="shared" si="21"/>
        <v>30</v>
      </c>
      <c r="AA32" s="70">
        <f t="shared" si="4"/>
        <v>30</v>
      </c>
      <c r="AB32" s="71">
        <f t="shared" si="15"/>
        <v>508.904573</v>
      </c>
      <c r="AC32" s="71">
        <f>+(S32-T32)*V32-'data 1'!$F$4</f>
        <v>41.253</v>
      </c>
      <c r="AD32" s="71">
        <f t="shared" si="6"/>
        <v>-5.87503854</v>
      </c>
      <c r="AE32" s="71">
        <f t="shared" si="7"/>
        <v>-36.931</v>
      </c>
      <c r="AF32" s="71">
        <f t="shared" si="8"/>
        <v>41.42990141</v>
      </c>
      <c r="AG32" s="72">
        <f t="shared" si="22"/>
        <v>39.87686287</v>
      </c>
      <c r="AH32" s="52">
        <f t="shared" si="9"/>
        <v>133.7712477</v>
      </c>
      <c r="AI32" s="73">
        <f t="shared" si="10"/>
        <v>0.7968802275</v>
      </c>
      <c r="AJ32" s="73">
        <f t="shared" si="11"/>
        <v>126.9015758</v>
      </c>
      <c r="AK32" s="53"/>
      <c r="AL32" s="51">
        <f t="shared" si="12"/>
        <v>8239.826612</v>
      </c>
      <c r="AM32" s="3"/>
      <c r="AN32" s="3"/>
    </row>
    <row r="33" ht="15.75" customHeight="1">
      <c r="A33" s="92" t="s">
        <v>4451</v>
      </c>
      <c r="B33" s="855">
        <v>45609.0</v>
      </c>
      <c r="C33" s="856">
        <v>45609.0</v>
      </c>
      <c r="D33" s="91" t="s">
        <v>53</v>
      </c>
      <c r="E33" s="91">
        <v>1.0457401928E10</v>
      </c>
      <c r="F33" s="67" t="s">
        <v>4452</v>
      </c>
      <c r="G33" s="134" t="s">
        <v>4100</v>
      </c>
      <c r="H33" s="58" t="s">
        <v>47</v>
      </c>
      <c r="I33" s="58">
        <v>20.13</v>
      </c>
      <c r="J33" s="58">
        <v>10.0</v>
      </c>
      <c r="K33" s="59">
        <f t="shared" si="1"/>
        <v>18.117</v>
      </c>
      <c r="L33" s="106">
        <v>0.186</v>
      </c>
      <c r="M33" s="106">
        <v>0.176</v>
      </c>
      <c r="N33" s="111">
        <v>0.183</v>
      </c>
      <c r="O33" s="106">
        <f t="shared" si="2"/>
        <v>0.18</v>
      </c>
      <c r="P33" s="136">
        <v>85.0</v>
      </c>
      <c r="Q33" s="67">
        <v>89.37</v>
      </c>
      <c r="R33" s="70">
        <v>2732.0</v>
      </c>
      <c r="S33" s="134">
        <v>100.0</v>
      </c>
      <c r="T33" s="67"/>
      <c r="U33" s="67">
        <v>100.0</v>
      </c>
      <c r="V33" s="67">
        <v>1.1023</v>
      </c>
      <c r="W33" s="67"/>
      <c r="X33" s="67"/>
      <c r="Y33" s="67"/>
      <c r="Z33" s="69">
        <f t="shared" si="21"/>
        <v>30</v>
      </c>
      <c r="AA33" s="70">
        <f t="shared" si="4"/>
        <v>30</v>
      </c>
      <c r="AB33" s="71">
        <f t="shared" si="15"/>
        <v>300.5928008</v>
      </c>
      <c r="AC33" s="71">
        <f>+(S33-T33)*V33-'data 1'!$F$4</f>
        <v>30.23</v>
      </c>
      <c r="AD33" s="71">
        <f t="shared" si="6"/>
        <v>23.58196951</v>
      </c>
      <c r="AE33" s="71">
        <f t="shared" si="7"/>
        <v>-36.931</v>
      </c>
      <c r="AF33" s="71">
        <f t="shared" si="8"/>
        <v>15.55710205</v>
      </c>
      <c r="AG33" s="72">
        <f t="shared" si="22"/>
        <v>32.43807157</v>
      </c>
      <c r="AH33" s="52">
        <f t="shared" si="9"/>
        <v>103.2523764</v>
      </c>
      <c r="AI33" s="73">
        <f t="shared" si="10"/>
        <v>0.5497000346</v>
      </c>
      <c r="AJ33" s="73">
        <f t="shared" si="11"/>
        <v>95.03570142</v>
      </c>
      <c r="AK33" s="53"/>
      <c r="AL33" s="51">
        <f t="shared" si="12"/>
        <v>5445.839772</v>
      </c>
      <c r="AM33" s="3"/>
      <c r="AN33" s="3"/>
    </row>
    <row r="34" ht="15.75" customHeight="1">
      <c r="A34" s="92" t="s">
        <v>4453</v>
      </c>
      <c r="B34" s="855">
        <v>45609.0</v>
      </c>
      <c r="C34" s="856">
        <v>45608.0</v>
      </c>
      <c r="D34" s="91" t="s">
        <v>53</v>
      </c>
      <c r="E34" s="91">
        <v>1.0457401928E10</v>
      </c>
      <c r="F34" s="2" t="s">
        <v>4454</v>
      </c>
      <c r="G34" s="3">
        <v>55.0</v>
      </c>
      <c r="H34" s="58" t="s">
        <v>47</v>
      </c>
      <c r="I34" s="58">
        <v>4.02</v>
      </c>
      <c r="J34" s="58">
        <v>5.3</v>
      </c>
      <c r="K34" s="59">
        <f t="shared" si="1"/>
        <v>3.80694</v>
      </c>
      <c r="L34" s="60">
        <v>0.5</v>
      </c>
      <c r="M34" s="60">
        <v>0.48</v>
      </c>
      <c r="N34" s="75">
        <v>0.557</v>
      </c>
      <c r="O34" s="60">
        <f t="shared" si="2"/>
        <v>0.519</v>
      </c>
      <c r="P34" s="63">
        <v>90.0</v>
      </c>
      <c r="Q34" s="64">
        <v>89.45</v>
      </c>
      <c r="R34" s="65">
        <v>2742.6</v>
      </c>
      <c r="S34" s="76">
        <v>145.0</v>
      </c>
      <c r="U34" s="67">
        <v>130.0</v>
      </c>
      <c r="V34" s="67">
        <v>1.1023</v>
      </c>
      <c r="Y34" s="68">
        <v>40.0</v>
      </c>
      <c r="Z34" s="69">
        <f t="shared" si="21"/>
        <v>30</v>
      </c>
      <c r="AA34" s="70">
        <f t="shared" si="4"/>
        <v>70</v>
      </c>
      <c r="AB34" s="71">
        <f t="shared" si="15"/>
        <v>1108.192301</v>
      </c>
      <c r="AC34" s="71">
        <f>+(S34-T34)*V34-'data 1'!$F$4</f>
        <v>79.8335</v>
      </c>
      <c r="AD34" s="71">
        <f t="shared" si="6"/>
        <v>-7.919639695</v>
      </c>
      <c r="AE34" s="71">
        <f t="shared" si="7"/>
        <v>7.161</v>
      </c>
      <c r="AF34" s="71">
        <f t="shared" si="8"/>
        <v>-48.94481325</v>
      </c>
      <c r="AG34" s="72">
        <f t="shared" si="22"/>
        <v>30.13004706</v>
      </c>
      <c r="AH34" s="52">
        <f t="shared" si="9"/>
        <v>58.37615019</v>
      </c>
      <c r="AI34" s="73">
        <f t="shared" si="10"/>
        <v>11.04328232</v>
      </c>
      <c r="AJ34" s="73">
        <f t="shared" si="11"/>
        <v>60.96702013</v>
      </c>
      <c r="AK34" s="53"/>
      <c r="AL34" s="51">
        <f t="shared" si="12"/>
        <v>4218.821597</v>
      </c>
      <c r="AM34" s="3"/>
      <c r="AN34" s="3"/>
    </row>
    <row r="35" ht="15.75" customHeight="1">
      <c r="A35" s="92" t="s">
        <v>4455</v>
      </c>
      <c r="B35" s="841">
        <v>45618.0</v>
      </c>
      <c r="C35" s="854">
        <v>45595.0</v>
      </c>
      <c r="D35" s="57" t="s">
        <v>121</v>
      </c>
      <c r="E35" s="2">
        <v>2.0611329556E10</v>
      </c>
      <c r="F35" s="2" t="s">
        <v>4456</v>
      </c>
      <c r="G35" s="3" t="s">
        <v>4100</v>
      </c>
      <c r="H35" s="58" t="s">
        <v>71</v>
      </c>
      <c r="I35" s="58">
        <v>8.16</v>
      </c>
      <c r="J35" s="58">
        <v>1.9</v>
      </c>
      <c r="K35" s="59">
        <f t="shared" si="1"/>
        <v>8.00496</v>
      </c>
      <c r="L35" s="60">
        <v>0.247</v>
      </c>
      <c r="M35" s="60">
        <v>0.237</v>
      </c>
      <c r="N35" s="62">
        <v>0.237</v>
      </c>
      <c r="O35" s="60">
        <f t="shared" si="2"/>
        <v>0.237</v>
      </c>
      <c r="P35" s="63">
        <v>90.0</v>
      </c>
      <c r="Q35" s="58">
        <v>89.84</v>
      </c>
      <c r="R35" s="65">
        <v>2767.8</v>
      </c>
      <c r="S35" s="66">
        <f>IF((90+ROUNDDOWN(O35,1)*100)&lt;95,95,(90+ROUNDDOWN(O35,1)*100))</f>
        <v>110</v>
      </c>
      <c r="U35" s="67">
        <v>100.0</v>
      </c>
      <c r="V35" s="67">
        <v>1.1023</v>
      </c>
      <c r="Y35" s="68">
        <v>15.0</v>
      </c>
      <c r="Z35" s="69">
        <f t="shared" si="21"/>
        <v>30</v>
      </c>
      <c r="AA35" s="70">
        <f t="shared" si="4"/>
        <v>45</v>
      </c>
      <c r="AB35" s="71">
        <f t="shared" si="15"/>
        <v>456.39821</v>
      </c>
      <c r="AC35" s="71">
        <f>+(S35-T35)*V35-'data 1'!$F$4</f>
        <v>41.253</v>
      </c>
      <c r="AD35" s="71">
        <f t="shared" si="6"/>
        <v>-1.162170939</v>
      </c>
      <c r="AE35" s="71">
        <f t="shared" si="7"/>
        <v>-20.3965</v>
      </c>
      <c r="AF35" s="71">
        <f t="shared" si="8"/>
        <v>26.419392</v>
      </c>
      <c r="AG35" s="72">
        <f>+IF(D35="RONALD WILLIAN GARIBAY ESCUDERO",AC35+AD35+AE35+AF35+70,AC35+AD35+AE35+AF35)+70-53</f>
        <v>63.11372107</v>
      </c>
      <c r="AH35" s="52">
        <f t="shared" si="9"/>
        <v>60.90247356</v>
      </c>
      <c r="AI35" s="73">
        <f t="shared" si="10"/>
        <v>-8.023065682</v>
      </c>
      <c r="AJ35" s="73">
        <f t="shared" si="11"/>
        <v>58.54085901</v>
      </c>
      <c r="AK35" s="53"/>
      <c r="AL35" s="51">
        <f t="shared" si="12"/>
        <v>3653.449415</v>
      </c>
      <c r="AM35" s="3"/>
      <c r="AN35" s="3"/>
    </row>
    <row r="36" ht="15.75" customHeight="1">
      <c r="G36" s="3"/>
      <c r="L36" s="60"/>
      <c r="M36" s="60"/>
      <c r="N36" s="62"/>
      <c r="P36" s="63"/>
      <c r="AG36" s="91"/>
      <c r="AH36" s="3"/>
      <c r="AI36" s="3"/>
      <c r="AJ36" s="3"/>
      <c r="AL36" s="3"/>
      <c r="AM36" s="3"/>
      <c r="AN36" s="3"/>
    </row>
    <row r="37" ht="15.75" customHeight="1">
      <c r="G37" s="3"/>
      <c r="L37" s="60"/>
      <c r="M37" s="60"/>
      <c r="N37" s="62"/>
      <c r="P37" s="63"/>
      <c r="AG37" s="91"/>
      <c r="AH37" s="3"/>
      <c r="AI37" s="3"/>
      <c r="AJ37" s="3"/>
      <c r="AL37" s="3"/>
      <c r="AM37" s="3"/>
      <c r="AN37" s="3"/>
    </row>
    <row r="38" ht="15.75" customHeight="1">
      <c r="G38" s="3"/>
      <c r="L38" s="60"/>
      <c r="M38" s="60"/>
      <c r="N38" s="62"/>
      <c r="P38" s="63"/>
      <c r="AG38" s="91"/>
      <c r="AH38" s="3"/>
      <c r="AI38" s="3"/>
      <c r="AJ38" s="3"/>
      <c r="AL38" s="3"/>
      <c r="AM38" s="3"/>
      <c r="AN38" s="3"/>
    </row>
    <row r="39" ht="15.75" customHeight="1">
      <c r="G39" s="3"/>
      <c r="L39" s="60"/>
      <c r="M39" s="60"/>
      <c r="N39" s="62"/>
      <c r="P39" s="63"/>
      <c r="AG39" s="91"/>
      <c r="AH39" s="3"/>
      <c r="AI39" s="3"/>
      <c r="AJ39" s="3"/>
      <c r="AL39" s="3"/>
      <c r="AM39" s="3"/>
      <c r="AN39" s="3"/>
    </row>
    <row r="40" ht="15.75" customHeight="1">
      <c r="G40" s="3"/>
      <c r="L40" s="60"/>
      <c r="M40" s="60"/>
      <c r="N40" s="62"/>
      <c r="P40" s="63"/>
      <c r="AG40" s="91"/>
      <c r="AH40" s="3"/>
      <c r="AI40" s="3"/>
      <c r="AJ40" s="3"/>
      <c r="AL40" s="3"/>
      <c r="AM40" s="3"/>
      <c r="AN40" s="3"/>
    </row>
    <row r="41" ht="15.75" customHeight="1">
      <c r="G41" s="3"/>
      <c r="L41" s="60"/>
      <c r="M41" s="60"/>
      <c r="N41" s="62"/>
      <c r="P41" s="63"/>
      <c r="AG41" s="91"/>
      <c r="AH41" s="3"/>
      <c r="AI41" s="3"/>
      <c r="AJ41" s="3"/>
      <c r="AL41" s="3"/>
      <c r="AM41" s="3"/>
      <c r="AN41" s="3"/>
    </row>
    <row r="42" ht="15.75" customHeight="1">
      <c r="G42" s="3"/>
      <c r="L42" s="60"/>
      <c r="M42" s="60"/>
      <c r="N42" s="62"/>
      <c r="P42" s="63"/>
      <c r="AG42" s="91"/>
      <c r="AH42" s="3"/>
      <c r="AI42" s="3"/>
      <c r="AJ42" s="3"/>
      <c r="AL42" s="3"/>
      <c r="AM42" s="3"/>
      <c r="AN42" s="3"/>
    </row>
    <row r="43" ht="15.75" customHeight="1">
      <c r="G43" s="3"/>
      <c r="L43" s="60"/>
      <c r="M43" s="60"/>
      <c r="N43" s="62"/>
      <c r="P43" s="63"/>
      <c r="AG43" s="91"/>
      <c r="AH43" s="3"/>
      <c r="AI43" s="3"/>
      <c r="AJ43" s="3"/>
      <c r="AL43" s="3"/>
      <c r="AM43" s="3"/>
      <c r="AN43" s="3"/>
    </row>
    <row r="44" ht="15.75" customHeight="1">
      <c r="G44" s="3"/>
      <c r="L44" s="60"/>
      <c r="M44" s="60"/>
      <c r="N44" s="62"/>
      <c r="P44" s="63"/>
      <c r="AG44" s="91"/>
      <c r="AH44" s="3"/>
      <c r="AI44" s="3"/>
      <c r="AJ44" s="3"/>
      <c r="AL44" s="3"/>
      <c r="AM44" s="3"/>
      <c r="AN44" s="3"/>
    </row>
    <row r="45" ht="15.75" customHeight="1">
      <c r="G45" s="3"/>
      <c r="L45" s="60"/>
      <c r="M45" s="60"/>
      <c r="N45" s="62"/>
      <c r="P45" s="63"/>
      <c r="AG45" s="91"/>
      <c r="AH45" s="3"/>
      <c r="AI45" s="3"/>
      <c r="AJ45" s="3"/>
      <c r="AL45" s="3"/>
      <c r="AM45" s="3"/>
      <c r="AN45" s="3"/>
    </row>
    <row r="46" ht="15.75" customHeight="1">
      <c r="G46" s="3"/>
      <c r="L46" s="60"/>
      <c r="M46" s="60"/>
      <c r="N46" s="62"/>
      <c r="P46" s="63"/>
      <c r="AG46" s="91"/>
      <c r="AH46" s="3"/>
      <c r="AI46" s="3"/>
      <c r="AJ46" s="3"/>
      <c r="AL46" s="3"/>
      <c r="AM46" s="3"/>
      <c r="AN46" s="3"/>
    </row>
    <row r="47" ht="15.75" customHeight="1">
      <c r="G47" s="3"/>
      <c r="L47" s="60"/>
      <c r="M47" s="60"/>
      <c r="N47" s="62"/>
      <c r="P47" s="63"/>
      <c r="AG47" s="91"/>
      <c r="AH47" s="3"/>
      <c r="AI47" s="3"/>
      <c r="AJ47" s="3"/>
      <c r="AL47" s="3"/>
      <c r="AM47" s="3"/>
      <c r="AN47" s="3"/>
    </row>
    <row r="48" ht="15.75" customHeight="1">
      <c r="G48" s="3"/>
      <c r="L48" s="60"/>
      <c r="M48" s="60"/>
      <c r="N48" s="62"/>
      <c r="P48" s="63"/>
      <c r="AG48" s="91"/>
      <c r="AH48" s="3"/>
      <c r="AI48" s="3"/>
      <c r="AJ48" s="3"/>
      <c r="AL48" s="3"/>
      <c r="AM48" s="3"/>
      <c r="AN48" s="3"/>
    </row>
    <row r="49" ht="15.75" customHeight="1">
      <c r="G49" s="3"/>
      <c r="L49" s="60"/>
      <c r="M49" s="60"/>
      <c r="N49" s="62"/>
      <c r="P49" s="63"/>
      <c r="AG49" s="91"/>
      <c r="AH49" s="3"/>
      <c r="AI49" s="3"/>
      <c r="AJ49" s="3"/>
      <c r="AL49" s="3"/>
      <c r="AM49" s="3"/>
      <c r="AN49" s="3"/>
    </row>
    <row r="50" ht="15.75" customHeight="1">
      <c r="G50" s="3"/>
      <c r="L50" s="60"/>
      <c r="M50" s="60"/>
      <c r="N50" s="62"/>
      <c r="P50" s="63"/>
      <c r="AG50" s="91"/>
      <c r="AH50" s="3"/>
      <c r="AI50" s="3"/>
      <c r="AJ50" s="3"/>
      <c r="AL50" s="3"/>
      <c r="AM50" s="3"/>
      <c r="AN50" s="3"/>
    </row>
    <row r="51" ht="15.75" customHeight="1">
      <c r="G51" s="3"/>
      <c r="L51" s="60"/>
      <c r="M51" s="60"/>
      <c r="N51" s="62"/>
      <c r="P51" s="63"/>
      <c r="AG51" s="91"/>
      <c r="AH51" s="3"/>
      <c r="AI51" s="3"/>
      <c r="AJ51" s="3"/>
      <c r="AL51" s="3"/>
      <c r="AM51" s="3"/>
      <c r="AN51" s="3"/>
    </row>
    <row r="52" ht="15.75" customHeight="1">
      <c r="G52" s="3"/>
      <c r="L52" s="60"/>
      <c r="M52" s="60"/>
      <c r="N52" s="62"/>
      <c r="P52" s="63"/>
      <c r="AG52" s="91"/>
      <c r="AH52" s="3"/>
      <c r="AI52" s="3"/>
      <c r="AJ52" s="3"/>
      <c r="AL52" s="3"/>
      <c r="AM52" s="3"/>
      <c r="AN52" s="3"/>
    </row>
    <row r="53" ht="15.75" customHeight="1">
      <c r="G53" s="3"/>
      <c r="L53" s="60"/>
      <c r="M53" s="60"/>
      <c r="N53" s="62"/>
      <c r="P53" s="63"/>
      <c r="AG53" s="91"/>
      <c r="AH53" s="3"/>
      <c r="AI53" s="3"/>
      <c r="AJ53" s="3"/>
      <c r="AL53" s="3"/>
      <c r="AM53" s="3"/>
      <c r="AN53" s="3"/>
    </row>
    <row r="54" ht="15.75" customHeight="1">
      <c r="G54" s="3"/>
      <c r="L54" s="60"/>
      <c r="M54" s="60"/>
      <c r="N54" s="62"/>
      <c r="P54" s="63"/>
      <c r="AG54" s="91"/>
      <c r="AH54" s="3"/>
      <c r="AI54" s="3"/>
      <c r="AJ54" s="3"/>
      <c r="AL54" s="3"/>
      <c r="AM54" s="3"/>
      <c r="AN54" s="3"/>
    </row>
    <row r="55" ht="15.75" customHeight="1">
      <c r="G55" s="3"/>
      <c r="L55" s="60"/>
      <c r="M55" s="60"/>
      <c r="N55" s="62"/>
      <c r="P55" s="63"/>
      <c r="AG55" s="91"/>
      <c r="AH55" s="3"/>
      <c r="AI55" s="3"/>
      <c r="AJ55" s="3"/>
      <c r="AL55" s="3"/>
      <c r="AM55" s="3"/>
      <c r="AN55" s="3"/>
    </row>
    <row r="56" ht="15.75" customHeight="1">
      <c r="G56" s="3"/>
      <c r="L56" s="60"/>
      <c r="M56" s="60"/>
      <c r="N56" s="62"/>
      <c r="P56" s="63"/>
      <c r="AG56" s="91"/>
      <c r="AH56" s="3"/>
      <c r="AI56" s="3"/>
      <c r="AJ56" s="3"/>
      <c r="AL56" s="3"/>
      <c r="AM56" s="3"/>
      <c r="AN56" s="3"/>
    </row>
    <row r="57" ht="15.75" customHeight="1">
      <c r="G57" s="3"/>
      <c r="L57" s="60"/>
      <c r="M57" s="60"/>
      <c r="N57" s="62"/>
      <c r="P57" s="63"/>
      <c r="AG57" s="91"/>
      <c r="AH57" s="3"/>
      <c r="AI57" s="3"/>
      <c r="AJ57" s="3"/>
      <c r="AL57" s="3"/>
      <c r="AM57" s="3"/>
      <c r="AN57" s="3"/>
    </row>
    <row r="58" ht="15.75" customHeight="1">
      <c r="G58" s="3"/>
      <c r="L58" s="60"/>
      <c r="M58" s="60"/>
      <c r="N58" s="62"/>
      <c r="P58" s="63"/>
      <c r="AG58" s="91"/>
      <c r="AH58" s="3"/>
      <c r="AI58" s="3"/>
      <c r="AJ58" s="3"/>
      <c r="AL58" s="3"/>
      <c r="AM58" s="3"/>
      <c r="AN58" s="3"/>
    </row>
    <row r="59" ht="15.75" customHeight="1">
      <c r="G59" s="3"/>
      <c r="L59" s="60"/>
      <c r="M59" s="60"/>
      <c r="N59" s="62"/>
      <c r="P59" s="63"/>
      <c r="AG59" s="91"/>
      <c r="AH59" s="3"/>
      <c r="AI59" s="3"/>
      <c r="AJ59" s="3"/>
      <c r="AL59" s="3"/>
      <c r="AM59" s="3"/>
      <c r="AN59" s="3"/>
    </row>
    <row r="60" ht="15.75" customHeight="1">
      <c r="G60" s="3"/>
      <c r="L60" s="60"/>
      <c r="M60" s="60"/>
      <c r="N60" s="62"/>
      <c r="P60" s="63"/>
      <c r="AG60" s="91"/>
      <c r="AH60" s="3"/>
      <c r="AI60" s="3"/>
      <c r="AJ60" s="3"/>
      <c r="AL60" s="3"/>
      <c r="AM60" s="3"/>
      <c r="AN60" s="3"/>
    </row>
    <row r="61" ht="15.75" customHeight="1">
      <c r="G61" s="3"/>
      <c r="L61" s="60"/>
      <c r="M61" s="60"/>
      <c r="N61" s="62"/>
      <c r="P61" s="63"/>
      <c r="AG61" s="91"/>
      <c r="AH61" s="3"/>
      <c r="AI61" s="3"/>
      <c r="AJ61" s="3"/>
      <c r="AL61" s="3"/>
      <c r="AM61" s="3"/>
      <c r="AN61" s="3"/>
    </row>
    <row r="62" ht="15.75" customHeight="1">
      <c r="G62" s="3"/>
      <c r="L62" s="60"/>
      <c r="M62" s="60"/>
      <c r="N62" s="62"/>
      <c r="P62" s="63"/>
      <c r="AG62" s="91"/>
      <c r="AH62" s="3"/>
      <c r="AI62" s="3"/>
      <c r="AJ62" s="3"/>
      <c r="AL62" s="3"/>
      <c r="AM62" s="3"/>
      <c r="AN62" s="3"/>
    </row>
    <row r="63" ht="15.75" customHeight="1">
      <c r="G63" s="3"/>
      <c r="L63" s="60"/>
      <c r="M63" s="60"/>
      <c r="N63" s="62"/>
      <c r="P63" s="63"/>
      <c r="AG63" s="91"/>
      <c r="AH63" s="3"/>
      <c r="AI63" s="3"/>
      <c r="AJ63" s="3"/>
      <c r="AL63" s="3"/>
      <c r="AM63" s="3"/>
      <c r="AN63" s="3"/>
    </row>
    <row r="64" ht="15.75" customHeight="1">
      <c r="G64" s="3"/>
      <c r="L64" s="60"/>
      <c r="M64" s="60"/>
      <c r="N64" s="62"/>
      <c r="P64" s="63"/>
      <c r="AG64" s="91"/>
      <c r="AH64" s="3"/>
      <c r="AI64" s="3"/>
      <c r="AJ64" s="3"/>
      <c r="AL64" s="3"/>
      <c r="AM64" s="3"/>
      <c r="AN64" s="3"/>
    </row>
    <row r="65" ht="15.75" customHeight="1">
      <c r="G65" s="3"/>
      <c r="L65" s="60"/>
      <c r="M65" s="60"/>
      <c r="N65" s="62"/>
      <c r="P65" s="63"/>
      <c r="AG65" s="91"/>
      <c r="AH65" s="3"/>
      <c r="AI65" s="3"/>
      <c r="AJ65" s="3"/>
      <c r="AL65" s="3"/>
      <c r="AM65" s="3"/>
      <c r="AN65" s="3"/>
    </row>
    <row r="66" ht="15.75" customHeight="1">
      <c r="G66" s="3"/>
      <c r="L66" s="60"/>
      <c r="M66" s="60"/>
      <c r="N66" s="62"/>
      <c r="P66" s="63"/>
      <c r="AG66" s="91"/>
      <c r="AH66" s="3"/>
      <c r="AI66" s="3"/>
      <c r="AJ66" s="3"/>
      <c r="AL66" s="3"/>
      <c r="AM66" s="3"/>
      <c r="AN66" s="3"/>
    </row>
    <row r="67" ht="15.75" customHeight="1">
      <c r="G67" s="3"/>
      <c r="L67" s="60"/>
      <c r="M67" s="60"/>
      <c r="N67" s="62"/>
      <c r="P67" s="63"/>
      <c r="AG67" s="91"/>
      <c r="AH67" s="3"/>
      <c r="AI67" s="3"/>
      <c r="AJ67" s="3"/>
      <c r="AL67" s="3"/>
      <c r="AM67" s="3"/>
      <c r="AN67" s="3"/>
    </row>
    <row r="68" ht="15.75" customHeight="1">
      <c r="G68" s="3"/>
      <c r="L68" s="60"/>
      <c r="M68" s="60"/>
      <c r="N68" s="62"/>
      <c r="P68" s="63"/>
      <c r="AG68" s="91"/>
      <c r="AH68" s="3"/>
      <c r="AI68" s="3"/>
      <c r="AJ68" s="3"/>
      <c r="AL68" s="3"/>
      <c r="AM68" s="3"/>
      <c r="AN68" s="3"/>
    </row>
    <row r="69" ht="15.75" customHeight="1">
      <c r="G69" s="3"/>
      <c r="N69" s="62"/>
      <c r="P69" s="63"/>
      <c r="AG69" s="91"/>
      <c r="AH69" s="3"/>
      <c r="AI69" s="3"/>
      <c r="AJ69" s="3"/>
      <c r="AL69" s="3"/>
      <c r="AM69" s="3"/>
      <c r="AN69" s="3"/>
    </row>
    <row r="70" ht="15.75" customHeight="1">
      <c r="G70" s="3"/>
      <c r="N70" s="62"/>
      <c r="P70" s="63"/>
      <c r="AG70" s="91"/>
      <c r="AH70" s="3"/>
      <c r="AI70" s="3"/>
      <c r="AJ70" s="3"/>
      <c r="AL70" s="3"/>
      <c r="AM70" s="3"/>
      <c r="AN70" s="3"/>
    </row>
    <row r="71" ht="15.75" customHeight="1">
      <c r="G71" s="3"/>
      <c r="N71" s="62"/>
      <c r="P71" s="63"/>
      <c r="AG71" s="91"/>
      <c r="AH71" s="3"/>
      <c r="AI71" s="3"/>
      <c r="AJ71" s="3"/>
      <c r="AL71" s="3"/>
      <c r="AM71" s="3"/>
      <c r="AN71" s="3"/>
    </row>
    <row r="72" ht="15.75" customHeight="1">
      <c r="G72" s="3"/>
      <c r="N72" s="62"/>
      <c r="P72" s="63"/>
      <c r="AG72" s="91"/>
      <c r="AH72" s="3"/>
      <c r="AI72" s="3"/>
      <c r="AJ72" s="3"/>
      <c r="AL72" s="3"/>
      <c r="AM72" s="3"/>
      <c r="AN72" s="3"/>
    </row>
    <row r="73" ht="15.75" customHeight="1">
      <c r="G73" s="3"/>
      <c r="N73" s="62"/>
      <c r="P73" s="63"/>
      <c r="AG73" s="91"/>
      <c r="AH73" s="3"/>
      <c r="AI73" s="3"/>
      <c r="AJ73" s="3"/>
      <c r="AL73" s="3"/>
      <c r="AM73" s="3"/>
      <c r="AN73" s="3"/>
    </row>
    <row r="74" ht="15.75" customHeight="1">
      <c r="G74" s="3"/>
      <c r="N74" s="62"/>
      <c r="P74" s="63"/>
      <c r="AG74" s="91"/>
      <c r="AH74" s="3"/>
      <c r="AI74" s="3"/>
      <c r="AJ74" s="3"/>
      <c r="AL74" s="3"/>
      <c r="AM74" s="3"/>
      <c r="AN74" s="3"/>
    </row>
    <row r="75" ht="15.75" customHeight="1">
      <c r="G75" s="3"/>
      <c r="N75" s="62"/>
      <c r="P75" s="63"/>
      <c r="AG75" s="91"/>
      <c r="AH75" s="3"/>
      <c r="AI75" s="3"/>
      <c r="AJ75" s="3"/>
      <c r="AL75" s="3"/>
      <c r="AM75" s="3"/>
      <c r="AN75" s="3"/>
    </row>
    <row r="76" ht="15.75" customHeight="1">
      <c r="G76" s="3"/>
      <c r="N76" s="62"/>
      <c r="P76" s="63"/>
      <c r="AG76" s="91"/>
      <c r="AH76" s="3"/>
      <c r="AI76" s="3"/>
      <c r="AJ76" s="3"/>
      <c r="AL76" s="3"/>
      <c r="AM76" s="3"/>
      <c r="AN76" s="3"/>
    </row>
    <row r="77" ht="15.75" customHeight="1">
      <c r="G77" s="3"/>
      <c r="N77" s="62"/>
      <c r="P77" s="63"/>
      <c r="AG77" s="91"/>
      <c r="AH77" s="3"/>
      <c r="AI77" s="3"/>
      <c r="AJ77" s="3"/>
      <c r="AL77" s="3"/>
      <c r="AM77" s="3"/>
      <c r="AN77" s="3"/>
    </row>
    <row r="78" ht="15.75" customHeight="1">
      <c r="G78" s="3"/>
      <c r="N78" s="62"/>
      <c r="P78" s="63"/>
      <c r="AG78" s="91"/>
      <c r="AH78" s="3"/>
      <c r="AI78" s="3"/>
      <c r="AJ78" s="3"/>
      <c r="AL78" s="3"/>
      <c r="AM78" s="3"/>
      <c r="AN78" s="3"/>
    </row>
    <row r="79" ht="15.75" customHeight="1">
      <c r="G79" s="3"/>
      <c r="N79" s="62"/>
      <c r="P79" s="63"/>
      <c r="AG79" s="91"/>
      <c r="AH79" s="3"/>
      <c r="AI79" s="3"/>
      <c r="AJ79" s="3"/>
      <c r="AL79" s="3"/>
      <c r="AM79" s="3"/>
      <c r="AN79" s="3"/>
    </row>
    <row r="80" ht="15.75" customHeight="1">
      <c r="G80" s="3"/>
      <c r="N80" s="62"/>
      <c r="P80" s="63"/>
      <c r="AG80" s="91"/>
      <c r="AH80" s="3"/>
      <c r="AI80" s="3"/>
      <c r="AJ80" s="3"/>
      <c r="AL80" s="3"/>
      <c r="AM80" s="3"/>
      <c r="AN80" s="3"/>
    </row>
    <row r="81" ht="15.75" customHeight="1">
      <c r="G81" s="3"/>
      <c r="N81" s="62"/>
      <c r="P81" s="63"/>
      <c r="AG81" s="91"/>
      <c r="AH81" s="3"/>
      <c r="AI81" s="3"/>
      <c r="AJ81" s="3"/>
      <c r="AL81" s="3"/>
      <c r="AM81" s="3"/>
      <c r="AN81" s="3"/>
    </row>
    <row r="82" ht="15.75" customHeight="1">
      <c r="G82" s="3"/>
      <c r="N82" s="62"/>
      <c r="P82" s="63"/>
      <c r="AG82" s="91"/>
      <c r="AH82" s="3"/>
      <c r="AI82" s="3"/>
      <c r="AJ82" s="3"/>
      <c r="AL82" s="3"/>
      <c r="AM82" s="3"/>
      <c r="AN82" s="3"/>
    </row>
    <row r="83" ht="15.75" customHeight="1">
      <c r="G83" s="3"/>
      <c r="N83" s="62"/>
      <c r="P83" s="63"/>
      <c r="AG83" s="91"/>
      <c r="AH83" s="3"/>
      <c r="AI83" s="3"/>
      <c r="AJ83" s="3"/>
      <c r="AL83" s="3"/>
      <c r="AM83" s="3"/>
      <c r="AN83" s="3"/>
    </row>
    <row r="84" ht="15.75" customHeight="1">
      <c r="G84" s="3"/>
      <c r="N84" s="62"/>
      <c r="P84" s="63"/>
      <c r="AG84" s="91"/>
      <c r="AH84" s="3"/>
      <c r="AI84" s="3"/>
      <c r="AJ84" s="3"/>
      <c r="AL84" s="3"/>
      <c r="AM84" s="3"/>
      <c r="AN84" s="3"/>
    </row>
    <row r="85" ht="15.75" customHeight="1">
      <c r="G85" s="3"/>
      <c r="N85" s="62"/>
      <c r="P85" s="63"/>
      <c r="AG85" s="91"/>
      <c r="AH85" s="3"/>
      <c r="AI85" s="3"/>
      <c r="AJ85" s="3"/>
      <c r="AL85" s="3"/>
      <c r="AM85" s="3"/>
      <c r="AN85" s="3"/>
    </row>
    <row r="86" ht="15.75" customHeight="1">
      <c r="G86" s="3"/>
      <c r="N86" s="62"/>
      <c r="P86" s="63"/>
      <c r="AG86" s="91"/>
      <c r="AH86" s="3"/>
      <c r="AI86" s="3"/>
      <c r="AJ86" s="3"/>
      <c r="AL86" s="3"/>
      <c r="AM86" s="3"/>
      <c r="AN86" s="3"/>
    </row>
    <row r="87" ht="15.75" customHeight="1">
      <c r="G87" s="3"/>
      <c r="N87" s="62"/>
      <c r="P87" s="63"/>
      <c r="AG87" s="91"/>
      <c r="AH87" s="3"/>
      <c r="AI87" s="3"/>
      <c r="AJ87" s="3"/>
      <c r="AL87" s="3"/>
      <c r="AM87" s="3"/>
      <c r="AN87" s="3"/>
    </row>
    <row r="88" ht="15.75" customHeight="1">
      <c r="G88" s="3"/>
      <c r="N88" s="62"/>
      <c r="P88" s="63"/>
      <c r="AG88" s="91"/>
      <c r="AH88" s="3"/>
      <c r="AI88" s="3"/>
      <c r="AJ88" s="3"/>
      <c r="AL88" s="3"/>
      <c r="AM88" s="3"/>
      <c r="AN88" s="3"/>
    </row>
    <row r="89" ht="15.75" customHeight="1">
      <c r="G89" s="3"/>
      <c r="N89" s="62"/>
      <c r="P89" s="63"/>
      <c r="AG89" s="91"/>
      <c r="AH89" s="3"/>
      <c r="AI89" s="3"/>
      <c r="AJ89" s="3"/>
      <c r="AL89" s="3"/>
      <c r="AM89" s="3"/>
      <c r="AN89" s="3"/>
    </row>
    <row r="90" ht="15.75" customHeight="1">
      <c r="G90" s="3"/>
      <c r="N90" s="62"/>
      <c r="P90" s="63"/>
      <c r="AG90" s="91"/>
      <c r="AH90" s="3"/>
      <c r="AI90" s="3"/>
      <c r="AJ90" s="3"/>
      <c r="AL90" s="3"/>
      <c r="AM90" s="3"/>
      <c r="AN90" s="3"/>
    </row>
    <row r="91" ht="15.75" customHeight="1">
      <c r="G91" s="3"/>
      <c r="N91" s="62"/>
      <c r="P91" s="63"/>
      <c r="AG91" s="91"/>
      <c r="AH91" s="3"/>
      <c r="AI91" s="3"/>
      <c r="AJ91" s="3"/>
      <c r="AL91" s="3"/>
      <c r="AM91" s="3"/>
      <c r="AN91" s="3"/>
    </row>
    <row r="92" ht="15.75" customHeight="1">
      <c r="G92" s="3"/>
      <c r="N92" s="62"/>
      <c r="P92" s="63"/>
      <c r="AG92" s="91"/>
      <c r="AH92" s="3"/>
      <c r="AI92" s="3"/>
      <c r="AJ92" s="3"/>
      <c r="AL92" s="3"/>
      <c r="AM92" s="3"/>
      <c r="AN92" s="3"/>
    </row>
    <row r="93" ht="15.75" customHeight="1">
      <c r="G93" s="3"/>
      <c r="N93" s="62"/>
      <c r="P93" s="63"/>
      <c r="AG93" s="91"/>
      <c r="AH93" s="3"/>
      <c r="AI93" s="3"/>
      <c r="AJ93" s="3"/>
      <c r="AL93" s="3"/>
      <c r="AM93" s="3"/>
      <c r="AN93" s="3"/>
    </row>
    <row r="94" ht="15.75" customHeight="1">
      <c r="G94" s="3"/>
      <c r="N94" s="62"/>
      <c r="P94" s="63"/>
      <c r="AG94" s="91"/>
      <c r="AH94" s="3"/>
      <c r="AI94" s="3"/>
      <c r="AJ94" s="3"/>
      <c r="AL94" s="3"/>
      <c r="AM94" s="3"/>
      <c r="AN94" s="3"/>
    </row>
    <row r="95" ht="15.75" customHeight="1">
      <c r="G95" s="3"/>
      <c r="N95" s="62"/>
      <c r="P95" s="63"/>
      <c r="AG95" s="91"/>
      <c r="AH95" s="3"/>
      <c r="AI95" s="3"/>
      <c r="AJ95" s="3"/>
      <c r="AL95" s="3"/>
      <c r="AM95" s="3"/>
      <c r="AN95" s="3"/>
    </row>
    <row r="96" ht="15.75" customHeight="1">
      <c r="G96" s="3"/>
      <c r="N96" s="62"/>
      <c r="P96" s="63"/>
      <c r="AG96" s="91"/>
      <c r="AH96" s="3"/>
      <c r="AI96" s="3"/>
      <c r="AJ96" s="3"/>
      <c r="AL96" s="3"/>
      <c r="AM96" s="3"/>
      <c r="AN96" s="3"/>
    </row>
    <row r="97" ht="15.75" customHeight="1">
      <c r="G97" s="3"/>
      <c r="N97" s="62"/>
      <c r="P97" s="63"/>
      <c r="AG97" s="91"/>
      <c r="AH97" s="3"/>
      <c r="AI97" s="3"/>
      <c r="AJ97" s="3"/>
      <c r="AL97" s="3"/>
      <c r="AM97" s="3"/>
      <c r="AN97" s="3"/>
    </row>
    <row r="98" ht="15.75" customHeight="1">
      <c r="G98" s="3"/>
      <c r="N98" s="62"/>
      <c r="P98" s="63"/>
      <c r="AG98" s="91"/>
      <c r="AH98" s="3"/>
      <c r="AI98" s="3"/>
      <c r="AJ98" s="3"/>
      <c r="AL98" s="3"/>
      <c r="AM98" s="3"/>
      <c r="AN98" s="3"/>
    </row>
    <row r="99" ht="15.75" customHeight="1">
      <c r="G99" s="3"/>
      <c r="N99" s="62"/>
      <c r="P99" s="63"/>
      <c r="AG99" s="91"/>
      <c r="AH99" s="3"/>
      <c r="AI99" s="3"/>
      <c r="AJ99" s="3"/>
      <c r="AL99" s="3"/>
      <c r="AM99" s="3"/>
      <c r="AN99" s="3"/>
    </row>
    <row r="100" ht="15.75" customHeight="1">
      <c r="G100" s="3"/>
      <c r="N100" s="62"/>
      <c r="P100" s="63"/>
      <c r="AG100" s="91"/>
      <c r="AH100" s="3"/>
      <c r="AI100" s="3"/>
      <c r="AJ100" s="3"/>
      <c r="AL100" s="3"/>
      <c r="AM100" s="3"/>
      <c r="AN100" s="3"/>
    </row>
    <row r="101" ht="15.75" customHeight="1">
      <c r="G101" s="3"/>
      <c r="N101" s="62"/>
      <c r="P101" s="63"/>
      <c r="AG101" s="91"/>
      <c r="AH101" s="3"/>
      <c r="AI101" s="3"/>
      <c r="AJ101" s="3"/>
      <c r="AL101" s="3"/>
      <c r="AM101" s="3"/>
      <c r="AN101" s="3"/>
    </row>
    <row r="102" ht="15.75" customHeight="1">
      <c r="G102" s="3"/>
      <c r="N102" s="62"/>
      <c r="P102" s="63"/>
      <c r="AG102" s="91"/>
      <c r="AH102" s="3"/>
      <c r="AI102" s="3"/>
      <c r="AJ102" s="3"/>
      <c r="AL102" s="3"/>
      <c r="AM102" s="3"/>
      <c r="AN102" s="3"/>
    </row>
    <row r="103" ht="15.75" customHeight="1">
      <c r="G103" s="3"/>
      <c r="N103" s="62"/>
      <c r="P103" s="63"/>
      <c r="AG103" s="91"/>
      <c r="AH103" s="3"/>
      <c r="AI103" s="3"/>
      <c r="AJ103" s="3"/>
      <c r="AL103" s="3"/>
      <c r="AM103" s="3"/>
      <c r="AN103" s="3"/>
    </row>
    <row r="104" ht="15.75" customHeight="1">
      <c r="G104" s="3"/>
      <c r="N104" s="62"/>
      <c r="P104" s="63"/>
      <c r="AG104" s="91"/>
      <c r="AH104" s="3"/>
      <c r="AI104" s="3"/>
      <c r="AJ104" s="3"/>
      <c r="AL104" s="3"/>
      <c r="AM104" s="3"/>
      <c r="AN104" s="3"/>
    </row>
    <row r="105" ht="15.75" customHeight="1">
      <c r="G105" s="3"/>
      <c r="N105" s="62"/>
      <c r="P105" s="63"/>
      <c r="AG105" s="91"/>
      <c r="AH105" s="3"/>
      <c r="AI105" s="3"/>
      <c r="AJ105" s="3"/>
      <c r="AL105" s="3"/>
      <c r="AM105" s="3"/>
      <c r="AN105" s="3"/>
    </row>
    <row r="106" ht="15.75" customHeight="1">
      <c r="G106" s="3"/>
      <c r="N106" s="62"/>
      <c r="P106" s="63"/>
      <c r="AG106" s="91"/>
      <c r="AH106" s="3"/>
      <c r="AI106" s="3"/>
      <c r="AJ106" s="3"/>
      <c r="AL106" s="3"/>
      <c r="AM106" s="3"/>
      <c r="AN106" s="3"/>
    </row>
    <row r="107" ht="15.75" customHeight="1">
      <c r="G107" s="3"/>
      <c r="N107" s="62"/>
      <c r="P107" s="63"/>
      <c r="AG107" s="91"/>
      <c r="AH107" s="3"/>
      <c r="AI107" s="3"/>
      <c r="AJ107" s="3"/>
      <c r="AL107" s="3"/>
      <c r="AM107" s="3"/>
      <c r="AN107" s="3"/>
    </row>
    <row r="108" ht="15.75" customHeight="1">
      <c r="G108" s="3"/>
      <c r="N108" s="62"/>
      <c r="P108" s="63"/>
      <c r="AG108" s="91"/>
      <c r="AH108" s="3"/>
      <c r="AI108" s="3"/>
      <c r="AJ108" s="3"/>
      <c r="AL108" s="3"/>
      <c r="AM108" s="3"/>
      <c r="AN108" s="3"/>
    </row>
    <row r="109" ht="15.75" customHeight="1">
      <c r="G109" s="3"/>
      <c r="N109" s="62"/>
      <c r="P109" s="63"/>
      <c r="AG109" s="91"/>
      <c r="AH109" s="3"/>
      <c r="AI109" s="3"/>
      <c r="AJ109" s="3"/>
      <c r="AL109" s="3"/>
      <c r="AM109" s="3"/>
      <c r="AN109" s="3"/>
    </row>
    <row r="110" ht="15.75" customHeight="1">
      <c r="G110" s="3"/>
      <c r="N110" s="62"/>
      <c r="P110" s="63"/>
      <c r="AG110" s="91"/>
      <c r="AH110" s="3"/>
      <c r="AI110" s="3"/>
      <c r="AJ110" s="3"/>
      <c r="AL110" s="3"/>
      <c r="AM110" s="3"/>
      <c r="AN110" s="3"/>
    </row>
    <row r="111" ht="15.75" customHeight="1">
      <c r="G111" s="3"/>
      <c r="N111" s="62"/>
      <c r="P111" s="63"/>
      <c r="AG111" s="91"/>
      <c r="AH111" s="3"/>
      <c r="AI111" s="3"/>
      <c r="AJ111" s="3"/>
      <c r="AL111" s="3"/>
      <c r="AM111" s="3"/>
      <c r="AN111" s="3"/>
    </row>
    <row r="112" ht="15.75" customHeight="1">
      <c r="G112" s="3"/>
      <c r="N112" s="62"/>
      <c r="P112" s="63"/>
      <c r="AG112" s="91"/>
      <c r="AH112" s="3"/>
      <c r="AI112" s="3"/>
      <c r="AJ112" s="3"/>
      <c r="AL112" s="3"/>
      <c r="AM112" s="3"/>
      <c r="AN112" s="3"/>
    </row>
    <row r="113" ht="15.75" customHeight="1">
      <c r="G113" s="3"/>
      <c r="N113" s="62"/>
      <c r="P113" s="63"/>
      <c r="AG113" s="91"/>
      <c r="AH113" s="3"/>
      <c r="AI113" s="3"/>
      <c r="AJ113" s="3"/>
      <c r="AL113" s="3"/>
      <c r="AM113" s="3"/>
      <c r="AN113" s="3"/>
    </row>
    <row r="114" ht="15.75" customHeight="1">
      <c r="G114" s="3"/>
      <c r="N114" s="62"/>
      <c r="P114" s="63"/>
      <c r="AG114" s="91"/>
      <c r="AH114" s="3"/>
      <c r="AI114" s="3"/>
      <c r="AJ114" s="3"/>
      <c r="AL114" s="3"/>
      <c r="AM114" s="3"/>
      <c r="AN114" s="3"/>
    </row>
    <row r="115" ht="15.75" customHeight="1">
      <c r="G115" s="3"/>
      <c r="N115" s="62"/>
      <c r="P115" s="63"/>
      <c r="AG115" s="91"/>
      <c r="AH115" s="3"/>
      <c r="AI115" s="3"/>
      <c r="AJ115" s="3"/>
      <c r="AL115" s="3"/>
      <c r="AM115" s="3"/>
      <c r="AN115" s="3"/>
    </row>
    <row r="116" ht="15.75" customHeight="1">
      <c r="G116" s="3"/>
      <c r="N116" s="62"/>
      <c r="P116" s="63"/>
      <c r="AG116" s="91"/>
      <c r="AH116" s="3"/>
      <c r="AI116" s="3"/>
      <c r="AJ116" s="3"/>
      <c r="AL116" s="3"/>
      <c r="AM116" s="3"/>
      <c r="AN116" s="3"/>
    </row>
    <row r="117" ht="15.75" customHeight="1">
      <c r="G117" s="3"/>
      <c r="N117" s="62"/>
      <c r="P117" s="63"/>
      <c r="AG117" s="91"/>
      <c r="AH117" s="3"/>
      <c r="AI117" s="3"/>
      <c r="AJ117" s="3"/>
      <c r="AL117" s="3"/>
      <c r="AM117" s="3"/>
      <c r="AN117" s="3"/>
    </row>
    <row r="118" ht="15.75" customHeight="1">
      <c r="G118" s="3"/>
      <c r="N118" s="62"/>
      <c r="P118" s="63"/>
      <c r="AG118" s="91"/>
      <c r="AH118" s="3"/>
      <c r="AI118" s="3"/>
      <c r="AJ118" s="3"/>
      <c r="AL118" s="3"/>
      <c r="AM118" s="3"/>
      <c r="AN118" s="3"/>
    </row>
    <row r="119" ht="15.75" customHeight="1">
      <c r="G119" s="3"/>
      <c r="N119" s="62"/>
      <c r="P119" s="63"/>
      <c r="AG119" s="91"/>
      <c r="AH119" s="3"/>
      <c r="AI119" s="3"/>
      <c r="AJ119" s="3"/>
      <c r="AL119" s="3"/>
      <c r="AM119" s="3"/>
      <c r="AN119" s="3"/>
    </row>
    <row r="120" ht="15.75" customHeight="1">
      <c r="G120" s="3"/>
      <c r="N120" s="62"/>
      <c r="P120" s="63"/>
      <c r="AG120" s="91"/>
      <c r="AH120" s="3"/>
      <c r="AI120" s="3"/>
      <c r="AJ120" s="3"/>
      <c r="AL120" s="3"/>
      <c r="AM120" s="3"/>
      <c r="AN120" s="3"/>
    </row>
    <row r="121" ht="15.75" customHeight="1">
      <c r="G121" s="3"/>
      <c r="N121" s="62"/>
      <c r="P121" s="63"/>
      <c r="AG121" s="91"/>
      <c r="AH121" s="3"/>
      <c r="AI121" s="3"/>
      <c r="AJ121" s="3"/>
      <c r="AL121" s="3"/>
      <c r="AM121" s="3"/>
      <c r="AN121" s="3"/>
    </row>
    <row r="122" ht="15.75" customHeight="1">
      <c r="G122" s="3"/>
      <c r="N122" s="62"/>
      <c r="P122" s="63"/>
      <c r="AG122" s="91"/>
      <c r="AH122" s="3"/>
      <c r="AI122" s="3"/>
      <c r="AJ122" s="3"/>
      <c r="AL122" s="3"/>
      <c r="AM122" s="3"/>
      <c r="AN122" s="3"/>
    </row>
    <row r="123" ht="15.75" customHeight="1">
      <c r="G123" s="3"/>
      <c r="N123" s="62"/>
      <c r="P123" s="63"/>
      <c r="AG123" s="91"/>
      <c r="AH123" s="3"/>
      <c r="AI123" s="3"/>
      <c r="AJ123" s="3"/>
      <c r="AL123" s="3"/>
      <c r="AM123" s="3"/>
      <c r="AN123" s="3"/>
    </row>
    <row r="124" ht="15.75" customHeight="1">
      <c r="G124" s="3"/>
      <c r="N124" s="62"/>
      <c r="P124" s="63"/>
      <c r="AG124" s="91"/>
      <c r="AH124" s="3"/>
      <c r="AI124" s="3"/>
      <c r="AJ124" s="3"/>
      <c r="AL124" s="3"/>
      <c r="AM124" s="3"/>
      <c r="AN124" s="3"/>
    </row>
    <row r="125" ht="15.75" customHeight="1">
      <c r="G125" s="3"/>
      <c r="N125" s="62"/>
      <c r="P125" s="63"/>
      <c r="AG125" s="91"/>
      <c r="AH125" s="3"/>
      <c r="AI125" s="3"/>
      <c r="AJ125" s="3"/>
      <c r="AL125" s="3"/>
      <c r="AM125" s="3"/>
      <c r="AN125" s="3"/>
    </row>
    <row r="126" ht="15.75" customHeight="1">
      <c r="G126" s="3"/>
      <c r="N126" s="62"/>
      <c r="P126" s="63"/>
      <c r="AG126" s="91"/>
      <c r="AH126" s="3"/>
      <c r="AI126" s="3"/>
      <c r="AJ126" s="3"/>
      <c r="AL126" s="3"/>
      <c r="AM126" s="3"/>
      <c r="AN126" s="3"/>
    </row>
    <row r="127" ht="15.75" customHeight="1">
      <c r="G127" s="3"/>
      <c r="N127" s="62"/>
      <c r="P127" s="63"/>
      <c r="AG127" s="91"/>
      <c r="AH127" s="3"/>
      <c r="AI127" s="3"/>
      <c r="AJ127" s="3"/>
      <c r="AL127" s="3"/>
      <c r="AM127" s="3"/>
      <c r="AN127" s="3"/>
    </row>
    <row r="128" ht="15.75" customHeight="1">
      <c r="G128" s="3"/>
      <c r="N128" s="62"/>
      <c r="P128" s="63"/>
      <c r="AG128" s="91"/>
      <c r="AH128" s="3"/>
      <c r="AI128" s="3"/>
      <c r="AJ128" s="3"/>
      <c r="AL128" s="3"/>
      <c r="AM128" s="3"/>
      <c r="AN128" s="3"/>
    </row>
    <row r="129" ht="15.75" customHeight="1">
      <c r="G129" s="3"/>
      <c r="N129" s="62"/>
      <c r="P129" s="63"/>
      <c r="AG129" s="91"/>
      <c r="AH129" s="3"/>
      <c r="AI129" s="3"/>
      <c r="AJ129" s="3"/>
      <c r="AL129" s="3"/>
      <c r="AM129" s="3"/>
      <c r="AN129" s="3"/>
    </row>
    <row r="130" ht="15.75" customHeight="1">
      <c r="G130" s="3"/>
      <c r="N130" s="62"/>
      <c r="P130" s="63"/>
      <c r="AG130" s="91"/>
      <c r="AH130" s="3"/>
      <c r="AI130" s="3"/>
      <c r="AJ130" s="3"/>
      <c r="AL130" s="3"/>
      <c r="AM130" s="3"/>
      <c r="AN130" s="3"/>
    </row>
    <row r="131" ht="15.75" customHeight="1">
      <c r="G131" s="3"/>
      <c r="N131" s="62"/>
      <c r="P131" s="63"/>
      <c r="AG131" s="91"/>
      <c r="AH131" s="3"/>
      <c r="AI131" s="3"/>
      <c r="AJ131" s="3"/>
      <c r="AL131" s="3"/>
      <c r="AM131" s="3"/>
      <c r="AN131" s="3"/>
    </row>
    <row r="132" ht="15.75" customHeight="1">
      <c r="G132" s="3"/>
      <c r="N132" s="62"/>
      <c r="P132" s="63"/>
      <c r="AG132" s="91"/>
      <c r="AH132" s="3"/>
      <c r="AI132" s="3"/>
      <c r="AJ132" s="3"/>
      <c r="AL132" s="3"/>
      <c r="AM132" s="3"/>
      <c r="AN132" s="3"/>
    </row>
    <row r="133" ht="15.75" customHeight="1">
      <c r="G133" s="3"/>
      <c r="N133" s="62"/>
      <c r="P133" s="63"/>
      <c r="AG133" s="91"/>
      <c r="AH133" s="3"/>
      <c r="AI133" s="3"/>
      <c r="AJ133" s="3"/>
      <c r="AL133" s="3"/>
      <c r="AM133" s="3"/>
      <c r="AN133" s="3"/>
    </row>
    <row r="134" ht="15.75" customHeight="1">
      <c r="G134" s="3"/>
      <c r="N134" s="62"/>
      <c r="P134" s="63"/>
      <c r="AG134" s="91"/>
      <c r="AH134" s="3"/>
      <c r="AI134" s="3"/>
      <c r="AJ134" s="3"/>
      <c r="AL134" s="3"/>
      <c r="AM134" s="3"/>
      <c r="AN134" s="3"/>
    </row>
    <row r="135" ht="15.75" customHeight="1">
      <c r="G135" s="3"/>
      <c r="N135" s="62"/>
      <c r="P135" s="63"/>
      <c r="AG135" s="91"/>
      <c r="AH135" s="3"/>
      <c r="AI135" s="3"/>
      <c r="AJ135" s="3"/>
      <c r="AL135" s="3"/>
      <c r="AM135" s="3"/>
      <c r="AN135" s="3"/>
    </row>
    <row r="136" ht="15.75" customHeight="1">
      <c r="G136" s="3"/>
      <c r="N136" s="62"/>
      <c r="P136" s="63"/>
      <c r="AG136" s="91"/>
      <c r="AH136" s="3"/>
      <c r="AI136" s="3"/>
      <c r="AJ136" s="3"/>
      <c r="AL136" s="3"/>
      <c r="AM136" s="3"/>
      <c r="AN136" s="3"/>
    </row>
    <row r="137" ht="15.75" customHeight="1">
      <c r="G137" s="3"/>
      <c r="N137" s="62"/>
      <c r="P137" s="63"/>
      <c r="AG137" s="91"/>
      <c r="AH137" s="3"/>
      <c r="AI137" s="3"/>
      <c r="AJ137" s="3"/>
      <c r="AL137" s="3"/>
      <c r="AM137" s="3"/>
      <c r="AN137" s="3"/>
    </row>
    <row r="138" ht="15.75" customHeight="1">
      <c r="G138" s="3"/>
      <c r="N138" s="62"/>
      <c r="P138" s="63"/>
      <c r="AG138" s="91"/>
      <c r="AH138" s="3"/>
      <c r="AI138" s="3"/>
      <c r="AJ138" s="3"/>
      <c r="AL138" s="3"/>
      <c r="AM138" s="3"/>
      <c r="AN138" s="3"/>
    </row>
    <row r="139" ht="15.75" customHeight="1">
      <c r="G139" s="3"/>
      <c r="N139" s="62"/>
      <c r="P139" s="63"/>
      <c r="AG139" s="91"/>
      <c r="AH139" s="3"/>
      <c r="AI139" s="3"/>
      <c r="AJ139" s="3"/>
      <c r="AL139" s="3"/>
      <c r="AM139" s="3"/>
      <c r="AN139" s="3"/>
    </row>
    <row r="140" ht="15.75" customHeight="1">
      <c r="G140" s="3"/>
      <c r="N140" s="62"/>
      <c r="P140" s="63"/>
      <c r="AG140" s="91"/>
      <c r="AH140" s="3"/>
      <c r="AI140" s="3"/>
      <c r="AJ140" s="3"/>
      <c r="AL140" s="3"/>
      <c r="AM140" s="3"/>
      <c r="AN140" s="3"/>
    </row>
    <row r="141" ht="15.75" customHeight="1">
      <c r="G141" s="3"/>
      <c r="N141" s="62"/>
      <c r="P141" s="63"/>
      <c r="AG141" s="91"/>
      <c r="AH141" s="3"/>
      <c r="AI141" s="3"/>
      <c r="AJ141" s="3"/>
      <c r="AL141" s="3"/>
      <c r="AM141" s="3"/>
      <c r="AN141" s="3"/>
    </row>
    <row r="142" ht="15.75" customHeight="1">
      <c r="G142" s="3"/>
      <c r="N142" s="62"/>
      <c r="P142" s="63"/>
      <c r="AG142" s="91"/>
      <c r="AH142" s="3"/>
      <c r="AI142" s="3"/>
      <c r="AJ142" s="3"/>
      <c r="AL142" s="3"/>
      <c r="AM142" s="3"/>
      <c r="AN142" s="3"/>
    </row>
    <row r="143" ht="15.75" customHeight="1">
      <c r="G143" s="3"/>
      <c r="N143" s="62"/>
      <c r="P143" s="63"/>
      <c r="AG143" s="91"/>
      <c r="AH143" s="3"/>
      <c r="AI143" s="3"/>
      <c r="AJ143" s="3"/>
      <c r="AL143" s="3"/>
      <c r="AM143" s="3"/>
      <c r="AN143" s="3"/>
    </row>
    <row r="144" ht="15.75" customHeight="1">
      <c r="G144" s="3"/>
      <c r="N144" s="62"/>
      <c r="P144" s="63"/>
      <c r="AG144" s="91"/>
      <c r="AH144" s="3"/>
      <c r="AI144" s="3"/>
      <c r="AJ144" s="3"/>
      <c r="AL144" s="3"/>
      <c r="AM144" s="3"/>
      <c r="AN144" s="3"/>
    </row>
    <row r="145" ht="15.75" customHeight="1">
      <c r="G145" s="3"/>
      <c r="N145" s="62"/>
      <c r="P145" s="63"/>
      <c r="AG145" s="91"/>
      <c r="AH145" s="3"/>
      <c r="AI145" s="3"/>
      <c r="AJ145" s="3"/>
      <c r="AL145" s="3"/>
      <c r="AM145" s="3"/>
      <c r="AN145" s="3"/>
    </row>
    <row r="146" ht="15.75" customHeight="1">
      <c r="G146" s="3"/>
      <c r="N146" s="62"/>
      <c r="P146" s="63"/>
      <c r="AG146" s="91"/>
      <c r="AH146" s="3"/>
      <c r="AI146" s="3"/>
      <c r="AJ146" s="3"/>
      <c r="AL146" s="3"/>
      <c r="AM146" s="3"/>
      <c r="AN146" s="3"/>
    </row>
    <row r="147" ht="15.75" customHeight="1">
      <c r="G147" s="3"/>
      <c r="N147" s="62"/>
      <c r="P147" s="63"/>
      <c r="AG147" s="91"/>
      <c r="AH147" s="3"/>
      <c r="AI147" s="3"/>
      <c r="AJ147" s="3"/>
      <c r="AL147" s="3"/>
      <c r="AM147" s="3"/>
      <c r="AN147" s="3"/>
    </row>
    <row r="148" ht="15.75" customHeight="1">
      <c r="G148" s="3"/>
      <c r="N148" s="62"/>
      <c r="P148" s="63"/>
      <c r="AG148" s="91"/>
      <c r="AH148" s="3"/>
      <c r="AI148" s="3"/>
      <c r="AJ148" s="3"/>
      <c r="AL148" s="3"/>
      <c r="AM148" s="3"/>
      <c r="AN148" s="3"/>
    </row>
    <row r="149" ht="15.75" customHeight="1">
      <c r="G149" s="3"/>
      <c r="N149" s="62"/>
      <c r="P149" s="63"/>
      <c r="AG149" s="91"/>
      <c r="AH149" s="3"/>
      <c r="AI149" s="3"/>
      <c r="AJ149" s="3"/>
      <c r="AL149" s="3"/>
      <c r="AM149" s="3"/>
      <c r="AN149" s="3"/>
    </row>
    <row r="150" ht="15.75" customHeight="1">
      <c r="G150" s="3"/>
      <c r="N150" s="62"/>
      <c r="P150" s="63"/>
      <c r="AG150" s="91"/>
      <c r="AH150" s="3"/>
      <c r="AI150" s="3"/>
      <c r="AJ150" s="3"/>
      <c r="AL150" s="3"/>
      <c r="AM150" s="3"/>
      <c r="AN150" s="3"/>
    </row>
    <row r="151" ht="15.75" customHeight="1">
      <c r="G151" s="3"/>
      <c r="N151" s="62"/>
      <c r="P151" s="63"/>
      <c r="AG151" s="91"/>
      <c r="AH151" s="3"/>
      <c r="AI151" s="3"/>
      <c r="AJ151" s="3"/>
      <c r="AL151" s="3"/>
      <c r="AM151" s="3"/>
      <c r="AN151" s="3"/>
    </row>
    <row r="152" ht="15.75" customHeight="1">
      <c r="G152" s="3"/>
      <c r="N152" s="62"/>
      <c r="P152" s="63"/>
      <c r="AG152" s="91"/>
      <c r="AH152" s="3"/>
      <c r="AI152" s="3"/>
      <c r="AJ152" s="3"/>
      <c r="AL152" s="3"/>
      <c r="AM152" s="3"/>
      <c r="AN152" s="3"/>
    </row>
    <row r="153" ht="15.75" customHeight="1">
      <c r="G153" s="3"/>
      <c r="N153" s="62"/>
      <c r="P153" s="63"/>
      <c r="AG153" s="91"/>
      <c r="AH153" s="3"/>
      <c r="AI153" s="3"/>
      <c r="AJ153" s="3"/>
      <c r="AL153" s="3"/>
      <c r="AM153" s="3"/>
      <c r="AN153" s="3"/>
    </row>
    <row r="154" ht="15.75" customHeight="1">
      <c r="G154" s="3"/>
      <c r="N154" s="62"/>
      <c r="P154" s="63"/>
      <c r="AG154" s="91"/>
      <c r="AH154" s="3"/>
      <c r="AI154" s="3"/>
      <c r="AJ154" s="3"/>
      <c r="AL154" s="3"/>
      <c r="AM154" s="3"/>
      <c r="AN154" s="3"/>
    </row>
    <row r="155" ht="15.75" customHeight="1">
      <c r="G155" s="3"/>
      <c r="N155" s="62"/>
      <c r="P155" s="63"/>
      <c r="AG155" s="91"/>
      <c r="AH155" s="3"/>
      <c r="AI155" s="3"/>
      <c r="AJ155" s="3"/>
      <c r="AL155" s="3"/>
      <c r="AM155" s="3"/>
      <c r="AN155" s="3"/>
    </row>
    <row r="156" ht="15.75" customHeight="1">
      <c r="G156" s="3"/>
      <c r="N156" s="62"/>
      <c r="P156" s="63"/>
      <c r="AG156" s="91"/>
      <c r="AH156" s="3"/>
      <c r="AI156" s="3"/>
      <c r="AJ156" s="3"/>
      <c r="AL156" s="3"/>
      <c r="AM156" s="3"/>
      <c r="AN156" s="3"/>
    </row>
    <row r="157" ht="15.75" customHeight="1">
      <c r="G157" s="3"/>
      <c r="N157" s="62"/>
      <c r="P157" s="63"/>
      <c r="AG157" s="91"/>
      <c r="AH157" s="3"/>
      <c r="AI157" s="3"/>
      <c r="AJ157" s="3"/>
      <c r="AL157" s="3"/>
      <c r="AM157" s="3"/>
      <c r="AN157" s="3"/>
    </row>
    <row r="158" ht="15.75" customHeight="1">
      <c r="G158" s="3"/>
      <c r="N158" s="62"/>
      <c r="P158" s="63"/>
      <c r="AG158" s="91"/>
      <c r="AH158" s="3"/>
      <c r="AI158" s="3"/>
      <c r="AJ158" s="3"/>
      <c r="AL158" s="3"/>
      <c r="AM158" s="3"/>
      <c r="AN158" s="3"/>
    </row>
    <row r="159" ht="15.75" customHeight="1">
      <c r="G159" s="3"/>
      <c r="N159" s="62"/>
      <c r="P159" s="63"/>
      <c r="AG159" s="91"/>
      <c r="AH159" s="3"/>
      <c r="AI159" s="3"/>
      <c r="AJ159" s="3"/>
      <c r="AL159" s="3"/>
      <c r="AM159" s="3"/>
      <c r="AN159" s="3"/>
    </row>
    <row r="160" ht="15.75" customHeight="1">
      <c r="G160" s="3"/>
      <c r="N160" s="62"/>
      <c r="P160" s="63"/>
      <c r="AG160" s="91"/>
      <c r="AH160" s="3"/>
      <c r="AI160" s="3"/>
      <c r="AJ160" s="3"/>
      <c r="AL160" s="3"/>
      <c r="AM160" s="3"/>
      <c r="AN160" s="3"/>
    </row>
    <row r="161" ht="15.75" customHeight="1">
      <c r="G161" s="3"/>
      <c r="N161" s="62"/>
      <c r="P161" s="63"/>
      <c r="AG161" s="91"/>
      <c r="AH161" s="3"/>
      <c r="AI161" s="3"/>
      <c r="AJ161" s="3"/>
      <c r="AL161" s="3"/>
      <c r="AM161" s="3"/>
      <c r="AN161" s="3"/>
    </row>
    <row r="162" ht="15.75" customHeight="1">
      <c r="G162" s="3"/>
      <c r="N162" s="62"/>
      <c r="P162" s="63"/>
      <c r="AG162" s="91"/>
      <c r="AH162" s="3"/>
      <c r="AI162" s="3"/>
      <c r="AJ162" s="3"/>
      <c r="AL162" s="3"/>
      <c r="AM162" s="3"/>
      <c r="AN162" s="3"/>
    </row>
    <row r="163" ht="15.75" customHeight="1">
      <c r="G163" s="3"/>
      <c r="N163" s="62"/>
      <c r="P163" s="63"/>
      <c r="AG163" s="91"/>
      <c r="AH163" s="3"/>
      <c r="AI163" s="3"/>
      <c r="AJ163" s="3"/>
      <c r="AL163" s="3"/>
      <c r="AM163" s="3"/>
      <c r="AN163" s="3"/>
    </row>
    <row r="164" ht="15.75" customHeight="1">
      <c r="G164" s="3"/>
      <c r="N164" s="62"/>
      <c r="P164" s="63"/>
      <c r="AG164" s="91"/>
      <c r="AH164" s="3"/>
      <c r="AI164" s="3"/>
      <c r="AJ164" s="3"/>
      <c r="AL164" s="3"/>
      <c r="AM164" s="3"/>
      <c r="AN164" s="3"/>
    </row>
    <row r="165" ht="15.75" customHeight="1">
      <c r="G165" s="3"/>
      <c r="N165" s="62"/>
      <c r="P165" s="63"/>
      <c r="AG165" s="91"/>
      <c r="AH165" s="3"/>
      <c r="AI165" s="3"/>
      <c r="AJ165" s="3"/>
      <c r="AL165" s="3"/>
      <c r="AM165" s="3"/>
      <c r="AN165" s="3"/>
    </row>
    <row r="166" ht="15.75" customHeight="1">
      <c r="G166" s="3"/>
      <c r="N166" s="62"/>
      <c r="P166" s="63"/>
      <c r="AG166" s="91"/>
      <c r="AH166" s="3"/>
      <c r="AI166" s="3"/>
      <c r="AJ166" s="3"/>
      <c r="AL166" s="3"/>
      <c r="AM166" s="3"/>
      <c r="AN166" s="3"/>
    </row>
    <row r="167" ht="15.75" customHeight="1">
      <c r="G167" s="3"/>
      <c r="N167" s="62"/>
      <c r="P167" s="63"/>
      <c r="AG167" s="91"/>
      <c r="AH167" s="3"/>
      <c r="AI167" s="3"/>
      <c r="AJ167" s="3"/>
      <c r="AL167" s="3"/>
      <c r="AM167" s="3"/>
      <c r="AN167" s="3"/>
    </row>
    <row r="168" ht="15.75" customHeight="1">
      <c r="G168" s="3"/>
      <c r="N168" s="62"/>
      <c r="P168" s="63"/>
      <c r="AG168" s="91"/>
      <c r="AH168" s="3"/>
      <c r="AI168" s="3"/>
      <c r="AJ168" s="3"/>
      <c r="AL168" s="3"/>
      <c r="AM168" s="3"/>
      <c r="AN168" s="3"/>
    </row>
    <row r="169" ht="15.75" customHeight="1">
      <c r="G169" s="3"/>
      <c r="N169" s="62"/>
      <c r="P169" s="63"/>
      <c r="AG169" s="91"/>
      <c r="AH169" s="3"/>
      <c r="AI169" s="3"/>
      <c r="AJ169" s="3"/>
      <c r="AL169" s="3"/>
      <c r="AM169" s="3"/>
      <c r="AN169" s="3"/>
    </row>
    <row r="170" ht="15.75" customHeight="1">
      <c r="G170" s="3"/>
      <c r="N170" s="62"/>
      <c r="P170" s="63"/>
      <c r="AG170" s="91"/>
      <c r="AH170" s="3"/>
      <c r="AI170" s="3"/>
      <c r="AJ170" s="3"/>
      <c r="AL170" s="3"/>
      <c r="AM170" s="3"/>
      <c r="AN170" s="3"/>
    </row>
    <row r="171" ht="15.75" customHeight="1">
      <c r="G171" s="3"/>
      <c r="N171" s="62"/>
      <c r="P171" s="63"/>
      <c r="AG171" s="91"/>
      <c r="AH171" s="3"/>
      <c r="AI171" s="3"/>
      <c r="AJ171" s="3"/>
      <c r="AL171" s="3"/>
      <c r="AM171" s="3"/>
      <c r="AN171" s="3"/>
    </row>
    <row r="172" ht="15.75" customHeight="1">
      <c r="G172" s="3"/>
      <c r="N172" s="62"/>
      <c r="P172" s="63"/>
      <c r="AG172" s="91"/>
      <c r="AH172" s="3"/>
      <c r="AI172" s="3"/>
      <c r="AJ172" s="3"/>
      <c r="AL172" s="3"/>
      <c r="AM172" s="3"/>
      <c r="AN172" s="3"/>
    </row>
    <row r="173" ht="15.75" customHeight="1">
      <c r="G173" s="3"/>
      <c r="N173" s="62"/>
      <c r="P173" s="63"/>
      <c r="AG173" s="91"/>
      <c r="AH173" s="3"/>
      <c r="AI173" s="3"/>
      <c r="AJ173" s="3"/>
      <c r="AL173" s="3"/>
      <c r="AM173" s="3"/>
      <c r="AN173" s="3"/>
    </row>
    <row r="174" ht="15.75" customHeight="1">
      <c r="G174" s="3"/>
      <c r="N174" s="62"/>
      <c r="P174" s="63"/>
      <c r="AG174" s="91"/>
      <c r="AH174" s="3"/>
      <c r="AI174" s="3"/>
      <c r="AJ174" s="3"/>
      <c r="AL174" s="3"/>
      <c r="AM174" s="3"/>
      <c r="AN174" s="3"/>
    </row>
    <row r="175" ht="15.75" customHeight="1">
      <c r="G175" s="3"/>
      <c r="N175" s="62"/>
      <c r="P175" s="63"/>
      <c r="AG175" s="91"/>
      <c r="AH175" s="3"/>
      <c r="AI175" s="3"/>
      <c r="AJ175" s="3"/>
      <c r="AL175" s="3"/>
      <c r="AM175" s="3"/>
      <c r="AN175" s="3"/>
    </row>
    <row r="176" ht="15.75" customHeight="1">
      <c r="G176" s="3"/>
      <c r="N176" s="62"/>
      <c r="P176" s="63"/>
      <c r="AG176" s="91"/>
      <c r="AH176" s="3"/>
      <c r="AI176" s="3"/>
      <c r="AJ176" s="3"/>
      <c r="AL176" s="3"/>
      <c r="AM176" s="3"/>
      <c r="AN176" s="3"/>
    </row>
    <row r="177" ht="15.75" customHeight="1">
      <c r="G177" s="3"/>
      <c r="N177" s="62"/>
      <c r="P177" s="63"/>
      <c r="AG177" s="91"/>
      <c r="AH177" s="3"/>
      <c r="AI177" s="3"/>
      <c r="AJ177" s="3"/>
      <c r="AL177" s="3"/>
      <c r="AM177" s="3"/>
      <c r="AN177" s="3"/>
    </row>
    <row r="178" ht="15.75" customHeight="1">
      <c r="G178" s="3"/>
      <c r="N178" s="62"/>
      <c r="P178" s="63"/>
      <c r="AG178" s="91"/>
      <c r="AH178" s="3"/>
      <c r="AI178" s="3"/>
      <c r="AJ178" s="3"/>
      <c r="AL178" s="3"/>
      <c r="AM178" s="3"/>
      <c r="AN178" s="3"/>
    </row>
    <row r="179" ht="15.75" customHeight="1">
      <c r="G179" s="3"/>
      <c r="N179" s="62"/>
      <c r="P179" s="63"/>
      <c r="AG179" s="91"/>
      <c r="AH179" s="3"/>
      <c r="AI179" s="3"/>
      <c r="AJ179" s="3"/>
      <c r="AL179" s="3"/>
      <c r="AM179" s="3"/>
      <c r="AN179" s="3"/>
    </row>
    <row r="180" ht="15.75" customHeight="1">
      <c r="G180" s="3"/>
      <c r="N180" s="62"/>
      <c r="P180" s="63"/>
      <c r="AG180" s="91"/>
      <c r="AH180" s="3"/>
      <c r="AI180" s="3"/>
      <c r="AJ180" s="3"/>
      <c r="AL180" s="3"/>
      <c r="AM180" s="3"/>
      <c r="AN180" s="3"/>
    </row>
    <row r="181" ht="15.75" customHeight="1">
      <c r="G181" s="3"/>
      <c r="N181" s="62"/>
      <c r="P181" s="63"/>
      <c r="AG181" s="91"/>
      <c r="AH181" s="3"/>
      <c r="AI181" s="3"/>
      <c r="AJ181" s="3"/>
      <c r="AL181" s="3"/>
      <c r="AM181" s="3"/>
      <c r="AN181" s="3"/>
    </row>
    <row r="182" ht="15.75" customHeight="1">
      <c r="G182" s="3"/>
      <c r="N182" s="62"/>
      <c r="P182" s="63"/>
      <c r="AG182" s="91"/>
      <c r="AH182" s="3"/>
      <c r="AI182" s="3"/>
      <c r="AJ182" s="3"/>
      <c r="AL182" s="3"/>
      <c r="AM182" s="3"/>
      <c r="AN182" s="3"/>
    </row>
    <row r="183" ht="15.75" customHeight="1">
      <c r="G183" s="3"/>
      <c r="N183" s="62"/>
      <c r="P183" s="63"/>
      <c r="AG183" s="91"/>
      <c r="AH183" s="3"/>
      <c r="AI183" s="3"/>
      <c r="AJ183" s="3"/>
      <c r="AL183" s="3"/>
      <c r="AM183" s="3"/>
      <c r="AN183" s="3"/>
    </row>
    <row r="184" ht="15.75" customHeight="1">
      <c r="G184" s="3"/>
      <c r="N184" s="62"/>
      <c r="P184" s="63"/>
      <c r="AG184" s="91"/>
      <c r="AH184" s="3"/>
      <c r="AI184" s="3"/>
      <c r="AJ184" s="3"/>
      <c r="AL184" s="3"/>
      <c r="AM184" s="3"/>
      <c r="AN184" s="3"/>
    </row>
    <row r="185" ht="15.75" customHeight="1">
      <c r="G185" s="3"/>
      <c r="N185" s="62"/>
      <c r="P185" s="63"/>
      <c r="AG185" s="91"/>
      <c r="AH185" s="3"/>
      <c r="AI185" s="3"/>
      <c r="AJ185" s="3"/>
      <c r="AL185" s="3"/>
      <c r="AM185" s="3"/>
      <c r="AN185" s="3"/>
    </row>
    <row r="186" ht="15.75" customHeight="1">
      <c r="G186" s="3"/>
      <c r="N186" s="62"/>
      <c r="P186" s="63"/>
      <c r="AG186" s="91"/>
      <c r="AH186" s="3"/>
      <c r="AI186" s="3"/>
      <c r="AJ186" s="3"/>
      <c r="AL186" s="3"/>
      <c r="AM186" s="3"/>
      <c r="AN186" s="3"/>
    </row>
    <row r="187" ht="15.75" customHeight="1">
      <c r="G187" s="3"/>
      <c r="N187" s="62"/>
      <c r="P187" s="63"/>
      <c r="AG187" s="91"/>
      <c r="AH187" s="3"/>
      <c r="AI187" s="3"/>
      <c r="AJ187" s="3"/>
      <c r="AL187" s="3"/>
      <c r="AM187" s="3"/>
      <c r="AN187" s="3"/>
    </row>
    <row r="188" ht="15.75" customHeight="1">
      <c r="G188" s="3"/>
      <c r="N188" s="62"/>
      <c r="P188" s="63"/>
      <c r="AG188" s="91"/>
      <c r="AH188" s="3"/>
      <c r="AI188" s="3"/>
      <c r="AJ188" s="3"/>
      <c r="AL188" s="3"/>
      <c r="AM188" s="3"/>
      <c r="AN188" s="3"/>
    </row>
    <row r="189" ht="15.75" customHeight="1">
      <c r="G189" s="3"/>
      <c r="N189" s="62"/>
      <c r="P189" s="63"/>
      <c r="AG189" s="91"/>
      <c r="AH189" s="3"/>
      <c r="AI189" s="3"/>
      <c r="AJ189" s="3"/>
      <c r="AL189" s="3"/>
      <c r="AM189" s="3"/>
      <c r="AN189" s="3"/>
    </row>
    <row r="190" ht="15.75" customHeight="1">
      <c r="G190" s="3"/>
      <c r="N190" s="62"/>
      <c r="P190" s="63"/>
      <c r="AG190" s="91"/>
      <c r="AH190" s="3"/>
      <c r="AI190" s="3"/>
      <c r="AJ190" s="3"/>
      <c r="AL190" s="3"/>
      <c r="AM190" s="3"/>
      <c r="AN190" s="3"/>
    </row>
    <row r="191" ht="15.75" customHeight="1">
      <c r="G191" s="3"/>
      <c r="N191" s="62"/>
      <c r="P191" s="63"/>
      <c r="AG191" s="91"/>
      <c r="AH191" s="3"/>
      <c r="AI191" s="3"/>
      <c r="AJ191" s="3"/>
      <c r="AL191" s="3"/>
      <c r="AM191" s="3"/>
      <c r="AN191" s="3"/>
    </row>
    <row r="192" ht="15.75" customHeight="1">
      <c r="G192" s="3"/>
      <c r="N192" s="62"/>
      <c r="P192" s="63"/>
      <c r="AG192" s="91"/>
      <c r="AH192" s="3"/>
      <c r="AI192" s="3"/>
      <c r="AJ192" s="3"/>
      <c r="AL192" s="3"/>
      <c r="AM192" s="3"/>
      <c r="AN192" s="3"/>
    </row>
    <row r="193" ht="15.75" customHeight="1">
      <c r="G193" s="3"/>
      <c r="N193" s="62"/>
      <c r="P193" s="63"/>
      <c r="AG193" s="91"/>
      <c r="AH193" s="3"/>
      <c r="AI193" s="3"/>
      <c r="AJ193" s="3"/>
      <c r="AL193" s="3"/>
      <c r="AM193" s="3"/>
      <c r="AN193" s="3"/>
    </row>
    <row r="194" ht="15.75" customHeight="1">
      <c r="G194" s="3"/>
      <c r="N194" s="62"/>
      <c r="P194" s="63"/>
      <c r="AG194" s="91"/>
      <c r="AH194" s="3"/>
      <c r="AI194" s="3"/>
      <c r="AJ194" s="3"/>
      <c r="AL194" s="3"/>
      <c r="AM194" s="3"/>
      <c r="AN194" s="3"/>
    </row>
    <row r="195" ht="15.75" customHeight="1">
      <c r="G195" s="3"/>
      <c r="N195" s="62"/>
      <c r="P195" s="63"/>
      <c r="AG195" s="91"/>
      <c r="AH195" s="3"/>
      <c r="AI195" s="3"/>
      <c r="AJ195" s="3"/>
      <c r="AL195" s="3"/>
      <c r="AM195" s="3"/>
      <c r="AN195" s="3"/>
    </row>
    <row r="196" ht="15.75" customHeight="1">
      <c r="G196" s="3"/>
      <c r="N196" s="62"/>
      <c r="P196" s="63"/>
      <c r="AG196" s="91"/>
      <c r="AH196" s="3"/>
      <c r="AI196" s="3"/>
      <c r="AJ196" s="3"/>
      <c r="AL196" s="3"/>
      <c r="AM196" s="3"/>
      <c r="AN196" s="3"/>
    </row>
    <row r="197" ht="15.75" customHeight="1">
      <c r="G197" s="3"/>
      <c r="N197" s="62"/>
      <c r="P197" s="63"/>
      <c r="AG197" s="91"/>
      <c r="AH197" s="3"/>
      <c r="AI197" s="3"/>
      <c r="AJ197" s="3"/>
      <c r="AL197" s="3"/>
      <c r="AM197" s="3"/>
      <c r="AN197" s="3"/>
    </row>
    <row r="198" ht="15.75" customHeight="1">
      <c r="G198" s="3"/>
      <c r="N198" s="62"/>
      <c r="P198" s="63"/>
      <c r="AG198" s="91"/>
      <c r="AH198" s="3"/>
      <c r="AI198" s="3"/>
      <c r="AJ198" s="3"/>
      <c r="AL198" s="3"/>
      <c r="AM198" s="3"/>
      <c r="AN198" s="3"/>
    </row>
    <row r="199" ht="15.75" customHeight="1">
      <c r="G199" s="3"/>
      <c r="N199" s="62"/>
      <c r="P199" s="63"/>
      <c r="AG199" s="91"/>
      <c r="AH199" s="3"/>
      <c r="AI199" s="3"/>
      <c r="AJ199" s="3"/>
      <c r="AL199" s="3"/>
      <c r="AM199" s="3"/>
      <c r="AN199" s="3"/>
    </row>
    <row r="200" ht="15.75" customHeight="1">
      <c r="G200" s="3"/>
      <c r="N200" s="62"/>
      <c r="P200" s="63"/>
      <c r="AG200" s="91"/>
      <c r="AH200" s="3"/>
      <c r="AI200" s="3"/>
      <c r="AJ200" s="3"/>
      <c r="AL200" s="3"/>
      <c r="AM200" s="3"/>
      <c r="AN200" s="3"/>
    </row>
    <row r="201" ht="15.75" customHeight="1">
      <c r="G201" s="3"/>
      <c r="N201" s="62"/>
      <c r="P201" s="63"/>
      <c r="AG201" s="91"/>
      <c r="AH201" s="3"/>
      <c r="AI201" s="3"/>
      <c r="AJ201" s="3"/>
      <c r="AL201" s="3"/>
      <c r="AM201" s="3"/>
      <c r="AN201" s="3"/>
    </row>
    <row r="202" ht="15.75" customHeight="1">
      <c r="G202" s="3"/>
      <c r="N202" s="62"/>
      <c r="P202" s="63"/>
      <c r="AG202" s="91"/>
      <c r="AH202" s="3"/>
      <c r="AI202" s="3"/>
      <c r="AJ202" s="3"/>
      <c r="AL202" s="3"/>
      <c r="AM202" s="3"/>
      <c r="AN202" s="3"/>
    </row>
    <row r="203" ht="15.75" customHeight="1">
      <c r="G203" s="3"/>
      <c r="N203" s="62"/>
      <c r="P203" s="63"/>
      <c r="AG203" s="91"/>
      <c r="AH203" s="3"/>
      <c r="AI203" s="3"/>
      <c r="AJ203" s="3"/>
      <c r="AL203" s="3"/>
      <c r="AM203" s="3"/>
      <c r="AN203" s="3"/>
    </row>
    <row r="204" ht="15.75" customHeight="1">
      <c r="G204" s="3"/>
      <c r="N204" s="62"/>
      <c r="P204" s="63"/>
      <c r="AG204" s="91"/>
      <c r="AH204" s="3"/>
      <c r="AI204" s="3"/>
      <c r="AJ204" s="3"/>
      <c r="AL204" s="3"/>
      <c r="AM204" s="3"/>
      <c r="AN204" s="3"/>
    </row>
    <row r="205" ht="15.75" customHeight="1">
      <c r="G205" s="3"/>
      <c r="N205" s="62"/>
      <c r="P205" s="63"/>
      <c r="AG205" s="91"/>
      <c r="AH205" s="3"/>
      <c r="AI205" s="3"/>
      <c r="AJ205" s="3"/>
      <c r="AL205" s="3"/>
      <c r="AM205" s="3"/>
      <c r="AN205" s="3"/>
    </row>
    <row r="206" ht="15.75" customHeight="1">
      <c r="G206" s="3"/>
      <c r="N206" s="62"/>
      <c r="P206" s="63"/>
      <c r="AG206" s="91"/>
      <c r="AH206" s="3"/>
      <c r="AI206" s="3"/>
      <c r="AJ206" s="3"/>
      <c r="AL206" s="3"/>
      <c r="AM206" s="3"/>
      <c r="AN206" s="3"/>
    </row>
    <row r="207" ht="15.75" customHeight="1">
      <c r="G207" s="3"/>
      <c r="N207" s="62"/>
      <c r="P207" s="63"/>
      <c r="AG207" s="91"/>
      <c r="AH207" s="3"/>
      <c r="AI207" s="3"/>
      <c r="AJ207" s="3"/>
      <c r="AL207" s="3"/>
      <c r="AM207" s="3"/>
      <c r="AN207" s="3"/>
    </row>
    <row r="208" ht="15.75" customHeight="1">
      <c r="G208" s="3"/>
      <c r="N208" s="62"/>
      <c r="P208" s="63"/>
      <c r="AG208" s="91"/>
      <c r="AH208" s="3"/>
      <c r="AI208" s="3"/>
      <c r="AJ208" s="3"/>
      <c r="AL208" s="3"/>
      <c r="AM208" s="3"/>
      <c r="AN208" s="3"/>
    </row>
    <row r="209" ht="15.75" customHeight="1">
      <c r="G209" s="3"/>
      <c r="N209" s="62"/>
      <c r="P209" s="63"/>
      <c r="AG209" s="91"/>
      <c r="AH209" s="3"/>
      <c r="AI209" s="3"/>
      <c r="AJ209" s="3"/>
      <c r="AL209" s="3"/>
      <c r="AM209" s="3"/>
      <c r="AN209" s="3"/>
    </row>
    <row r="210" ht="15.75" customHeight="1">
      <c r="G210" s="3"/>
      <c r="N210" s="62"/>
      <c r="P210" s="63"/>
      <c r="AG210" s="91"/>
      <c r="AH210" s="3"/>
      <c r="AI210" s="3"/>
      <c r="AJ210" s="3"/>
      <c r="AL210" s="3"/>
      <c r="AM210" s="3"/>
      <c r="AN210" s="3"/>
    </row>
    <row r="211" ht="15.75" customHeight="1">
      <c r="G211" s="3"/>
      <c r="N211" s="62"/>
      <c r="P211" s="63"/>
      <c r="AG211" s="91"/>
      <c r="AH211" s="3"/>
      <c r="AI211" s="3"/>
      <c r="AJ211" s="3"/>
      <c r="AL211" s="3"/>
      <c r="AM211" s="3"/>
      <c r="AN211" s="3"/>
    </row>
    <row r="212" ht="15.75" customHeight="1">
      <c r="G212" s="3"/>
      <c r="N212" s="62"/>
      <c r="P212" s="63"/>
      <c r="AG212" s="91"/>
      <c r="AH212" s="3"/>
      <c r="AI212" s="3"/>
      <c r="AJ212" s="3"/>
      <c r="AL212" s="3"/>
      <c r="AM212" s="3"/>
      <c r="AN212" s="3"/>
    </row>
    <row r="213" ht="15.75" customHeight="1">
      <c r="G213" s="3"/>
      <c r="N213" s="62"/>
      <c r="P213" s="63"/>
      <c r="AG213" s="91"/>
      <c r="AH213" s="3"/>
      <c r="AI213" s="3"/>
      <c r="AJ213" s="3"/>
      <c r="AL213" s="3"/>
      <c r="AM213" s="3"/>
      <c r="AN213" s="3"/>
    </row>
    <row r="214" ht="15.75" customHeight="1">
      <c r="G214" s="3"/>
      <c r="N214" s="62"/>
      <c r="P214" s="63"/>
      <c r="AG214" s="91"/>
      <c r="AH214" s="3"/>
      <c r="AI214" s="3"/>
      <c r="AJ214" s="3"/>
      <c r="AL214" s="3"/>
      <c r="AM214" s="3"/>
      <c r="AN214" s="3"/>
    </row>
    <row r="215" ht="15.75" customHeight="1">
      <c r="G215" s="3"/>
      <c r="N215" s="62"/>
      <c r="P215" s="63"/>
      <c r="AG215" s="91"/>
      <c r="AH215" s="3"/>
      <c r="AI215" s="3"/>
      <c r="AJ215" s="3"/>
      <c r="AL215" s="3"/>
      <c r="AM215" s="3"/>
      <c r="AN215" s="3"/>
    </row>
    <row r="216" ht="15.75" customHeight="1">
      <c r="G216" s="3"/>
      <c r="N216" s="62"/>
      <c r="AG216" s="91"/>
      <c r="AH216" s="3"/>
      <c r="AI216" s="3"/>
      <c r="AJ216" s="3"/>
      <c r="AL216" s="3"/>
      <c r="AM216" s="3"/>
      <c r="AN216" s="3"/>
    </row>
    <row r="217" ht="15.75" customHeight="1">
      <c r="G217" s="3"/>
      <c r="AG217" s="91"/>
      <c r="AH217" s="3"/>
      <c r="AI217" s="3"/>
      <c r="AJ217" s="3"/>
      <c r="AL217" s="3"/>
      <c r="AM217" s="3"/>
      <c r="AN217" s="3"/>
    </row>
    <row r="218" ht="15.75" customHeight="1">
      <c r="G218" s="3"/>
      <c r="AG218" s="91"/>
      <c r="AH218" s="3"/>
      <c r="AI218" s="3"/>
      <c r="AJ218" s="3"/>
      <c r="AL218" s="3"/>
      <c r="AM218" s="3"/>
      <c r="AN218" s="3"/>
    </row>
    <row r="219" ht="15.75" customHeight="1">
      <c r="G219" s="3"/>
      <c r="AG219" s="91"/>
      <c r="AH219" s="3"/>
      <c r="AI219" s="3"/>
      <c r="AJ219" s="3"/>
      <c r="AL219" s="3"/>
      <c r="AM219" s="3"/>
      <c r="AN219" s="3"/>
    </row>
    <row r="220" ht="15.75" customHeight="1">
      <c r="G220" s="3"/>
      <c r="AG220" s="91"/>
      <c r="AH220" s="3"/>
      <c r="AI220" s="3"/>
      <c r="AJ220" s="3"/>
      <c r="AL220" s="3"/>
      <c r="AM220" s="3"/>
      <c r="AN220" s="3"/>
    </row>
    <row r="221" ht="15.75" customHeight="1">
      <c r="G221" s="3"/>
      <c r="AG221" s="91"/>
      <c r="AH221" s="3"/>
      <c r="AI221" s="3"/>
      <c r="AJ221" s="3"/>
      <c r="AL221" s="3"/>
      <c r="AM221" s="3"/>
      <c r="AN221" s="3"/>
    </row>
    <row r="222" ht="15.75" customHeight="1">
      <c r="G222" s="3"/>
      <c r="AG222" s="91"/>
      <c r="AH222" s="3"/>
      <c r="AI222" s="3"/>
      <c r="AJ222" s="3"/>
      <c r="AL222" s="3"/>
      <c r="AM222" s="3"/>
      <c r="AN222" s="3"/>
    </row>
    <row r="223" ht="15.75" customHeight="1">
      <c r="G223" s="3"/>
      <c r="AG223" s="91"/>
      <c r="AH223" s="3"/>
      <c r="AI223" s="3"/>
      <c r="AJ223" s="3"/>
      <c r="AL223" s="3"/>
      <c r="AM223" s="3"/>
      <c r="AN223" s="3"/>
    </row>
    <row r="224" ht="15.75" customHeight="1">
      <c r="G224" s="3"/>
      <c r="AG224" s="91"/>
      <c r="AH224" s="3"/>
      <c r="AI224" s="3"/>
      <c r="AJ224" s="3"/>
      <c r="AL224" s="3"/>
      <c r="AM224" s="3"/>
      <c r="AN224" s="3"/>
    </row>
    <row r="225" ht="15.75" customHeight="1">
      <c r="G225" s="3"/>
      <c r="AG225" s="91"/>
      <c r="AH225" s="3"/>
      <c r="AI225" s="3"/>
      <c r="AJ225" s="3"/>
      <c r="AL225" s="3"/>
      <c r="AM225" s="3"/>
      <c r="AN225" s="3"/>
    </row>
    <row r="226" ht="15.75" customHeight="1">
      <c r="G226" s="3"/>
      <c r="AG226" s="91"/>
      <c r="AH226" s="3"/>
      <c r="AI226" s="3"/>
      <c r="AJ226" s="3"/>
      <c r="AL226" s="3"/>
      <c r="AM226" s="3"/>
      <c r="AN226" s="3"/>
    </row>
    <row r="227" ht="15.75" customHeight="1">
      <c r="G227" s="3"/>
      <c r="AG227" s="91"/>
      <c r="AH227" s="3"/>
      <c r="AI227" s="3"/>
      <c r="AJ227" s="3"/>
      <c r="AL227" s="3"/>
      <c r="AM227" s="3"/>
      <c r="AN227" s="3"/>
    </row>
    <row r="228" ht="15.75" customHeight="1">
      <c r="G228" s="3"/>
      <c r="AG228" s="91"/>
      <c r="AH228" s="3"/>
      <c r="AI228" s="3"/>
      <c r="AJ228" s="3"/>
      <c r="AL228" s="3"/>
      <c r="AM228" s="3"/>
      <c r="AN228" s="3"/>
    </row>
    <row r="229" ht="15.75" customHeight="1">
      <c r="G229" s="3"/>
      <c r="AG229" s="91"/>
      <c r="AH229" s="3"/>
      <c r="AI229" s="3"/>
      <c r="AJ229" s="3"/>
      <c r="AL229" s="3"/>
      <c r="AM229" s="3"/>
      <c r="AN229" s="3"/>
    </row>
    <row r="230" ht="15.75" customHeight="1">
      <c r="G230" s="3"/>
      <c r="AG230" s="91"/>
      <c r="AH230" s="3"/>
      <c r="AI230" s="3"/>
      <c r="AJ230" s="3"/>
      <c r="AL230" s="3"/>
      <c r="AM230" s="3"/>
      <c r="AN230" s="3"/>
    </row>
    <row r="231" ht="15.75" customHeight="1">
      <c r="G231" s="3"/>
      <c r="AG231" s="91"/>
      <c r="AH231" s="3"/>
      <c r="AI231" s="3"/>
      <c r="AJ231" s="3"/>
      <c r="AL231" s="3"/>
      <c r="AM231" s="3"/>
      <c r="AN231" s="3"/>
    </row>
    <row r="232" ht="15.75" customHeight="1">
      <c r="G232" s="3"/>
      <c r="AG232" s="91"/>
      <c r="AH232" s="3"/>
      <c r="AI232" s="3"/>
      <c r="AJ232" s="3"/>
      <c r="AL232" s="3"/>
      <c r="AM232" s="3"/>
      <c r="AN232" s="3"/>
    </row>
    <row r="233" ht="15.75" customHeight="1">
      <c r="G233" s="3"/>
      <c r="AG233" s="91"/>
      <c r="AH233" s="3"/>
      <c r="AI233" s="3"/>
      <c r="AJ233" s="3"/>
      <c r="AL233" s="3"/>
      <c r="AM233" s="3"/>
      <c r="AN233" s="3"/>
    </row>
    <row r="234" ht="15.75" customHeight="1">
      <c r="G234" s="3"/>
      <c r="AG234" s="91"/>
      <c r="AH234" s="3"/>
      <c r="AI234" s="3"/>
      <c r="AJ234" s="3"/>
      <c r="AL234" s="3"/>
      <c r="AM234" s="3"/>
      <c r="AN234" s="3"/>
    </row>
    <row r="235" ht="15.75" customHeight="1">
      <c r="G235" s="3"/>
      <c r="AG235" s="91"/>
      <c r="AH235" s="3"/>
      <c r="AI235" s="3"/>
      <c r="AJ235" s="3"/>
      <c r="AL235" s="3"/>
      <c r="AM235" s="3"/>
      <c r="AN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ht="15.75" customHeight="1">
      <c r="AG271" s="91"/>
      <c r="AM271" s="3"/>
      <c r="AN271" s="3"/>
    </row>
    <row r="272" ht="15.75" customHeight="1">
      <c r="AG272" s="91"/>
      <c r="AM272" s="3"/>
      <c r="AN272" s="3"/>
    </row>
    <row r="273" ht="15.75" customHeight="1">
      <c r="AG273" s="91"/>
      <c r="AM273" s="3"/>
      <c r="AN273" s="3"/>
    </row>
    <row r="274" ht="15.75" customHeight="1">
      <c r="AG274" s="91"/>
      <c r="AM274" s="3"/>
      <c r="AN274" s="3"/>
    </row>
    <row r="275" ht="15.75" customHeight="1">
      <c r="AG275" s="91"/>
      <c r="AM275" s="3"/>
      <c r="AN275" s="3"/>
    </row>
    <row r="276" ht="15.75" customHeight="1">
      <c r="AG276" s="91"/>
      <c r="AM276" s="3"/>
      <c r="AN276" s="3"/>
    </row>
    <row r="277" ht="15.75" customHeight="1">
      <c r="AG277" s="91"/>
      <c r="AM277" s="3"/>
      <c r="AN277" s="3"/>
    </row>
    <row r="278" ht="15.75" customHeight="1">
      <c r="AG278" s="91"/>
      <c r="AM278" s="3"/>
      <c r="AN278" s="3"/>
    </row>
    <row r="279" ht="15.75" customHeight="1">
      <c r="AG279" s="91"/>
      <c r="AM279" s="3"/>
      <c r="AN279" s="3"/>
    </row>
    <row r="280" ht="15.75" customHeight="1">
      <c r="AG280" s="91"/>
      <c r="AM280" s="3"/>
      <c r="AN280" s="3"/>
    </row>
    <row r="281" ht="15.75" customHeight="1">
      <c r="AG281" s="91"/>
      <c r="AM281" s="3"/>
      <c r="AN281" s="3"/>
    </row>
    <row r="282" ht="15.75" customHeight="1">
      <c r="AG282" s="91"/>
      <c r="AM282" s="3"/>
      <c r="AN282" s="3"/>
    </row>
    <row r="283" ht="15.75" customHeight="1">
      <c r="AG283" s="91"/>
      <c r="AM283" s="3"/>
      <c r="AN283" s="3"/>
    </row>
    <row r="284" ht="15.75" customHeight="1">
      <c r="AG284" s="91"/>
      <c r="AM284" s="3"/>
      <c r="AN284" s="3"/>
    </row>
    <row r="285" ht="15.75" customHeight="1">
      <c r="AG285" s="91"/>
      <c r="AM285" s="3"/>
      <c r="AN285" s="3"/>
    </row>
    <row r="286" ht="15.75" customHeight="1">
      <c r="AG286" s="91"/>
      <c r="AM286" s="3"/>
      <c r="AN286" s="3"/>
    </row>
    <row r="287" ht="15.75" customHeight="1">
      <c r="AG287" s="91"/>
      <c r="AM287" s="3"/>
      <c r="AN287" s="3"/>
    </row>
    <row r="288" ht="15.75" customHeight="1">
      <c r="AG288" s="91"/>
      <c r="AM288" s="3"/>
      <c r="AN288" s="3"/>
    </row>
    <row r="289" ht="15.75" customHeight="1">
      <c r="AG289" s="91"/>
      <c r="AM289" s="3"/>
      <c r="AN289" s="3"/>
    </row>
    <row r="290" ht="15.75" customHeight="1">
      <c r="AG290" s="91"/>
      <c r="AM290" s="3"/>
      <c r="AN290" s="3"/>
    </row>
    <row r="291" ht="15.75" customHeight="1">
      <c r="AG291" s="91"/>
      <c r="AM291" s="3"/>
      <c r="AN291" s="3"/>
    </row>
    <row r="292" ht="15.75" customHeight="1">
      <c r="AG292" s="91"/>
      <c r="AM292" s="3"/>
      <c r="AN292" s="3"/>
    </row>
    <row r="293" ht="15.75" customHeight="1">
      <c r="AG293" s="91"/>
      <c r="AM293" s="3"/>
      <c r="AN293" s="3"/>
    </row>
    <row r="294" ht="15.75" customHeight="1">
      <c r="AG294" s="91"/>
      <c r="AM294" s="3"/>
      <c r="AN294" s="3"/>
    </row>
    <row r="295" ht="15.75" customHeight="1">
      <c r="AG295" s="91"/>
      <c r="AM295" s="3"/>
      <c r="AN295" s="3"/>
    </row>
    <row r="296" ht="15.75" customHeight="1">
      <c r="AG296" s="91"/>
      <c r="AM296" s="3"/>
      <c r="AN296" s="3"/>
    </row>
    <row r="297" ht="15.75" customHeight="1">
      <c r="AG297" s="91"/>
      <c r="AM297" s="3"/>
      <c r="AN297" s="3"/>
    </row>
    <row r="298" ht="15.75" customHeight="1">
      <c r="AG298" s="91"/>
      <c r="AM298" s="3"/>
      <c r="AN298" s="3"/>
    </row>
    <row r="299" ht="15.75" customHeight="1">
      <c r="AG299" s="91"/>
      <c r="AM299" s="3"/>
      <c r="AN299" s="3"/>
    </row>
    <row r="300" ht="15.75" customHeight="1">
      <c r="AG300" s="91"/>
      <c r="AM300" s="3"/>
      <c r="AN300" s="3"/>
    </row>
    <row r="301" ht="15.75" customHeight="1">
      <c r="AG301" s="91"/>
      <c r="AM301" s="3"/>
      <c r="AN301" s="3"/>
    </row>
    <row r="302" ht="15.75" customHeight="1">
      <c r="AG302" s="91"/>
      <c r="AM302" s="3"/>
      <c r="AN302" s="3"/>
    </row>
    <row r="303" ht="15.75" customHeight="1">
      <c r="AG303" s="91"/>
      <c r="AM303" s="3"/>
      <c r="AN303" s="3"/>
    </row>
    <row r="304" ht="15.75" customHeight="1">
      <c r="AG304" s="91"/>
      <c r="AM304" s="3"/>
      <c r="AN304" s="3"/>
    </row>
    <row r="305" ht="15.75" customHeight="1">
      <c r="AG305" s="91"/>
      <c r="AM305" s="3"/>
      <c r="AN305" s="3"/>
    </row>
    <row r="306" ht="15.75" customHeight="1">
      <c r="AG306" s="91"/>
      <c r="AM306" s="3"/>
      <c r="AN306" s="3"/>
    </row>
    <row r="307" ht="15.75" customHeight="1">
      <c r="AG307" s="91"/>
      <c r="AM307" s="3"/>
      <c r="AN307" s="3"/>
    </row>
    <row r="308" ht="15.75" customHeight="1">
      <c r="AG308" s="91"/>
      <c r="AM308" s="3"/>
      <c r="AN308" s="3"/>
    </row>
    <row r="309" ht="15.75" customHeight="1">
      <c r="AG309" s="91"/>
      <c r="AM309" s="3"/>
      <c r="AN309" s="3"/>
    </row>
    <row r="310" ht="15.75" customHeight="1">
      <c r="AG310" s="91"/>
      <c r="AM310" s="3"/>
      <c r="AN310" s="3"/>
    </row>
    <row r="311" ht="15.75" customHeight="1">
      <c r="AG311" s="91"/>
      <c r="AM311" s="3"/>
      <c r="AN311" s="3"/>
    </row>
    <row r="312" ht="15.75" customHeight="1">
      <c r="AG312" s="91"/>
      <c r="AM312" s="3"/>
      <c r="AN312" s="3"/>
    </row>
    <row r="313" ht="15.75" customHeight="1">
      <c r="AG313" s="91"/>
      <c r="AM313" s="3"/>
      <c r="AN313" s="3"/>
    </row>
    <row r="314" ht="15.75" customHeight="1">
      <c r="AG314" s="91"/>
      <c r="AM314" s="3"/>
      <c r="AN314" s="3"/>
    </row>
    <row r="315" ht="15.75" customHeight="1">
      <c r="AG315" s="91"/>
      <c r="AM315" s="3"/>
      <c r="AN315" s="3"/>
    </row>
    <row r="316" ht="15.75" customHeight="1">
      <c r="AG316" s="91"/>
      <c r="AM316" s="3"/>
      <c r="AN316" s="3"/>
    </row>
    <row r="317" ht="15.75" customHeight="1">
      <c r="AG317" s="91"/>
      <c r="AM317" s="3"/>
      <c r="AN317" s="3"/>
    </row>
    <row r="318" ht="15.75" customHeight="1">
      <c r="AG318" s="91"/>
      <c r="AM318" s="3"/>
      <c r="AN318" s="3"/>
    </row>
    <row r="319" ht="15.75" customHeight="1">
      <c r="AG319" s="91"/>
      <c r="AM319" s="3"/>
      <c r="AN319" s="3"/>
    </row>
    <row r="320" ht="15.75" customHeight="1">
      <c r="AG320" s="91"/>
      <c r="AM320" s="3"/>
      <c r="AN320" s="3"/>
    </row>
    <row r="321" ht="15.75" customHeight="1">
      <c r="AG321" s="91"/>
      <c r="AM321" s="3"/>
      <c r="AN321" s="3"/>
    </row>
    <row r="322" ht="15.75" customHeight="1">
      <c r="AG322" s="91"/>
      <c r="AM322" s="3"/>
      <c r="AN322" s="3"/>
    </row>
    <row r="323" ht="15.75" customHeight="1">
      <c r="AG323" s="91"/>
      <c r="AM323" s="3"/>
      <c r="AN323" s="3"/>
    </row>
    <row r="324" ht="15.75" customHeight="1">
      <c r="AG324" s="91"/>
      <c r="AM324" s="3"/>
      <c r="AN324" s="3"/>
    </row>
    <row r="325" ht="15.75" customHeight="1">
      <c r="AG325" s="91"/>
      <c r="AM325" s="3"/>
      <c r="AN325" s="3"/>
    </row>
    <row r="326" ht="15.75" customHeight="1">
      <c r="AG326" s="91"/>
      <c r="AM326" s="3"/>
      <c r="AN326" s="3"/>
    </row>
    <row r="327" ht="15.75" customHeight="1">
      <c r="AG327" s="91"/>
      <c r="AM327" s="3"/>
      <c r="AN327" s="3"/>
    </row>
    <row r="328" ht="15.75" customHeight="1">
      <c r="AG328" s="91"/>
      <c r="AM328" s="3"/>
      <c r="AN328" s="3"/>
    </row>
    <row r="329" ht="15.75" customHeight="1">
      <c r="AG329" s="91"/>
      <c r="AM329" s="3"/>
      <c r="AN329" s="3"/>
    </row>
    <row r="330" ht="15.75" customHeight="1">
      <c r="AG330" s="91"/>
      <c r="AM330" s="3"/>
      <c r="AN330" s="3"/>
    </row>
    <row r="331" ht="15.75" customHeight="1">
      <c r="AG331" s="91"/>
      <c r="AM331" s="3"/>
      <c r="AN331" s="3"/>
    </row>
    <row r="332" ht="15.75" customHeight="1">
      <c r="AG332" s="91"/>
      <c r="AM332" s="3"/>
      <c r="AN332" s="3"/>
    </row>
    <row r="333" ht="15.75" customHeight="1">
      <c r="AG333" s="91"/>
      <c r="AM333" s="3"/>
      <c r="AN333" s="3"/>
    </row>
    <row r="334" ht="15.75" customHeight="1">
      <c r="AG334" s="91"/>
      <c r="AM334" s="3"/>
      <c r="AN334" s="3"/>
    </row>
    <row r="335" ht="15.75" customHeight="1">
      <c r="AG335" s="91"/>
      <c r="AM335" s="3"/>
      <c r="AN335" s="3"/>
    </row>
    <row r="336" ht="15.75" customHeight="1">
      <c r="AG336" s="91"/>
      <c r="AM336" s="3"/>
      <c r="AN336" s="3"/>
    </row>
    <row r="337" ht="15.75" customHeight="1">
      <c r="AG337" s="91"/>
      <c r="AM337" s="3"/>
      <c r="AN337" s="3"/>
    </row>
    <row r="338" ht="15.75" customHeight="1">
      <c r="AG338" s="91"/>
      <c r="AM338" s="3"/>
      <c r="AN338" s="3"/>
    </row>
    <row r="339" ht="15.75" customHeight="1">
      <c r="AG339" s="91"/>
      <c r="AM339" s="3"/>
      <c r="AN339" s="3"/>
    </row>
    <row r="340" ht="15.75" customHeight="1">
      <c r="AG340" s="91"/>
      <c r="AM340" s="3"/>
      <c r="AN340" s="3"/>
    </row>
    <row r="341" ht="15.75" customHeight="1">
      <c r="AG341" s="91"/>
      <c r="AM341" s="3"/>
      <c r="AN341" s="3"/>
    </row>
    <row r="342" ht="15.75" customHeight="1">
      <c r="AG342" s="91"/>
      <c r="AM342" s="3"/>
      <c r="AN342" s="3"/>
    </row>
    <row r="343" ht="15.75" customHeight="1">
      <c r="AG343" s="91"/>
      <c r="AM343" s="3"/>
      <c r="AN343" s="3"/>
    </row>
    <row r="344" ht="15.75" customHeight="1">
      <c r="AG344" s="91"/>
      <c r="AM344" s="3"/>
      <c r="AN344" s="3"/>
    </row>
    <row r="345" ht="15.75" customHeight="1">
      <c r="AG345" s="91"/>
      <c r="AM345" s="3"/>
      <c r="AN345" s="3"/>
    </row>
    <row r="346" ht="15.75" customHeight="1">
      <c r="AG346" s="91"/>
      <c r="AM346" s="3"/>
      <c r="AN346" s="3"/>
    </row>
    <row r="347" ht="15.75" customHeight="1">
      <c r="AG347" s="91"/>
      <c r="AM347" s="3"/>
      <c r="AN347" s="3"/>
    </row>
    <row r="348" ht="15.75" customHeight="1">
      <c r="AG348" s="91"/>
      <c r="AM348" s="3"/>
      <c r="AN348" s="3"/>
    </row>
    <row r="349" ht="15.75" customHeight="1">
      <c r="AG349" s="91"/>
      <c r="AM349" s="3"/>
      <c r="AN349" s="3"/>
    </row>
    <row r="350" ht="15.75" customHeight="1">
      <c r="AG350" s="91"/>
      <c r="AM350" s="3"/>
      <c r="AN350" s="3"/>
    </row>
    <row r="351" ht="15.75" customHeight="1">
      <c r="AG351" s="91"/>
      <c r="AM351" s="3"/>
      <c r="AN351" s="3"/>
    </row>
    <row r="352" ht="15.75" customHeight="1">
      <c r="AG352" s="91"/>
      <c r="AM352" s="3"/>
      <c r="AN352" s="3"/>
    </row>
    <row r="353" ht="15.75" customHeight="1">
      <c r="AG353" s="91"/>
      <c r="AM353" s="3"/>
      <c r="AN353" s="3"/>
    </row>
    <row r="354" ht="15.75" customHeight="1">
      <c r="AG354" s="91"/>
      <c r="AM354" s="3"/>
      <c r="AN354" s="3"/>
    </row>
    <row r="355" ht="15.75" customHeight="1">
      <c r="AG355" s="91"/>
      <c r="AM355" s="3"/>
      <c r="AN355" s="3"/>
    </row>
    <row r="356" ht="15.75" customHeight="1">
      <c r="AG356" s="91"/>
      <c r="AM356" s="3"/>
      <c r="AN356" s="3"/>
    </row>
    <row r="357" ht="15.75" customHeight="1">
      <c r="AG357" s="91"/>
      <c r="AM357" s="3"/>
      <c r="AN357" s="3"/>
    </row>
    <row r="358" ht="15.75" customHeight="1">
      <c r="AG358" s="91"/>
      <c r="AM358" s="3"/>
      <c r="AN358" s="3"/>
    </row>
    <row r="359" ht="15.75" customHeight="1">
      <c r="AG359" s="91"/>
      <c r="AM359" s="3"/>
      <c r="AN359" s="3"/>
    </row>
    <row r="360" ht="15.75" customHeight="1">
      <c r="AG360" s="91"/>
      <c r="AM360" s="3"/>
      <c r="AN360" s="3"/>
    </row>
    <row r="361" ht="15.75" customHeight="1">
      <c r="AG361" s="91"/>
      <c r="AM361" s="3"/>
      <c r="AN361" s="3"/>
    </row>
    <row r="362" ht="15.75" customHeight="1">
      <c r="AG362" s="91"/>
      <c r="AM362" s="3"/>
      <c r="AN362" s="3"/>
    </row>
    <row r="363" ht="15.75" customHeight="1">
      <c r="AG363" s="91"/>
      <c r="AM363" s="3"/>
      <c r="AN363" s="3"/>
    </row>
    <row r="364" ht="15.75" customHeight="1">
      <c r="AG364" s="91"/>
      <c r="AM364" s="3"/>
      <c r="AN364" s="3"/>
    </row>
    <row r="365" ht="15.75" customHeight="1">
      <c r="AG365" s="91"/>
      <c r="AM365" s="3"/>
      <c r="AN365" s="3"/>
    </row>
    <row r="366" ht="15.75" customHeight="1">
      <c r="AG366" s="91"/>
      <c r="AM366" s="3"/>
      <c r="AN366" s="3"/>
    </row>
    <row r="367" ht="15.75" customHeight="1">
      <c r="AG367" s="91"/>
      <c r="AM367" s="3"/>
      <c r="AN367" s="3"/>
    </row>
    <row r="368" ht="15.75" customHeight="1">
      <c r="AG368" s="91"/>
      <c r="AM368" s="3"/>
      <c r="AN368" s="3"/>
    </row>
    <row r="369" ht="15.75" customHeight="1">
      <c r="AG369" s="91"/>
      <c r="AM369" s="3"/>
      <c r="AN369" s="3"/>
    </row>
    <row r="370" ht="15.75" customHeight="1">
      <c r="AG370" s="91"/>
      <c r="AM370" s="3"/>
      <c r="AN370" s="3"/>
    </row>
    <row r="371" ht="15.75" customHeight="1">
      <c r="AG371" s="91"/>
      <c r="AM371" s="3"/>
      <c r="AN371" s="3"/>
    </row>
    <row r="372" ht="15.75" customHeight="1">
      <c r="AG372" s="91"/>
      <c r="AM372" s="3"/>
      <c r="AN372" s="3"/>
    </row>
    <row r="373" ht="15.75" customHeight="1">
      <c r="AG373" s="91"/>
      <c r="AM373" s="3"/>
      <c r="AN373" s="3"/>
    </row>
    <row r="374" ht="15.75" customHeight="1">
      <c r="AG374" s="91"/>
      <c r="AM374" s="3"/>
      <c r="AN374" s="3"/>
    </row>
    <row r="375" ht="15.75" customHeight="1">
      <c r="AG375" s="91"/>
      <c r="AM375" s="3"/>
      <c r="AN375" s="3"/>
    </row>
    <row r="376" ht="15.75" customHeight="1">
      <c r="AG376" s="91"/>
      <c r="AM376" s="3"/>
      <c r="AN376" s="3"/>
    </row>
    <row r="377" ht="15.75" customHeight="1">
      <c r="AG377" s="91"/>
      <c r="AM377" s="3"/>
      <c r="AN377" s="3"/>
    </row>
    <row r="378" ht="15.75" customHeight="1">
      <c r="AG378" s="91"/>
      <c r="AM378" s="3"/>
      <c r="AN378" s="3"/>
    </row>
    <row r="379" ht="15.75" customHeight="1">
      <c r="AG379" s="91"/>
      <c r="AM379" s="3"/>
      <c r="AN379" s="3"/>
    </row>
    <row r="380" ht="15.75" customHeight="1">
      <c r="AG380" s="91"/>
      <c r="AM380" s="3"/>
      <c r="AN380" s="3"/>
    </row>
    <row r="381" ht="15.75" customHeight="1">
      <c r="AG381" s="91"/>
      <c r="AM381" s="3"/>
      <c r="AN381" s="3"/>
    </row>
    <row r="382" ht="15.75" customHeight="1">
      <c r="AG382" s="91"/>
      <c r="AM382" s="3"/>
      <c r="AN382" s="3"/>
    </row>
    <row r="383" ht="15.75" customHeight="1">
      <c r="AG383" s="91"/>
      <c r="AM383" s="3"/>
      <c r="AN383" s="3"/>
    </row>
    <row r="384" ht="15.75" customHeight="1">
      <c r="AG384" s="91"/>
      <c r="AM384" s="3"/>
      <c r="AN384" s="3"/>
    </row>
    <row r="385" ht="15.75" customHeight="1">
      <c r="AG385" s="91"/>
      <c r="AM385" s="3"/>
      <c r="AN385" s="3"/>
    </row>
    <row r="386" ht="15.75" customHeight="1">
      <c r="AG386" s="91"/>
      <c r="AM386" s="3"/>
      <c r="AN386" s="3"/>
    </row>
    <row r="387" ht="15.75" customHeight="1">
      <c r="AG387" s="91"/>
      <c r="AM387" s="3"/>
      <c r="AN387" s="3"/>
    </row>
    <row r="388" ht="15.75" customHeight="1">
      <c r="AG388" s="91"/>
      <c r="AM388" s="3"/>
      <c r="AN388" s="3"/>
    </row>
    <row r="389" ht="15.75" customHeight="1">
      <c r="AG389" s="91"/>
      <c r="AM389" s="3"/>
      <c r="AN389" s="3"/>
    </row>
    <row r="390" ht="15.75" customHeight="1">
      <c r="AG390" s="91"/>
      <c r="AM390" s="3"/>
      <c r="AN390" s="3"/>
    </row>
    <row r="391" ht="15.75" customHeight="1">
      <c r="AG391" s="91"/>
      <c r="AM391" s="3"/>
      <c r="AN391" s="3"/>
    </row>
    <row r="392" ht="15.75" customHeight="1">
      <c r="AG392" s="91"/>
      <c r="AM392" s="3"/>
      <c r="AN392" s="3"/>
    </row>
    <row r="393" ht="15.75" customHeight="1">
      <c r="AG393" s="91"/>
      <c r="AM393" s="3"/>
      <c r="AN393" s="3"/>
    </row>
    <row r="394" ht="15.75" customHeight="1">
      <c r="AG394" s="91"/>
      <c r="AM394" s="3"/>
      <c r="AN394" s="3"/>
    </row>
    <row r="395" ht="15.75" customHeight="1">
      <c r="AG395" s="91"/>
      <c r="AM395" s="3"/>
      <c r="AN395" s="3"/>
    </row>
    <row r="396" ht="15.75" customHeight="1">
      <c r="AG396" s="91"/>
      <c r="AM396" s="3"/>
      <c r="AN396" s="3"/>
    </row>
    <row r="397" ht="15.75" customHeight="1">
      <c r="AG397" s="91"/>
      <c r="AM397" s="3"/>
      <c r="AN397" s="3"/>
    </row>
    <row r="398" ht="15.75" customHeight="1">
      <c r="AG398" s="91"/>
      <c r="AM398" s="3"/>
      <c r="AN398" s="3"/>
    </row>
    <row r="399" ht="15.75" customHeight="1">
      <c r="AG399" s="91"/>
      <c r="AM399" s="3"/>
      <c r="AN399" s="3"/>
    </row>
    <row r="400" ht="15.75" customHeight="1">
      <c r="AG400" s="91"/>
      <c r="AM400" s="3"/>
      <c r="AN400" s="3"/>
    </row>
    <row r="401" ht="15.75" customHeight="1">
      <c r="AG401" s="91"/>
      <c r="AM401" s="3"/>
      <c r="AN401" s="3"/>
    </row>
    <row r="402" ht="15.75" customHeight="1">
      <c r="AG402" s="91"/>
      <c r="AM402" s="3"/>
      <c r="AN402" s="3"/>
    </row>
    <row r="403" ht="15.75" customHeight="1">
      <c r="AG403" s="91"/>
      <c r="AM403" s="3"/>
      <c r="AN403" s="3"/>
    </row>
    <row r="404" ht="15.75" customHeight="1">
      <c r="AG404" s="91"/>
      <c r="AM404" s="3"/>
      <c r="AN404" s="3"/>
    </row>
    <row r="405" ht="15.75" customHeight="1">
      <c r="AG405" s="91"/>
      <c r="AM405" s="3"/>
      <c r="AN405" s="3"/>
    </row>
    <row r="406" ht="15.75" customHeight="1">
      <c r="AG406" s="91"/>
      <c r="AM406" s="3"/>
      <c r="AN406" s="3"/>
    </row>
    <row r="407" ht="15.75" customHeight="1">
      <c r="AG407" s="91"/>
      <c r="AM407" s="3"/>
      <c r="AN407" s="3"/>
    </row>
    <row r="408" ht="15.75" customHeight="1">
      <c r="AG408" s="91"/>
      <c r="AM408" s="3"/>
      <c r="AN408" s="3"/>
    </row>
    <row r="409" ht="15.75" customHeight="1">
      <c r="AG409" s="91"/>
      <c r="AM409" s="3"/>
      <c r="AN409" s="3"/>
    </row>
    <row r="410" ht="15.75" customHeight="1">
      <c r="AG410" s="91"/>
      <c r="AM410" s="3"/>
      <c r="AN410" s="3"/>
    </row>
    <row r="411" ht="15.75" customHeight="1">
      <c r="AG411" s="91"/>
      <c r="AM411" s="3"/>
      <c r="AN411" s="3"/>
    </row>
    <row r="412" ht="15.75" customHeight="1">
      <c r="AG412" s="91"/>
      <c r="AM412" s="3"/>
      <c r="AN412" s="3"/>
    </row>
    <row r="413" ht="15.75" customHeight="1">
      <c r="AG413" s="91"/>
      <c r="AM413" s="3"/>
      <c r="AN413" s="3"/>
    </row>
    <row r="414" ht="15.75" customHeight="1">
      <c r="AG414" s="91"/>
      <c r="AM414" s="3"/>
      <c r="AN414" s="3"/>
    </row>
    <row r="415" ht="15.75" customHeight="1">
      <c r="AG415" s="91"/>
      <c r="AM415" s="3"/>
      <c r="AN415" s="3"/>
    </row>
    <row r="416" ht="15.75" customHeight="1">
      <c r="AG416" s="91"/>
      <c r="AM416" s="3"/>
      <c r="AN416" s="3"/>
    </row>
    <row r="417" ht="15.75" customHeight="1">
      <c r="AG417" s="91"/>
      <c r="AM417" s="3"/>
      <c r="AN417" s="3"/>
    </row>
    <row r="418" ht="15.75" customHeight="1">
      <c r="AG418" s="91"/>
      <c r="AM418" s="3"/>
      <c r="AN418" s="3"/>
    </row>
    <row r="419" ht="15.75" customHeight="1">
      <c r="AG419" s="91"/>
      <c r="AM419" s="3"/>
      <c r="AN419" s="3"/>
    </row>
    <row r="420" ht="15.75" customHeight="1">
      <c r="AG420" s="91"/>
      <c r="AM420" s="3"/>
      <c r="AN420" s="3"/>
    </row>
    <row r="421" ht="15.75" customHeight="1">
      <c r="AG421" s="91"/>
      <c r="AM421" s="3"/>
      <c r="AN421" s="3"/>
    </row>
    <row r="422" ht="15.75" customHeight="1">
      <c r="AG422" s="91"/>
      <c r="AM422" s="3"/>
      <c r="AN422" s="3"/>
    </row>
    <row r="423" ht="15.75" customHeight="1">
      <c r="AG423" s="91"/>
      <c r="AM423" s="3"/>
      <c r="AN423" s="3"/>
    </row>
    <row r="424" ht="15.75" customHeight="1">
      <c r="AG424" s="91"/>
      <c r="AM424" s="3"/>
      <c r="AN424" s="3"/>
    </row>
    <row r="425" ht="15.75" customHeight="1">
      <c r="AG425" s="91"/>
      <c r="AM425" s="3"/>
      <c r="AN425" s="3"/>
    </row>
    <row r="426" ht="15.75" customHeight="1">
      <c r="AG426" s="91"/>
      <c r="AM426" s="3"/>
      <c r="AN426" s="3"/>
    </row>
    <row r="427" ht="15.75" customHeight="1">
      <c r="AG427" s="91"/>
      <c r="AM427" s="3"/>
      <c r="AN427" s="3"/>
    </row>
    <row r="428" ht="15.75" customHeight="1">
      <c r="AG428" s="91"/>
      <c r="AM428" s="3"/>
      <c r="AN428" s="3"/>
    </row>
    <row r="429" ht="15.75" customHeight="1">
      <c r="AG429" s="91"/>
      <c r="AM429" s="3"/>
      <c r="AN429" s="3"/>
    </row>
    <row r="430" ht="15.75" customHeight="1">
      <c r="AG430" s="91"/>
      <c r="AM430" s="3"/>
      <c r="AN430" s="3"/>
    </row>
    <row r="431" ht="15.75" customHeight="1">
      <c r="AG431" s="91"/>
      <c r="AM431" s="3"/>
      <c r="AN431" s="3"/>
    </row>
    <row r="432" ht="15.75" customHeight="1">
      <c r="AG432" s="91"/>
      <c r="AM432" s="3"/>
      <c r="AN432" s="3"/>
    </row>
    <row r="433" ht="15.75" customHeight="1">
      <c r="AG433" s="91"/>
      <c r="AM433" s="3"/>
      <c r="AN433" s="3"/>
    </row>
    <row r="434" ht="15.75" customHeight="1">
      <c r="AG434" s="91"/>
      <c r="AM434" s="3"/>
      <c r="AN434" s="3"/>
    </row>
    <row r="435" ht="15.75" customHeight="1">
      <c r="AG435" s="91"/>
      <c r="AM435" s="3"/>
      <c r="AN435" s="3"/>
    </row>
    <row r="436" ht="15.75" customHeight="1">
      <c r="AG436" s="91"/>
      <c r="AM436" s="3"/>
      <c r="AN436" s="3"/>
    </row>
    <row r="437" ht="15.75" customHeight="1">
      <c r="AG437" s="91"/>
      <c r="AM437" s="3"/>
      <c r="AN437" s="3"/>
    </row>
    <row r="438" ht="15.75" customHeight="1">
      <c r="AG438" s="91"/>
      <c r="AM438" s="3"/>
      <c r="AN438" s="3"/>
    </row>
    <row r="439" ht="15.75" customHeight="1">
      <c r="AG439" s="91"/>
      <c r="AM439" s="3"/>
      <c r="AN439" s="3"/>
    </row>
    <row r="440" ht="15.75" customHeight="1">
      <c r="AG440" s="91"/>
      <c r="AM440" s="3"/>
      <c r="AN440" s="3"/>
    </row>
    <row r="441" ht="15.75" customHeight="1">
      <c r="AG441" s="91"/>
      <c r="AM441" s="3"/>
      <c r="AN441" s="3"/>
    </row>
    <row r="442" ht="15.75" customHeight="1">
      <c r="AG442" s="91"/>
      <c r="AM442" s="3"/>
      <c r="AN442" s="3"/>
    </row>
    <row r="443" ht="15.75" customHeight="1">
      <c r="AG443" s="91"/>
      <c r="AM443" s="3"/>
      <c r="AN443" s="3"/>
    </row>
    <row r="444" ht="15.75" customHeight="1">
      <c r="AG444" s="91"/>
      <c r="AM444" s="3"/>
      <c r="AN444" s="3"/>
    </row>
    <row r="445" ht="15.75" customHeight="1">
      <c r="AG445" s="91"/>
      <c r="AM445" s="3"/>
      <c r="AN445" s="3"/>
    </row>
    <row r="446" ht="15.75" customHeight="1">
      <c r="AG446" s="91"/>
      <c r="AM446" s="3"/>
      <c r="AN446" s="3"/>
    </row>
    <row r="447" ht="15.75" customHeight="1">
      <c r="AG447" s="91"/>
      <c r="AM447" s="3"/>
      <c r="AN447" s="3"/>
    </row>
    <row r="448" ht="15.75" customHeight="1">
      <c r="AG448" s="91"/>
      <c r="AM448" s="3"/>
      <c r="AN448" s="3"/>
    </row>
    <row r="449" ht="15.75" customHeight="1">
      <c r="AG449" s="91"/>
      <c r="AM449" s="3"/>
      <c r="AN449" s="3"/>
    </row>
    <row r="450" ht="15.75" customHeight="1">
      <c r="AG450" s="91"/>
      <c r="AM450" s="3"/>
      <c r="AN450" s="3"/>
    </row>
    <row r="451" ht="15.75" customHeight="1">
      <c r="AG451" s="91"/>
      <c r="AM451" s="3"/>
      <c r="AN451" s="3"/>
    </row>
    <row r="452" ht="15.75" customHeight="1">
      <c r="AG452" s="91"/>
      <c r="AM452" s="3"/>
      <c r="AN452" s="3"/>
    </row>
    <row r="453" ht="15.75" customHeight="1">
      <c r="AG453" s="91"/>
      <c r="AM453" s="3"/>
      <c r="AN453" s="3"/>
    </row>
    <row r="454" ht="15.75" customHeight="1">
      <c r="AG454" s="91"/>
      <c r="AM454" s="3"/>
      <c r="AN454" s="3"/>
    </row>
    <row r="455" ht="15.75" customHeight="1">
      <c r="AG455" s="91"/>
      <c r="AM455" s="3"/>
      <c r="AN455" s="3"/>
    </row>
    <row r="456" ht="15.75" customHeight="1">
      <c r="AG456" s="91"/>
      <c r="AM456" s="3"/>
      <c r="AN456" s="3"/>
    </row>
    <row r="457" ht="15.75" customHeight="1">
      <c r="AG457" s="91"/>
      <c r="AM457" s="3"/>
      <c r="AN457" s="3"/>
    </row>
    <row r="458" ht="15.75" customHeight="1">
      <c r="AG458" s="91"/>
      <c r="AM458" s="3"/>
      <c r="AN458" s="3"/>
    </row>
    <row r="459" ht="15.75" customHeight="1">
      <c r="AG459" s="91"/>
      <c r="AM459" s="3"/>
      <c r="AN459" s="3"/>
    </row>
    <row r="460" ht="15.75" customHeight="1">
      <c r="AG460" s="91"/>
      <c r="AM460" s="3"/>
      <c r="AN460" s="3"/>
    </row>
    <row r="461" ht="15.75" customHeight="1">
      <c r="AG461" s="91"/>
      <c r="AM461" s="3"/>
      <c r="AN461" s="3"/>
    </row>
    <row r="462" ht="15.75" customHeight="1">
      <c r="AG462" s="91"/>
      <c r="AM462" s="3"/>
      <c r="AN462" s="3"/>
    </row>
    <row r="463" ht="15.75" customHeight="1">
      <c r="AG463" s="91"/>
      <c r="AM463" s="3"/>
      <c r="AN463" s="3"/>
    </row>
    <row r="464" ht="15.75" customHeight="1">
      <c r="AG464" s="91"/>
      <c r="AM464" s="3"/>
      <c r="AN464" s="3"/>
    </row>
    <row r="465" ht="15.75" customHeight="1">
      <c r="AG465" s="91"/>
      <c r="AM465" s="3"/>
      <c r="AN465" s="3"/>
    </row>
    <row r="466" ht="15.75" customHeight="1">
      <c r="AG466" s="91"/>
      <c r="AM466" s="3"/>
      <c r="AN466" s="3"/>
    </row>
    <row r="467" ht="15.75" customHeight="1">
      <c r="AG467" s="91"/>
      <c r="AM467" s="3"/>
      <c r="AN467" s="3"/>
    </row>
    <row r="468" ht="15.75" customHeight="1">
      <c r="AG468" s="91"/>
      <c r="AM468" s="3"/>
      <c r="AN468" s="3"/>
    </row>
    <row r="469" ht="15.75" customHeight="1">
      <c r="AG469" s="91"/>
      <c r="AM469" s="3"/>
      <c r="AN469" s="3"/>
    </row>
    <row r="470" ht="15.75" customHeight="1">
      <c r="AG470" s="91"/>
      <c r="AM470" s="3"/>
      <c r="AN470" s="3"/>
    </row>
    <row r="471" ht="15.75" customHeight="1">
      <c r="AG471" s="91"/>
      <c r="AM471" s="3"/>
      <c r="AN471" s="3"/>
    </row>
    <row r="472" ht="15.75" customHeight="1">
      <c r="AG472" s="91"/>
      <c r="AM472" s="3"/>
      <c r="AN472" s="3"/>
    </row>
    <row r="473" ht="15.75" customHeight="1">
      <c r="AG473" s="91"/>
      <c r="AM473" s="3"/>
      <c r="AN473" s="3"/>
    </row>
    <row r="474" ht="15.75" customHeight="1">
      <c r="AG474" s="91"/>
      <c r="AM474" s="3"/>
      <c r="AN474" s="3"/>
    </row>
    <row r="475" ht="15.75" customHeight="1">
      <c r="AG475" s="91"/>
      <c r="AM475" s="3"/>
      <c r="AN475" s="3"/>
    </row>
    <row r="476" ht="15.75" customHeight="1">
      <c r="AG476" s="91"/>
      <c r="AM476" s="3"/>
      <c r="AN476" s="3"/>
    </row>
    <row r="477" ht="15.75" customHeight="1">
      <c r="AG477" s="91"/>
      <c r="AM477" s="3"/>
      <c r="AN477" s="3"/>
    </row>
    <row r="478" ht="15.75" customHeight="1">
      <c r="AG478" s="91"/>
      <c r="AM478" s="3"/>
      <c r="AN478" s="3"/>
    </row>
    <row r="479" ht="15.75" customHeight="1">
      <c r="AG479" s="91"/>
      <c r="AM479" s="3"/>
      <c r="AN479" s="3"/>
    </row>
    <row r="480" ht="15.75" customHeight="1">
      <c r="AG480" s="91"/>
      <c r="AM480" s="3"/>
      <c r="AN480" s="3"/>
    </row>
    <row r="481" ht="15.75" customHeight="1">
      <c r="AG481" s="91"/>
      <c r="AM481" s="3"/>
      <c r="AN481" s="3"/>
    </row>
    <row r="482" ht="15.75" customHeight="1">
      <c r="AG482" s="91"/>
      <c r="AM482" s="3"/>
      <c r="AN482" s="3"/>
    </row>
    <row r="483" ht="15.75" customHeight="1">
      <c r="AG483" s="91"/>
      <c r="AM483" s="3"/>
      <c r="AN483" s="3"/>
    </row>
    <row r="484" ht="15.75" customHeight="1">
      <c r="AG484" s="91"/>
      <c r="AM484" s="3"/>
      <c r="AN484" s="3"/>
    </row>
    <row r="485" ht="15.75" customHeight="1">
      <c r="AG485" s="91"/>
      <c r="AM485" s="3"/>
      <c r="AN485" s="3"/>
    </row>
    <row r="486" ht="15.75" customHeight="1">
      <c r="AG486" s="91"/>
      <c r="AM486" s="3"/>
      <c r="AN486" s="3"/>
    </row>
    <row r="487" ht="15.75" customHeight="1">
      <c r="AG487" s="91"/>
      <c r="AM487" s="3"/>
      <c r="AN487" s="3"/>
    </row>
    <row r="488" ht="15.75" customHeight="1">
      <c r="AG488" s="91"/>
      <c r="AM488" s="3"/>
      <c r="AN488" s="3"/>
    </row>
    <row r="489" ht="15.75" customHeight="1">
      <c r="AG489" s="91"/>
      <c r="AM489" s="3"/>
      <c r="AN489" s="3"/>
    </row>
    <row r="490" ht="15.75" customHeight="1">
      <c r="AG490" s="91"/>
      <c r="AM490" s="3"/>
      <c r="AN490" s="3"/>
    </row>
    <row r="491" ht="15.75" customHeight="1">
      <c r="AG491" s="91"/>
      <c r="AM491" s="3"/>
      <c r="AN491" s="3"/>
    </row>
    <row r="492" ht="15.75" customHeight="1">
      <c r="AG492" s="91"/>
      <c r="AM492" s="3"/>
      <c r="AN492" s="3"/>
    </row>
    <row r="493" ht="15.75" customHeight="1">
      <c r="AG493" s="91"/>
      <c r="AM493" s="3"/>
      <c r="AN493" s="3"/>
    </row>
    <row r="494" ht="15.75" customHeight="1">
      <c r="AG494" s="91"/>
      <c r="AM494" s="3"/>
      <c r="AN494" s="3"/>
    </row>
    <row r="495" ht="15.75" customHeight="1">
      <c r="AG495" s="91"/>
      <c r="AM495" s="3"/>
      <c r="AN495" s="3"/>
    </row>
    <row r="496" ht="15.75" customHeight="1">
      <c r="AG496" s="91"/>
      <c r="AM496" s="3"/>
      <c r="AN496" s="3"/>
    </row>
    <row r="497" ht="15.75" customHeight="1">
      <c r="AG497" s="91"/>
      <c r="AM497" s="3"/>
      <c r="AN497" s="3"/>
    </row>
    <row r="498" ht="15.75" customHeight="1">
      <c r="AG498" s="91"/>
      <c r="AM498" s="3"/>
      <c r="AN498" s="3"/>
    </row>
    <row r="499" ht="15.75" customHeight="1">
      <c r="AG499" s="91"/>
      <c r="AM499" s="3"/>
      <c r="AN499" s="3"/>
    </row>
    <row r="500" ht="15.75" customHeight="1">
      <c r="AG500" s="91"/>
      <c r="AM500" s="3"/>
      <c r="AN500" s="3"/>
    </row>
    <row r="501" ht="15.75" customHeight="1">
      <c r="AG501" s="91"/>
      <c r="AM501" s="3"/>
      <c r="AN501" s="3"/>
    </row>
    <row r="502" ht="15.75" customHeight="1">
      <c r="AG502" s="91"/>
      <c r="AM502" s="3"/>
      <c r="AN502" s="3"/>
    </row>
    <row r="503" ht="15.75" customHeight="1">
      <c r="AG503" s="91"/>
      <c r="AM503" s="3"/>
      <c r="AN503" s="3"/>
    </row>
    <row r="504" ht="15.75" customHeight="1">
      <c r="AG504" s="91"/>
      <c r="AM504" s="3"/>
      <c r="AN504" s="3"/>
    </row>
    <row r="505" ht="15.75" customHeight="1">
      <c r="AG505" s="91"/>
      <c r="AM505" s="3"/>
      <c r="AN505" s="3"/>
    </row>
    <row r="506" ht="15.75" customHeight="1">
      <c r="AG506" s="91"/>
      <c r="AM506" s="3"/>
      <c r="AN506" s="3"/>
    </row>
    <row r="507" ht="15.75" customHeight="1">
      <c r="AG507" s="91"/>
      <c r="AM507" s="3"/>
      <c r="AN507" s="3"/>
    </row>
    <row r="508" ht="15.75" customHeight="1">
      <c r="AG508" s="91"/>
      <c r="AM508" s="3"/>
      <c r="AN508" s="3"/>
    </row>
    <row r="509" ht="15.75" customHeight="1">
      <c r="AG509" s="91"/>
      <c r="AM509" s="3"/>
      <c r="AN509" s="3"/>
    </row>
    <row r="510" ht="15.75" customHeight="1">
      <c r="AG510" s="91"/>
      <c r="AM510" s="3"/>
      <c r="AN510" s="3"/>
    </row>
    <row r="511" ht="15.75" customHeight="1">
      <c r="AG511" s="91"/>
      <c r="AM511" s="3"/>
      <c r="AN511" s="3"/>
    </row>
    <row r="512" ht="15.75" customHeight="1">
      <c r="AG512" s="91"/>
      <c r="AM512" s="3"/>
      <c r="AN512" s="3"/>
    </row>
    <row r="513" ht="15.75" customHeight="1">
      <c r="AG513" s="91"/>
      <c r="AM513" s="3"/>
      <c r="AN513" s="3"/>
    </row>
    <row r="514" ht="15.75" customHeight="1">
      <c r="AG514" s="91"/>
      <c r="AM514" s="3"/>
      <c r="AN514" s="3"/>
    </row>
    <row r="515" ht="15.75" customHeight="1">
      <c r="AG515" s="91"/>
      <c r="AM515" s="3"/>
      <c r="AN515" s="3"/>
    </row>
    <row r="516" ht="15.75" customHeight="1">
      <c r="AG516" s="91"/>
      <c r="AM516" s="3"/>
      <c r="AN516" s="3"/>
    </row>
    <row r="517" ht="15.75" customHeight="1">
      <c r="AG517" s="91"/>
      <c r="AM517" s="3"/>
      <c r="AN517" s="3"/>
    </row>
    <row r="518" ht="15.75" customHeight="1">
      <c r="AG518" s="91"/>
      <c r="AM518" s="3"/>
      <c r="AN518" s="3"/>
    </row>
    <row r="519" ht="15.75" customHeight="1">
      <c r="AG519" s="91"/>
      <c r="AM519" s="3"/>
      <c r="AN519" s="3"/>
    </row>
    <row r="520" ht="15.75" customHeight="1">
      <c r="AG520" s="91"/>
      <c r="AM520" s="3"/>
      <c r="AN520" s="3"/>
    </row>
    <row r="521" ht="15.75" customHeight="1">
      <c r="AG521" s="91"/>
      <c r="AM521" s="3"/>
      <c r="AN521" s="3"/>
    </row>
    <row r="522" ht="15.75" customHeight="1">
      <c r="AG522" s="91"/>
      <c r="AM522" s="3"/>
      <c r="AN522" s="3"/>
    </row>
    <row r="523" ht="15.75" customHeight="1">
      <c r="AG523" s="91"/>
      <c r="AM523" s="3"/>
      <c r="AN523" s="3"/>
    </row>
    <row r="524" ht="15.75" customHeight="1">
      <c r="AG524" s="91"/>
      <c r="AM524" s="3"/>
      <c r="AN524" s="3"/>
    </row>
    <row r="525" ht="15.75" customHeight="1">
      <c r="AG525" s="91"/>
      <c r="AM525" s="3"/>
      <c r="AN525" s="3"/>
    </row>
    <row r="526" ht="15.75" customHeight="1">
      <c r="AG526" s="91"/>
      <c r="AM526" s="3"/>
      <c r="AN526" s="3"/>
    </row>
    <row r="527" ht="15.75" customHeight="1">
      <c r="AG527" s="91"/>
      <c r="AM527" s="3"/>
      <c r="AN527" s="3"/>
    </row>
    <row r="528" ht="15.75" customHeight="1">
      <c r="AG528" s="91"/>
      <c r="AM528" s="3"/>
      <c r="AN528" s="3"/>
    </row>
    <row r="529" ht="15.75" customHeight="1">
      <c r="AG529" s="91"/>
      <c r="AM529" s="3"/>
      <c r="AN529" s="3"/>
    </row>
    <row r="530" ht="15.75" customHeight="1">
      <c r="AG530" s="91"/>
      <c r="AM530" s="3"/>
      <c r="AN530" s="3"/>
    </row>
    <row r="531" ht="15.75" customHeight="1">
      <c r="AG531" s="91"/>
      <c r="AM531" s="3"/>
      <c r="AN531" s="3"/>
    </row>
    <row r="532" ht="15.75" customHeight="1">
      <c r="AG532" s="91"/>
      <c r="AM532" s="3"/>
      <c r="AN532" s="3"/>
    </row>
    <row r="533" ht="15.75" customHeight="1">
      <c r="AG533" s="91"/>
      <c r="AM533" s="3"/>
      <c r="AN533" s="3"/>
    </row>
    <row r="534" ht="15.75" customHeight="1">
      <c r="AG534" s="91"/>
      <c r="AM534" s="3"/>
      <c r="AN534" s="3"/>
    </row>
    <row r="535" ht="15.75" customHeight="1">
      <c r="AG535" s="91"/>
      <c r="AM535" s="3"/>
      <c r="AN535" s="3"/>
    </row>
    <row r="536" ht="15.75" customHeight="1">
      <c r="AG536" s="91"/>
      <c r="AM536" s="3"/>
      <c r="AN536" s="3"/>
    </row>
    <row r="537" ht="15.75" customHeight="1">
      <c r="AG537" s="91"/>
      <c r="AM537" s="3"/>
      <c r="AN537" s="3"/>
    </row>
    <row r="538" ht="15.75" customHeight="1">
      <c r="AG538" s="91"/>
      <c r="AM538" s="3"/>
      <c r="AN538" s="3"/>
    </row>
    <row r="539" ht="15.75" customHeight="1">
      <c r="AG539" s="91"/>
      <c r="AM539" s="3"/>
      <c r="AN539" s="3"/>
    </row>
    <row r="540" ht="15.75" customHeight="1">
      <c r="AG540" s="91"/>
      <c r="AM540" s="3"/>
      <c r="AN540" s="3"/>
    </row>
    <row r="541" ht="15.75" customHeight="1">
      <c r="AG541" s="91"/>
      <c r="AM541" s="3"/>
      <c r="AN541" s="3"/>
    </row>
    <row r="542" ht="15.75" customHeight="1">
      <c r="AG542" s="91"/>
      <c r="AM542" s="3"/>
      <c r="AN542" s="3"/>
    </row>
    <row r="543" ht="15.75" customHeight="1">
      <c r="AG543" s="91"/>
      <c r="AM543" s="3"/>
      <c r="AN543" s="3"/>
    </row>
    <row r="544" ht="15.75" customHeight="1">
      <c r="AG544" s="91"/>
      <c r="AM544" s="3"/>
      <c r="AN544" s="3"/>
    </row>
    <row r="545" ht="15.75" customHeight="1">
      <c r="AG545" s="91"/>
      <c r="AM545" s="3"/>
      <c r="AN545" s="3"/>
    </row>
    <row r="546" ht="15.75" customHeight="1">
      <c r="AG546" s="91"/>
      <c r="AM546" s="3"/>
      <c r="AN546" s="3"/>
    </row>
    <row r="547" ht="15.75" customHeight="1">
      <c r="AG547" s="91"/>
      <c r="AM547" s="3"/>
      <c r="AN547" s="3"/>
    </row>
    <row r="548" ht="15.75" customHeight="1">
      <c r="AG548" s="91"/>
      <c r="AM548" s="3"/>
      <c r="AN548" s="3"/>
    </row>
    <row r="549" ht="15.75" customHeight="1">
      <c r="AG549" s="91"/>
      <c r="AM549" s="3"/>
      <c r="AN549" s="3"/>
    </row>
    <row r="550" ht="15.75" customHeight="1">
      <c r="AG550" s="91"/>
      <c r="AM550" s="3"/>
      <c r="AN550" s="3"/>
    </row>
    <row r="551" ht="15.75" customHeight="1">
      <c r="AG551" s="91"/>
      <c r="AM551" s="3"/>
      <c r="AN551" s="3"/>
    </row>
    <row r="552" ht="15.75" customHeight="1">
      <c r="AG552" s="91"/>
      <c r="AM552" s="3"/>
      <c r="AN552" s="3"/>
    </row>
    <row r="553" ht="15.75" customHeight="1">
      <c r="AG553" s="91"/>
      <c r="AM553" s="3"/>
      <c r="AN553" s="3"/>
    </row>
    <row r="554" ht="15.75" customHeight="1">
      <c r="AG554" s="91"/>
      <c r="AM554" s="3"/>
      <c r="AN554" s="3"/>
    </row>
    <row r="555" ht="15.75" customHeight="1">
      <c r="AG555" s="91"/>
      <c r="AM555" s="3"/>
      <c r="AN555" s="3"/>
    </row>
    <row r="556" ht="15.75" customHeight="1">
      <c r="AG556" s="91"/>
      <c r="AM556" s="3"/>
      <c r="AN556" s="3"/>
    </row>
    <row r="557" ht="15.75" customHeight="1">
      <c r="AG557" s="91"/>
      <c r="AM557" s="3"/>
      <c r="AN557" s="3"/>
    </row>
    <row r="558" ht="15.75" customHeight="1">
      <c r="AG558" s="91"/>
      <c r="AM558" s="3"/>
      <c r="AN558" s="3"/>
    </row>
    <row r="559" ht="15.75" customHeight="1">
      <c r="AG559" s="91"/>
      <c r="AM559" s="3"/>
      <c r="AN559" s="3"/>
    </row>
    <row r="560" ht="15.75" customHeight="1">
      <c r="AG560" s="91"/>
      <c r="AM560" s="3"/>
      <c r="AN560" s="3"/>
    </row>
    <row r="561" ht="15.75" customHeight="1">
      <c r="AG561" s="91"/>
      <c r="AM561" s="3"/>
      <c r="AN561" s="3"/>
    </row>
    <row r="562" ht="15.75" customHeight="1">
      <c r="AG562" s="91"/>
      <c r="AM562" s="3"/>
      <c r="AN562" s="3"/>
    </row>
    <row r="563" ht="15.75" customHeight="1">
      <c r="AG563" s="91"/>
      <c r="AM563" s="3"/>
      <c r="AN563" s="3"/>
    </row>
    <row r="564" ht="15.75" customHeight="1">
      <c r="AG564" s="91"/>
      <c r="AM564" s="3"/>
      <c r="AN564" s="3"/>
    </row>
    <row r="565" ht="15.75" customHeight="1">
      <c r="AG565" s="91"/>
      <c r="AM565" s="3"/>
      <c r="AN565" s="3"/>
    </row>
    <row r="566" ht="15.75" customHeight="1">
      <c r="AG566" s="91"/>
      <c r="AM566" s="3"/>
      <c r="AN566" s="3"/>
    </row>
    <row r="567" ht="15.75" customHeight="1">
      <c r="AG567" s="91"/>
      <c r="AM567" s="3"/>
      <c r="AN567" s="3"/>
    </row>
    <row r="568" ht="15.75" customHeight="1">
      <c r="AG568" s="91"/>
      <c r="AM568" s="3"/>
      <c r="AN568" s="3"/>
    </row>
    <row r="569" ht="15.75" customHeight="1">
      <c r="AG569" s="91"/>
      <c r="AM569" s="3"/>
      <c r="AN569" s="3"/>
    </row>
    <row r="570" ht="15.75" customHeight="1">
      <c r="AG570" s="91"/>
      <c r="AM570" s="3"/>
      <c r="AN570" s="3"/>
    </row>
    <row r="571" ht="15.75" customHeight="1">
      <c r="AG571" s="91"/>
      <c r="AM571" s="3"/>
      <c r="AN571" s="3"/>
    </row>
    <row r="572" ht="15.75" customHeight="1">
      <c r="AG572" s="91"/>
      <c r="AM572" s="3"/>
      <c r="AN572" s="3"/>
    </row>
    <row r="573" ht="15.75" customHeight="1">
      <c r="AG573" s="91"/>
      <c r="AM573" s="3"/>
      <c r="AN573" s="3"/>
    </row>
    <row r="574" ht="15.75" customHeight="1">
      <c r="AG574" s="91"/>
      <c r="AM574" s="3"/>
      <c r="AN574" s="3"/>
    </row>
    <row r="575" ht="15.75" customHeight="1">
      <c r="AG575" s="91"/>
      <c r="AM575" s="3"/>
      <c r="AN575" s="3"/>
    </row>
    <row r="576" ht="15.75" customHeight="1">
      <c r="AG576" s="91"/>
      <c r="AM576" s="3"/>
      <c r="AN576" s="3"/>
    </row>
    <row r="577" ht="15.75" customHeight="1">
      <c r="AG577" s="91"/>
      <c r="AM577" s="3"/>
      <c r="AN577" s="3"/>
    </row>
    <row r="578" ht="15.75" customHeight="1">
      <c r="AG578" s="91"/>
      <c r="AM578" s="3"/>
      <c r="AN578" s="3"/>
    </row>
    <row r="579" ht="15.75" customHeight="1">
      <c r="AG579" s="91"/>
      <c r="AM579" s="3"/>
      <c r="AN579" s="3"/>
    </row>
    <row r="580" ht="15.75" customHeight="1">
      <c r="AG580" s="91"/>
      <c r="AM580" s="3"/>
      <c r="AN580" s="3"/>
    </row>
    <row r="581" ht="15.75" customHeight="1">
      <c r="AG581" s="91"/>
      <c r="AM581" s="3"/>
      <c r="AN581" s="3"/>
    </row>
    <row r="582" ht="15.75" customHeight="1">
      <c r="AG582" s="91"/>
      <c r="AM582" s="3"/>
      <c r="AN582" s="3"/>
    </row>
    <row r="583" ht="15.75" customHeight="1">
      <c r="AG583" s="91"/>
      <c r="AM583" s="3"/>
      <c r="AN583" s="3"/>
    </row>
    <row r="584" ht="15.75" customHeight="1">
      <c r="AG584" s="91"/>
      <c r="AM584" s="3"/>
      <c r="AN584" s="3"/>
    </row>
    <row r="585" ht="15.75" customHeight="1">
      <c r="AG585" s="91"/>
      <c r="AM585" s="3"/>
      <c r="AN585" s="3"/>
    </row>
    <row r="586" ht="15.75" customHeight="1">
      <c r="AG586" s="91"/>
      <c r="AM586" s="3"/>
      <c r="AN586" s="3"/>
    </row>
    <row r="587" ht="15.75" customHeight="1">
      <c r="AG587" s="91"/>
      <c r="AM587" s="3"/>
      <c r="AN587" s="3"/>
    </row>
    <row r="588" ht="15.75" customHeight="1">
      <c r="AG588" s="91"/>
      <c r="AM588" s="3"/>
      <c r="AN588" s="3"/>
    </row>
    <row r="589" ht="15.75" customHeight="1">
      <c r="AG589" s="91"/>
      <c r="AM589" s="3"/>
      <c r="AN589" s="3"/>
    </row>
    <row r="590" ht="15.75" customHeight="1">
      <c r="AG590" s="91"/>
      <c r="AM590" s="3"/>
      <c r="AN590" s="3"/>
    </row>
    <row r="591" ht="15.75" customHeight="1">
      <c r="AG591" s="91"/>
      <c r="AM591" s="3"/>
      <c r="AN591" s="3"/>
    </row>
    <row r="592" ht="15.75" customHeight="1">
      <c r="AG592" s="91"/>
      <c r="AM592" s="3"/>
      <c r="AN592" s="3"/>
    </row>
    <row r="593" ht="15.75" customHeight="1">
      <c r="AG593" s="91"/>
      <c r="AM593" s="3"/>
      <c r="AN593" s="3"/>
    </row>
    <row r="594" ht="15.75" customHeight="1">
      <c r="AG594" s="91"/>
      <c r="AM594" s="3"/>
      <c r="AN594" s="3"/>
    </row>
    <row r="595" ht="15.75" customHeight="1">
      <c r="AG595" s="91"/>
      <c r="AM595" s="3"/>
      <c r="AN595" s="3"/>
    </row>
    <row r="596" ht="15.75" customHeight="1">
      <c r="AG596" s="91"/>
      <c r="AM596" s="3"/>
      <c r="AN596" s="3"/>
    </row>
    <row r="597" ht="15.75" customHeight="1">
      <c r="AG597" s="91"/>
      <c r="AM597" s="3"/>
      <c r="AN597" s="3"/>
    </row>
    <row r="598" ht="15.75" customHeight="1">
      <c r="AG598" s="91"/>
      <c r="AM598" s="3"/>
      <c r="AN598" s="3"/>
    </row>
    <row r="599" ht="15.75" customHeight="1">
      <c r="AG599" s="91"/>
      <c r="AM599" s="3"/>
      <c r="AN599" s="3"/>
    </row>
    <row r="600" ht="15.75" customHeight="1">
      <c r="AG600" s="91"/>
      <c r="AM600" s="3"/>
      <c r="AN600" s="3"/>
    </row>
    <row r="601" ht="15.75" customHeight="1">
      <c r="AG601" s="91"/>
      <c r="AM601" s="3"/>
      <c r="AN601" s="3"/>
    </row>
    <row r="602" ht="15.75" customHeight="1">
      <c r="AG602" s="91"/>
      <c r="AM602" s="3"/>
      <c r="AN602" s="3"/>
    </row>
    <row r="603" ht="15.75" customHeight="1">
      <c r="AG603" s="91"/>
      <c r="AM603" s="3"/>
      <c r="AN603" s="3"/>
    </row>
    <row r="604" ht="15.75" customHeight="1">
      <c r="AG604" s="91"/>
      <c r="AM604" s="3"/>
      <c r="AN604" s="3"/>
    </row>
    <row r="605" ht="15.75" customHeight="1">
      <c r="AG605" s="91"/>
      <c r="AM605" s="3"/>
      <c r="AN605" s="3"/>
    </row>
    <row r="606" ht="15.75" customHeight="1">
      <c r="AG606" s="91"/>
      <c r="AM606" s="3"/>
      <c r="AN606" s="3"/>
    </row>
    <row r="607" ht="15.75" customHeight="1">
      <c r="AG607" s="91"/>
      <c r="AM607" s="3"/>
      <c r="AN607" s="3"/>
    </row>
    <row r="608" ht="15.75" customHeight="1">
      <c r="AG608" s="91"/>
      <c r="AM608" s="3"/>
      <c r="AN608" s="3"/>
    </row>
    <row r="609" ht="15.75" customHeight="1">
      <c r="AG609" s="91"/>
      <c r="AM609" s="3"/>
      <c r="AN609" s="3"/>
    </row>
    <row r="610" ht="15.75" customHeight="1">
      <c r="AG610" s="91"/>
      <c r="AM610" s="3"/>
      <c r="AN610" s="3"/>
    </row>
    <row r="611" ht="15.75" customHeight="1">
      <c r="AG611" s="91"/>
      <c r="AM611" s="3"/>
      <c r="AN611" s="3"/>
    </row>
    <row r="612" ht="15.75" customHeight="1">
      <c r="AG612" s="91"/>
      <c r="AM612" s="3"/>
      <c r="AN612" s="3"/>
    </row>
    <row r="613" ht="15.75" customHeight="1">
      <c r="AG613" s="91"/>
      <c r="AM613" s="3"/>
      <c r="AN613" s="3"/>
    </row>
    <row r="614" ht="15.75" customHeight="1">
      <c r="AG614" s="91"/>
      <c r="AM614" s="3"/>
      <c r="AN614" s="3"/>
    </row>
    <row r="615" ht="15.75" customHeight="1">
      <c r="AG615" s="91"/>
      <c r="AM615" s="3"/>
      <c r="AN615" s="3"/>
    </row>
    <row r="616" ht="15.75" customHeight="1">
      <c r="AG616" s="91"/>
      <c r="AM616" s="3"/>
      <c r="AN616" s="3"/>
    </row>
    <row r="617" ht="15.75" customHeight="1">
      <c r="AG617" s="91"/>
      <c r="AM617" s="3"/>
      <c r="AN617" s="3"/>
    </row>
    <row r="618" ht="15.75" customHeight="1">
      <c r="AG618" s="91"/>
      <c r="AM618" s="3"/>
      <c r="AN618" s="3"/>
    </row>
    <row r="619" ht="15.75" customHeight="1">
      <c r="AG619" s="91"/>
      <c r="AM619" s="3"/>
      <c r="AN619" s="3"/>
    </row>
    <row r="620" ht="15.75" customHeight="1">
      <c r="AG620" s="91"/>
      <c r="AM620" s="3"/>
      <c r="AN620" s="3"/>
    </row>
    <row r="621" ht="15.75" customHeight="1">
      <c r="AG621" s="91"/>
      <c r="AM621" s="3"/>
      <c r="AN621" s="3"/>
    </row>
    <row r="622" ht="15.75" customHeight="1">
      <c r="AG622" s="91"/>
      <c r="AM622" s="3"/>
      <c r="AN622" s="3"/>
    </row>
    <row r="623" ht="15.75" customHeight="1">
      <c r="AG623" s="91"/>
      <c r="AM623" s="3"/>
      <c r="AN623" s="3"/>
    </row>
    <row r="624" ht="15.75" customHeight="1">
      <c r="AG624" s="91"/>
      <c r="AM624" s="3"/>
      <c r="AN624" s="3"/>
    </row>
    <row r="625" ht="15.75" customHeight="1">
      <c r="AG625" s="91"/>
      <c r="AM625" s="3"/>
      <c r="AN625" s="3"/>
    </row>
    <row r="626" ht="15.75" customHeight="1">
      <c r="AG626" s="91"/>
      <c r="AM626" s="3"/>
      <c r="AN626" s="3"/>
    </row>
    <row r="627" ht="15.75" customHeight="1">
      <c r="AG627" s="91"/>
      <c r="AM627" s="3"/>
      <c r="AN627" s="3"/>
    </row>
    <row r="628" ht="15.75" customHeight="1">
      <c r="AG628" s="91"/>
      <c r="AM628" s="3"/>
      <c r="AN628" s="3"/>
    </row>
    <row r="629" ht="15.75" customHeight="1">
      <c r="AG629" s="91"/>
      <c r="AM629" s="3"/>
      <c r="AN629" s="3"/>
    </row>
    <row r="630" ht="15.75" customHeight="1">
      <c r="AG630" s="91"/>
      <c r="AM630" s="3"/>
      <c r="AN630" s="3"/>
    </row>
    <row r="631" ht="15.75" customHeight="1">
      <c r="AG631" s="91"/>
      <c r="AM631" s="3"/>
      <c r="AN631" s="3"/>
    </row>
    <row r="632" ht="15.75" customHeight="1">
      <c r="AG632" s="91"/>
      <c r="AM632" s="3"/>
      <c r="AN632" s="3"/>
    </row>
    <row r="633" ht="15.75" customHeight="1">
      <c r="AG633" s="91"/>
      <c r="AM633" s="3"/>
      <c r="AN633" s="3"/>
    </row>
    <row r="634" ht="15.75" customHeight="1">
      <c r="AG634" s="91"/>
      <c r="AM634" s="3"/>
      <c r="AN634" s="3"/>
    </row>
    <row r="635" ht="15.75" customHeight="1">
      <c r="AG635" s="91"/>
      <c r="AM635" s="3"/>
      <c r="AN635" s="3"/>
    </row>
    <row r="636" ht="15.75" customHeight="1">
      <c r="AG636" s="91"/>
      <c r="AM636" s="3"/>
      <c r="AN636" s="3"/>
    </row>
    <row r="637" ht="15.75" customHeight="1">
      <c r="AG637" s="91"/>
      <c r="AM637" s="3"/>
      <c r="AN637" s="3"/>
    </row>
    <row r="638" ht="15.75" customHeight="1">
      <c r="AG638" s="91"/>
      <c r="AM638" s="3"/>
      <c r="AN638" s="3"/>
    </row>
    <row r="639" ht="15.75" customHeight="1">
      <c r="AG639" s="91"/>
      <c r="AM639" s="3"/>
      <c r="AN639" s="3"/>
    </row>
    <row r="640" ht="15.75" customHeight="1">
      <c r="AG640" s="91"/>
      <c r="AM640" s="3"/>
      <c r="AN640" s="3"/>
    </row>
    <row r="641" ht="15.75" customHeight="1">
      <c r="AG641" s="91"/>
      <c r="AM641" s="3"/>
      <c r="AN641" s="3"/>
    </row>
    <row r="642" ht="15.75" customHeight="1">
      <c r="AG642" s="91"/>
      <c r="AM642" s="3"/>
      <c r="AN642" s="3"/>
    </row>
    <row r="643" ht="15.75" customHeight="1">
      <c r="AG643" s="91"/>
      <c r="AM643" s="3"/>
      <c r="AN643" s="3"/>
    </row>
    <row r="644" ht="15.75" customHeight="1">
      <c r="AG644" s="91"/>
      <c r="AM644" s="3"/>
      <c r="AN644" s="3"/>
    </row>
    <row r="645" ht="15.75" customHeight="1">
      <c r="AG645" s="91"/>
      <c r="AM645" s="3"/>
      <c r="AN645" s="3"/>
    </row>
    <row r="646" ht="15.75" customHeight="1">
      <c r="AG646" s="91"/>
      <c r="AM646" s="3"/>
      <c r="AN646" s="3"/>
    </row>
    <row r="647" ht="15.75" customHeight="1">
      <c r="AG647" s="91"/>
      <c r="AM647" s="3"/>
      <c r="AN647" s="3"/>
    </row>
    <row r="648" ht="15.75" customHeight="1">
      <c r="AG648" s="91"/>
      <c r="AM648" s="3"/>
      <c r="AN648" s="3"/>
    </row>
    <row r="649" ht="15.75" customHeight="1">
      <c r="AG649" s="91"/>
      <c r="AM649" s="3"/>
      <c r="AN649" s="3"/>
    </row>
    <row r="650" ht="15.75" customHeight="1">
      <c r="AG650" s="91"/>
      <c r="AM650" s="3"/>
      <c r="AN650" s="3"/>
    </row>
    <row r="651" ht="15.75" customHeight="1">
      <c r="AG651" s="91"/>
      <c r="AM651" s="3"/>
      <c r="AN651" s="3"/>
    </row>
    <row r="652" ht="15.75" customHeight="1">
      <c r="AG652" s="91"/>
      <c r="AM652" s="3"/>
      <c r="AN652" s="3"/>
    </row>
    <row r="653" ht="15.75" customHeight="1">
      <c r="AG653" s="91"/>
      <c r="AM653" s="3"/>
      <c r="AN653" s="3"/>
    </row>
    <row r="654" ht="15.75" customHeight="1">
      <c r="AG654" s="91"/>
      <c r="AM654" s="3"/>
      <c r="AN654" s="3"/>
    </row>
    <row r="655" ht="15.75" customHeight="1">
      <c r="AG655" s="91"/>
      <c r="AM655" s="3"/>
      <c r="AN655" s="3"/>
    </row>
    <row r="656" ht="15.75" customHeight="1">
      <c r="AG656" s="91"/>
      <c r="AM656" s="3"/>
      <c r="AN656" s="3"/>
    </row>
    <row r="657" ht="15.75" customHeight="1">
      <c r="AG657" s="91"/>
      <c r="AM657" s="3"/>
      <c r="AN657" s="3"/>
    </row>
    <row r="658" ht="15.75" customHeight="1">
      <c r="AG658" s="91"/>
      <c r="AM658" s="3"/>
      <c r="AN658" s="3"/>
    </row>
    <row r="659" ht="15.75" customHeight="1">
      <c r="AG659" s="91"/>
      <c r="AM659" s="3"/>
      <c r="AN659" s="3"/>
    </row>
    <row r="660" ht="15.75" customHeight="1">
      <c r="AG660" s="91"/>
      <c r="AM660" s="3"/>
      <c r="AN660" s="3"/>
    </row>
    <row r="661" ht="15.75" customHeight="1">
      <c r="AG661" s="91"/>
      <c r="AM661" s="3"/>
      <c r="AN661" s="3"/>
    </row>
    <row r="662" ht="15.75" customHeight="1">
      <c r="AG662" s="91"/>
      <c r="AM662" s="3"/>
      <c r="AN662" s="3"/>
    </row>
    <row r="663" ht="15.75" customHeight="1">
      <c r="AG663" s="91"/>
      <c r="AM663" s="3"/>
      <c r="AN663" s="3"/>
    </row>
    <row r="664" ht="15.75" customHeight="1">
      <c r="AG664" s="91"/>
      <c r="AM664" s="3"/>
      <c r="AN664" s="3"/>
    </row>
    <row r="665" ht="15.75" customHeight="1">
      <c r="AG665" s="91"/>
      <c r="AM665" s="3"/>
      <c r="AN665" s="3"/>
    </row>
    <row r="666" ht="15.75" customHeight="1">
      <c r="AG666" s="91"/>
      <c r="AM666" s="3"/>
      <c r="AN666" s="3"/>
    </row>
    <row r="667" ht="15.75" customHeight="1">
      <c r="AG667" s="91"/>
      <c r="AM667" s="3"/>
      <c r="AN667" s="3"/>
    </row>
    <row r="668" ht="15.75" customHeight="1">
      <c r="AG668" s="91"/>
      <c r="AM668" s="3"/>
      <c r="AN668" s="3"/>
    </row>
    <row r="669" ht="15.75" customHeight="1">
      <c r="AG669" s="91"/>
      <c r="AM669" s="3"/>
      <c r="AN669" s="3"/>
    </row>
    <row r="670" ht="15.75" customHeight="1">
      <c r="AG670" s="91"/>
      <c r="AM670" s="3"/>
      <c r="AN670" s="3"/>
    </row>
    <row r="671" ht="15.75" customHeight="1">
      <c r="AG671" s="91"/>
      <c r="AM671" s="3"/>
      <c r="AN671" s="3"/>
    </row>
    <row r="672" ht="15.75" customHeight="1">
      <c r="AG672" s="91"/>
      <c r="AM672" s="3"/>
      <c r="AN672" s="3"/>
    </row>
    <row r="673" ht="15.75" customHeight="1">
      <c r="AG673" s="91"/>
      <c r="AM673" s="3"/>
      <c r="AN673" s="3"/>
    </row>
    <row r="674" ht="15.75" customHeight="1">
      <c r="AG674" s="91"/>
      <c r="AM674" s="3"/>
      <c r="AN674" s="3"/>
    </row>
    <row r="675" ht="15.75" customHeight="1">
      <c r="AG675" s="91"/>
      <c r="AM675" s="3"/>
      <c r="AN675" s="3"/>
    </row>
    <row r="676" ht="15.75" customHeight="1">
      <c r="AG676" s="91"/>
      <c r="AM676" s="3"/>
      <c r="AN676" s="3"/>
    </row>
    <row r="677" ht="15.75" customHeight="1">
      <c r="AG677" s="91"/>
      <c r="AM677" s="3"/>
      <c r="AN677" s="3"/>
    </row>
    <row r="678" ht="15.75" customHeight="1">
      <c r="AG678" s="91"/>
      <c r="AM678" s="3"/>
      <c r="AN678" s="3"/>
    </row>
    <row r="679" ht="15.75" customHeight="1">
      <c r="AG679" s="91"/>
      <c r="AM679" s="3"/>
      <c r="AN679" s="3"/>
    </row>
    <row r="680" ht="15.75" customHeight="1">
      <c r="AG680" s="91"/>
      <c r="AM680" s="3"/>
      <c r="AN680" s="3"/>
    </row>
    <row r="681" ht="15.75" customHeight="1">
      <c r="AG681" s="91"/>
      <c r="AM681" s="3"/>
      <c r="AN681" s="3"/>
    </row>
    <row r="682" ht="15.75" customHeight="1">
      <c r="AG682" s="91"/>
      <c r="AM682" s="3"/>
      <c r="AN682" s="3"/>
    </row>
    <row r="683" ht="15.75" customHeight="1">
      <c r="AG683" s="91"/>
      <c r="AM683" s="3"/>
      <c r="AN683" s="3"/>
    </row>
    <row r="684" ht="15.75" customHeight="1">
      <c r="AG684" s="91"/>
      <c r="AM684" s="3"/>
      <c r="AN684" s="3"/>
    </row>
    <row r="685" ht="15.75" customHeight="1">
      <c r="AG685" s="91"/>
      <c r="AM685" s="3"/>
      <c r="AN685" s="3"/>
    </row>
    <row r="686" ht="15.75" customHeight="1">
      <c r="AG686" s="91"/>
      <c r="AM686" s="3"/>
      <c r="AN686" s="3"/>
    </row>
    <row r="687" ht="15.75" customHeight="1">
      <c r="AG687" s="91"/>
      <c r="AM687" s="3"/>
      <c r="AN687" s="3"/>
    </row>
    <row r="688" ht="15.75" customHeight="1">
      <c r="AG688" s="91"/>
      <c r="AM688" s="3"/>
      <c r="AN688" s="3"/>
    </row>
    <row r="689" ht="15.75" customHeight="1">
      <c r="AG689" s="91"/>
      <c r="AM689" s="3"/>
      <c r="AN689" s="3"/>
    </row>
    <row r="690" ht="15.75" customHeight="1">
      <c r="AG690" s="91"/>
      <c r="AM690" s="3"/>
      <c r="AN690" s="3"/>
    </row>
    <row r="691" ht="15.75" customHeight="1">
      <c r="AG691" s="91"/>
      <c r="AM691" s="3"/>
      <c r="AN691" s="3"/>
    </row>
    <row r="692" ht="15.75" customHeight="1">
      <c r="AG692" s="91"/>
      <c r="AM692" s="3"/>
      <c r="AN692" s="3"/>
    </row>
    <row r="693" ht="15.75" customHeight="1">
      <c r="AG693" s="91"/>
      <c r="AM693" s="3"/>
      <c r="AN693" s="3"/>
    </row>
    <row r="694" ht="15.75" customHeight="1">
      <c r="AG694" s="91"/>
      <c r="AM694" s="3"/>
      <c r="AN694" s="3"/>
    </row>
    <row r="695" ht="15.75" customHeight="1">
      <c r="AG695" s="91"/>
      <c r="AM695" s="3"/>
      <c r="AN695" s="3"/>
    </row>
    <row r="696" ht="15.75" customHeight="1">
      <c r="AG696" s="91"/>
      <c r="AM696" s="3"/>
      <c r="AN696" s="3"/>
    </row>
    <row r="697" ht="15.75" customHeight="1">
      <c r="AG697" s="91"/>
      <c r="AM697" s="3"/>
      <c r="AN697" s="3"/>
    </row>
    <row r="698" ht="15.75" customHeight="1">
      <c r="AG698" s="91"/>
      <c r="AM698" s="3"/>
      <c r="AN698" s="3"/>
    </row>
    <row r="699" ht="15.75" customHeight="1">
      <c r="AG699" s="91"/>
      <c r="AM699" s="3"/>
      <c r="AN699" s="3"/>
    </row>
    <row r="700" ht="15.75" customHeight="1">
      <c r="AG700" s="91"/>
      <c r="AM700" s="3"/>
      <c r="AN700" s="3"/>
    </row>
    <row r="701" ht="15.75" customHeight="1">
      <c r="AG701" s="91"/>
      <c r="AM701" s="3"/>
      <c r="AN701" s="3"/>
    </row>
    <row r="702" ht="15.75" customHeight="1">
      <c r="AG702" s="91"/>
      <c r="AM702" s="3"/>
      <c r="AN702" s="3"/>
    </row>
    <row r="703" ht="15.75" customHeight="1">
      <c r="AG703" s="91"/>
      <c r="AM703" s="3"/>
      <c r="AN703" s="3"/>
    </row>
    <row r="704" ht="15.75" customHeight="1">
      <c r="AG704" s="91"/>
      <c r="AM704" s="3"/>
      <c r="AN704" s="3"/>
    </row>
    <row r="705" ht="15.75" customHeight="1">
      <c r="AG705" s="91"/>
      <c r="AM705" s="3"/>
      <c r="AN705" s="3"/>
    </row>
    <row r="706" ht="15.75" customHeight="1">
      <c r="AG706" s="91"/>
      <c r="AM706" s="3"/>
      <c r="AN706" s="3"/>
    </row>
    <row r="707" ht="15.75" customHeight="1">
      <c r="AG707" s="91"/>
      <c r="AM707" s="3"/>
      <c r="AN707" s="3"/>
    </row>
    <row r="708" ht="15.75" customHeight="1">
      <c r="AG708" s="91"/>
      <c r="AM708" s="3"/>
      <c r="AN708" s="3"/>
    </row>
    <row r="709" ht="15.75" customHeight="1">
      <c r="AG709" s="91"/>
      <c r="AM709" s="3"/>
      <c r="AN709" s="3"/>
    </row>
    <row r="710" ht="15.75" customHeight="1">
      <c r="AG710" s="91"/>
      <c r="AM710" s="3"/>
      <c r="AN710" s="3"/>
    </row>
    <row r="711" ht="15.75" customHeight="1">
      <c r="AG711" s="91"/>
      <c r="AM711" s="3"/>
      <c r="AN711" s="3"/>
    </row>
    <row r="712" ht="15.75" customHeight="1">
      <c r="AG712" s="91"/>
      <c r="AM712" s="3"/>
      <c r="AN712" s="3"/>
    </row>
    <row r="713" ht="15.75" customHeight="1">
      <c r="AG713" s="91"/>
      <c r="AM713" s="3"/>
      <c r="AN713" s="3"/>
    </row>
    <row r="714" ht="15.75" customHeight="1">
      <c r="AG714" s="91"/>
      <c r="AM714" s="3"/>
      <c r="AN714" s="3"/>
    </row>
    <row r="715" ht="15.75" customHeight="1">
      <c r="AG715" s="91"/>
      <c r="AM715" s="3"/>
      <c r="AN715" s="3"/>
    </row>
    <row r="716" ht="15.75" customHeight="1">
      <c r="AG716" s="91"/>
      <c r="AM716" s="3"/>
      <c r="AN716" s="3"/>
    </row>
    <row r="717" ht="15.75" customHeight="1">
      <c r="AG717" s="91"/>
      <c r="AM717" s="3"/>
      <c r="AN717" s="3"/>
    </row>
    <row r="718" ht="15.75" customHeight="1">
      <c r="AG718" s="91"/>
      <c r="AM718" s="3"/>
      <c r="AN718" s="3"/>
    </row>
    <row r="719" ht="15.75" customHeight="1">
      <c r="AG719" s="91"/>
      <c r="AM719" s="3"/>
      <c r="AN719" s="3"/>
    </row>
    <row r="720" ht="15.75" customHeight="1">
      <c r="AG720" s="91"/>
      <c r="AM720" s="3"/>
      <c r="AN720" s="3"/>
    </row>
    <row r="721" ht="15.75" customHeight="1">
      <c r="AG721" s="91"/>
      <c r="AM721" s="3"/>
      <c r="AN721" s="3"/>
    </row>
    <row r="722" ht="15.75" customHeight="1">
      <c r="AG722" s="91"/>
      <c r="AM722" s="3"/>
      <c r="AN722" s="3"/>
    </row>
    <row r="723" ht="15.75" customHeight="1">
      <c r="AG723" s="91"/>
      <c r="AM723" s="3"/>
      <c r="AN723" s="3"/>
    </row>
    <row r="724" ht="15.75" customHeight="1">
      <c r="AG724" s="91"/>
      <c r="AM724" s="3"/>
      <c r="AN724" s="3"/>
    </row>
    <row r="725" ht="15.75" customHeight="1">
      <c r="AG725" s="91"/>
      <c r="AM725" s="3"/>
      <c r="AN725" s="3"/>
    </row>
    <row r="726" ht="15.75" customHeight="1">
      <c r="AG726" s="91"/>
      <c r="AM726" s="3"/>
      <c r="AN726" s="3"/>
    </row>
    <row r="727" ht="15.75" customHeight="1">
      <c r="AG727" s="91"/>
      <c r="AM727" s="3"/>
      <c r="AN727" s="3"/>
    </row>
    <row r="728" ht="15.75" customHeight="1">
      <c r="AG728" s="91"/>
      <c r="AM728" s="3"/>
      <c r="AN728" s="3"/>
    </row>
    <row r="729" ht="15.75" customHeight="1">
      <c r="AG729" s="91"/>
      <c r="AM729" s="3"/>
      <c r="AN729" s="3"/>
    </row>
    <row r="730" ht="15.75" customHeight="1">
      <c r="AG730" s="91"/>
      <c r="AM730" s="3"/>
      <c r="AN730" s="3"/>
    </row>
    <row r="731" ht="15.75" customHeight="1">
      <c r="AG731" s="91"/>
      <c r="AM731" s="3"/>
      <c r="AN731" s="3"/>
    </row>
    <row r="732" ht="15.75" customHeight="1">
      <c r="AG732" s="91"/>
      <c r="AM732" s="3"/>
      <c r="AN732" s="3"/>
    </row>
    <row r="733" ht="15.75" customHeight="1">
      <c r="AG733" s="91"/>
      <c r="AM733" s="3"/>
      <c r="AN733" s="3"/>
    </row>
    <row r="734" ht="15.75" customHeight="1">
      <c r="AG734" s="91"/>
      <c r="AM734" s="3"/>
      <c r="AN734" s="3"/>
    </row>
    <row r="735" ht="15.75" customHeight="1">
      <c r="AG735" s="91"/>
      <c r="AM735" s="3"/>
      <c r="AN735" s="3"/>
    </row>
    <row r="736" ht="15.75" customHeight="1">
      <c r="AG736" s="91"/>
      <c r="AM736" s="3"/>
      <c r="AN736" s="3"/>
    </row>
    <row r="737" ht="15.75" customHeight="1">
      <c r="AG737" s="91"/>
      <c r="AM737" s="3"/>
      <c r="AN737" s="3"/>
    </row>
    <row r="738" ht="15.75" customHeight="1">
      <c r="AG738" s="91"/>
      <c r="AM738" s="3"/>
      <c r="AN738" s="3"/>
    </row>
    <row r="739" ht="15.75" customHeight="1">
      <c r="AG739" s="91"/>
      <c r="AM739" s="3"/>
      <c r="AN739" s="3"/>
    </row>
    <row r="740" ht="15.75" customHeight="1">
      <c r="AG740" s="91"/>
      <c r="AM740" s="3"/>
      <c r="AN740" s="3"/>
    </row>
    <row r="741" ht="15.75" customHeight="1">
      <c r="AG741" s="91"/>
      <c r="AM741" s="3"/>
      <c r="AN741" s="3"/>
    </row>
    <row r="742" ht="15.75" customHeight="1">
      <c r="AG742" s="91"/>
      <c r="AM742" s="3"/>
      <c r="AN742" s="3"/>
    </row>
    <row r="743" ht="15.75" customHeight="1">
      <c r="AG743" s="91"/>
      <c r="AM743" s="3"/>
      <c r="AN743" s="3"/>
    </row>
    <row r="744" ht="15.75" customHeight="1">
      <c r="AG744" s="91"/>
      <c r="AM744" s="3"/>
      <c r="AN744" s="3"/>
    </row>
    <row r="745" ht="15.75" customHeight="1">
      <c r="AG745" s="91"/>
      <c r="AM745" s="3"/>
      <c r="AN745" s="3"/>
    </row>
    <row r="746" ht="15.75" customHeight="1">
      <c r="AG746" s="91"/>
      <c r="AM746" s="3"/>
      <c r="AN746" s="3"/>
    </row>
    <row r="747" ht="15.75" customHeight="1">
      <c r="AG747" s="91"/>
      <c r="AM747" s="3"/>
      <c r="AN747" s="3"/>
    </row>
    <row r="748" ht="15.75" customHeight="1">
      <c r="AG748" s="91"/>
      <c r="AM748" s="3"/>
      <c r="AN748" s="3"/>
    </row>
    <row r="749" ht="15.75" customHeight="1">
      <c r="AG749" s="91"/>
      <c r="AM749" s="3"/>
      <c r="AN749" s="3"/>
    </row>
    <row r="750" ht="15.75" customHeight="1">
      <c r="AG750" s="91"/>
      <c r="AM750" s="3"/>
      <c r="AN750" s="3"/>
    </row>
    <row r="751" ht="15.75" customHeight="1">
      <c r="AG751" s="91"/>
      <c r="AM751" s="3"/>
      <c r="AN751" s="3"/>
    </row>
    <row r="752" ht="15.75" customHeight="1">
      <c r="AG752" s="91"/>
      <c r="AM752" s="3"/>
      <c r="AN752" s="3"/>
    </row>
    <row r="753" ht="15.75" customHeight="1">
      <c r="AG753" s="91"/>
      <c r="AM753" s="3"/>
      <c r="AN753" s="3"/>
    </row>
    <row r="754" ht="15.75" customHeight="1">
      <c r="AG754" s="91"/>
      <c r="AM754" s="3"/>
      <c r="AN754" s="3"/>
    </row>
    <row r="755" ht="15.75" customHeight="1">
      <c r="AG755" s="91"/>
      <c r="AM755" s="3"/>
      <c r="AN755" s="3"/>
    </row>
    <row r="756" ht="15.75" customHeight="1">
      <c r="AG756" s="91"/>
      <c r="AM756" s="3"/>
      <c r="AN756" s="3"/>
    </row>
    <row r="757" ht="15.75" customHeight="1">
      <c r="AG757" s="91"/>
      <c r="AM757" s="3"/>
      <c r="AN757" s="3"/>
    </row>
    <row r="758" ht="15.75" customHeight="1">
      <c r="AG758" s="91"/>
      <c r="AM758" s="3"/>
      <c r="AN758" s="3"/>
    </row>
    <row r="759" ht="15.75" customHeight="1">
      <c r="AG759" s="91"/>
      <c r="AM759" s="3"/>
      <c r="AN759" s="3"/>
    </row>
    <row r="760" ht="15.75" customHeight="1">
      <c r="AG760" s="91"/>
      <c r="AM760" s="3"/>
      <c r="AN760" s="3"/>
    </row>
    <row r="761" ht="15.75" customHeight="1">
      <c r="AG761" s="91"/>
      <c r="AM761" s="3"/>
      <c r="AN761" s="3"/>
    </row>
    <row r="762" ht="15.75" customHeight="1">
      <c r="AG762" s="91"/>
      <c r="AM762" s="3"/>
      <c r="AN762" s="3"/>
    </row>
    <row r="763" ht="15.75" customHeight="1">
      <c r="AG763" s="91"/>
      <c r="AM763" s="3"/>
      <c r="AN763" s="3"/>
    </row>
    <row r="764" ht="15.75" customHeight="1">
      <c r="AG764" s="91"/>
      <c r="AM764" s="3"/>
      <c r="AN764" s="3"/>
    </row>
    <row r="765" ht="15.75" customHeight="1">
      <c r="AG765" s="91"/>
      <c r="AM765" s="3"/>
      <c r="AN765" s="3"/>
    </row>
    <row r="766" ht="15.75" customHeight="1">
      <c r="AG766" s="91"/>
      <c r="AM766" s="3"/>
      <c r="AN766" s="3"/>
    </row>
    <row r="767" ht="15.75" customHeight="1">
      <c r="AG767" s="91"/>
      <c r="AM767" s="3"/>
      <c r="AN767" s="3"/>
    </row>
    <row r="768" ht="15.75" customHeight="1">
      <c r="AG768" s="91"/>
      <c r="AM768" s="3"/>
      <c r="AN768" s="3"/>
    </row>
    <row r="769" ht="15.75" customHeight="1">
      <c r="AG769" s="91"/>
      <c r="AM769" s="3"/>
      <c r="AN769" s="3"/>
    </row>
    <row r="770" ht="15.75" customHeight="1">
      <c r="AG770" s="91"/>
      <c r="AM770" s="3"/>
      <c r="AN770" s="3"/>
    </row>
    <row r="771" ht="15.75" customHeight="1">
      <c r="AG771" s="91"/>
      <c r="AM771" s="3"/>
      <c r="AN771" s="3"/>
    </row>
    <row r="772" ht="15.75" customHeight="1">
      <c r="AG772" s="91"/>
      <c r="AM772" s="3"/>
      <c r="AN772" s="3"/>
    </row>
    <row r="773" ht="15.75" customHeight="1">
      <c r="AG773" s="91"/>
      <c r="AM773" s="3"/>
      <c r="AN773" s="3"/>
    </row>
    <row r="774" ht="15.75" customHeight="1">
      <c r="AG774" s="91"/>
      <c r="AM774" s="3"/>
      <c r="AN774" s="3"/>
    </row>
    <row r="775" ht="15.75" customHeight="1">
      <c r="AG775" s="91"/>
      <c r="AM775" s="3"/>
      <c r="AN775" s="3"/>
    </row>
    <row r="776" ht="15.75" customHeight="1">
      <c r="AG776" s="91"/>
      <c r="AM776" s="3"/>
      <c r="AN776" s="3"/>
    </row>
    <row r="777" ht="15.75" customHeight="1">
      <c r="AG777" s="91"/>
      <c r="AM777" s="3"/>
      <c r="AN777" s="3"/>
    </row>
    <row r="778" ht="15.75" customHeight="1">
      <c r="AG778" s="91"/>
      <c r="AM778" s="3"/>
      <c r="AN778" s="3"/>
    </row>
    <row r="779" ht="15.75" customHeight="1">
      <c r="AG779" s="91"/>
      <c r="AM779" s="3"/>
      <c r="AN779" s="3"/>
    </row>
    <row r="780" ht="15.75" customHeight="1">
      <c r="AG780" s="91"/>
      <c r="AM780" s="3"/>
      <c r="AN780" s="3"/>
    </row>
    <row r="781" ht="15.75" customHeight="1">
      <c r="AG781" s="91"/>
      <c r="AM781" s="3"/>
      <c r="AN781" s="3"/>
    </row>
    <row r="782" ht="15.75" customHeight="1">
      <c r="AG782" s="91"/>
      <c r="AM782" s="3"/>
      <c r="AN782" s="3"/>
    </row>
    <row r="783" ht="15.75" customHeight="1">
      <c r="AG783" s="91"/>
      <c r="AM783" s="3"/>
      <c r="AN783" s="3"/>
    </row>
    <row r="784" ht="15.75" customHeight="1">
      <c r="AG784" s="91"/>
      <c r="AM784" s="3"/>
      <c r="AN784" s="3"/>
    </row>
    <row r="785" ht="15.75" customHeight="1">
      <c r="AG785" s="91"/>
      <c r="AM785" s="3"/>
      <c r="AN785" s="3"/>
    </row>
    <row r="786" ht="15.75" customHeight="1">
      <c r="AG786" s="91"/>
      <c r="AM786" s="3"/>
      <c r="AN786" s="3"/>
    </row>
    <row r="787" ht="15.75" customHeight="1">
      <c r="AG787" s="91"/>
      <c r="AM787" s="3"/>
      <c r="AN787" s="3"/>
    </row>
    <row r="788" ht="15.75" customHeight="1">
      <c r="AG788" s="91"/>
      <c r="AM788" s="3"/>
      <c r="AN788" s="3"/>
    </row>
    <row r="789" ht="15.75" customHeight="1">
      <c r="AG789" s="91"/>
      <c r="AM789" s="3"/>
      <c r="AN789" s="3"/>
    </row>
    <row r="790" ht="15.75" customHeight="1">
      <c r="AG790" s="91"/>
      <c r="AM790" s="3"/>
      <c r="AN790" s="3"/>
    </row>
    <row r="791" ht="15.75" customHeight="1">
      <c r="AG791" s="91"/>
      <c r="AM791" s="3"/>
      <c r="AN791" s="3"/>
    </row>
    <row r="792" ht="15.75" customHeight="1">
      <c r="AG792" s="91"/>
      <c r="AM792" s="3"/>
      <c r="AN792" s="3"/>
    </row>
    <row r="793" ht="15.75" customHeight="1">
      <c r="AG793" s="91"/>
      <c r="AM793" s="3"/>
      <c r="AN793" s="3"/>
    </row>
    <row r="794" ht="15.75" customHeight="1">
      <c r="AG794" s="91"/>
      <c r="AM794" s="3"/>
      <c r="AN794" s="3"/>
    </row>
    <row r="795" ht="15.75" customHeight="1">
      <c r="AG795" s="91"/>
      <c r="AM795" s="3"/>
      <c r="AN795" s="3"/>
    </row>
    <row r="796" ht="15.75" customHeight="1">
      <c r="AG796" s="91"/>
      <c r="AM796" s="3"/>
      <c r="AN796" s="3"/>
    </row>
    <row r="797" ht="15.75" customHeight="1">
      <c r="AG797" s="91"/>
      <c r="AM797" s="3"/>
      <c r="AN797" s="3"/>
    </row>
    <row r="798" ht="15.75" customHeight="1">
      <c r="AG798" s="91"/>
      <c r="AM798" s="3"/>
      <c r="AN798" s="3"/>
    </row>
    <row r="799" ht="15.75" customHeight="1">
      <c r="AG799" s="91"/>
      <c r="AM799" s="3"/>
      <c r="AN799" s="3"/>
    </row>
    <row r="800" ht="15.75" customHeight="1">
      <c r="AG800" s="91"/>
      <c r="AM800" s="3"/>
      <c r="AN800" s="3"/>
    </row>
    <row r="801" ht="15.75" customHeight="1">
      <c r="AG801" s="91"/>
      <c r="AM801" s="3"/>
      <c r="AN801" s="3"/>
    </row>
    <row r="802" ht="15.75" customHeight="1">
      <c r="AG802" s="91"/>
      <c r="AM802" s="3"/>
      <c r="AN802" s="3"/>
    </row>
    <row r="803" ht="15.75" customHeight="1">
      <c r="AG803" s="91"/>
      <c r="AM803" s="3"/>
      <c r="AN803" s="3"/>
    </row>
    <row r="804" ht="15.75" customHeight="1">
      <c r="AG804" s="91"/>
      <c r="AM804" s="3"/>
      <c r="AN804" s="3"/>
    </row>
    <row r="805" ht="15.75" customHeight="1">
      <c r="AG805" s="91"/>
      <c r="AM805" s="3"/>
      <c r="AN805" s="3"/>
    </row>
    <row r="806" ht="15.75" customHeight="1">
      <c r="AG806" s="91"/>
      <c r="AM806" s="3"/>
      <c r="AN806" s="3"/>
    </row>
    <row r="807" ht="15.75" customHeight="1">
      <c r="AG807" s="91"/>
      <c r="AM807" s="3"/>
      <c r="AN807" s="3"/>
    </row>
    <row r="808" ht="15.75" customHeight="1">
      <c r="AG808" s="91"/>
      <c r="AM808" s="3"/>
      <c r="AN808" s="3"/>
    </row>
    <row r="809" ht="15.75" customHeight="1">
      <c r="AG809" s="91"/>
      <c r="AM809" s="3"/>
      <c r="AN809" s="3"/>
    </row>
    <row r="810" ht="15.75" customHeight="1">
      <c r="AG810" s="91"/>
      <c r="AM810" s="3"/>
      <c r="AN810" s="3"/>
    </row>
    <row r="811" ht="15.75" customHeight="1">
      <c r="AG811" s="91"/>
      <c r="AM811" s="3"/>
      <c r="AN811" s="3"/>
    </row>
    <row r="812" ht="15.75" customHeight="1">
      <c r="AG812" s="91"/>
      <c r="AM812" s="3"/>
      <c r="AN812" s="3"/>
    </row>
    <row r="813" ht="15.75" customHeight="1">
      <c r="AG813" s="91"/>
      <c r="AM813" s="3"/>
      <c r="AN813" s="3"/>
    </row>
    <row r="814" ht="15.75" customHeight="1">
      <c r="AG814" s="91"/>
      <c r="AM814" s="3"/>
      <c r="AN814" s="3"/>
    </row>
    <row r="815" ht="15.75" customHeight="1">
      <c r="AG815" s="91"/>
      <c r="AM815" s="3"/>
      <c r="AN815" s="3"/>
    </row>
    <row r="816" ht="15.75" customHeight="1">
      <c r="AG816" s="91"/>
      <c r="AM816" s="3"/>
      <c r="AN816" s="3"/>
    </row>
    <row r="817" ht="15.75" customHeight="1">
      <c r="AG817" s="91"/>
      <c r="AM817" s="3"/>
      <c r="AN817" s="3"/>
    </row>
    <row r="818" ht="15.75" customHeight="1">
      <c r="AG818" s="91"/>
      <c r="AM818" s="3"/>
      <c r="AN818" s="3"/>
    </row>
    <row r="819" ht="15.75" customHeight="1">
      <c r="AG819" s="91"/>
      <c r="AM819" s="3"/>
      <c r="AN819" s="3"/>
    </row>
    <row r="820" ht="15.75" customHeight="1">
      <c r="AG820" s="91"/>
      <c r="AM820" s="3"/>
      <c r="AN820" s="3"/>
    </row>
    <row r="821" ht="15.75" customHeight="1">
      <c r="AG821" s="91"/>
      <c r="AM821" s="3"/>
      <c r="AN821" s="3"/>
    </row>
    <row r="822" ht="15.75" customHeight="1">
      <c r="AG822" s="91"/>
      <c r="AM822" s="3"/>
      <c r="AN822" s="3"/>
    </row>
    <row r="823" ht="15.75" customHeight="1">
      <c r="AG823" s="91"/>
      <c r="AM823" s="3"/>
      <c r="AN823" s="3"/>
    </row>
    <row r="824" ht="15.75" customHeight="1">
      <c r="AG824" s="91"/>
      <c r="AM824" s="3"/>
      <c r="AN824" s="3"/>
    </row>
    <row r="825" ht="15.75" customHeight="1">
      <c r="AG825" s="91"/>
      <c r="AM825" s="3"/>
      <c r="AN825" s="3"/>
    </row>
    <row r="826" ht="15.75" customHeight="1">
      <c r="AG826" s="91"/>
      <c r="AM826" s="3"/>
      <c r="AN826" s="3"/>
    </row>
    <row r="827" ht="15.75" customHeight="1">
      <c r="AG827" s="91"/>
      <c r="AM827" s="3"/>
      <c r="AN827" s="3"/>
    </row>
    <row r="828" ht="15.75" customHeight="1">
      <c r="AG828" s="91"/>
      <c r="AM828" s="3"/>
      <c r="AN828" s="3"/>
    </row>
    <row r="829" ht="15.75" customHeight="1">
      <c r="AG829" s="91"/>
      <c r="AM829" s="3"/>
      <c r="AN829" s="3"/>
    </row>
    <row r="830" ht="15.75" customHeight="1">
      <c r="AG830" s="91"/>
      <c r="AM830" s="3"/>
      <c r="AN830" s="3"/>
    </row>
    <row r="831" ht="15.75" customHeight="1">
      <c r="AG831" s="91"/>
      <c r="AM831" s="3"/>
      <c r="AN831" s="3"/>
    </row>
    <row r="832" ht="15.75" customHeight="1">
      <c r="AG832" s="91"/>
      <c r="AM832" s="3"/>
      <c r="AN832" s="3"/>
    </row>
    <row r="833" ht="15.75" customHeight="1">
      <c r="AG833" s="91"/>
      <c r="AM833" s="3"/>
      <c r="AN833" s="3"/>
    </row>
    <row r="834" ht="15.75" customHeight="1">
      <c r="AG834" s="91"/>
      <c r="AM834" s="3"/>
      <c r="AN834" s="3"/>
    </row>
    <row r="835" ht="15.75" customHeight="1">
      <c r="AG835" s="91"/>
      <c r="AM835" s="3"/>
      <c r="AN835" s="3"/>
    </row>
    <row r="836" ht="15.75" customHeight="1">
      <c r="AG836" s="91"/>
      <c r="AM836" s="3"/>
      <c r="AN836" s="3"/>
    </row>
    <row r="837" ht="15.75" customHeight="1">
      <c r="AG837" s="91"/>
      <c r="AM837" s="3"/>
      <c r="AN837" s="3"/>
    </row>
    <row r="838" ht="15.75" customHeight="1">
      <c r="AG838" s="91"/>
      <c r="AM838" s="3"/>
      <c r="AN838" s="3"/>
    </row>
    <row r="839" ht="15.75" customHeight="1">
      <c r="AG839" s="91"/>
      <c r="AM839" s="3"/>
      <c r="AN839" s="3"/>
    </row>
    <row r="840" ht="15.75" customHeight="1">
      <c r="AG840" s="91"/>
      <c r="AM840" s="3"/>
      <c r="AN840" s="3"/>
    </row>
    <row r="841" ht="15.75" customHeight="1">
      <c r="AG841" s="91"/>
      <c r="AM841" s="3"/>
      <c r="AN841" s="3"/>
    </row>
    <row r="842" ht="15.75" customHeight="1">
      <c r="AG842" s="91"/>
      <c r="AM842" s="3"/>
      <c r="AN842" s="3"/>
    </row>
    <row r="843" ht="15.75" customHeight="1">
      <c r="AG843" s="91"/>
      <c r="AM843" s="3"/>
      <c r="AN843" s="3"/>
    </row>
    <row r="844" ht="15.75" customHeight="1">
      <c r="AG844" s="91"/>
      <c r="AM844" s="3"/>
      <c r="AN844" s="3"/>
    </row>
    <row r="845" ht="15.75" customHeight="1">
      <c r="AG845" s="91"/>
      <c r="AM845" s="3"/>
      <c r="AN845" s="3"/>
    </row>
    <row r="846" ht="15.75" customHeight="1">
      <c r="AG846" s="91"/>
      <c r="AM846" s="3"/>
      <c r="AN846" s="3"/>
    </row>
    <row r="847" ht="15.75" customHeight="1">
      <c r="AG847" s="91"/>
      <c r="AM847" s="3"/>
      <c r="AN847" s="3"/>
    </row>
    <row r="848" ht="15.75" customHeight="1">
      <c r="AG848" s="91"/>
      <c r="AM848" s="3"/>
      <c r="AN848" s="3"/>
    </row>
    <row r="849" ht="15.75" customHeight="1">
      <c r="AG849" s="91"/>
      <c r="AM849" s="3"/>
      <c r="AN849" s="3"/>
    </row>
    <row r="850" ht="15.75" customHeight="1">
      <c r="AG850" s="91"/>
      <c r="AM850" s="3"/>
      <c r="AN850" s="3"/>
    </row>
    <row r="851" ht="15.75" customHeight="1">
      <c r="AG851" s="91"/>
      <c r="AM851" s="3"/>
      <c r="AN851" s="3"/>
    </row>
    <row r="852" ht="15.75" customHeight="1">
      <c r="AG852" s="91"/>
      <c r="AM852" s="3"/>
      <c r="AN852" s="3"/>
    </row>
    <row r="853" ht="15.75" customHeight="1">
      <c r="AG853" s="91"/>
      <c r="AM853" s="3"/>
      <c r="AN853" s="3"/>
    </row>
    <row r="854" ht="15.75" customHeight="1">
      <c r="AG854" s="91"/>
      <c r="AM854" s="3"/>
      <c r="AN854" s="3"/>
    </row>
    <row r="855" ht="15.75" customHeight="1">
      <c r="AG855" s="91"/>
      <c r="AM855" s="3"/>
      <c r="AN855" s="3"/>
    </row>
    <row r="856" ht="15.75" customHeight="1">
      <c r="AG856" s="91"/>
      <c r="AM856" s="3"/>
      <c r="AN856" s="3"/>
    </row>
    <row r="857" ht="15.75" customHeight="1">
      <c r="AG857" s="91"/>
      <c r="AM857" s="3"/>
      <c r="AN857" s="3"/>
    </row>
    <row r="858" ht="15.75" customHeight="1">
      <c r="AG858" s="91"/>
      <c r="AM858" s="3"/>
      <c r="AN858" s="3"/>
    </row>
    <row r="859" ht="15.75" customHeight="1">
      <c r="AG859" s="91"/>
      <c r="AM859" s="3"/>
      <c r="AN859" s="3"/>
    </row>
    <row r="860" ht="15.75" customHeight="1">
      <c r="AG860" s="91"/>
      <c r="AM860" s="3"/>
      <c r="AN860" s="3"/>
    </row>
    <row r="861" ht="15.75" customHeight="1">
      <c r="AG861" s="91"/>
      <c r="AM861" s="3"/>
      <c r="AN861" s="3"/>
    </row>
    <row r="862" ht="15.75" customHeight="1">
      <c r="AG862" s="91"/>
      <c r="AM862" s="3"/>
      <c r="AN862" s="3"/>
    </row>
    <row r="863" ht="15.75" customHeight="1">
      <c r="AG863" s="91"/>
      <c r="AM863" s="3"/>
      <c r="AN863" s="3"/>
    </row>
    <row r="864" ht="15.75" customHeight="1">
      <c r="AG864" s="91"/>
      <c r="AM864" s="3"/>
      <c r="AN864" s="3"/>
    </row>
    <row r="865" ht="15.75" customHeight="1">
      <c r="AG865" s="91"/>
      <c r="AM865" s="3"/>
      <c r="AN865" s="3"/>
    </row>
    <row r="866" ht="15.75" customHeight="1">
      <c r="AG866" s="91"/>
      <c r="AM866" s="3"/>
      <c r="AN866" s="3"/>
    </row>
    <row r="867" ht="15.75" customHeight="1">
      <c r="AG867" s="91"/>
      <c r="AM867" s="3"/>
      <c r="AN867" s="3"/>
    </row>
    <row r="868" ht="15.75" customHeight="1">
      <c r="AG868" s="91"/>
      <c r="AM868" s="3"/>
      <c r="AN868" s="3"/>
    </row>
    <row r="869" ht="15.75" customHeight="1">
      <c r="AG869" s="91"/>
      <c r="AM869" s="3"/>
      <c r="AN869" s="3"/>
    </row>
    <row r="870" ht="15.75" customHeight="1">
      <c r="AG870" s="91"/>
      <c r="AM870" s="3"/>
      <c r="AN870" s="3"/>
    </row>
    <row r="871" ht="15.75" customHeight="1">
      <c r="AG871" s="91"/>
      <c r="AM871" s="3"/>
      <c r="AN871" s="3"/>
    </row>
    <row r="872" ht="15.75" customHeight="1">
      <c r="AG872" s="91"/>
      <c r="AM872" s="3"/>
      <c r="AN872" s="3"/>
    </row>
    <row r="873" ht="15.75" customHeight="1">
      <c r="AG873" s="91"/>
      <c r="AM873" s="3"/>
      <c r="AN873" s="3"/>
    </row>
    <row r="874" ht="15.75" customHeight="1">
      <c r="AG874" s="91"/>
      <c r="AM874" s="3"/>
      <c r="AN874" s="3"/>
    </row>
    <row r="875" ht="15.75" customHeight="1">
      <c r="AG875" s="91"/>
      <c r="AM875" s="3"/>
      <c r="AN875" s="3"/>
    </row>
    <row r="876" ht="15.75" customHeight="1">
      <c r="AG876" s="91"/>
      <c r="AM876" s="3"/>
      <c r="AN876" s="3"/>
    </row>
    <row r="877" ht="15.75" customHeight="1">
      <c r="AG877" s="91"/>
      <c r="AM877" s="3"/>
      <c r="AN877" s="3"/>
    </row>
    <row r="878" ht="15.75" customHeight="1">
      <c r="AG878" s="91"/>
      <c r="AM878" s="3"/>
      <c r="AN878" s="3"/>
    </row>
    <row r="879" ht="15.75" customHeight="1">
      <c r="AG879" s="91"/>
      <c r="AM879" s="3"/>
      <c r="AN879" s="3"/>
    </row>
    <row r="880" ht="15.75" customHeight="1">
      <c r="AG880" s="91"/>
      <c r="AM880" s="3"/>
      <c r="AN880" s="3"/>
    </row>
    <row r="881" ht="15.75" customHeight="1">
      <c r="AG881" s="91"/>
      <c r="AM881" s="3"/>
      <c r="AN881" s="3"/>
    </row>
    <row r="882" ht="15.75" customHeight="1">
      <c r="AG882" s="91"/>
      <c r="AM882" s="3"/>
      <c r="AN882" s="3"/>
    </row>
    <row r="883" ht="15.75" customHeight="1">
      <c r="AG883" s="91"/>
      <c r="AM883" s="3"/>
      <c r="AN883" s="3"/>
    </row>
    <row r="884" ht="15.75" customHeight="1">
      <c r="AG884" s="91"/>
      <c r="AM884" s="3"/>
      <c r="AN884" s="3"/>
    </row>
    <row r="885" ht="15.75" customHeight="1">
      <c r="AG885" s="91"/>
      <c r="AM885" s="3"/>
      <c r="AN885" s="3"/>
    </row>
    <row r="886" ht="15.75" customHeight="1">
      <c r="AG886" s="91"/>
      <c r="AM886" s="3"/>
      <c r="AN886" s="3"/>
    </row>
    <row r="887" ht="15.75" customHeight="1">
      <c r="AG887" s="91"/>
      <c r="AM887" s="3"/>
      <c r="AN887" s="3"/>
    </row>
    <row r="888" ht="15.75" customHeight="1">
      <c r="AG888" s="91"/>
      <c r="AM888" s="3"/>
      <c r="AN888" s="3"/>
    </row>
    <row r="889" ht="15.75" customHeight="1">
      <c r="AG889" s="91"/>
      <c r="AM889" s="3"/>
      <c r="AN889" s="3"/>
    </row>
    <row r="890" ht="15.75" customHeight="1">
      <c r="AG890" s="91"/>
      <c r="AM890" s="3"/>
      <c r="AN890" s="3"/>
    </row>
    <row r="891" ht="15.75" customHeight="1">
      <c r="AG891" s="91"/>
      <c r="AM891" s="3"/>
      <c r="AN891" s="3"/>
    </row>
    <row r="892" ht="15.75" customHeight="1">
      <c r="AG892" s="91"/>
      <c r="AM892" s="3"/>
      <c r="AN892" s="3"/>
    </row>
    <row r="893" ht="15.75" customHeight="1">
      <c r="AG893" s="91"/>
      <c r="AM893" s="3"/>
      <c r="AN893" s="3"/>
    </row>
    <row r="894" ht="15.75" customHeight="1">
      <c r="AG894" s="91"/>
      <c r="AM894" s="3"/>
      <c r="AN894" s="3"/>
    </row>
    <row r="895" ht="15.75" customHeight="1">
      <c r="AG895" s="91"/>
      <c r="AM895" s="3"/>
      <c r="AN895" s="3"/>
    </row>
    <row r="896" ht="15.75" customHeight="1">
      <c r="AG896" s="91"/>
      <c r="AM896" s="3"/>
      <c r="AN896" s="3"/>
    </row>
    <row r="897" ht="15.75" customHeight="1">
      <c r="AG897" s="91"/>
      <c r="AM897" s="3"/>
      <c r="AN897" s="3"/>
    </row>
    <row r="898" ht="15.75" customHeight="1">
      <c r="AG898" s="91"/>
      <c r="AM898" s="3"/>
      <c r="AN898" s="3"/>
    </row>
    <row r="899" ht="15.75" customHeight="1">
      <c r="AG899" s="91"/>
      <c r="AM899" s="3"/>
      <c r="AN899" s="3"/>
    </row>
    <row r="900" ht="15.75" customHeight="1">
      <c r="AG900" s="91"/>
      <c r="AM900" s="3"/>
      <c r="AN900" s="3"/>
    </row>
    <row r="901" ht="15.75" customHeight="1">
      <c r="AG901" s="91"/>
      <c r="AM901" s="3"/>
      <c r="AN901" s="3"/>
    </row>
    <row r="902" ht="15.75" customHeight="1">
      <c r="AG902" s="91"/>
      <c r="AM902" s="3"/>
      <c r="AN902" s="3"/>
    </row>
    <row r="903" ht="15.75" customHeight="1">
      <c r="AG903" s="91"/>
      <c r="AM903" s="3"/>
      <c r="AN903" s="3"/>
    </row>
    <row r="904" ht="15.75" customHeight="1">
      <c r="AG904" s="91"/>
      <c r="AM904" s="3"/>
      <c r="AN904" s="3"/>
    </row>
    <row r="905" ht="15.75" customHeight="1">
      <c r="AG905" s="91"/>
      <c r="AM905" s="3"/>
      <c r="AN905" s="3"/>
    </row>
    <row r="906" ht="15.75" customHeight="1">
      <c r="AG906" s="91"/>
      <c r="AM906" s="3"/>
      <c r="AN906" s="3"/>
    </row>
    <row r="907" ht="15.75" customHeight="1">
      <c r="AG907" s="91"/>
      <c r="AM907" s="3"/>
      <c r="AN907" s="3"/>
    </row>
    <row r="908" ht="15.75" customHeight="1">
      <c r="AG908" s="91"/>
      <c r="AM908" s="3"/>
      <c r="AN908" s="3"/>
    </row>
    <row r="909" ht="15.75" customHeight="1">
      <c r="AG909" s="91"/>
      <c r="AM909" s="3"/>
      <c r="AN909" s="3"/>
    </row>
    <row r="910" ht="15.75" customHeight="1">
      <c r="AG910" s="91"/>
      <c r="AM910" s="3"/>
      <c r="AN910" s="3"/>
    </row>
    <row r="911" ht="15.75" customHeight="1">
      <c r="AG911" s="91"/>
      <c r="AM911" s="3"/>
      <c r="AN911" s="3"/>
    </row>
    <row r="912" ht="15.75" customHeight="1">
      <c r="AG912" s="91"/>
      <c r="AM912" s="3"/>
      <c r="AN912" s="3"/>
    </row>
    <row r="913" ht="15.75" customHeight="1">
      <c r="AG913" s="91"/>
      <c r="AM913" s="3"/>
      <c r="AN913" s="3"/>
    </row>
    <row r="914" ht="15.75" customHeight="1">
      <c r="AG914" s="91"/>
      <c r="AM914" s="3"/>
      <c r="AN914" s="3"/>
    </row>
    <row r="915" ht="15.75" customHeight="1">
      <c r="AG915" s="91"/>
      <c r="AM915" s="3"/>
      <c r="AN915" s="3"/>
    </row>
    <row r="916" ht="15.75" customHeight="1">
      <c r="AG916" s="91"/>
      <c r="AM916" s="3"/>
      <c r="AN916" s="3"/>
    </row>
    <row r="917" ht="15.75" customHeight="1">
      <c r="AG917" s="91"/>
      <c r="AM917" s="3"/>
      <c r="AN917" s="3"/>
    </row>
    <row r="918" ht="15.75" customHeight="1">
      <c r="AG918" s="91"/>
      <c r="AM918" s="3"/>
      <c r="AN918" s="3"/>
    </row>
    <row r="919" ht="15.75" customHeight="1">
      <c r="AG919" s="91"/>
      <c r="AM919" s="3"/>
      <c r="AN919" s="3"/>
    </row>
    <row r="920" ht="15.75" customHeight="1">
      <c r="AG920" s="91"/>
      <c r="AM920" s="3"/>
      <c r="AN920" s="3"/>
    </row>
    <row r="921" ht="15.75" customHeight="1">
      <c r="AG921" s="91"/>
      <c r="AM921" s="3"/>
      <c r="AN921" s="3"/>
    </row>
    <row r="922" ht="15.75" customHeight="1">
      <c r="AG922" s="91"/>
      <c r="AM922" s="3"/>
      <c r="AN922" s="3"/>
    </row>
    <row r="923" ht="15.75" customHeight="1">
      <c r="AG923" s="91"/>
      <c r="AM923" s="3"/>
      <c r="AN923" s="3"/>
    </row>
    <row r="924" ht="15.75" customHeight="1">
      <c r="AG924" s="91"/>
      <c r="AM924" s="3"/>
      <c r="AN924" s="3"/>
    </row>
    <row r="925" ht="15.75" customHeight="1">
      <c r="AG925" s="91"/>
      <c r="AM925" s="3"/>
      <c r="AN925" s="3"/>
    </row>
    <row r="926" ht="15.75" customHeight="1">
      <c r="AG926" s="91"/>
      <c r="AM926" s="3"/>
      <c r="AN926" s="3"/>
    </row>
    <row r="927" ht="15.75" customHeight="1">
      <c r="AG927" s="91"/>
      <c r="AM927" s="3"/>
      <c r="AN927" s="3"/>
    </row>
    <row r="928" ht="15.75" customHeight="1">
      <c r="AG928" s="91"/>
      <c r="AM928" s="3"/>
      <c r="AN928" s="3"/>
    </row>
    <row r="929" ht="15.75" customHeight="1">
      <c r="AG929" s="91"/>
      <c r="AM929" s="3"/>
      <c r="AN929" s="3"/>
    </row>
    <row r="930" ht="15.75" customHeight="1">
      <c r="AG930" s="91"/>
      <c r="AM930" s="3"/>
      <c r="AN930" s="3"/>
    </row>
    <row r="931" ht="15.75" customHeight="1">
      <c r="AG931" s="91"/>
      <c r="AM931" s="3"/>
      <c r="AN931" s="3"/>
    </row>
    <row r="932" ht="15.75" customHeight="1">
      <c r="AG932" s="91"/>
      <c r="AM932" s="3"/>
      <c r="AN932" s="3"/>
    </row>
    <row r="933" ht="15.75" customHeight="1">
      <c r="AG933" s="91"/>
      <c r="AM933" s="3"/>
      <c r="AN933" s="3"/>
    </row>
    <row r="934" ht="15.75" customHeight="1">
      <c r="AG934" s="91"/>
      <c r="AM934" s="3"/>
      <c r="AN934" s="3"/>
    </row>
    <row r="935" ht="15.75" customHeight="1">
      <c r="AG935" s="91"/>
      <c r="AM935" s="3"/>
      <c r="AN935" s="3"/>
    </row>
    <row r="936" ht="15.75" customHeight="1">
      <c r="AG936" s="91"/>
      <c r="AM936" s="3"/>
      <c r="AN936" s="3"/>
    </row>
    <row r="937" ht="15.75" customHeight="1">
      <c r="AG937" s="91"/>
      <c r="AM937" s="3"/>
      <c r="AN937" s="3"/>
    </row>
    <row r="938" ht="15.75" customHeight="1">
      <c r="AG938" s="91"/>
      <c r="AM938" s="3"/>
      <c r="AN938" s="3"/>
    </row>
    <row r="939" ht="15.75" customHeight="1">
      <c r="AG939" s="91"/>
      <c r="AM939" s="3"/>
      <c r="AN939" s="3"/>
    </row>
    <row r="940" ht="15.75" customHeight="1">
      <c r="AG940" s="91"/>
      <c r="AM940" s="3"/>
      <c r="AN940" s="3"/>
    </row>
    <row r="941" ht="15.75" customHeight="1">
      <c r="AG941" s="91"/>
      <c r="AM941" s="3"/>
      <c r="AN941" s="3"/>
    </row>
    <row r="942" ht="15.75" customHeight="1">
      <c r="AG942" s="91"/>
      <c r="AM942" s="3"/>
      <c r="AN942" s="3"/>
    </row>
    <row r="943" ht="15.75" customHeight="1">
      <c r="AG943" s="91"/>
      <c r="AM943" s="3"/>
      <c r="AN943" s="3"/>
    </row>
    <row r="944" ht="15.75" customHeight="1">
      <c r="AG944" s="91"/>
      <c r="AM944" s="3"/>
      <c r="AN944" s="3"/>
    </row>
    <row r="945" ht="15.75" customHeight="1">
      <c r="AG945" s="91"/>
      <c r="AM945" s="3"/>
      <c r="AN945" s="3"/>
    </row>
    <row r="946" ht="15.75" customHeight="1">
      <c r="AG946" s="91"/>
      <c r="AM946" s="3"/>
      <c r="AN946" s="3"/>
    </row>
    <row r="947" ht="15.75" customHeight="1">
      <c r="AG947" s="91"/>
      <c r="AM947" s="3"/>
      <c r="AN947" s="3"/>
    </row>
    <row r="948" ht="15.75" customHeight="1">
      <c r="AG948" s="91"/>
      <c r="AM948" s="3"/>
      <c r="AN948" s="3"/>
    </row>
    <row r="949" ht="15.75" customHeight="1">
      <c r="AG949" s="91"/>
      <c r="AM949" s="3"/>
      <c r="AN949" s="3"/>
    </row>
    <row r="950" ht="15.75" customHeight="1">
      <c r="AG950" s="91"/>
      <c r="AM950" s="3"/>
      <c r="AN950" s="3"/>
    </row>
    <row r="951" ht="15.75" customHeight="1">
      <c r="AG951" s="91"/>
      <c r="AM951" s="3"/>
      <c r="AN951" s="3"/>
    </row>
    <row r="952" ht="15.75" customHeight="1">
      <c r="AG952" s="91"/>
      <c r="AM952" s="3"/>
      <c r="AN952" s="3"/>
    </row>
    <row r="953" ht="15.75" customHeight="1">
      <c r="AG953" s="91"/>
      <c r="AM953" s="3"/>
      <c r="AN953" s="3"/>
    </row>
    <row r="954" ht="15.75" customHeight="1">
      <c r="AG954" s="91"/>
      <c r="AM954" s="3"/>
      <c r="AN954" s="3"/>
    </row>
    <row r="955" ht="15.75" customHeight="1">
      <c r="AG955" s="91"/>
      <c r="AM955" s="3"/>
      <c r="AN955" s="3"/>
    </row>
    <row r="956" ht="15.75" customHeight="1">
      <c r="AG956" s="91"/>
      <c r="AM956" s="3"/>
      <c r="AN956" s="3"/>
    </row>
    <row r="957" ht="15.75" customHeight="1">
      <c r="AG957" s="91"/>
      <c r="AM957" s="3"/>
      <c r="AN957" s="3"/>
    </row>
    <row r="958" ht="15.75" customHeight="1">
      <c r="AG958" s="91"/>
      <c r="AM958" s="3"/>
      <c r="AN958" s="3"/>
    </row>
    <row r="959" ht="15.75" customHeight="1">
      <c r="AG959" s="91"/>
      <c r="AM959" s="3"/>
      <c r="AN959" s="3"/>
    </row>
    <row r="960" ht="15.75" customHeight="1">
      <c r="AG960" s="91"/>
      <c r="AM960" s="3"/>
      <c r="AN960" s="3"/>
    </row>
    <row r="961" ht="15.75" customHeight="1">
      <c r="AG961" s="91"/>
      <c r="AM961" s="3"/>
      <c r="AN961" s="3"/>
    </row>
    <row r="962" ht="15.75" customHeight="1">
      <c r="AG962" s="91"/>
      <c r="AM962" s="3"/>
      <c r="AN962" s="3"/>
    </row>
    <row r="963" ht="15.75" customHeight="1">
      <c r="AG963" s="91"/>
      <c r="AM963" s="3"/>
      <c r="AN963" s="3"/>
    </row>
    <row r="964" ht="15.75" customHeight="1">
      <c r="AG964" s="91"/>
      <c r="AM964" s="3"/>
      <c r="AN964" s="3"/>
    </row>
    <row r="965" ht="15.75" customHeight="1">
      <c r="AG965" s="91"/>
      <c r="AM965" s="3"/>
      <c r="AN965" s="3"/>
    </row>
    <row r="966" ht="15.75" customHeight="1">
      <c r="AG966" s="91"/>
      <c r="AM966" s="3"/>
      <c r="AN966" s="3"/>
    </row>
    <row r="967" ht="15.75" customHeight="1">
      <c r="AG967" s="91"/>
      <c r="AM967" s="3"/>
      <c r="AN967" s="3"/>
    </row>
    <row r="968" ht="15.75" customHeight="1">
      <c r="AG968" s="91"/>
      <c r="AM968" s="3"/>
      <c r="AN968" s="3"/>
    </row>
    <row r="969" ht="15.75" customHeight="1">
      <c r="AG969" s="91"/>
      <c r="AM969" s="3"/>
      <c r="AN969" s="3"/>
    </row>
    <row r="970" ht="15.75" customHeight="1">
      <c r="AG970" s="91"/>
      <c r="AM970" s="3"/>
      <c r="AN970" s="3"/>
    </row>
    <row r="971" ht="15.75" customHeight="1">
      <c r="AG971" s="91"/>
      <c r="AM971" s="3"/>
      <c r="AN971" s="3"/>
    </row>
    <row r="972" ht="15.75" customHeight="1">
      <c r="AG972" s="91"/>
      <c r="AM972" s="3"/>
      <c r="AN972" s="3"/>
    </row>
    <row r="973" ht="15.75" customHeight="1">
      <c r="AG973" s="91"/>
      <c r="AM973" s="3"/>
      <c r="AN973" s="3"/>
    </row>
    <row r="974" ht="15.75" customHeight="1">
      <c r="AG974" s="91"/>
      <c r="AM974" s="3"/>
      <c r="AN974" s="3"/>
    </row>
    <row r="975" ht="15.75" customHeight="1">
      <c r="AG975" s="91"/>
      <c r="AM975" s="3"/>
      <c r="AN975" s="3"/>
    </row>
    <row r="976" ht="15.75" customHeight="1">
      <c r="AG976" s="91"/>
      <c r="AM976" s="3"/>
      <c r="AN976" s="3"/>
    </row>
    <row r="977" ht="15.75" customHeight="1">
      <c r="AG977" s="91"/>
      <c r="AM977" s="3"/>
      <c r="AN977" s="3"/>
    </row>
    <row r="978" ht="15.75" customHeight="1">
      <c r="AG978" s="91"/>
      <c r="AM978" s="3"/>
      <c r="AN978" s="3"/>
    </row>
    <row r="979" ht="15.75" customHeight="1">
      <c r="AG979" s="91"/>
      <c r="AM979" s="3"/>
      <c r="AN979" s="3"/>
    </row>
    <row r="980" ht="15.75" customHeight="1">
      <c r="AG980" s="91"/>
      <c r="AM980" s="3"/>
      <c r="AN980" s="3"/>
    </row>
    <row r="981" ht="15.75" customHeight="1">
      <c r="AG981" s="91"/>
      <c r="AM981" s="3"/>
      <c r="AN981" s="3"/>
    </row>
    <row r="982" ht="15.75" customHeight="1">
      <c r="AG982" s="91"/>
      <c r="AM982" s="3"/>
      <c r="AN982" s="3"/>
    </row>
    <row r="983" ht="15.75" customHeight="1">
      <c r="AG983" s="91"/>
      <c r="AM983" s="3"/>
      <c r="AN983" s="3"/>
    </row>
    <row r="984" ht="15.75" customHeight="1">
      <c r="AG984" s="91"/>
      <c r="AM984" s="3"/>
      <c r="AN984" s="3"/>
    </row>
    <row r="985" ht="15.75" customHeight="1">
      <c r="AG985" s="91"/>
      <c r="AM985" s="3"/>
      <c r="AN985" s="3"/>
    </row>
    <row r="986" ht="15.75" customHeight="1">
      <c r="AG986" s="91"/>
      <c r="AM986" s="3"/>
      <c r="AN986" s="3"/>
    </row>
    <row r="987" ht="15.75" customHeight="1">
      <c r="AG987" s="91"/>
      <c r="AM987" s="3"/>
      <c r="AN987" s="3"/>
    </row>
    <row r="988" ht="15.75" customHeight="1">
      <c r="AG988" s="91"/>
      <c r="AM988" s="3"/>
      <c r="AN988" s="3"/>
    </row>
    <row r="989" ht="15.75" customHeight="1">
      <c r="AG989" s="91"/>
      <c r="AM989" s="3"/>
      <c r="AN989" s="3"/>
    </row>
    <row r="990" ht="15.75" customHeight="1">
      <c r="AG990" s="91"/>
      <c r="AM990" s="3"/>
      <c r="AN990" s="3"/>
    </row>
    <row r="991" ht="15.75" customHeight="1">
      <c r="AG991" s="91"/>
      <c r="AM991" s="3"/>
      <c r="AN991" s="3"/>
    </row>
    <row r="992" ht="15.75" customHeight="1">
      <c r="AG992" s="91"/>
      <c r="AM992" s="3"/>
      <c r="AN992" s="3"/>
    </row>
    <row r="993" ht="15.75" customHeight="1">
      <c r="AG993" s="91"/>
      <c r="AM993" s="3"/>
      <c r="AN993" s="3"/>
    </row>
    <row r="994" ht="15.75" customHeight="1">
      <c r="AG994" s="91"/>
      <c r="AM994" s="3"/>
      <c r="AN994" s="3"/>
    </row>
    <row r="995" ht="15.75" customHeight="1">
      <c r="AG995" s="91"/>
      <c r="AM995" s="3"/>
      <c r="AN995" s="3"/>
    </row>
    <row r="996" ht="15.75" customHeight="1">
      <c r="AG996" s="91"/>
      <c r="AM996" s="3"/>
      <c r="AN996" s="3"/>
    </row>
    <row r="997" ht="15.75" customHeight="1">
      <c r="AG997" s="91"/>
      <c r="AM997" s="3"/>
      <c r="AN997" s="3"/>
    </row>
    <row r="998" ht="15.75" customHeight="1">
      <c r="AG998" s="91"/>
      <c r="AM998" s="3"/>
      <c r="AN998" s="3"/>
    </row>
    <row r="999" ht="15.75" customHeight="1">
      <c r="AG999" s="91"/>
      <c r="AM999" s="3"/>
      <c r="AN999" s="3"/>
    </row>
    <row r="1000" ht="15.75" customHeight="1">
      <c r="AG1000" s="91"/>
      <c r="AM1000" s="3"/>
      <c r="AN1000" s="3"/>
    </row>
  </sheetData>
  <autoFilter ref="$A$3:$AL$34">
    <sortState ref="A3:AL34">
      <sortCondition ref="A3:A34"/>
    </sortState>
  </autoFilter>
  <printOptions/>
  <pageMargins bottom="0.75" footer="0.0" header="0.0" left="0.7" right="0.7" top="0.75"/>
  <pageSetup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40" width="14.43"/>
  </cols>
  <sheetData>
    <row r="1" ht="15.0" customHeight="1">
      <c r="B1" s="57" t="s">
        <v>4457</v>
      </c>
      <c r="D1" s="1">
        <v>45614.0</v>
      </c>
      <c r="F1" s="2"/>
      <c r="G1" s="3"/>
      <c r="H1" s="4"/>
      <c r="I1" s="5"/>
      <c r="AB1" s="7"/>
      <c r="AC1" s="7"/>
      <c r="AD1" s="7"/>
      <c r="AE1" s="7"/>
      <c r="AF1" s="7"/>
      <c r="AG1" s="8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  <c r="AM1" s="3"/>
      <c r="AN1" s="3"/>
    </row>
    <row r="2" ht="15.0" customHeight="1">
      <c r="B2" s="57" t="s">
        <v>4458</v>
      </c>
      <c r="D2" s="1">
        <v>45620.0</v>
      </c>
      <c r="G2" s="13"/>
      <c r="H2" s="13"/>
      <c r="I2" s="14">
        <f>SUBTOTAL(9,I4:I9759)</f>
        <v>636.52</v>
      </c>
      <c r="J2" s="4"/>
      <c r="K2" s="14">
        <f>SUBTOTAL(9,K4:K9759)</f>
        <v>593.357866</v>
      </c>
      <c r="L2" s="15">
        <f>SUMPRODUCT(L5:L590,K5:K590)/K2</f>
        <v>0.337942336</v>
      </c>
      <c r="M2" s="2"/>
      <c r="P2" s="2"/>
      <c r="Q2" s="16">
        <f>+SUMPRODUCT(Q5:Q478,AH5:AH478)/SUM(AH5:AH478)</f>
        <v>89.46544383</v>
      </c>
      <c r="R2" s="12">
        <f>+SUMPRODUCT(R5:R478,AH5:AH478)/SUM(AH5:AH478)</f>
        <v>2729.650089</v>
      </c>
      <c r="S2" s="2"/>
      <c r="AB2" s="7"/>
      <c r="AC2" s="7"/>
      <c r="AD2" s="7"/>
      <c r="AE2" s="7"/>
      <c r="AF2" s="7"/>
      <c r="AG2" s="17">
        <f>SUMPRODUCT($AG5:$AG478,$K5:$K478)/SUM($K5:$K478)</f>
        <v>55.31599952</v>
      </c>
      <c r="AH2" s="18"/>
      <c r="AI2" s="19">
        <v>2651.9</v>
      </c>
      <c r="AJ2" s="20"/>
      <c r="AK2" s="11"/>
      <c r="AL2" s="21"/>
      <c r="AM2" s="3"/>
      <c r="AN2" s="3"/>
    </row>
    <row r="3" ht="15.0" customHeight="1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3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38" t="s">
        <v>36</v>
      </c>
      <c r="AH3" s="39">
        <f>SUBTOTAL(9,AH5:AH9760)</f>
        <v>6150.651391</v>
      </c>
      <c r="AI3" s="40">
        <f>SUMPRODUCT(K5:K478,AI5:AI478)/K2</f>
        <v>33.66261694</v>
      </c>
      <c r="AJ3" s="39">
        <f>SUBTOTAL(9,AJ5:AJ9760)</f>
        <v>6065.371727</v>
      </c>
      <c r="AK3" s="11"/>
      <c r="AL3" s="39">
        <f>SUBTOTAL(9,AL5:AL9760)</f>
        <v>405109.2294</v>
      </c>
      <c r="AM3" s="3" t="s">
        <v>4049</v>
      </c>
      <c r="AN3" s="3" t="s">
        <v>4459</v>
      </c>
      <c r="AO3" s="7"/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49"/>
      <c r="AH4" s="50"/>
      <c r="AI4" s="51"/>
      <c r="AJ4" s="52"/>
      <c r="AK4" s="53"/>
      <c r="AL4" s="52"/>
      <c r="AM4" s="134"/>
      <c r="AN4" s="134"/>
      <c r="AO4" s="67"/>
      <c r="AP4" s="67"/>
      <c r="AQ4" s="67"/>
    </row>
    <row r="5" ht="15.75" customHeight="1">
      <c r="A5" s="117" t="s">
        <v>4460</v>
      </c>
      <c r="B5" s="841">
        <v>45583.0</v>
      </c>
      <c r="C5" s="854">
        <v>45581.0</v>
      </c>
      <c r="D5" s="2" t="s">
        <v>63</v>
      </c>
      <c r="E5" s="2">
        <v>1.0437450094E10</v>
      </c>
      <c r="F5" s="67" t="s">
        <v>4461</v>
      </c>
      <c r="G5" s="3">
        <v>25.0</v>
      </c>
      <c r="H5" s="58" t="s">
        <v>47</v>
      </c>
      <c r="I5" s="58">
        <v>2.37</v>
      </c>
      <c r="J5" s="58">
        <v>1.4</v>
      </c>
      <c r="K5" s="59">
        <f t="shared" ref="K5:K85" si="1">+I5-(I5*(J5/100))</f>
        <v>2.33682</v>
      </c>
      <c r="L5" s="60">
        <v>1.267</v>
      </c>
      <c r="M5" s="60">
        <v>1.204</v>
      </c>
      <c r="N5" s="62">
        <v>1.32</v>
      </c>
      <c r="O5" s="60">
        <f t="shared" ref="O5:O11" si="2">+ROUND((M5+N5)/2,3)</f>
        <v>1.262</v>
      </c>
      <c r="P5" s="136">
        <v>90.0</v>
      </c>
      <c r="Q5" s="58">
        <v>89.55</v>
      </c>
      <c r="R5" s="70">
        <v>2655.25</v>
      </c>
      <c r="S5" s="3">
        <v>200.0</v>
      </c>
      <c r="T5" s="2"/>
      <c r="U5" s="2">
        <v>100.0</v>
      </c>
      <c r="V5" s="2">
        <v>1.1023</v>
      </c>
      <c r="W5" s="2"/>
      <c r="X5" s="2"/>
      <c r="Y5" s="68">
        <v>30.0</v>
      </c>
      <c r="Z5" s="69">
        <f t="shared" ref="Z5:Z43" si="3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85" si="4">+Y5+Z5</f>
        <v>60</v>
      </c>
      <c r="AB5" s="71">
        <f t="shared" ref="AB5:AB77" si="5">+((O5*P5*(R5-U5)/100)-S5-AA5+T5)*V5</f>
        <v>2912.555427</v>
      </c>
      <c r="AC5" s="71">
        <f>+(S5-T5)*V5-'data 1'!$F$4</f>
        <v>140.46</v>
      </c>
      <c r="AD5" s="71">
        <f t="shared" ref="AD5:AD85" si="6">+(Q5-P5)*(R5-U5)*L5*V5/100</f>
        <v>-16.05914181</v>
      </c>
      <c r="AE5" s="71">
        <f t="shared" ref="AE5:AE85" si="7">+(Y5*V5-70)+V5*(Z5-IF(D5="UNTUCA",IF(+((W5-3)*2.5+(X5-3)*3.1)&gt;0,+((W5-3)*1.5+(X5-3)*3.1),0),IF(+((W5-3)*1.5+(X5-3)*3.1)&gt;0,+((W5-3)*1.5+(X5-3)*3.1),0)))</f>
        <v>-3.862</v>
      </c>
      <c r="AF5" s="71">
        <f t="shared" ref="AF5:AF85" si="8">(L5-O5)*(R5-U5)*Q5*V5/100</f>
        <v>12.61155967</v>
      </c>
      <c r="AG5" s="72">
        <f t="shared" ref="AG5:AG7" si="9">+IF(D5="RONALD WILLIAN GARIBAY ESCUDERO",AC5+AD5+AE5+AF5+70,AC5+AD5+AE5+AF5)+70-53</f>
        <v>150.1504179</v>
      </c>
      <c r="AH5" s="52">
        <f t="shared" ref="AH5:AH85" si="10">31.1035*L5*Q5*1.1023*K5/100</f>
        <v>90.90264818</v>
      </c>
      <c r="AI5" s="73">
        <f t="shared" ref="AI5:AI52" si="11">+((+$AI$2-R5+U5)*L5*Q5*V5)/100</f>
        <v>120.8770551</v>
      </c>
      <c r="AJ5" s="73">
        <f t="shared" ref="AJ5:AJ85" si="12">31.1035*1.1023*K5*P5*O5/100</f>
        <v>90.9989109</v>
      </c>
      <c r="AK5" s="53"/>
      <c r="AL5" s="122">
        <f t="shared" ref="AL5:AL85" si="13">+IF(AB5*K5&gt;0,AB5*K5,0)</f>
        <v>6806.117772</v>
      </c>
      <c r="AM5" s="3"/>
      <c r="AN5" s="3"/>
      <c r="AO5" s="58">
        <f t="shared" ref="AO5:AO85" si="14">+AH5/Q5*100</f>
        <v>101.5104949</v>
      </c>
      <c r="AQ5" s="58"/>
    </row>
    <row r="6" ht="15.75" customHeight="1">
      <c r="A6" s="117" t="s">
        <v>4462</v>
      </c>
      <c r="B6" s="841">
        <v>45593.0</v>
      </c>
      <c r="C6" s="854">
        <v>45584.0</v>
      </c>
      <c r="D6" s="67" t="s">
        <v>79</v>
      </c>
      <c r="E6" s="67">
        <v>1.0421580605E10</v>
      </c>
      <c r="F6" s="67" t="s">
        <v>4463</v>
      </c>
      <c r="G6" s="134" t="s">
        <v>4100</v>
      </c>
      <c r="H6" s="58" t="s">
        <v>47</v>
      </c>
      <c r="I6" s="58">
        <v>31.26</v>
      </c>
      <c r="J6" s="58">
        <v>16.0</v>
      </c>
      <c r="K6" s="59">
        <f t="shared" si="1"/>
        <v>26.2584</v>
      </c>
      <c r="L6" s="106">
        <v>0.118</v>
      </c>
      <c r="M6" s="106">
        <v>0.118</v>
      </c>
      <c r="N6" s="135">
        <v>0.118</v>
      </c>
      <c r="O6" s="106">
        <f t="shared" si="2"/>
        <v>0.118</v>
      </c>
      <c r="P6" s="136">
        <v>85.0</v>
      </c>
      <c r="Q6" s="857">
        <v>89.12</v>
      </c>
      <c r="R6" s="70">
        <v>2712.5</v>
      </c>
      <c r="S6" s="134">
        <v>110.0</v>
      </c>
      <c r="T6" s="67"/>
      <c r="U6" s="67">
        <v>90.0</v>
      </c>
      <c r="V6" s="67">
        <v>1.1023</v>
      </c>
      <c r="W6" s="67"/>
      <c r="X6" s="67"/>
      <c r="Y6" s="67"/>
      <c r="Z6" s="69">
        <f t="shared" si="3"/>
        <v>30</v>
      </c>
      <c r="AA6" s="70">
        <f t="shared" si="4"/>
        <v>30</v>
      </c>
      <c r="AB6" s="71">
        <f t="shared" si="5"/>
        <v>135.6234095</v>
      </c>
      <c r="AC6" s="71">
        <f>+(S6-T6)*V6-'data 1'!$F$4</f>
        <v>41.253</v>
      </c>
      <c r="AD6" s="71">
        <f t="shared" si="6"/>
        <v>14.05382456</v>
      </c>
      <c r="AE6" s="71">
        <f t="shared" si="7"/>
        <v>-36.931</v>
      </c>
      <c r="AF6" s="71">
        <f t="shared" si="8"/>
        <v>0</v>
      </c>
      <c r="AG6" s="72">
        <f t="shared" si="9"/>
        <v>35.37582456</v>
      </c>
      <c r="AH6" s="52">
        <f t="shared" si="10"/>
        <v>94.67482568</v>
      </c>
      <c r="AI6" s="73">
        <f t="shared" si="11"/>
        <v>3.408037171</v>
      </c>
      <c r="AJ6" s="73">
        <f t="shared" si="12"/>
        <v>90.29802719</v>
      </c>
      <c r="AK6" s="53"/>
      <c r="AL6" s="122">
        <f t="shared" si="13"/>
        <v>3561.253737</v>
      </c>
      <c r="AM6" s="3"/>
      <c r="AN6" s="3"/>
      <c r="AO6" s="58">
        <f t="shared" si="14"/>
        <v>106.2329732</v>
      </c>
      <c r="AQ6" s="58"/>
    </row>
    <row r="7" ht="15.75" customHeight="1">
      <c r="A7" s="117" t="s">
        <v>4464</v>
      </c>
      <c r="B7" s="841">
        <v>45593.0</v>
      </c>
      <c r="C7" s="854">
        <v>45584.0</v>
      </c>
      <c r="D7" s="67" t="s">
        <v>45</v>
      </c>
      <c r="E7" s="67">
        <v>1.0416085884E10</v>
      </c>
      <c r="F7" s="67" t="s">
        <v>4463</v>
      </c>
      <c r="G7" s="134" t="s">
        <v>4100</v>
      </c>
      <c r="H7" s="58" t="s">
        <v>47</v>
      </c>
      <c r="I7" s="58">
        <v>30.14</v>
      </c>
      <c r="J7" s="58">
        <v>18.0</v>
      </c>
      <c r="K7" s="59">
        <f t="shared" si="1"/>
        <v>24.7148</v>
      </c>
      <c r="L7" s="106">
        <v>0.114</v>
      </c>
      <c r="M7" s="106">
        <v>0.108</v>
      </c>
      <c r="N7" s="135">
        <v>0.144</v>
      </c>
      <c r="O7" s="106">
        <f t="shared" si="2"/>
        <v>0.126</v>
      </c>
      <c r="P7" s="136">
        <v>85.0</v>
      </c>
      <c r="Q7" s="857">
        <v>89.09</v>
      </c>
      <c r="R7" s="70">
        <v>2712.5</v>
      </c>
      <c r="S7" s="134">
        <v>110.0</v>
      </c>
      <c r="T7" s="67"/>
      <c r="U7" s="67">
        <v>90.0</v>
      </c>
      <c r="V7" s="67">
        <v>1.1023</v>
      </c>
      <c r="W7" s="67"/>
      <c r="X7" s="67"/>
      <c r="Y7" s="67"/>
      <c r="Z7" s="69">
        <f t="shared" si="3"/>
        <v>30</v>
      </c>
      <c r="AA7" s="70">
        <f t="shared" si="4"/>
        <v>30</v>
      </c>
      <c r="AB7" s="71">
        <f t="shared" si="5"/>
        <v>155.2807254</v>
      </c>
      <c r="AC7" s="71">
        <f>+(S7-T7)*V7-'data 1'!$F$4</f>
        <v>41.253</v>
      </c>
      <c r="AD7" s="71">
        <f t="shared" si="6"/>
        <v>13.47855899</v>
      </c>
      <c r="AE7" s="71">
        <f t="shared" si="7"/>
        <v>-36.931</v>
      </c>
      <c r="AF7" s="71">
        <f t="shared" si="8"/>
        <v>-30.90476953</v>
      </c>
      <c r="AG7" s="72">
        <f t="shared" si="9"/>
        <v>3.895789455</v>
      </c>
      <c r="AH7" s="52">
        <f t="shared" si="10"/>
        <v>86.05973014</v>
      </c>
      <c r="AI7" s="73">
        <f t="shared" si="11"/>
        <v>3.291402147</v>
      </c>
      <c r="AJ7" s="73">
        <f t="shared" si="12"/>
        <v>90.75188207</v>
      </c>
      <c r="AK7" s="11"/>
      <c r="AL7" s="122">
        <f t="shared" si="13"/>
        <v>3837.732073</v>
      </c>
      <c r="AM7" s="3"/>
      <c r="AN7" s="3"/>
      <c r="AO7" s="58">
        <f t="shared" si="14"/>
        <v>96.59864198</v>
      </c>
      <c r="AQ7" s="58"/>
    </row>
    <row r="8" ht="15.75" customHeight="1">
      <c r="A8" s="117" t="s">
        <v>4465</v>
      </c>
      <c r="B8" s="841">
        <v>45603.0</v>
      </c>
      <c r="C8" s="854">
        <v>45585.0</v>
      </c>
      <c r="D8" s="57" t="s">
        <v>4466</v>
      </c>
      <c r="E8" s="2">
        <v>2.0606534923E10</v>
      </c>
      <c r="F8" s="2" t="s">
        <v>4467</v>
      </c>
      <c r="G8" s="3">
        <v>18.0</v>
      </c>
      <c r="H8" s="58" t="s">
        <v>47</v>
      </c>
      <c r="I8" s="58">
        <v>2.04</v>
      </c>
      <c r="J8" s="58">
        <v>1.2</v>
      </c>
      <c r="K8" s="59">
        <f t="shared" si="1"/>
        <v>2.01552</v>
      </c>
      <c r="L8" s="60">
        <v>0.536</v>
      </c>
      <c r="M8" s="60">
        <v>0.514</v>
      </c>
      <c r="N8" s="62">
        <v>0.514</v>
      </c>
      <c r="O8" s="60">
        <f t="shared" si="2"/>
        <v>0.514</v>
      </c>
      <c r="P8" s="136">
        <v>90.0</v>
      </c>
      <c r="Q8" s="458">
        <v>89.66</v>
      </c>
      <c r="R8" s="70">
        <v>2712.5</v>
      </c>
      <c r="S8" s="3">
        <v>140.0</v>
      </c>
      <c r="U8" s="2">
        <v>130.0</v>
      </c>
      <c r="V8" s="2">
        <v>1.1023</v>
      </c>
      <c r="Y8" s="68">
        <v>30.0</v>
      </c>
      <c r="Z8" s="69">
        <f t="shared" si="3"/>
        <v>30</v>
      </c>
      <c r="AA8" s="70">
        <f t="shared" si="4"/>
        <v>60</v>
      </c>
      <c r="AB8" s="71">
        <f t="shared" si="5"/>
        <v>1096.418678</v>
      </c>
      <c r="AC8" s="71">
        <f>+(S8-T8)*V8-'data 1'!$F$4</f>
        <v>74.322</v>
      </c>
      <c r="AD8" s="71">
        <f t="shared" si="6"/>
        <v>-5.1878074</v>
      </c>
      <c r="AE8" s="71">
        <f t="shared" si="7"/>
        <v>-3.862</v>
      </c>
      <c r="AF8" s="71">
        <f t="shared" si="8"/>
        <v>56.15152466</v>
      </c>
      <c r="AG8" s="72">
        <f t="shared" ref="AG8:AG11" si="15">+IF(D8="RONALD WILLIAN GARIBAY ESCUDERO",AC8+AD8+AE8+AF8+70,AC8+AD8+AE8+AF8)</f>
        <v>121.4237173</v>
      </c>
      <c r="AH8" s="52">
        <f t="shared" si="10"/>
        <v>33.20929878</v>
      </c>
      <c r="AI8" s="73">
        <f t="shared" si="11"/>
        <v>36.76400378</v>
      </c>
      <c r="AJ8" s="73">
        <f t="shared" si="12"/>
        <v>31.96699475</v>
      </c>
      <c r="AK8" s="11"/>
      <c r="AL8" s="122">
        <f t="shared" si="13"/>
        <v>2209.853775</v>
      </c>
      <c r="AM8" s="3"/>
      <c r="AN8" s="3"/>
      <c r="AO8" s="58">
        <f t="shared" si="14"/>
        <v>37.03914653</v>
      </c>
      <c r="AQ8" s="58"/>
    </row>
    <row r="9" ht="15.75" customHeight="1">
      <c r="A9" s="117" t="s">
        <v>4468</v>
      </c>
      <c r="B9" s="841">
        <v>45603.0</v>
      </c>
      <c r="C9" s="854">
        <v>45585.0</v>
      </c>
      <c r="D9" s="2" t="s">
        <v>4466</v>
      </c>
      <c r="E9" s="2">
        <v>2.0606534923E10</v>
      </c>
      <c r="F9" s="2" t="s">
        <v>4467</v>
      </c>
      <c r="G9" s="3">
        <v>12.0</v>
      </c>
      <c r="H9" s="58" t="s">
        <v>40</v>
      </c>
      <c r="I9" s="58">
        <v>0.96</v>
      </c>
      <c r="J9" s="58">
        <v>12.9</v>
      </c>
      <c r="K9" s="59">
        <f t="shared" si="1"/>
        <v>0.83616</v>
      </c>
      <c r="L9" s="60">
        <v>1.438</v>
      </c>
      <c r="M9" s="60">
        <v>1.38</v>
      </c>
      <c r="N9" s="75">
        <v>1.526</v>
      </c>
      <c r="O9" s="60">
        <f t="shared" si="2"/>
        <v>1.453</v>
      </c>
      <c r="P9" s="2">
        <v>90.0</v>
      </c>
      <c r="Q9" s="458">
        <v>89.45</v>
      </c>
      <c r="R9" s="70">
        <v>2712.5</v>
      </c>
      <c r="S9" s="3">
        <v>200.0</v>
      </c>
      <c r="T9" s="2"/>
      <c r="U9" s="2">
        <v>130.0</v>
      </c>
      <c r="V9" s="2">
        <v>1.1023</v>
      </c>
      <c r="W9" s="2"/>
      <c r="X9" s="2"/>
      <c r="Y9" s="68">
        <v>30.0</v>
      </c>
      <c r="Z9" s="69">
        <f t="shared" si="3"/>
        <v>30</v>
      </c>
      <c r="AA9" s="70">
        <f t="shared" si="4"/>
        <v>60</v>
      </c>
      <c r="AB9" s="71">
        <f t="shared" si="5"/>
        <v>3436.018186</v>
      </c>
      <c r="AC9" s="71">
        <f>+(S9-T9)*V9-'data 1'!$F$4</f>
        <v>140.46</v>
      </c>
      <c r="AD9" s="71">
        <f t="shared" si="6"/>
        <v>-22.51446923</v>
      </c>
      <c r="AE9" s="71">
        <f t="shared" si="7"/>
        <v>-3.862</v>
      </c>
      <c r="AF9" s="71">
        <f t="shared" si="8"/>
        <v>-38.19545972</v>
      </c>
      <c r="AG9" s="72">
        <f t="shared" si="15"/>
        <v>75.88807105</v>
      </c>
      <c r="AH9" s="52">
        <f t="shared" si="10"/>
        <v>36.87548052</v>
      </c>
      <c r="AI9" s="73">
        <f t="shared" si="11"/>
        <v>98.40077271</v>
      </c>
      <c r="AJ9" s="73">
        <f t="shared" si="12"/>
        <v>37.48923523</v>
      </c>
      <c r="AK9" s="11"/>
      <c r="AL9" s="122">
        <f t="shared" si="13"/>
        <v>2873.060966</v>
      </c>
      <c r="AM9" s="3"/>
      <c r="AN9" s="3"/>
      <c r="AO9" s="58">
        <f t="shared" si="14"/>
        <v>41.22468476</v>
      </c>
      <c r="AQ9" s="58"/>
    </row>
    <row r="10" ht="15.75" customHeight="1">
      <c r="A10" s="117" t="s">
        <v>4469</v>
      </c>
      <c r="B10" s="841">
        <v>45590.0</v>
      </c>
      <c r="C10" s="854">
        <v>45585.0</v>
      </c>
      <c r="D10" s="57" t="s">
        <v>602</v>
      </c>
      <c r="E10" s="2">
        <v>2.0169040237E10</v>
      </c>
      <c r="F10" s="2" t="s">
        <v>4470</v>
      </c>
      <c r="G10" s="3">
        <v>21.0</v>
      </c>
      <c r="H10" s="58" t="s">
        <v>47</v>
      </c>
      <c r="I10" s="58">
        <v>1.88</v>
      </c>
      <c r="J10" s="58">
        <v>1.2</v>
      </c>
      <c r="K10" s="59">
        <f t="shared" si="1"/>
        <v>1.85744</v>
      </c>
      <c r="L10" s="60">
        <v>0.35</v>
      </c>
      <c r="M10" s="60">
        <v>0.346</v>
      </c>
      <c r="N10" s="62">
        <v>0.346</v>
      </c>
      <c r="O10" s="60">
        <f t="shared" si="2"/>
        <v>0.346</v>
      </c>
      <c r="P10" s="136">
        <v>90.0</v>
      </c>
      <c r="Q10" s="458">
        <v>89.27</v>
      </c>
      <c r="R10" s="70">
        <v>2712.5</v>
      </c>
      <c r="S10" s="3">
        <v>120.0</v>
      </c>
      <c r="U10" s="2">
        <v>130.0</v>
      </c>
      <c r="V10" s="2">
        <v>1.1023</v>
      </c>
      <c r="Y10" s="68">
        <v>30.0</v>
      </c>
      <c r="Z10" s="69">
        <f t="shared" si="3"/>
        <v>30</v>
      </c>
      <c r="AA10" s="70">
        <f t="shared" si="4"/>
        <v>60</v>
      </c>
      <c r="AB10" s="71">
        <f t="shared" si="5"/>
        <v>688.0451882</v>
      </c>
      <c r="AC10" s="71">
        <f>+(S10-T10)*V10-'data 1'!$F$4</f>
        <v>52.276</v>
      </c>
      <c r="AD10" s="71">
        <f t="shared" si="6"/>
        <v>-7.273292311</v>
      </c>
      <c r="AE10" s="71">
        <f t="shared" si="7"/>
        <v>-3.862</v>
      </c>
      <c r="AF10" s="71">
        <f t="shared" si="8"/>
        <v>10.16495976</v>
      </c>
      <c r="AG10" s="72">
        <f t="shared" si="15"/>
        <v>51.30566745</v>
      </c>
      <c r="AH10" s="52">
        <f t="shared" si="10"/>
        <v>19.89745093</v>
      </c>
      <c r="AI10" s="73">
        <f t="shared" si="11"/>
        <v>23.90192377</v>
      </c>
      <c r="AJ10" s="73">
        <f t="shared" si="12"/>
        <v>19.83090214</v>
      </c>
      <c r="AK10" s="11"/>
      <c r="AL10" s="122">
        <f t="shared" si="13"/>
        <v>1278.002654</v>
      </c>
      <c r="AM10" s="3"/>
      <c r="AN10" s="3"/>
      <c r="AO10" s="58">
        <f t="shared" si="14"/>
        <v>22.28906791</v>
      </c>
      <c r="AQ10" s="58"/>
    </row>
    <row r="11" ht="15.75" customHeight="1">
      <c r="A11" s="117" t="s">
        <v>4471</v>
      </c>
      <c r="B11" s="841">
        <v>45590.0</v>
      </c>
      <c r="C11" s="854">
        <v>45585.0</v>
      </c>
      <c r="D11" s="57" t="s">
        <v>602</v>
      </c>
      <c r="E11" s="2">
        <v>2.0169040237E10</v>
      </c>
      <c r="F11" s="2" t="s">
        <v>4472</v>
      </c>
      <c r="G11" s="3">
        <v>21.0</v>
      </c>
      <c r="H11" s="58" t="s">
        <v>47</v>
      </c>
      <c r="I11" s="58">
        <v>1.91</v>
      </c>
      <c r="J11" s="58">
        <v>1.15</v>
      </c>
      <c r="K11" s="59">
        <f t="shared" si="1"/>
        <v>1.888035</v>
      </c>
      <c r="L11" s="60">
        <v>0.323</v>
      </c>
      <c r="M11" s="60">
        <v>0.314</v>
      </c>
      <c r="N11" s="62">
        <v>0.314</v>
      </c>
      <c r="O11" s="60">
        <f t="shared" si="2"/>
        <v>0.314</v>
      </c>
      <c r="P11" s="136">
        <v>90.0</v>
      </c>
      <c r="Q11" s="458">
        <v>89.11</v>
      </c>
      <c r="R11" s="70">
        <v>2712.5</v>
      </c>
      <c r="S11" s="3">
        <v>120.0</v>
      </c>
      <c r="U11" s="2">
        <v>130.0</v>
      </c>
      <c r="V11" s="2">
        <v>1.1023</v>
      </c>
      <c r="Y11" s="68">
        <v>20.0</v>
      </c>
      <c r="Z11" s="69">
        <f t="shared" si="3"/>
        <v>30</v>
      </c>
      <c r="AA11" s="70">
        <f t="shared" si="4"/>
        <v>50</v>
      </c>
      <c r="AB11" s="71">
        <f t="shared" si="5"/>
        <v>617.0835234</v>
      </c>
      <c r="AC11" s="71">
        <f>+(S11-T11)*V11-'data 1'!$F$4</f>
        <v>52.276</v>
      </c>
      <c r="AD11" s="71">
        <f t="shared" si="6"/>
        <v>-8.183379024</v>
      </c>
      <c r="AE11" s="71">
        <f t="shared" si="7"/>
        <v>-14.885</v>
      </c>
      <c r="AF11" s="71">
        <f t="shared" si="8"/>
        <v>22.83016713</v>
      </c>
      <c r="AG11" s="72">
        <f t="shared" si="15"/>
        <v>52.0377881</v>
      </c>
      <c r="AH11" s="52">
        <f t="shared" si="10"/>
        <v>18.63151095</v>
      </c>
      <c r="AI11" s="73">
        <f t="shared" si="11"/>
        <v>22.01852608</v>
      </c>
      <c r="AJ11" s="73">
        <f t="shared" si="12"/>
        <v>18.29326677</v>
      </c>
      <c r="AK11" s="11"/>
      <c r="AL11" s="122">
        <f t="shared" si="13"/>
        <v>1165.07529</v>
      </c>
      <c r="AM11" s="3"/>
      <c r="AN11" s="3"/>
      <c r="AO11" s="58">
        <f t="shared" si="14"/>
        <v>20.90844008</v>
      </c>
      <c r="AQ11" s="58"/>
    </row>
    <row r="12" ht="15.75" customHeight="1">
      <c r="A12" s="117" t="s">
        <v>4473</v>
      </c>
      <c r="B12" s="841">
        <v>45590.0</v>
      </c>
      <c r="C12" s="854">
        <v>45586.0</v>
      </c>
      <c r="D12" s="2" t="s">
        <v>3845</v>
      </c>
      <c r="E12" s="2">
        <v>1.0403381361E10</v>
      </c>
      <c r="F12" s="2"/>
      <c r="G12" s="3" t="s">
        <v>4100</v>
      </c>
      <c r="H12" s="58" t="s">
        <v>40</v>
      </c>
      <c r="I12" s="58">
        <v>34.1</v>
      </c>
      <c r="J12" s="58">
        <v>22.1</v>
      </c>
      <c r="K12" s="59">
        <f t="shared" si="1"/>
        <v>26.5639</v>
      </c>
      <c r="L12" s="123">
        <v>0.252</v>
      </c>
      <c r="M12" s="123">
        <v>0.244</v>
      </c>
      <c r="N12" s="123">
        <v>0.321</v>
      </c>
      <c r="O12" s="123">
        <v>0.282</v>
      </c>
      <c r="P12" s="63">
        <v>90.0</v>
      </c>
      <c r="Q12" s="458">
        <v>89.12</v>
      </c>
      <c r="R12" s="741">
        <v>2724.3</v>
      </c>
      <c r="S12" s="3">
        <v>105.0</v>
      </c>
      <c r="U12" s="2">
        <v>100.0</v>
      </c>
      <c r="V12" s="2">
        <v>1.1023</v>
      </c>
      <c r="Y12" s="68"/>
      <c r="Z12" s="69">
        <f t="shared" si="3"/>
        <v>30</v>
      </c>
      <c r="AA12" s="70">
        <f t="shared" si="4"/>
        <v>30</v>
      </c>
      <c r="AB12" s="71">
        <f t="shared" si="5"/>
        <v>585.3734829</v>
      </c>
      <c r="AC12" s="71">
        <f>+(S12-T12)*V12-'data 1'!$F$4</f>
        <v>35.7415</v>
      </c>
      <c r="AD12" s="71">
        <f t="shared" si="6"/>
        <v>-6.414997638</v>
      </c>
      <c r="AE12" s="71">
        <f t="shared" si="7"/>
        <v>-36.931</v>
      </c>
      <c r="AF12" s="71">
        <f t="shared" si="8"/>
        <v>-77.34098884</v>
      </c>
      <c r="AG12" s="72">
        <f t="shared" ref="AG12:AG28" si="16">+IF(D12="RONALD WILLIAN GARIBAY ESCUDERO",AC12+AD12+AE12+AF12+70,AC12+AD12+AE12+AF12)+70-53</f>
        <v>-67.94548647</v>
      </c>
      <c r="AH12" s="52">
        <f t="shared" si="10"/>
        <v>204.5392337</v>
      </c>
      <c r="AI12" s="73">
        <f t="shared" si="11"/>
        <v>6.832578155</v>
      </c>
      <c r="AJ12" s="73">
        <f t="shared" si="12"/>
        <v>231.1492687</v>
      </c>
      <c r="AK12" s="11"/>
      <c r="AL12" s="122">
        <f t="shared" si="13"/>
        <v>15549.80266</v>
      </c>
      <c r="AM12" s="3"/>
      <c r="AN12" s="3"/>
      <c r="AO12" s="58">
        <f t="shared" si="14"/>
        <v>229.5099121</v>
      </c>
      <c r="AQ12" s="58"/>
    </row>
    <row r="13" ht="15.75" customHeight="1">
      <c r="A13" s="117" t="s">
        <v>4474</v>
      </c>
      <c r="B13" s="841">
        <v>45590.0</v>
      </c>
      <c r="C13" s="854">
        <v>45586.0</v>
      </c>
      <c r="D13" s="2" t="s">
        <v>3845</v>
      </c>
      <c r="E13" s="2">
        <v>1.0403381361E10</v>
      </c>
      <c r="F13" s="2"/>
      <c r="G13" s="3" t="s">
        <v>4100</v>
      </c>
      <c r="H13" s="58" t="s">
        <v>40</v>
      </c>
      <c r="I13" s="58">
        <v>34.15</v>
      </c>
      <c r="J13" s="58">
        <v>23.5</v>
      </c>
      <c r="K13" s="59">
        <f t="shared" si="1"/>
        <v>26.12475</v>
      </c>
      <c r="L13" s="123">
        <v>0.299</v>
      </c>
      <c r="M13" s="123">
        <v>0.278</v>
      </c>
      <c r="N13" s="123">
        <v>0.328</v>
      </c>
      <c r="O13" s="123">
        <v>0.303</v>
      </c>
      <c r="P13" s="63">
        <v>90.0</v>
      </c>
      <c r="Q13" s="458">
        <v>89.16</v>
      </c>
      <c r="R13" s="741">
        <v>2724.3</v>
      </c>
      <c r="S13" s="3">
        <v>105.0</v>
      </c>
      <c r="U13" s="2">
        <v>100.0</v>
      </c>
      <c r="V13" s="2">
        <v>1.1023</v>
      </c>
      <c r="Y13" s="68"/>
      <c r="Z13" s="69">
        <f t="shared" si="3"/>
        <v>30</v>
      </c>
      <c r="AA13" s="70">
        <f t="shared" si="4"/>
        <v>30</v>
      </c>
      <c r="AB13" s="71">
        <f t="shared" si="5"/>
        <v>640.0467582</v>
      </c>
      <c r="AC13" s="71">
        <f>+(S13-T13)*V13-'data 1'!$F$4</f>
        <v>35.7415</v>
      </c>
      <c r="AD13" s="71">
        <f t="shared" si="6"/>
        <v>-7.265470809</v>
      </c>
      <c r="AE13" s="71">
        <f t="shared" si="7"/>
        <v>-36.931</v>
      </c>
      <c r="AF13" s="71">
        <f t="shared" si="8"/>
        <v>-10.31676027</v>
      </c>
      <c r="AG13" s="72">
        <f t="shared" si="16"/>
        <v>-1.771731079</v>
      </c>
      <c r="AH13" s="52">
        <f t="shared" si="10"/>
        <v>238.7824812</v>
      </c>
      <c r="AI13" s="73">
        <f t="shared" si="11"/>
        <v>8.110546856</v>
      </c>
      <c r="AJ13" s="73">
        <f t="shared" si="12"/>
        <v>244.2566241</v>
      </c>
      <c r="AK13" s="11"/>
      <c r="AL13" s="122">
        <f t="shared" si="13"/>
        <v>16721.06155</v>
      </c>
      <c r="AM13" s="3"/>
      <c r="AN13" s="3"/>
      <c r="AO13" s="58">
        <f t="shared" si="14"/>
        <v>267.8134602</v>
      </c>
      <c r="AQ13" s="58"/>
    </row>
    <row r="14" ht="15.75" customHeight="1">
      <c r="A14" s="117" t="s">
        <v>4475</v>
      </c>
      <c r="B14" s="841">
        <v>45600.0</v>
      </c>
      <c r="C14" s="854">
        <v>45586.0</v>
      </c>
      <c r="D14" s="2" t="s">
        <v>602</v>
      </c>
      <c r="E14" s="2">
        <v>2.0169040237E10</v>
      </c>
      <c r="F14" s="2" t="s">
        <v>4476</v>
      </c>
      <c r="G14" s="3">
        <v>25.0</v>
      </c>
      <c r="H14" s="58" t="s">
        <v>47</v>
      </c>
      <c r="I14" s="58">
        <v>2.17</v>
      </c>
      <c r="J14" s="58">
        <v>1.2</v>
      </c>
      <c r="K14" s="59">
        <f t="shared" si="1"/>
        <v>2.14396</v>
      </c>
      <c r="L14" s="60">
        <v>0.378</v>
      </c>
      <c r="M14" s="60">
        <v>0.363</v>
      </c>
      <c r="N14" s="62">
        <v>0.406</v>
      </c>
      <c r="O14" s="60">
        <f t="shared" ref="O14:O75" si="17">+ROUND((M14+N14)/2,3)</f>
        <v>0.385</v>
      </c>
      <c r="P14" s="63">
        <v>90.0</v>
      </c>
      <c r="Q14" s="2">
        <v>89.23</v>
      </c>
      <c r="R14" s="741">
        <v>2724.3</v>
      </c>
      <c r="S14" s="134">
        <v>120.0</v>
      </c>
      <c r="T14" s="2"/>
      <c r="U14" s="2">
        <v>130.0</v>
      </c>
      <c r="V14" s="2">
        <v>1.1023</v>
      </c>
      <c r="W14" s="2"/>
      <c r="X14" s="2"/>
      <c r="Y14" s="68">
        <v>0.0</v>
      </c>
      <c r="Z14" s="69">
        <f t="shared" si="3"/>
        <v>30</v>
      </c>
      <c r="AA14" s="70">
        <f t="shared" si="4"/>
        <v>30</v>
      </c>
      <c r="AB14" s="71">
        <f t="shared" si="5"/>
        <v>825.5399724</v>
      </c>
      <c r="AC14" s="71">
        <f>+(S14-T14)*V14-'data 1'!$F$4</f>
        <v>52.276</v>
      </c>
      <c r="AD14" s="71">
        <f t="shared" si="6"/>
        <v>-8.323433768</v>
      </c>
      <c r="AE14" s="71">
        <f t="shared" si="7"/>
        <v>-36.931</v>
      </c>
      <c r="AF14" s="71">
        <f t="shared" si="8"/>
        <v>-17.86195274</v>
      </c>
      <c r="AG14" s="72">
        <f t="shared" si="16"/>
        <v>6.159613487</v>
      </c>
      <c r="AH14" s="52">
        <f t="shared" si="10"/>
        <v>24.79296347</v>
      </c>
      <c r="AI14" s="73">
        <f t="shared" si="11"/>
        <v>21.41534048</v>
      </c>
      <c r="AJ14" s="73">
        <f t="shared" si="12"/>
        <v>25.47000245</v>
      </c>
      <c r="AK14" s="11"/>
      <c r="AL14" s="122">
        <f t="shared" si="13"/>
        <v>1769.924679</v>
      </c>
      <c r="AM14" s="3"/>
      <c r="AN14" s="3"/>
      <c r="AO14" s="58">
        <f t="shared" si="14"/>
        <v>27.78545721</v>
      </c>
      <c r="AQ14" s="58"/>
    </row>
    <row r="15" ht="15.75" customHeight="1">
      <c r="A15" s="117" t="s">
        <v>4477</v>
      </c>
      <c r="B15" s="841">
        <v>45589.0</v>
      </c>
      <c r="C15" s="854">
        <v>45587.0</v>
      </c>
      <c r="D15" s="57" t="s">
        <v>63</v>
      </c>
      <c r="E15" s="2">
        <v>1.0437450094E10</v>
      </c>
      <c r="F15" s="2" t="s">
        <v>2692</v>
      </c>
      <c r="G15" s="3">
        <v>58.0</v>
      </c>
      <c r="H15" s="58" t="s">
        <v>47</v>
      </c>
      <c r="I15" s="58">
        <v>4.96</v>
      </c>
      <c r="J15" s="58">
        <v>1.6</v>
      </c>
      <c r="K15" s="59">
        <f t="shared" si="1"/>
        <v>4.88064</v>
      </c>
      <c r="L15" s="60">
        <v>0.484</v>
      </c>
      <c r="M15" s="60">
        <v>0.465</v>
      </c>
      <c r="N15" s="62">
        <v>0.465</v>
      </c>
      <c r="O15" s="60">
        <f t="shared" si="17"/>
        <v>0.465</v>
      </c>
      <c r="P15" s="63">
        <v>90.0</v>
      </c>
      <c r="Q15" s="458">
        <v>89.13</v>
      </c>
      <c r="R15" s="741">
        <v>2726.5</v>
      </c>
      <c r="S15" s="3">
        <v>120.0</v>
      </c>
      <c r="U15" s="2">
        <v>130.0</v>
      </c>
      <c r="V15" s="2">
        <v>1.1023</v>
      </c>
      <c r="Y15" s="68">
        <v>20.0</v>
      </c>
      <c r="Z15" s="69">
        <f t="shared" si="3"/>
        <v>30</v>
      </c>
      <c r="AA15" s="70">
        <f t="shared" si="4"/>
        <v>50</v>
      </c>
      <c r="AB15" s="71">
        <f t="shared" si="5"/>
        <v>1010.407036</v>
      </c>
      <c r="AC15" s="71">
        <f>+(S15-T15)*V15-'data 1'!$F$4</f>
        <v>52.276</v>
      </c>
      <c r="AD15" s="71">
        <f t="shared" si="6"/>
        <v>-12.05182311</v>
      </c>
      <c r="AE15" s="71">
        <f t="shared" si="7"/>
        <v>-14.885</v>
      </c>
      <c r="AF15" s="71">
        <f t="shared" si="8"/>
        <v>48.46917659</v>
      </c>
      <c r="AG15" s="72">
        <f t="shared" si="16"/>
        <v>90.80835348</v>
      </c>
      <c r="AH15" s="52">
        <f t="shared" si="10"/>
        <v>72.1863549</v>
      </c>
      <c r="AI15" s="73">
        <f t="shared" si="11"/>
        <v>26.34382546</v>
      </c>
      <c r="AJ15" s="73">
        <f t="shared" si="12"/>
        <v>70.02954531</v>
      </c>
      <c r="AK15" s="11"/>
      <c r="AL15" s="122">
        <f t="shared" si="13"/>
        <v>4931.432997</v>
      </c>
      <c r="AM15" s="3"/>
      <c r="AN15" s="3"/>
      <c r="AO15" s="58">
        <f t="shared" si="14"/>
        <v>80.98996398</v>
      </c>
      <c r="AQ15" s="58"/>
    </row>
    <row r="16" ht="15.75" customHeight="1">
      <c r="A16" s="117" t="s">
        <v>4478</v>
      </c>
      <c r="B16" s="841">
        <v>45591.0</v>
      </c>
      <c r="C16" s="854">
        <v>45587.0</v>
      </c>
      <c r="D16" s="57" t="s">
        <v>63</v>
      </c>
      <c r="E16" s="2">
        <v>1.0437450094E10</v>
      </c>
      <c r="F16" s="2" t="s">
        <v>4479</v>
      </c>
      <c r="G16" s="3">
        <v>15.0</v>
      </c>
      <c r="H16" s="58" t="s">
        <v>47</v>
      </c>
      <c r="I16" s="58">
        <v>1.25</v>
      </c>
      <c r="J16" s="58">
        <v>1.75</v>
      </c>
      <c r="K16" s="59">
        <f t="shared" si="1"/>
        <v>1.228125</v>
      </c>
      <c r="L16" s="60">
        <v>0.448</v>
      </c>
      <c r="M16" s="60">
        <v>0.43</v>
      </c>
      <c r="N16" s="75">
        <v>0.467</v>
      </c>
      <c r="O16" s="60">
        <f t="shared" si="17"/>
        <v>0.449</v>
      </c>
      <c r="P16" s="63">
        <v>90.0</v>
      </c>
      <c r="Q16" s="2">
        <v>89.47</v>
      </c>
      <c r="R16" s="741">
        <v>2726.5</v>
      </c>
      <c r="S16" s="3">
        <v>130.0</v>
      </c>
      <c r="U16" s="2">
        <v>130.0</v>
      </c>
      <c r="V16" s="2">
        <v>1.1023</v>
      </c>
      <c r="Y16" s="68">
        <v>30.0</v>
      </c>
      <c r="Z16" s="69">
        <f t="shared" si="3"/>
        <v>30</v>
      </c>
      <c r="AA16" s="70">
        <f t="shared" si="4"/>
        <v>60</v>
      </c>
      <c r="AB16" s="71">
        <f t="shared" si="5"/>
        <v>947.14648</v>
      </c>
      <c r="AC16" s="71">
        <f>+(S16-T16)*V16-'data 1'!$F$4</f>
        <v>63.299</v>
      </c>
      <c r="AD16" s="71">
        <f t="shared" si="6"/>
        <v>-6.795822358</v>
      </c>
      <c r="AE16" s="71">
        <f t="shared" si="7"/>
        <v>-3.862</v>
      </c>
      <c r="AF16" s="71">
        <f t="shared" si="8"/>
        <v>-2.560740509</v>
      </c>
      <c r="AG16" s="72">
        <f t="shared" si="16"/>
        <v>67.08043713</v>
      </c>
      <c r="AH16" s="52">
        <f t="shared" si="10"/>
        <v>16.87746021</v>
      </c>
      <c r="AI16" s="73">
        <f t="shared" si="11"/>
        <v>24.47738526</v>
      </c>
      <c r="AJ16" s="73">
        <f t="shared" si="12"/>
        <v>17.01533452</v>
      </c>
      <c r="AK16" s="11"/>
      <c r="AL16" s="122">
        <f t="shared" si="13"/>
        <v>1163.214271</v>
      </c>
      <c r="AM16" s="3"/>
      <c r="AN16" s="3"/>
      <c r="AO16" s="58">
        <f t="shared" si="14"/>
        <v>18.86382051</v>
      </c>
      <c r="AQ16" s="58"/>
    </row>
    <row r="17" ht="15.75" customHeight="1">
      <c r="A17" s="117" t="s">
        <v>4480</v>
      </c>
      <c r="B17" s="841">
        <v>45591.0</v>
      </c>
      <c r="C17" s="854">
        <v>45587.0</v>
      </c>
      <c r="D17" s="57" t="s">
        <v>63</v>
      </c>
      <c r="E17" s="2">
        <v>1.0437450094E10</v>
      </c>
      <c r="F17" s="2" t="s">
        <v>4479</v>
      </c>
      <c r="G17" s="3">
        <v>31.0</v>
      </c>
      <c r="H17" s="58" t="s">
        <v>47</v>
      </c>
      <c r="I17" s="58">
        <v>2.55</v>
      </c>
      <c r="J17" s="58">
        <v>1.5</v>
      </c>
      <c r="K17" s="59">
        <f t="shared" si="1"/>
        <v>2.51175</v>
      </c>
      <c r="L17" s="60">
        <v>0.327</v>
      </c>
      <c r="M17" s="60">
        <v>0.314</v>
      </c>
      <c r="N17" s="62">
        <v>0.314</v>
      </c>
      <c r="O17" s="60">
        <f t="shared" si="17"/>
        <v>0.314</v>
      </c>
      <c r="P17" s="63">
        <v>90.0</v>
      </c>
      <c r="Q17" s="2">
        <v>89.61</v>
      </c>
      <c r="R17" s="741">
        <v>2726.5</v>
      </c>
      <c r="S17" s="3">
        <v>120.0</v>
      </c>
      <c r="U17" s="2">
        <v>130.0</v>
      </c>
      <c r="V17" s="2">
        <v>1.1023</v>
      </c>
      <c r="Y17" s="68">
        <v>30.0</v>
      </c>
      <c r="Z17" s="69">
        <f t="shared" si="3"/>
        <v>30</v>
      </c>
      <c r="AA17" s="70">
        <f t="shared" si="4"/>
        <v>60</v>
      </c>
      <c r="AB17" s="71">
        <f t="shared" si="5"/>
        <v>610.4216631</v>
      </c>
      <c r="AC17" s="71">
        <f>+(S17-T17)*V17-'data 1'!$F$4</f>
        <v>52.276</v>
      </c>
      <c r="AD17" s="71">
        <f t="shared" si="6"/>
        <v>-3.650064123</v>
      </c>
      <c r="AE17" s="71">
        <f t="shared" si="7"/>
        <v>-3.862</v>
      </c>
      <c r="AF17" s="71">
        <f t="shared" si="8"/>
        <v>33.34171723</v>
      </c>
      <c r="AG17" s="72">
        <f t="shared" si="16"/>
        <v>95.10565311</v>
      </c>
      <c r="AH17" s="52">
        <f t="shared" si="10"/>
        <v>25.23420984</v>
      </c>
      <c r="AI17" s="73">
        <f t="shared" si="11"/>
        <v>17.89426243</v>
      </c>
      <c r="AJ17" s="73">
        <f t="shared" si="12"/>
        <v>24.336473</v>
      </c>
      <c r="AK17" s="11"/>
      <c r="AL17" s="122">
        <f t="shared" si="13"/>
        <v>1533.226612</v>
      </c>
      <c r="AM17" s="3"/>
      <c r="AN17" s="3"/>
      <c r="AO17" s="58">
        <f t="shared" si="14"/>
        <v>28.16003776</v>
      </c>
      <c r="AQ17" s="58"/>
    </row>
    <row r="18" ht="15.75" customHeight="1">
      <c r="A18" s="117" t="s">
        <v>4481</v>
      </c>
      <c r="B18" s="841">
        <v>45591.0</v>
      </c>
      <c r="C18" s="854">
        <v>45587.0</v>
      </c>
      <c r="D18" s="57" t="s">
        <v>57</v>
      </c>
      <c r="E18" s="2">
        <v>2.0610873309E10</v>
      </c>
      <c r="F18" s="2" t="s">
        <v>4482</v>
      </c>
      <c r="G18" s="3">
        <v>65.0</v>
      </c>
      <c r="H18" s="58" t="s">
        <v>47</v>
      </c>
      <c r="I18" s="58">
        <v>5.06</v>
      </c>
      <c r="J18" s="58">
        <v>1.25</v>
      </c>
      <c r="K18" s="59">
        <f t="shared" si="1"/>
        <v>4.99675</v>
      </c>
      <c r="L18" s="60">
        <v>0.289</v>
      </c>
      <c r="M18" s="60">
        <v>0.277</v>
      </c>
      <c r="N18" s="75">
        <v>0.324</v>
      </c>
      <c r="O18" s="60">
        <f t="shared" si="17"/>
        <v>0.301</v>
      </c>
      <c r="P18" s="63">
        <v>90.0</v>
      </c>
      <c r="Q18" s="58">
        <v>89.7</v>
      </c>
      <c r="R18" s="741">
        <v>2726.5</v>
      </c>
      <c r="S18" s="3">
        <v>120.0</v>
      </c>
      <c r="U18" s="2">
        <v>130.0</v>
      </c>
      <c r="V18" s="2">
        <v>1.1023</v>
      </c>
      <c r="Y18" s="68">
        <v>30.0</v>
      </c>
      <c r="Z18" s="69">
        <f t="shared" si="3"/>
        <v>30</v>
      </c>
      <c r="AA18" s="70">
        <f t="shared" si="4"/>
        <v>60</v>
      </c>
      <c r="AB18" s="71">
        <f t="shared" si="5"/>
        <v>576.9348363</v>
      </c>
      <c r="AC18" s="71">
        <f>+(S18-T18)*V18-'data 1'!$F$4</f>
        <v>52.276</v>
      </c>
      <c r="AD18" s="71">
        <f t="shared" si="6"/>
        <v>-2.481459731</v>
      </c>
      <c r="AE18" s="71">
        <f t="shared" si="7"/>
        <v>-3.862</v>
      </c>
      <c r="AF18" s="71">
        <f t="shared" si="8"/>
        <v>-30.80788067</v>
      </c>
      <c r="AG18" s="72">
        <f t="shared" si="16"/>
        <v>32.1246596</v>
      </c>
      <c r="AH18" s="52">
        <f t="shared" si="10"/>
        <v>44.41063431</v>
      </c>
      <c r="AI18" s="73">
        <f t="shared" si="11"/>
        <v>15.83069049</v>
      </c>
      <c r="AJ18" s="73">
        <f t="shared" si="12"/>
        <v>46.4093724</v>
      </c>
      <c r="AK18" s="11"/>
      <c r="AL18" s="122">
        <f t="shared" si="13"/>
        <v>2882.799143</v>
      </c>
      <c r="AM18" s="427"/>
      <c r="AN18" s="427"/>
      <c r="AO18" s="58">
        <f t="shared" si="14"/>
        <v>49.51018318</v>
      </c>
      <c r="AQ18" s="58"/>
    </row>
    <row r="19" ht="15.75" customHeight="1">
      <c r="A19" s="117" t="s">
        <v>4483</v>
      </c>
      <c r="B19" s="841">
        <v>45590.0</v>
      </c>
      <c r="C19" s="854">
        <v>45587.0</v>
      </c>
      <c r="D19" s="57" t="s">
        <v>57</v>
      </c>
      <c r="E19" s="2">
        <v>2.0610873309E10</v>
      </c>
      <c r="F19" s="2" t="s">
        <v>4484</v>
      </c>
      <c r="G19" s="3">
        <v>46.0</v>
      </c>
      <c r="H19" s="58" t="s">
        <v>47</v>
      </c>
      <c r="I19" s="58">
        <v>4.11</v>
      </c>
      <c r="J19" s="58">
        <v>1.1</v>
      </c>
      <c r="K19" s="59">
        <f t="shared" si="1"/>
        <v>4.06479</v>
      </c>
      <c r="L19" s="60">
        <v>0.494</v>
      </c>
      <c r="M19" s="60">
        <v>0.494</v>
      </c>
      <c r="N19" s="60">
        <v>0.494</v>
      </c>
      <c r="O19" s="61">
        <f t="shared" si="17"/>
        <v>0.494</v>
      </c>
      <c r="P19" s="63">
        <v>90.0</v>
      </c>
      <c r="Q19" s="458">
        <v>89.6</v>
      </c>
      <c r="R19" s="741">
        <v>2726.5</v>
      </c>
      <c r="S19" s="3">
        <v>130.0</v>
      </c>
      <c r="U19" s="2">
        <v>100.0</v>
      </c>
      <c r="V19" s="2">
        <v>1.1023</v>
      </c>
      <c r="Y19" s="68">
        <v>30.0</v>
      </c>
      <c r="Z19" s="69">
        <f t="shared" si="3"/>
        <v>30</v>
      </c>
      <c r="AA19" s="70">
        <f t="shared" si="4"/>
        <v>60</v>
      </c>
      <c r="AB19" s="71">
        <f t="shared" si="5"/>
        <v>1077.764896</v>
      </c>
      <c r="AC19" s="71">
        <f>+(S19-T19)*V19-'data 1'!$F$4</f>
        <v>63.299</v>
      </c>
      <c r="AD19" s="71">
        <f t="shared" si="6"/>
        <v>-5.720897317</v>
      </c>
      <c r="AE19" s="71">
        <f t="shared" si="7"/>
        <v>-3.862</v>
      </c>
      <c r="AF19" s="71">
        <f t="shared" si="8"/>
        <v>0</v>
      </c>
      <c r="AG19" s="72">
        <f t="shared" si="16"/>
        <v>70.71610268</v>
      </c>
      <c r="AH19" s="52">
        <f t="shared" si="10"/>
        <v>61.68536535</v>
      </c>
      <c r="AI19" s="73">
        <f t="shared" si="11"/>
        <v>12.39277265</v>
      </c>
      <c r="AJ19" s="73">
        <f t="shared" si="12"/>
        <v>61.96074645</v>
      </c>
      <c r="AK19" s="11"/>
      <c r="AL19" s="122">
        <f t="shared" si="13"/>
        <v>4380.887973</v>
      </c>
      <c r="AM19" s="427"/>
      <c r="AN19" s="427"/>
      <c r="AO19" s="58">
        <f t="shared" si="14"/>
        <v>68.84527383</v>
      </c>
      <c r="AQ19" s="58"/>
    </row>
    <row r="20" ht="15.75" customHeight="1">
      <c r="A20" s="117" t="s">
        <v>4485</v>
      </c>
      <c r="B20" s="841">
        <v>45590.0</v>
      </c>
      <c r="C20" s="854">
        <v>45587.0</v>
      </c>
      <c r="D20" s="57" t="s">
        <v>57</v>
      </c>
      <c r="E20" s="2">
        <v>2.0610873309E10</v>
      </c>
      <c r="F20" s="2" t="s">
        <v>4486</v>
      </c>
      <c r="G20" s="3">
        <v>28.0</v>
      </c>
      <c r="H20" s="58" t="s">
        <v>47</v>
      </c>
      <c r="I20" s="58">
        <v>2.59</v>
      </c>
      <c r="J20" s="58">
        <v>1.18</v>
      </c>
      <c r="K20" s="59">
        <f t="shared" si="1"/>
        <v>2.559438</v>
      </c>
      <c r="L20" s="60">
        <v>0.427</v>
      </c>
      <c r="M20" s="123">
        <v>0.414</v>
      </c>
      <c r="N20" s="123">
        <v>0.414</v>
      </c>
      <c r="O20" s="61">
        <f t="shared" si="17"/>
        <v>0.414</v>
      </c>
      <c r="P20" s="63">
        <v>90.0</v>
      </c>
      <c r="Q20" s="458">
        <v>89.23</v>
      </c>
      <c r="R20" s="741">
        <v>2726.5</v>
      </c>
      <c r="S20" s="3">
        <v>130.0</v>
      </c>
      <c r="U20" s="2">
        <v>100.0</v>
      </c>
      <c r="V20" s="2">
        <v>1.1023</v>
      </c>
      <c r="Y20" s="68">
        <v>30.0</v>
      </c>
      <c r="Z20" s="69">
        <f t="shared" si="3"/>
        <v>30</v>
      </c>
      <c r="AA20" s="70">
        <f t="shared" si="4"/>
        <v>60</v>
      </c>
      <c r="AB20" s="71">
        <f t="shared" si="5"/>
        <v>869.311148</v>
      </c>
      <c r="AC20" s="71">
        <f>+(S20-T20)*V20-'data 1'!$F$4</f>
        <v>63.299</v>
      </c>
      <c r="AD20" s="71">
        <f t="shared" si="6"/>
        <v>-9.519098325</v>
      </c>
      <c r="AE20" s="71">
        <f t="shared" si="7"/>
        <v>-3.862</v>
      </c>
      <c r="AF20" s="71">
        <f t="shared" si="8"/>
        <v>33.5839255</v>
      </c>
      <c r="AG20" s="72">
        <f t="shared" si="16"/>
        <v>100.5018272</v>
      </c>
      <c r="AH20" s="52">
        <f t="shared" si="10"/>
        <v>33.43431662</v>
      </c>
      <c r="AI20" s="73">
        <f t="shared" si="11"/>
        <v>10.6677368</v>
      </c>
      <c r="AJ20" s="73">
        <f t="shared" si="12"/>
        <v>32.6961437</v>
      </c>
      <c r="AK20" s="11"/>
      <c r="AL20" s="122">
        <f t="shared" si="13"/>
        <v>2224.947986</v>
      </c>
      <c r="AM20" s="3"/>
      <c r="AN20" s="3"/>
      <c r="AO20" s="58">
        <f t="shared" si="14"/>
        <v>37.46981578</v>
      </c>
      <c r="AQ20" s="58"/>
    </row>
    <row r="21" ht="15.75" customHeight="1">
      <c r="A21" s="117" t="s">
        <v>4487</v>
      </c>
      <c r="B21" s="841">
        <v>45590.0</v>
      </c>
      <c r="C21" s="854">
        <v>45587.0</v>
      </c>
      <c r="D21" s="57" t="s">
        <v>57</v>
      </c>
      <c r="E21" s="2">
        <v>2.0610873309E10</v>
      </c>
      <c r="F21" s="2" t="s">
        <v>4488</v>
      </c>
      <c r="G21" s="3">
        <v>80.0</v>
      </c>
      <c r="H21" s="58" t="s">
        <v>40</v>
      </c>
      <c r="I21" s="58">
        <v>6.69</v>
      </c>
      <c r="J21" s="58">
        <v>16.5</v>
      </c>
      <c r="K21" s="59">
        <f t="shared" si="1"/>
        <v>5.58615</v>
      </c>
      <c r="L21" s="60">
        <v>0.591</v>
      </c>
      <c r="M21" s="61">
        <v>0.575</v>
      </c>
      <c r="N21" s="61">
        <v>0.575</v>
      </c>
      <c r="O21" s="61">
        <f t="shared" si="17"/>
        <v>0.575</v>
      </c>
      <c r="P21" s="63">
        <v>90.0</v>
      </c>
      <c r="Q21" s="458">
        <v>89.56</v>
      </c>
      <c r="R21" s="741">
        <v>2726.5</v>
      </c>
      <c r="S21" s="3">
        <v>140.0</v>
      </c>
      <c r="U21" s="2">
        <v>130.0</v>
      </c>
      <c r="V21" s="2">
        <v>1.1023</v>
      </c>
      <c r="Y21" s="68">
        <v>30.0</v>
      </c>
      <c r="Z21" s="69">
        <f t="shared" si="3"/>
        <v>30</v>
      </c>
      <c r="AA21" s="70">
        <f t="shared" si="4"/>
        <v>60</v>
      </c>
      <c r="AB21" s="71">
        <f t="shared" si="5"/>
        <v>1260.688109</v>
      </c>
      <c r="AC21" s="71">
        <f>+(S21-T21)*V21-'data 1'!$F$4</f>
        <v>74.322</v>
      </c>
      <c r="AD21" s="71">
        <f t="shared" si="6"/>
        <v>-7.442661919</v>
      </c>
      <c r="AE21" s="71">
        <f t="shared" si="7"/>
        <v>-3.862</v>
      </c>
      <c r="AF21" s="71">
        <f t="shared" si="8"/>
        <v>41.01306269</v>
      </c>
      <c r="AG21" s="72">
        <f t="shared" si="16"/>
        <v>121.0304008</v>
      </c>
      <c r="AH21" s="52">
        <f t="shared" si="10"/>
        <v>101.3732169</v>
      </c>
      <c r="AI21" s="73">
        <f t="shared" si="11"/>
        <v>32.32296098</v>
      </c>
      <c r="AJ21" s="73">
        <f t="shared" si="12"/>
        <v>99.11331834</v>
      </c>
      <c r="AK21" s="11"/>
      <c r="AL21" s="122">
        <f t="shared" si="13"/>
        <v>7042.392881</v>
      </c>
      <c r="AM21" s="3"/>
      <c r="AN21" s="3"/>
      <c r="AO21" s="58">
        <f t="shared" si="14"/>
        <v>113.1902824</v>
      </c>
      <c r="AQ21" s="58"/>
    </row>
    <row r="22" ht="15.75" customHeight="1">
      <c r="A22" s="117" t="s">
        <v>4489</v>
      </c>
      <c r="B22" s="841">
        <v>45594.0</v>
      </c>
      <c r="C22" s="854">
        <v>45587.0</v>
      </c>
      <c r="D22" s="57" t="s">
        <v>63</v>
      </c>
      <c r="E22" s="2">
        <v>1.0437450094E10</v>
      </c>
      <c r="F22" s="2" t="s">
        <v>4417</v>
      </c>
      <c r="G22" s="3">
        <v>23.0</v>
      </c>
      <c r="H22" s="58" t="s">
        <v>47</v>
      </c>
      <c r="I22" s="58">
        <v>2.13</v>
      </c>
      <c r="J22" s="58">
        <v>1.15</v>
      </c>
      <c r="K22" s="59">
        <f t="shared" si="1"/>
        <v>2.105505</v>
      </c>
      <c r="L22" s="60">
        <v>0.202</v>
      </c>
      <c r="M22" s="60">
        <v>0.193</v>
      </c>
      <c r="N22" s="62">
        <v>0.217</v>
      </c>
      <c r="O22" s="60">
        <f t="shared" si="17"/>
        <v>0.205</v>
      </c>
      <c r="P22" s="63">
        <v>90.0</v>
      </c>
      <c r="Q22" s="2">
        <v>89.68</v>
      </c>
      <c r="R22" s="741">
        <v>2726.5</v>
      </c>
      <c r="S22" s="134">
        <v>110.0</v>
      </c>
      <c r="U22" s="2">
        <v>130.0</v>
      </c>
      <c r="V22" s="2">
        <v>1.1023</v>
      </c>
      <c r="Y22" s="68">
        <v>20.0</v>
      </c>
      <c r="Z22" s="69">
        <f t="shared" si="3"/>
        <v>30</v>
      </c>
      <c r="AA22" s="70">
        <f t="shared" si="4"/>
        <v>50</v>
      </c>
      <c r="AB22" s="71">
        <f t="shared" si="5"/>
        <v>351.6934998</v>
      </c>
      <c r="AC22" s="71">
        <f>+(S22-T22)*V22-'data 1'!$F$4</f>
        <v>41.253</v>
      </c>
      <c r="AD22" s="71">
        <f t="shared" si="6"/>
        <v>-1.850075628</v>
      </c>
      <c r="AE22" s="71">
        <f t="shared" si="7"/>
        <v>-14.885</v>
      </c>
      <c r="AF22" s="71">
        <f t="shared" si="8"/>
        <v>-7.700252894</v>
      </c>
      <c r="AG22" s="72">
        <f t="shared" si="16"/>
        <v>33.81767148</v>
      </c>
      <c r="AH22" s="52">
        <f t="shared" si="10"/>
        <v>13.07712622</v>
      </c>
      <c r="AI22" s="73">
        <f t="shared" si="11"/>
        <v>11.06258298</v>
      </c>
      <c r="AJ22" s="73">
        <f t="shared" si="12"/>
        <v>13.31869633</v>
      </c>
      <c r="AK22" s="11"/>
      <c r="AL22" s="122">
        <f t="shared" si="13"/>
        <v>740.4924222</v>
      </c>
      <c r="AM22" s="3"/>
      <c r="AN22" s="3"/>
      <c r="AO22" s="58">
        <f t="shared" si="14"/>
        <v>14.58198731</v>
      </c>
      <c r="AQ22" s="58"/>
    </row>
    <row r="23" ht="15.75" customHeight="1">
      <c r="A23" s="117" t="s">
        <v>4490</v>
      </c>
      <c r="B23" s="841">
        <v>45603.0</v>
      </c>
      <c r="C23" s="854">
        <v>45587.0</v>
      </c>
      <c r="D23" s="57" t="s">
        <v>121</v>
      </c>
      <c r="E23" s="2">
        <v>2.0611329556E10</v>
      </c>
      <c r="F23" s="2" t="s">
        <v>4491</v>
      </c>
      <c r="G23" s="3" t="s">
        <v>4100</v>
      </c>
      <c r="H23" s="58" t="s">
        <v>40</v>
      </c>
      <c r="I23" s="58">
        <v>15.67</v>
      </c>
      <c r="J23" s="58">
        <v>10.67</v>
      </c>
      <c r="K23" s="59">
        <f t="shared" si="1"/>
        <v>13.998011</v>
      </c>
      <c r="L23" s="75">
        <v>0.131</v>
      </c>
      <c r="M23" s="75">
        <v>0.131</v>
      </c>
      <c r="N23" s="75">
        <v>0.131</v>
      </c>
      <c r="O23" s="60">
        <f t="shared" si="17"/>
        <v>0.131</v>
      </c>
      <c r="P23" s="63">
        <v>85.0</v>
      </c>
      <c r="Q23" s="2">
        <v>89.55</v>
      </c>
      <c r="R23" s="741">
        <v>2726.5</v>
      </c>
      <c r="S23" s="66">
        <f>IF((90+ROUNDDOWN(O23,1)*100)&lt;95,95,(90+ROUNDDOWN(O23,1)*100))</f>
        <v>100</v>
      </c>
      <c r="U23" s="2">
        <v>130.0</v>
      </c>
      <c r="V23" s="2">
        <v>1.1023</v>
      </c>
      <c r="Y23" s="68">
        <v>10.0</v>
      </c>
      <c r="Z23" s="69">
        <f t="shared" si="3"/>
        <v>30</v>
      </c>
      <c r="AA23" s="70">
        <f t="shared" si="4"/>
        <v>40</v>
      </c>
      <c r="AB23" s="71">
        <f t="shared" si="5"/>
        <v>164.3752791</v>
      </c>
      <c r="AC23" s="71">
        <f>+(S23-T23)*V23-'data 1'!$F$4</f>
        <v>30.23</v>
      </c>
      <c r="AD23" s="71">
        <f t="shared" si="6"/>
        <v>17.05967788</v>
      </c>
      <c r="AE23" s="71">
        <f t="shared" si="7"/>
        <v>-25.908</v>
      </c>
      <c r="AF23" s="71">
        <f t="shared" si="8"/>
        <v>0</v>
      </c>
      <c r="AG23" s="72">
        <f t="shared" si="16"/>
        <v>38.38167788</v>
      </c>
      <c r="AH23" s="52">
        <f t="shared" si="10"/>
        <v>56.30050438</v>
      </c>
      <c r="AI23" s="73">
        <f t="shared" si="11"/>
        <v>7.163849574</v>
      </c>
      <c r="AJ23" s="73">
        <f t="shared" si="12"/>
        <v>53.43989807</v>
      </c>
      <c r="AK23" s="11"/>
      <c r="AL23" s="122">
        <f t="shared" si="13"/>
        <v>2300.926965</v>
      </c>
      <c r="AM23" s="3"/>
      <c r="AN23" s="3"/>
      <c r="AO23" s="58">
        <f t="shared" si="14"/>
        <v>62.87046832</v>
      </c>
      <c r="AQ23" s="58"/>
    </row>
    <row r="24" ht="15.75" customHeight="1">
      <c r="A24" s="117" t="s">
        <v>4492</v>
      </c>
      <c r="B24" s="841">
        <v>45594.0</v>
      </c>
      <c r="C24" s="854">
        <v>45588.0</v>
      </c>
      <c r="D24" s="57" t="s">
        <v>63</v>
      </c>
      <c r="E24" s="2">
        <v>1.0437450094E10</v>
      </c>
      <c r="F24" s="2" t="s">
        <v>4417</v>
      </c>
      <c r="G24" s="3">
        <v>49.0</v>
      </c>
      <c r="H24" s="58" t="s">
        <v>47</v>
      </c>
      <c r="I24" s="58">
        <v>4.2</v>
      </c>
      <c r="J24" s="58">
        <v>2.45</v>
      </c>
      <c r="K24" s="59">
        <f t="shared" si="1"/>
        <v>4.0971</v>
      </c>
      <c r="L24" s="60">
        <v>0.422</v>
      </c>
      <c r="M24" s="60">
        <v>0.401</v>
      </c>
      <c r="N24" s="62">
        <v>0.401</v>
      </c>
      <c r="O24" s="60">
        <f t="shared" si="17"/>
        <v>0.401</v>
      </c>
      <c r="P24" s="63">
        <v>90.0</v>
      </c>
      <c r="Q24" s="2">
        <v>89.47</v>
      </c>
      <c r="R24" s="65">
        <v>2736.45</v>
      </c>
      <c r="S24" s="134">
        <v>130.0</v>
      </c>
      <c r="U24" s="2">
        <v>130.0</v>
      </c>
      <c r="V24" s="2">
        <v>1.1023</v>
      </c>
      <c r="Y24" s="68">
        <v>10.0</v>
      </c>
      <c r="Z24" s="69">
        <f t="shared" si="3"/>
        <v>30</v>
      </c>
      <c r="AA24" s="70">
        <f t="shared" si="4"/>
        <v>40</v>
      </c>
      <c r="AB24" s="71">
        <f t="shared" si="5"/>
        <v>849.5071215</v>
      </c>
      <c r="AC24" s="71">
        <f>+(S24-T24)*V24-'data 1'!$F$4</f>
        <v>63.299</v>
      </c>
      <c r="AD24" s="71">
        <f t="shared" si="6"/>
        <v>-6.425952725</v>
      </c>
      <c r="AE24" s="71">
        <f t="shared" si="7"/>
        <v>-25.908</v>
      </c>
      <c r="AF24" s="71">
        <f t="shared" si="8"/>
        <v>53.98162298</v>
      </c>
      <c r="AG24" s="72">
        <f t="shared" si="16"/>
        <v>101.9466703</v>
      </c>
      <c r="AH24" s="52">
        <f t="shared" si="10"/>
        <v>53.03658127</v>
      </c>
      <c r="AI24" s="73">
        <f t="shared" si="11"/>
        <v>18.91575077</v>
      </c>
      <c r="AJ24" s="73">
        <f t="shared" si="12"/>
        <v>50.69586241</v>
      </c>
      <c r="AK24" s="11"/>
      <c r="AL24" s="122">
        <f t="shared" si="13"/>
        <v>3480.515627</v>
      </c>
      <c r="AM24" s="3"/>
      <c r="AN24" s="3"/>
      <c r="AO24" s="58">
        <f t="shared" si="14"/>
        <v>59.27861995</v>
      </c>
      <c r="AQ24" s="58"/>
    </row>
    <row r="25" ht="15.75" customHeight="1">
      <c r="A25" s="117" t="s">
        <v>4493</v>
      </c>
      <c r="B25" s="841">
        <v>45591.0</v>
      </c>
      <c r="C25" s="854">
        <v>45588.0</v>
      </c>
      <c r="D25" s="57" t="s">
        <v>4494</v>
      </c>
      <c r="E25" s="57">
        <v>2.0609745372E10</v>
      </c>
      <c r="F25" s="2" t="s">
        <v>4495</v>
      </c>
      <c r="G25" s="3" t="s">
        <v>4100</v>
      </c>
      <c r="H25" s="58" t="s">
        <v>47</v>
      </c>
      <c r="I25" s="58">
        <v>34.69</v>
      </c>
      <c r="J25" s="58">
        <v>3.2</v>
      </c>
      <c r="K25" s="59">
        <f t="shared" si="1"/>
        <v>33.57992</v>
      </c>
      <c r="L25" s="60">
        <v>0.25</v>
      </c>
      <c r="M25" s="60">
        <v>0.237</v>
      </c>
      <c r="N25" s="62">
        <v>0.244</v>
      </c>
      <c r="O25" s="60">
        <f t="shared" si="17"/>
        <v>0.241</v>
      </c>
      <c r="P25" s="63">
        <v>90.0</v>
      </c>
      <c r="Q25" s="858">
        <v>89.78</v>
      </c>
      <c r="R25" s="65">
        <v>2736.45</v>
      </c>
      <c r="S25" s="3">
        <v>110.0</v>
      </c>
      <c r="U25" s="2">
        <v>130.0</v>
      </c>
      <c r="V25" s="2">
        <v>1.1023</v>
      </c>
      <c r="Y25" s="68">
        <v>30.0</v>
      </c>
      <c r="Z25" s="69">
        <f t="shared" si="3"/>
        <v>30</v>
      </c>
      <c r="AA25" s="70">
        <f t="shared" si="4"/>
        <v>60</v>
      </c>
      <c r="AB25" s="71">
        <f t="shared" si="5"/>
        <v>435.7821852</v>
      </c>
      <c r="AC25" s="71">
        <f>+(S25-T25)*V25-'data 1'!$F$4</f>
        <v>41.253</v>
      </c>
      <c r="AD25" s="71">
        <f t="shared" si="6"/>
        <v>-1.580199409</v>
      </c>
      <c r="AE25" s="71">
        <f t="shared" si="7"/>
        <v>-3.862</v>
      </c>
      <c r="AF25" s="71">
        <f t="shared" si="8"/>
        <v>23.21514048</v>
      </c>
      <c r="AG25" s="72">
        <f t="shared" si="16"/>
        <v>76.02594108</v>
      </c>
      <c r="AH25" s="52">
        <f t="shared" si="10"/>
        <v>258.409417</v>
      </c>
      <c r="AI25" s="73">
        <f t="shared" si="11"/>
        <v>11.24484063</v>
      </c>
      <c r="AJ25" s="73">
        <f t="shared" si="12"/>
        <v>249.7170975</v>
      </c>
      <c r="AK25" s="11"/>
      <c r="AL25" s="122">
        <f t="shared" si="13"/>
        <v>14633.53092</v>
      </c>
      <c r="AM25" s="3"/>
      <c r="AN25" s="3"/>
      <c r="AO25" s="58">
        <f t="shared" si="14"/>
        <v>287.825147</v>
      </c>
      <c r="AQ25" s="58"/>
    </row>
    <row r="26" ht="15.75" customHeight="1">
      <c r="A26" s="117" t="s">
        <v>4496</v>
      </c>
      <c r="B26" s="841">
        <v>45593.0</v>
      </c>
      <c r="C26" s="854">
        <v>45588.0</v>
      </c>
      <c r="D26" s="67" t="s">
        <v>45</v>
      </c>
      <c r="E26" s="67">
        <v>1.0416085884E10</v>
      </c>
      <c r="F26" s="67"/>
      <c r="G26" s="3" t="s">
        <v>4100</v>
      </c>
      <c r="H26" s="58" t="s">
        <v>47</v>
      </c>
      <c r="I26" s="58">
        <v>31.29</v>
      </c>
      <c r="J26" s="58">
        <v>1.4</v>
      </c>
      <c r="K26" s="59">
        <f t="shared" si="1"/>
        <v>30.85194</v>
      </c>
      <c r="L26" s="106">
        <v>0.121</v>
      </c>
      <c r="M26" s="106">
        <v>0.115</v>
      </c>
      <c r="N26" s="111">
        <v>0.12</v>
      </c>
      <c r="O26" s="106">
        <f t="shared" si="17"/>
        <v>0.118</v>
      </c>
      <c r="P26" s="136">
        <v>85.0</v>
      </c>
      <c r="Q26" s="67">
        <v>89.09</v>
      </c>
      <c r="R26" s="70">
        <v>2736.45</v>
      </c>
      <c r="S26" s="134">
        <v>110.0</v>
      </c>
      <c r="T26" s="67"/>
      <c r="U26" s="67">
        <v>90.0</v>
      </c>
      <c r="V26" s="67">
        <v>1.1023</v>
      </c>
      <c r="W26" s="67"/>
      <c r="X26" s="67"/>
      <c r="Y26" s="67"/>
      <c r="Z26" s="69">
        <f t="shared" si="3"/>
        <v>30</v>
      </c>
      <c r="AA26" s="70">
        <f t="shared" si="4"/>
        <v>30</v>
      </c>
      <c r="AB26" s="71">
        <f t="shared" si="5"/>
        <v>138.2713381</v>
      </c>
      <c r="AC26" s="71">
        <f>+(S26-T26)*V26-'data 1'!$F$4</f>
        <v>41.253</v>
      </c>
      <c r="AD26" s="71">
        <f t="shared" si="6"/>
        <v>14.43684118</v>
      </c>
      <c r="AE26" s="71">
        <f t="shared" si="7"/>
        <v>-36.931</v>
      </c>
      <c r="AF26" s="71">
        <f t="shared" si="8"/>
        <v>7.79675189</v>
      </c>
      <c r="AG26" s="72">
        <f t="shared" si="16"/>
        <v>43.55559307</v>
      </c>
      <c r="AH26" s="52">
        <f t="shared" si="10"/>
        <v>114.0265217</v>
      </c>
      <c r="AI26" s="73">
        <f t="shared" si="11"/>
        <v>0.6476056647</v>
      </c>
      <c r="AJ26" s="73">
        <f t="shared" si="12"/>
        <v>106.0944047</v>
      </c>
      <c r="AK26" s="11"/>
      <c r="AL26" s="122">
        <f t="shared" si="13"/>
        <v>4265.939025</v>
      </c>
      <c r="AM26" s="3"/>
      <c r="AN26" s="3"/>
      <c r="AO26" s="58">
        <f t="shared" si="14"/>
        <v>127.9902589</v>
      </c>
      <c r="AQ26" s="58"/>
    </row>
    <row r="27" ht="15.75" customHeight="1">
      <c r="A27" s="117" t="s">
        <v>4497</v>
      </c>
      <c r="B27" s="841">
        <v>45594.0</v>
      </c>
      <c r="C27" s="854">
        <v>45588.0</v>
      </c>
      <c r="D27" s="2" t="s">
        <v>264</v>
      </c>
      <c r="E27" s="2">
        <v>2.0606102519E10</v>
      </c>
      <c r="F27" s="2" t="s">
        <v>4498</v>
      </c>
      <c r="G27" s="3" t="s">
        <v>4100</v>
      </c>
      <c r="H27" s="58" t="s">
        <v>40</v>
      </c>
      <c r="I27" s="58">
        <v>7.12</v>
      </c>
      <c r="J27" s="58">
        <v>18.36</v>
      </c>
      <c r="K27" s="59">
        <f t="shared" si="1"/>
        <v>5.812768</v>
      </c>
      <c r="L27" s="60">
        <v>0.161</v>
      </c>
      <c r="M27" s="60">
        <v>0.152</v>
      </c>
      <c r="N27" s="62">
        <v>0.152</v>
      </c>
      <c r="O27" s="60">
        <f t="shared" si="17"/>
        <v>0.152</v>
      </c>
      <c r="P27" s="63">
        <v>85.0</v>
      </c>
      <c r="Q27" s="2">
        <v>89.53</v>
      </c>
      <c r="R27" s="65">
        <v>2736.45</v>
      </c>
      <c r="S27" s="134">
        <v>100.0</v>
      </c>
      <c r="T27" s="2"/>
      <c r="U27" s="2">
        <v>130.0</v>
      </c>
      <c r="V27" s="2">
        <v>1.1023</v>
      </c>
      <c r="W27" s="2"/>
      <c r="X27" s="2"/>
      <c r="Y27" s="68">
        <v>10.0</v>
      </c>
      <c r="Z27" s="69">
        <f t="shared" si="3"/>
        <v>30</v>
      </c>
      <c r="AA27" s="70">
        <f t="shared" si="4"/>
        <v>40</v>
      </c>
      <c r="AB27" s="71">
        <f t="shared" si="5"/>
        <v>216.8812067</v>
      </c>
      <c r="AC27" s="71">
        <f>+(S27-T27)*V27-'data 1'!$F$4</f>
        <v>30.23</v>
      </c>
      <c r="AD27" s="71">
        <f t="shared" si="6"/>
        <v>20.95430609</v>
      </c>
      <c r="AE27" s="71">
        <f t="shared" si="7"/>
        <v>-25.908</v>
      </c>
      <c r="AF27" s="71">
        <f t="shared" si="8"/>
        <v>23.15049596</v>
      </c>
      <c r="AG27" s="72">
        <f t="shared" si="16"/>
        <v>65.42680206</v>
      </c>
      <c r="AH27" s="52">
        <f t="shared" si="10"/>
        <v>28.72675163</v>
      </c>
      <c r="AI27" s="73">
        <f t="shared" si="11"/>
        <v>7.221512303</v>
      </c>
      <c r="AJ27" s="73">
        <f t="shared" si="12"/>
        <v>25.74865644</v>
      </c>
      <c r="AK27" s="11"/>
      <c r="AL27" s="122">
        <f t="shared" si="13"/>
        <v>1260.680138</v>
      </c>
      <c r="AM27" s="3"/>
      <c r="AN27" s="3"/>
      <c r="AO27" s="58">
        <f t="shared" si="14"/>
        <v>32.08617405</v>
      </c>
      <c r="AQ27" s="58"/>
    </row>
    <row r="28" ht="15.75" customHeight="1">
      <c r="A28" s="117" t="s">
        <v>4499</v>
      </c>
      <c r="B28" s="841">
        <v>45594.0</v>
      </c>
      <c r="C28" s="854">
        <v>45588.0</v>
      </c>
      <c r="D28" s="57" t="s">
        <v>264</v>
      </c>
      <c r="E28" s="2">
        <v>2.0606102519E10</v>
      </c>
      <c r="F28" s="2" t="s">
        <v>4498</v>
      </c>
      <c r="G28" s="3">
        <v>33.0</v>
      </c>
      <c r="H28" s="58" t="s">
        <v>47</v>
      </c>
      <c r="I28" s="58">
        <v>2.8</v>
      </c>
      <c r="J28" s="58">
        <v>1.8</v>
      </c>
      <c r="K28" s="59">
        <f t="shared" si="1"/>
        <v>2.7496</v>
      </c>
      <c r="L28" s="60">
        <v>0.312</v>
      </c>
      <c r="M28" s="60">
        <v>0.299</v>
      </c>
      <c r="N28" s="62">
        <v>0.299</v>
      </c>
      <c r="O28" s="60">
        <f t="shared" si="17"/>
        <v>0.299</v>
      </c>
      <c r="P28" s="63">
        <v>90.0</v>
      </c>
      <c r="Q28" s="2">
        <v>89.15</v>
      </c>
      <c r="R28" s="65">
        <v>2736.45</v>
      </c>
      <c r="S28" s="143">
        <v>110.0</v>
      </c>
      <c r="U28" s="2">
        <v>130.0</v>
      </c>
      <c r="V28" s="2">
        <v>1.1023</v>
      </c>
      <c r="Y28" s="68">
        <v>10.0</v>
      </c>
      <c r="Z28" s="69">
        <f t="shared" si="3"/>
        <v>30</v>
      </c>
      <c r="AA28" s="70">
        <f t="shared" si="4"/>
        <v>40</v>
      </c>
      <c r="AB28" s="71">
        <f t="shared" si="5"/>
        <v>607.8034746</v>
      </c>
      <c r="AC28" s="71">
        <f>+(S28-T28)*V28-'data 1'!$F$4</f>
        <v>41.253</v>
      </c>
      <c r="AD28" s="71">
        <f t="shared" si="6"/>
        <v>-7.619434242</v>
      </c>
      <c r="AE28" s="71">
        <f t="shared" si="7"/>
        <v>-25.908</v>
      </c>
      <c r="AF28" s="71">
        <f t="shared" si="8"/>
        <v>33.29767464</v>
      </c>
      <c r="AG28" s="72">
        <f t="shared" si="16"/>
        <v>58.0232404</v>
      </c>
      <c r="AH28" s="52">
        <f t="shared" si="10"/>
        <v>26.22131875</v>
      </c>
      <c r="AI28" s="73">
        <f t="shared" si="11"/>
        <v>13.93508546</v>
      </c>
      <c r="AJ28" s="73">
        <f t="shared" si="12"/>
        <v>25.36835381</v>
      </c>
      <c r="AK28" s="11"/>
      <c r="AL28" s="122">
        <f t="shared" si="13"/>
        <v>1671.216434</v>
      </c>
      <c r="AM28" s="3"/>
      <c r="AN28" s="3"/>
      <c r="AO28" s="58">
        <f t="shared" si="14"/>
        <v>29.41258413</v>
      </c>
      <c r="AQ28" s="58"/>
    </row>
    <row r="29" ht="15.75" customHeight="1">
      <c r="A29" s="117" t="s">
        <v>4500</v>
      </c>
      <c r="B29" s="841">
        <v>45596.0</v>
      </c>
      <c r="C29" s="854">
        <v>45589.0</v>
      </c>
      <c r="D29" s="2" t="s">
        <v>4466</v>
      </c>
      <c r="E29" s="2">
        <v>2.0606534923E10</v>
      </c>
      <c r="F29" s="2" t="s">
        <v>4384</v>
      </c>
      <c r="G29" s="3">
        <v>614.0</v>
      </c>
      <c r="H29" s="58" t="s">
        <v>47</v>
      </c>
      <c r="I29" s="58">
        <v>3.69</v>
      </c>
      <c r="J29" s="58">
        <v>0.8</v>
      </c>
      <c r="K29" s="59">
        <f t="shared" si="1"/>
        <v>3.66048</v>
      </c>
      <c r="L29" s="60">
        <v>0.903</v>
      </c>
      <c r="M29" s="60">
        <v>0.866</v>
      </c>
      <c r="N29" s="62">
        <v>0.866</v>
      </c>
      <c r="O29" s="60">
        <f t="shared" si="17"/>
        <v>0.866</v>
      </c>
      <c r="P29" s="63">
        <v>90.0</v>
      </c>
      <c r="Q29" s="2">
        <v>89.44</v>
      </c>
      <c r="R29" s="65">
        <v>2732.0</v>
      </c>
      <c r="S29" s="134">
        <v>170.0</v>
      </c>
      <c r="T29" s="2"/>
      <c r="U29" s="2">
        <v>130.0</v>
      </c>
      <c r="V29" s="2">
        <v>1.1023</v>
      </c>
      <c r="W29" s="2"/>
      <c r="X29" s="2"/>
      <c r="Y29" s="68">
        <v>20.0</v>
      </c>
      <c r="Z29" s="69">
        <f t="shared" si="3"/>
        <v>30</v>
      </c>
      <c r="AA29" s="70">
        <f t="shared" si="4"/>
        <v>50</v>
      </c>
      <c r="AB29" s="71">
        <f t="shared" si="5"/>
        <v>1992.957077</v>
      </c>
      <c r="AC29" s="71">
        <f>+(S29-T29)*V29-'data 1'!$F$4</f>
        <v>107.391</v>
      </c>
      <c r="AD29" s="71">
        <f t="shared" si="6"/>
        <v>-14.50383589</v>
      </c>
      <c r="AE29" s="71">
        <f t="shared" si="7"/>
        <v>-14.885</v>
      </c>
      <c r="AF29" s="71">
        <f t="shared" si="8"/>
        <v>94.91625933</v>
      </c>
      <c r="AG29" s="72">
        <f t="shared" ref="AG29:AG30" si="18">+IF(D29="RONALD WILLIAN GARIBAY ESCUDERO",AC29+AD29+AE29+AF29+70,AC29+AD29+AE29+AF29)</f>
        <v>172.9184234</v>
      </c>
      <c r="AH29" s="52">
        <f t="shared" si="10"/>
        <v>101.3600109</v>
      </c>
      <c r="AI29" s="73">
        <f t="shared" si="11"/>
        <v>44.42422846</v>
      </c>
      <c r="AJ29" s="73">
        <f t="shared" si="12"/>
        <v>97.81546167</v>
      </c>
      <c r="AK29" s="11"/>
      <c r="AL29" s="122">
        <f t="shared" si="13"/>
        <v>7295.179522</v>
      </c>
      <c r="AM29" s="3"/>
      <c r="AN29" s="3"/>
      <c r="AO29" s="58">
        <f t="shared" si="14"/>
        <v>113.3273825</v>
      </c>
      <c r="AQ29" s="58"/>
    </row>
    <row r="30" ht="15.75" customHeight="1">
      <c r="A30" s="117" t="s">
        <v>4501</v>
      </c>
      <c r="B30" s="841">
        <v>45596.0</v>
      </c>
      <c r="C30" s="854">
        <v>45589.0</v>
      </c>
      <c r="D30" s="2" t="s">
        <v>4466</v>
      </c>
      <c r="E30" s="2">
        <v>2.0606534923E10</v>
      </c>
      <c r="F30" s="2" t="s">
        <v>4384</v>
      </c>
      <c r="G30" s="3">
        <v>48.0</v>
      </c>
      <c r="H30" s="58" t="s">
        <v>47</v>
      </c>
      <c r="I30" s="58">
        <v>4.09</v>
      </c>
      <c r="J30" s="58">
        <v>1.04</v>
      </c>
      <c r="K30" s="59">
        <f t="shared" si="1"/>
        <v>4.047464</v>
      </c>
      <c r="L30" s="60">
        <v>0.809</v>
      </c>
      <c r="M30" s="60">
        <v>0.776</v>
      </c>
      <c r="N30" s="62">
        <v>0.776</v>
      </c>
      <c r="O30" s="60">
        <f t="shared" si="17"/>
        <v>0.776</v>
      </c>
      <c r="P30" s="63">
        <v>90.0</v>
      </c>
      <c r="Q30" s="2">
        <v>89.65</v>
      </c>
      <c r="R30" s="65">
        <v>2732.0</v>
      </c>
      <c r="S30" s="134">
        <v>160.0</v>
      </c>
      <c r="T30" s="2"/>
      <c r="U30" s="2">
        <v>130.0</v>
      </c>
      <c r="V30" s="2">
        <v>1.1023</v>
      </c>
      <c r="W30" s="2"/>
      <c r="X30" s="2"/>
      <c r="Y30" s="68">
        <v>20.0</v>
      </c>
      <c r="Z30" s="69">
        <f t="shared" si="3"/>
        <v>30</v>
      </c>
      <c r="AA30" s="70">
        <f t="shared" si="4"/>
        <v>50</v>
      </c>
      <c r="AB30" s="71">
        <f t="shared" si="5"/>
        <v>1771.657125</v>
      </c>
      <c r="AC30" s="71">
        <f>+(S30-T30)*V30-'data 1'!$F$4</f>
        <v>96.368</v>
      </c>
      <c r="AD30" s="71">
        <f t="shared" si="6"/>
        <v>-8.121264695</v>
      </c>
      <c r="AE30" s="71">
        <f t="shared" si="7"/>
        <v>-14.885</v>
      </c>
      <c r="AF30" s="71">
        <f t="shared" si="8"/>
        <v>84.8538073</v>
      </c>
      <c r="AG30" s="72">
        <f t="shared" si="18"/>
        <v>158.2155426</v>
      </c>
      <c r="AH30" s="52">
        <f t="shared" si="10"/>
        <v>100.644693</v>
      </c>
      <c r="AI30" s="73">
        <f t="shared" si="11"/>
        <v>39.89322703</v>
      </c>
      <c r="AJ30" s="73">
        <f t="shared" si="12"/>
        <v>96.9161815</v>
      </c>
      <c r="AK30" s="11"/>
      <c r="AL30" s="122">
        <f t="shared" si="13"/>
        <v>7170.718432</v>
      </c>
      <c r="AM30" s="3"/>
      <c r="AN30" s="3"/>
      <c r="AO30" s="58">
        <f t="shared" si="14"/>
        <v>112.264019</v>
      </c>
      <c r="AQ30" s="58"/>
    </row>
    <row r="31" ht="15.75" customHeight="1">
      <c r="A31" s="117" t="s">
        <v>4502</v>
      </c>
      <c r="B31" s="841">
        <v>45596.0</v>
      </c>
      <c r="C31" s="854">
        <v>45589.0</v>
      </c>
      <c r="D31" s="2" t="s">
        <v>4466</v>
      </c>
      <c r="E31" s="2">
        <v>2.0606534923E10</v>
      </c>
      <c r="F31" s="2" t="s">
        <v>4384</v>
      </c>
      <c r="G31" s="3">
        <v>48.0</v>
      </c>
      <c r="H31" s="58" t="s">
        <v>40</v>
      </c>
      <c r="I31" s="58">
        <v>1.68</v>
      </c>
      <c r="J31" s="58">
        <v>3.4</v>
      </c>
      <c r="K31" s="59">
        <f t="shared" si="1"/>
        <v>1.62288</v>
      </c>
      <c r="L31" s="60">
        <v>0.894</v>
      </c>
      <c r="M31" s="60">
        <v>0.858</v>
      </c>
      <c r="N31" s="62">
        <v>0.858</v>
      </c>
      <c r="O31" s="60">
        <f t="shared" si="17"/>
        <v>0.858</v>
      </c>
      <c r="P31" s="63">
        <v>90.0</v>
      </c>
      <c r="Q31" s="2">
        <v>89.39</v>
      </c>
      <c r="R31" s="65">
        <v>2732.0</v>
      </c>
      <c r="S31" s="134">
        <v>170.0</v>
      </c>
      <c r="T31" s="2"/>
      <c r="U31" s="2">
        <v>130.0</v>
      </c>
      <c r="V31" s="2">
        <v>1.1023</v>
      </c>
      <c r="W31" s="2"/>
      <c r="X31" s="2"/>
      <c r="Y31" s="68">
        <v>20.0</v>
      </c>
      <c r="Z31" s="69">
        <f t="shared" si="3"/>
        <v>30</v>
      </c>
      <c r="AA31" s="70">
        <f t="shared" si="4"/>
        <v>50</v>
      </c>
      <c r="AB31" s="71">
        <f t="shared" si="5"/>
        <v>1972.306148</v>
      </c>
      <c r="AC31" s="71">
        <f>+(S31-T31)*V31-'data 1'!$F$4</f>
        <v>107.391</v>
      </c>
      <c r="AD31" s="71">
        <f t="shared" si="6"/>
        <v>-15.6413579</v>
      </c>
      <c r="AE31" s="71">
        <f t="shared" si="7"/>
        <v>-14.885</v>
      </c>
      <c r="AF31" s="71">
        <f t="shared" si="8"/>
        <v>92.2993277</v>
      </c>
      <c r="AG31" s="72">
        <f t="shared" ref="AG31:AG34" si="19">+IF(D31="RONALD WILLIAN GARIBAY ESCUDERO",AC31+AD31+AE31+AF31+70,AC31+AD31+AE31+AF31)+70-53</f>
        <v>186.1639698</v>
      </c>
      <c r="AH31" s="52">
        <f t="shared" si="10"/>
        <v>44.46537236</v>
      </c>
      <c r="AI31" s="73">
        <f t="shared" si="11"/>
        <v>43.95687493</v>
      </c>
      <c r="AJ31" s="73">
        <f t="shared" si="12"/>
        <v>42.96603469</v>
      </c>
      <c r="AK31" s="11"/>
      <c r="AL31" s="122">
        <f t="shared" si="13"/>
        <v>3200.816202</v>
      </c>
      <c r="AM31" s="3"/>
      <c r="AN31" s="3"/>
      <c r="AO31" s="58">
        <f t="shared" si="14"/>
        <v>49.74311708</v>
      </c>
      <c r="AQ31" s="58"/>
    </row>
    <row r="32" ht="15.75" customHeight="1">
      <c r="A32" s="117" t="s">
        <v>4503</v>
      </c>
      <c r="B32" s="841">
        <v>45600.0</v>
      </c>
      <c r="C32" s="854">
        <v>45589.0</v>
      </c>
      <c r="D32" s="57" t="s">
        <v>602</v>
      </c>
      <c r="E32" s="2">
        <v>2.0169040237E10</v>
      </c>
      <c r="F32" s="2" t="s">
        <v>4504</v>
      </c>
      <c r="G32" s="3">
        <v>28.0</v>
      </c>
      <c r="H32" s="58" t="s">
        <v>47</v>
      </c>
      <c r="I32" s="58">
        <v>2.51</v>
      </c>
      <c r="J32" s="58">
        <v>2.0</v>
      </c>
      <c r="K32" s="59">
        <f t="shared" si="1"/>
        <v>2.4598</v>
      </c>
      <c r="L32" s="60">
        <v>0.317</v>
      </c>
      <c r="M32" s="60">
        <v>0.307</v>
      </c>
      <c r="N32" s="62">
        <v>0.307</v>
      </c>
      <c r="O32" s="60">
        <f t="shared" si="17"/>
        <v>0.307</v>
      </c>
      <c r="P32" s="63">
        <v>90.0</v>
      </c>
      <c r="Q32" s="2">
        <v>89.55</v>
      </c>
      <c r="R32" s="65">
        <v>2732.0</v>
      </c>
      <c r="S32" s="66">
        <f>IF((90+ROUNDDOWN(O32,1)*100)&lt;95,95,(90+ROUNDDOWN(O32,1)*100))</f>
        <v>120</v>
      </c>
      <c r="U32" s="2">
        <v>130.0</v>
      </c>
      <c r="V32" s="2">
        <v>1.1023</v>
      </c>
      <c r="Y32" s="68">
        <v>30.0</v>
      </c>
      <c r="Z32" s="69">
        <f t="shared" si="3"/>
        <v>30</v>
      </c>
      <c r="AA32" s="70">
        <f t="shared" si="4"/>
        <v>60</v>
      </c>
      <c r="AB32" s="71">
        <f t="shared" si="5"/>
        <v>594.065405</v>
      </c>
      <c r="AC32" s="71">
        <f>+(S32-T32)*V32-'data 1'!$F$4</f>
        <v>52.276</v>
      </c>
      <c r="AD32" s="71">
        <f t="shared" si="6"/>
        <v>-4.091465332</v>
      </c>
      <c r="AE32" s="71">
        <f t="shared" si="7"/>
        <v>-3.862</v>
      </c>
      <c r="AF32" s="71">
        <f t="shared" si="8"/>
        <v>25.68459309</v>
      </c>
      <c r="AG32" s="72">
        <f t="shared" si="19"/>
        <v>87.00712776</v>
      </c>
      <c r="AH32" s="52">
        <f t="shared" si="10"/>
        <v>23.94052769</v>
      </c>
      <c r="AI32" s="73">
        <f t="shared" si="11"/>
        <v>15.61439658</v>
      </c>
      <c r="AJ32" s="73">
        <f t="shared" si="12"/>
        <v>23.30181508</v>
      </c>
      <c r="AK32" s="11"/>
      <c r="AL32" s="122">
        <f t="shared" si="13"/>
        <v>1461.282083</v>
      </c>
      <c r="AM32" s="3"/>
      <c r="AN32" s="3"/>
      <c r="AO32" s="58">
        <f t="shared" si="14"/>
        <v>26.73425762</v>
      </c>
      <c r="AQ32" s="58"/>
    </row>
    <row r="33" ht="15.75" customHeight="1">
      <c r="A33" s="117" t="s">
        <v>4505</v>
      </c>
      <c r="B33" s="841">
        <v>45593.0</v>
      </c>
      <c r="C33" s="854">
        <v>45589.0</v>
      </c>
      <c r="D33" s="57" t="s">
        <v>63</v>
      </c>
      <c r="E33" s="2">
        <v>1.0437450094E10</v>
      </c>
      <c r="G33" s="3">
        <v>70.0</v>
      </c>
      <c r="H33" s="58" t="s">
        <v>47</v>
      </c>
      <c r="I33" s="58">
        <v>6.96</v>
      </c>
      <c r="J33" s="58">
        <v>2.55</v>
      </c>
      <c r="K33" s="59">
        <f t="shared" si="1"/>
        <v>6.78252</v>
      </c>
      <c r="L33" s="60">
        <v>0.517</v>
      </c>
      <c r="M33" s="60">
        <v>0.516</v>
      </c>
      <c r="N33" s="62">
        <v>0.516</v>
      </c>
      <c r="O33" s="60">
        <f t="shared" si="17"/>
        <v>0.516</v>
      </c>
      <c r="P33" s="63">
        <v>90.0</v>
      </c>
      <c r="Q33" s="2">
        <v>89.23</v>
      </c>
      <c r="R33" s="65">
        <v>2732.0</v>
      </c>
      <c r="S33" s="134">
        <v>140.0</v>
      </c>
      <c r="U33" s="2">
        <v>100.0</v>
      </c>
      <c r="V33" s="2">
        <v>1.1023</v>
      </c>
      <c r="Y33" s="68">
        <v>10.0</v>
      </c>
      <c r="Z33" s="69">
        <f t="shared" si="3"/>
        <v>30</v>
      </c>
      <c r="AA33" s="70">
        <f t="shared" si="4"/>
        <v>40</v>
      </c>
      <c r="AB33" s="71">
        <f t="shared" si="5"/>
        <v>1148.928172</v>
      </c>
      <c r="AC33" s="71">
        <f>+(S33-T33)*V33-'data 1'!$F$4</f>
        <v>74.322</v>
      </c>
      <c r="AD33" s="71">
        <f t="shared" si="6"/>
        <v>-11.54960046</v>
      </c>
      <c r="AE33" s="71">
        <f t="shared" si="7"/>
        <v>-25.908</v>
      </c>
      <c r="AF33" s="71">
        <f t="shared" si="8"/>
        <v>2.588788587</v>
      </c>
      <c r="AG33" s="72">
        <f t="shared" si="19"/>
        <v>56.45318813</v>
      </c>
      <c r="AH33" s="52">
        <f t="shared" si="10"/>
        <v>107.2757571</v>
      </c>
      <c r="AI33" s="73">
        <f t="shared" si="11"/>
        <v>10.11938967</v>
      </c>
      <c r="AJ33" s="73">
        <f t="shared" si="12"/>
        <v>107.9921937</v>
      </c>
      <c r="AK33" s="11"/>
      <c r="AL33" s="122">
        <f t="shared" si="13"/>
        <v>7792.628304</v>
      </c>
      <c r="AM33" s="3"/>
      <c r="AN33" s="3"/>
      <c r="AO33" s="58">
        <f t="shared" si="14"/>
        <v>120.2238677</v>
      </c>
      <c r="AQ33" s="58"/>
    </row>
    <row r="34" ht="15.75" customHeight="1">
      <c r="A34" s="116" t="s">
        <v>4506</v>
      </c>
      <c r="B34" s="841">
        <v>45593.0</v>
      </c>
      <c r="C34" s="854">
        <v>45589.0</v>
      </c>
      <c r="D34" s="57" t="s">
        <v>53</v>
      </c>
      <c r="E34" s="2">
        <v>1.0457401928E10</v>
      </c>
      <c r="F34" s="57" t="s">
        <v>4507</v>
      </c>
      <c r="G34" s="3" t="s">
        <v>4100</v>
      </c>
      <c r="H34" s="58" t="s">
        <v>47</v>
      </c>
      <c r="I34" s="58">
        <v>41.33</v>
      </c>
      <c r="J34" s="58">
        <v>3.8</v>
      </c>
      <c r="K34" s="59">
        <f t="shared" si="1"/>
        <v>39.75946</v>
      </c>
      <c r="L34" s="60">
        <v>0.269</v>
      </c>
      <c r="M34" s="60">
        <v>0.258</v>
      </c>
      <c r="N34" s="75">
        <v>0.26</v>
      </c>
      <c r="O34" s="60">
        <f t="shared" si="17"/>
        <v>0.259</v>
      </c>
      <c r="P34" s="63">
        <v>90.0</v>
      </c>
      <c r="Q34" s="2">
        <v>89.78</v>
      </c>
      <c r="R34" s="65">
        <v>2732.0</v>
      </c>
      <c r="S34" s="134">
        <v>110.0</v>
      </c>
      <c r="U34" s="2">
        <v>100.0</v>
      </c>
      <c r="V34" s="2">
        <v>1.1023</v>
      </c>
      <c r="Y34" s="68"/>
      <c r="Z34" s="69">
        <f t="shared" si="3"/>
        <v>30</v>
      </c>
      <c r="AA34" s="70">
        <f t="shared" si="4"/>
        <v>30</v>
      </c>
      <c r="AB34" s="71">
        <f t="shared" si="5"/>
        <v>521.9602142</v>
      </c>
      <c r="AC34" s="71">
        <f>+(S34-T34)*V34-'data 1'!$F$4</f>
        <v>41.253</v>
      </c>
      <c r="AD34" s="71">
        <f t="shared" si="6"/>
        <v>-1.71696188</v>
      </c>
      <c r="AE34" s="71">
        <f t="shared" si="7"/>
        <v>-36.931</v>
      </c>
      <c r="AF34" s="71">
        <f t="shared" si="8"/>
        <v>26.04745482</v>
      </c>
      <c r="AG34" s="72">
        <f t="shared" si="19"/>
        <v>45.65249294</v>
      </c>
      <c r="AH34" s="52">
        <f t="shared" si="10"/>
        <v>329.2163743</v>
      </c>
      <c r="AI34" s="73">
        <f t="shared" si="11"/>
        <v>5.297668328</v>
      </c>
      <c r="AJ34" s="73">
        <f t="shared" si="12"/>
        <v>317.7545808</v>
      </c>
      <c r="AK34" s="11"/>
      <c r="AL34" s="122">
        <f t="shared" si="13"/>
        <v>20752.85626</v>
      </c>
      <c r="AM34" s="3"/>
      <c r="AN34" s="3"/>
      <c r="AO34" s="58">
        <f t="shared" si="14"/>
        <v>366.6923305</v>
      </c>
      <c r="AQ34" s="58"/>
    </row>
    <row r="35" ht="15.75" customHeight="1">
      <c r="A35" s="117" t="s">
        <v>4508</v>
      </c>
      <c r="B35" s="841">
        <v>45595.0</v>
      </c>
      <c r="C35" s="854">
        <v>45590.0</v>
      </c>
      <c r="D35" s="67" t="s">
        <v>63</v>
      </c>
      <c r="E35" s="2">
        <v>1.0437450094E10</v>
      </c>
      <c r="F35" s="67" t="s">
        <v>4509</v>
      </c>
      <c r="G35" s="134">
        <v>66.0</v>
      </c>
      <c r="H35" s="58" t="s">
        <v>47</v>
      </c>
      <c r="I35" s="58">
        <v>5.27</v>
      </c>
      <c r="J35" s="58">
        <v>1.02</v>
      </c>
      <c r="K35" s="59">
        <f t="shared" si="1"/>
        <v>5.216246</v>
      </c>
      <c r="L35" s="106">
        <v>0.405</v>
      </c>
      <c r="M35" s="106">
        <v>0.393</v>
      </c>
      <c r="N35" s="135">
        <v>0.393</v>
      </c>
      <c r="O35" s="60">
        <f t="shared" si="17"/>
        <v>0.393</v>
      </c>
      <c r="P35" s="63">
        <v>90.0</v>
      </c>
      <c r="Q35" s="67">
        <v>89.55</v>
      </c>
      <c r="R35" s="65">
        <v>2732.0</v>
      </c>
      <c r="S35" s="143">
        <v>120.0</v>
      </c>
      <c r="T35" s="67"/>
      <c r="U35" s="67">
        <v>100.0</v>
      </c>
      <c r="V35" s="67">
        <v>1.1023</v>
      </c>
      <c r="W35" s="67"/>
      <c r="X35" s="67"/>
      <c r="Y35" s="68">
        <v>15.0</v>
      </c>
      <c r="Z35" s="69">
        <f t="shared" si="3"/>
        <v>30</v>
      </c>
      <c r="AA35" s="70">
        <f t="shared" si="4"/>
        <v>45</v>
      </c>
      <c r="AB35" s="71">
        <f t="shared" si="5"/>
        <v>844.2938983</v>
      </c>
      <c r="AC35" s="71">
        <f>+(S35-T35)*V35-'data 1'!$F$4</f>
        <v>52.276</v>
      </c>
      <c r="AD35" s="71">
        <f t="shared" si="6"/>
        <v>-5.287534686</v>
      </c>
      <c r="AE35" s="71">
        <f t="shared" si="7"/>
        <v>-20.3965</v>
      </c>
      <c r="AF35" s="71">
        <f t="shared" si="8"/>
        <v>31.17687119</v>
      </c>
      <c r="AG35" s="72">
        <f t="shared" ref="AG35:AG39" si="20">+IF(D35="RONALD WILLIAN GARIBAY ESCUDERO",AC35+AD35+AE35+AF35+70,AC35+AD35+AE35+AF35)</f>
        <v>57.7688365</v>
      </c>
      <c r="AH35" s="52">
        <f t="shared" si="10"/>
        <v>64.86161341</v>
      </c>
      <c r="AI35" s="73">
        <f t="shared" si="11"/>
        <v>7.955610224</v>
      </c>
      <c r="AJ35" s="73">
        <f t="shared" si="12"/>
        <v>63.25606816</v>
      </c>
      <c r="AK35" s="53"/>
      <c r="AL35" s="51">
        <f t="shared" si="13"/>
        <v>4404.04467</v>
      </c>
      <c r="AM35" s="134"/>
      <c r="AN35" s="134"/>
      <c r="AO35" s="58">
        <f t="shared" si="14"/>
        <v>72.4306124</v>
      </c>
      <c r="AQ35" s="58"/>
    </row>
    <row r="36" ht="15.75" customHeight="1">
      <c r="A36" s="117" t="s">
        <v>4510</v>
      </c>
      <c r="B36" s="841">
        <v>45595.0</v>
      </c>
      <c r="C36" s="854">
        <v>45590.0</v>
      </c>
      <c r="D36" s="67" t="s">
        <v>63</v>
      </c>
      <c r="E36" s="2">
        <v>1.0437450094E10</v>
      </c>
      <c r="F36" s="67" t="s">
        <v>4509</v>
      </c>
      <c r="G36" s="134">
        <v>85.0</v>
      </c>
      <c r="H36" s="58" t="s">
        <v>47</v>
      </c>
      <c r="I36" s="58">
        <v>6.96</v>
      </c>
      <c r="J36" s="58">
        <v>1.0</v>
      </c>
      <c r="K36" s="59">
        <f t="shared" si="1"/>
        <v>6.8904</v>
      </c>
      <c r="L36" s="106">
        <v>0.419</v>
      </c>
      <c r="M36" s="106">
        <v>0.402</v>
      </c>
      <c r="N36" s="135">
        <v>0.402</v>
      </c>
      <c r="O36" s="60">
        <f t="shared" si="17"/>
        <v>0.402</v>
      </c>
      <c r="P36" s="63">
        <v>90.0</v>
      </c>
      <c r="Q36" s="67">
        <v>89.62</v>
      </c>
      <c r="R36" s="65">
        <v>2732.0</v>
      </c>
      <c r="S36" s="143">
        <v>130.0</v>
      </c>
      <c r="T36" s="67"/>
      <c r="U36" s="67">
        <v>100.0</v>
      </c>
      <c r="V36" s="67">
        <v>1.1023</v>
      </c>
      <c r="W36" s="67"/>
      <c r="X36" s="67"/>
      <c r="Y36" s="68">
        <v>15.0</v>
      </c>
      <c r="Z36" s="69">
        <f t="shared" si="3"/>
        <v>30</v>
      </c>
      <c r="AA36" s="70">
        <f t="shared" si="4"/>
        <v>45</v>
      </c>
      <c r="AB36" s="71">
        <f t="shared" si="5"/>
        <v>856.7710525</v>
      </c>
      <c r="AC36" s="71">
        <f>+(S36-T36)*V36-'data 1'!$F$4</f>
        <v>63.299</v>
      </c>
      <c r="AD36" s="71">
        <f t="shared" si="6"/>
        <v>-4.619375982</v>
      </c>
      <c r="AE36" s="71">
        <f t="shared" si="7"/>
        <v>-20.3965</v>
      </c>
      <c r="AF36" s="71">
        <f t="shared" si="8"/>
        <v>44.2017591</v>
      </c>
      <c r="AG36" s="72">
        <f t="shared" si="20"/>
        <v>82.48488312</v>
      </c>
      <c r="AH36" s="52">
        <f t="shared" si="10"/>
        <v>88.70997687</v>
      </c>
      <c r="AI36" s="73">
        <f t="shared" si="11"/>
        <v>8.237052734</v>
      </c>
      <c r="AJ36" s="73">
        <f t="shared" si="12"/>
        <v>85.47164568</v>
      </c>
      <c r="AK36" s="53"/>
      <c r="AL36" s="51">
        <f t="shared" si="13"/>
        <v>5903.49526</v>
      </c>
      <c r="AM36" s="134"/>
      <c r="AN36" s="134"/>
      <c r="AO36" s="58">
        <f t="shared" si="14"/>
        <v>98.98457585</v>
      </c>
      <c r="AQ36" s="58"/>
    </row>
    <row r="37" ht="15.75" customHeight="1">
      <c r="A37" s="117" t="s">
        <v>4511</v>
      </c>
      <c r="B37" s="841">
        <v>45600.0</v>
      </c>
      <c r="C37" s="854">
        <v>45593.0</v>
      </c>
      <c r="D37" s="67" t="s">
        <v>3847</v>
      </c>
      <c r="E37" s="67">
        <v>2.0611424541E10</v>
      </c>
      <c r="F37" s="67"/>
      <c r="G37" s="134" t="s">
        <v>4100</v>
      </c>
      <c r="H37" s="58" t="s">
        <v>71</v>
      </c>
      <c r="I37" s="58">
        <v>9.75</v>
      </c>
      <c r="J37" s="58">
        <v>1.85</v>
      </c>
      <c r="K37" s="59">
        <f t="shared" si="1"/>
        <v>9.569625</v>
      </c>
      <c r="L37" s="106">
        <v>0.333</v>
      </c>
      <c r="M37" s="106">
        <v>0.315</v>
      </c>
      <c r="N37" s="135">
        <v>0.315</v>
      </c>
      <c r="O37" s="106">
        <f t="shared" si="17"/>
        <v>0.315</v>
      </c>
      <c r="P37" s="136">
        <v>90.0</v>
      </c>
      <c r="Q37" s="69">
        <v>89.19</v>
      </c>
      <c r="R37" s="70">
        <v>2741.8</v>
      </c>
      <c r="S37" s="134">
        <f t="shared" ref="S37:S39" si="21">-8+100</f>
        <v>92</v>
      </c>
      <c r="T37" s="67"/>
      <c r="U37" s="67">
        <v>80.0</v>
      </c>
      <c r="V37" s="67">
        <v>1.1023</v>
      </c>
      <c r="W37" s="859"/>
      <c r="X37" s="859"/>
      <c r="Y37" s="67"/>
      <c r="Z37" s="69">
        <f t="shared" si="3"/>
        <v>30</v>
      </c>
      <c r="AA37" s="70">
        <f t="shared" si="4"/>
        <v>30</v>
      </c>
      <c r="AB37" s="71">
        <f t="shared" si="5"/>
        <v>697.3373567</v>
      </c>
      <c r="AC37" s="71">
        <f>+(S37-T37)*V37-'data 1'!$F$4</f>
        <v>21.4116</v>
      </c>
      <c r="AD37" s="71">
        <f t="shared" si="6"/>
        <v>-7.914153702</v>
      </c>
      <c r="AE37" s="71">
        <f t="shared" si="7"/>
        <v>-36.931</v>
      </c>
      <c r="AF37" s="71">
        <f t="shared" si="8"/>
        <v>47.10466258</v>
      </c>
      <c r="AG37" s="72">
        <f t="shared" si="20"/>
        <v>23.67110887</v>
      </c>
      <c r="AH37" s="52">
        <f t="shared" si="10"/>
        <v>97.44608293</v>
      </c>
      <c r="AI37" s="73">
        <f t="shared" si="11"/>
        <v>-3.241122154</v>
      </c>
      <c r="AJ37" s="73">
        <f t="shared" si="12"/>
        <v>93.01586993</v>
      </c>
      <c r="AK37" s="53"/>
      <c r="AL37" s="51">
        <f t="shared" si="13"/>
        <v>6673.257002</v>
      </c>
      <c r="AM37" s="134"/>
      <c r="AN37" s="134"/>
      <c r="AO37" s="58">
        <f t="shared" si="14"/>
        <v>109.2567361</v>
      </c>
      <c r="AQ37" s="58"/>
    </row>
    <row r="38" ht="15.75" customHeight="1">
      <c r="A38" s="117" t="s">
        <v>4512</v>
      </c>
      <c r="B38" s="841">
        <v>45600.0</v>
      </c>
      <c r="C38" s="854">
        <v>45593.0</v>
      </c>
      <c r="D38" s="67" t="s">
        <v>3847</v>
      </c>
      <c r="E38" s="67">
        <v>2.0611424541E10</v>
      </c>
      <c r="F38" s="67"/>
      <c r="G38" s="134" t="s">
        <v>4100</v>
      </c>
      <c r="H38" s="58" t="s">
        <v>71</v>
      </c>
      <c r="I38" s="58">
        <v>9.02</v>
      </c>
      <c r="J38" s="58">
        <v>2.23</v>
      </c>
      <c r="K38" s="59">
        <f t="shared" si="1"/>
        <v>8.818854</v>
      </c>
      <c r="L38" s="106">
        <v>0.412</v>
      </c>
      <c r="M38" s="106">
        <v>0.301</v>
      </c>
      <c r="N38" s="135">
        <v>0.301</v>
      </c>
      <c r="O38" s="106">
        <f t="shared" si="17"/>
        <v>0.301</v>
      </c>
      <c r="P38" s="136">
        <v>90.0</v>
      </c>
      <c r="Q38" s="69">
        <v>89.37</v>
      </c>
      <c r="R38" s="70">
        <v>2741.8</v>
      </c>
      <c r="S38" s="134">
        <f t="shared" si="21"/>
        <v>92</v>
      </c>
      <c r="T38" s="67"/>
      <c r="U38" s="67">
        <v>80.0</v>
      </c>
      <c r="V38" s="67">
        <v>1.1023</v>
      </c>
      <c r="W38" s="859"/>
      <c r="X38" s="859"/>
      <c r="Y38" s="67"/>
      <c r="Z38" s="69">
        <f t="shared" si="3"/>
        <v>30</v>
      </c>
      <c r="AA38" s="70">
        <f t="shared" si="4"/>
        <v>30</v>
      </c>
      <c r="AB38" s="71">
        <f t="shared" si="5"/>
        <v>660.3676697</v>
      </c>
      <c r="AC38" s="71">
        <f>+(S38-T38)*V38-'data 1'!$F$4</f>
        <v>21.4116</v>
      </c>
      <c r="AD38" s="71">
        <f t="shared" si="6"/>
        <v>-7.615755515</v>
      </c>
      <c r="AE38" s="71">
        <f t="shared" si="7"/>
        <v>-36.931</v>
      </c>
      <c r="AF38" s="71">
        <f t="shared" si="8"/>
        <v>291.0649862</v>
      </c>
      <c r="AG38" s="72">
        <f t="shared" si="20"/>
        <v>267.9298306</v>
      </c>
      <c r="AH38" s="52">
        <f t="shared" si="10"/>
        <v>111.3294839</v>
      </c>
      <c r="AI38" s="73">
        <f t="shared" si="11"/>
        <v>-4.01812993</v>
      </c>
      <c r="AJ38" s="73">
        <f t="shared" si="12"/>
        <v>81.90873657</v>
      </c>
      <c r="AK38" s="11"/>
      <c r="AL38" s="122">
        <f t="shared" si="13"/>
        <v>5823.686066</v>
      </c>
      <c r="AM38" s="3"/>
      <c r="AN38" s="3"/>
      <c r="AO38" s="58">
        <f t="shared" si="14"/>
        <v>124.5714266</v>
      </c>
      <c r="AQ38" s="58"/>
    </row>
    <row r="39" ht="15.75" customHeight="1">
      <c r="A39" s="117" t="s">
        <v>4513</v>
      </c>
      <c r="B39" s="841">
        <v>45600.0</v>
      </c>
      <c r="C39" s="854">
        <v>45593.0</v>
      </c>
      <c r="D39" s="67" t="s">
        <v>3847</v>
      </c>
      <c r="E39" s="67">
        <v>2.0611424541E10</v>
      </c>
      <c r="F39" s="67"/>
      <c r="G39" s="134" t="s">
        <v>4100</v>
      </c>
      <c r="H39" s="58" t="s">
        <v>71</v>
      </c>
      <c r="I39" s="58">
        <v>11.86</v>
      </c>
      <c r="J39" s="58">
        <v>2.35</v>
      </c>
      <c r="K39" s="59">
        <f t="shared" si="1"/>
        <v>11.58129</v>
      </c>
      <c r="L39" s="106">
        <v>0.317</v>
      </c>
      <c r="M39" s="106">
        <v>0.301</v>
      </c>
      <c r="N39" s="135">
        <v>0.301</v>
      </c>
      <c r="O39" s="106">
        <f t="shared" si="17"/>
        <v>0.301</v>
      </c>
      <c r="P39" s="136">
        <v>90.0</v>
      </c>
      <c r="Q39" s="69">
        <v>89.43</v>
      </c>
      <c r="R39" s="70">
        <v>2741.8</v>
      </c>
      <c r="S39" s="134">
        <f t="shared" si="21"/>
        <v>92</v>
      </c>
      <c r="T39" s="67"/>
      <c r="U39" s="67">
        <v>80.0</v>
      </c>
      <c r="V39" s="67">
        <v>1.1023</v>
      </c>
      <c r="W39" s="859"/>
      <c r="X39" s="859"/>
      <c r="Y39" s="67"/>
      <c r="Z39" s="69">
        <f t="shared" si="3"/>
        <v>30</v>
      </c>
      <c r="AA39" s="70">
        <f t="shared" si="4"/>
        <v>30</v>
      </c>
      <c r="AB39" s="71">
        <f t="shared" si="5"/>
        <v>660.3676697</v>
      </c>
      <c r="AC39" s="71">
        <f>+(S39-T39)*V39-'data 1'!$F$4</f>
        <v>21.4116</v>
      </c>
      <c r="AD39" s="71">
        <f t="shared" si="6"/>
        <v>-5.301629157</v>
      </c>
      <c r="AE39" s="71">
        <f t="shared" si="7"/>
        <v>-36.931</v>
      </c>
      <c r="AF39" s="71">
        <f t="shared" si="8"/>
        <v>41.9834807</v>
      </c>
      <c r="AG39" s="72">
        <f t="shared" si="20"/>
        <v>21.16245154</v>
      </c>
      <c r="AH39" s="52">
        <f t="shared" si="10"/>
        <v>112.5663279</v>
      </c>
      <c r="AI39" s="73">
        <f t="shared" si="11"/>
        <v>-3.093694997</v>
      </c>
      <c r="AJ39" s="73">
        <f t="shared" si="12"/>
        <v>107.565998</v>
      </c>
      <c r="AK39" s="11"/>
      <c r="AL39" s="122">
        <f t="shared" si="13"/>
        <v>7647.90949</v>
      </c>
      <c r="AM39" s="3"/>
      <c r="AN39" s="3"/>
      <c r="AO39" s="58">
        <f t="shared" si="14"/>
        <v>125.8708799</v>
      </c>
      <c r="AQ39" s="58"/>
    </row>
    <row r="40" ht="15.75" customHeight="1">
      <c r="A40" s="117" t="s">
        <v>4514</v>
      </c>
      <c r="B40" s="841">
        <v>45600.0</v>
      </c>
      <c r="C40" s="854">
        <v>45593.0</v>
      </c>
      <c r="D40" s="67" t="s">
        <v>3847</v>
      </c>
      <c r="E40" s="67">
        <v>2.0611424541E10</v>
      </c>
      <c r="F40" s="67"/>
      <c r="G40" s="134" t="s">
        <v>4100</v>
      </c>
      <c r="H40" s="58" t="s">
        <v>71</v>
      </c>
      <c r="I40" s="58">
        <v>24.5</v>
      </c>
      <c r="J40" s="58">
        <v>2.45</v>
      </c>
      <c r="K40" s="59">
        <f t="shared" si="1"/>
        <v>23.89975</v>
      </c>
      <c r="L40" s="106">
        <v>0.287</v>
      </c>
      <c r="M40" s="106">
        <v>0.273</v>
      </c>
      <c r="N40" s="135">
        <v>0.273</v>
      </c>
      <c r="O40" s="106">
        <f t="shared" si="17"/>
        <v>0.273</v>
      </c>
      <c r="P40" s="136">
        <v>90.0</v>
      </c>
      <c r="Q40" s="69">
        <v>89.3</v>
      </c>
      <c r="R40" s="70">
        <v>2741.8</v>
      </c>
      <c r="S40" s="134">
        <f>-8+95</f>
        <v>87</v>
      </c>
      <c r="T40" s="67"/>
      <c r="U40" s="67">
        <v>80.0</v>
      </c>
      <c r="V40" s="67">
        <v>1.1023</v>
      </c>
      <c r="W40" s="859"/>
      <c r="X40" s="859"/>
      <c r="Y40" s="67"/>
      <c r="Z40" s="69">
        <f t="shared" si="3"/>
        <v>30</v>
      </c>
      <c r="AA40" s="70">
        <f t="shared" si="4"/>
        <v>30</v>
      </c>
      <c r="AB40" s="71">
        <f t="shared" si="5"/>
        <v>591.9397958</v>
      </c>
      <c r="AC40" s="71">
        <f>+(S40-T40)*V40-'data 1'!$F$4</f>
        <v>15.9001</v>
      </c>
      <c r="AD40" s="71">
        <f t="shared" si="6"/>
        <v>-5.894611199</v>
      </c>
      <c r="AE40" s="71">
        <f t="shared" si="7"/>
        <v>-36.931</v>
      </c>
      <c r="AF40" s="71">
        <f t="shared" si="8"/>
        <v>36.68214495</v>
      </c>
      <c r="AG40" s="72">
        <f>+IF(D40="RONALD WILLIAN GARIBAY ESCUDERO",AC40+AD40+AE40+AF40+70,AC40+AD40+AE40+AF40)+70-53</f>
        <v>26.75663376</v>
      </c>
      <c r="AH40" s="52">
        <f t="shared" si="10"/>
        <v>210.0079729</v>
      </c>
      <c r="AI40" s="73">
        <f t="shared" si="11"/>
        <v>-2.796844736</v>
      </c>
      <c r="AJ40" s="73">
        <f t="shared" si="12"/>
        <v>201.3295783</v>
      </c>
      <c r="AK40" s="53"/>
      <c r="AL40" s="51">
        <f t="shared" si="13"/>
        <v>14147.21313</v>
      </c>
      <c r="AM40" s="3"/>
      <c r="AN40" s="3"/>
      <c r="AO40" s="58">
        <f t="shared" si="14"/>
        <v>235.1713023</v>
      </c>
      <c r="AQ40" s="58"/>
    </row>
    <row r="41" ht="15.75" customHeight="1">
      <c r="A41" s="116" t="s">
        <v>4515</v>
      </c>
      <c r="B41" s="841">
        <v>45602.0</v>
      </c>
      <c r="C41" s="854">
        <v>45594.0</v>
      </c>
      <c r="D41" s="57" t="s">
        <v>63</v>
      </c>
      <c r="E41" s="2">
        <v>1.0437450094E10</v>
      </c>
      <c r="F41" s="57" t="s">
        <v>4516</v>
      </c>
      <c r="G41" s="3">
        <v>50.0</v>
      </c>
      <c r="H41" s="58" t="s">
        <v>47</v>
      </c>
      <c r="I41" s="58">
        <v>3.94</v>
      </c>
      <c r="J41" s="58">
        <v>1.06</v>
      </c>
      <c r="K41" s="59">
        <f t="shared" si="1"/>
        <v>3.898236</v>
      </c>
      <c r="L41" s="60">
        <v>0.225</v>
      </c>
      <c r="M41" s="60">
        <v>0.213</v>
      </c>
      <c r="N41" s="62">
        <v>0.213</v>
      </c>
      <c r="O41" s="60">
        <f t="shared" si="17"/>
        <v>0.213</v>
      </c>
      <c r="P41" s="63">
        <v>90.0</v>
      </c>
      <c r="Q41" s="58">
        <v>89.77</v>
      </c>
      <c r="R41" s="65">
        <v>2769.15</v>
      </c>
      <c r="S41" s="66">
        <f t="shared" ref="S41:S43" si="22">IF((90+ROUNDDOWN(O41,1)*100)&lt;95,95,(90+ROUNDDOWN(O41,1)*100))</f>
        <v>110</v>
      </c>
      <c r="U41" s="67">
        <v>130.0</v>
      </c>
      <c r="V41" s="67">
        <v>1.1023</v>
      </c>
      <c r="Y41" s="68">
        <v>10.0</v>
      </c>
      <c r="Z41" s="69">
        <f t="shared" si="3"/>
        <v>30</v>
      </c>
      <c r="AA41" s="70">
        <f t="shared" si="4"/>
        <v>40</v>
      </c>
      <c r="AB41" s="71">
        <f t="shared" si="5"/>
        <v>392.3361881</v>
      </c>
      <c r="AC41" s="71">
        <f>+(S41-T41)*V41-'data 1'!$F$4</f>
        <v>41.253</v>
      </c>
      <c r="AD41" s="71">
        <f t="shared" si="6"/>
        <v>-1.505477386</v>
      </c>
      <c r="AE41" s="71">
        <f t="shared" si="7"/>
        <v>-25.908</v>
      </c>
      <c r="AF41" s="71">
        <f t="shared" si="8"/>
        <v>31.33836636</v>
      </c>
      <c r="AG41" s="72">
        <f t="shared" ref="AG41:AG43" si="23">+IF(D41="RONALD WILLIAN GARIBAY ESCUDERO",AC41+AD41+AE41+AF41+70,AC41+AD41+AE41+AF41)</f>
        <v>45.17788897</v>
      </c>
      <c r="AH41" s="52">
        <f t="shared" si="10"/>
        <v>26.99547294</v>
      </c>
      <c r="AI41" s="73">
        <f t="shared" si="11"/>
        <v>2.838727699</v>
      </c>
      <c r="AJ41" s="73">
        <f t="shared" si="12"/>
        <v>25.62119076</v>
      </c>
      <c r="AK41" s="53"/>
      <c r="AL41" s="51">
        <f t="shared" si="13"/>
        <v>1529.419053</v>
      </c>
      <c r="AM41" s="134"/>
      <c r="AN41" s="134"/>
      <c r="AO41" s="58">
        <f t="shared" si="14"/>
        <v>30.07182014</v>
      </c>
      <c r="AQ41" s="58"/>
    </row>
    <row r="42" ht="15.75" customHeight="1">
      <c r="A42" s="116" t="s">
        <v>4517</v>
      </c>
      <c r="B42" s="841">
        <v>45602.0</v>
      </c>
      <c r="C42" s="854">
        <v>45594.0</v>
      </c>
      <c r="D42" s="57" t="s">
        <v>63</v>
      </c>
      <c r="E42" s="2">
        <v>1.0437450094E10</v>
      </c>
      <c r="F42" s="57" t="s">
        <v>4516</v>
      </c>
      <c r="G42" s="3">
        <v>68.0</v>
      </c>
      <c r="H42" s="58" t="s">
        <v>47</v>
      </c>
      <c r="I42" s="58">
        <v>5.37</v>
      </c>
      <c r="J42" s="58">
        <v>1.1</v>
      </c>
      <c r="K42" s="59">
        <f t="shared" si="1"/>
        <v>5.31093</v>
      </c>
      <c r="L42" s="60">
        <v>0.225</v>
      </c>
      <c r="M42" s="60">
        <v>0.216</v>
      </c>
      <c r="N42" s="60">
        <v>0.274</v>
      </c>
      <c r="O42" s="60">
        <f t="shared" si="17"/>
        <v>0.245</v>
      </c>
      <c r="P42" s="63">
        <v>90.0</v>
      </c>
      <c r="Q42" s="58">
        <v>89.63</v>
      </c>
      <c r="R42" s="65">
        <v>2769.15</v>
      </c>
      <c r="S42" s="66">
        <f t="shared" si="22"/>
        <v>110</v>
      </c>
      <c r="U42" s="67">
        <v>130.0</v>
      </c>
      <c r="V42" s="67">
        <v>1.1023</v>
      </c>
      <c r="Y42" s="68">
        <v>15.0</v>
      </c>
      <c r="Z42" s="69">
        <f t="shared" si="3"/>
        <v>30</v>
      </c>
      <c r="AA42" s="70">
        <f t="shared" si="4"/>
        <v>45</v>
      </c>
      <c r="AB42" s="71">
        <f t="shared" si="5"/>
        <v>470.6077774</v>
      </c>
      <c r="AC42" s="71">
        <f>+(S42-T42)*V42-'data 1'!$F$4</f>
        <v>41.253</v>
      </c>
      <c r="AD42" s="71">
        <f t="shared" si="6"/>
        <v>-2.421854925</v>
      </c>
      <c r="AE42" s="71">
        <f t="shared" si="7"/>
        <v>-20.3965</v>
      </c>
      <c r="AF42" s="71">
        <f t="shared" si="8"/>
        <v>-52.14915482</v>
      </c>
      <c r="AG42" s="72">
        <f t="shared" si="23"/>
        <v>-33.71450974</v>
      </c>
      <c r="AH42" s="52">
        <f t="shared" si="10"/>
        <v>36.72108976</v>
      </c>
      <c r="AI42" s="73">
        <f t="shared" si="11"/>
        <v>2.834300587</v>
      </c>
      <c r="AJ42" s="73">
        <f t="shared" si="12"/>
        <v>40.15024876</v>
      </c>
      <c r="AK42" s="53"/>
      <c r="AL42" s="51">
        <f t="shared" si="13"/>
        <v>2499.364963</v>
      </c>
      <c r="AM42" s="134"/>
      <c r="AN42" s="134"/>
      <c r="AO42" s="58">
        <f t="shared" si="14"/>
        <v>40.96964159</v>
      </c>
      <c r="AQ42" s="58"/>
    </row>
    <row r="43" ht="15.75" customHeight="1">
      <c r="A43" s="116" t="s">
        <v>4518</v>
      </c>
      <c r="B43" s="841">
        <v>45600.0</v>
      </c>
      <c r="C43" s="854">
        <v>45595.0</v>
      </c>
      <c r="D43" s="57" t="s">
        <v>4420</v>
      </c>
      <c r="E43" s="2">
        <v>2.060609401E10</v>
      </c>
      <c r="F43" s="57" t="s">
        <v>4519</v>
      </c>
      <c r="G43" s="3">
        <v>100.0</v>
      </c>
      <c r="H43" s="58" t="s">
        <v>47</v>
      </c>
      <c r="I43" s="58">
        <v>8.7</v>
      </c>
      <c r="J43" s="58">
        <v>1.2</v>
      </c>
      <c r="K43" s="59">
        <f t="shared" si="1"/>
        <v>8.5956</v>
      </c>
      <c r="L43" s="60">
        <v>0.386</v>
      </c>
      <c r="M43" s="60">
        <v>0.362</v>
      </c>
      <c r="N43" s="62">
        <v>0.362</v>
      </c>
      <c r="O43" s="60">
        <f t="shared" si="17"/>
        <v>0.362</v>
      </c>
      <c r="P43" s="63">
        <v>90.0</v>
      </c>
      <c r="Q43" s="58">
        <v>89.39</v>
      </c>
      <c r="R43" s="65">
        <v>2767.8</v>
      </c>
      <c r="S43" s="66">
        <f t="shared" si="22"/>
        <v>120</v>
      </c>
      <c r="U43" s="67">
        <v>130.0</v>
      </c>
      <c r="V43" s="67">
        <v>1.1023</v>
      </c>
      <c r="Y43" s="68">
        <v>15.0</v>
      </c>
      <c r="Z43" s="69">
        <f t="shared" si="3"/>
        <v>30</v>
      </c>
      <c r="AA43" s="70">
        <f t="shared" si="4"/>
        <v>45</v>
      </c>
      <c r="AB43" s="71">
        <f t="shared" si="5"/>
        <v>765.4318731</v>
      </c>
      <c r="AC43" s="71">
        <f>+(S43-T43)*V43-'data 1'!$F$4</f>
        <v>52.276</v>
      </c>
      <c r="AD43" s="71">
        <f t="shared" si="6"/>
        <v>-6.846345485</v>
      </c>
      <c r="AE43" s="71">
        <f t="shared" si="7"/>
        <v>-20.3965</v>
      </c>
      <c r="AF43" s="71">
        <f t="shared" si="8"/>
        <v>62.37949439</v>
      </c>
      <c r="AG43" s="72">
        <f t="shared" si="23"/>
        <v>87.41264891</v>
      </c>
      <c r="AH43" s="52">
        <f t="shared" si="10"/>
        <v>101.6860807</v>
      </c>
      <c r="AI43" s="73">
        <f t="shared" si="11"/>
        <v>5.362843976</v>
      </c>
      <c r="AJ43" s="73">
        <f t="shared" si="12"/>
        <v>96.01439428</v>
      </c>
      <c r="AK43" s="53"/>
      <c r="AL43" s="51">
        <f t="shared" si="13"/>
        <v>6579.346208</v>
      </c>
      <c r="AM43" s="134"/>
      <c r="AN43" s="134"/>
      <c r="AO43" s="58">
        <f t="shared" si="14"/>
        <v>113.7555439</v>
      </c>
      <c r="AQ43" s="58"/>
    </row>
    <row r="44" ht="15.75" customHeight="1">
      <c r="A44" s="117" t="s">
        <v>4520</v>
      </c>
      <c r="B44" s="841">
        <v>45598.0</v>
      </c>
      <c r="C44" s="854">
        <v>45595.0</v>
      </c>
      <c r="D44" s="57" t="s">
        <v>74</v>
      </c>
      <c r="E44" s="2">
        <v>1.0082235774E10</v>
      </c>
      <c r="G44" s="3">
        <v>52.0</v>
      </c>
      <c r="H44" s="58" t="s">
        <v>47</v>
      </c>
      <c r="I44" s="58">
        <v>4.92</v>
      </c>
      <c r="J44" s="58">
        <v>1.08</v>
      </c>
      <c r="K44" s="59">
        <f t="shared" si="1"/>
        <v>4.866864</v>
      </c>
      <c r="L44" s="60">
        <v>0.198</v>
      </c>
      <c r="M44" s="60">
        <v>0.19</v>
      </c>
      <c r="N44" s="75">
        <v>0.211</v>
      </c>
      <c r="O44" s="60">
        <f t="shared" si="17"/>
        <v>0.201</v>
      </c>
      <c r="P44" s="63">
        <v>85.0</v>
      </c>
      <c r="Q44" s="58">
        <v>89.22</v>
      </c>
      <c r="R44" s="65">
        <v>2777.8</v>
      </c>
      <c r="S44" s="134">
        <v>95.0</v>
      </c>
      <c r="U44" s="67">
        <v>80.0</v>
      </c>
      <c r="V44" s="67">
        <v>1.1023</v>
      </c>
      <c r="Y44" s="68"/>
      <c r="Z44" s="846">
        <v>25.0</v>
      </c>
      <c r="AA44" s="70">
        <f t="shared" si="4"/>
        <v>25</v>
      </c>
      <c r="AB44" s="71">
        <f t="shared" si="5"/>
        <v>375.795157</v>
      </c>
      <c r="AC44" s="71">
        <f>+(S44-T44)*V44-'data 1'!$F$4</f>
        <v>24.7185</v>
      </c>
      <c r="AD44" s="71">
        <f t="shared" si="6"/>
        <v>24.84775744</v>
      </c>
      <c r="AE44" s="71">
        <f t="shared" si="7"/>
        <v>-42.4425</v>
      </c>
      <c r="AF44" s="71">
        <f t="shared" si="8"/>
        <v>-7.95963277</v>
      </c>
      <c r="AG44" s="71">
        <f t="shared" ref="AG44:AG52" si="24">+IF(D44="RONALD WILLIAN GARIBAY ESCUDERO",AC44+AD44+AE44+AF44+70,AC44+AD44+AE44+AF44)+70</f>
        <v>69.16412467</v>
      </c>
      <c r="AH44" s="52">
        <f t="shared" si="10"/>
        <v>29.4771634</v>
      </c>
      <c r="AI44" s="73">
        <f t="shared" si="11"/>
        <v>-8.937990776</v>
      </c>
      <c r="AJ44" s="73">
        <f t="shared" si="12"/>
        <v>28.50842751</v>
      </c>
      <c r="AK44" s="53"/>
      <c r="AL44" s="51">
        <f t="shared" si="13"/>
        <v>1828.943921</v>
      </c>
      <c r="AM44" s="52"/>
      <c r="AN44" s="134"/>
      <c r="AO44" s="58">
        <f t="shared" si="14"/>
        <v>33.03873952</v>
      </c>
      <c r="AQ44" s="58"/>
    </row>
    <row r="45" ht="15.75" customHeight="1">
      <c r="A45" s="117" t="s">
        <v>4521</v>
      </c>
      <c r="B45" s="841">
        <v>45598.0</v>
      </c>
      <c r="C45" s="854">
        <v>45595.0</v>
      </c>
      <c r="D45" s="57" t="s">
        <v>74</v>
      </c>
      <c r="E45" s="2">
        <v>1.0082235774E10</v>
      </c>
      <c r="G45" s="3">
        <v>44.0</v>
      </c>
      <c r="H45" s="58" t="s">
        <v>47</v>
      </c>
      <c r="I45" s="58">
        <v>3.83</v>
      </c>
      <c r="J45" s="58">
        <v>1.2</v>
      </c>
      <c r="K45" s="59">
        <f t="shared" si="1"/>
        <v>3.78404</v>
      </c>
      <c r="L45" s="60">
        <v>0.447</v>
      </c>
      <c r="M45" s="60">
        <v>0.429</v>
      </c>
      <c r="N45" s="75">
        <v>0.467</v>
      </c>
      <c r="O45" s="60">
        <f t="shared" si="17"/>
        <v>0.448</v>
      </c>
      <c r="P45" s="63">
        <v>90.0</v>
      </c>
      <c r="Q45" s="58">
        <v>89.57</v>
      </c>
      <c r="R45" s="65">
        <v>2777.8</v>
      </c>
      <c r="S45" s="134">
        <v>115.0</v>
      </c>
      <c r="U45" s="67">
        <v>80.0</v>
      </c>
      <c r="V45" s="67">
        <v>1.1023</v>
      </c>
      <c r="Y45" s="68"/>
      <c r="Z45" s="846">
        <v>25.0</v>
      </c>
      <c r="AA45" s="70">
        <f t="shared" si="4"/>
        <v>25</v>
      </c>
      <c r="AB45" s="71">
        <f t="shared" si="5"/>
        <v>1044.708088</v>
      </c>
      <c r="AC45" s="71">
        <f>+(S45-T45)*V45-'data 1'!$F$4</f>
        <v>46.7645</v>
      </c>
      <c r="AD45" s="71">
        <f t="shared" si="6"/>
        <v>-5.715912033</v>
      </c>
      <c r="AE45" s="71">
        <f t="shared" si="7"/>
        <v>-42.4425</v>
      </c>
      <c r="AF45" s="71">
        <f t="shared" si="8"/>
        <v>-2.663619171</v>
      </c>
      <c r="AG45" s="71">
        <f t="shared" si="24"/>
        <v>65.9424688</v>
      </c>
      <c r="AH45" s="52">
        <f t="shared" si="10"/>
        <v>51.94393964</v>
      </c>
      <c r="AI45" s="73">
        <f t="shared" si="11"/>
        <v>-20.25734807</v>
      </c>
      <c r="AJ45" s="73">
        <f t="shared" si="12"/>
        <v>52.31007121</v>
      </c>
      <c r="AK45" s="53"/>
      <c r="AL45" s="51">
        <f t="shared" si="13"/>
        <v>3953.217193</v>
      </c>
      <c r="AM45" s="52"/>
      <c r="AN45" s="134"/>
      <c r="AO45" s="58">
        <f t="shared" si="14"/>
        <v>57.99256407</v>
      </c>
      <c r="AQ45" s="58"/>
    </row>
    <row r="46" ht="15.75" customHeight="1">
      <c r="A46" s="117" t="s">
        <v>4522</v>
      </c>
      <c r="B46" s="841">
        <v>45598.0</v>
      </c>
      <c r="C46" s="854">
        <v>45595.0</v>
      </c>
      <c r="D46" s="57" t="s">
        <v>74</v>
      </c>
      <c r="E46" s="2">
        <v>1.0082235774E10</v>
      </c>
      <c r="G46" s="3">
        <v>48.0</v>
      </c>
      <c r="H46" s="58" t="s">
        <v>47</v>
      </c>
      <c r="I46" s="58">
        <v>4.23</v>
      </c>
      <c r="J46" s="58">
        <v>1.14</v>
      </c>
      <c r="K46" s="59">
        <f t="shared" si="1"/>
        <v>4.181778</v>
      </c>
      <c r="L46" s="60">
        <v>0.39</v>
      </c>
      <c r="M46" s="60">
        <v>0.374</v>
      </c>
      <c r="N46" s="75">
        <v>0.433</v>
      </c>
      <c r="O46" s="60">
        <f t="shared" si="17"/>
        <v>0.404</v>
      </c>
      <c r="P46" s="63">
        <v>90.0</v>
      </c>
      <c r="Q46" s="58">
        <v>89.69</v>
      </c>
      <c r="R46" s="65">
        <v>2777.8</v>
      </c>
      <c r="S46" s="134">
        <v>110.0</v>
      </c>
      <c r="U46" s="67">
        <v>80.0</v>
      </c>
      <c r="V46" s="67">
        <v>1.1023</v>
      </c>
      <c r="Y46" s="68"/>
      <c r="Z46" s="846">
        <v>25.0</v>
      </c>
      <c r="AA46" s="70">
        <f t="shared" si="4"/>
        <v>25</v>
      </c>
      <c r="AB46" s="71">
        <f t="shared" si="5"/>
        <v>932.4577042</v>
      </c>
      <c r="AC46" s="71">
        <f>+(S46-T46)*V46-'data 1'!$F$4</f>
        <v>41.253</v>
      </c>
      <c r="AD46" s="71">
        <f t="shared" si="6"/>
        <v>-3.595305992</v>
      </c>
      <c r="AE46" s="71">
        <f t="shared" si="7"/>
        <v>-42.4425</v>
      </c>
      <c r="AF46" s="71">
        <f t="shared" si="8"/>
        <v>-37.34062798</v>
      </c>
      <c r="AG46" s="71">
        <f t="shared" si="24"/>
        <v>27.87456603</v>
      </c>
      <c r="AH46" s="52">
        <f t="shared" si="10"/>
        <v>50.15089337</v>
      </c>
      <c r="AI46" s="73">
        <f t="shared" si="11"/>
        <v>-17.69787503</v>
      </c>
      <c r="AJ46" s="73">
        <f t="shared" si="12"/>
        <v>52.1307433</v>
      </c>
      <c r="AK46" s="53"/>
      <c r="AL46" s="51">
        <f t="shared" si="13"/>
        <v>3899.331113</v>
      </c>
      <c r="AM46" s="52"/>
      <c r="AN46" s="134"/>
      <c r="AO46" s="58">
        <f t="shared" si="14"/>
        <v>55.91581377</v>
      </c>
      <c r="AQ46" s="58"/>
    </row>
    <row r="47" ht="15.75" customHeight="1">
      <c r="A47" s="117" t="s">
        <v>4523</v>
      </c>
      <c r="B47" s="841">
        <v>45598.0</v>
      </c>
      <c r="C47" s="854">
        <v>45595.0</v>
      </c>
      <c r="D47" s="57" t="s">
        <v>74</v>
      </c>
      <c r="E47" s="2">
        <v>1.0082235774E10</v>
      </c>
      <c r="G47" s="3">
        <v>50.0</v>
      </c>
      <c r="H47" s="58" t="s">
        <v>47</v>
      </c>
      <c r="I47" s="58">
        <v>4.31</v>
      </c>
      <c r="J47" s="58">
        <v>1.03</v>
      </c>
      <c r="K47" s="59">
        <f t="shared" si="1"/>
        <v>4.265607</v>
      </c>
      <c r="L47" s="60">
        <v>0.412</v>
      </c>
      <c r="M47" s="60">
        <v>0.395</v>
      </c>
      <c r="N47" s="75">
        <v>0.459</v>
      </c>
      <c r="O47" s="60">
        <f t="shared" si="17"/>
        <v>0.427</v>
      </c>
      <c r="P47" s="63">
        <v>90.0</v>
      </c>
      <c r="Q47" s="58">
        <v>89.38</v>
      </c>
      <c r="R47" s="65">
        <v>2777.8</v>
      </c>
      <c r="S47" s="134">
        <v>110.0</v>
      </c>
      <c r="U47" s="67">
        <v>80.0</v>
      </c>
      <c r="V47" s="67">
        <v>1.1023</v>
      </c>
      <c r="Y47" s="68"/>
      <c r="Z47" s="846">
        <v>25.0</v>
      </c>
      <c r="AA47" s="70">
        <f t="shared" si="4"/>
        <v>25</v>
      </c>
      <c r="AB47" s="71">
        <f t="shared" si="5"/>
        <v>994.0150524</v>
      </c>
      <c r="AC47" s="71">
        <f>+(S47-T47)*V47-'data 1'!$F$4</f>
        <v>41.253</v>
      </c>
      <c r="AD47" s="71">
        <f t="shared" si="6"/>
        <v>-7.596236251</v>
      </c>
      <c r="AE47" s="71">
        <f t="shared" si="7"/>
        <v>-42.4425</v>
      </c>
      <c r="AF47" s="71">
        <f t="shared" si="8"/>
        <v>-39.86953469</v>
      </c>
      <c r="AG47" s="71">
        <f t="shared" si="24"/>
        <v>21.34472906</v>
      </c>
      <c r="AH47" s="52">
        <f t="shared" si="10"/>
        <v>53.85517929</v>
      </c>
      <c r="AI47" s="73">
        <f t="shared" si="11"/>
        <v>-18.63159603</v>
      </c>
      <c r="AJ47" s="73">
        <f t="shared" si="12"/>
        <v>56.20310304</v>
      </c>
      <c r="AK47" s="53"/>
      <c r="AL47" s="51">
        <f t="shared" si="13"/>
        <v>4240.077566</v>
      </c>
      <c r="AM47" s="52"/>
      <c r="AN47" s="134"/>
      <c r="AO47" s="58">
        <f t="shared" si="14"/>
        <v>60.2541724</v>
      </c>
      <c r="AQ47" s="58"/>
    </row>
    <row r="48" ht="15.75" customHeight="1">
      <c r="A48" s="117" t="s">
        <v>4524</v>
      </c>
      <c r="B48" s="841">
        <v>45598.0</v>
      </c>
      <c r="C48" s="854">
        <v>45595.0</v>
      </c>
      <c r="D48" s="57" t="s">
        <v>74</v>
      </c>
      <c r="E48" s="2">
        <v>1.0082235774E10</v>
      </c>
      <c r="G48" s="3">
        <v>22.0</v>
      </c>
      <c r="H48" s="58" t="s">
        <v>47</v>
      </c>
      <c r="I48" s="58">
        <v>1.97</v>
      </c>
      <c r="J48" s="58">
        <v>1.25</v>
      </c>
      <c r="K48" s="59">
        <f t="shared" si="1"/>
        <v>1.945375</v>
      </c>
      <c r="L48" s="60">
        <v>0.217</v>
      </c>
      <c r="M48" s="60">
        <v>0.208</v>
      </c>
      <c r="N48" s="75">
        <v>0.224</v>
      </c>
      <c r="O48" s="60">
        <f t="shared" si="17"/>
        <v>0.216</v>
      </c>
      <c r="P48" s="63">
        <v>85.0</v>
      </c>
      <c r="Q48" s="58">
        <v>89.82</v>
      </c>
      <c r="R48" s="65">
        <v>2777.8</v>
      </c>
      <c r="S48" s="134">
        <v>105.0</v>
      </c>
      <c r="U48" s="67">
        <v>80.0</v>
      </c>
      <c r="V48" s="67">
        <v>1.1023</v>
      </c>
      <c r="Y48" s="68"/>
      <c r="Z48" s="846">
        <v>25.0</v>
      </c>
      <c r="AA48" s="70">
        <f t="shared" si="4"/>
        <v>25</v>
      </c>
      <c r="AB48" s="71">
        <f t="shared" si="5"/>
        <v>402.687915</v>
      </c>
      <c r="AC48" s="71">
        <f>+(S48-T48)*V48-'data 1'!$F$4</f>
        <v>35.7415</v>
      </c>
      <c r="AD48" s="71">
        <f t="shared" si="6"/>
        <v>31.1040062</v>
      </c>
      <c r="AE48" s="71">
        <f t="shared" si="7"/>
        <v>-42.4425</v>
      </c>
      <c r="AF48" s="71">
        <f t="shared" si="8"/>
        <v>2.671053633</v>
      </c>
      <c r="AG48" s="71">
        <f t="shared" si="24"/>
        <v>97.07405983</v>
      </c>
      <c r="AH48" s="52">
        <f t="shared" si="10"/>
        <v>13.00005484</v>
      </c>
      <c r="AI48" s="73">
        <f t="shared" si="11"/>
        <v>-9.861552191</v>
      </c>
      <c r="AJ48" s="73">
        <f t="shared" si="12"/>
        <v>12.24574119</v>
      </c>
      <c r="AK48" s="53"/>
      <c r="AL48" s="51">
        <f t="shared" si="13"/>
        <v>783.3790026</v>
      </c>
      <c r="AM48" s="52"/>
      <c r="AN48" s="134"/>
      <c r="AO48" s="58">
        <f t="shared" si="14"/>
        <v>14.47345228</v>
      </c>
      <c r="AQ48" s="58"/>
    </row>
    <row r="49" ht="15.75" customHeight="1">
      <c r="A49" s="117" t="s">
        <v>4525</v>
      </c>
      <c r="B49" s="841">
        <v>45598.0</v>
      </c>
      <c r="C49" s="854">
        <v>45595.0</v>
      </c>
      <c r="D49" s="57" t="s">
        <v>74</v>
      </c>
      <c r="E49" s="2">
        <v>1.0082235774E10</v>
      </c>
      <c r="G49" s="3">
        <v>19.0</v>
      </c>
      <c r="H49" s="58" t="s">
        <v>47</v>
      </c>
      <c r="I49" s="58">
        <v>1.58</v>
      </c>
      <c r="J49" s="58">
        <v>1.1</v>
      </c>
      <c r="K49" s="59">
        <f t="shared" si="1"/>
        <v>1.56262</v>
      </c>
      <c r="L49" s="60">
        <v>0.115</v>
      </c>
      <c r="M49" s="60">
        <v>0.11</v>
      </c>
      <c r="N49" s="75">
        <v>0.13</v>
      </c>
      <c r="O49" s="60">
        <f t="shared" si="17"/>
        <v>0.12</v>
      </c>
      <c r="P49" s="63">
        <v>85.0</v>
      </c>
      <c r="Q49" s="58">
        <v>89.88</v>
      </c>
      <c r="R49" s="65">
        <v>2777.8</v>
      </c>
      <c r="S49" s="134">
        <v>95.0</v>
      </c>
      <c r="U49" s="67">
        <v>80.0</v>
      </c>
      <c r="V49" s="67">
        <v>1.1023</v>
      </c>
      <c r="Y49" s="68"/>
      <c r="Z49" s="846">
        <v>25.0</v>
      </c>
      <c r="AA49" s="70">
        <f t="shared" si="4"/>
        <v>25</v>
      </c>
      <c r="AB49" s="71">
        <f t="shared" si="5"/>
        <v>171.0500639</v>
      </c>
      <c r="AC49" s="71">
        <f>+(S49-T49)*V49-'data 1'!$F$4</f>
        <v>24.7185</v>
      </c>
      <c r="AD49" s="71">
        <f t="shared" si="6"/>
        <v>16.68888108</v>
      </c>
      <c r="AE49" s="71">
        <f t="shared" si="7"/>
        <v>-42.4425</v>
      </c>
      <c r="AF49" s="71">
        <f t="shared" si="8"/>
        <v>-13.36418952</v>
      </c>
      <c r="AG49" s="71">
        <f t="shared" si="24"/>
        <v>55.60069156</v>
      </c>
      <c r="AH49" s="52">
        <f t="shared" si="10"/>
        <v>5.537622569</v>
      </c>
      <c r="AI49" s="73">
        <f t="shared" si="11"/>
        <v>-5.229659306</v>
      </c>
      <c r="AJ49" s="73">
        <f t="shared" si="12"/>
        <v>5.464653374</v>
      </c>
      <c r="AK49" s="53"/>
      <c r="AL49" s="51">
        <f t="shared" si="13"/>
        <v>267.2862508</v>
      </c>
      <c r="AM49" s="52"/>
      <c r="AN49" s="134"/>
      <c r="AO49" s="58">
        <f t="shared" si="14"/>
        <v>6.161128804</v>
      </c>
      <c r="AQ49" s="58"/>
    </row>
    <row r="50" ht="15.75" customHeight="1">
      <c r="A50" s="117" t="s">
        <v>4526</v>
      </c>
      <c r="B50" s="841">
        <v>45598.0</v>
      </c>
      <c r="C50" s="854">
        <v>45595.0</v>
      </c>
      <c r="D50" s="57" t="s">
        <v>74</v>
      </c>
      <c r="E50" s="2">
        <v>1.0082235774E10</v>
      </c>
      <c r="G50" s="3">
        <v>68.0</v>
      </c>
      <c r="H50" s="58" t="s">
        <v>47</v>
      </c>
      <c r="I50" s="58">
        <v>6.3</v>
      </c>
      <c r="J50" s="58">
        <v>1.0</v>
      </c>
      <c r="K50" s="59">
        <f t="shared" si="1"/>
        <v>6.237</v>
      </c>
      <c r="L50" s="60">
        <v>0.214</v>
      </c>
      <c r="M50" s="60">
        <v>0.205</v>
      </c>
      <c r="N50" s="75">
        <v>0.242</v>
      </c>
      <c r="O50" s="60">
        <f t="shared" si="17"/>
        <v>0.224</v>
      </c>
      <c r="P50" s="63">
        <v>90.0</v>
      </c>
      <c r="Q50" s="58">
        <v>89.61</v>
      </c>
      <c r="R50" s="65">
        <v>2777.8</v>
      </c>
      <c r="S50" s="134">
        <v>105.0</v>
      </c>
      <c r="U50" s="67">
        <v>80.0</v>
      </c>
      <c r="V50" s="67">
        <v>1.1023</v>
      </c>
      <c r="Y50" s="68"/>
      <c r="Z50" s="846">
        <v>25.0</v>
      </c>
      <c r="AA50" s="70">
        <f t="shared" si="4"/>
        <v>25</v>
      </c>
      <c r="AB50" s="71">
        <f t="shared" si="5"/>
        <v>456.2160439</v>
      </c>
      <c r="AC50" s="71">
        <f>+(S50-T50)*V50-'data 1'!$F$4</f>
        <v>35.7415</v>
      </c>
      <c r="AD50" s="71">
        <f t="shared" si="6"/>
        <v>-2.481920911</v>
      </c>
      <c r="AE50" s="71">
        <f t="shared" si="7"/>
        <v>-42.4425</v>
      </c>
      <c r="AF50" s="71">
        <f t="shared" si="8"/>
        <v>-26.64808685</v>
      </c>
      <c r="AG50" s="71">
        <f t="shared" si="24"/>
        <v>34.16899224</v>
      </c>
      <c r="AH50" s="52">
        <f t="shared" si="10"/>
        <v>41.00672294</v>
      </c>
      <c r="AI50" s="73">
        <f t="shared" si="11"/>
        <v>-9.702479719</v>
      </c>
      <c r="AJ50" s="73">
        <f t="shared" si="12"/>
        <v>43.1097338</v>
      </c>
      <c r="AK50" s="53"/>
      <c r="AL50" s="51">
        <f t="shared" si="13"/>
        <v>2845.419466</v>
      </c>
      <c r="AM50" s="52"/>
      <c r="AN50" s="134"/>
      <c r="AO50" s="58">
        <f t="shared" si="14"/>
        <v>45.76132457</v>
      </c>
      <c r="AQ50" s="58"/>
    </row>
    <row r="51" ht="15.75" customHeight="1">
      <c r="A51" s="117" t="s">
        <v>4527</v>
      </c>
      <c r="B51" s="841">
        <v>45598.0</v>
      </c>
      <c r="C51" s="854">
        <v>45595.0</v>
      </c>
      <c r="D51" s="57" t="s">
        <v>51</v>
      </c>
      <c r="E51" s="2">
        <v>1.042310973E10</v>
      </c>
      <c r="G51" s="3">
        <v>25.0</v>
      </c>
      <c r="H51" s="58" t="s">
        <v>47</v>
      </c>
      <c r="I51" s="58">
        <v>2.46</v>
      </c>
      <c r="J51" s="58">
        <v>1.2</v>
      </c>
      <c r="K51" s="59">
        <f t="shared" si="1"/>
        <v>2.43048</v>
      </c>
      <c r="L51" s="60">
        <v>0.405</v>
      </c>
      <c r="M51" s="60">
        <v>0.389</v>
      </c>
      <c r="N51" s="62">
        <v>0.389</v>
      </c>
      <c r="O51" s="60">
        <f t="shared" si="17"/>
        <v>0.389</v>
      </c>
      <c r="P51" s="63">
        <v>90.0</v>
      </c>
      <c r="Q51" s="58">
        <v>89.49</v>
      </c>
      <c r="R51" s="65">
        <v>2767.8</v>
      </c>
      <c r="S51" s="134">
        <v>110.0</v>
      </c>
      <c r="U51" s="67">
        <v>100.0</v>
      </c>
      <c r="V51" s="67">
        <v>1.1023</v>
      </c>
      <c r="Y51" s="68">
        <v>15.0</v>
      </c>
      <c r="Z51" s="846">
        <v>25.0</v>
      </c>
      <c r="AA51" s="70">
        <f t="shared" si="4"/>
        <v>40</v>
      </c>
      <c r="AB51" s="71">
        <f t="shared" si="5"/>
        <v>864.1996506</v>
      </c>
      <c r="AC51" s="71">
        <f>+(S51-T51)*V51-'data 1'!$F$4</f>
        <v>41.253</v>
      </c>
      <c r="AD51" s="71">
        <f t="shared" si="6"/>
        <v>-6.074048774</v>
      </c>
      <c r="AE51" s="71">
        <f t="shared" si="7"/>
        <v>-25.908</v>
      </c>
      <c r="AF51" s="71">
        <f t="shared" si="8"/>
        <v>42.10634712</v>
      </c>
      <c r="AG51" s="71">
        <f t="shared" si="24"/>
        <v>191.3772983</v>
      </c>
      <c r="AH51" s="52">
        <f t="shared" si="10"/>
        <v>30.20164874</v>
      </c>
      <c r="AI51" s="73">
        <f t="shared" si="11"/>
        <v>-6.352233635</v>
      </c>
      <c r="AJ51" s="73">
        <f t="shared" si="12"/>
        <v>29.17381548</v>
      </c>
      <c r="AK51" s="53"/>
      <c r="AL51" s="51">
        <f t="shared" si="13"/>
        <v>2100.419967</v>
      </c>
      <c r="AM51" s="52"/>
      <c r="AN51" s="134"/>
      <c r="AO51" s="58">
        <f t="shared" si="14"/>
        <v>33.74862973</v>
      </c>
      <c r="AQ51" s="58"/>
    </row>
    <row r="52" ht="15.75" customHeight="1">
      <c r="A52" s="117" t="s">
        <v>4528</v>
      </c>
      <c r="B52" s="841">
        <v>45598.0</v>
      </c>
      <c r="C52" s="854">
        <v>45595.0</v>
      </c>
      <c r="D52" s="57" t="s">
        <v>51</v>
      </c>
      <c r="E52" s="2">
        <v>1.042310973E10</v>
      </c>
      <c r="F52" s="2"/>
      <c r="G52" s="3">
        <v>12.0</v>
      </c>
      <c r="H52" s="58" t="s">
        <v>47</v>
      </c>
      <c r="I52" s="58">
        <v>1.24</v>
      </c>
      <c r="J52" s="58">
        <v>1.1</v>
      </c>
      <c r="K52" s="59">
        <f t="shared" si="1"/>
        <v>1.22636</v>
      </c>
      <c r="L52" s="60">
        <v>0.139</v>
      </c>
      <c r="M52" s="60">
        <v>0.133</v>
      </c>
      <c r="N52" s="62">
        <v>0.133</v>
      </c>
      <c r="O52" s="60">
        <f t="shared" si="17"/>
        <v>0.133</v>
      </c>
      <c r="P52" s="63">
        <v>85.0</v>
      </c>
      <c r="Q52" s="58">
        <v>89.3</v>
      </c>
      <c r="R52" s="65">
        <v>2767.8</v>
      </c>
      <c r="S52" s="134">
        <v>95.0</v>
      </c>
      <c r="U52" s="67">
        <v>100.0</v>
      </c>
      <c r="V52" s="67">
        <v>1.1023</v>
      </c>
      <c r="Y52" s="68">
        <v>15.0</v>
      </c>
      <c r="Z52" s="69">
        <f t="shared" ref="Z52:Z76" si="25">IF(IF(D52="UNTUCA",IF(+((W52-3)*1.5+(X52-3)*3.1)&gt;0,+((W52-3)*1.5+(X52-3)*3.1),0),IF(+((W52-3)*1.5+(X52-3)*3.1)&gt;0,+((W52-3)*1.5+(X52-3)*3.1),0))&lt;30,30,IF(D52="UNTUCA",IF(+((W52-3)*1.5+(X52-3)*3.1)&gt;0,+((W52-3)*1.5+(X52-3)*3.1),0),IF(+((W52-3)*1.5+(X52-3)*3.1)&gt;0,+((W52-3)*1.5+(X52-3)*3.1),0)))</f>
        <v>30</v>
      </c>
      <c r="AA52" s="70">
        <f t="shared" si="4"/>
        <v>45</v>
      </c>
      <c r="AB52" s="71">
        <f t="shared" si="5"/>
        <v>178.125937</v>
      </c>
      <c r="AC52" s="71">
        <f>+(S52-T52)*V52-'data 1'!$F$4</f>
        <v>24.7185</v>
      </c>
      <c r="AD52" s="71">
        <f t="shared" si="6"/>
        <v>17.57665917</v>
      </c>
      <c r="AE52" s="71">
        <f t="shared" si="7"/>
        <v>-20.3965</v>
      </c>
      <c r="AF52" s="71">
        <f t="shared" si="8"/>
        <v>15.75635601</v>
      </c>
      <c r="AG52" s="72">
        <f t="shared" si="24"/>
        <v>177.6550152</v>
      </c>
      <c r="AH52" s="52">
        <f t="shared" si="10"/>
        <v>5.219072204</v>
      </c>
      <c r="AI52" s="73">
        <f t="shared" si="11"/>
        <v>-2.175520554</v>
      </c>
      <c r="AJ52" s="73">
        <f t="shared" si="12"/>
        <v>4.753326131</v>
      </c>
      <c r="AK52" s="53"/>
      <c r="AL52" s="51">
        <f t="shared" si="13"/>
        <v>218.4465241</v>
      </c>
      <c r="AM52" s="3"/>
      <c r="AN52" s="3"/>
      <c r="AO52" s="58">
        <f t="shared" si="14"/>
        <v>5.84442576</v>
      </c>
      <c r="AQ52" s="58"/>
    </row>
    <row r="53" ht="15.75" customHeight="1">
      <c r="A53" s="116" t="s">
        <v>4529</v>
      </c>
      <c r="B53" s="841">
        <v>45602.0</v>
      </c>
      <c r="C53" s="854">
        <v>45599.0</v>
      </c>
      <c r="D53" s="57" t="s">
        <v>4420</v>
      </c>
      <c r="E53" s="2">
        <v>2.060609401E10</v>
      </c>
      <c r="G53" s="3">
        <v>100.0</v>
      </c>
      <c r="H53" s="58" t="s">
        <v>47</v>
      </c>
      <c r="I53" s="58">
        <v>7.85</v>
      </c>
      <c r="J53" s="58">
        <v>1.2</v>
      </c>
      <c r="K53" s="59">
        <f t="shared" si="1"/>
        <v>7.7558</v>
      </c>
      <c r="L53" s="60">
        <v>0.15200000000000002</v>
      </c>
      <c r="M53" s="60">
        <v>0.14592000000000002</v>
      </c>
      <c r="N53" s="75">
        <v>0.184</v>
      </c>
      <c r="O53" s="60">
        <f t="shared" si="17"/>
        <v>0.165</v>
      </c>
      <c r="P53" s="63">
        <v>85.0</v>
      </c>
      <c r="Q53" s="58">
        <v>89.29</v>
      </c>
      <c r="R53" s="65">
        <v>2744.3</v>
      </c>
      <c r="S53" s="3">
        <v>110.0</v>
      </c>
      <c r="U53" s="67">
        <v>130.0</v>
      </c>
      <c r="V53" s="67">
        <v>1.1023</v>
      </c>
      <c r="Y53" s="68">
        <v>20.0</v>
      </c>
      <c r="Z53" s="69">
        <f t="shared" si="25"/>
        <v>30</v>
      </c>
      <c r="AA53" s="70">
        <f t="shared" si="4"/>
        <v>50</v>
      </c>
      <c r="AB53" s="71">
        <f t="shared" si="5"/>
        <v>227.7964403</v>
      </c>
      <c r="AC53" s="71">
        <f>+(S53-T53)*V53-'data 1'!$F$4</f>
        <v>41.253</v>
      </c>
      <c r="AD53" s="71">
        <f t="shared" si="6"/>
        <v>18.79126904</v>
      </c>
      <c r="AE53" s="71">
        <f t="shared" si="7"/>
        <v>-14.885</v>
      </c>
      <c r="AF53" s="71">
        <f t="shared" si="8"/>
        <v>-33.45040694</v>
      </c>
      <c r="AG53" s="72">
        <f>+IF(D53="RONALD WILLIAN GARIBAY ESCUDERO",AC53+AD53+AE53+AF53+80,AC53+AD53+AE53+AF53)+70-53</f>
        <v>28.70886209</v>
      </c>
      <c r="AH53" s="52">
        <f t="shared" si="10"/>
        <v>36.08960108</v>
      </c>
      <c r="AI53" s="73">
        <f>+((+'Analisis comercial'!$AJ$2-R53+U53)*L53*Q53*V53)/100</f>
        <v>341.952235</v>
      </c>
      <c r="AJ53" s="73">
        <f t="shared" si="12"/>
        <v>37.29396342</v>
      </c>
      <c r="AK53" s="53"/>
      <c r="AL53" s="51">
        <f t="shared" si="13"/>
        <v>1766.743632</v>
      </c>
      <c r="AM53" s="3"/>
      <c r="AN53" s="3"/>
      <c r="AO53" s="58">
        <f t="shared" si="14"/>
        <v>40.41841312</v>
      </c>
      <c r="AQ53" s="58"/>
    </row>
    <row r="54" ht="15.75" customHeight="1">
      <c r="A54" s="116" t="s">
        <v>4530</v>
      </c>
      <c r="B54" s="841">
        <v>45603.0</v>
      </c>
      <c r="C54" s="854">
        <v>45599.0</v>
      </c>
      <c r="D54" s="57" t="s">
        <v>4531</v>
      </c>
      <c r="E54" s="2">
        <v>1.0800995405E10</v>
      </c>
      <c r="G54" s="3">
        <v>90.0</v>
      </c>
      <c r="H54" s="58" t="s">
        <v>47</v>
      </c>
      <c r="I54" s="58">
        <v>9.31</v>
      </c>
      <c r="J54" s="58">
        <v>2.45</v>
      </c>
      <c r="K54" s="59">
        <f t="shared" si="1"/>
        <v>9.081905</v>
      </c>
      <c r="L54" s="60">
        <v>0.5265</v>
      </c>
      <c r="M54" s="60">
        <v>0.50544</v>
      </c>
      <c r="N54" s="62">
        <v>0.50544</v>
      </c>
      <c r="O54" s="60">
        <f t="shared" si="17"/>
        <v>0.505</v>
      </c>
      <c r="P54" s="63">
        <v>90.0</v>
      </c>
      <c r="Q54" s="58">
        <v>89.82</v>
      </c>
      <c r="R54" s="65">
        <v>2742.6</v>
      </c>
      <c r="S54" s="66">
        <f t="shared" ref="S54:S56" si="26">IF((90+ROUNDDOWN(O54,1)*100)&lt;95,95,(90+ROUNDDOWN(O54,1)*100))</f>
        <v>140</v>
      </c>
      <c r="U54" s="67">
        <v>130.0</v>
      </c>
      <c r="V54" s="67">
        <v>1.1023</v>
      </c>
      <c r="Y54" s="68">
        <v>15.0</v>
      </c>
      <c r="Z54" s="69">
        <f t="shared" si="25"/>
        <v>30</v>
      </c>
      <c r="AA54" s="70">
        <f t="shared" si="4"/>
        <v>45</v>
      </c>
      <c r="AB54" s="71">
        <f t="shared" si="5"/>
        <v>1104.974951</v>
      </c>
      <c r="AC54" s="71">
        <f>+(S54-T54)*V54-'data 1'!$F$4</f>
        <v>74.322</v>
      </c>
      <c r="AD54" s="71">
        <f t="shared" si="6"/>
        <v>-2.729251832</v>
      </c>
      <c r="AE54" s="71">
        <f t="shared" si="7"/>
        <v>-20.3965</v>
      </c>
      <c r="AF54" s="71">
        <f t="shared" si="8"/>
        <v>55.61401383</v>
      </c>
      <c r="AG54" s="72">
        <f t="shared" ref="AG54:AG56" si="27">+IF(D54="RONALD WILLIAN GARIBAY ESCUDERO",AC54+AD54+AE54+AF54+70,AC54+AD54+AE54+AF54)+70-60</f>
        <v>116.810262</v>
      </c>
      <c r="AH54" s="52">
        <f t="shared" si="10"/>
        <v>147.2507279</v>
      </c>
      <c r="AI54" s="73">
        <f>+((+'Analisis comercial'!$AJ$2-R54+U54)*L54*Q54*V54)/100</f>
        <v>1192.376342</v>
      </c>
      <c r="AJ54" s="73">
        <f t="shared" si="12"/>
        <v>141.5206816</v>
      </c>
      <c r="AK54" s="53"/>
      <c r="AL54" s="51">
        <f t="shared" si="13"/>
        <v>10035.27754</v>
      </c>
      <c r="AM54" s="3"/>
      <c r="AN54" s="3"/>
      <c r="AO54" s="58">
        <f t="shared" si="14"/>
        <v>163.9397995</v>
      </c>
      <c r="AQ54" s="58"/>
    </row>
    <row r="55" ht="15.75" customHeight="1">
      <c r="A55" s="117" t="s">
        <v>4532</v>
      </c>
      <c r="B55" s="841">
        <v>45603.0</v>
      </c>
      <c r="C55" s="854">
        <v>45599.0</v>
      </c>
      <c r="D55" s="57" t="s">
        <v>4531</v>
      </c>
      <c r="E55" s="2">
        <v>1.0800995405E10</v>
      </c>
      <c r="G55" s="3">
        <v>81.0</v>
      </c>
      <c r="H55" s="58" t="s">
        <v>47</v>
      </c>
      <c r="I55" s="58">
        <v>8.23</v>
      </c>
      <c r="J55" s="58">
        <v>2.35</v>
      </c>
      <c r="K55" s="59">
        <f t="shared" si="1"/>
        <v>8.036595</v>
      </c>
      <c r="L55" s="60">
        <v>0.5335</v>
      </c>
      <c r="M55" s="60">
        <v>0.51216</v>
      </c>
      <c r="N55" s="62">
        <v>0.51216</v>
      </c>
      <c r="O55" s="60">
        <f t="shared" si="17"/>
        <v>0.512</v>
      </c>
      <c r="P55" s="63">
        <v>90.0</v>
      </c>
      <c r="Q55" s="58">
        <v>89.59</v>
      </c>
      <c r="R55" s="65">
        <v>2742.6</v>
      </c>
      <c r="S55" s="66">
        <f t="shared" si="26"/>
        <v>140</v>
      </c>
      <c r="U55" s="67">
        <v>130.0</v>
      </c>
      <c r="V55" s="67">
        <v>1.1023</v>
      </c>
      <c r="Y55" s="68">
        <v>15.0</v>
      </c>
      <c r="Z55" s="69">
        <f t="shared" si="25"/>
        <v>30</v>
      </c>
      <c r="AA55" s="70">
        <f t="shared" si="4"/>
        <v>45</v>
      </c>
      <c r="AB55" s="71">
        <f t="shared" si="5"/>
        <v>1123.118126</v>
      </c>
      <c r="AC55" s="71">
        <f>+(S55-T55)*V55-'data 1'!$F$4</f>
        <v>74.322</v>
      </c>
      <c r="AD55" s="71">
        <f t="shared" si="6"/>
        <v>-6.299281413</v>
      </c>
      <c r="AE55" s="71">
        <f t="shared" si="7"/>
        <v>-20.3965</v>
      </c>
      <c r="AF55" s="71">
        <f t="shared" si="8"/>
        <v>55.47160431</v>
      </c>
      <c r="AG55" s="72">
        <f t="shared" si="27"/>
        <v>113.0978229</v>
      </c>
      <c r="AH55" s="52">
        <f t="shared" si="10"/>
        <v>131.6967666</v>
      </c>
      <c r="AI55" s="73">
        <f t="shared" ref="AI55:AI85" si="28">+((+$AI$2-R55+U55)*L55*Q55*V55)/100</f>
        <v>20.7055284</v>
      </c>
      <c r="AJ55" s="73">
        <f t="shared" si="12"/>
        <v>126.9678082</v>
      </c>
      <c r="AK55" s="53"/>
      <c r="AL55" s="51">
        <f t="shared" si="13"/>
        <v>9026.045516</v>
      </c>
      <c r="AM55" s="3"/>
      <c r="AN55" s="3"/>
      <c r="AO55" s="58">
        <f t="shared" si="14"/>
        <v>146.9994047</v>
      </c>
      <c r="AQ55" s="58"/>
    </row>
    <row r="56" ht="15.75" customHeight="1">
      <c r="A56" s="117" t="s">
        <v>4533</v>
      </c>
      <c r="B56" s="841">
        <v>45603.0</v>
      </c>
      <c r="C56" s="854">
        <v>45599.0</v>
      </c>
      <c r="D56" s="57" t="s">
        <v>4531</v>
      </c>
      <c r="E56" s="2">
        <v>1.0800995405E10</v>
      </c>
      <c r="G56" s="3">
        <v>51.0</v>
      </c>
      <c r="H56" s="58" t="s">
        <v>47</v>
      </c>
      <c r="I56" s="58">
        <v>5.62</v>
      </c>
      <c r="J56" s="58">
        <v>2.1</v>
      </c>
      <c r="K56" s="59">
        <f t="shared" si="1"/>
        <v>5.50198</v>
      </c>
      <c r="L56" s="60">
        <v>0.388</v>
      </c>
      <c r="M56" s="60">
        <v>0.37636000000000003</v>
      </c>
      <c r="N56" s="62">
        <v>0.37636000000000003</v>
      </c>
      <c r="O56" s="60">
        <f t="shared" si="17"/>
        <v>0.376</v>
      </c>
      <c r="P56" s="63">
        <v>90.0</v>
      </c>
      <c r="Q56" s="58">
        <v>89.54</v>
      </c>
      <c r="R56" s="65">
        <v>2742.6</v>
      </c>
      <c r="S56" s="66">
        <f t="shared" si="26"/>
        <v>120</v>
      </c>
      <c r="U56" s="67">
        <v>130.0</v>
      </c>
      <c r="V56" s="67">
        <v>1.1023</v>
      </c>
      <c r="Y56" s="68">
        <v>15.0</v>
      </c>
      <c r="Z56" s="69">
        <f t="shared" si="25"/>
        <v>30</v>
      </c>
      <c r="AA56" s="70">
        <f t="shared" si="4"/>
        <v>45</v>
      </c>
      <c r="AB56" s="71">
        <f t="shared" si="5"/>
        <v>792.6681628</v>
      </c>
      <c r="AC56" s="71">
        <f>+(S56-T56)*V56-'data 1'!$F$4</f>
        <v>52.276</v>
      </c>
      <c r="AD56" s="71">
        <f t="shared" si="6"/>
        <v>-5.139990156</v>
      </c>
      <c r="AE56" s="71">
        <f t="shared" si="7"/>
        <v>-20.3965</v>
      </c>
      <c r="AF56" s="71">
        <f t="shared" si="8"/>
        <v>30.94361622</v>
      </c>
      <c r="AG56" s="72">
        <f t="shared" si="27"/>
        <v>67.68312606</v>
      </c>
      <c r="AH56" s="52">
        <f t="shared" si="10"/>
        <v>65.53554151</v>
      </c>
      <c r="AI56" s="73">
        <f t="shared" si="28"/>
        <v>15.05016196</v>
      </c>
      <c r="AJ56" s="73">
        <f t="shared" si="12"/>
        <v>63.83493655</v>
      </c>
      <c r="AK56" s="53"/>
      <c r="AL56" s="51">
        <f t="shared" si="13"/>
        <v>4361.244379</v>
      </c>
      <c r="AM56" s="3"/>
      <c r="AN56" s="3"/>
      <c r="AO56" s="58">
        <f t="shared" si="14"/>
        <v>73.19135751</v>
      </c>
      <c r="AQ56" s="58"/>
    </row>
    <row r="57" ht="15.75" customHeight="1">
      <c r="A57" s="116" t="s">
        <v>4534</v>
      </c>
      <c r="B57" s="841">
        <v>45603.0</v>
      </c>
      <c r="C57" s="854">
        <v>45599.0</v>
      </c>
      <c r="D57" s="57" t="s">
        <v>45</v>
      </c>
      <c r="E57" s="67">
        <v>1.0416085884E10</v>
      </c>
      <c r="G57" s="3" t="s">
        <v>4100</v>
      </c>
      <c r="H57" s="58" t="s">
        <v>47</v>
      </c>
      <c r="I57" s="58">
        <v>31.83</v>
      </c>
      <c r="J57" s="58">
        <v>7.0</v>
      </c>
      <c r="K57" s="59">
        <f t="shared" si="1"/>
        <v>29.6019</v>
      </c>
      <c r="L57" s="60">
        <v>0.127</v>
      </c>
      <c r="M57" s="60">
        <v>0.12192</v>
      </c>
      <c r="N57" s="75">
        <v>0.145</v>
      </c>
      <c r="O57" s="60">
        <f t="shared" si="17"/>
        <v>0.133</v>
      </c>
      <c r="P57" s="63">
        <v>85.0</v>
      </c>
      <c r="Q57" s="58">
        <v>89.78</v>
      </c>
      <c r="R57" s="65">
        <v>2742.6</v>
      </c>
      <c r="S57" s="76">
        <v>110.0</v>
      </c>
      <c r="U57" s="67">
        <v>90.0</v>
      </c>
      <c r="V57" s="67">
        <v>1.1023</v>
      </c>
      <c r="Y57" s="2"/>
      <c r="Z57" s="69">
        <f t="shared" si="25"/>
        <v>30</v>
      </c>
      <c r="AA57" s="70">
        <f t="shared" si="4"/>
        <v>30</v>
      </c>
      <c r="AB57" s="71">
        <f t="shared" si="5"/>
        <v>176.2317888</v>
      </c>
      <c r="AC57" s="71">
        <f>+(S57-T57)*V57-'data 1'!$F$4</f>
        <v>41.253</v>
      </c>
      <c r="AD57" s="71">
        <f t="shared" si="6"/>
        <v>17.75019753</v>
      </c>
      <c r="AE57" s="71">
        <f t="shared" si="7"/>
        <v>-36.931</v>
      </c>
      <c r="AF57" s="71">
        <f t="shared" si="8"/>
        <v>-15.75079301</v>
      </c>
      <c r="AG57" s="72">
        <f t="shared" ref="AG57:AG62" si="29">+IF(D57="RONALD WILLIAN GARIBAY ESCUDERO",AC57+AD57+AE57+AF57+70,AC57+AD57+AE57+AF57)+70-53</f>
        <v>23.32140452</v>
      </c>
      <c r="AH57" s="52">
        <f t="shared" si="10"/>
        <v>115.7209469</v>
      </c>
      <c r="AI57" s="73">
        <f t="shared" si="28"/>
        <v>-0.08797943517</v>
      </c>
      <c r="AJ57" s="73">
        <f t="shared" si="12"/>
        <v>114.7358727</v>
      </c>
      <c r="AK57" s="53"/>
      <c r="AL57" s="51">
        <f t="shared" si="13"/>
        <v>5216.795789</v>
      </c>
      <c r="AM57" s="3"/>
      <c r="AN57" s="3"/>
      <c r="AO57" s="58">
        <f t="shared" si="14"/>
        <v>128.8939038</v>
      </c>
      <c r="AQ57" s="58"/>
    </row>
    <row r="58" ht="15.75" customHeight="1">
      <c r="A58" s="117" t="s">
        <v>4535</v>
      </c>
      <c r="B58" s="841">
        <v>45603.0</v>
      </c>
      <c r="C58" s="854">
        <v>45600.0</v>
      </c>
      <c r="D58" s="2" t="s">
        <v>51</v>
      </c>
      <c r="E58" s="2">
        <v>1.042310973E10</v>
      </c>
      <c r="G58" s="3" t="s">
        <v>4100</v>
      </c>
      <c r="H58" s="58" t="s">
        <v>47</v>
      </c>
      <c r="I58" s="58">
        <v>21.87</v>
      </c>
      <c r="J58" s="58">
        <v>1.1</v>
      </c>
      <c r="K58" s="59">
        <f t="shared" si="1"/>
        <v>21.62943</v>
      </c>
      <c r="L58" s="60">
        <v>0.1935</v>
      </c>
      <c r="M58" s="60">
        <v>0.18576</v>
      </c>
      <c r="N58" s="62">
        <v>0.18576</v>
      </c>
      <c r="O58" s="60">
        <f t="shared" si="17"/>
        <v>0.186</v>
      </c>
      <c r="P58" s="63">
        <v>90.0</v>
      </c>
      <c r="Q58" s="64">
        <v>89.58</v>
      </c>
      <c r="R58" s="65">
        <v>2742.6</v>
      </c>
      <c r="S58" s="66">
        <f t="shared" ref="S58:S60" si="30">IF((90+ROUNDDOWN(O58,1)*100)&lt;95,95,(90+ROUNDDOWN(O58,1)*100))</f>
        <v>100</v>
      </c>
      <c r="U58" s="67">
        <v>100.0</v>
      </c>
      <c r="V58" s="67">
        <v>1.1023</v>
      </c>
      <c r="Y58" s="68"/>
      <c r="Z58" s="69">
        <f t="shared" si="25"/>
        <v>30</v>
      </c>
      <c r="AA58" s="70">
        <f t="shared" si="4"/>
        <v>30</v>
      </c>
      <c r="AB58" s="71">
        <f t="shared" si="5"/>
        <v>344.3268179</v>
      </c>
      <c r="AC58" s="71">
        <f>+(S58-T58)*V58-'data 1'!$F$4</f>
        <v>30.23</v>
      </c>
      <c r="AD58" s="71">
        <f t="shared" si="6"/>
        <v>-2.367344696</v>
      </c>
      <c r="AE58" s="71">
        <f t="shared" si="7"/>
        <v>-36.931</v>
      </c>
      <c r="AF58" s="71">
        <f t="shared" si="8"/>
        <v>19.57057382</v>
      </c>
      <c r="AG58" s="72">
        <f t="shared" si="29"/>
        <v>97.50222912</v>
      </c>
      <c r="AH58" s="52">
        <f t="shared" si="10"/>
        <v>128.5423311</v>
      </c>
      <c r="AI58" s="73">
        <f t="shared" si="28"/>
        <v>1.776948264</v>
      </c>
      <c r="AJ58" s="73">
        <f t="shared" si="12"/>
        <v>124.1393873</v>
      </c>
      <c r="AK58" s="53"/>
      <c r="AL58" s="51">
        <f t="shared" si="13"/>
        <v>7447.592804</v>
      </c>
      <c r="AM58" s="3"/>
      <c r="AN58" s="3"/>
      <c r="AO58" s="58">
        <f t="shared" si="14"/>
        <v>143.4944531</v>
      </c>
      <c r="AQ58" s="58"/>
    </row>
    <row r="59" ht="15.75" customHeight="1">
      <c r="A59" s="117" t="s">
        <v>4536</v>
      </c>
      <c r="B59" s="841">
        <v>45605.0</v>
      </c>
      <c r="C59" s="854">
        <v>45600.0</v>
      </c>
      <c r="D59" s="2" t="s">
        <v>4420</v>
      </c>
      <c r="E59" s="2">
        <v>2.060609401E10</v>
      </c>
      <c r="F59" s="2" t="s">
        <v>4417</v>
      </c>
      <c r="G59" s="3">
        <v>42.0</v>
      </c>
      <c r="H59" s="58" t="s">
        <v>47</v>
      </c>
      <c r="I59" s="58">
        <v>3.53</v>
      </c>
      <c r="J59" s="58">
        <v>1.1</v>
      </c>
      <c r="K59" s="59">
        <f t="shared" si="1"/>
        <v>3.49117</v>
      </c>
      <c r="L59" s="60">
        <v>0.32799999999999996</v>
      </c>
      <c r="M59" s="60">
        <v>0.31487999999999994</v>
      </c>
      <c r="N59" s="75">
        <v>0.415</v>
      </c>
      <c r="O59" s="60">
        <f t="shared" si="17"/>
        <v>0.365</v>
      </c>
      <c r="P59" s="63">
        <v>90.0</v>
      </c>
      <c r="Q59" s="64">
        <v>89.39</v>
      </c>
      <c r="R59" s="65">
        <v>2742.6</v>
      </c>
      <c r="S59" s="66">
        <f t="shared" si="30"/>
        <v>120</v>
      </c>
      <c r="U59" s="67">
        <v>130.0</v>
      </c>
      <c r="V59" s="67">
        <v>1.1023</v>
      </c>
      <c r="Y59" s="68">
        <v>30.0</v>
      </c>
      <c r="Z59" s="69">
        <f t="shared" si="25"/>
        <v>30</v>
      </c>
      <c r="AA59" s="70">
        <f t="shared" si="4"/>
        <v>60</v>
      </c>
      <c r="AB59" s="71">
        <f t="shared" si="5"/>
        <v>747.6229599</v>
      </c>
      <c r="AC59" s="71">
        <f>+(S59-T59)*V59-'data 1'!$F$4</f>
        <v>52.276</v>
      </c>
      <c r="AD59" s="71">
        <f t="shared" si="6"/>
        <v>-5.762041855</v>
      </c>
      <c r="AE59" s="71">
        <f t="shared" si="7"/>
        <v>-3.862</v>
      </c>
      <c r="AF59" s="71">
        <f t="shared" si="8"/>
        <v>-95.24965061</v>
      </c>
      <c r="AG59" s="72">
        <f t="shared" si="29"/>
        <v>-35.59769246</v>
      </c>
      <c r="AH59" s="52">
        <f t="shared" si="10"/>
        <v>35.0948061</v>
      </c>
      <c r="AI59" s="73">
        <f t="shared" si="28"/>
        <v>12.70150369</v>
      </c>
      <c r="AJ59" s="73">
        <f t="shared" si="12"/>
        <v>39.32017483</v>
      </c>
      <c r="AK59" s="53"/>
      <c r="AL59" s="51">
        <f t="shared" si="13"/>
        <v>2610.078849</v>
      </c>
      <c r="AM59" s="3"/>
      <c r="AN59" s="3"/>
      <c r="AO59" s="58">
        <f t="shared" si="14"/>
        <v>39.26032677</v>
      </c>
      <c r="AQ59" s="58"/>
    </row>
    <row r="60" ht="15.75" customHeight="1">
      <c r="A60" s="117" t="s">
        <v>4537</v>
      </c>
      <c r="B60" s="841">
        <v>45605.0</v>
      </c>
      <c r="C60" s="854">
        <v>45600.0</v>
      </c>
      <c r="D60" s="2" t="s">
        <v>4420</v>
      </c>
      <c r="E60" s="2">
        <v>2.060609401E10</v>
      </c>
      <c r="F60" s="2" t="s">
        <v>4417</v>
      </c>
      <c r="G60" s="3">
        <v>58.0</v>
      </c>
      <c r="H60" s="58" t="s">
        <v>47</v>
      </c>
      <c r="I60" s="58">
        <v>4.8</v>
      </c>
      <c r="J60" s="58">
        <v>1.2</v>
      </c>
      <c r="K60" s="59">
        <f t="shared" si="1"/>
        <v>4.7424</v>
      </c>
      <c r="L60" s="60">
        <v>0.34199999999999997</v>
      </c>
      <c r="M60" s="60">
        <v>0.32831999999999995</v>
      </c>
      <c r="N60" s="75">
        <v>0.391</v>
      </c>
      <c r="O60" s="60">
        <f t="shared" si="17"/>
        <v>0.36</v>
      </c>
      <c r="P60" s="63">
        <v>90.0</v>
      </c>
      <c r="Q60" s="64">
        <v>89.44</v>
      </c>
      <c r="R60" s="65">
        <v>2742.6</v>
      </c>
      <c r="S60" s="66">
        <f t="shared" si="30"/>
        <v>120</v>
      </c>
      <c r="U60" s="67">
        <v>130.0</v>
      </c>
      <c r="V60" s="67">
        <v>1.1023</v>
      </c>
      <c r="Y60" s="68">
        <v>30.0</v>
      </c>
      <c r="Z60" s="69">
        <f t="shared" si="25"/>
        <v>30</v>
      </c>
      <c r="AA60" s="70">
        <f t="shared" si="4"/>
        <v>60</v>
      </c>
      <c r="AB60" s="71">
        <f t="shared" si="5"/>
        <v>734.6635495</v>
      </c>
      <c r="AC60" s="71">
        <f>+(S60-T60)*V60-'data 1'!$F$4</f>
        <v>52.276</v>
      </c>
      <c r="AD60" s="71">
        <f t="shared" si="6"/>
        <v>-5.51552507</v>
      </c>
      <c r="AE60" s="71">
        <f t="shared" si="7"/>
        <v>-3.862</v>
      </c>
      <c r="AF60" s="71">
        <f t="shared" si="8"/>
        <v>-46.36358668</v>
      </c>
      <c r="AG60" s="72">
        <f t="shared" si="29"/>
        <v>13.53488825</v>
      </c>
      <c r="AH60" s="52">
        <f t="shared" si="10"/>
        <v>49.73534649</v>
      </c>
      <c r="AI60" s="73">
        <f t="shared" si="28"/>
        <v>13.25104883</v>
      </c>
      <c r="AJ60" s="73">
        <f t="shared" si="12"/>
        <v>52.68078787</v>
      </c>
      <c r="AK60" s="53"/>
      <c r="AL60" s="51">
        <f t="shared" si="13"/>
        <v>3484.068417</v>
      </c>
      <c r="AM60" s="3"/>
      <c r="AN60" s="3"/>
      <c r="AO60" s="58">
        <f t="shared" si="14"/>
        <v>55.60749831</v>
      </c>
      <c r="AQ60" s="58"/>
    </row>
    <row r="61" ht="15.75" customHeight="1">
      <c r="A61" s="117" t="s">
        <v>4538</v>
      </c>
      <c r="B61" s="841">
        <v>45607.0</v>
      </c>
      <c r="C61" s="854">
        <v>45601.0</v>
      </c>
      <c r="D61" s="57" t="s">
        <v>45</v>
      </c>
      <c r="E61" s="67">
        <v>1.0416085884E10</v>
      </c>
      <c r="G61" s="3" t="s">
        <v>4100</v>
      </c>
      <c r="H61" s="58" t="s">
        <v>47</v>
      </c>
      <c r="I61" s="58">
        <v>22.3</v>
      </c>
      <c r="J61" s="58">
        <v>6.8</v>
      </c>
      <c r="K61" s="59">
        <f t="shared" si="1"/>
        <v>20.7836</v>
      </c>
      <c r="L61" s="60">
        <v>0.10200000000000001</v>
      </c>
      <c r="M61" s="60">
        <v>0.102</v>
      </c>
      <c r="N61" s="62">
        <v>0.106</v>
      </c>
      <c r="O61" s="60">
        <f t="shared" si="17"/>
        <v>0.104</v>
      </c>
      <c r="P61" s="63">
        <v>85.0</v>
      </c>
      <c r="Q61" s="64">
        <v>89.75</v>
      </c>
      <c r="R61" s="65">
        <v>2742.55</v>
      </c>
      <c r="S61" s="76">
        <v>110.0</v>
      </c>
      <c r="U61" s="67">
        <v>90.0</v>
      </c>
      <c r="V61" s="67">
        <v>1.1023</v>
      </c>
      <c r="Y61" s="68"/>
      <c r="Z61" s="69">
        <f t="shared" si="25"/>
        <v>30</v>
      </c>
      <c r="AA61" s="70">
        <f t="shared" si="4"/>
        <v>30</v>
      </c>
      <c r="AB61" s="71">
        <f t="shared" si="5"/>
        <v>104.1512785</v>
      </c>
      <c r="AC61" s="71">
        <f>+(S61-T61)*V61-'data 1'!$F$4</f>
        <v>41.253</v>
      </c>
      <c r="AD61" s="71">
        <f t="shared" si="6"/>
        <v>14.16632392</v>
      </c>
      <c r="AE61" s="71">
        <f t="shared" si="7"/>
        <v>-36.931</v>
      </c>
      <c r="AF61" s="71">
        <f t="shared" si="8"/>
        <v>-5.248411028</v>
      </c>
      <c r="AG61" s="72">
        <f t="shared" si="29"/>
        <v>30.23991289</v>
      </c>
      <c r="AH61" s="52">
        <f t="shared" si="10"/>
        <v>65.2325677</v>
      </c>
      <c r="AI61" s="73">
        <f t="shared" si="28"/>
        <v>-0.06559153478</v>
      </c>
      <c r="AJ61" s="73">
        <f t="shared" si="12"/>
        <v>62.99152313</v>
      </c>
      <c r="AK61" s="53"/>
      <c r="AL61" s="51">
        <f t="shared" si="13"/>
        <v>2164.638511</v>
      </c>
      <c r="AM61" s="3"/>
      <c r="AN61" s="3"/>
      <c r="AO61" s="58">
        <f t="shared" si="14"/>
        <v>72.68252669</v>
      </c>
      <c r="AQ61" s="58"/>
    </row>
    <row r="62" ht="15.75" customHeight="1">
      <c r="A62" s="117" t="s">
        <v>4539</v>
      </c>
      <c r="B62" s="841">
        <v>45604.0</v>
      </c>
      <c r="C62" s="854">
        <v>45601.0</v>
      </c>
      <c r="D62" s="57" t="s">
        <v>38</v>
      </c>
      <c r="E62" s="2">
        <v>2.0606534923E10</v>
      </c>
      <c r="F62" s="57" t="s">
        <v>4423</v>
      </c>
      <c r="G62" s="3">
        <v>55.0</v>
      </c>
      <c r="H62" s="58" t="s">
        <v>71</v>
      </c>
      <c r="I62" s="58">
        <v>4.34</v>
      </c>
      <c r="J62" s="58">
        <v>2.0</v>
      </c>
      <c r="K62" s="59">
        <f t="shared" si="1"/>
        <v>4.2532</v>
      </c>
      <c r="L62" s="60">
        <v>1.6495</v>
      </c>
      <c r="M62" s="60">
        <v>1.5835199999999998</v>
      </c>
      <c r="N62" s="75">
        <v>1.641</v>
      </c>
      <c r="O62" s="60">
        <f t="shared" si="17"/>
        <v>1.612</v>
      </c>
      <c r="P62" s="63">
        <v>90.0</v>
      </c>
      <c r="Q62" s="64">
        <v>89.41</v>
      </c>
      <c r="R62" s="65">
        <v>2732.55</v>
      </c>
      <c r="S62" s="66">
        <v>240.0</v>
      </c>
      <c r="U62" s="67">
        <v>130.0</v>
      </c>
      <c r="V62" s="67">
        <v>1.1023</v>
      </c>
      <c r="Y62" s="68">
        <v>30.0</v>
      </c>
      <c r="Z62" s="69">
        <f t="shared" si="25"/>
        <v>30</v>
      </c>
      <c r="AA62" s="70">
        <f t="shared" si="4"/>
        <v>60</v>
      </c>
      <c r="AB62" s="71">
        <f t="shared" si="5"/>
        <v>3831.351787</v>
      </c>
      <c r="AC62" s="71">
        <f>+(S62-T62)*V62-'data 1'!$F$4</f>
        <v>184.552</v>
      </c>
      <c r="AD62" s="71">
        <f t="shared" si="6"/>
        <v>-27.91921614</v>
      </c>
      <c r="AE62" s="71">
        <f t="shared" si="7"/>
        <v>-3.862</v>
      </c>
      <c r="AF62" s="71">
        <f t="shared" si="8"/>
        <v>96.18697171</v>
      </c>
      <c r="AG62" s="72">
        <f t="shared" si="29"/>
        <v>265.9577556</v>
      </c>
      <c r="AH62" s="52">
        <f t="shared" si="10"/>
        <v>215.0618064</v>
      </c>
      <c r="AI62" s="73">
        <f t="shared" si="28"/>
        <v>80.22789163</v>
      </c>
      <c r="AJ62" s="73">
        <f t="shared" si="12"/>
        <v>211.5594461</v>
      </c>
      <c r="AK62" s="53"/>
      <c r="AL62" s="51">
        <f t="shared" si="13"/>
        <v>16295.50542</v>
      </c>
      <c r="AM62" s="3"/>
      <c r="AN62" s="3"/>
      <c r="AO62" s="58">
        <f t="shared" si="14"/>
        <v>240.5343992</v>
      </c>
      <c r="AQ62" s="58"/>
    </row>
    <row r="63" ht="15.75" customHeight="1">
      <c r="A63" s="117" t="s">
        <v>4540</v>
      </c>
      <c r="B63" s="841">
        <v>45604.0</v>
      </c>
      <c r="C63" s="854">
        <v>45601.0</v>
      </c>
      <c r="D63" s="57" t="s">
        <v>38</v>
      </c>
      <c r="E63" s="2">
        <v>2.0606534923E10</v>
      </c>
      <c r="F63" s="57" t="s">
        <v>4423</v>
      </c>
      <c r="G63" s="3">
        <v>34.0</v>
      </c>
      <c r="H63" s="58" t="s">
        <v>71</v>
      </c>
      <c r="I63" s="58">
        <v>2.58</v>
      </c>
      <c r="J63" s="58">
        <v>1.5</v>
      </c>
      <c r="K63" s="59">
        <f t="shared" si="1"/>
        <v>2.5413</v>
      </c>
      <c r="L63" s="60">
        <v>2.75</v>
      </c>
      <c r="M63" s="60">
        <v>2.6399999999999997</v>
      </c>
      <c r="N63" s="75">
        <v>2.782</v>
      </c>
      <c r="O63" s="60">
        <f t="shared" si="17"/>
        <v>2.711</v>
      </c>
      <c r="P63" s="63">
        <v>90.0</v>
      </c>
      <c r="Q63" s="64">
        <v>89.27</v>
      </c>
      <c r="R63" s="65">
        <v>2732.55</v>
      </c>
      <c r="S63" s="66">
        <v>350.0</v>
      </c>
      <c r="U63" s="67">
        <v>130.0</v>
      </c>
      <c r="V63" s="67">
        <v>1.1023</v>
      </c>
      <c r="Y63" s="68">
        <v>30.0</v>
      </c>
      <c r="Z63" s="69">
        <f t="shared" si="25"/>
        <v>30</v>
      </c>
      <c r="AA63" s="70">
        <f t="shared" si="4"/>
        <v>60</v>
      </c>
      <c r="AB63" s="71">
        <f t="shared" si="5"/>
        <v>6547.619832</v>
      </c>
      <c r="AC63" s="71">
        <f>+(S63-T63)*V63-'data 1'!$F$4</f>
        <v>305.805</v>
      </c>
      <c r="AD63" s="71">
        <f t="shared" si="6"/>
        <v>-57.59097661</v>
      </c>
      <c r="AE63" s="71">
        <f t="shared" si="7"/>
        <v>-3.862</v>
      </c>
      <c r="AF63" s="71">
        <f t="shared" si="8"/>
        <v>99.8778146</v>
      </c>
      <c r="AG63" s="72">
        <f>+IF(D63="RONALD WILLIAN GARIBAY ESCUDERO",AC63+AD63+AE63+AF63+80,AC63+AD63+AE63+AF63)+70-53</f>
        <v>361.229838</v>
      </c>
      <c r="AH63" s="52">
        <f t="shared" si="10"/>
        <v>213.8962814</v>
      </c>
      <c r="AI63" s="73">
        <f t="shared" si="28"/>
        <v>133.5442499</v>
      </c>
      <c r="AJ63" s="73">
        <f t="shared" si="12"/>
        <v>212.5871613</v>
      </c>
      <c r="AK63" s="53"/>
      <c r="AL63" s="51">
        <f t="shared" si="13"/>
        <v>16639.46628</v>
      </c>
      <c r="AM63" s="3"/>
      <c r="AN63" s="3"/>
      <c r="AO63" s="58">
        <f t="shared" si="14"/>
        <v>239.6060058</v>
      </c>
      <c r="AQ63" s="58"/>
    </row>
    <row r="64" ht="15.75" customHeight="1">
      <c r="A64" s="117" t="s">
        <v>4541</v>
      </c>
      <c r="B64" s="841">
        <v>45604.0</v>
      </c>
      <c r="C64" s="854">
        <v>45601.0</v>
      </c>
      <c r="D64" s="57" t="s">
        <v>602</v>
      </c>
      <c r="E64" s="57">
        <v>2.0169040237E10</v>
      </c>
      <c r="F64" s="57" t="s">
        <v>4542</v>
      </c>
      <c r="G64" s="3">
        <v>25.0</v>
      </c>
      <c r="H64" s="58" t="s">
        <v>47</v>
      </c>
      <c r="I64" s="58">
        <v>2.14</v>
      </c>
      <c r="J64" s="58">
        <v>1.0</v>
      </c>
      <c r="K64" s="59">
        <f t="shared" si="1"/>
        <v>2.1186</v>
      </c>
      <c r="L64" s="60">
        <v>0.4985</v>
      </c>
      <c r="M64" s="60">
        <v>0.483545</v>
      </c>
      <c r="N64" s="75">
        <v>0.551</v>
      </c>
      <c r="O64" s="60">
        <f t="shared" si="17"/>
        <v>0.517</v>
      </c>
      <c r="P64" s="63">
        <v>90.0</v>
      </c>
      <c r="Q64" s="64">
        <v>89.45</v>
      </c>
      <c r="R64" s="433">
        <v>2732.55</v>
      </c>
      <c r="S64" s="66">
        <f t="shared" ref="S64:S69" si="31">IF((90+ROUNDDOWN(O64,1)*100)&lt;95,95,(90+ROUNDDOWN(O64,1)*100))</f>
        <v>140</v>
      </c>
      <c r="U64" s="67">
        <v>130.0</v>
      </c>
      <c r="V64" s="67">
        <v>1.1023</v>
      </c>
      <c r="Y64" s="68">
        <v>30.0</v>
      </c>
      <c r="Z64" s="69">
        <f t="shared" si="25"/>
        <v>30</v>
      </c>
      <c r="AA64" s="70">
        <f t="shared" si="4"/>
        <v>60</v>
      </c>
      <c r="AB64" s="71">
        <f t="shared" si="5"/>
        <v>1114.388389</v>
      </c>
      <c r="AC64" s="71">
        <f>+(S64-T64)*V64-'data 1'!$F$4</f>
        <v>74.322</v>
      </c>
      <c r="AD64" s="71">
        <f t="shared" si="6"/>
        <v>-7.865507354</v>
      </c>
      <c r="AE64" s="71">
        <f t="shared" si="7"/>
        <v>-3.862</v>
      </c>
      <c r="AF64" s="71">
        <f t="shared" si="8"/>
        <v>-47.47346843</v>
      </c>
      <c r="AG64" s="72">
        <f t="shared" ref="AG64:AG74" si="32">+IF(D64="RONALD WILLIAN GARIBAY ESCUDERO",AC64+AD64+AE64+AF64+80,AC64+AD64+AE64+AF64)</f>
        <v>15.12102421</v>
      </c>
      <c r="AH64" s="52">
        <f t="shared" si="10"/>
        <v>32.38944787</v>
      </c>
      <c r="AI64" s="73">
        <f t="shared" si="28"/>
        <v>24.25674217</v>
      </c>
      <c r="AJ64" s="73">
        <f t="shared" si="12"/>
        <v>33.79800686</v>
      </c>
      <c r="AK64" s="53"/>
      <c r="AL64" s="51">
        <f t="shared" si="13"/>
        <v>2360.943242</v>
      </c>
      <c r="AM64" s="3"/>
      <c r="AN64" s="3"/>
      <c r="AO64" s="58">
        <f t="shared" si="14"/>
        <v>36.20955603</v>
      </c>
      <c r="AQ64" s="58"/>
    </row>
    <row r="65" ht="15.75" customHeight="1">
      <c r="A65" s="117" t="s">
        <v>4543</v>
      </c>
      <c r="B65" s="841">
        <v>45604.0</v>
      </c>
      <c r="C65" s="854">
        <v>45601.0</v>
      </c>
      <c r="D65" s="57" t="s">
        <v>602</v>
      </c>
      <c r="E65" s="2">
        <v>2.0169040237E10</v>
      </c>
      <c r="F65" s="57" t="s">
        <v>4544</v>
      </c>
      <c r="G65" s="3">
        <v>15.0</v>
      </c>
      <c r="H65" s="58" t="s">
        <v>47</v>
      </c>
      <c r="I65" s="58">
        <v>1.25</v>
      </c>
      <c r="J65" s="58">
        <v>1.1</v>
      </c>
      <c r="K65" s="59">
        <f t="shared" si="1"/>
        <v>1.23625</v>
      </c>
      <c r="L65" s="60">
        <v>0.5075000000000001</v>
      </c>
      <c r="M65" s="60">
        <v>0.4922750000000001</v>
      </c>
      <c r="N65" s="62">
        <v>0.4922750000000001</v>
      </c>
      <c r="O65" s="60">
        <f t="shared" si="17"/>
        <v>0.492</v>
      </c>
      <c r="P65" s="63">
        <v>90.0</v>
      </c>
      <c r="Q65" s="64">
        <v>89.71</v>
      </c>
      <c r="R65" s="433">
        <v>2732.55</v>
      </c>
      <c r="S65" s="66">
        <f t="shared" si="31"/>
        <v>130</v>
      </c>
      <c r="U65" s="67">
        <v>130.0</v>
      </c>
      <c r="V65" s="67">
        <v>1.1023</v>
      </c>
      <c r="Y65" s="68">
        <v>30.0</v>
      </c>
      <c r="Z65" s="69">
        <f t="shared" si="25"/>
        <v>30</v>
      </c>
      <c r="AA65" s="70">
        <f t="shared" si="4"/>
        <v>60</v>
      </c>
      <c r="AB65" s="71">
        <f t="shared" si="5"/>
        <v>1060.863595</v>
      </c>
      <c r="AC65" s="71">
        <f>+(S65-T65)*V65-'data 1'!$F$4</f>
        <v>63.299</v>
      </c>
      <c r="AD65" s="71">
        <f t="shared" si="6"/>
        <v>-4.222142956</v>
      </c>
      <c r="AE65" s="71">
        <f t="shared" si="7"/>
        <v>-3.862</v>
      </c>
      <c r="AF65" s="71">
        <f t="shared" si="8"/>
        <v>39.89068042</v>
      </c>
      <c r="AG65" s="72">
        <f t="shared" si="32"/>
        <v>95.10553746</v>
      </c>
      <c r="AH65" s="52">
        <f t="shared" si="10"/>
        <v>19.29711021</v>
      </c>
      <c r="AI65" s="73">
        <f t="shared" si="28"/>
        <v>24.76645616</v>
      </c>
      <c r="AJ65" s="73">
        <f t="shared" si="12"/>
        <v>18.7682157</v>
      </c>
      <c r="AK65" s="53"/>
      <c r="AL65" s="51">
        <f t="shared" si="13"/>
        <v>1311.492619</v>
      </c>
      <c r="AM65" s="3"/>
      <c r="AN65" s="3"/>
      <c r="AO65" s="58">
        <f t="shared" si="14"/>
        <v>21.51054532</v>
      </c>
      <c r="AQ65" s="58"/>
    </row>
    <row r="66" ht="15.75" customHeight="1">
      <c r="A66" s="117" t="s">
        <v>4545</v>
      </c>
      <c r="B66" s="841">
        <v>45605.0</v>
      </c>
      <c r="C66" s="860">
        <v>45601.0</v>
      </c>
      <c r="D66" s="67" t="s">
        <v>602</v>
      </c>
      <c r="E66" s="67">
        <v>2.0169040237E10</v>
      </c>
      <c r="F66" s="68" t="s">
        <v>4546</v>
      </c>
      <c r="G66" s="134">
        <v>23.0</v>
      </c>
      <c r="H66" s="69" t="s">
        <v>47</v>
      </c>
      <c r="I66" s="69">
        <v>1.9</v>
      </c>
      <c r="J66" s="69">
        <v>1.1</v>
      </c>
      <c r="K66" s="59">
        <f t="shared" si="1"/>
        <v>1.8791</v>
      </c>
      <c r="L66" s="106">
        <v>0.4615</v>
      </c>
      <c r="M66" s="106">
        <v>0.44304</v>
      </c>
      <c r="N66" s="135">
        <v>0.44304</v>
      </c>
      <c r="O66" s="106">
        <f t="shared" si="17"/>
        <v>0.443</v>
      </c>
      <c r="P66" s="136">
        <v>90.0</v>
      </c>
      <c r="Q66" s="444">
        <v>89.68</v>
      </c>
      <c r="R66" s="70">
        <v>2732.55</v>
      </c>
      <c r="S66" s="76">
        <f t="shared" si="31"/>
        <v>130</v>
      </c>
      <c r="T66" s="67"/>
      <c r="U66" s="67">
        <v>130.0</v>
      </c>
      <c r="V66" s="67">
        <v>1.1023</v>
      </c>
      <c r="W66" s="67"/>
      <c r="X66" s="67"/>
      <c r="Y66" s="67">
        <v>10.0</v>
      </c>
      <c r="Z66" s="69">
        <f t="shared" si="25"/>
        <v>30</v>
      </c>
      <c r="AA66" s="70">
        <f t="shared" si="4"/>
        <v>40</v>
      </c>
      <c r="AB66" s="71">
        <f t="shared" si="5"/>
        <v>956.3959179</v>
      </c>
      <c r="AC66" s="71">
        <f>+(S66-T66)*V66-'data 1'!$F$4</f>
        <v>63.299</v>
      </c>
      <c r="AD66" s="71">
        <f t="shared" si="6"/>
        <v>-4.236630349</v>
      </c>
      <c r="AE66" s="71">
        <f t="shared" si="7"/>
        <v>-25.908</v>
      </c>
      <c r="AF66" s="71">
        <f t="shared" si="8"/>
        <v>47.59553548</v>
      </c>
      <c r="AG66" s="72">
        <f t="shared" si="32"/>
        <v>80.74990513</v>
      </c>
      <c r="AH66" s="52">
        <f t="shared" si="10"/>
        <v>26.66405932</v>
      </c>
      <c r="AI66" s="73">
        <f t="shared" si="28"/>
        <v>22.51408334</v>
      </c>
      <c r="AJ66" s="73">
        <f t="shared" si="12"/>
        <v>25.6865157</v>
      </c>
      <c r="AK66" s="53"/>
      <c r="AL66" s="51">
        <f t="shared" si="13"/>
        <v>1797.163569</v>
      </c>
      <c r="AM66" s="3"/>
      <c r="AN66" s="3"/>
      <c r="AO66" s="58">
        <f t="shared" si="14"/>
        <v>29.73244794</v>
      </c>
      <c r="AQ66" s="58"/>
    </row>
    <row r="67" ht="15.75" customHeight="1">
      <c r="A67" s="117" t="s">
        <v>4547</v>
      </c>
      <c r="B67" s="841">
        <v>45604.0</v>
      </c>
      <c r="C67" s="854">
        <v>45601.0</v>
      </c>
      <c r="D67" s="57" t="s">
        <v>63</v>
      </c>
      <c r="E67" s="2">
        <v>1.0437450094E10</v>
      </c>
      <c r="F67" s="57" t="s">
        <v>4548</v>
      </c>
      <c r="G67" s="3">
        <v>74.0</v>
      </c>
      <c r="H67" s="58" t="s">
        <v>47</v>
      </c>
      <c r="I67" s="58">
        <v>6.18</v>
      </c>
      <c r="J67" s="58">
        <v>1.0</v>
      </c>
      <c r="K67" s="59">
        <f t="shared" si="1"/>
        <v>6.1182</v>
      </c>
      <c r="L67" s="60">
        <v>0.40700000000000003</v>
      </c>
      <c r="M67" s="60">
        <v>0.39072</v>
      </c>
      <c r="N67" s="75">
        <v>0.433</v>
      </c>
      <c r="O67" s="60">
        <f t="shared" si="17"/>
        <v>0.412</v>
      </c>
      <c r="P67" s="63">
        <v>90.0</v>
      </c>
      <c r="Q67" s="64">
        <v>89.45</v>
      </c>
      <c r="R67" s="65">
        <v>2742.55</v>
      </c>
      <c r="S67" s="66">
        <f t="shared" si="31"/>
        <v>130</v>
      </c>
      <c r="U67" s="67">
        <v>130.0</v>
      </c>
      <c r="V67" s="67">
        <v>1.1023</v>
      </c>
      <c r="Y67" s="68">
        <v>20.0</v>
      </c>
      <c r="Z67" s="69">
        <f t="shared" si="25"/>
        <v>30</v>
      </c>
      <c r="AA67" s="70">
        <f t="shared" si="4"/>
        <v>50</v>
      </c>
      <c r="AB67" s="71">
        <f t="shared" si="5"/>
        <v>869.4209811</v>
      </c>
      <c r="AC67" s="71">
        <f>+(S67-T67)*V67-'data 1'!$F$4</f>
        <v>63.299</v>
      </c>
      <c r="AD67" s="71">
        <f t="shared" si="6"/>
        <v>-6.446463337</v>
      </c>
      <c r="AE67" s="71">
        <f t="shared" si="7"/>
        <v>-14.885</v>
      </c>
      <c r="AF67" s="71">
        <f t="shared" si="8"/>
        <v>-12.87996751</v>
      </c>
      <c r="AG67" s="72">
        <f t="shared" si="32"/>
        <v>29.08756915</v>
      </c>
      <c r="AH67" s="52">
        <f t="shared" si="10"/>
        <v>76.36731</v>
      </c>
      <c r="AI67" s="73">
        <f t="shared" si="28"/>
        <v>15.79135141</v>
      </c>
      <c r="AJ67" s="73">
        <f t="shared" si="12"/>
        <v>77.78081052</v>
      </c>
      <c r="AK67" s="53"/>
      <c r="AL67" s="51">
        <f t="shared" si="13"/>
        <v>5319.291447</v>
      </c>
      <c r="AM67" s="3"/>
      <c r="AN67" s="3"/>
      <c r="AO67" s="58">
        <f t="shared" si="14"/>
        <v>85.3742985</v>
      </c>
      <c r="AQ67" s="58"/>
    </row>
    <row r="68" ht="15.75" customHeight="1">
      <c r="A68" s="117" t="s">
        <v>4549</v>
      </c>
      <c r="B68" s="841">
        <v>45605.0</v>
      </c>
      <c r="C68" s="860">
        <v>45601.0</v>
      </c>
      <c r="D68" s="67" t="s">
        <v>602</v>
      </c>
      <c r="E68" s="67">
        <v>2.0169040237E10</v>
      </c>
      <c r="F68" s="68" t="s">
        <v>4546</v>
      </c>
      <c r="G68" s="134">
        <v>58.0</v>
      </c>
      <c r="H68" s="69" t="s">
        <v>71</v>
      </c>
      <c r="I68" s="69">
        <v>3.55</v>
      </c>
      <c r="J68" s="69">
        <v>1.65</v>
      </c>
      <c r="K68" s="59">
        <f t="shared" si="1"/>
        <v>3.491425</v>
      </c>
      <c r="L68" s="106">
        <v>1.5385</v>
      </c>
      <c r="M68" s="106">
        <v>1.4769599999999998</v>
      </c>
      <c r="N68" s="111">
        <v>1.625</v>
      </c>
      <c r="O68" s="106">
        <f t="shared" si="17"/>
        <v>1.551</v>
      </c>
      <c r="P68" s="136">
        <v>90.0</v>
      </c>
      <c r="Q68" s="444">
        <v>89.46</v>
      </c>
      <c r="R68" s="70">
        <v>2732.55</v>
      </c>
      <c r="S68" s="76">
        <f t="shared" si="31"/>
        <v>240</v>
      </c>
      <c r="T68" s="67"/>
      <c r="U68" s="67">
        <v>130.0</v>
      </c>
      <c r="V68" s="67">
        <v>1.1023</v>
      </c>
      <c r="W68" s="67"/>
      <c r="X68" s="67"/>
      <c r="Y68" s="67">
        <v>30.0</v>
      </c>
      <c r="Z68" s="69">
        <f t="shared" si="25"/>
        <v>30</v>
      </c>
      <c r="AA68" s="70">
        <f t="shared" si="4"/>
        <v>60</v>
      </c>
      <c r="AB68" s="71">
        <f t="shared" si="5"/>
        <v>3673.855168</v>
      </c>
      <c r="AC68" s="71">
        <f>+(S68-T68)*V68-'data 1'!$F$4</f>
        <v>184.552</v>
      </c>
      <c r="AD68" s="71">
        <f t="shared" si="6"/>
        <v>-23.83362763</v>
      </c>
      <c r="AE68" s="71">
        <f t="shared" si="7"/>
        <v>-3.862</v>
      </c>
      <c r="AF68" s="71">
        <f t="shared" si="8"/>
        <v>-32.08025385</v>
      </c>
      <c r="AG68" s="72">
        <f t="shared" si="32"/>
        <v>124.7761185</v>
      </c>
      <c r="AH68" s="52">
        <f t="shared" si="10"/>
        <v>164.7548397</v>
      </c>
      <c r="AI68" s="73">
        <f t="shared" si="28"/>
        <v>74.87095261</v>
      </c>
      <c r="AJ68" s="73">
        <f t="shared" si="12"/>
        <v>167.0960154</v>
      </c>
      <c r="AK68" s="53"/>
      <c r="AL68" s="51">
        <f t="shared" si="13"/>
        <v>12826.98978</v>
      </c>
      <c r="AM68" s="3"/>
      <c r="AN68" s="3"/>
      <c r="AO68" s="58">
        <f t="shared" si="14"/>
        <v>184.1659286</v>
      </c>
      <c r="AQ68" s="58"/>
    </row>
    <row r="69" ht="15.75" customHeight="1">
      <c r="A69" s="117" t="s">
        <v>4550</v>
      </c>
      <c r="B69" s="841">
        <v>45603.0</v>
      </c>
      <c r="C69" s="854">
        <v>45601.0</v>
      </c>
      <c r="D69" s="57" t="s">
        <v>63</v>
      </c>
      <c r="E69" s="2">
        <v>1.0437450094E10</v>
      </c>
      <c r="F69" s="2" t="s">
        <v>4461</v>
      </c>
      <c r="G69" s="3">
        <v>105.0</v>
      </c>
      <c r="H69" s="58" t="s">
        <v>47</v>
      </c>
      <c r="I69" s="58">
        <v>9.29</v>
      </c>
      <c r="J69" s="58">
        <v>1.2</v>
      </c>
      <c r="K69" s="59">
        <f t="shared" si="1"/>
        <v>9.17852</v>
      </c>
      <c r="L69" s="60">
        <v>0.436</v>
      </c>
      <c r="M69" s="60">
        <v>0.41856</v>
      </c>
      <c r="N69" s="62">
        <v>0.41856</v>
      </c>
      <c r="O69" s="60">
        <f t="shared" si="17"/>
        <v>0.419</v>
      </c>
      <c r="P69" s="63">
        <v>90.0</v>
      </c>
      <c r="Q69" s="64">
        <v>89.16</v>
      </c>
      <c r="R69" s="65">
        <v>2742.55</v>
      </c>
      <c r="S69" s="66">
        <f t="shared" si="31"/>
        <v>130</v>
      </c>
      <c r="U69" s="67">
        <v>130.0</v>
      </c>
      <c r="V69" s="67">
        <v>1.1023</v>
      </c>
      <c r="Y69" s="68">
        <v>30.0</v>
      </c>
      <c r="Z69" s="69">
        <f t="shared" si="25"/>
        <v>30</v>
      </c>
      <c r="AA69" s="70">
        <f t="shared" si="4"/>
        <v>60</v>
      </c>
      <c r="AB69" s="71">
        <f t="shared" si="5"/>
        <v>876.5408085</v>
      </c>
      <c r="AC69" s="71">
        <f>+(S69-T69)*V69-'data 1'!$F$4</f>
        <v>63.299</v>
      </c>
      <c r="AD69" s="71">
        <f t="shared" si="6"/>
        <v>-10.5470303</v>
      </c>
      <c r="AE69" s="71">
        <f t="shared" si="7"/>
        <v>-3.862</v>
      </c>
      <c r="AF69" s="71">
        <f t="shared" si="8"/>
        <v>43.64991471</v>
      </c>
      <c r="AG69" s="72">
        <f t="shared" si="32"/>
        <v>92.53988442</v>
      </c>
      <c r="AH69" s="52">
        <f t="shared" si="10"/>
        <v>122.3314932</v>
      </c>
      <c r="AI69" s="73">
        <f t="shared" si="28"/>
        <v>16.86168971</v>
      </c>
      <c r="AJ69" s="73">
        <f t="shared" si="12"/>
        <v>118.6692671</v>
      </c>
      <c r="AK69" s="53"/>
      <c r="AL69" s="51">
        <f t="shared" si="13"/>
        <v>8045.347342</v>
      </c>
      <c r="AM69" s="3"/>
      <c r="AN69" s="3"/>
      <c r="AO69" s="58">
        <f t="shared" si="14"/>
        <v>137.2044563</v>
      </c>
      <c r="AQ69" s="58"/>
    </row>
    <row r="70" ht="15.75" customHeight="1">
      <c r="A70" s="117" t="s">
        <v>4551</v>
      </c>
      <c r="B70" s="841">
        <v>45605.0</v>
      </c>
      <c r="C70" s="860">
        <v>45601.0</v>
      </c>
      <c r="D70" s="67" t="s">
        <v>602</v>
      </c>
      <c r="E70" s="67">
        <v>2.0169040237E10</v>
      </c>
      <c r="F70" s="68" t="s">
        <v>4546</v>
      </c>
      <c r="G70" s="134">
        <v>6.0</v>
      </c>
      <c r="H70" s="69" t="s">
        <v>40</v>
      </c>
      <c r="I70" s="69">
        <v>0.45</v>
      </c>
      <c r="J70" s="69">
        <v>17.0</v>
      </c>
      <c r="K70" s="59">
        <f t="shared" si="1"/>
        <v>0.3735</v>
      </c>
      <c r="L70" s="106">
        <v>1.1535</v>
      </c>
      <c r="M70" s="106">
        <v>1.10736</v>
      </c>
      <c r="N70" s="135">
        <v>1.10736</v>
      </c>
      <c r="O70" s="106">
        <f t="shared" si="17"/>
        <v>1.107</v>
      </c>
      <c r="P70" s="136">
        <v>90.0</v>
      </c>
      <c r="Q70" s="444">
        <v>89.19</v>
      </c>
      <c r="R70" s="70">
        <v>2732.55</v>
      </c>
      <c r="S70" s="861">
        <v>190.0</v>
      </c>
      <c r="T70" s="67"/>
      <c r="U70" s="67">
        <v>130.0</v>
      </c>
      <c r="V70" s="67">
        <v>1.1023</v>
      </c>
      <c r="W70" s="67"/>
      <c r="X70" s="67"/>
      <c r="Y70" s="67">
        <v>10.0</v>
      </c>
      <c r="Z70" s="69">
        <f t="shared" si="25"/>
        <v>30</v>
      </c>
      <c r="AA70" s="70">
        <f t="shared" si="4"/>
        <v>40</v>
      </c>
      <c r="AB70" s="71">
        <f t="shared" si="5"/>
        <v>2604.647339</v>
      </c>
      <c r="AC70" s="71">
        <f>+(S70-T70)*V70-'data 1'!$F$4</f>
        <v>129.437</v>
      </c>
      <c r="AD70" s="71">
        <f t="shared" si="6"/>
        <v>-26.80411713</v>
      </c>
      <c r="AE70" s="71">
        <f t="shared" si="7"/>
        <v>-25.908</v>
      </c>
      <c r="AF70" s="71">
        <f t="shared" si="8"/>
        <v>118.9783676</v>
      </c>
      <c r="AG70" s="72">
        <f t="shared" si="32"/>
        <v>195.7032505</v>
      </c>
      <c r="AH70" s="52">
        <f t="shared" si="10"/>
        <v>13.17447866</v>
      </c>
      <c r="AI70" s="73">
        <f t="shared" si="28"/>
        <v>55.96554369</v>
      </c>
      <c r="AJ70" s="73">
        <f t="shared" si="12"/>
        <v>12.75821174</v>
      </c>
      <c r="AK70" s="53"/>
      <c r="AL70" s="51">
        <f t="shared" si="13"/>
        <v>972.835781</v>
      </c>
      <c r="AM70" s="3"/>
      <c r="AN70" s="3"/>
      <c r="AO70" s="58">
        <f t="shared" si="14"/>
        <v>14.77125088</v>
      </c>
      <c r="AQ70" s="58"/>
    </row>
    <row r="71" ht="15.75" customHeight="1">
      <c r="A71" s="117" t="s">
        <v>4552</v>
      </c>
      <c r="B71" s="841">
        <v>45605.0</v>
      </c>
      <c r="C71" s="860">
        <v>45601.0</v>
      </c>
      <c r="D71" s="67" t="s">
        <v>602</v>
      </c>
      <c r="E71" s="67">
        <v>2.0169040237E10</v>
      </c>
      <c r="F71" s="68" t="s">
        <v>4546</v>
      </c>
      <c r="G71" s="134">
        <v>33.0</v>
      </c>
      <c r="H71" s="69" t="s">
        <v>40</v>
      </c>
      <c r="I71" s="69">
        <v>2.91</v>
      </c>
      <c r="J71" s="69">
        <v>18.0</v>
      </c>
      <c r="K71" s="59">
        <f t="shared" si="1"/>
        <v>2.3862</v>
      </c>
      <c r="L71" s="106">
        <v>3.009</v>
      </c>
      <c r="M71" s="106">
        <v>2.888</v>
      </c>
      <c r="N71" s="111">
        <v>3.093</v>
      </c>
      <c r="O71" s="106">
        <f t="shared" si="17"/>
        <v>2.991</v>
      </c>
      <c r="P71" s="136">
        <v>90.0</v>
      </c>
      <c r="Q71" s="444">
        <v>89.6</v>
      </c>
      <c r="R71" s="70">
        <v>2732.55</v>
      </c>
      <c r="S71" s="861">
        <v>360.0</v>
      </c>
      <c r="T71" s="67"/>
      <c r="U71" s="67">
        <v>130.0</v>
      </c>
      <c r="V71" s="67">
        <v>1.1023</v>
      </c>
      <c r="W71" s="67"/>
      <c r="X71" s="67"/>
      <c r="Y71" s="67">
        <v>20.0</v>
      </c>
      <c r="Z71" s="69">
        <f t="shared" si="25"/>
        <v>30</v>
      </c>
      <c r="AA71" s="70">
        <f t="shared" si="4"/>
        <v>50</v>
      </c>
      <c r="AB71" s="71">
        <f t="shared" si="5"/>
        <v>7270.555129</v>
      </c>
      <c r="AC71" s="71">
        <f>+(S71-T71)*V71-'data 1'!$F$4</f>
        <v>316.828</v>
      </c>
      <c r="AD71" s="71">
        <f t="shared" si="6"/>
        <v>-34.52876685</v>
      </c>
      <c r="AE71" s="71">
        <f t="shared" si="7"/>
        <v>-14.885</v>
      </c>
      <c r="AF71" s="71">
        <f t="shared" si="8"/>
        <v>46.26785907</v>
      </c>
      <c r="AG71" s="72">
        <f t="shared" si="32"/>
        <v>313.6820922</v>
      </c>
      <c r="AH71" s="52">
        <f t="shared" si="10"/>
        <v>220.5698298</v>
      </c>
      <c r="AI71" s="73">
        <f t="shared" si="28"/>
        <v>146.661851</v>
      </c>
      <c r="AJ71" s="73">
        <f t="shared" si="12"/>
        <v>220.2291655</v>
      </c>
      <c r="AK71" s="53"/>
      <c r="AL71" s="51">
        <f t="shared" si="13"/>
        <v>17348.99865</v>
      </c>
      <c r="AM71" s="3"/>
      <c r="AN71" s="3"/>
      <c r="AO71" s="58">
        <f t="shared" si="14"/>
        <v>246.171685</v>
      </c>
      <c r="AQ71" s="58"/>
    </row>
    <row r="72" ht="15.75" customHeight="1">
      <c r="A72" s="117" t="s">
        <v>4553</v>
      </c>
      <c r="B72" s="841">
        <v>45604.0</v>
      </c>
      <c r="C72" s="854">
        <v>45601.0</v>
      </c>
      <c r="D72" s="57" t="s">
        <v>38</v>
      </c>
      <c r="E72" s="2">
        <v>2.0606534923E10</v>
      </c>
      <c r="F72" s="57" t="s">
        <v>4554</v>
      </c>
      <c r="G72" s="3">
        <v>3.0</v>
      </c>
      <c r="H72" s="58" t="s">
        <v>71</v>
      </c>
      <c r="I72" s="58">
        <v>0.18</v>
      </c>
      <c r="J72" s="58">
        <v>4.35</v>
      </c>
      <c r="K72" s="59">
        <f t="shared" si="1"/>
        <v>0.17217</v>
      </c>
      <c r="L72" s="60">
        <v>1.9895</v>
      </c>
      <c r="M72" s="60">
        <v>1.90992</v>
      </c>
      <c r="N72" s="62">
        <v>1.90992</v>
      </c>
      <c r="O72" s="60">
        <f t="shared" si="17"/>
        <v>1.91</v>
      </c>
      <c r="P72" s="63">
        <v>90.0</v>
      </c>
      <c r="Q72" s="64">
        <v>89.42</v>
      </c>
      <c r="R72" s="65">
        <v>2742.55</v>
      </c>
      <c r="S72" s="66">
        <f t="shared" ref="S72:S79" si="33">IF((90+ROUNDDOWN(O72,1)*100)&lt;95,95,(90+ROUNDDOWN(O72,1)*100))</f>
        <v>280</v>
      </c>
      <c r="U72" s="67">
        <v>130.0</v>
      </c>
      <c r="V72" s="67">
        <v>1.1023</v>
      </c>
      <c r="Y72" s="68">
        <v>30.0</v>
      </c>
      <c r="Z72" s="69">
        <f t="shared" si="25"/>
        <v>30</v>
      </c>
      <c r="AA72" s="70">
        <f t="shared" si="4"/>
        <v>60</v>
      </c>
      <c r="AB72" s="71">
        <f t="shared" si="5"/>
        <v>4575.618034</v>
      </c>
      <c r="AC72" s="71">
        <f>+(S72-T72)*V72-'data 1'!$F$4</f>
        <v>228.644</v>
      </c>
      <c r="AD72" s="71">
        <f t="shared" si="6"/>
        <v>-33.23046017</v>
      </c>
      <c r="AE72" s="71">
        <f t="shared" si="7"/>
        <v>-3.862</v>
      </c>
      <c r="AF72" s="71">
        <f t="shared" si="8"/>
        <v>204.7227999</v>
      </c>
      <c r="AG72" s="72">
        <f t="shared" si="32"/>
        <v>396.2743397</v>
      </c>
      <c r="AH72" s="52">
        <f t="shared" si="10"/>
        <v>10.50135059</v>
      </c>
      <c r="AI72" s="73">
        <f t="shared" si="28"/>
        <v>77.16549619</v>
      </c>
      <c r="AJ72" s="73">
        <f t="shared" si="12"/>
        <v>10.14711133</v>
      </c>
      <c r="AK72" s="53"/>
      <c r="AL72" s="51">
        <f t="shared" si="13"/>
        <v>787.7841569</v>
      </c>
      <c r="AM72" s="3"/>
      <c r="AN72" s="3"/>
      <c r="AO72" s="58">
        <f t="shared" si="14"/>
        <v>11.74384991</v>
      </c>
      <c r="AQ72" s="58"/>
    </row>
    <row r="73" ht="15.75" customHeight="1">
      <c r="A73" s="117" t="s">
        <v>4555</v>
      </c>
      <c r="B73" s="841">
        <v>45604.0</v>
      </c>
      <c r="C73" s="854">
        <v>45601.0</v>
      </c>
      <c r="D73" s="57" t="s">
        <v>38</v>
      </c>
      <c r="E73" s="2">
        <v>2.0606534923E10</v>
      </c>
      <c r="F73" s="57" t="s">
        <v>4554</v>
      </c>
      <c r="G73" s="3">
        <v>14.0</v>
      </c>
      <c r="H73" s="58" t="s">
        <v>40</v>
      </c>
      <c r="I73" s="58">
        <v>1.13</v>
      </c>
      <c r="J73" s="58">
        <v>19.4</v>
      </c>
      <c r="K73" s="59">
        <f t="shared" si="1"/>
        <v>0.91078</v>
      </c>
      <c r="L73" s="60">
        <v>1.1494999999999997</v>
      </c>
      <c r="M73" s="60">
        <v>1.1035199999999996</v>
      </c>
      <c r="N73" s="62">
        <v>1.163</v>
      </c>
      <c r="O73" s="60">
        <f t="shared" si="17"/>
        <v>1.133</v>
      </c>
      <c r="P73" s="63">
        <v>90.0</v>
      </c>
      <c r="Q73" s="64">
        <v>89.56</v>
      </c>
      <c r="R73" s="65">
        <v>2742.55</v>
      </c>
      <c r="S73" s="66">
        <f t="shared" si="33"/>
        <v>200</v>
      </c>
      <c r="U73" s="67">
        <v>130.0</v>
      </c>
      <c r="V73" s="67">
        <v>1.1023</v>
      </c>
      <c r="Y73" s="68">
        <v>30.0</v>
      </c>
      <c r="Z73" s="69">
        <f t="shared" si="25"/>
        <v>30</v>
      </c>
      <c r="AA73" s="70">
        <f t="shared" si="4"/>
        <v>60</v>
      </c>
      <c r="AB73" s="71">
        <f t="shared" si="5"/>
        <v>2649.948198</v>
      </c>
      <c r="AC73" s="71">
        <f>+(S73-T73)*V73-'data 1'!$F$4</f>
        <v>140.46</v>
      </c>
      <c r="AD73" s="71">
        <f t="shared" si="6"/>
        <v>-14.56552257</v>
      </c>
      <c r="AE73" s="71">
        <f t="shared" si="7"/>
        <v>-3.862</v>
      </c>
      <c r="AF73" s="71">
        <f t="shared" si="8"/>
        <v>42.55616141</v>
      </c>
      <c r="AG73" s="72">
        <f t="shared" si="32"/>
        <v>164.5886388</v>
      </c>
      <c r="AH73" s="52">
        <f t="shared" si="10"/>
        <v>32.14738231</v>
      </c>
      <c r="AI73" s="73">
        <f t="shared" si="28"/>
        <v>44.65474407</v>
      </c>
      <c r="AJ73" s="73">
        <f t="shared" si="12"/>
        <v>31.84160671</v>
      </c>
      <c r="AK73" s="53"/>
      <c r="AL73" s="51">
        <f t="shared" si="13"/>
        <v>2413.51982</v>
      </c>
      <c r="AM73" s="3"/>
      <c r="AN73" s="3"/>
      <c r="AO73" s="58">
        <f t="shared" si="14"/>
        <v>35.89479936</v>
      </c>
      <c r="AQ73" s="58"/>
    </row>
    <row r="74" ht="15.75" customHeight="1">
      <c r="A74" s="117" t="s">
        <v>4556</v>
      </c>
      <c r="B74" s="841">
        <v>45604.0</v>
      </c>
      <c r="C74" s="854">
        <v>45601.0</v>
      </c>
      <c r="D74" s="57" t="s">
        <v>38</v>
      </c>
      <c r="E74" s="2">
        <v>2.0606534923E10</v>
      </c>
      <c r="F74" s="57" t="s">
        <v>4557</v>
      </c>
      <c r="G74" s="3">
        <v>16.0</v>
      </c>
      <c r="H74" s="58" t="s">
        <v>40</v>
      </c>
      <c r="I74" s="58">
        <v>1.22</v>
      </c>
      <c r="J74" s="58">
        <v>4.2</v>
      </c>
      <c r="K74" s="59">
        <f t="shared" si="1"/>
        <v>1.16876</v>
      </c>
      <c r="L74" s="60">
        <v>2.597</v>
      </c>
      <c r="M74" s="60">
        <v>2.493</v>
      </c>
      <c r="N74" s="75">
        <v>2.568</v>
      </c>
      <c r="O74" s="60">
        <f t="shared" si="17"/>
        <v>2.531</v>
      </c>
      <c r="P74" s="63">
        <v>90.0</v>
      </c>
      <c r="Q74" s="64">
        <v>89.47</v>
      </c>
      <c r="R74" s="65">
        <v>2732.55</v>
      </c>
      <c r="S74" s="66">
        <f t="shared" si="33"/>
        <v>340</v>
      </c>
      <c r="U74" s="67">
        <v>130.0</v>
      </c>
      <c r="V74" s="67">
        <v>1.1023</v>
      </c>
      <c r="Y74" s="68">
        <v>30.0</v>
      </c>
      <c r="Z74" s="69">
        <f t="shared" si="25"/>
        <v>30</v>
      </c>
      <c r="AA74" s="70">
        <f t="shared" si="4"/>
        <v>60</v>
      </c>
      <c r="AB74" s="71">
        <f t="shared" si="5"/>
        <v>6093.898711</v>
      </c>
      <c r="AC74" s="71">
        <f>+(S74-T74)*V74-'data 1'!$F$4</f>
        <v>294.782</v>
      </c>
      <c r="AD74" s="71">
        <f t="shared" si="6"/>
        <v>-39.48632434</v>
      </c>
      <c r="AE74" s="71">
        <f t="shared" si="7"/>
        <v>-3.862</v>
      </c>
      <c r="AF74" s="71">
        <f t="shared" si="8"/>
        <v>169.4026743</v>
      </c>
      <c r="AG74" s="72">
        <f t="shared" si="32"/>
        <v>420.83635</v>
      </c>
      <c r="AH74" s="52">
        <f t="shared" si="10"/>
        <v>93.10731355</v>
      </c>
      <c r="AI74" s="73">
        <f t="shared" si="28"/>
        <v>126.3968793</v>
      </c>
      <c r="AJ74" s="73">
        <f t="shared" si="12"/>
        <v>91.27861959</v>
      </c>
      <c r="AK74" s="53"/>
      <c r="AL74" s="51">
        <f t="shared" si="13"/>
        <v>7122.305058</v>
      </c>
      <c r="AM74" s="3"/>
      <c r="AN74" s="3"/>
      <c r="AO74" s="58">
        <f t="shared" si="14"/>
        <v>104.0654002</v>
      </c>
      <c r="AQ74" s="58"/>
    </row>
    <row r="75" ht="15.75" customHeight="1">
      <c r="A75" s="117" t="s">
        <v>4558</v>
      </c>
      <c r="B75" s="841">
        <v>45605.0</v>
      </c>
      <c r="C75" s="854">
        <v>45601.0</v>
      </c>
      <c r="D75" s="2" t="s">
        <v>4420</v>
      </c>
      <c r="E75" s="2">
        <v>2.060609401E10</v>
      </c>
      <c r="F75" s="57" t="s">
        <v>4417</v>
      </c>
      <c r="G75" s="3">
        <v>75.0</v>
      </c>
      <c r="H75" s="58" t="s">
        <v>47</v>
      </c>
      <c r="I75" s="58">
        <v>7.79</v>
      </c>
      <c r="J75" s="58">
        <v>1.3</v>
      </c>
      <c r="K75" s="59">
        <f t="shared" si="1"/>
        <v>7.68873</v>
      </c>
      <c r="L75" s="60">
        <v>0.46499999999999997</v>
      </c>
      <c r="M75" s="60">
        <v>0.44639999999999996</v>
      </c>
      <c r="N75" s="75">
        <v>0.57</v>
      </c>
      <c r="O75" s="60">
        <f t="shared" si="17"/>
        <v>0.508</v>
      </c>
      <c r="P75" s="63">
        <v>90.0</v>
      </c>
      <c r="Q75" s="64">
        <v>89.71</v>
      </c>
      <c r="R75" s="65">
        <v>2742.55</v>
      </c>
      <c r="S75" s="66">
        <f t="shared" si="33"/>
        <v>140</v>
      </c>
      <c r="U75" s="67">
        <v>130.0</v>
      </c>
      <c r="V75" s="67">
        <v>1.1023</v>
      </c>
      <c r="Y75" s="68">
        <v>30.0</v>
      </c>
      <c r="Z75" s="69">
        <f t="shared" si="25"/>
        <v>30</v>
      </c>
      <c r="AA75" s="70">
        <f t="shared" si="4"/>
        <v>60</v>
      </c>
      <c r="AB75" s="71">
        <f t="shared" si="5"/>
        <v>1096.190899</v>
      </c>
      <c r="AC75" s="71">
        <f>+(S75-T75)*V75-'data 1'!$F$4</f>
        <v>74.322</v>
      </c>
      <c r="AD75" s="71">
        <f t="shared" si="6"/>
        <v>-3.883428997</v>
      </c>
      <c r="AE75" s="71">
        <f t="shared" si="7"/>
        <v>-3.862</v>
      </c>
      <c r="AF75" s="71">
        <f t="shared" si="8"/>
        <v>-111.0896838</v>
      </c>
      <c r="AG75" s="72">
        <f>+IF(D75="RONALD WILLIAN GARIBAY ESCUDERO",AC75+AD75+AE75+AF75+80,AC75+AD75+AE75+AF75)+90-53</f>
        <v>-7.513112783</v>
      </c>
      <c r="AH75" s="52">
        <f t="shared" si="10"/>
        <v>109.9657623</v>
      </c>
      <c r="AI75" s="73">
        <f t="shared" si="28"/>
        <v>18.09415697</v>
      </c>
      <c r="AJ75" s="73">
        <f t="shared" si="12"/>
        <v>120.5229911</v>
      </c>
      <c r="AK75" s="53"/>
      <c r="AL75" s="51">
        <f t="shared" si="13"/>
        <v>8428.315851</v>
      </c>
      <c r="AM75" s="3"/>
      <c r="AN75" s="3"/>
      <c r="AO75" s="58">
        <f t="shared" si="14"/>
        <v>122.5791576</v>
      </c>
      <c r="AQ75" s="58"/>
    </row>
    <row r="76" ht="15.75" customHeight="1">
      <c r="A76" s="117" t="s">
        <v>4559</v>
      </c>
      <c r="B76" s="841">
        <v>45604.0</v>
      </c>
      <c r="C76" s="854">
        <v>45601.0</v>
      </c>
      <c r="D76" s="57" t="s">
        <v>38</v>
      </c>
      <c r="E76" s="2">
        <v>2.0606534923E10</v>
      </c>
      <c r="F76" s="57" t="s">
        <v>4557</v>
      </c>
      <c r="G76" s="3">
        <v>13.0</v>
      </c>
      <c r="H76" s="58" t="s">
        <v>40</v>
      </c>
      <c r="I76" s="58">
        <v>0.94</v>
      </c>
      <c r="J76" s="58">
        <v>5.5</v>
      </c>
      <c r="K76" s="59">
        <f t="shared" si="1"/>
        <v>0.8883</v>
      </c>
      <c r="L76" s="60">
        <v>2.321</v>
      </c>
      <c r="M76" s="60">
        <v>2.228</v>
      </c>
      <c r="N76" s="75">
        <v>2.368</v>
      </c>
      <c r="O76" s="60">
        <v>2.3</v>
      </c>
      <c r="P76" s="63">
        <v>90.0</v>
      </c>
      <c r="Q76" s="64">
        <v>89.38</v>
      </c>
      <c r="R76" s="65">
        <v>2732.55</v>
      </c>
      <c r="S76" s="66">
        <f t="shared" si="33"/>
        <v>320</v>
      </c>
      <c r="U76" s="67">
        <v>130.0</v>
      </c>
      <c r="V76" s="67">
        <v>1.1023</v>
      </c>
      <c r="Y76" s="68">
        <v>30.0</v>
      </c>
      <c r="Z76" s="69">
        <f t="shared" si="25"/>
        <v>30</v>
      </c>
      <c r="AA76" s="70">
        <f t="shared" si="4"/>
        <v>60</v>
      </c>
      <c r="AB76" s="71">
        <f t="shared" si="5"/>
        <v>5519.523091</v>
      </c>
      <c r="AC76" s="71">
        <f>+(S76-T76)*V76-'data 1'!$F$4</f>
        <v>272.736</v>
      </c>
      <c r="AD76" s="71">
        <f t="shared" si="6"/>
        <v>-41.28247431</v>
      </c>
      <c r="AE76" s="71">
        <f t="shared" si="7"/>
        <v>-3.862</v>
      </c>
      <c r="AF76" s="71">
        <f t="shared" si="8"/>
        <v>53.84663078</v>
      </c>
      <c r="AG76" s="72">
        <f>+IF(D76="RONALD WILLIAN GARIBAY ESCUDERO",AC76+AD76+AE76+AF76+80,AC76+AD76+AE76+AF76)</f>
        <v>281.4381565</v>
      </c>
      <c r="AH76" s="52">
        <f t="shared" si="10"/>
        <v>63.18066929</v>
      </c>
      <c r="AI76" s="73">
        <f t="shared" si="28"/>
        <v>112.8502317</v>
      </c>
      <c r="AJ76" s="73">
        <f t="shared" si="12"/>
        <v>63.04332012</v>
      </c>
      <c r="AK76" s="53"/>
      <c r="AL76" s="51">
        <f t="shared" si="13"/>
        <v>4902.992361</v>
      </c>
      <c r="AM76" s="3"/>
      <c r="AN76" s="3"/>
      <c r="AO76" s="58">
        <f t="shared" si="14"/>
        <v>70.68770339</v>
      </c>
      <c r="AQ76" s="58"/>
    </row>
    <row r="77" ht="15.75" customHeight="1">
      <c r="A77" s="117" t="s">
        <v>4560</v>
      </c>
      <c r="B77" s="841">
        <v>45604.0</v>
      </c>
      <c r="C77" s="854">
        <v>45601.0</v>
      </c>
      <c r="D77" s="57" t="s">
        <v>38</v>
      </c>
      <c r="E77" s="2">
        <v>2.0606534923E10</v>
      </c>
      <c r="F77" s="57" t="s">
        <v>4557</v>
      </c>
      <c r="G77" s="3">
        <v>14.0</v>
      </c>
      <c r="H77" s="58" t="s">
        <v>40</v>
      </c>
      <c r="I77" s="58">
        <v>1.16</v>
      </c>
      <c r="J77" s="58">
        <v>4.2</v>
      </c>
      <c r="K77" s="59">
        <f t="shared" si="1"/>
        <v>1.11128</v>
      </c>
      <c r="L77" s="60">
        <v>1.397</v>
      </c>
      <c r="M77" s="60">
        <v>1.3411199999999999</v>
      </c>
      <c r="N77" s="62">
        <v>1.3411199999999999</v>
      </c>
      <c r="O77" s="60">
        <f>+ROUND((M77+N77)/2,3)</f>
        <v>1.341</v>
      </c>
      <c r="P77" s="63">
        <v>90.0</v>
      </c>
      <c r="Q77" s="64">
        <v>89.67</v>
      </c>
      <c r="R77" s="65">
        <v>2732.55</v>
      </c>
      <c r="S77" s="66">
        <f t="shared" si="33"/>
        <v>220</v>
      </c>
      <c r="U77" s="67">
        <v>130.0</v>
      </c>
      <c r="V77" s="67">
        <v>1.1023</v>
      </c>
      <c r="Y77" s="68">
        <v>30.0</v>
      </c>
      <c r="Z77" s="77">
        <v>15.0</v>
      </c>
      <c r="AA77" s="70">
        <f t="shared" si="4"/>
        <v>45</v>
      </c>
      <c r="AB77" s="71">
        <f t="shared" si="5"/>
        <v>3170.234195</v>
      </c>
      <c r="AC77" s="71">
        <f>+(S77-T77)*V77-'data 1'!$F$4</f>
        <v>162.506</v>
      </c>
      <c r="AD77" s="71">
        <f t="shared" si="6"/>
        <v>-13.22541277</v>
      </c>
      <c r="AE77" s="71">
        <f t="shared" si="7"/>
        <v>-20.3965</v>
      </c>
      <c r="AF77" s="71">
        <f t="shared" si="8"/>
        <v>144.056907</v>
      </c>
      <c r="AG77" s="72">
        <f>+IF(D77="RONALD WILLIAN GARIBAY ESCUDERO",AC77+AD77+AE77+AF77+80,AC77+AD77+AE77+AF77)+90-20</f>
        <v>342.9409943</v>
      </c>
      <c r="AH77" s="52">
        <f t="shared" si="10"/>
        <v>47.72831952</v>
      </c>
      <c r="AI77" s="73">
        <f t="shared" si="28"/>
        <v>68.14445779</v>
      </c>
      <c r="AJ77" s="73">
        <f t="shared" si="12"/>
        <v>45.98369383</v>
      </c>
      <c r="AK77" s="11"/>
      <c r="AL77" s="51">
        <f t="shared" si="13"/>
        <v>3523.017856</v>
      </c>
      <c r="AM77" s="3"/>
      <c r="AN77" s="3"/>
      <c r="AO77" s="58">
        <f t="shared" si="14"/>
        <v>53.22663045</v>
      </c>
    </row>
    <row r="78" ht="15.75" customHeight="1">
      <c r="A78" s="117" t="s">
        <v>4561</v>
      </c>
      <c r="B78" s="841">
        <v>45604.0</v>
      </c>
      <c r="C78" s="854">
        <v>45601.0</v>
      </c>
      <c r="D78" s="57" t="s">
        <v>38</v>
      </c>
      <c r="E78" s="2">
        <v>2.0606534923E10</v>
      </c>
      <c r="F78" s="57" t="s">
        <v>4557</v>
      </c>
      <c r="G78" s="3">
        <v>25.0</v>
      </c>
      <c r="H78" s="58" t="s">
        <v>40</v>
      </c>
      <c r="I78" s="58">
        <v>2.15</v>
      </c>
      <c r="J78" s="58">
        <v>4.6</v>
      </c>
      <c r="K78" s="59">
        <f t="shared" si="1"/>
        <v>2.0511</v>
      </c>
      <c r="L78" s="60">
        <v>0.8685</v>
      </c>
      <c r="M78" s="60">
        <v>0.8337600000000001</v>
      </c>
      <c r="N78" s="75">
        <v>0.859</v>
      </c>
      <c r="O78" s="60">
        <v>0.85</v>
      </c>
      <c r="P78" s="63">
        <v>90.0</v>
      </c>
      <c r="Q78" s="64">
        <v>89.45</v>
      </c>
      <c r="R78" s="65">
        <v>2732.55</v>
      </c>
      <c r="S78" s="66">
        <f t="shared" si="33"/>
        <v>170</v>
      </c>
      <c r="U78" s="67">
        <v>130.0</v>
      </c>
      <c r="V78" s="67">
        <v>1.1023</v>
      </c>
      <c r="Y78" s="68">
        <v>30.0</v>
      </c>
      <c r="Z78" s="77">
        <v>15.0</v>
      </c>
      <c r="AA78" s="70">
        <f t="shared" si="4"/>
        <v>45</v>
      </c>
      <c r="AB78" s="447">
        <v>0.0</v>
      </c>
      <c r="AC78" s="71">
        <f>+(S78-T78)*V78-'data 1'!$F$4</f>
        <v>107.391</v>
      </c>
      <c r="AD78" s="71">
        <f t="shared" si="6"/>
        <v>-13.70349676</v>
      </c>
      <c r="AE78" s="71">
        <f t="shared" si="7"/>
        <v>-20.3965</v>
      </c>
      <c r="AF78" s="71">
        <f t="shared" si="8"/>
        <v>47.47346843</v>
      </c>
      <c r="AG78" s="447">
        <v>0.0</v>
      </c>
      <c r="AH78" s="52">
        <f t="shared" si="10"/>
        <v>54.63187067</v>
      </c>
      <c r="AI78" s="73">
        <f t="shared" si="28"/>
        <v>42.26074337</v>
      </c>
      <c r="AJ78" s="73">
        <f t="shared" si="12"/>
        <v>53.79691096</v>
      </c>
      <c r="AK78" s="11"/>
      <c r="AL78" s="51">
        <f t="shared" si="13"/>
        <v>0</v>
      </c>
      <c r="AM78" s="3"/>
      <c r="AN78" s="3"/>
      <c r="AO78" s="58">
        <f t="shared" si="14"/>
        <v>61.07531656</v>
      </c>
    </row>
    <row r="79" ht="15.75" customHeight="1">
      <c r="A79" s="117" t="s">
        <v>4562</v>
      </c>
      <c r="B79" s="855">
        <v>45609.0</v>
      </c>
      <c r="C79" s="856">
        <v>45608.0</v>
      </c>
      <c r="D79" s="91" t="s">
        <v>53</v>
      </c>
      <c r="E79" s="91">
        <v>1.0457401928E10</v>
      </c>
      <c r="F79" s="2" t="s">
        <v>4563</v>
      </c>
      <c r="G79" s="3">
        <v>42.0</v>
      </c>
      <c r="H79" s="58" t="s">
        <v>40</v>
      </c>
      <c r="I79" s="58">
        <v>2.7</v>
      </c>
      <c r="J79" s="58">
        <v>12.6</v>
      </c>
      <c r="K79" s="59">
        <f t="shared" si="1"/>
        <v>2.3598</v>
      </c>
      <c r="L79" s="60">
        <v>0.14350000000000002</v>
      </c>
      <c r="M79" s="60">
        <v>0.13776000000000002</v>
      </c>
      <c r="N79" s="62">
        <v>0.13776000000000002</v>
      </c>
      <c r="O79" s="60">
        <f t="shared" ref="O79:O85" si="34">+ROUND((M79+N79)/2,3)</f>
        <v>0.138</v>
      </c>
      <c r="P79" s="63">
        <v>85.0</v>
      </c>
      <c r="Q79" s="64">
        <v>89.23</v>
      </c>
      <c r="R79" s="65">
        <v>2742.6</v>
      </c>
      <c r="S79" s="66">
        <f t="shared" si="33"/>
        <v>100</v>
      </c>
      <c r="U79" s="67">
        <v>130.0</v>
      </c>
      <c r="V79" s="67">
        <v>1.1023</v>
      </c>
      <c r="Y79" s="68">
        <v>30.0</v>
      </c>
      <c r="Z79" s="69">
        <f>IF(IF(D79="UNTUCA",IF(+((W79-3)*1.5+(X79-3)*3.1)&gt;0,+((W79-3)*1.5+(X79-3)*3.1),0),IF(+((W79-3)*1.5+(X79-3)*3.1)&gt;0,+((W79-3)*1.5+(X79-3)*3.1),0))&lt;30,30,IF(D79="UNTUCA",IF(+((W79-3)*1.5+(X79-3)*3.1)&gt;0,+((W79-3)*1.5+(X79-3)*3.1),0),IF(+((W79-3)*1.5+(X79-3)*3.1)&gt;0,+((W79-3)*1.5+(X79-3)*3.1),0)))</f>
        <v>30</v>
      </c>
      <c r="AA79" s="70">
        <f t="shared" si="4"/>
        <v>60</v>
      </c>
      <c r="AB79" s="71">
        <f t="shared" ref="AB79:AB85" si="35">+((O79*P79*(R79-U79)/100)-S79-AA79+T79)*V79</f>
        <v>161.4406314</v>
      </c>
      <c r="AC79" s="71">
        <f>+(S79-T79)*V79-'data 1'!$F$4</f>
        <v>30.23</v>
      </c>
      <c r="AD79" s="71">
        <f t="shared" si="6"/>
        <v>17.4809487</v>
      </c>
      <c r="AE79" s="71">
        <f t="shared" si="7"/>
        <v>-3.862</v>
      </c>
      <c r="AF79" s="71">
        <f t="shared" si="8"/>
        <v>14.133389</v>
      </c>
      <c r="AG79" s="72">
        <f>+IF(D79="RONALD WILLIAN GARIBAY ESCUDERO",AC79+AD79+AE79+AF79+80,AC79+AD79+AE79+AF79)</f>
        <v>57.9823377</v>
      </c>
      <c r="AH79" s="52">
        <f t="shared" si="10"/>
        <v>10.35969716</v>
      </c>
      <c r="AI79" s="73">
        <f t="shared" si="28"/>
        <v>5.546961504</v>
      </c>
      <c r="AJ79" s="73">
        <f t="shared" si="12"/>
        <v>9.490351068</v>
      </c>
      <c r="AK79" s="53"/>
      <c r="AL79" s="51">
        <f t="shared" si="13"/>
        <v>380.9676019</v>
      </c>
      <c r="AM79" s="3"/>
      <c r="AN79" s="3"/>
      <c r="AO79" s="58">
        <f t="shared" si="14"/>
        <v>11.61010553</v>
      </c>
    </row>
    <row r="80" ht="15.75" customHeight="1">
      <c r="A80" s="116" t="s">
        <v>4564</v>
      </c>
      <c r="B80" s="841">
        <v>45641.0</v>
      </c>
      <c r="C80" s="56">
        <v>45609.0</v>
      </c>
      <c r="D80" s="57" t="s">
        <v>74</v>
      </c>
      <c r="E80" s="2"/>
      <c r="G80" s="3">
        <v>59.0</v>
      </c>
      <c r="H80" s="57" t="s">
        <v>47</v>
      </c>
      <c r="I80" s="58">
        <v>5.35</v>
      </c>
      <c r="J80" s="58">
        <v>1.1</v>
      </c>
      <c r="K80" s="59">
        <f t="shared" si="1"/>
        <v>5.29115</v>
      </c>
      <c r="L80" s="60">
        <v>0.285</v>
      </c>
      <c r="M80" s="61">
        <v>0.282</v>
      </c>
      <c r="N80" s="61">
        <v>0.282</v>
      </c>
      <c r="O80" s="60">
        <f t="shared" si="34"/>
        <v>0.282</v>
      </c>
      <c r="P80" s="63">
        <v>90.0</v>
      </c>
      <c r="Q80" s="64">
        <v>89.56</v>
      </c>
      <c r="R80" s="65">
        <v>2598.75</v>
      </c>
      <c r="S80" s="86">
        <v>105.0</v>
      </c>
      <c r="U80" s="67">
        <v>80.0</v>
      </c>
      <c r="V80" s="67">
        <v>1.1023</v>
      </c>
      <c r="Y80" s="67"/>
      <c r="Z80" s="77">
        <v>10.0</v>
      </c>
      <c r="AA80" s="70">
        <f t="shared" si="4"/>
        <v>10</v>
      </c>
      <c r="AB80" s="71">
        <f t="shared" si="35"/>
        <v>577.8904201</v>
      </c>
      <c r="AC80" s="71">
        <f>+(S80-T80)*V80-'data 1'!$F$4</f>
        <v>35.7415</v>
      </c>
      <c r="AD80" s="71">
        <f t="shared" si="6"/>
        <v>-3.481628329</v>
      </c>
      <c r="AE80" s="71">
        <f t="shared" si="7"/>
        <v>-58.977</v>
      </c>
      <c r="AF80" s="71">
        <f t="shared" si="8"/>
        <v>7.459680218</v>
      </c>
      <c r="AG80" s="72">
        <f t="shared" ref="AG80:AG85" si="36">+IF(D80="RONALD WILLIAN GARIBAY ESCUDERO",AC80+AD80+AE80+AF80+80,AC80+AD80+AE80+AF80)+90</f>
        <v>70.74255189</v>
      </c>
      <c r="AH80" s="52">
        <f t="shared" si="10"/>
        <v>46.30395505</v>
      </c>
      <c r="AI80" s="73">
        <f t="shared" si="28"/>
        <v>37.4627732</v>
      </c>
      <c r="AJ80" s="73">
        <f t="shared" si="12"/>
        <v>46.04163744</v>
      </c>
      <c r="AK80" s="11"/>
      <c r="AL80" s="51">
        <f t="shared" si="13"/>
        <v>3057.704896</v>
      </c>
      <c r="AM80" s="3"/>
      <c r="AN80" s="3"/>
      <c r="AO80" s="58">
        <f t="shared" si="14"/>
        <v>51.70160233</v>
      </c>
    </row>
    <row r="81" ht="15.75" customHeight="1">
      <c r="A81" s="116" t="s">
        <v>4565</v>
      </c>
      <c r="B81" s="841">
        <v>45641.0</v>
      </c>
      <c r="C81" s="56">
        <v>45609.0</v>
      </c>
      <c r="D81" s="57" t="s">
        <v>74</v>
      </c>
      <c r="E81" s="2"/>
      <c r="G81" s="3">
        <v>59.0</v>
      </c>
      <c r="H81" s="57" t="s">
        <v>47</v>
      </c>
      <c r="I81" s="58">
        <v>5.36</v>
      </c>
      <c r="J81" s="58">
        <v>1.2</v>
      </c>
      <c r="K81" s="59">
        <f t="shared" si="1"/>
        <v>5.29568</v>
      </c>
      <c r="L81" s="60">
        <v>0.429</v>
      </c>
      <c r="M81" s="61">
        <v>0.424</v>
      </c>
      <c r="N81" s="61">
        <v>0.424</v>
      </c>
      <c r="O81" s="60">
        <f t="shared" si="34"/>
        <v>0.424</v>
      </c>
      <c r="P81" s="63">
        <v>90.0</v>
      </c>
      <c r="Q81" s="64">
        <v>89.44</v>
      </c>
      <c r="R81" s="65">
        <v>2598.75</v>
      </c>
      <c r="S81" s="86">
        <v>115.0</v>
      </c>
      <c r="U81" s="67">
        <v>80.0</v>
      </c>
      <c r="V81" s="67">
        <v>1.1023</v>
      </c>
      <c r="Y81" s="67"/>
      <c r="Z81" s="77">
        <v>10.0</v>
      </c>
      <c r="AA81" s="70">
        <f t="shared" si="4"/>
        <v>10</v>
      </c>
      <c r="AB81" s="71">
        <f t="shared" si="35"/>
        <v>921.6936565</v>
      </c>
      <c r="AC81" s="71">
        <f>+(S81-T81)*V81-'data 1'!$F$4</f>
        <v>46.7645</v>
      </c>
      <c r="AD81" s="71">
        <f t="shared" si="6"/>
        <v>-6.670066904</v>
      </c>
      <c r="AE81" s="71">
        <f t="shared" si="7"/>
        <v>-58.977</v>
      </c>
      <c r="AF81" s="71">
        <f t="shared" si="8"/>
        <v>12.41614186</v>
      </c>
      <c r="AG81" s="72">
        <f t="shared" si="36"/>
        <v>83.53357495</v>
      </c>
      <c r="AH81" s="52">
        <f t="shared" si="10"/>
        <v>69.66584133</v>
      </c>
      <c r="AI81" s="73">
        <f t="shared" si="28"/>
        <v>56.31577446</v>
      </c>
      <c r="AJ81" s="73">
        <f t="shared" si="12"/>
        <v>69.28499175</v>
      </c>
      <c r="AK81" s="11"/>
      <c r="AL81" s="51">
        <f t="shared" si="13"/>
        <v>4880.994663</v>
      </c>
      <c r="AM81" s="3"/>
      <c r="AN81" s="3"/>
      <c r="AO81" s="58">
        <f t="shared" si="14"/>
        <v>77.89114639</v>
      </c>
    </row>
    <row r="82" ht="15.75" customHeight="1">
      <c r="A82" s="116" t="s">
        <v>4566</v>
      </c>
      <c r="B82" s="841">
        <v>45641.0</v>
      </c>
      <c r="C82" s="56">
        <v>45609.0</v>
      </c>
      <c r="D82" s="57" t="s">
        <v>74</v>
      </c>
      <c r="E82" s="2"/>
      <c r="G82" s="3">
        <v>61.0</v>
      </c>
      <c r="H82" s="57" t="s">
        <v>47</v>
      </c>
      <c r="I82" s="58">
        <v>5.55</v>
      </c>
      <c r="J82" s="58">
        <v>1.3</v>
      </c>
      <c r="K82" s="59">
        <f t="shared" si="1"/>
        <v>5.47785</v>
      </c>
      <c r="L82" s="60">
        <v>0.207</v>
      </c>
      <c r="M82" s="61">
        <v>0.205</v>
      </c>
      <c r="N82" s="61">
        <v>0.205</v>
      </c>
      <c r="O82" s="60">
        <f t="shared" si="34"/>
        <v>0.205</v>
      </c>
      <c r="P82" s="63">
        <v>85.0</v>
      </c>
      <c r="Q82" s="64">
        <v>89.23</v>
      </c>
      <c r="R82" s="65">
        <v>2598.75</v>
      </c>
      <c r="S82" s="86">
        <v>105.0</v>
      </c>
      <c r="U82" s="67">
        <v>80.0</v>
      </c>
      <c r="V82" s="67">
        <v>1.1023</v>
      </c>
      <c r="Y82" s="67"/>
      <c r="Z82" s="77">
        <v>10.0</v>
      </c>
      <c r="AA82" s="70">
        <f t="shared" si="4"/>
        <v>10</v>
      </c>
      <c r="AB82" s="71">
        <f t="shared" si="35"/>
        <v>357.0263583</v>
      </c>
      <c r="AC82" s="71">
        <f>+(S82-T82)*V82-'data 1'!$F$4</f>
        <v>35.7415</v>
      </c>
      <c r="AD82" s="71">
        <f t="shared" si="6"/>
        <v>24.31059474</v>
      </c>
      <c r="AE82" s="71">
        <f t="shared" si="7"/>
        <v>-58.977</v>
      </c>
      <c r="AF82" s="71">
        <f t="shared" si="8"/>
        <v>4.954795786</v>
      </c>
      <c r="AG82" s="72">
        <f t="shared" si="36"/>
        <v>96.02989053</v>
      </c>
      <c r="AH82" s="52">
        <f t="shared" si="10"/>
        <v>34.68969197</v>
      </c>
      <c r="AI82" s="73">
        <f t="shared" si="28"/>
        <v>27.10954426</v>
      </c>
      <c r="AJ82" s="73">
        <f t="shared" si="12"/>
        <v>32.7259296</v>
      </c>
      <c r="AK82" s="11"/>
      <c r="AL82" s="51">
        <f t="shared" si="13"/>
        <v>1955.736837</v>
      </c>
      <c r="AM82" s="3"/>
      <c r="AN82" s="3"/>
      <c r="AO82" s="58">
        <f t="shared" si="14"/>
        <v>38.87671408</v>
      </c>
    </row>
    <row r="83" ht="15.75" customHeight="1">
      <c r="A83" s="116" t="s">
        <v>4567</v>
      </c>
      <c r="B83" s="841">
        <v>45641.0</v>
      </c>
      <c r="C83" s="56">
        <v>45609.0</v>
      </c>
      <c r="D83" s="57" t="s">
        <v>74</v>
      </c>
      <c r="G83" s="3">
        <v>31.0</v>
      </c>
      <c r="H83" s="57" t="s">
        <v>47</v>
      </c>
      <c r="I83" s="58">
        <v>2.76</v>
      </c>
      <c r="J83" s="58">
        <v>1.4</v>
      </c>
      <c r="K83" s="59">
        <f t="shared" si="1"/>
        <v>2.72136</v>
      </c>
      <c r="L83" s="60">
        <v>0.334</v>
      </c>
      <c r="M83" s="61">
        <v>0.33</v>
      </c>
      <c r="N83" s="61">
        <v>0.33</v>
      </c>
      <c r="O83" s="60">
        <f t="shared" si="34"/>
        <v>0.33</v>
      </c>
      <c r="P83" s="63">
        <v>90.0</v>
      </c>
      <c r="Q83" s="64">
        <v>89.74</v>
      </c>
      <c r="R83" s="65">
        <v>2598.75</v>
      </c>
      <c r="S83" s="86">
        <v>110.0</v>
      </c>
      <c r="U83" s="67">
        <v>80.0</v>
      </c>
      <c r="V83" s="67">
        <v>1.1023</v>
      </c>
      <c r="Y83" s="67"/>
      <c r="Z83" s="77">
        <v>10.0</v>
      </c>
      <c r="AA83" s="70">
        <f t="shared" si="4"/>
        <v>10</v>
      </c>
      <c r="AB83" s="71">
        <f t="shared" si="35"/>
        <v>692.3201831</v>
      </c>
      <c r="AC83" s="71">
        <f>+(S83-T83)*V83-'data 1'!$F$4</f>
        <v>41.253</v>
      </c>
      <c r="AD83" s="71">
        <f t="shared" si="6"/>
        <v>-2.4110415</v>
      </c>
      <c r="AE83" s="71">
        <f t="shared" si="7"/>
        <v>-58.977</v>
      </c>
      <c r="AF83" s="71">
        <f t="shared" si="8"/>
        <v>9.966230502</v>
      </c>
      <c r="AG83" s="72">
        <f t="shared" si="36"/>
        <v>79.831189</v>
      </c>
      <c r="AH83" s="52">
        <f t="shared" si="10"/>
        <v>27.96582259</v>
      </c>
      <c r="AI83" s="73">
        <f t="shared" si="28"/>
        <v>43.9919801</v>
      </c>
      <c r="AJ83" s="73">
        <f t="shared" si="12"/>
        <v>27.71095644</v>
      </c>
      <c r="AK83" s="11"/>
      <c r="AL83" s="51">
        <f t="shared" si="13"/>
        <v>1884.052454</v>
      </c>
      <c r="AM83" s="3"/>
      <c r="AN83" s="3"/>
      <c r="AO83" s="58">
        <f t="shared" si="14"/>
        <v>31.16316313</v>
      </c>
    </row>
    <row r="84" ht="15.75" customHeight="1">
      <c r="A84" s="116" t="s">
        <v>4568</v>
      </c>
      <c r="B84" s="841">
        <v>45641.0</v>
      </c>
      <c r="C84" s="56">
        <v>45609.0</v>
      </c>
      <c r="D84" s="57" t="s">
        <v>74</v>
      </c>
      <c r="G84" s="3">
        <v>50.0</v>
      </c>
      <c r="H84" s="57" t="s">
        <v>47</v>
      </c>
      <c r="I84" s="58">
        <v>4.52</v>
      </c>
      <c r="J84" s="58">
        <v>1.2</v>
      </c>
      <c r="K84" s="59">
        <f t="shared" si="1"/>
        <v>4.46576</v>
      </c>
      <c r="L84" s="60">
        <v>0.327</v>
      </c>
      <c r="M84" s="61">
        <v>0.324</v>
      </c>
      <c r="N84" s="61">
        <v>0.324</v>
      </c>
      <c r="O84" s="60">
        <f t="shared" si="34"/>
        <v>0.324</v>
      </c>
      <c r="P84" s="63">
        <v>90.0</v>
      </c>
      <c r="Q84" s="64">
        <v>89.41</v>
      </c>
      <c r="R84" s="65">
        <v>2598.75</v>
      </c>
      <c r="S84" s="86">
        <v>110.0</v>
      </c>
      <c r="U84" s="67">
        <v>80.0</v>
      </c>
      <c r="V84" s="67">
        <v>1.1023</v>
      </c>
      <c r="Y84" s="67"/>
      <c r="Z84" s="77">
        <v>10.0</v>
      </c>
      <c r="AA84" s="70">
        <f t="shared" si="4"/>
        <v>10</v>
      </c>
      <c r="AB84" s="71">
        <f t="shared" si="35"/>
        <v>677.3275253</v>
      </c>
      <c r="AC84" s="71">
        <f>+(S84-T84)*V84-'data 1'!$F$4</f>
        <v>41.253</v>
      </c>
      <c r="AD84" s="71">
        <f t="shared" si="6"/>
        <v>-5.356543489</v>
      </c>
      <c r="AE84" s="71">
        <f t="shared" si="7"/>
        <v>-58.977</v>
      </c>
      <c r="AF84" s="71">
        <f t="shared" si="8"/>
        <v>7.447186337</v>
      </c>
      <c r="AG84" s="72">
        <f t="shared" si="36"/>
        <v>74.36664285</v>
      </c>
      <c r="AH84" s="52">
        <f t="shared" si="10"/>
        <v>44.76496984</v>
      </c>
      <c r="AI84" s="73">
        <f t="shared" si="28"/>
        <v>42.91161164</v>
      </c>
      <c r="AJ84" s="73">
        <f t="shared" si="12"/>
        <v>44.64696772</v>
      </c>
      <c r="AK84" s="11"/>
      <c r="AL84" s="51">
        <f t="shared" si="13"/>
        <v>3024.782169</v>
      </c>
      <c r="AM84" s="3"/>
      <c r="AN84" s="3"/>
      <c r="AO84" s="58">
        <f t="shared" si="14"/>
        <v>50.06707285</v>
      </c>
    </row>
    <row r="85" ht="15.75" customHeight="1">
      <c r="A85" s="116" t="s">
        <v>4569</v>
      </c>
      <c r="B85" s="841">
        <v>45641.0</v>
      </c>
      <c r="C85" s="56">
        <v>45609.0</v>
      </c>
      <c r="D85" s="57" t="s">
        <v>74</v>
      </c>
      <c r="G85" s="3">
        <v>35.0</v>
      </c>
      <c r="H85" s="57" t="s">
        <v>47</v>
      </c>
      <c r="I85" s="58">
        <v>3.22</v>
      </c>
      <c r="J85" s="58">
        <v>1.3</v>
      </c>
      <c r="K85" s="59">
        <f t="shared" si="1"/>
        <v>3.17814</v>
      </c>
      <c r="L85" s="60">
        <v>0.361</v>
      </c>
      <c r="M85" s="61">
        <v>0.357</v>
      </c>
      <c r="N85" s="61">
        <v>0.357</v>
      </c>
      <c r="O85" s="60">
        <f t="shared" si="34"/>
        <v>0.357</v>
      </c>
      <c r="P85" s="63">
        <v>90.0</v>
      </c>
      <c r="Q85" s="64">
        <v>89.61</v>
      </c>
      <c r="R85" s="65">
        <v>2598.75</v>
      </c>
      <c r="S85" s="86">
        <v>110.0</v>
      </c>
      <c r="U85" s="67">
        <v>80.0</v>
      </c>
      <c r="V85" s="67">
        <v>1.1023</v>
      </c>
      <c r="Y85" s="67"/>
      <c r="Z85" s="77">
        <v>10.0</v>
      </c>
      <c r="AA85" s="70">
        <f t="shared" si="4"/>
        <v>10</v>
      </c>
      <c r="AB85" s="71">
        <f t="shared" si="35"/>
        <v>759.7871436</v>
      </c>
      <c r="AC85" s="71">
        <f>+(S85-T85)*V85-'data 1'!$F$4</f>
        <v>41.253</v>
      </c>
      <c r="AD85" s="71">
        <f t="shared" si="6"/>
        <v>-3.908919078</v>
      </c>
      <c r="AE85" s="71">
        <f t="shared" si="7"/>
        <v>-58.977</v>
      </c>
      <c r="AF85" s="71">
        <f t="shared" si="8"/>
        <v>9.951793127</v>
      </c>
      <c r="AG85" s="72">
        <f t="shared" si="36"/>
        <v>78.31887405</v>
      </c>
      <c r="AH85" s="52">
        <f t="shared" si="10"/>
        <v>35.24891657</v>
      </c>
      <c r="AI85" s="73">
        <f t="shared" si="28"/>
        <v>47.47933826</v>
      </c>
      <c r="AJ85" s="73">
        <f t="shared" si="12"/>
        <v>35.01005711</v>
      </c>
      <c r="AK85" s="11"/>
      <c r="AL85" s="51">
        <f t="shared" si="13"/>
        <v>2414.709912</v>
      </c>
      <c r="AM85" s="3"/>
      <c r="AN85" s="3"/>
      <c r="AO85" s="58">
        <f t="shared" si="14"/>
        <v>39.33591851</v>
      </c>
    </row>
    <row r="86" ht="15.75" customHeight="1">
      <c r="B86" s="56"/>
      <c r="C86" s="56"/>
      <c r="G86" s="3"/>
      <c r="L86" s="60"/>
      <c r="M86" s="60"/>
      <c r="N86" s="62"/>
      <c r="P86" s="63"/>
      <c r="Q86" s="64"/>
      <c r="S86" s="3"/>
      <c r="AG86" s="91"/>
      <c r="AH86" s="3"/>
      <c r="AI86" s="3"/>
      <c r="AJ86" s="3"/>
      <c r="AL86" s="3"/>
      <c r="AM86" s="3"/>
      <c r="AN86" s="3"/>
    </row>
    <row r="87" ht="15.75" customHeight="1">
      <c r="B87" s="56"/>
      <c r="C87" s="56"/>
      <c r="G87" s="3"/>
      <c r="L87" s="60"/>
      <c r="M87" s="60"/>
      <c r="N87" s="62"/>
      <c r="P87" s="63"/>
      <c r="Q87" s="64"/>
      <c r="S87" s="3"/>
      <c r="AG87" s="91"/>
      <c r="AH87" s="3"/>
      <c r="AI87" s="3"/>
      <c r="AJ87" s="3"/>
      <c r="AL87" s="3"/>
      <c r="AM87" s="3"/>
      <c r="AN87" s="3"/>
    </row>
    <row r="88" ht="15.75" customHeight="1">
      <c r="B88" s="56"/>
      <c r="C88" s="56"/>
      <c r="G88" s="3"/>
      <c r="L88" s="60"/>
      <c r="M88" s="60"/>
      <c r="N88" s="62"/>
      <c r="P88" s="63"/>
      <c r="Q88" s="64"/>
      <c r="S88" s="3"/>
      <c r="AG88" s="91"/>
      <c r="AH88" s="3"/>
      <c r="AI88" s="3"/>
      <c r="AJ88" s="3"/>
      <c r="AL88" s="3"/>
      <c r="AM88" s="3"/>
      <c r="AN88" s="3"/>
    </row>
    <row r="89" ht="15.75" customHeight="1">
      <c r="B89" s="56"/>
      <c r="C89" s="56"/>
      <c r="G89" s="3"/>
      <c r="L89" s="60"/>
      <c r="M89" s="60"/>
      <c r="N89" s="62"/>
      <c r="P89" s="63"/>
      <c r="Q89" s="64"/>
      <c r="S89" s="3"/>
      <c r="AG89" s="91"/>
      <c r="AH89" s="3"/>
      <c r="AI89" s="3"/>
      <c r="AJ89" s="3"/>
      <c r="AL89" s="3"/>
      <c r="AM89" s="3"/>
      <c r="AN89" s="3"/>
    </row>
    <row r="90" ht="15.75" customHeight="1">
      <c r="B90" s="56"/>
      <c r="C90" s="56"/>
      <c r="G90" s="3"/>
      <c r="L90" s="60"/>
      <c r="M90" s="60"/>
      <c r="N90" s="62"/>
      <c r="P90" s="63"/>
      <c r="Q90" s="64"/>
      <c r="S90" s="3"/>
      <c r="AG90" s="91"/>
      <c r="AH90" s="3"/>
      <c r="AI90" s="3"/>
      <c r="AJ90" s="3"/>
      <c r="AL90" s="3"/>
      <c r="AM90" s="3"/>
      <c r="AN90" s="3"/>
    </row>
    <row r="91" ht="15.75" customHeight="1">
      <c r="B91" s="56"/>
      <c r="C91" s="56"/>
      <c r="G91" s="3"/>
      <c r="L91" s="60"/>
      <c r="M91" s="60"/>
      <c r="N91" s="62"/>
      <c r="P91" s="63"/>
      <c r="Q91" s="64"/>
      <c r="S91" s="3"/>
      <c r="AG91" s="91"/>
      <c r="AH91" s="3"/>
      <c r="AI91" s="3"/>
      <c r="AJ91" s="3"/>
      <c r="AL91" s="3"/>
      <c r="AM91" s="3"/>
      <c r="AN91" s="3"/>
    </row>
    <row r="92" ht="15.75" customHeight="1">
      <c r="B92" s="56"/>
      <c r="C92" s="56"/>
      <c r="G92" s="3"/>
      <c r="L92" s="60"/>
      <c r="M92" s="60"/>
      <c r="N92" s="62"/>
      <c r="P92" s="63"/>
      <c r="Q92" s="64"/>
      <c r="S92" s="3"/>
      <c r="AG92" s="91"/>
      <c r="AH92" s="3"/>
      <c r="AI92" s="3"/>
      <c r="AJ92" s="3"/>
      <c r="AL92" s="3"/>
      <c r="AM92" s="3"/>
      <c r="AN92" s="3"/>
    </row>
    <row r="93" ht="15.75" customHeight="1">
      <c r="B93" s="56"/>
      <c r="C93" s="56"/>
      <c r="G93" s="3"/>
      <c r="L93" s="60"/>
      <c r="M93" s="60"/>
      <c r="N93" s="62"/>
      <c r="P93" s="63"/>
      <c r="Q93" s="64"/>
      <c r="AG93" s="91"/>
      <c r="AH93" s="3"/>
      <c r="AI93" s="3"/>
      <c r="AJ93" s="3"/>
      <c r="AL93" s="3"/>
      <c r="AM93" s="3"/>
      <c r="AN93" s="3"/>
    </row>
    <row r="94" ht="15.75" customHeight="1">
      <c r="B94" s="56"/>
      <c r="C94" s="56"/>
      <c r="G94" s="3"/>
      <c r="L94" s="60"/>
      <c r="M94" s="60"/>
      <c r="N94" s="62"/>
      <c r="P94" s="63"/>
      <c r="Q94" s="64"/>
      <c r="AG94" s="91"/>
      <c r="AH94" s="3"/>
      <c r="AI94" s="3"/>
      <c r="AJ94" s="3"/>
      <c r="AL94" s="3"/>
      <c r="AM94" s="3"/>
      <c r="AN94" s="3"/>
    </row>
    <row r="95" ht="15.75" customHeight="1">
      <c r="B95" s="56"/>
      <c r="C95" s="56"/>
      <c r="G95" s="3"/>
      <c r="L95" s="60"/>
      <c r="M95" s="60"/>
      <c r="N95" s="62"/>
      <c r="P95" s="63"/>
      <c r="Q95" s="64"/>
      <c r="AG95" s="91"/>
      <c r="AH95" s="3"/>
      <c r="AI95" s="3"/>
      <c r="AJ95" s="3"/>
      <c r="AL95" s="3"/>
      <c r="AM95" s="3"/>
      <c r="AN95" s="3"/>
    </row>
    <row r="96" ht="15.75" customHeight="1">
      <c r="B96" s="56"/>
      <c r="C96" s="56"/>
      <c r="G96" s="3"/>
      <c r="L96" s="60"/>
      <c r="M96" s="60"/>
      <c r="N96" s="62"/>
      <c r="P96" s="63"/>
      <c r="Q96" s="64"/>
      <c r="AG96" s="91"/>
      <c r="AH96" s="3"/>
      <c r="AI96" s="3"/>
      <c r="AJ96" s="3"/>
      <c r="AL96" s="3"/>
      <c r="AM96" s="3"/>
      <c r="AN96" s="3"/>
    </row>
    <row r="97" ht="15.75" customHeight="1">
      <c r="B97" s="56"/>
      <c r="C97" s="56"/>
      <c r="G97" s="3"/>
      <c r="L97" s="60"/>
      <c r="M97" s="60"/>
      <c r="N97" s="62"/>
      <c r="P97" s="63"/>
      <c r="Q97" s="64"/>
      <c r="AG97" s="91"/>
      <c r="AH97" s="3"/>
      <c r="AI97" s="3"/>
      <c r="AJ97" s="3"/>
      <c r="AL97" s="3"/>
      <c r="AM97" s="3"/>
      <c r="AN97" s="3"/>
    </row>
    <row r="98" ht="15.75" customHeight="1">
      <c r="B98" s="56"/>
      <c r="C98" s="56"/>
      <c r="G98" s="3"/>
      <c r="L98" s="60"/>
      <c r="M98" s="60"/>
      <c r="N98" s="62"/>
      <c r="P98" s="63"/>
      <c r="Q98" s="64"/>
      <c r="AG98" s="91"/>
      <c r="AH98" s="3"/>
      <c r="AI98" s="3"/>
      <c r="AJ98" s="3"/>
      <c r="AL98" s="3"/>
      <c r="AM98" s="3"/>
      <c r="AN98" s="3"/>
    </row>
    <row r="99" ht="15.75" customHeight="1">
      <c r="B99" s="56"/>
      <c r="C99" s="56"/>
      <c r="G99" s="3"/>
      <c r="L99" s="60"/>
      <c r="M99" s="60"/>
      <c r="N99" s="62"/>
      <c r="P99" s="63"/>
      <c r="Q99" s="64"/>
      <c r="AG99" s="91"/>
      <c r="AH99" s="3"/>
      <c r="AI99" s="3"/>
      <c r="AJ99" s="3"/>
      <c r="AL99" s="3"/>
      <c r="AM99" s="3"/>
      <c r="AN99" s="3"/>
    </row>
    <row r="100" ht="15.75" customHeight="1">
      <c r="B100" s="56"/>
      <c r="C100" s="56"/>
      <c r="G100" s="3"/>
      <c r="L100" s="60"/>
      <c r="M100" s="60"/>
      <c r="N100" s="62"/>
      <c r="P100" s="63"/>
      <c r="Q100" s="64"/>
      <c r="AG100" s="91"/>
      <c r="AH100" s="3"/>
      <c r="AI100" s="3"/>
      <c r="AJ100" s="3"/>
      <c r="AL100" s="3"/>
      <c r="AM100" s="3"/>
      <c r="AN100" s="3"/>
    </row>
    <row r="101" ht="15.75" customHeight="1">
      <c r="B101" s="56"/>
      <c r="C101" s="56"/>
      <c r="G101" s="3"/>
      <c r="L101" s="60"/>
      <c r="M101" s="60"/>
      <c r="N101" s="62"/>
      <c r="P101" s="63"/>
      <c r="Q101" s="64"/>
      <c r="AG101" s="91"/>
      <c r="AH101" s="3"/>
      <c r="AI101" s="3"/>
      <c r="AJ101" s="3"/>
      <c r="AL101" s="3"/>
      <c r="AM101" s="3"/>
      <c r="AN101" s="3"/>
    </row>
    <row r="102" ht="15.75" customHeight="1">
      <c r="B102" s="56"/>
      <c r="C102" s="56"/>
      <c r="G102" s="3"/>
      <c r="L102" s="60"/>
      <c r="M102" s="60"/>
      <c r="N102" s="62"/>
      <c r="P102" s="63"/>
      <c r="Q102" s="64"/>
      <c r="AG102" s="91"/>
      <c r="AH102" s="3"/>
      <c r="AI102" s="3"/>
      <c r="AJ102" s="3"/>
      <c r="AL102" s="3"/>
      <c r="AM102" s="3"/>
      <c r="AN102" s="3"/>
    </row>
    <row r="103" ht="15.75" customHeight="1">
      <c r="B103" s="56"/>
      <c r="C103" s="56"/>
      <c r="G103" s="3"/>
      <c r="L103" s="60"/>
      <c r="M103" s="60"/>
      <c r="N103" s="62"/>
      <c r="P103" s="63"/>
      <c r="Q103" s="64"/>
      <c r="AG103" s="91"/>
      <c r="AH103" s="3"/>
      <c r="AI103" s="3"/>
      <c r="AJ103" s="3"/>
      <c r="AL103" s="3"/>
      <c r="AM103" s="3"/>
      <c r="AN103" s="3"/>
    </row>
    <row r="104" ht="15.75" customHeight="1">
      <c r="B104" s="56"/>
      <c r="C104" s="56"/>
      <c r="G104" s="3"/>
      <c r="L104" s="60"/>
      <c r="M104" s="60"/>
      <c r="N104" s="62"/>
      <c r="P104" s="63"/>
      <c r="Q104" s="64"/>
      <c r="AG104" s="91"/>
      <c r="AH104" s="3"/>
      <c r="AI104" s="3"/>
      <c r="AJ104" s="3"/>
      <c r="AL104" s="3"/>
      <c r="AM104" s="3"/>
      <c r="AN104" s="3"/>
    </row>
    <row r="105" ht="15.75" customHeight="1">
      <c r="B105" s="56"/>
      <c r="C105" s="56"/>
      <c r="G105" s="3"/>
      <c r="L105" s="60"/>
      <c r="M105" s="60"/>
      <c r="N105" s="62"/>
      <c r="P105" s="63"/>
      <c r="Q105" s="64"/>
      <c r="AG105" s="91"/>
      <c r="AH105" s="3"/>
      <c r="AI105" s="3"/>
      <c r="AJ105" s="3"/>
      <c r="AL105" s="3"/>
      <c r="AM105" s="3"/>
      <c r="AN105" s="3"/>
    </row>
    <row r="106" ht="15.75" customHeight="1">
      <c r="B106" s="56"/>
      <c r="C106" s="56"/>
      <c r="G106" s="3"/>
      <c r="L106" s="60"/>
      <c r="M106" s="60"/>
      <c r="N106" s="62"/>
      <c r="P106" s="63"/>
      <c r="Q106" s="64"/>
      <c r="AG106" s="91"/>
      <c r="AH106" s="3"/>
      <c r="AI106" s="3"/>
      <c r="AJ106" s="3"/>
      <c r="AL106" s="3"/>
      <c r="AM106" s="3"/>
      <c r="AN106" s="3"/>
    </row>
    <row r="107" ht="15.75" customHeight="1">
      <c r="B107" s="56"/>
      <c r="C107" s="56"/>
      <c r="G107" s="3"/>
      <c r="L107" s="60"/>
      <c r="M107" s="60"/>
      <c r="N107" s="62"/>
      <c r="P107" s="63"/>
      <c r="Q107" s="64"/>
      <c r="AG107" s="91"/>
      <c r="AH107" s="3"/>
      <c r="AI107" s="3"/>
      <c r="AJ107" s="3"/>
      <c r="AL107" s="3"/>
      <c r="AM107" s="3"/>
      <c r="AN107" s="3"/>
    </row>
    <row r="108" ht="15.75" customHeight="1">
      <c r="B108" s="56"/>
      <c r="C108" s="56"/>
      <c r="G108" s="3"/>
      <c r="L108" s="60"/>
      <c r="M108" s="60"/>
      <c r="N108" s="62"/>
      <c r="P108" s="63"/>
      <c r="Q108" s="64"/>
      <c r="AG108" s="91"/>
      <c r="AH108" s="3"/>
      <c r="AI108" s="3"/>
      <c r="AJ108" s="3"/>
      <c r="AL108" s="3"/>
      <c r="AM108" s="3"/>
      <c r="AN108" s="3"/>
    </row>
    <row r="109" ht="15.75" customHeight="1">
      <c r="B109" s="56"/>
      <c r="C109" s="56"/>
      <c r="G109" s="3"/>
      <c r="M109" s="60"/>
      <c r="N109" s="62"/>
      <c r="P109" s="63"/>
      <c r="Q109" s="64"/>
      <c r="AG109" s="91"/>
      <c r="AH109" s="3"/>
      <c r="AI109" s="3"/>
      <c r="AJ109" s="3"/>
      <c r="AL109" s="3"/>
      <c r="AM109" s="3"/>
      <c r="AN109" s="3"/>
    </row>
    <row r="110" ht="15.75" customHeight="1">
      <c r="B110" s="56"/>
      <c r="C110" s="56"/>
      <c r="G110" s="3"/>
      <c r="M110" s="60"/>
      <c r="N110" s="62"/>
      <c r="P110" s="63"/>
      <c r="Q110" s="64"/>
      <c r="AG110" s="91"/>
      <c r="AH110" s="3"/>
      <c r="AI110" s="3"/>
      <c r="AJ110" s="3"/>
      <c r="AL110" s="3"/>
      <c r="AM110" s="3"/>
      <c r="AN110" s="3"/>
    </row>
    <row r="111" ht="15.75" customHeight="1">
      <c r="B111" s="56"/>
      <c r="C111" s="56"/>
      <c r="G111" s="3"/>
      <c r="M111" s="60"/>
      <c r="N111" s="62"/>
      <c r="P111" s="63"/>
      <c r="Q111" s="64"/>
      <c r="AG111" s="91"/>
      <c r="AH111" s="3"/>
      <c r="AI111" s="3"/>
      <c r="AJ111" s="3"/>
      <c r="AL111" s="3"/>
      <c r="AM111" s="3"/>
      <c r="AN111" s="3"/>
    </row>
    <row r="112" ht="15.75" customHeight="1">
      <c r="B112" s="56"/>
      <c r="C112" s="56"/>
      <c r="G112" s="3"/>
      <c r="M112" s="60"/>
      <c r="N112" s="62"/>
      <c r="P112" s="63"/>
      <c r="Q112" s="64"/>
      <c r="AG112" s="91"/>
      <c r="AH112" s="3"/>
      <c r="AI112" s="3"/>
      <c r="AJ112" s="3"/>
      <c r="AL112" s="3"/>
      <c r="AM112" s="3"/>
      <c r="AN112" s="3"/>
    </row>
    <row r="113" ht="15.75" customHeight="1">
      <c r="B113" s="56"/>
      <c r="C113" s="56"/>
      <c r="G113" s="3"/>
      <c r="M113" s="60"/>
      <c r="N113" s="62"/>
      <c r="P113" s="63"/>
      <c r="Q113" s="64"/>
      <c r="AG113" s="91"/>
      <c r="AH113" s="3"/>
      <c r="AI113" s="3"/>
      <c r="AJ113" s="3"/>
      <c r="AL113" s="3"/>
      <c r="AM113" s="3"/>
      <c r="AN113" s="3"/>
    </row>
    <row r="114" ht="15.75" customHeight="1">
      <c r="B114" s="56"/>
      <c r="C114" s="56"/>
      <c r="G114" s="3"/>
      <c r="M114" s="60"/>
      <c r="N114" s="62"/>
      <c r="P114" s="63"/>
      <c r="Q114" s="64"/>
      <c r="AG114" s="91"/>
      <c r="AH114" s="3"/>
      <c r="AI114" s="3"/>
      <c r="AJ114" s="3"/>
      <c r="AL114" s="3"/>
      <c r="AM114" s="3"/>
      <c r="AN114" s="3"/>
    </row>
    <row r="115" ht="15.75" customHeight="1">
      <c r="B115" s="56"/>
      <c r="C115" s="56"/>
      <c r="G115" s="3"/>
      <c r="M115" s="60"/>
      <c r="N115" s="62"/>
      <c r="P115" s="63"/>
      <c r="Q115" s="64"/>
      <c r="AG115" s="91"/>
      <c r="AH115" s="3"/>
      <c r="AI115" s="3"/>
      <c r="AJ115" s="3"/>
      <c r="AL115" s="3"/>
      <c r="AM115" s="3"/>
      <c r="AN115" s="3"/>
    </row>
    <row r="116" ht="15.75" customHeight="1">
      <c r="B116" s="56"/>
      <c r="C116" s="56"/>
      <c r="G116" s="3"/>
      <c r="N116" s="62"/>
      <c r="P116" s="63"/>
      <c r="Q116" s="64"/>
      <c r="AG116" s="91"/>
      <c r="AH116" s="3"/>
      <c r="AI116" s="3"/>
      <c r="AJ116" s="3"/>
      <c r="AL116" s="3"/>
      <c r="AM116" s="3"/>
      <c r="AN116" s="3"/>
    </row>
    <row r="117" ht="15.75" customHeight="1">
      <c r="B117" s="56"/>
      <c r="C117" s="56"/>
      <c r="G117" s="3"/>
      <c r="N117" s="62"/>
      <c r="P117" s="63"/>
      <c r="Q117" s="64"/>
      <c r="AG117" s="91"/>
      <c r="AH117" s="3"/>
      <c r="AI117" s="3"/>
      <c r="AJ117" s="3"/>
      <c r="AL117" s="3"/>
      <c r="AM117" s="3"/>
      <c r="AN117" s="3"/>
    </row>
    <row r="118" ht="15.75" customHeight="1">
      <c r="B118" s="56"/>
      <c r="C118" s="56"/>
      <c r="G118" s="3"/>
      <c r="N118" s="62"/>
      <c r="P118" s="63"/>
      <c r="Q118" s="64"/>
      <c r="AG118" s="91"/>
      <c r="AH118" s="3"/>
      <c r="AI118" s="3"/>
      <c r="AJ118" s="3"/>
      <c r="AL118" s="3"/>
      <c r="AM118" s="3"/>
      <c r="AN118" s="3"/>
    </row>
    <row r="119" ht="15.75" customHeight="1">
      <c r="B119" s="56"/>
      <c r="C119" s="56"/>
      <c r="G119" s="3"/>
      <c r="N119" s="62"/>
      <c r="P119" s="63"/>
      <c r="Q119" s="64"/>
      <c r="AG119" s="91"/>
      <c r="AH119" s="3"/>
      <c r="AI119" s="3"/>
      <c r="AJ119" s="3"/>
      <c r="AL119" s="3"/>
      <c r="AM119" s="3"/>
      <c r="AN119" s="3"/>
    </row>
    <row r="120" ht="15.75" customHeight="1">
      <c r="B120" s="56"/>
      <c r="C120" s="56"/>
      <c r="G120" s="3"/>
      <c r="N120" s="62"/>
      <c r="P120" s="63"/>
      <c r="Q120" s="64"/>
      <c r="AG120" s="91"/>
      <c r="AH120" s="3"/>
      <c r="AI120" s="3"/>
      <c r="AJ120" s="3"/>
      <c r="AL120" s="3"/>
      <c r="AM120" s="3"/>
      <c r="AN120" s="3"/>
    </row>
    <row r="121" ht="15.75" customHeight="1">
      <c r="B121" s="56"/>
      <c r="C121" s="56"/>
      <c r="G121" s="3"/>
      <c r="N121" s="62"/>
      <c r="P121" s="63"/>
      <c r="Q121" s="64"/>
      <c r="AG121" s="91"/>
      <c r="AH121" s="3"/>
      <c r="AI121" s="3"/>
      <c r="AJ121" s="3"/>
      <c r="AL121" s="3"/>
      <c r="AM121" s="3"/>
      <c r="AN121" s="3"/>
    </row>
    <row r="122" ht="15.75" customHeight="1">
      <c r="B122" s="56"/>
      <c r="C122" s="56"/>
      <c r="G122" s="3"/>
      <c r="N122" s="62"/>
      <c r="P122" s="63"/>
      <c r="Q122" s="64"/>
      <c r="AG122" s="91"/>
      <c r="AH122" s="3"/>
      <c r="AI122" s="3"/>
      <c r="AJ122" s="3"/>
      <c r="AL122" s="3"/>
      <c r="AM122" s="3"/>
      <c r="AN122" s="3"/>
    </row>
    <row r="123" ht="15.75" customHeight="1">
      <c r="B123" s="56"/>
      <c r="C123" s="56"/>
      <c r="G123" s="3"/>
      <c r="N123" s="62"/>
      <c r="P123" s="63"/>
      <c r="Q123" s="64"/>
      <c r="AG123" s="91"/>
      <c r="AH123" s="3"/>
      <c r="AI123" s="3"/>
      <c r="AJ123" s="3"/>
      <c r="AL123" s="3"/>
      <c r="AM123" s="3"/>
      <c r="AN123" s="3"/>
    </row>
    <row r="124" ht="15.75" customHeight="1">
      <c r="B124" s="56"/>
      <c r="C124" s="56"/>
      <c r="G124" s="3"/>
      <c r="N124" s="62"/>
      <c r="P124" s="63"/>
      <c r="Q124" s="64"/>
      <c r="AG124" s="91"/>
      <c r="AH124" s="3"/>
      <c r="AI124" s="3"/>
      <c r="AJ124" s="3"/>
      <c r="AL124" s="3"/>
      <c r="AM124" s="3"/>
      <c r="AN124" s="3"/>
    </row>
    <row r="125" ht="15.75" customHeight="1">
      <c r="B125" s="56"/>
      <c r="C125" s="56"/>
      <c r="G125" s="3"/>
      <c r="N125" s="62"/>
      <c r="P125" s="63"/>
      <c r="Q125" s="64"/>
      <c r="AG125" s="91"/>
      <c r="AH125" s="3"/>
      <c r="AI125" s="3"/>
      <c r="AJ125" s="3"/>
      <c r="AL125" s="3"/>
      <c r="AM125" s="3"/>
      <c r="AN125" s="3"/>
    </row>
    <row r="126" ht="15.75" customHeight="1">
      <c r="B126" s="56"/>
      <c r="C126" s="56"/>
      <c r="G126" s="3"/>
      <c r="N126" s="62"/>
      <c r="P126" s="63"/>
      <c r="Q126" s="64"/>
      <c r="AG126" s="91"/>
      <c r="AH126" s="3"/>
      <c r="AI126" s="3"/>
      <c r="AJ126" s="3"/>
      <c r="AL126" s="3"/>
      <c r="AM126" s="3"/>
      <c r="AN126" s="3"/>
    </row>
    <row r="127" ht="15.75" customHeight="1">
      <c r="B127" s="56"/>
      <c r="C127" s="56"/>
      <c r="G127" s="3"/>
      <c r="N127" s="62"/>
      <c r="P127" s="63"/>
      <c r="Q127" s="64"/>
      <c r="AG127" s="91"/>
      <c r="AH127" s="3"/>
      <c r="AI127" s="3"/>
      <c r="AJ127" s="3"/>
      <c r="AL127" s="3"/>
      <c r="AM127" s="3"/>
      <c r="AN127" s="3"/>
    </row>
    <row r="128" ht="15.75" customHeight="1">
      <c r="B128" s="56"/>
      <c r="C128" s="56"/>
      <c r="G128" s="3"/>
      <c r="N128" s="62"/>
      <c r="P128" s="63"/>
      <c r="Q128" s="64"/>
      <c r="AG128" s="91"/>
      <c r="AH128" s="3"/>
      <c r="AI128" s="3"/>
      <c r="AJ128" s="3"/>
      <c r="AL128" s="3"/>
      <c r="AM128" s="3"/>
      <c r="AN128" s="3"/>
    </row>
    <row r="129" ht="15.75" customHeight="1">
      <c r="B129" s="56"/>
      <c r="C129" s="56"/>
      <c r="G129" s="3"/>
      <c r="N129" s="62"/>
      <c r="P129" s="63"/>
      <c r="Q129" s="64"/>
      <c r="AG129" s="91"/>
      <c r="AH129" s="3"/>
      <c r="AI129" s="3"/>
      <c r="AJ129" s="3"/>
      <c r="AL129" s="3"/>
      <c r="AM129" s="3"/>
      <c r="AN129" s="3"/>
    </row>
    <row r="130" ht="15.75" customHeight="1">
      <c r="B130" s="56"/>
      <c r="C130" s="56"/>
      <c r="G130" s="3"/>
      <c r="N130" s="62"/>
      <c r="P130" s="63"/>
      <c r="Q130" s="64"/>
      <c r="AG130" s="91"/>
      <c r="AH130" s="3"/>
      <c r="AI130" s="3"/>
      <c r="AJ130" s="3"/>
      <c r="AL130" s="3"/>
      <c r="AM130" s="3"/>
      <c r="AN130" s="3"/>
    </row>
    <row r="131" ht="15.75" customHeight="1">
      <c r="B131" s="56"/>
      <c r="C131" s="56"/>
      <c r="G131" s="3"/>
      <c r="N131" s="62"/>
      <c r="P131" s="63"/>
      <c r="Q131" s="64"/>
      <c r="AG131" s="91"/>
      <c r="AH131" s="3"/>
      <c r="AI131" s="3"/>
      <c r="AJ131" s="3"/>
      <c r="AL131" s="3"/>
      <c r="AM131" s="3"/>
      <c r="AN131" s="3"/>
    </row>
    <row r="132" ht="15.75" customHeight="1">
      <c r="B132" s="56"/>
      <c r="C132" s="56"/>
      <c r="G132" s="3"/>
      <c r="N132" s="62"/>
      <c r="P132" s="63"/>
      <c r="Q132" s="64"/>
      <c r="AG132" s="91"/>
      <c r="AH132" s="3"/>
      <c r="AI132" s="3"/>
      <c r="AJ132" s="3"/>
      <c r="AL132" s="3"/>
      <c r="AM132" s="3"/>
      <c r="AN132" s="3"/>
    </row>
    <row r="133" ht="15.75" customHeight="1">
      <c r="B133" s="56"/>
      <c r="C133" s="56"/>
      <c r="G133" s="3"/>
      <c r="N133" s="62"/>
      <c r="P133" s="63"/>
      <c r="Q133" s="64"/>
      <c r="AG133" s="91"/>
      <c r="AH133" s="3"/>
      <c r="AI133" s="3"/>
      <c r="AJ133" s="3"/>
      <c r="AL133" s="3"/>
      <c r="AM133" s="3"/>
      <c r="AN133" s="3"/>
    </row>
    <row r="134" ht="15.75" customHeight="1">
      <c r="B134" s="56"/>
      <c r="C134" s="56"/>
      <c r="G134" s="3"/>
      <c r="N134" s="62"/>
      <c r="P134" s="63"/>
      <c r="Q134" s="64"/>
      <c r="AG134" s="91"/>
      <c r="AH134" s="3"/>
      <c r="AI134" s="3"/>
      <c r="AJ134" s="3"/>
      <c r="AL134" s="3"/>
      <c r="AM134" s="3"/>
      <c r="AN134" s="3"/>
    </row>
    <row r="135" ht="15.75" customHeight="1">
      <c r="B135" s="56"/>
      <c r="C135" s="56"/>
      <c r="G135" s="3"/>
      <c r="N135" s="62"/>
      <c r="P135" s="63"/>
      <c r="Q135" s="64"/>
      <c r="AG135" s="91"/>
      <c r="AH135" s="3"/>
      <c r="AI135" s="3"/>
      <c r="AJ135" s="3"/>
      <c r="AL135" s="3"/>
      <c r="AM135" s="3"/>
      <c r="AN135" s="3"/>
    </row>
    <row r="136" ht="15.75" customHeight="1">
      <c r="B136" s="56"/>
      <c r="C136" s="56"/>
      <c r="G136" s="3"/>
      <c r="N136" s="62"/>
      <c r="P136" s="63"/>
      <c r="Q136" s="64"/>
      <c r="AG136" s="91"/>
      <c r="AH136" s="3"/>
      <c r="AI136" s="3"/>
      <c r="AJ136" s="3"/>
      <c r="AL136" s="3"/>
      <c r="AM136" s="3"/>
      <c r="AN136" s="3"/>
    </row>
    <row r="137" ht="15.75" customHeight="1">
      <c r="B137" s="56"/>
      <c r="C137" s="56"/>
      <c r="G137" s="3"/>
      <c r="N137" s="62"/>
      <c r="P137" s="63"/>
      <c r="Q137" s="64"/>
      <c r="AG137" s="91"/>
      <c r="AH137" s="3"/>
      <c r="AI137" s="3"/>
      <c r="AJ137" s="3"/>
      <c r="AL137" s="3"/>
      <c r="AM137" s="3"/>
      <c r="AN137" s="3"/>
    </row>
    <row r="138" ht="15.75" customHeight="1">
      <c r="B138" s="56"/>
      <c r="C138" s="56"/>
      <c r="G138" s="3"/>
      <c r="N138" s="62"/>
      <c r="P138" s="63"/>
      <c r="Q138" s="64"/>
      <c r="AG138" s="91"/>
      <c r="AH138" s="3"/>
      <c r="AI138" s="3"/>
      <c r="AJ138" s="3"/>
      <c r="AL138" s="3"/>
      <c r="AM138" s="3"/>
      <c r="AN138" s="3"/>
    </row>
    <row r="139" ht="15.75" customHeight="1">
      <c r="B139" s="56"/>
      <c r="C139" s="56"/>
      <c r="G139" s="3"/>
      <c r="N139" s="62"/>
      <c r="P139" s="63"/>
      <c r="Q139" s="64"/>
      <c r="AG139" s="91"/>
      <c r="AH139" s="3"/>
      <c r="AI139" s="3"/>
      <c r="AJ139" s="3"/>
      <c r="AL139" s="3"/>
      <c r="AM139" s="3"/>
      <c r="AN139" s="3"/>
    </row>
    <row r="140" ht="15.75" customHeight="1">
      <c r="B140" s="56"/>
      <c r="C140" s="56"/>
      <c r="G140" s="3"/>
      <c r="N140" s="62"/>
      <c r="P140" s="63"/>
      <c r="Q140" s="64"/>
      <c r="AG140" s="91"/>
      <c r="AH140" s="3"/>
      <c r="AI140" s="3"/>
      <c r="AJ140" s="3"/>
      <c r="AL140" s="3"/>
      <c r="AM140" s="3"/>
      <c r="AN140" s="3"/>
    </row>
    <row r="141" ht="15.75" customHeight="1">
      <c r="B141" s="56"/>
      <c r="C141" s="56"/>
      <c r="G141" s="3"/>
      <c r="N141" s="62"/>
      <c r="P141" s="63"/>
      <c r="Q141" s="64"/>
      <c r="AG141" s="91"/>
      <c r="AH141" s="3"/>
      <c r="AI141" s="3"/>
      <c r="AJ141" s="3"/>
      <c r="AL141" s="3"/>
      <c r="AM141" s="3"/>
      <c r="AN141" s="3"/>
    </row>
    <row r="142" ht="15.75" customHeight="1">
      <c r="B142" s="56"/>
      <c r="C142" s="56"/>
      <c r="G142" s="3"/>
      <c r="N142" s="62"/>
      <c r="P142" s="63"/>
      <c r="Q142" s="64"/>
      <c r="AG142" s="91"/>
      <c r="AH142" s="3"/>
      <c r="AI142" s="3"/>
      <c r="AJ142" s="3"/>
      <c r="AL142" s="3"/>
      <c r="AM142" s="3"/>
      <c r="AN142" s="3"/>
    </row>
    <row r="143" ht="15.75" customHeight="1">
      <c r="B143" s="56"/>
      <c r="C143" s="56"/>
      <c r="G143" s="3"/>
      <c r="N143" s="62"/>
      <c r="P143" s="63"/>
      <c r="Q143" s="64"/>
      <c r="AG143" s="91"/>
      <c r="AH143" s="3"/>
      <c r="AI143" s="3"/>
      <c r="AJ143" s="3"/>
      <c r="AL143" s="3"/>
      <c r="AM143" s="3"/>
      <c r="AN143" s="3"/>
    </row>
    <row r="144" ht="15.75" customHeight="1">
      <c r="B144" s="56"/>
      <c r="C144" s="56"/>
      <c r="G144" s="3"/>
      <c r="N144" s="62"/>
      <c r="P144" s="63"/>
      <c r="Q144" s="64"/>
      <c r="AG144" s="91"/>
      <c r="AH144" s="3"/>
      <c r="AI144" s="3"/>
      <c r="AJ144" s="3"/>
      <c r="AL144" s="3"/>
      <c r="AM144" s="3"/>
      <c r="AN144" s="3"/>
    </row>
    <row r="145" ht="15.75" customHeight="1">
      <c r="B145" s="56"/>
      <c r="C145" s="56"/>
      <c r="G145" s="3"/>
      <c r="N145" s="62"/>
      <c r="P145" s="63"/>
      <c r="Q145" s="64"/>
      <c r="AG145" s="91"/>
      <c r="AH145" s="3"/>
      <c r="AI145" s="3"/>
      <c r="AJ145" s="3"/>
      <c r="AL145" s="3"/>
      <c r="AM145" s="3"/>
      <c r="AN145" s="3"/>
    </row>
    <row r="146" ht="15.75" customHeight="1">
      <c r="B146" s="56"/>
      <c r="C146" s="56"/>
      <c r="G146" s="3"/>
      <c r="N146" s="62"/>
      <c r="P146" s="63"/>
      <c r="Q146" s="64"/>
      <c r="AG146" s="91"/>
      <c r="AH146" s="3"/>
      <c r="AI146" s="3"/>
      <c r="AJ146" s="3"/>
      <c r="AL146" s="3"/>
      <c r="AM146" s="3"/>
      <c r="AN146" s="3"/>
    </row>
    <row r="147" ht="15.75" customHeight="1">
      <c r="B147" s="56"/>
      <c r="C147" s="56"/>
      <c r="G147" s="3"/>
      <c r="N147" s="62"/>
      <c r="P147" s="63"/>
      <c r="Q147" s="64"/>
      <c r="AG147" s="91"/>
      <c r="AH147" s="3"/>
      <c r="AI147" s="3"/>
      <c r="AJ147" s="3"/>
      <c r="AL147" s="3"/>
      <c r="AM147" s="3"/>
      <c r="AN147" s="3"/>
    </row>
    <row r="148" ht="15.75" customHeight="1">
      <c r="B148" s="56"/>
      <c r="C148" s="56"/>
      <c r="G148" s="3"/>
      <c r="N148" s="62"/>
      <c r="P148" s="63"/>
      <c r="Q148" s="64"/>
      <c r="AG148" s="91"/>
      <c r="AH148" s="3"/>
      <c r="AI148" s="3"/>
      <c r="AJ148" s="3"/>
      <c r="AL148" s="3"/>
      <c r="AM148" s="3"/>
      <c r="AN148" s="3"/>
    </row>
    <row r="149" ht="15.75" customHeight="1">
      <c r="B149" s="56"/>
      <c r="C149" s="56"/>
      <c r="G149" s="3"/>
      <c r="N149" s="62"/>
      <c r="P149" s="63"/>
      <c r="Q149" s="64"/>
      <c r="AG149" s="91"/>
      <c r="AH149" s="3"/>
      <c r="AI149" s="3"/>
      <c r="AJ149" s="3"/>
      <c r="AL149" s="3"/>
      <c r="AM149" s="3"/>
      <c r="AN149" s="3"/>
    </row>
    <row r="150" ht="15.75" customHeight="1">
      <c r="B150" s="56"/>
      <c r="C150" s="56"/>
      <c r="G150" s="3"/>
      <c r="N150" s="62"/>
      <c r="P150" s="63"/>
      <c r="Q150" s="64"/>
      <c r="AG150" s="91"/>
      <c r="AH150" s="3"/>
      <c r="AI150" s="3"/>
      <c r="AJ150" s="3"/>
      <c r="AL150" s="3"/>
      <c r="AM150" s="3"/>
      <c r="AN150" s="3"/>
    </row>
    <row r="151" ht="15.75" customHeight="1">
      <c r="B151" s="56"/>
      <c r="C151" s="56"/>
      <c r="G151" s="3"/>
      <c r="N151" s="62"/>
      <c r="P151" s="63"/>
      <c r="Q151" s="64"/>
      <c r="AG151" s="91"/>
      <c r="AH151" s="3"/>
      <c r="AI151" s="3"/>
      <c r="AJ151" s="3"/>
      <c r="AL151" s="3"/>
      <c r="AM151" s="3"/>
      <c r="AN151" s="3"/>
    </row>
    <row r="152" ht="15.75" customHeight="1">
      <c r="B152" s="56"/>
      <c r="C152" s="56"/>
      <c r="G152" s="3"/>
      <c r="N152" s="62"/>
      <c r="P152" s="63"/>
      <c r="Q152" s="64"/>
      <c r="AG152" s="91"/>
      <c r="AH152" s="3"/>
      <c r="AI152" s="3"/>
      <c r="AJ152" s="3"/>
      <c r="AL152" s="3"/>
      <c r="AM152" s="3"/>
      <c r="AN152" s="3"/>
    </row>
    <row r="153" ht="15.75" customHeight="1">
      <c r="B153" s="56"/>
      <c r="C153" s="56"/>
      <c r="G153" s="3"/>
      <c r="N153" s="62"/>
      <c r="P153" s="63"/>
      <c r="Q153" s="64"/>
      <c r="AG153" s="91"/>
      <c r="AH153" s="3"/>
      <c r="AI153" s="3"/>
      <c r="AJ153" s="3"/>
      <c r="AL153" s="3"/>
      <c r="AM153" s="3"/>
      <c r="AN153" s="3"/>
    </row>
    <row r="154" ht="15.75" customHeight="1">
      <c r="B154" s="56"/>
      <c r="C154" s="56"/>
      <c r="G154" s="3"/>
      <c r="N154" s="62"/>
      <c r="P154" s="63"/>
      <c r="Q154" s="64"/>
      <c r="AG154" s="91"/>
      <c r="AH154" s="3"/>
      <c r="AI154" s="3"/>
      <c r="AJ154" s="3"/>
      <c r="AL154" s="3"/>
      <c r="AM154" s="3"/>
      <c r="AN154" s="3"/>
    </row>
    <row r="155" ht="15.75" customHeight="1">
      <c r="B155" s="56"/>
      <c r="C155" s="56"/>
      <c r="G155" s="3"/>
      <c r="N155" s="62"/>
      <c r="P155" s="63"/>
      <c r="Q155" s="64"/>
      <c r="AG155" s="91"/>
      <c r="AH155" s="3"/>
      <c r="AI155" s="3"/>
      <c r="AJ155" s="3"/>
      <c r="AL155" s="3"/>
      <c r="AM155" s="3"/>
      <c r="AN155" s="3"/>
    </row>
    <row r="156" ht="15.75" customHeight="1">
      <c r="B156" s="56"/>
      <c r="C156" s="56"/>
      <c r="G156" s="3"/>
      <c r="N156" s="62"/>
      <c r="P156" s="63"/>
      <c r="Q156" s="64"/>
      <c r="AG156" s="91"/>
      <c r="AH156" s="3"/>
      <c r="AI156" s="3"/>
      <c r="AJ156" s="3"/>
      <c r="AL156" s="3"/>
      <c r="AM156" s="3"/>
      <c r="AN156" s="3"/>
    </row>
    <row r="157" ht="15.75" customHeight="1">
      <c r="B157" s="56"/>
      <c r="C157" s="56"/>
      <c r="G157" s="3"/>
      <c r="N157" s="62"/>
      <c r="P157" s="63"/>
      <c r="Q157" s="64"/>
      <c r="AG157" s="91"/>
      <c r="AH157" s="3"/>
      <c r="AI157" s="3"/>
      <c r="AJ157" s="3"/>
      <c r="AL157" s="3"/>
      <c r="AM157" s="3"/>
      <c r="AN157" s="3"/>
    </row>
    <row r="158" ht="15.75" customHeight="1">
      <c r="B158" s="56"/>
      <c r="C158" s="56"/>
      <c r="G158" s="3"/>
      <c r="N158" s="62"/>
      <c r="P158" s="63"/>
      <c r="Q158" s="64"/>
      <c r="AG158" s="91"/>
      <c r="AH158" s="3"/>
      <c r="AI158" s="3"/>
      <c r="AJ158" s="3"/>
      <c r="AL158" s="3"/>
      <c r="AM158" s="3"/>
      <c r="AN158" s="3"/>
    </row>
    <row r="159" ht="15.75" customHeight="1">
      <c r="B159" s="56"/>
      <c r="C159" s="56"/>
      <c r="G159" s="3"/>
      <c r="N159" s="62"/>
      <c r="P159" s="63"/>
      <c r="Q159" s="64"/>
      <c r="AG159" s="91"/>
      <c r="AH159" s="3"/>
      <c r="AI159" s="3"/>
      <c r="AJ159" s="3"/>
      <c r="AL159" s="3"/>
      <c r="AM159" s="3"/>
      <c r="AN159" s="3"/>
    </row>
    <row r="160" ht="15.75" customHeight="1">
      <c r="B160" s="56"/>
      <c r="C160" s="56"/>
      <c r="G160" s="3"/>
      <c r="N160" s="62"/>
      <c r="P160" s="63"/>
      <c r="Q160" s="64"/>
      <c r="AG160" s="91"/>
      <c r="AH160" s="3"/>
      <c r="AI160" s="3"/>
      <c r="AJ160" s="3"/>
      <c r="AL160" s="3"/>
      <c r="AM160" s="3"/>
      <c r="AN160" s="3"/>
    </row>
    <row r="161" ht="15.75" customHeight="1">
      <c r="B161" s="56"/>
      <c r="C161" s="56"/>
      <c r="G161" s="3"/>
      <c r="N161" s="62"/>
      <c r="P161" s="63"/>
      <c r="Q161" s="64"/>
      <c r="AG161" s="91"/>
      <c r="AH161" s="3"/>
      <c r="AI161" s="3"/>
      <c r="AJ161" s="3"/>
      <c r="AL161" s="3"/>
      <c r="AM161" s="3"/>
      <c r="AN161" s="3"/>
    </row>
    <row r="162" ht="15.75" customHeight="1">
      <c r="B162" s="56"/>
      <c r="C162" s="56"/>
      <c r="G162" s="3"/>
      <c r="N162" s="62"/>
      <c r="P162" s="63"/>
      <c r="Q162" s="64"/>
      <c r="AG162" s="91"/>
      <c r="AH162" s="3"/>
      <c r="AI162" s="3"/>
      <c r="AJ162" s="3"/>
      <c r="AL162" s="3"/>
      <c r="AM162" s="3"/>
      <c r="AN162" s="3"/>
    </row>
    <row r="163" ht="15.75" customHeight="1">
      <c r="B163" s="56"/>
      <c r="C163" s="56"/>
      <c r="G163" s="3"/>
      <c r="N163" s="62"/>
      <c r="P163" s="63"/>
      <c r="Q163" s="64"/>
      <c r="AG163" s="91"/>
      <c r="AH163" s="3"/>
      <c r="AI163" s="3"/>
      <c r="AJ163" s="3"/>
      <c r="AL163" s="3"/>
      <c r="AM163" s="3"/>
      <c r="AN163" s="3"/>
    </row>
    <row r="164" ht="15.75" customHeight="1">
      <c r="B164" s="56"/>
      <c r="C164" s="56"/>
      <c r="G164" s="3"/>
      <c r="N164" s="62"/>
      <c r="P164" s="63"/>
      <c r="Q164" s="64"/>
      <c r="AG164" s="91"/>
      <c r="AH164" s="3"/>
      <c r="AI164" s="3"/>
      <c r="AJ164" s="3"/>
      <c r="AL164" s="3"/>
      <c r="AM164" s="3"/>
      <c r="AN164" s="3"/>
    </row>
    <row r="165" ht="15.75" customHeight="1">
      <c r="B165" s="56"/>
      <c r="C165" s="56"/>
      <c r="G165" s="3"/>
      <c r="N165" s="62"/>
      <c r="P165" s="63"/>
      <c r="Q165" s="64"/>
      <c r="AG165" s="91"/>
      <c r="AH165" s="3"/>
      <c r="AI165" s="3"/>
      <c r="AJ165" s="3"/>
      <c r="AL165" s="3"/>
      <c r="AM165" s="3"/>
      <c r="AN165" s="3"/>
    </row>
    <row r="166" ht="15.75" customHeight="1">
      <c r="B166" s="56"/>
      <c r="C166" s="56"/>
      <c r="G166" s="3"/>
      <c r="N166" s="62"/>
      <c r="P166" s="63"/>
      <c r="Q166" s="64"/>
      <c r="AG166" s="91"/>
      <c r="AH166" s="3"/>
      <c r="AI166" s="3"/>
      <c r="AJ166" s="3"/>
      <c r="AL166" s="3"/>
      <c r="AM166" s="3"/>
      <c r="AN166" s="3"/>
    </row>
    <row r="167" ht="15.75" customHeight="1">
      <c r="B167" s="56"/>
      <c r="C167" s="56"/>
      <c r="G167" s="3"/>
      <c r="N167" s="62"/>
      <c r="P167" s="63"/>
      <c r="Q167" s="64"/>
      <c r="AG167" s="91"/>
      <c r="AH167" s="3"/>
      <c r="AI167" s="3"/>
      <c r="AJ167" s="3"/>
      <c r="AL167" s="3"/>
      <c r="AM167" s="3"/>
      <c r="AN167" s="3"/>
    </row>
    <row r="168" ht="15.75" customHeight="1">
      <c r="B168" s="56"/>
      <c r="C168" s="56"/>
      <c r="G168" s="3"/>
      <c r="N168" s="62"/>
      <c r="P168" s="63"/>
      <c r="Q168" s="64"/>
      <c r="AG168" s="91"/>
      <c r="AH168" s="3"/>
      <c r="AI168" s="3"/>
      <c r="AJ168" s="3"/>
      <c r="AL168" s="3"/>
      <c r="AM168" s="3"/>
      <c r="AN168" s="3"/>
    </row>
    <row r="169" ht="15.75" customHeight="1">
      <c r="B169" s="56"/>
      <c r="C169" s="56"/>
      <c r="G169" s="3"/>
      <c r="N169" s="62"/>
      <c r="P169" s="63"/>
      <c r="Q169" s="64"/>
      <c r="AG169" s="91"/>
      <c r="AH169" s="3"/>
      <c r="AI169" s="3"/>
      <c r="AJ169" s="3"/>
      <c r="AL169" s="3"/>
      <c r="AM169" s="3"/>
      <c r="AN169" s="3"/>
    </row>
    <row r="170" ht="15.75" customHeight="1">
      <c r="B170" s="56"/>
      <c r="C170" s="56"/>
      <c r="G170" s="3"/>
      <c r="N170" s="62"/>
      <c r="P170" s="63"/>
      <c r="Q170" s="64"/>
      <c r="AG170" s="91"/>
      <c r="AH170" s="3"/>
      <c r="AI170" s="3"/>
      <c r="AJ170" s="3"/>
      <c r="AL170" s="3"/>
      <c r="AM170" s="3"/>
      <c r="AN170" s="3"/>
    </row>
    <row r="171" ht="15.75" customHeight="1">
      <c r="B171" s="56"/>
      <c r="C171" s="56"/>
      <c r="G171" s="3"/>
      <c r="N171" s="62"/>
      <c r="P171" s="63"/>
      <c r="Q171" s="64"/>
      <c r="AG171" s="91"/>
      <c r="AH171" s="3"/>
      <c r="AI171" s="3"/>
      <c r="AJ171" s="3"/>
      <c r="AL171" s="3"/>
      <c r="AM171" s="3"/>
      <c r="AN171" s="3"/>
    </row>
    <row r="172" ht="15.75" customHeight="1">
      <c r="B172" s="56"/>
      <c r="C172" s="56"/>
      <c r="G172" s="3"/>
      <c r="N172" s="62"/>
      <c r="P172" s="63"/>
      <c r="Q172" s="64"/>
      <c r="AG172" s="91"/>
      <c r="AH172" s="3"/>
      <c r="AI172" s="3"/>
      <c r="AJ172" s="3"/>
      <c r="AL172" s="3"/>
      <c r="AM172" s="3"/>
      <c r="AN172" s="3"/>
    </row>
    <row r="173" ht="15.75" customHeight="1">
      <c r="B173" s="56"/>
      <c r="C173" s="56"/>
      <c r="G173" s="3"/>
      <c r="N173" s="62"/>
      <c r="P173" s="63"/>
      <c r="Q173" s="64"/>
      <c r="AG173" s="91"/>
      <c r="AH173" s="3"/>
      <c r="AI173" s="3"/>
      <c r="AJ173" s="3"/>
      <c r="AL173" s="3"/>
      <c r="AM173" s="3"/>
      <c r="AN173" s="3"/>
    </row>
    <row r="174" ht="15.75" customHeight="1">
      <c r="B174" s="56"/>
      <c r="C174" s="56"/>
      <c r="G174" s="3"/>
      <c r="N174" s="62"/>
      <c r="P174" s="63"/>
      <c r="AG174" s="91"/>
      <c r="AH174" s="3"/>
      <c r="AI174" s="3"/>
      <c r="AJ174" s="3"/>
      <c r="AL174" s="3"/>
      <c r="AM174" s="3"/>
      <c r="AN174" s="3"/>
    </row>
    <row r="175" ht="15.75" customHeight="1">
      <c r="B175" s="56"/>
      <c r="C175" s="56"/>
      <c r="G175" s="3"/>
      <c r="N175" s="62"/>
      <c r="P175" s="63"/>
      <c r="AG175" s="91"/>
      <c r="AH175" s="3"/>
      <c r="AI175" s="3"/>
      <c r="AJ175" s="3"/>
      <c r="AL175" s="3"/>
      <c r="AM175" s="3"/>
      <c r="AN175" s="3"/>
    </row>
    <row r="176" ht="15.75" customHeight="1">
      <c r="B176" s="56"/>
      <c r="C176" s="56"/>
      <c r="G176" s="3"/>
      <c r="N176" s="62"/>
      <c r="P176" s="63"/>
      <c r="AG176" s="91"/>
      <c r="AH176" s="3"/>
      <c r="AI176" s="3"/>
      <c r="AJ176" s="3"/>
      <c r="AL176" s="3"/>
      <c r="AM176" s="3"/>
      <c r="AN176" s="3"/>
    </row>
    <row r="177" ht="15.75" customHeight="1">
      <c r="B177" s="56"/>
      <c r="C177" s="56"/>
      <c r="G177" s="3"/>
      <c r="N177" s="62"/>
      <c r="P177" s="63"/>
      <c r="AG177" s="91"/>
      <c r="AH177" s="3"/>
      <c r="AI177" s="3"/>
      <c r="AJ177" s="3"/>
      <c r="AL177" s="3"/>
      <c r="AM177" s="3"/>
      <c r="AN177" s="3"/>
    </row>
    <row r="178" ht="15.75" customHeight="1">
      <c r="B178" s="56"/>
      <c r="C178" s="56"/>
      <c r="G178" s="3"/>
      <c r="N178" s="62"/>
      <c r="P178" s="63"/>
      <c r="AG178" s="91"/>
      <c r="AH178" s="3"/>
      <c r="AI178" s="3"/>
      <c r="AJ178" s="3"/>
      <c r="AL178" s="3"/>
      <c r="AM178" s="3"/>
      <c r="AN178" s="3"/>
    </row>
    <row r="179" ht="15.75" customHeight="1">
      <c r="B179" s="56"/>
      <c r="C179" s="56"/>
      <c r="G179" s="3"/>
      <c r="N179" s="62"/>
      <c r="P179" s="63"/>
      <c r="AG179" s="91"/>
      <c r="AH179" s="3"/>
      <c r="AI179" s="3"/>
      <c r="AJ179" s="3"/>
      <c r="AL179" s="3"/>
      <c r="AM179" s="3"/>
      <c r="AN179" s="3"/>
    </row>
    <row r="180" ht="15.75" customHeight="1">
      <c r="B180" s="56"/>
      <c r="C180" s="56"/>
      <c r="G180" s="3"/>
      <c r="N180" s="62"/>
      <c r="P180" s="63"/>
      <c r="AG180" s="91"/>
      <c r="AH180" s="3"/>
      <c r="AI180" s="3"/>
      <c r="AJ180" s="3"/>
      <c r="AL180" s="3"/>
      <c r="AM180" s="3"/>
      <c r="AN180" s="3"/>
    </row>
    <row r="181" ht="15.75" customHeight="1">
      <c r="B181" s="56"/>
      <c r="C181" s="56"/>
      <c r="G181" s="3"/>
      <c r="N181" s="62"/>
      <c r="P181" s="63"/>
      <c r="AG181" s="91"/>
      <c r="AH181" s="3"/>
      <c r="AI181" s="3"/>
      <c r="AJ181" s="3"/>
      <c r="AL181" s="3"/>
      <c r="AM181" s="3"/>
      <c r="AN181" s="3"/>
    </row>
    <row r="182" ht="15.75" customHeight="1">
      <c r="B182" s="56"/>
      <c r="C182" s="56"/>
      <c r="G182" s="3"/>
      <c r="N182" s="62"/>
      <c r="P182" s="63"/>
      <c r="AG182" s="91"/>
      <c r="AH182" s="3"/>
      <c r="AI182" s="3"/>
      <c r="AJ182" s="3"/>
      <c r="AL182" s="3"/>
      <c r="AM182" s="3"/>
      <c r="AN182" s="3"/>
    </row>
    <row r="183" ht="15.75" customHeight="1">
      <c r="B183" s="56"/>
      <c r="C183" s="56"/>
      <c r="G183" s="3"/>
      <c r="N183" s="62"/>
      <c r="P183" s="63"/>
      <c r="AG183" s="91"/>
      <c r="AH183" s="3"/>
      <c r="AI183" s="3"/>
      <c r="AJ183" s="3"/>
      <c r="AL183" s="3"/>
      <c r="AM183" s="3"/>
      <c r="AN183" s="3"/>
    </row>
    <row r="184" ht="15.75" customHeight="1">
      <c r="B184" s="56"/>
      <c r="C184" s="56"/>
      <c r="G184" s="3"/>
      <c r="N184" s="62"/>
      <c r="P184" s="63"/>
      <c r="AG184" s="91"/>
      <c r="AH184" s="3"/>
      <c r="AI184" s="3"/>
      <c r="AJ184" s="3"/>
      <c r="AL184" s="3"/>
      <c r="AM184" s="3"/>
      <c r="AN184" s="3"/>
    </row>
    <row r="185" ht="15.75" customHeight="1">
      <c r="B185" s="56"/>
      <c r="C185" s="56"/>
      <c r="G185" s="3"/>
      <c r="N185" s="62"/>
      <c r="P185" s="63"/>
      <c r="AG185" s="91"/>
      <c r="AH185" s="3"/>
      <c r="AI185" s="3"/>
      <c r="AJ185" s="3"/>
      <c r="AL185" s="3"/>
      <c r="AM185" s="3"/>
      <c r="AN185" s="3"/>
    </row>
    <row r="186" ht="15.75" customHeight="1">
      <c r="B186" s="56"/>
      <c r="C186" s="56"/>
      <c r="G186" s="3"/>
      <c r="N186" s="62"/>
      <c r="P186" s="63"/>
      <c r="AG186" s="91"/>
      <c r="AH186" s="3"/>
      <c r="AI186" s="3"/>
      <c r="AJ186" s="3"/>
      <c r="AL186" s="3"/>
      <c r="AM186" s="3"/>
      <c r="AN186" s="3"/>
    </row>
    <row r="187" ht="15.75" customHeight="1">
      <c r="B187" s="56"/>
      <c r="C187" s="56"/>
      <c r="G187" s="3"/>
      <c r="N187" s="62"/>
      <c r="P187" s="63"/>
      <c r="AG187" s="91"/>
      <c r="AH187" s="3"/>
      <c r="AI187" s="3"/>
      <c r="AJ187" s="3"/>
      <c r="AL187" s="3"/>
      <c r="AM187" s="3"/>
      <c r="AN187" s="3"/>
    </row>
    <row r="188" ht="15.75" customHeight="1">
      <c r="B188" s="56"/>
      <c r="C188" s="56"/>
      <c r="G188" s="3"/>
      <c r="N188" s="62"/>
      <c r="P188" s="63"/>
      <c r="AG188" s="91"/>
      <c r="AH188" s="3"/>
      <c r="AI188" s="3"/>
      <c r="AJ188" s="3"/>
      <c r="AL188" s="3"/>
      <c r="AM188" s="3"/>
      <c r="AN188" s="3"/>
    </row>
    <row r="189" ht="15.75" customHeight="1">
      <c r="B189" s="56"/>
      <c r="C189" s="56"/>
      <c r="G189" s="3"/>
      <c r="N189" s="62"/>
      <c r="P189" s="63"/>
      <c r="AG189" s="91"/>
      <c r="AH189" s="3"/>
      <c r="AI189" s="3"/>
      <c r="AJ189" s="3"/>
      <c r="AL189" s="3"/>
      <c r="AM189" s="3"/>
      <c r="AN189" s="3"/>
    </row>
    <row r="190" ht="15.75" customHeight="1">
      <c r="B190" s="56"/>
      <c r="C190" s="56"/>
      <c r="G190" s="3"/>
      <c r="N190" s="62"/>
      <c r="P190" s="63"/>
      <c r="AG190" s="91"/>
      <c r="AH190" s="3"/>
      <c r="AI190" s="3"/>
      <c r="AJ190" s="3"/>
      <c r="AL190" s="3"/>
      <c r="AM190" s="3"/>
      <c r="AN190" s="3"/>
    </row>
    <row r="191" ht="15.75" customHeight="1">
      <c r="B191" s="56"/>
      <c r="C191" s="56"/>
      <c r="G191" s="3"/>
      <c r="N191" s="62"/>
      <c r="P191" s="63"/>
      <c r="AG191" s="91"/>
      <c r="AH191" s="3"/>
      <c r="AI191" s="3"/>
      <c r="AJ191" s="3"/>
      <c r="AL191" s="3"/>
      <c r="AM191" s="3"/>
      <c r="AN191" s="3"/>
    </row>
    <row r="192" ht="15.75" customHeight="1">
      <c r="B192" s="56"/>
      <c r="C192" s="56"/>
      <c r="G192" s="3"/>
      <c r="N192" s="62"/>
      <c r="P192" s="63"/>
      <c r="AG192" s="91"/>
      <c r="AH192" s="3"/>
      <c r="AI192" s="3"/>
      <c r="AJ192" s="3"/>
      <c r="AL192" s="3"/>
      <c r="AM192" s="3"/>
      <c r="AN192" s="3"/>
    </row>
    <row r="193" ht="15.75" customHeight="1">
      <c r="B193" s="56"/>
      <c r="C193" s="56"/>
      <c r="G193" s="3"/>
      <c r="N193" s="62"/>
      <c r="P193" s="63"/>
      <c r="AG193" s="91"/>
      <c r="AH193" s="3"/>
      <c r="AI193" s="3"/>
      <c r="AJ193" s="3"/>
      <c r="AL193" s="3"/>
      <c r="AM193" s="3"/>
      <c r="AN193" s="3"/>
    </row>
    <row r="194" ht="15.75" customHeight="1">
      <c r="B194" s="56"/>
      <c r="C194" s="56"/>
      <c r="G194" s="3"/>
      <c r="N194" s="62"/>
      <c r="P194" s="63"/>
      <c r="AG194" s="91"/>
      <c r="AH194" s="3"/>
      <c r="AI194" s="3"/>
      <c r="AJ194" s="3"/>
      <c r="AL194" s="3"/>
      <c r="AM194" s="3"/>
      <c r="AN194" s="3"/>
    </row>
    <row r="195" ht="15.75" customHeight="1">
      <c r="B195" s="56"/>
      <c r="C195" s="56"/>
      <c r="G195" s="3"/>
      <c r="N195" s="62"/>
      <c r="P195" s="63"/>
      <c r="AG195" s="91"/>
      <c r="AH195" s="3"/>
      <c r="AI195" s="3"/>
      <c r="AJ195" s="3"/>
      <c r="AL195" s="3"/>
      <c r="AM195" s="3"/>
      <c r="AN195" s="3"/>
    </row>
    <row r="196" ht="15.75" customHeight="1">
      <c r="B196" s="56"/>
      <c r="C196" s="56"/>
      <c r="G196" s="3"/>
      <c r="N196" s="62"/>
      <c r="P196" s="63"/>
      <c r="AG196" s="91"/>
      <c r="AH196" s="3"/>
      <c r="AI196" s="3"/>
      <c r="AJ196" s="3"/>
      <c r="AL196" s="3"/>
      <c r="AM196" s="3"/>
      <c r="AN196" s="3"/>
    </row>
    <row r="197" ht="15.75" customHeight="1">
      <c r="B197" s="56"/>
      <c r="C197" s="56"/>
      <c r="G197" s="3"/>
      <c r="N197" s="62"/>
      <c r="P197" s="63"/>
      <c r="AG197" s="91"/>
      <c r="AH197" s="3"/>
      <c r="AI197" s="3"/>
      <c r="AJ197" s="3"/>
      <c r="AL197" s="3"/>
      <c r="AM197" s="3"/>
      <c r="AN197" s="3"/>
    </row>
    <row r="198" ht="15.75" customHeight="1">
      <c r="B198" s="56"/>
      <c r="C198" s="56"/>
      <c r="G198" s="3"/>
      <c r="N198" s="62"/>
      <c r="P198" s="63"/>
      <c r="AG198" s="91"/>
      <c r="AH198" s="3"/>
      <c r="AI198" s="3"/>
      <c r="AJ198" s="3"/>
      <c r="AL198" s="3"/>
      <c r="AM198" s="3"/>
      <c r="AN198" s="3"/>
    </row>
    <row r="199" ht="15.75" customHeight="1">
      <c r="B199" s="56"/>
      <c r="C199" s="56"/>
      <c r="G199" s="3"/>
      <c r="N199" s="62"/>
      <c r="P199" s="63"/>
      <c r="AG199" s="91"/>
      <c r="AH199" s="3"/>
      <c r="AI199" s="3"/>
      <c r="AJ199" s="3"/>
      <c r="AL199" s="3"/>
      <c r="AM199" s="3"/>
      <c r="AN199" s="3"/>
    </row>
    <row r="200" ht="15.75" customHeight="1">
      <c r="B200" s="56"/>
      <c r="C200" s="56"/>
      <c r="G200" s="3"/>
      <c r="N200" s="62"/>
      <c r="P200" s="63"/>
      <c r="AG200" s="91"/>
      <c r="AH200" s="3"/>
      <c r="AI200" s="3"/>
      <c r="AJ200" s="3"/>
      <c r="AL200" s="3"/>
      <c r="AM200" s="3"/>
      <c r="AN200" s="3"/>
    </row>
    <row r="201" ht="15.75" customHeight="1">
      <c r="B201" s="56"/>
      <c r="C201" s="56"/>
      <c r="G201" s="3"/>
      <c r="N201" s="62"/>
      <c r="P201" s="63"/>
      <c r="AG201" s="91"/>
      <c r="AH201" s="3"/>
      <c r="AI201" s="3"/>
      <c r="AJ201" s="3"/>
      <c r="AL201" s="3"/>
      <c r="AM201" s="3"/>
      <c r="AN201" s="3"/>
    </row>
    <row r="202" ht="15.75" customHeight="1">
      <c r="B202" s="56"/>
      <c r="C202" s="56"/>
      <c r="G202" s="3"/>
      <c r="N202" s="62"/>
      <c r="P202" s="63"/>
      <c r="AG202" s="91"/>
      <c r="AH202" s="3"/>
      <c r="AI202" s="3"/>
      <c r="AJ202" s="3"/>
      <c r="AL202" s="3"/>
      <c r="AM202" s="3"/>
      <c r="AN202" s="3"/>
    </row>
    <row r="203" ht="15.75" customHeight="1">
      <c r="B203" s="56"/>
      <c r="C203" s="56"/>
      <c r="G203" s="3"/>
      <c r="N203" s="62"/>
      <c r="P203" s="63"/>
      <c r="AG203" s="91"/>
      <c r="AH203" s="3"/>
      <c r="AI203" s="3"/>
      <c r="AJ203" s="3"/>
      <c r="AL203" s="3"/>
      <c r="AM203" s="3"/>
      <c r="AN203" s="3"/>
    </row>
    <row r="204" ht="15.75" customHeight="1">
      <c r="G204" s="3"/>
      <c r="N204" s="62"/>
      <c r="P204" s="63"/>
      <c r="AG204" s="91"/>
      <c r="AH204" s="3"/>
      <c r="AI204" s="3"/>
      <c r="AJ204" s="3"/>
      <c r="AL204" s="3"/>
      <c r="AM204" s="3"/>
      <c r="AN204" s="3"/>
    </row>
    <row r="205" ht="15.75" customHeight="1">
      <c r="G205" s="3"/>
      <c r="N205" s="62"/>
      <c r="P205" s="63"/>
      <c r="AG205" s="91"/>
      <c r="AH205" s="3"/>
      <c r="AI205" s="3"/>
      <c r="AJ205" s="3"/>
      <c r="AL205" s="3"/>
      <c r="AM205" s="3"/>
      <c r="AN205" s="3"/>
    </row>
    <row r="206" ht="15.75" customHeight="1">
      <c r="G206" s="3"/>
      <c r="N206" s="62"/>
      <c r="P206" s="63"/>
      <c r="AG206" s="91"/>
      <c r="AH206" s="3"/>
      <c r="AI206" s="3"/>
      <c r="AJ206" s="3"/>
      <c r="AL206" s="3"/>
      <c r="AM206" s="3"/>
      <c r="AN206" s="3"/>
    </row>
    <row r="207" ht="15.75" customHeight="1">
      <c r="G207" s="3"/>
      <c r="N207" s="62"/>
      <c r="P207" s="63"/>
      <c r="AG207" s="91"/>
      <c r="AH207" s="3"/>
      <c r="AI207" s="3"/>
      <c r="AJ207" s="3"/>
      <c r="AL207" s="3"/>
      <c r="AM207" s="3"/>
      <c r="AN207" s="3"/>
    </row>
    <row r="208" ht="15.75" customHeight="1">
      <c r="G208" s="3"/>
      <c r="N208" s="62"/>
      <c r="P208" s="63"/>
      <c r="AG208" s="91"/>
      <c r="AH208" s="3"/>
      <c r="AI208" s="3"/>
      <c r="AJ208" s="3"/>
      <c r="AL208" s="3"/>
      <c r="AM208" s="3"/>
      <c r="AN208" s="3"/>
    </row>
    <row r="209" ht="15.75" customHeight="1">
      <c r="G209" s="3"/>
      <c r="N209" s="62"/>
      <c r="P209" s="63"/>
      <c r="AG209" s="91"/>
      <c r="AH209" s="3"/>
      <c r="AI209" s="3"/>
      <c r="AJ209" s="3"/>
      <c r="AL209" s="3"/>
      <c r="AM209" s="3"/>
      <c r="AN209" s="3"/>
    </row>
    <row r="210" ht="15.75" customHeight="1">
      <c r="G210" s="3"/>
      <c r="N210" s="62"/>
      <c r="P210" s="63"/>
      <c r="AG210" s="91"/>
      <c r="AH210" s="3"/>
      <c r="AI210" s="3"/>
      <c r="AJ210" s="3"/>
      <c r="AL210" s="3"/>
      <c r="AM210" s="3"/>
      <c r="AN210" s="3"/>
    </row>
    <row r="211" ht="15.75" customHeight="1">
      <c r="G211" s="3"/>
      <c r="N211" s="62"/>
      <c r="P211" s="63"/>
      <c r="AG211" s="91"/>
      <c r="AH211" s="3"/>
      <c r="AI211" s="3"/>
      <c r="AJ211" s="3"/>
      <c r="AL211" s="3"/>
      <c r="AM211" s="3"/>
      <c r="AN211" s="3"/>
    </row>
    <row r="212" ht="15.75" customHeight="1">
      <c r="G212" s="3"/>
      <c r="N212" s="62"/>
      <c r="P212" s="63"/>
      <c r="AG212" s="91"/>
      <c r="AH212" s="3"/>
      <c r="AI212" s="3"/>
      <c r="AJ212" s="3"/>
      <c r="AL212" s="3"/>
      <c r="AM212" s="3"/>
      <c r="AN212" s="3"/>
    </row>
    <row r="213" ht="15.75" customHeight="1">
      <c r="G213" s="3"/>
      <c r="N213" s="62"/>
      <c r="P213" s="63"/>
      <c r="AG213" s="91"/>
      <c r="AH213" s="3"/>
      <c r="AI213" s="3"/>
      <c r="AJ213" s="3"/>
      <c r="AL213" s="3"/>
      <c r="AM213" s="3"/>
      <c r="AN213" s="3"/>
    </row>
    <row r="214" ht="15.75" customHeight="1">
      <c r="G214" s="3"/>
      <c r="N214" s="62"/>
      <c r="P214" s="63"/>
      <c r="AG214" s="91"/>
      <c r="AH214" s="3"/>
      <c r="AI214" s="3"/>
      <c r="AJ214" s="3"/>
      <c r="AL214" s="3"/>
      <c r="AM214" s="3"/>
      <c r="AN214" s="3"/>
    </row>
    <row r="215" ht="15.75" customHeight="1">
      <c r="G215" s="3"/>
      <c r="N215" s="62"/>
      <c r="P215" s="63"/>
      <c r="AG215" s="91"/>
      <c r="AH215" s="3"/>
      <c r="AI215" s="3"/>
      <c r="AJ215" s="3"/>
      <c r="AL215" s="3"/>
      <c r="AM215" s="3"/>
      <c r="AN215" s="3"/>
    </row>
    <row r="216" ht="15.75" customHeight="1">
      <c r="G216" s="3"/>
      <c r="N216" s="62"/>
      <c r="P216" s="63"/>
      <c r="AG216" s="91"/>
      <c r="AH216" s="3"/>
      <c r="AI216" s="3"/>
      <c r="AJ216" s="3"/>
      <c r="AL216" s="3"/>
      <c r="AM216" s="3"/>
      <c r="AN216" s="3"/>
    </row>
    <row r="217" ht="15.75" customHeight="1">
      <c r="G217" s="3"/>
      <c r="P217" s="63"/>
      <c r="AG217" s="91"/>
      <c r="AH217" s="3"/>
      <c r="AI217" s="3"/>
      <c r="AJ217" s="3"/>
      <c r="AL217" s="3"/>
      <c r="AM217" s="3"/>
      <c r="AN217" s="3"/>
    </row>
    <row r="218" ht="15.75" customHeight="1">
      <c r="G218" s="3"/>
      <c r="P218" s="63"/>
      <c r="AG218" s="91"/>
      <c r="AH218" s="3"/>
      <c r="AI218" s="3"/>
      <c r="AJ218" s="3"/>
      <c r="AL218" s="3"/>
      <c r="AM218" s="3"/>
      <c r="AN218" s="3"/>
    </row>
    <row r="219" ht="15.75" customHeight="1">
      <c r="G219" s="3"/>
      <c r="P219" s="63"/>
      <c r="AG219" s="91"/>
      <c r="AH219" s="3"/>
      <c r="AI219" s="3"/>
      <c r="AJ219" s="3"/>
      <c r="AL219" s="3"/>
      <c r="AM219" s="3"/>
      <c r="AN219" s="3"/>
    </row>
    <row r="220" ht="15.75" customHeight="1">
      <c r="G220" s="3"/>
      <c r="P220" s="63"/>
      <c r="AG220" s="91"/>
      <c r="AH220" s="3"/>
      <c r="AI220" s="3"/>
      <c r="AJ220" s="3"/>
      <c r="AL220" s="3"/>
      <c r="AM220" s="3"/>
      <c r="AN220" s="3"/>
    </row>
    <row r="221" ht="15.75" customHeight="1">
      <c r="G221" s="3"/>
      <c r="P221" s="63"/>
      <c r="AG221" s="91"/>
      <c r="AH221" s="3"/>
      <c r="AI221" s="3"/>
      <c r="AJ221" s="3"/>
      <c r="AL221" s="3"/>
      <c r="AM221" s="3"/>
      <c r="AN221" s="3"/>
    </row>
    <row r="222" ht="15.75" customHeight="1">
      <c r="G222" s="3"/>
      <c r="P222" s="63"/>
      <c r="AG222" s="91"/>
      <c r="AH222" s="3"/>
      <c r="AI222" s="3"/>
      <c r="AJ222" s="3"/>
      <c r="AL222" s="3"/>
      <c r="AM222" s="3"/>
      <c r="AN222" s="3"/>
    </row>
    <row r="223" ht="15.75" customHeight="1">
      <c r="G223" s="3"/>
      <c r="P223" s="63"/>
      <c r="AG223" s="91"/>
      <c r="AH223" s="3"/>
      <c r="AI223" s="3"/>
      <c r="AJ223" s="3"/>
      <c r="AL223" s="3"/>
      <c r="AM223" s="3"/>
      <c r="AN223" s="3"/>
    </row>
    <row r="224" ht="15.75" customHeight="1">
      <c r="G224" s="3"/>
      <c r="P224" s="63"/>
      <c r="AG224" s="91"/>
      <c r="AH224" s="3"/>
      <c r="AI224" s="3"/>
      <c r="AJ224" s="3"/>
      <c r="AL224" s="3"/>
      <c r="AM224" s="3"/>
      <c r="AN224" s="3"/>
    </row>
    <row r="225" ht="15.75" customHeight="1">
      <c r="G225" s="3"/>
      <c r="P225" s="63"/>
      <c r="AG225" s="91"/>
      <c r="AH225" s="3"/>
      <c r="AI225" s="3"/>
      <c r="AJ225" s="3"/>
      <c r="AL225" s="3"/>
      <c r="AM225" s="3"/>
      <c r="AN225" s="3"/>
    </row>
    <row r="226" ht="15.75" customHeight="1">
      <c r="G226" s="3"/>
      <c r="P226" s="63"/>
      <c r="AG226" s="91"/>
      <c r="AH226" s="3"/>
      <c r="AI226" s="3"/>
      <c r="AJ226" s="3"/>
      <c r="AL226" s="3"/>
      <c r="AM226" s="3"/>
      <c r="AN226" s="3"/>
    </row>
    <row r="227" ht="15.75" customHeight="1">
      <c r="G227" s="3"/>
      <c r="P227" s="63"/>
      <c r="AG227" s="91"/>
      <c r="AH227" s="3"/>
      <c r="AI227" s="3"/>
      <c r="AJ227" s="3"/>
      <c r="AL227" s="3"/>
      <c r="AM227" s="3"/>
      <c r="AN227" s="3"/>
    </row>
    <row r="228" ht="15.75" customHeight="1">
      <c r="G228" s="3"/>
      <c r="P228" s="63"/>
      <c r="AG228" s="91"/>
      <c r="AH228" s="3"/>
      <c r="AI228" s="3"/>
      <c r="AJ228" s="3"/>
      <c r="AL228" s="3"/>
      <c r="AM228" s="3"/>
      <c r="AN228" s="3"/>
    </row>
    <row r="229" ht="15.75" customHeight="1">
      <c r="G229" s="3"/>
      <c r="P229" s="63"/>
      <c r="AG229" s="91"/>
      <c r="AH229" s="3"/>
      <c r="AI229" s="3"/>
      <c r="AJ229" s="3"/>
      <c r="AL229" s="3"/>
      <c r="AM229" s="3"/>
      <c r="AN229" s="3"/>
    </row>
    <row r="230" ht="15.75" customHeight="1">
      <c r="G230" s="3"/>
      <c r="P230" s="63"/>
      <c r="AG230" s="91"/>
      <c r="AH230" s="3"/>
      <c r="AI230" s="3"/>
      <c r="AJ230" s="3"/>
      <c r="AL230" s="3"/>
      <c r="AM230" s="3"/>
      <c r="AN230" s="3"/>
    </row>
    <row r="231" ht="15.75" customHeight="1">
      <c r="G231" s="3"/>
      <c r="P231" s="63"/>
      <c r="AG231" s="91"/>
      <c r="AH231" s="3"/>
      <c r="AI231" s="3"/>
      <c r="AJ231" s="3"/>
      <c r="AL231" s="3"/>
      <c r="AM231" s="3"/>
      <c r="AN231" s="3"/>
    </row>
    <row r="232" ht="15.75" customHeight="1">
      <c r="G232" s="3"/>
      <c r="P232" s="63"/>
      <c r="AG232" s="91"/>
      <c r="AH232" s="3"/>
      <c r="AI232" s="3"/>
      <c r="AJ232" s="3"/>
      <c r="AL232" s="3"/>
      <c r="AM232" s="3"/>
      <c r="AN232" s="3"/>
    </row>
    <row r="233" ht="15.75" customHeight="1">
      <c r="G233" s="3"/>
      <c r="P233" s="63"/>
      <c r="AG233" s="91"/>
      <c r="AH233" s="3"/>
      <c r="AI233" s="3"/>
      <c r="AJ233" s="3"/>
      <c r="AL233" s="3"/>
      <c r="AM233" s="3"/>
      <c r="AN233" s="3"/>
    </row>
    <row r="234" ht="15.75" customHeight="1">
      <c r="G234" s="3"/>
      <c r="P234" s="63"/>
      <c r="AG234" s="91"/>
      <c r="AH234" s="3"/>
      <c r="AI234" s="3"/>
      <c r="AJ234" s="3"/>
      <c r="AL234" s="3"/>
      <c r="AM234" s="3"/>
      <c r="AN234" s="3"/>
    </row>
    <row r="235" ht="15.75" customHeight="1">
      <c r="G235" s="3"/>
      <c r="P235" s="63"/>
      <c r="AG235" s="91"/>
      <c r="AH235" s="3"/>
      <c r="AI235" s="3"/>
      <c r="AJ235" s="3"/>
      <c r="AL235" s="3"/>
      <c r="AM235" s="3"/>
      <c r="AN235" s="3"/>
    </row>
    <row r="236" ht="15.75" customHeight="1">
      <c r="G236" s="3"/>
      <c r="P236" s="63"/>
      <c r="AG236" s="91"/>
      <c r="AH236" s="3"/>
      <c r="AI236" s="3"/>
      <c r="AJ236" s="3"/>
      <c r="AL236" s="3"/>
      <c r="AM236" s="3"/>
      <c r="AN236" s="3"/>
    </row>
    <row r="237" ht="15.75" customHeight="1">
      <c r="G237" s="3"/>
      <c r="P237" s="63"/>
      <c r="AG237" s="91"/>
      <c r="AH237" s="3"/>
      <c r="AI237" s="3"/>
      <c r="AJ237" s="3"/>
      <c r="AL237" s="3"/>
      <c r="AM237" s="3"/>
      <c r="AN237" s="3"/>
    </row>
    <row r="238" ht="15.75" customHeight="1">
      <c r="G238" s="3"/>
      <c r="P238" s="63"/>
      <c r="AG238" s="91"/>
      <c r="AH238" s="3"/>
      <c r="AI238" s="3"/>
      <c r="AJ238" s="3"/>
      <c r="AL238" s="3"/>
      <c r="AM238" s="3"/>
      <c r="AN238" s="3"/>
    </row>
    <row r="239" ht="15.75" customHeight="1">
      <c r="G239" s="3"/>
      <c r="P239" s="63"/>
      <c r="AG239" s="91"/>
      <c r="AH239" s="3"/>
      <c r="AI239" s="3"/>
      <c r="AJ239" s="3"/>
      <c r="AL239" s="3"/>
      <c r="AM239" s="3"/>
      <c r="AN239" s="3"/>
    </row>
    <row r="240" ht="15.75" customHeight="1">
      <c r="G240" s="3"/>
      <c r="P240" s="63"/>
      <c r="AG240" s="91"/>
      <c r="AH240" s="3"/>
      <c r="AI240" s="3"/>
      <c r="AJ240" s="3"/>
      <c r="AL240" s="3"/>
      <c r="AM240" s="3"/>
      <c r="AN240" s="3"/>
    </row>
    <row r="241" ht="15.75" customHeight="1">
      <c r="G241" s="3"/>
      <c r="P241" s="63"/>
      <c r="AG241" s="91"/>
      <c r="AH241" s="3"/>
      <c r="AI241" s="3"/>
      <c r="AJ241" s="3"/>
      <c r="AL241" s="3"/>
      <c r="AM241" s="3"/>
      <c r="AN241" s="3"/>
    </row>
    <row r="242" ht="15.75" customHeight="1">
      <c r="G242" s="3"/>
      <c r="P242" s="63"/>
      <c r="AG242" s="91"/>
      <c r="AH242" s="3"/>
      <c r="AI242" s="3"/>
      <c r="AJ242" s="3"/>
      <c r="AL242" s="3"/>
      <c r="AM242" s="3"/>
      <c r="AN242" s="3"/>
    </row>
    <row r="243" ht="15.75" customHeight="1">
      <c r="G243" s="3"/>
      <c r="P243" s="63"/>
      <c r="AG243" s="91"/>
      <c r="AH243" s="3"/>
      <c r="AI243" s="3"/>
      <c r="AJ243" s="3"/>
      <c r="AL243" s="3"/>
      <c r="AM243" s="3"/>
      <c r="AN243" s="3"/>
    </row>
    <row r="244" ht="15.75" customHeight="1">
      <c r="G244" s="3"/>
      <c r="P244" s="63"/>
      <c r="AG244" s="91"/>
      <c r="AH244" s="3"/>
      <c r="AI244" s="3"/>
      <c r="AJ244" s="3"/>
      <c r="AL244" s="3"/>
      <c r="AM244" s="3"/>
      <c r="AN244" s="3"/>
    </row>
    <row r="245" ht="15.75" customHeight="1">
      <c r="G245" s="3"/>
      <c r="P245" s="63"/>
      <c r="AG245" s="91"/>
      <c r="AH245" s="3"/>
      <c r="AI245" s="3"/>
      <c r="AJ245" s="3"/>
      <c r="AL245" s="3"/>
      <c r="AM245" s="3"/>
      <c r="AN245" s="3"/>
    </row>
    <row r="246" ht="15.75" customHeight="1">
      <c r="G246" s="3"/>
      <c r="P246" s="63"/>
      <c r="AG246" s="91"/>
      <c r="AH246" s="3"/>
      <c r="AI246" s="3"/>
      <c r="AJ246" s="3"/>
      <c r="AL246" s="3"/>
      <c r="AM246" s="3"/>
      <c r="AN246" s="3"/>
    </row>
    <row r="247" ht="15.75" customHeight="1">
      <c r="G247" s="3"/>
      <c r="P247" s="63"/>
      <c r="AG247" s="91"/>
      <c r="AH247" s="3"/>
      <c r="AI247" s="3"/>
      <c r="AJ247" s="3"/>
      <c r="AL247" s="3"/>
      <c r="AM247" s="3"/>
      <c r="AN247" s="3"/>
    </row>
    <row r="248" ht="15.75" customHeight="1">
      <c r="G248" s="3"/>
      <c r="P248" s="63"/>
      <c r="AG248" s="91"/>
      <c r="AH248" s="3"/>
      <c r="AI248" s="3"/>
      <c r="AJ248" s="3"/>
      <c r="AL248" s="3"/>
      <c r="AM248" s="3"/>
      <c r="AN248" s="3"/>
    </row>
    <row r="249" ht="15.75" customHeight="1">
      <c r="G249" s="3"/>
      <c r="P249" s="63"/>
      <c r="AG249" s="91"/>
      <c r="AH249" s="3"/>
      <c r="AI249" s="3"/>
      <c r="AJ249" s="3"/>
      <c r="AL249" s="3"/>
      <c r="AM249" s="3"/>
      <c r="AN249" s="3"/>
    </row>
    <row r="250" ht="15.75" customHeight="1">
      <c r="G250" s="3"/>
      <c r="P250" s="63"/>
      <c r="AG250" s="91"/>
      <c r="AH250" s="3"/>
      <c r="AI250" s="3"/>
      <c r="AJ250" s="3"/>
      <c r="AL250" s="3"/>
      <c r="AM250" s="3"/>
      <c r="AN250" s="3"/>
    </row>
    <row r="251" ht="15.75" customHeight="1">
      <c r="G251" s="3"/>
      <c r="P251" s="63"/>
      <c r="AG251" s="91"/>
      <c r="AH251" s="3"/>
      <c r="AI251" s="3"/>
      <c r="AJ251" s="3"/>
      <c r="AL251" s="3"/>
      <c r="AM251" s="3"/>
      <c r="AN251" s="3"/>
    </row>
    <row r="252" ht="15.75" customHeight="1">
      <c r="G252" s="3"/>
      <c r="P252" s="63"/>
      <c r="AG252" s="91"/>
      <c r="AH252" s="3"/>
      <c r="AI252" s="3"/>
      <c r="AJ252" s="3"/>
      <c r="AL252" s="3"/>
      <c r="AM252" s="3"/>
      <c r="AN252" s="3"/>
    </row>
    <row r="253" ht="15.75" customHeight="1">
      <c r="G253" s="3"/>
      <c r="P253" s="63"/>
      <c r="AG253" s="91"/>
      <c r="AH253" s="3"/>
      <c r="AI253" s="3"/>
      <c r="AJ253" s="3"/>
      <c r="AL253" s="3"/>
      <c r="AM253" s="3"/>
      <c r="AN253" s="3"/>
    </row>
    <row r="254" ht="15.75" customHeight="1">
      <c r="G254" s="3"/>
      <c r="P254" s="63"/>
      <c r="AG254" s="91"/>
      <c r="AH254" s="3"/>
      <c r="AI254" s="3"/>
      <c r="AJ254" s="3"/>
      <c r="AL254" s="3"/>
      <c r="AM254" s="3"/>
      <c r="AN254" s="3"/>
    </row>
    <row r="255" ht="15.75" customHeight="1">
      <c r="G255" s="3"/>
      <c r="P255" s="63"/>
      <c r="AG255" s="91"/>
      <c r="AH255" s="3"/>
      <c r="AI255" s="3"/>
      <c r="AJ255" s="3"/>
      <c r="AL255" s="3"/>
      <c r="AM255" s="3"/>
      <c r="AN255" s="3"/>
    </row>
    <row r="256" ht="15.75" customHeight="1">
      <c r="G256" s="3"/>
      <c r="P256" s="63"/>
      <c r="AG256" s="91"/>
      <c r="AH256" s="3"/>
      <c r="AI256" s="3"/>
      <c r="AJ256" s="3"/>
      <c r="AL256" s="3"/>
      <c r="AM256" s="3"/>
      <c r="AN256" s="3"/>
    </row>
    <row r="257" ht="15.75" customHeight="1">
      <c r="G257" s="3"/>
      <c r="P257" s="63"/>
      <c r="AG257" s="91"/>
      <c r="AH257" s="3"/>
      <c r="AI257" s="3"/>
      <c r="AJ257" s="3"/>
      <c r="AL257" s="3"/>
      <c r="AM257" s="3"/>
      <c r="AN257" s="3"/>
    </row>
    <row r="258" ht="15.75" customHeight="1">
      <c r="G258" s="3"/>
      <c r="P258" s="63"/>
      <c r="AG258" s="91"/>
      <c r="AH258" s="3"/>
      <c r="AI258" s="3"/>
      <c r="AJ258" s="3"/>
      <c r="AL258" s="3"/>
      <c r="AM258" s="3"/>
      <c r="AN258" s="3"/>
    </row>
    <row r="259" ht="15.75" customHeight="1">
      <c r="G259" s="3"/>
      <c r="P259" s="63"/>
      <c r="AG259" s="91"/>
      <c r="AH259" s="3"/>
      <c r="AI259" s="3"/>
      <c r="AJ259" s="3"/>
      <c r="AL259" s="3"/>
      <c r="AM259" s="3"/>
      <c r="AN259" s="3"/>
    </row>
    <row r="260" ht="15.75" customHeight="1">
      <c r="G260" s="3"/>
      <c r="P260" s="63"/>
      <c r="AG260" s="91"/>
      <c r="AH260" s="3"/>
      <c r="AI260" s="3"/>
      <c r="AJ260" s="3"/>
      <c r="AL260" s="3"/>
      <c r="AM260" s="3"/>
      <c r="AN260" s="3"/>
    </row>
    <row r="261" ht="15.75" customHeight="1">
      <c r="G261" s="3"/>
      <c r="P261" s="63"/>
      <c r="AG261" s="91"/>
      <c r="AH261" s="3"/>
      <c r="AI261" s="3"/>
      <c r="AJ261" s="3"/>
      <c r="AL261" s="3"/>
      <c r="AM261" s="3"/>
      <c r="AN261" s="3"/>
    </row>
    <row r="262" ht="15.75" customHeight="1">
      <c r="G262" s="3"/>
      <c r="P262" s="63"/>
      <c r="AG262" s="91"/>
      <c r="AH262" s="3"/>
      <c r="AI262" s="3"/>
      <c r="AJ262" s="3"/>
      <c r="AL262" s="3"/>
      <c r="AM262" s="3"/>
      <c r="AN262" s="3"/>
    </row>
    <row r="263" ht="15.75" customHeight="1">
      <c r="G263" s="3"/>
      <c r="P263" s="63"/>
      <c r="AG263" s="91"/>
      <c r="AH263" s="3"/>
      <c r="AI263" s="3"/>
      <c r="AJ263" s="3"/>
      <c r="AL263" s="3"/>
      <c r="AM263" s="3"/>
      <c r="AN263" s="3"/>
    </row>
    <row r="264" ht="15.75" customHeight="1">
      <c r="G264" s="3"/>
      <c r="P264" s="63"/>
      <c r="AG264" s="91"/>
      <c r="AH264" s="3"/>
      <c r="AI264" s="3"/>
      <c r="AJ264" s="3"/>
      <c r="AL264" s="3"/>
      <c r="AM264" s="3"/>
      <c r="AN264" s="3"/>
    </row>
    <row r="265" ht="15.75" customHeight="1">
      <c r="G265" s="3"/>
      <c r="P265" s="63"/>
      <c r="AG265" s="91"/>
      <c r="AH265" s="3"/>
      <c r="AI265" s="3"/>
      <c r="AJ265" s="3"/>
      <c r="AL265" s="3"/>
      <c r="AM265" s="3"/>
      <c r="AN265" s="3"/>
    </row>
    <row r="266" ht="15.75" customHeight="1">
      <c r="G266" s="3"/>
      <c r="P266" s="63"/>
      <c r="AG266" s="91"/>
      <c r="AH266" s="3"/>
      <c r="AI266" s="3"/>
      <c r="AJ266" s="3"/>
      <c r="AL266" s="3"/>
      <c r="AM266" s="3"/>
      <c r="AN266" s="3"/>
    </row>
    <row r="267" ht="15.75" customHeight="1">
      <c r="G267" s="3"/>
      <c r="P267" s="63"/>
      <c r="AG267" s="91"/>
      <c r="AH267" s="3"/>
      <c r="AI267" s="3"/>
      <c r="AJ267" s="3"/>
      <c r="AL267" s="3"/>
      <c r="AM267" s="3"/>
      <c r="AN267" s="3"/>
    </row>
    <row r="268" ht="15.75" customHeight="1">
      <c r="G268" s="3"/>
      <c r="P268" s="63"/>
      <c r="AG268" s="91"/>
      <c r="AH268" s="3"/>
      <c r="AI268" s="3"/>
      <c r="AJ268" s="3"/>
      <c r="AL268" s="3"/>
      <c r="AM268" s="3"/>
      <c r="AN268" s="3"/>
    </row>
    <row r="269" ht="15.75" customHeight="1">
      <c r="G269" s="3"/>
      <c r="P269" s="63"/>
      <c r="AG269" s="91"/>
      <c r="AH269" s="3"/>
      <c r="AI269" s="3"/>
      <c r="AJ269" s="3"/>
      <c r="AL269" s="3"/>
      <c r="AM269" s="3"/>
      <c r="AN269" s="3"/>
    </row>
    <row r="270" ht="15.75" customHeight="1">
      <c r="G270" s="3"/>
      <c r="P270" s="63"/>
      <c r="AG270" s="91"/>
      <c r="AH270" s="3"/>
      <c r="AI270" s="3"/>
      <c r="AJ270" s="3"/>
      <c r="AL270" s="3"/>
      <c r="AM270" s="3"/>
      <c r="AN270" s="3"/>
    </row>
    <row r="271" ht="15.75" customHeight="1">
      <c r="G271" s="3"/>
      <c r="P271" s="63"/>
      <c r="AG271" s="91"/>
      <c r="AH271" s="3"/>
      <c r="AI271" s="3"/>
      <c r="AJ271" s="3"/>
      <c r="AL271" s="3"/>
      <c r="AM271" s="3"/>
      <c r="AN271" s="3"/>
    </row>
    <row r="272" ht="15.75" customHeight="1">
      <c r="G272" s="3"/>
      <c r="P272" s="63"/>
      <c r="AG272" s="91"/>
      <c r="AH272" s="3"/>
      <c r="AI272" s="3"/>
      <c r="AJ272" s="3"/>
      <c r="AL272" s="3"/>
      <c r="AM272" s="3"/>
      <c r="AN272" s="3"/>
    </row>
    <row r="273" ht="15.75" customHeight="1">
      <c r="G273" s="3"/>
      <c r="P273" s="63"/>
      <c r="AG273" s="91"/>
      <c r="AH273" s="3"/>
      <c r="AI273" s="3"/>
      <c r="AJ273" s="3"/>
      <c r="AL273" s="3"/>
      <c r="AM273" s="3"/>
      <c r="AN273" s="3"/>
    </row>
    <row r="274" ht="15.75" customHeight="1">
      <c r="G274" s="3"/>
      <c r="P274" s="63"/>
      <c r="AG274" s="91"/>
      <c r="AH274" s="3"/>
      <c r="AI274" s="3"/>
      <c r="AJ274" s="3"/>
      <c r="AL274" s="3"/>
      <c r="AM274" s="3"/>
      <c r="AN274" s="3"/>
    </row>
    <row r="275" ht="15.75" customHeight="1">
      <c r="G275" s="3"/>
      <c r="P275" s="63"/>
      <c r="AG275" s="91"/>
      <c r="AH275" s="3"/>
      <c r="AI275" s="3"/>
      <c r="AJ275" s="3"/>
      <c r="AL275" s="3"/>
      <c r="AM275" s="3"/>
      <c r="AN275" s="3"/>
    </row>
    <row r="276" ht="15.75" customHeight="1">
      <c r="G276" s="3"/>
      <c r="P276" s="63"/>
      <c r="AG276" s="91"/>
      <c r="AH276" s="3"/>
      <c r="AI276" s="3"/>
      <c r="AJ276" s="3"/>
      <c r="AL276" s="3"/>
      <c r="AM276" s="3"/>
      <c r="AN276" s="3"/>
    </row>
    <row r="277" ht="15.75" customHeight="1">
      <c r="G277" s="3"/>
      <c r="P277" s="63"/>
      <c r="AG277" s="91"/>
      <c r="AH277" s="3"/>
      <c r="AI277" s="3"/>
      <c r="AJ277" s="3"/>
      <c r="AL277" s="3"/>
      <c r="AM277" s="3"/>
      <c r="AN277" s="3"/>
    </row>
    <row r="278" ht="15.75" customHeight="1">
      <c r="G278" s="3"/>
      <c r="P278" s="63"/>
      <c r="AG278" s="91"/>
      <c r="AH278" s="3"/>
      <c r="AI278" s="3"/>
      <c r="AJ278" s="3"/>
      <c r="AL278" s="3"/>
      <c r="AM278" s="3"/>
      <c r="AN278" s="3"/>
    </row>
    <row r="279" ht="15.75" customHeight="1">
      <c r="G279" s="3"/>
      <c r="P279" s="63"/>
      <c r="AG279" s="91"/>
      <c r="AH279" s="3"/>
      <c r="AI279" s="3"/>
      <c r="AJ279" s="3"/>
      <c r="AL279" s="3"/>
      <c r="AM279" s="3"/>
      <c r="AN279" s="3"/>
    </row>
    <row r="280" ht="15.75" customHeight="1">
      <c r="G280" s="3"/>
      <c r="P280" s="63"/>
      <c r="AG280" s="91"/>
      <c r="AH280" s="3"/>
      <c r="AI280" s="3"/>
      <c r="AJ280" s="3"/>
      <c r="AL280" s="3"/>
      <c r="AM280" s="3"/>
      <c r="AN280" s="3"/>
    </row>
    <row r="281" ht="15.75" customHeight="1">
      <c r="G281" s="3"/>
      <c r="P281" s="63"/>
      <c r="AG281" s="91"/>
      <c r="AH281" s="3"/>
      <c r="AI281" s="3"/>
      <c r="AJ281" s="3"/>
      <c r="AL281" s="3"/>
      <c r="AM281" s="3"/>
      <c r="AN281" s="3"/>
    </row>
    <row r="282" ht="15.75" customHeight="1">
      <c r="G282" s="3"/>
      <c r="P282" s="63"/>
      <c r="AG282" s="91"/>
      <c r="AH282" s="3"/>
      <c r="AI282" s="3"/>
      <c r="AJ282" s="3"/>
      <c r="AL282" s="3"/>
      <c r="AM282" s="3"/>
      <c r="AN282" s="3"/>
    </row>
    <row r="283" ht="15.75" customHeight="1">
      <c r="G283" s="3"/>
      <c r="P283" s="63"/>
      <c r="AG283" s="91"/>
      <c r="AH283" s="3"/>
      <c r="AI283" s="3"/>
      <c r="AJ283" s="3"/>
      <c r="AL283" s="3"/>
      <c r="AM283" s="3"/>
      <c r="AN283" s="3"/>
    </row>
    <row r="284" ht="15.75" customHeight="1">
      <c r="G284" s="3"/>
      <c r="P284" s="63"/>
      <c r="AG284" s="91"/>
      <c r="AH284" s="3"/>
      <c r="AI284" s="3"/>
      <c r="AJ284" s="3"/>
      <c r="AL284" s="3"/>
      <c r="AM284" s="3"/>
      <c r="AN284" s="3"/>
    </row>
    <row r="285" ht="15.75" customHeight="1">
      <c r="G285" s="3"/>
      <c r="P285" s="63"/>
      <c r="AG285" s="91"/>
      <c r="AH285" s="3"/>
      <c r="AI285" s="3"/>
      <c r="AJ285" s="3"/>
      <c r="AL285" s="3"/>
      <c r="AM285" s="3"/>
      <c r="AN285" s="3"/>
    </row>
    <row r="286" ht="15.75" customHeight="1">
      <c r="AG286" s="91"/>
      <c r="AM286" s="3"/>
      <c r="AN286" s="3"/>
    </row>
    <row r="287" ht="15.75" customHeight="1">
      <c r="AG287" s="91"/>
      <c r="AM287" s="3"/>
      <c r="AN287" s="3"/>
    </row>
    <row r="288" ht="15.75" customHeight="1">
      <c r="AG288" s="91"/>
      <c r="AM288" s="3"/>
      <c r="AN288" s="3"/>
    </row>
    <row r="289" ht="15.75" customHeight="1">
      <c r="AG289" s="91"/>
      <c r="AM289" s="3"/>
      <c r="AN289" s="3"/>
    </row>
    <row r="290" ht="15.75" customHeight="1">
      <c r="AG290" s="91"/>
      <c r="AM290" s="3"/>
      <c r="AN290" s="3"/>
    </row>
    <row r="291" ht="15.75" customHeight="1">
      <c r="AG291" s="91"/>
      <c r="AM291" s="3"/>
      <c r="AN291" s="3"/>
    </row>
    <row r="292" ht="15.75" customHeight="1">
      <c r="AG292" s="91"/>
      <c r="AM292" s="3"/>
      <c r="AN292" s="3"/>
    </row>
    <row r="293" ht="15.75" customHeight="1">
      <c r="AG293" s="91"/>
      <c r="AM293" s="3"/>
      <c r="AN293" s="3"/>
    </row>
    <row r="294" ht="15.75" customHeight="1">
      <c r="AG294" s="91"/>
      <c r="AM294" s="3"/>
      <c r="AN294" s="3"/>
    </row>
    <row r="295" ht="15.75" customHeight="1">
      <c r="AG295" s="91"/>
      <c r="AM295" s="3"/>
      <c r="AN295" s="3"/>
    </row>
    <row r="296" ht="15.75" customHeight="1">
      <c r="AG296" s="91"/>
      <c r="AM296" s="3"/>
      <c r="AN296" s="3"/>
    </row>
    <row r="297" ht="15.75" customHeight="1">
      <c r="AG297" s="91"/>
      <c r="AM297" s="3"/>
      <c r="AN297" s="3"/>
    </row>
    <row r="298" ht="15.75" customHeight="1">
      <c r="AG298" s="91"/>
      <c r="AM298" s="3"/>
      <c r="AN298" s="3"/>
    </row>
    <row r="299" ht="15.75" customHeight="1">
      <c r="AG299" s="91"/>
      <c r="AM299" s="3"/>
      <c r="AN299" s="3"/>
    </row>
    <row r="300" ht="15.75" customHeight="1">
      <c r="AG300" s="91"/>
      <c r="AM300" s="3"/>
      <c r="AN300" s="3"/>
    </row>
    <row r="301" ht="15.75" customHeight="1">
      <c r="AG301" s="91"/>
      <c r="AM301" s="3"/>
      <c r="AN301" s="3"/>
    </row>
    <row r="302" ht="15.75" customHeight="1">
      <c r="AG302" s="91"/>
      <c r="AM302" s="3"/>
      <c r="AN302" s="3"/>
    </row>
    <row r="303" ht="15.75" customHeight="1">
      <c r="AG303" s="91"/>
      <c r="AM303" s="3"/>
      <c r="AN303" s="3"/>
    </row>
    <row r="304" ht="15.75" customHeight="1">
      <c r="AG304" s="91"/>
      <c r="AM304" s="3"/>
      <c r="AN304" s="3"/>
    </row>
    <row r="305" ht="15.75" customHeight="1">
      <c r="AG305" s="91"/>
      <c r="AM305" s="3"/>
      <c r="AN305" s="3"/>
    </row>
    <row r="306" ht="15.75" customHeight="1">
      <c r="AG306" s="91"/>
      <c r="AM306" s="3"/>
      <c r="AN306" s="3"/>
    </row>
    <row r="307" ht="15.75" customHeight="1">
      <c r="AG307" s="91"/>
      <c r="AM307" s="3"/>
      <c r="AN307" s="3"/>
    </row>
    <row r="308" ht="15.75" customHeight="1">
      <c r="AG308" s="91"/>
      <c r="AM308" s="3"/>
      <c r="AN308" s="3"/>
    </row>
    <row r="309" ht="15.75" customHeight="1">
      <c r="AG309" s="91"/>
      <c r="AM309" s="3"/>
      <c r="AN309" s="3"/>
    </row>
    <row r="310" ht="15.75" customHeight="1">
      <c r="AG310" s="91"/>
      <c r="AM310" s="3"/>
      <c r="AN310" s="3"/>
    </row>
    <row r="311" ht="15.75" customHeight="1">
      <c r="AG311" s="91"/>
      <c r="AM311" s="3"/>
      <c r="AN311" s="3"/>
    </row>
    <row r="312" ht="15.75" customHeight="1">
      <c r="AG312" s="91"/>
      <c r="AM312" s="3"/>
      <c r="AN312" s="3"/>
    </row>
    <row r="313" ht="15.75" customHeight="1">
      <c r="AG313" s="91"/>
      <c r="AM313" s="3"/>
      <c r="AN313" s="3"/>
    </row>
    <row r="314" ht="15.75" customHeight="1">
      <c r="AG314" s="91"/>
      <c r="AM314" s="3"/>
      <c r="AN314" s="3"/>
    </row>
    <row r="315" ht="15.75" customHeight="1">
      <c r="AG315" s="91"/>
      <c r="AM315" s="3"/>
      <c r="AN315" s="3"/>
    </row>
    <row r="316" ht="15.75" customHeight="1">
      <c r="AG316" s="91"/>
      <c r="AM316" s="3"/>
      <c r="AN316" s="3"/>
    </row>
    <row r="317" ht="15.75" customHeight="1">
      <c r="AG317" s="91"/>
      <c r="AM317" s="3"/>
      <c r="AN317" s="3"/>
    </row>
    <row r="318" ht="15.75" customHeight="1">
      <c r="AG318" s="91"/>
      <c r="AM318" s="3"/>
      <c r="AN318" s="3"/>
    </row>
    <row r="319" ht="15.75" customHeight="1">
      <c r="AG319" s="91"/>
      <c r="AM319" s="3"/>
      <c r="AN319" s="3"/>
    </row>
    <row r="320" ht="15.75" customHeight="1">
      <c r="AG320" s="91"/>
      <c r="AM320" s="3"/>
      <c r="AN320" s="3"/>
    </row>
    <row r="321" ht="15.75" customHeight="1">
      <c r="AG321" s="91"/>
      <c r="AM321" s="3"/>
      <c r="AN321" s="3"/>
    </row>
    <row r="322" ht="15.75" customHeight="1">
      <c r="AG322" s="91"/>
      <c r="AM322" s="3"/>
      <c r="AN322" s="3"/>
    </row>
    <row r="323" ht="15.75" customHeight="1">
      <c r="AG323" s="91"/>
      <c r="AM323" s="3"/>
      <c r="AN323" s="3"/>
    </row>
    <row r="324" ht="15.75" customHeight="1">
      <c r="AG324" s="91"/>
      <c r="AM324" s="3"/>
      <c r="AN324" s="3"/>
    </row>
    <row r="325" ht="15.75" customHeight="1">
      <c r="AG325" s="91"/>
      <c r="AM325" s="3"/>
      <c r="AN325" s="3"/>
    </row>
    <row r="326" ht="15.75" customHeight="1">
      <c r="AG326" s="91"/>
      <c r="AM326" s="3"/>
      <c r="AN326" s="3"/>
    </row>
    <row r="327" ht="15.75" customHeight="1">
      <c r="AG327" s="91"/>
      <c r="AM327" s="3"/>
      <c r="AN327" s="3"/>
    </row>
    <row r="328" ht="15.75" customHeight="1">
      <c r="AG328" s="91"/>
      <c r="AM328" s="3"/>
      <c r="AN328" s="3"/>
    </row>
    <row r="329" ht="15.75" customHeight="1">
      <c r="AG329" s="91"/>
      <c r="AM329" s="3"/>
      <c r="AN329" s="3"/>
    </row>
    <row r="330" ht="15.75" customHeight="1">
      <c r="AG330" s="91"/>
      <c r="AM330" s="3"/>
      <c r="AN330" s="3"/>
    </row>
    <row r="331" ht="15.75" customHeight="1">
      <c r="AG331" s="91"/>
      <c r="AM331" s="3"/>
      <c r="AN331" s="3"/>
    </row>
    <row r="332" ht="15.75" customHeight="1">
      <c r="AG332" s="91"/>
      <c r="AM332" s="3"/>
      <c r="AN332" s="3"/>
    </row>
    <row r="333" ht="15.75" customHeight="1">
      <c r="AG333" s="91"/>
      <c r="AM333" s="3"/>
      <c r="AN333" s="3"/>
    </row>
    <row r="334" ht="15.75" customHeight="1">
      <c r="AG334" s="91"/>
      <c r="AM334" s="3"/>
      <c r="AN334" s="3"/>
    </row>
    <row r="335" ht="15.75" customHeight="1">
      <c r="AG335" s="91"/>
      <c r="AM335" s="3"/>
      <c r="AN335" s="3"/>
    </row>
    <row r="336" ht="15.75" customHeight="1">
      <c r="AG336" s="91"/>
      <c r="AM336" s="3"/>
      <c r="AN336" s="3"/>
    </row>
    <row r="337" ht="15.75" customHeight="1">
      <c r="AG337" s="91"/>
      <c r="AM337" s="3"/>
      <c r="AN337" s="3"/>
    </row>
    <row r="338" ht="15.75" customHeight="1">
      <c r="AG338" s="91"/>
      <c r="AM338" s="3"/>
      <c r="AN338" s="3"/>
    </row>
    <row r="339" ht="15.75" customHeight="1">
      <c r="AG339" s="91"/>
      <c r="AM339" s="3"/>
      <c r="AN339" s="3"/>
    </row>
    <row r="340" ht="15.75" customHeight="1">
      <c r="AG340" s="91"/>
      <c r="AM340" s="3"/>
      <c r="AN340" s="3"/>
    </row>
    <row r="341" ht="15.75" customHeight="1">
      <c r="AG341" s="91"/>
      <c r="AM341" s="3"/>
      <c r="AN341" s="3"/>
    </row>
    <row r="342" ht="15.75" customHeight="1">
      <c r="AG342" s="91"/>
      <c r="AM342" s="3"/>
      <c r="AN342" s="3"/>
    </row>
    <row r="343" ht="15.75" customHeight="1">
      <c r="AG343" s="91"/>
      <c r="AM343" s="3"/>
      <c r="AN343" s="3"/>
    </row>
    <row r="344" ht="15.75" customHeight="1">
      <c r="AG344" s="91"/>
      <c r="AM344" s="3"/>
      <c r="AN344" s="3"/>
    </row>
    <row r="345" ht="15.75" customHeight="1">
      <c r="AG345" s="91"/>
      <c r="AM345" s="3"/>
      <c r="AN345" s="3"/>
    </row>
    <row r="346" ht="15.75" customHeight="1">
      <c r="AG346" s="91"/>
      <c r="AM346" s="3"/>
      <c r="AN346" s="3"/>
    </row>
    <row r="347" ht="15.75" customHeight="1">
      <c r="AG347" s="91"/>
      <c r="AM347" s="3"/>
      <c r="AN347" s="3"/>
    </row>
    <row r="348" ht="15.75" customHeight="1">
      <c r="AG348" s="91"/>
      <c r="AM348" s="3"/>
      <c r="AN348" s="3"/>
    </row>
    <row r="349" ht="15.75" customHeight="1">
      <c r="AG349" s="91"/>
      <c r="AM349" s="3"/>
      <c r="AN349" s="3"/>
    </row>
    <row r="350" ht="15.75" customHeight="1">
      <c r="AG350" s="91"/>
      <c r="AM350" s="3"/>
      <c r="AN350" s="3"/>
    </row>
    <row r="351" ht="15.75" customHeight="1">
      <c r="AG351" s="91"/>
      <c r="AM351" s="3"/>
      <c r="AN351" s="3"/>
    </row>
    <row r="352" ht="15.75" customHeight="1">
      <c r="AG352" s="91"/>
      <c r="AM352" s="3"/>
      <c r="AN352" s="3"/>
    </row>
    <row r="353" ht="15.75" customHeight="1">
      <c r="AG353" s="91"/>
      <c r="AM353" s="3"/>
      <c r="AN353" s="3"/>
    </row>
    <row r="354" ht="15.75" customHeight="1">
      <c r="AG354" s="91"/>
      <c r="AM354" s="3"/>
      <c r="AN354" s="3"/>
    </row>
    <row r="355" ht="15.75" customHeight="1">
      <c r="AG355" s="91"/>
      <c r="AM355" s="3"/>
      <c r="AN355" s="3"/>
    </row>
    <row r="356" ht="15.75" customHeight="1">
      <c r="AG356" s="91"/>
      <c r="AM356" s="3"/>
      <c r="AN356" s="3"/>
    </row>
    <row r="357" ht="15.75" customHeight="1">
      <c r="AG357" s="91"/>
      <c r="AM357" s="3"/>
      <c r="AN357" s="3"/>
    </row>
    <row r="358" ht="15.75" customHeight="1">
      <c r="AG358" s="91"/>
      <c r="AM358" s="3"/>
      <c r="AN358" s="3"/>
    </row>
    <row r="359" ht="15.75" customHeight="1">
      <c r="AG359" s="91"/>
      <c r="AM359" s="3"/>
      <c r="AN359" s="3"/>
    </row>
    <row r="360" ht="15.75" customHeight="1">
      <c r="AG360" s="91"/>
      <c r="AM360" s="3"/>
      <c r="AN360" s="3"/>
    </row>
    <row r="361" ht="15.75" customHeight="1">
      <c r="AG361" s="91"/>
      <c r="AM361" s="3"/>
      <c r="AN361" s="3"/>
    </row>
    <row r="362" ht="15.75" customHeight="1">
      <c r="AG362" s="91"/>
      <c r="AM362" s="3"/>
      <c r="AN362" s="3"/>
    </row>
    <row r="363" ht="15.75" customHeight="1">
      <c r="AG363" s="91"/>
      <c r="AM363" s="3"/>
      <c r="AN363" s="3"/>
    </row>
    <row r="364" ht="15.75" customHeight="1">
      <c r="AG364" s="91"/>
      <c r="AM364" s="3"/>
      <c r="AN364" s="3"/>
    </row>
    <row r="365" ht="15.75" customHeight="1">
      <c r="AG365" s="91"/>
      <c r="AM365" s="3"/>
      <c r="AN365" s="3"/>
    </row>
    <row r="366" ht="15.75" customHeight="1">
      <c r="AG366" s="91"/>
      <c r="AM366" s="3"/>
      <c r="AN366" s="3"/>
    </row>
    <row r="367" ht="15.75" customHeight="1">
      <c r="AG367" s="91"/>
      <c r="AM367" s="3"/>
      <c r="AN367" s="3"/>
    </row>
    <row r="368" ht="15.75" customHeight="1">
      <c r="AG368" s="91"/>
      <c r="AM368" s="3"/>
      <c r="AN368" s="3"/>
    </row>
    <row r="369" ht="15.75" customHeight="1">
      <c r="AG369" s="91"/>
      <c r="AM369" s="3"/>
      <c r="AN369" s="3"/>
    </row>
    <row r="370" ht="15.75" customHeight="1">
      <c r="AG370" s="91"/>
      <c r="AM370" s="3"/>
      <c r="AN370" s="3"/>
    </row>
    <row r="371" ht="15.75" customHeight="1">
      <c r="AG371" s="91"/>
      <c r="AM371" s="3"/>
      <c r="AN371" s="3"/>
    </row>
    <row r="372" ht="15.75" customHeight="1">
      <c r="AG372" s="91"/>
      <c r="AM372" s="3"/>
      <c r="AN372" s="3"/>
    </row>
    <row r="373" ht="15.75" customHeight="1">
      <c r="AG373" s="91"/>
      <c r="AM373" s="3"/>
      <c r="AN373" s="3"/>
    </row>
    <row r="374" ht="15.75" customHeight="1">
      <c r="AG374" s="91"/>
      <c r="AM374" s="3"/>
      <c r="AN374" s="3"/>
    </row>
    <row r="375" ht="15.75" customHeight="1">
      <c r="AG375" s="91"/>
      <c r="AM375" s="3"/>
      <c r="AN375" s="3"/>
    </row>
    <row r="376" ht="15.75" customHeight="1">
      <c r="AG376" s="91"/>
      <c r="AM376" s="3"/>
      <c r="AN376" s="3"/>
    </row>
    <row r="377" ht="15.75" customHeight="1">
      <c r="AG377" s="91"/>
      <c r="AM377" s="3"/>
      <c r="AN377" s="3"/>
    </row>
    <row r="378" ht="15.75" customHeight="1">
      <c r="AG378" s="91"/>
      <c r="AM378" s="3"/>
      <c r="AN378" s="3"/>
    </row>
    <row r="379" ht="15.75" customHeight="1">
      <c r="AG379" s="91"/>
      <c r="AM379" s="3"/>
      <c r="AN379" s="3"/>
    </row>
    <row r="380" ht="15.75" customHeight="1">
      <c r="AG380" s="91"/>
      <c r="AM380" s="3"/>
      <c r="AN380" s="3"/>
    </row>
    <row r="381" ht="15.75" customHeight="1">
      <c r="AG381" s="91"/>
      <c r="AM381" s="3"/>
      <c r="AN381" s="3"/>
    </row>
    <row r="382" ht="15.75" customHeight="1">
      <c r="AG382" s="91"/>
      <c r="AM382" s="3"/>
      <c r="AN382" s="3"/>
    </row>
    <row r="383" ht="15.75" customHeight="1">
      <c r="AG383" s="91"/>
      <c r="AM383" s="3"/>
      <c r="AN383" s="3"/>
    </row>
    <row r="384" ht="15.75" customHeight="1">
      <c r="AG384" s="91"/>
      <c r="AM384" s="3"/>
      <c r="AN384" s="3"/>
    </row>
    <row r="385" ht="15.75" customHeight="1">
      <c r="AG385" s="91"/>
      <c r="AM385" s="3"/>
      <c r="AN385" s="3"/>
    </row>
    <row r="386" ht="15.75" customHeight="1">
      <c r="AG386" s="91"/>
      <c r="AM386" s="3"/>
      <c r="AN386" s="3"/>
    </row>
    <row r="387" ht="15.75" customHeight="1">
      <c r="AG387" s="91"/>
      <c r="AM387" s="3"/>
      <c r="AN387" s="3"/>
    </row>
    <row r="388" ht="15.75" customHeight="1">
      <c r="AG388" s="91"/>
      <c r="AM388" s="3"/>
      <c r="AN388" s="3"/>
    </row>
    <row r="389" ht="15.75" customHeight="1">
      <c r="AG389" s="91"/>
      <c r="AM389" s="3"/>
      <c r="AN389" s="3"/>
    </row>
    <row r="390" ht="15.75" customHeight="1">
      <c r="AG390" s="91"/>
      <c r="AM390" s="3"/>
      <c r="AN390" s="3"/>
    </row>
    <row r="391" ht="15.75" customHeight="1">
      <c r="AG391" s="91"/>
      <c r="AM391" s="3"/>
      <c r="AN391" s="3"/>
    </row>
    <row r="392" ht="15.75" customHeight="1">
      <c r="AG392" s="91"/>
      <c r="AM392" s="3"/>
      <c r="AN392" s="3"/>
    </row>
    <row r="393" ht="15.75" customHeight="1">
      <c r="AG393" s="91"/>
      <c r="AM393" s="3"/>
      <c r="AN393" s="3"/>
    </row>
    <row r="394" ht="15.75" customHeight="1">
      <c r="AG394" s="91"/>
      <c r="AM394" s="3"/>
      <c r="AN394" s="3"/>
    </row>
    <row r="395" ht="15.75" customHeight="1">
      <c r="AG395" s="91"/>
      <c r="AM395" s="3"/>
      <c r="AN395" s="3"/>
    </row>
    <row r="396" ht="15.75" customHeight="1">
      <c r="AG396" s="91"/>
      <c r="AM396" s="3"/>
      <c r="AN396" s="3"/>
    </row>
    <row r="397" ht="15.75" customHeight="1">
      <c r="AG397" s="91"/>
      <c r="AM397" s="3"/>
      <c r="AN397" s="3"/>
    </row>
    <row r="398" ht="15.75" customHeight="1">
      <c r="AG398" s="91"/>
      <c r="AM398" s="3"/>
      <c r="AN398" s="3"/>
    </row>
    <row r="399" ht="15.75" customHeight="1">
      <c r="AG399" s="91"/>
      <c r="AM399" s="3"/>
      <c r="AN399" s="3"/>
    </row>
    <row r="400" ht="15.75" customHeight="1">
      <c r="AG400" s="91"/>
      <c r="AM400" s="3"/>
      <c r="AN400" s="3"/>
    </row>
    <row r="401" ht="15.75" customHeight="1">
      <c r="AG401" s="91"/>
      <c r="AM401" s="3"/>
      <c r="AN401" s="3"/>
    </row>
    <row r="402" ht="15.75" customHeight="1">
      <c r="AG402" s="91"/>
      <c r="AM402" s="3"/>
      <c r="AN402" s="3"/>
    </row>
    <row r="403" ht="15.75" customHeight="1">
      <c r="AG403" s="91"/>
      <c r="AM403" s="3"/>
      <c r="AN403" s="3"/>
    </row>
    <row r="404" ht="15.75" customHeight="1">
      <c r="AG404" s="91"/>
      <c r="AM404" s="3"/>
      <c r="AN404" s="3"/>
    </row>
    <row r="405" ht="15.75" customHeight="1">
      <c r="AG405" s="91"/>
      <c r="AM405" s="3"/>
      <c r="AN405" s="3"/>
    </row>
    <row r="406" ht="15.75" customHeight="1">
      <c r="AG406" s="91"/>
      <c r="AM406" s="3"/>
      <c r="AN406" s="3"/>
    </row>
    <row r="407" ht="15.75" customHeight="1">
      <c r="AG407" s="91"/>
      <c r="AM407" s="3"/>
      <c r="AN407" s="3"/>
    </row>
    <row r="408" ht="15.75" customHeight="1">
      <c r="AG408" s="91"/>
      <c r="AM408" s="3"/>
      <c r="AN408" s="3"/>
    </row>
    <row r="409" ht="15.75" customHeight="1">
      <c r="AG409" s="91"/>
      <c r="AM409" s="3"/>
      <c r="AN409" s="3"/>
    </row>
    <row r="410" ht="15.75" customHeight="1">
      <c r="AG410" s="91"/>
      <c r="AM410" s="3"/>
      <c r="AN410" s="3"/>
    </row>
    <row r="411" ht="15.75" customHeight="1">
      <c r="AG411" s="91"/>
      <c r="AM411" s="3"/>
      <c r="AN411" s="3"/>
    </row>
    <row r="412" ht="15.75" customHeight="1">
      <c r="AG412" s="91"/>
      <c r="AM412" s="3"/>
      <c r="AN412" s="3"/>
    </row>
    <row r="413" ht="15.75" customHeight="1">
      <c r="AG413" s="91"/>
      <c r="AM413" s="3"/>
      <c r="AN413" s="3"/>
    </row>
    <row r="414" ht="15.75" customHeight="1">
      <c r="AG414" s="91"/>
      <c r="AM414" s="3"/>
      <c r="AN414" s="3"/>
    </row>
    <row r="415" ht="15.75" customHeight="1">
      <c r="AG415" s="91"/>
      <c r="AM415" s="3"/>
      <c r="AN415" s="3"/>
    </row>
    <row r="416" ht="15.75" customHeight="1">
      <c r="AG416" s="91"/>
      <c r="AM416" s="3"/>
      <c r="AN416" s="3"/>
    </row>
    <row r="417" ht="15.75" customHeight="1">
      <c r="AG417" s="91"/>
      <c r="AM417" s="3"/>
      <c r="AN417" s="3"/>
    </row>
    <row r="418" ht="15.75" customHeight="1">
      <c r="AG418" s="91"/>
      <c r="AM418" s="3"/>
      <c r="AN418" s="3"/>
    </row>
    <row r="419" ht="15.75" customHeight="1">
      <c r="AG419" s="91"/>
      <c r="AM419" s="3"/>
      <c r="AN419" s="3"/>
    </row>
    <row r="420" ht="15.75" customHeight="1">
      <c r="AG420" s="91"/>
      <c r="AM420" s="3"/>
      <c r="AN420" s="3"/>
    </row>
    <row r="421" ht="15.75" customHeight="1">
      <c r="AG421" s="91"/>
      <c r="AM421" s="3"/>
      <c r="AN421" s="3"/>
    </row>
    <row r="422" ht="15.75" customHeight="1">
      <c r="AG422" s="91"/>
      <c r="AM422" s="3"/>
      <c r="AN422" s="3"/>
    </row>
    <row r="423" ht="15.75" customHeight="1">
      <c r="AG423" s="91"/>
      <c r="AM423" s="3"/>
      <c r="AN423" s="3"/>
    </row>
    <row r="424" ht="15.75" customHeight="1">
      <c r="AG424" s="91"/>
      <c r="AM424" s="3"/>
      <c r="AN424" s="3"/>
    </row>
    <row r="425" ht="15.75" customHeight="1">
      <c r="AG425" s="91"/>
      <c r="AM425" s="3"/>
      <c r="AN425" s="3"/>
    </row>
    <row r="426" ht="15.75" customHeight="1">
      <c r="AG426" s="91"/>
      <c r="AM426" s="3"/>
      <c r="AN426" s="3"/>
    </row>
    <row r="427" ht="15.75" customHeight="1">
      <c r="AG427" s="91"/>
      <c r="AM427" s="3"/>
      <c r="AN427" s="3"/>
    </row>
    <row r="428" ht="15.75" customHeight="1">
      <c r="AG428" s="91"/>
      <c r="AM428" s="3"/>
      <c r="AN428" s="3"/>
    </row>
    <row r="429" ht="15.75" customHeight="1">
      <c r="AG429" s="91"/>
      <c r="AM429" s="3"/>
      <c r="AN429" s="3"/>
    </row>
    <row r="430" ht="15.75" customHeight="1">
      <c r="AG430" s="91"/>
      <c r="AM430" s="3"/>
      <c r="AN430" s="3"/>
    </row>
    <row r="431" ht="15.75" customHeight="1">
      <c r="AG431" s="91"/>
      <c r="AM431" s="3"/>
      <c r="AN431" s="3"/>
    </row>
    <row r="432" ht="15.75" customHeight="1">
      <c r="AG432" s="91"/>
      <c r="AM432" s="3"/>
      <c r="AN432" s="3"/>
    </row>
    <row r="433" ht="15.75" customHeight="1">
      <c r="AG433" s="91"/>
      <c r="AM433" s="3"/>
      <c r="AN433" s="3"/>
    </row>
    <row r="434" ht="15.75" customHeight="1">
      <c r="AG434" s="91"/>
      <c r="AM434" s="3"/>
      <c r="AN434" s="3"/>
    </row>
    <row r="435" ht="15.75" customHeight="1">
      <c r="AG435" s="91"/>
      <c r="AM435" s="3"/>
      <c r="AN435" s="3"/>
    </row>
    <row r="436" ht="15.75" customHeight="1">
      <c r="AG436" s="91"/>
      <c r="AM436" s="3"/>
      <c r="AN436" s="3"/>
    </row>
    <row r="437" ht="15.75" customHeight="1">
      <c r="AG437" s="91"/>
      <c r="AM437" s="3"/>
      <c r="AN437" s="3"/>
    </row>
    <row r="438" ht="15.75" customHeight="1">
      <c r="AG438" s="91"/>
      <c r="AM438" s="3"/>
      <c r="AN438" s="3"/>
    </row>
    <row r="439" ht="15.75" customHeight="1">
      <c r="AG439" s="91"/>
      <c r="AM439" s="3"/>
      <c r="AN439" s="3"/>
    </row>
    <row r="440" ht="15.75" customHeight="1">
      <c r="AG440" s="91"/>
      <c r="AM440" s="3"/>
      <c r="AN440" s="3"/>
    </row>
    <row r="441" ht="15.75" customHeight="1">
      <c r="AG441" s="91"/>
      <c r="AM441" s="3"/>
      <c r="AN441" s="3"/>
    </row>
    <row r="442" ht="15.75" customHeight="1">
      <c r="AG442" s="91"/>
      <c r="AM442" s="3"/>
      <c r="AN442" s="3"/>
    </row>
    <row r="443" ht="15.75" customHeight="1">
      <c r="AG443" s="91"/>
      <c r="AM443" s="3"/>
      <c r="AN443" s="3"/>
    </row>
    <row r="444" ht="15.75" customHeight="1">
      <c r="AG444" s="91"/>
      <c r="AM444" s="3"/>
      <c r="AN444" s="3"/>
    </row>
    <row r="445" ht="15.75" customHeight="1">
      <c r="AG445" s="91"/>
      <c r="AM445" s="3"/>
      <c r="AN445" s="3"/>
    </row>
    <row r="446" ht="15.75" customHeight="1">
      <c r="AG446" s="91"/>
      <c r="AM446" s="3"/>
      <c r="AN446" s="3"/>
    </row>
    <row r="447" ht="15.75" customHeight="1">
      <c r="AG447" s="91"/>
      <c r="AM447" s="3"/>
      <c r="AN447" s="3"/>
    </row>
    <row r="448" ht="15.75" customHeight="1">
      <c r="AG448" s="91"/>
      <c r="AM448" s="3"/>
      <c r="AN448" s="3"/>
    </row>
    <row r="449" ht="15.75" customHeight="1">
      <c r="AG449" s="91"/>
      <c r="AM449" s="3"/>
      <c r="AN449" s="3"/>
    </row>
    <row r="450" ht="15.75" customHeight="1">
      <c r="AG450" s="91"/>
      <c r="AM450" s="3"/>
      <c r="AN450" s="3"/>
    </row>
    <row r="451" ht="15.75" customHeight="1">
      <c r="AG451" s="91"/>
      <c r="AM451" s="3"/>
      <c r="AN451" s="3"/>
    </row>
    <row r="452" ht="15.75" customHeight="1">
      <c r="AG452" s="91"/>
      <c r="AM452" s="3"/>
      <c r="AN452" s="3"/>
    </row>
    <row r="453" ht="15.75" customHeight="1">
      <c r="AG453" s="91"/>
      <c r="AM453" s="3"/>
      <c r="AN453" s="3"/>
    </row>
    <row r="454" ht="15.75" customHeight="1">
      <c r="AG454" s="91"/>
      <c r="AM454" s="3"/>
      <c r="AN454" s="3"/>
    </row>
    <row r="455" ht="15.75" customHeight="1">
      <c r="AG455" s="91"/>
      <c r="AM455" s="3"/>
      <c r="AN455" s="3"/>
    </row>
    <row r="456" ht="15.75" customHeight="1">
      <c r="AG456" s="91"/>
      <c r="AM456" s="3"/>
      <c r="AN456" s="3"/>
    </row>
    <row r="457" ht="15.75" customHeight="1">
      <c r="AG457" s="91"/>
      <c r="AM457" s="3"/>
      <c r="AN457" s="3"/>
    </row>
    <row r="458" ht="15.75" customHeight="1">
      <c r="AG458" s="91"/>
      <c r="AM458" s="3"/>
      <c r="AN458" s="3"/>
    </row>
    <row r="459" ht="15.75" customHeight="1">
      <c r="AG459" s="91"/>
      <c r="AM459" s="3"/>
      <c r="AN459" s="3"/>
    </row>
    <row r="460" ht="15.75" customHeight="1">
      <c r="AG460" s="91"/>
      <c r="AM460" s="3"/>
      <c r="AN460" s="3"/>
    </row>
    <row r="461" ht="15.75" customHeight="1">
      <c r="AG461" s="91"/>
      <c r="AM461" s="3"/>
      <c r="AN461" s="3"/>
    </row>
    <row r="462" ht="15.75" customHeight="1">
      <c r="AG462" s="91"/>
      <c r="AM462" s="3"/>
      <c r="AN462" s="3"/>
    </row>
    <row r="463" ht="15.75" customHeight="1">
      <c r="AG463" s="91"/>
      <c r="AM463" s="3"/>
      <c r="AN463" s="3"/>
    </row>
    <row r="464" ht="15.75" customHeight="1">
      <c r="AG464" s="91"/>
      <c r="AM464" s="3"/>
      <c r="AN464" s="3"/>
    </row>
    <row r="465" ht="15.75" customHeight="1">
      <c r="AG465" s="91"/>
      <c r="AM465" s="3"/>
      <c r="AN465" s="3"/>
    </row>
    <row r="466" ht="15.75" customHeight="1">
      <c r="AG466" s="91"/>
      <c r="AM466" s="3"/>
      <c r="AN466" s="3"/>
    </row>
    <row r="467" ht="15.75" customHeight="1">
      <c r="AG467" s="91"/>
      <c r="AM467" s="3"/>
      <c r="AN467" s="3"/>
    </row>
    <row r="468" ht="15.75" customHeight="1">
      <c r="AG468" s="91"/>
      <c r="AM468" s="3"/>
      <c r="AN468" s="3"/>
    </row>
    <row r="469" ht="15.75" customHeight="1">
      <c r="AG469" s="91"/>
      <c r="AM469" s="3"/>
      <c r="AN469" s="3"/>
    </row>
    <row r="470" ht="15.75" customHeight="1">
      <c r="AG470" s="91"/>
      <c r="AM470" s="3"/>
      <c r="AN470" s="3"/>
    </row>
    <row r="471" ht="15.75" customHeight="1">
      <c r="AG471" s="91"/>
      <c r="AM471" s="3"/>
      <c r="AN471" s="3"/>
    </row>
    <row r="472" ht="15.75" customHeight="1">
      <c r="AG472" s="91"/>
      <c r="AM472" s="3"/>
      <c r="AN472" s="3"/>
    </row>
    <row r="473" ht="15.75" customHeight="1">
      <c r="AG473" s="91"/>
      <c r="AM473" s="3"/>
      <c r="AN473" s="3"/>
    </row>
    <row r="474" ht="15.75" customHeight="1">
      <c r="AG474" s="91"/>
      <c r="AM474" s="3"/>
      <c r="AN474" s="3"/>
    </row>
    <row r="475" ht="15.75" customHeight="1">
      <c r="AG475" s="91"/>
      <c r="AM475" s="3"/>
      <c r="AN475" s="3"/>
    </row>
    <row r="476" ht="15.75" customHeight="1">
      <c r="AG476" s="91"/>
      <c r="AM476" s="3"/>
      <c r="AN476" s="3"/>
    </row>
    <row r="477" ht="15.75" customHeight="1">
      <c r="AG477" s="91"/>
      <c r="AM477" s="3"/>
      <c r="AN477" s="3"/>
    </row>
    <row r="478" ht="15.75" customHeight="1">
      <c r="AG478" s="91"/>
      <c r="AM478" s="3"/>
      <c r="AN478" s="3"/>
    </row>
    <row r="479" ht="15.75" customHeight="1">
      <c r="AG479" s="91"/>
      <c r="AM479" s="3"/>
      <c r="AN479" s="3"/>
    </row>
    <row r="480" ht="15.75" customHeight="1">
      <c r="AG480" s="91"/>
      <c r="AM480" s="3"/>
      <c r="AN480" s="3"/>
    </row>
    <row r="481" ht="15.75" customHeight="1">
      <c r="AG481" s="91"/>
      <c r="AM481" s="3"/>
      <c r="AN481" s="3"/>
    </row>
    <row r="482" ht="15.75" customHeight="1">
      <c r="AG482" s="91"/>
      <c r="AM482" s="3"/>
      <c r="AN482" s="3"/>
    </row>
    <row r="483" ht="15.75" customHeight="1">
      <c r="AG483" s="91"/>
      <c r="AM483" s="3"/>
      <c r="AN483" s="3"/>
    </row>
    <row r="484" ht="15.75" customHeight="1">
      <c r="AG484" s="91"/>
      <c r="AM484" s="3"/>
      <c r="AN484" s="3"/>
    </row>
    <row r="485" ht="15.75" customHeight="1">
      <c r="AG485" s="91"/>
      <c r="AM485" s="3"/>
      <c r="AN485" s="3"/>
    </row>
    <row r="486" ht="15.75" customHeight="1">
      <c r="AG486" s="91"/>
      <c r="AM486" s="3"/>
      <c r="AN486" s="3"/>
    </row>
    <row r="487" ht="15.75" customHeight="1">
      <c r="AG487" s="91"/>
      <c r="AM487" s="3"/>
      <c r="AN487" s="3"/>
    </row>
    <row r="488" ht="15.75" customHeight="1">
      <c r="AG488" s="91"/>
      <c r="AM488" s="3"/>
      <c r="AN488" s="3"/>
    </row>
    <row r="489" ht="15.75" customHeight="1">
      <c r="AG489" s="91"/>
      <c r="AM489" s="3"/>
      <c r="AN489" s="3"/>
    </row>
    <row r="490" ht="15.75" customHeight="1">
      <c r="AG490" s="91"/>
      <c r="AM490" s="3"/>
      <c r="AN490" s="3"/>
    </row>
    <row r="491" ht="15.75" customHeight="1">
      <c r="AG491" s="91"/>
      <c r="AM491" s="3"/>
      <c r="AN491" s="3"/>
    </row>
    <row r="492" ht="15.75" customHeight="1">
      <c r="AG492" s="91"/>
      <c r="AM492" s="3"/>
      <c r="AN492" s="3"/>
    </row>
    <row r="493" ht="15.75" customHeight="1">
      <c r="AG493" s="91"/>
      <c r="AM493" s="3"/>
      <c r="AN493" s="3"/>
    </row>
    <row r="494" ht="15.75" customHeight="1">
      <c r="AG494" s="91"/>
      <c r="AM494" s="3"/>
      <c r="AN494" s="3"/>
    </row>
    <row r="495" ht="15.75" customHeight="1">
      <c r="AG495" s="91"/>
      <c r="AM495" s="3"/>
      <c r="AN495" s="3"/>
    </row>
    <row r="496" ht="15.75" customHeight="1">
      <c r="AG496" s="91"/>
      <c r="AM496" s="3"/>
      <c r="AN496" s="3"/>
    </row>
    <row r="497" ht="15.75" customHeight="1">
      <c r="AG497" s="91"/>
      <c r="AM497" s="3"/>
      <c r="AN497" s="3"/>
    </row>
    <row r="498" ht="15.75" customHeight="1">
      <c r="AG498" s="91"/>
      <c r="AM498" s="3"/>
      <c r="AN498" s="3"/>
    </row>
    <row r="499" ht="15.75" customHeight="1">
      <c r="AG499" s="91"/>
      <c r="AM499" s="3"/>
      <c r="AN499" s="3"/>
    </row>
    <row r="500" ht="15.75" customHeight="1">
      <c r="AG500" s="91"/>
      <c r="AM500" s="3"/>
      <c r="AN500" s="3"/>
    </row>
    <row r="501" ht="15.75" customHeight="1">
      <c r="AG501" s="91"/>
      <c r="AM501" s="3"/>
      <c r="AN501" s="3"/>
    </row>
    <row r="502" ht="15.75" customHeight="1">
      <c r="AG502" s="91"/>
      <c r="AM502" s="3"/>
      <c r="AN502" s="3"/>
    </row>
    <row r="503" ht="15.75" customHeight="1">
      <c r="AG503" s="91"/>
      <c r="AM503" s="3"/>
      <c r="AN503" s="3"/>
    </row>
    <row r="504" ht="15.75" customHeight="1">
      <c r="AG504" s="91"/>
      <c r="AM504" s="3"/>
      <c r="AN504" s="3"/>
    </row>
    <row r="505" ht="15.75" customHeight="1">
      <c r="AG505" s="91"/>
      <c r="AM505" s="3"/>
      <c r="AN505" s="3"/>
    </row>
    <row r="506" ht="15.75" customHeight="1">
      <c r="AG506" s="91"/>
      <c r="AM506" s="3"/>
      <c r="AN506" s="3"/>
    </row>
    <row r="507" ht="15.75" customHeight="1">
      <c r="AG507" s="91"/>
      <c r="AM507" s="3"/>
      <c r="AN507" s="3"/>
    </row>
    <row r="508" ht="15.75" customHeight="1">
      <c r="AG508" s="91"/>
      <c r="AM508" s="3"/>
      <c r="AN508" s="3"/>
    </row>
    <row r="509" ht="15.75" customHeight="1">
      <c r="AG509" s="91"/>
      <c r="AM509" s="3"/>
      <c r="AN509" s="3"/>
    </row>
    <row r="510" ht="15.75" customHeight="1">
      <c r="AG510" s="91"/>
      <c r="AM510" s="3"/>
      <c r="AN510" s="3"/>
    </row>
    <row r="511" ht="15.75" customHeight="1">
      <c r="AG511" s="91"/>
      <c r="AM511" s="3"/>
      <c r="AN511" s="3"/>
    </row>
    <row r="512" ht="15.75" customHeight="1">
      <c r="AG512" s="91"/>
      <c r="AM512" s="3"/>
      <c r="AN512" s="3"/>
    </row>
    <row r="513" ht="15.75" customHeight="1">
      <c r="AG513" s="91"/>
      <c r="AM513" s="3"/>
      <c r="AN513" s="3"/>
    </row>
    <row r="514" ht="15.75" customHeight="1">
      <c r="AG514" s="91"/>
      <c r="AM514" s="3"/>
      <c r="AN514" s="3"/>
    </row>
    <row r="515" ht="15.75" customHeight="1">
      <c r="AG515" s="91"/>
      <c r="AM515" s="3"/>
      <c r="AN515" s="3"/>
    </row>
    <row r="516" ht="15.75" customHeight="1">
      <c r="AG516" s="91"/>
      <c r="AM516" s="3"/>
      <c r="AN516" s="3"/>
    </row>
    <row r="517" ht="15.75" customHeight="1">
      <c r="AG517" s="91"/>
      <c r="AM517" s="3"/>
      <c r="AN517" s="3"/>
    </row>
    <row r="518" ht="15.75" customHeight="1">
      <c r="AG518" s="91"/>
      <c r="AM518" s="3"/>
      <c r="AN518" s="3"/>
    </row>
    <row r="519" ht="15.75" customHeight="1">
      <c r="AG519" s="91"/>
      <c r="AM519" s="3"/>
      <c r="AN519" s="3"/>
    </row>
    <row r="520" ht="15.75" customHeight="1">
      <c r="AG520" s="91"/>
      <c r="AM520" s="3"/>
      <c r="AN520" s="3"/>
    </row>
    <row r="521" ht="15.75" customHeight="1">
      <c r="AG521" s="91"/>
      <c r="AM521" s="3"/>
      <c r="AN521" s="3"/>
    </row>
    <row r="522" ht="15.75" customHeight="1">
      <c r="AG522" s="91"/>
      <c r="AM522" s="3"/>
      <c r="AN522" s="3"/>
    </row>
    <row r="523" ht="15.75" customHeight="1">
      <c r="AG523" s="91"/>
      <c r="AM523" s="3"/>
      <c r="AN523" s="3"/>
    </row>
    <row r="524" ht="15.75" customHeight="1">
      <c r="AG524" s="91"/>
      <c r="AM524" s="3"/>
      <c r="AN524" s="3"/>
    </row>
    <row r="525" ht="15.75" customHeight="1">
      <c r="AG525" s="91"/>
      <c r="AM525" s="3"/>
      <c r="AN525" s="3"/>
    </row>
    <row r="526" ht="15.75" customHeight="1">
      <c r="AG526" s="91"/>
      <c r="AM526" s="3"/>
      <c r="AN526" s="3"/>
    </row>
    <row r="527" ht="15.75" customHeight="1">
      <c r="AG527" s="91"/>
      <c r="AM527" s="3"/>
      <c r="AN527" s="3"/>
    </row>
    <row r="528" ht="15.75" customHeight="1">
      <c r="AG528" s="91"/>
      <c r="AM528" s="3"/>
      <c r="AN528" s="3"/>
    </row>
    <row r="529" ht="15.75" customHeight="1">
      <c r="AG529" s="91"/>
      <c r="AM529" s="3"/>
      <c r="AN529" s="3"/>
    </row>
    <row r="530" ht="15.75" customHeight="1">
      <c r="AG530" s="91"/>
      <c r="AM530" s="3"/>
      <c r="AN530" s="3"/>
    </row>
    <row r="531" ht="15.75" customHeight="1">
      <c r="AG531" s="91"/>
      <c r="AM531" s="3"/>
      <c r="AN531" s="3"/>
    </row>
    <row r="532" ht="15.75" customHeight="1">
      <c r="AG532" s="91"/>
      <c r="AM532" s="3"/>
      <c r="AN532" s="3"/>
    </row>
    <row r="533" ht="15.75" customHeight="1">
      <c r="AG533" s="91"/>
      <c r="AM533" s="3"/>
      <c r="AN533" s="3"/>
    </row>
    <row r="534" ht="15.75" customHeight="1">
      <c r="AG534" s="91"/>
      <c r="AM534" s="3"/>
      <c r="AN534" s="3"/>
    </row>
    <row r="535" ht="15.75" customHeight="1">
      <c r="AG535" s="91"/>
      <c r="AM535" s="3"/>
      <c r="AN535" s="3"/>
    </row>
    <row r="536" ht="15.75" customHeight="1">
      <c r="AG536" s="91"/>
      <c r="AM536" s="3"/>
      <c r="AN536" s="3"/>
    </row>
    <row r="537" ht="15.75" customHeight="1">
      <c r="AG537" s="91"/>
      <c r="AM537" s="3"/>
      <c r="AN537" s="3"/>
    </row>
    <row r="538" ht="15.75" customHeight="1">
      <c r="AG538" s="91"/>
      <c r="AM538" s="3"/>
      <c r="AN538" s="3"/>
    </row>
    <row r="539" ht="15.75" customHeight="1">
      <c r="AG539" s="91"/>
      <c r="AM539" s="3"/>
      <c r="AN539" s="3"/>
    </row>
    <row r="540" ht="15.75" customHeight="1">
      <c r="AG540" s="91"/>
      <c r="AM540" s="3"/>
      <c r="AN540" s="3"/>
    </row>
    <row r="541" ht="15.75" customHeight="1">
      <c r="AG541" s="91"/>
      <c r="AM541" s="3"/>
      <c r="AN541" s="3"/>
    </row>
    <row r="542" ht="15.75" customHeight="1">
      <c r="AG542" s="91"/>
      <c r="AM542" s="3"/>
      <c r="AN542" s="3"/>
    </row>
    <row r="543" ht="15.75" customHeight="1">
      <c r="AG543" s="91"/>
      <c r="AM543" s="3"/>
      <c r="AN543" s="3"/>
    </row>
    <row r="544" ht="15.75" customHeight="1">
      <c r="AG544" s="91"/>
      <c r="AM544" s="3"/>
      <c r="AN544" s="3"/>
    </row>
    <row r="545" ht="15.75" customHeight="1">
      <c r="AG545" s="91"/>
      <c r="AM545" s="3"/>
      <c r="AN545" s="3"/>
    </row>
    <row r="546" ht="15.75" customHeight="1">
      <c r="AG546" s="91"/>
      <c r="AM546" s="3"/>
      <c r="AN546" s="3"/>
    </row>
    <row r="547" ht="15.75" customHeight="1">
      <c r="AG547" s="91"/>
      <c r="AM547" s="3"/>
      <c r="AN547" s="3"/>
    </row>
    <row r="548" ht="15.75" customHeight="1">
      <c r="AG548" s="91"/>
      <c r="AM548" s="3"/>
      <c r="AN548" s="3"/>
    </row>
    <row r="549" ht="15.75" customHeight="1">
      <c r="AG549" s="91"/>
      <c r="AM549" s="3"/>
      <c r="AN549" s="3"/>
    </row>
    <row r="550" ht="15.75" customHeight="1">
      <c r="AG550" s="91"/>
      <c r="AM550" s="3"/>
      <c r="AN550" s="3"/>
    </row>
    <row r="551" ht="15.75" customHeight="1">
      <c r="AG551" s="91"/>
      <c r="AM551" s="3"/>
      <c r="AN551" s="3"/>
    </row>
    <row r="552" ht="15.75" customHeight="1">
      <c r="AG552" s="91"/>
      <c r="AM552" s="3"/>
      <c r="AN552" s="3"/>
    </row>
    <row r="553" ht="15.75" customHeight="1">
      <c r="AG553" s="91"/>
      <c r="AM553" s="3"/>
      <c r="AN553" s="3"/>
    </row>
    <row r="554" ht="15.75" customHeight="1">
      <c r="AG554" s="91"/>
      <c r="AM554" s="3"/>
      <c r="AN554" s="3"/>
    </row>
    <row r="555" ht="15.75" customHeight="1">
      <c r="AG555" s="91"/>
      <c r="AM555" s="3"/>
      <c r="AN555" s="3"/>
    </row>
    <row r="556" ht="15.75" customHeight="1">
      <c r="AG556" s="91"/>
      <c r="AM556" s="3"/>
      <c r="AN556" s="3"/>
    </row>
    <row r="557" ht="15.75" customHeight="1">
      <c r="AG557" s="91"/>
      <c r="AM557" s="3"/>
      <c r="AN557" s="3"/>
    </row>
    <row r="558" ht="15.75" customHeight="1">
      <c r="AG558" s="91"/>
      <c r="AM558" s="3"/>
      <c r="AN558" s="3"/>
    </row>
    <row r="559" ht="15.75" customHeight="1">
      <c r="AG559" s="91"/>
      <c r="AM559" s="3"/>
      <c r="AN559" s="3"/>
    </row>
    <row r="560" ht="15.75" customHeight="1">
      <c r="AG560" s="91"/>
      <c r="AM560" s="3"/>
      <c r="AN560" s="3"/>
    </row>
    <row r="561" ht="15.75" customHeight="1">
      <c r="AG561" s="91"/>
      <c r="AM561" s="3"/>
      <c r="AN561" s="3"/>
    </row>
    <row r="562" ht="15.75" customHeight="1">
      <c r="AG562" s="91"/>
      <c r="AM562" s="3"/>
      <c r="AN562" s="3"/>
    </row>
    <row r="563" ht="15.75" customHeight="1">
      <c r="AG563" s="91"/>
      <c r="AM563" s="3"/>
      <c r="AN563" s="3"/>
    </row>
    <row r="564" ht="15.75" customHeight="1">
      <c r="AG564" s="91"/>
      <c r="AM564" s="3"/>
      <c r="AN564" s="3"/>
    </row>
    <row r="565" ht="15.75" customHeight="1">
      <c r="AG565" s="91"/>
      <c r="AM565" s="3"/>
      <c r="AN565" s="3"/>
    </row>
    <row r="566" ht="15.75" customHeight="1">
      <c r="AG566" s="91"/>
      <c r="AM566" s="3"/>
      <c r="AN566" s="3"/>
    </row>
    <row r="567" ht="15.75" customHeight="1">
      <c r="AG567" s="91"/>
      <c r="AM567" s="3"/>
      <c r="AN567" s="3"/>
    </row>
    <row r="568" ht="15.75" customHeight="1">
      <c r="AG568" s="91"/>
      <c r="AM568" s="3"/>
      <c r="AN568" s="3"/>
    </row>
    <row r="569" ht="15.75" customHeight="1">
      <c r="AG569" s="91"/>
      <c r="AM569" s="3"/>
      <c r="AN569" s="3"/>
    </row>
    <row r="570" ht="15.75" customHeight="1">
      <c r="AG570" s="91"/>
      <c r="AM570" s="3"/>
      <c r="AN570" s="3"/>
    </row>
    <row r="571" ht="15.75" customHeight="1">
      <c r="AG571" s="91"/>
      <c r="AM571" s="3"/>
      <c r="AN571" s="3"/>
    </row>
    <row r="572" ht="15.75" customHeight="1">
      <c r="AG572" s="91"/>
      <c r="AM572" s="3"/>
      <c r="AN572" s="3"/>
    </row>
    <row r="573" ht="15.75" customHeight="1">
      <c r="AG573" s="91"/>
      <c r="AM573" s="3"/>
      <c r="AN573" s="3"/>
    </row>
    <row r="574" ht="15.75" customHeight="1">
      <c r="AG574" s="91"/>
      <c r="AM574" s="3"/>
      <c r="AN574" s="3"/>
    </row>
    <row r="575" ht="15.75" customHeight="1">
      <c r="AG575" s="91"/>
      <c r="AM575" s="3"/>
      <c r="AN575" s="3"/>
    </row>
    <row r="576" ht="15.75" customHeight="1">
      <c r="AG576" s="91"/>
      <c r="AM576" s="3"/>
      <c r="AN576" s="3"/>
    </row>
    <row r="577" ht="15.75" customHeight="1">
      <c r="AG577" s="91"/>
      <c r="AM577" s="3"/>
      <c r="AN577" s="3"/>
    </row>
    <row r="578" ht="15.75" customHeight="1">
      <c r="AG578" s="91"/>
      <c r="AM578" s="3"/>
      <c r="AN578" s="3"/>
    </row>
    <row r="579" ht="15.75" customHeight="1">
      <c r="AG579" s="91"/>
      <c r="AM579" s="3"/>
      <c r="AN579" s="3"/>
    </row>
    <row r="580" ht="15.75" customHeight="1">
      <c r="AG580" s="91"/>
      <c r="AM580" s="3"/>
      <c r="AN580" s="3"/>
    </row>
    <row r="581" ht="15.75" customHeight="1">
      <c r="AG581" s="91"/>
      <c r="AM581" s="3"/>
      <c r="AN581" s="3"/>
    </row>
    <row r="582" ht="15.75" customHeight="1">
      <c r="AG582" s="91"/>
      <c r="AM582" s="3"/>
      <c r="AN582" s="3"/>
    </row>
    <row r="583" ht="15.75" customHeight="1">
      <c r="AG583" s="91"/>
      <c r="AM583" s="3"/>
      <c r="AN583" s="3"/>
    </row>
    <row r="584" ht="15.75" customHeight="1">
      <c r="AG584" s="91"/>
      <c r="AM584" s="3"/>
      <c r="AN584" s="3"/>
    </row>
    <row r="585" ht="15.75" customHeight="1">
      <c r="AG585" s="91"/>
      <c r="AM585" s="3"/>
      <c r="AN585" s="3"/>
    </row>
    <row r="586" ht="15.75" customHeight="1">
      <c r="AG586" s="91"/>
      <c r="AM586" s="3"/>
      <c r="AN586" s="3"/>
    </row>
    <row r="587" ht="15.75" customHeight="1">
      <c r="AG587" s="91"/>
      <c r="AM587" s="3"/>
      <c r="AN587" s="3"/>
    </row>
    <row r="588" ht="15.75" customHeight="1">
      <c r="AG588" s="91"/>
      <c r="AM588" s="3"/>
      <c r="AN588" s="3"/>
    </row>
    <row r="589" ht="15.75" customHeight="1">
      <c r="AG589" s="91"/>
      <c r="AM589" s="3"/>
      <c r="AN589" s="3"/>
    </row>
    <row r="590" ht="15.75" customHeight="1">
      <c r="AG590" s="91"/>
      <c r="AM590" s="3"/>
      <c r="AN590" s="3"/>
    </row>
    <row r="591" ht="15.75" customHeight="1">
      <c r="AG591" s="91"/>
      <c r="AM591" s="3"/>
      <c r="AN591" s="3"/>
    </row>
    <row r="592" ht="15.75" customHeight="1">
      <c r="AG592" s="91"/>
      <c r="AM592" s="3"/>
      <c r="AN592" s="3"/>
    </row>
    <row r="593" ht="15.75" customHeight="1">
      <c r="AG593" s="91"/>
      <c r="AM593" s="3"/>
      <c r="AN593" s="3"/>
    </row>
    <row r="594" ht="15.75" customHeight="1">
      <c r="AG594" s="91"/>
      <c r="AM594" s="3"/>
      <c r="AN594" s="3"/>
    </row>
    <row r="595" ht="15.75" customHeight="1">
      <c r="AG595" s="91"/>
      <c r="AM595" s="3"/>
      <c r="AN595" s="3"/>
    </row>
    <row r="596" ht="15.75" customHeight="1">
      <c r="AG596" s="91"/>
      <c r="AM596" s="3"/>
      <c r="AN596" s="3"/>
    </row>
    <row r="597" ht="15.75" customHeight="1">
      <c r="AG597" s="91"/>
      <c r="AM597" s="3"/>
      <c r="AN597" s="3"/>
    </row>
    <row r="598" ht="15.75" customHeight="1">
      <c r="AG598" s="91"/>
      <c r="AM598" s="3"/>
      <c r="AN598" s="3"/>
    </row>
    <row r="599" ht="15.75" customHeight="1">
      <c r="AG599" s="91"/>
      <c r="AM599" s="3"/>
      <c r="AN599" s="3"/>
    </row>
    <row r="600" ht="15.75" customHeight="1">
      <c r="AG600" s="91"/>
      <c r="AM600" s="3"/>
      <c r="AN600" s="3"/>
    </row>
    <row r="601" ht="15.75" customHeight="1">
      <c r="AG601" s="91"/>
      <c r="AM601" s="3"/>
      <c r="AN601" s="3"/>
    </row>
    <row r="602" ht="15.75" customHeight="1">
      <c r="AG602" s="91"/>
      <c r="AM602" s="3"/>
      <c r="AN602" s="3"/>
    </row>
    <row r="603" ht="15.75" customHeight="1">
      <c r="AG603" s="91"/>
      <c r="AM603" s="3"/>
      <c r="AN603" s="3"/>
    </row>
    <row r="604" ht="15.75" customHeight="1">
      <c r="AG604" s="91"/>
      <c r="AM604" s="3"/>
      <c r="AN604" s="3"/>
    </row>
    <row r="605" ht="15.75" customHeight="1">
      <c r="AG605" s="91"/>
      <c r="AM605" s="3"/>
      <c r="AN605" s="3"/>
    </row>
    <row r="606" ht="15.75" customHeight="1">
      <c r="AG606" s="91"/>
      <c r="AM606" s="3"/>
      <c r="AN606" s="3"/>
    </row>
    <row r="607" ht="15.75" customHeight="1">
      <c r="AG607" s="91"/>
      <c r="AM607" s="3"/>
      <c r="AN607" s="3"/>
    </row>
    <row r="608" ht="15.75" customHeight="1">
      <c r="AG608" s="91"/>
      <c r="AM608" s="3"/>
      <c r="AN608" s="3"/>
    </row>
    <row r="609" ht="15.75" customHeight="1">
      <c r="AG609" s="91"/>
      <c r="AM609" s="3"/>
      <c r="AN609" s="3"/>
    </row>
    <row r="610" ht="15.75" customHeight="1">
      <c r="AG610" s="91"/>
      <c r="AM610" s="3"/>
      <c r="AN610" s="3"/>
    </row>
    <row r="611" ht="15.75" customHeight="1">
      <c r="AG611" s="91"/>
      <c r="AM611" s="3"/>
      <c r="AN611" s="3"/>
    </row>
    <row r="612" ht="15.75" customHeight="1">
      <c r="AG612" s="91"/>
      <c r="AM612" s="3"/>
      <c r="AN612" s="3"/>
    </row>
    <row r="613" ht="15.75" customHeight="1">
      <c r="AG613" s="91"/>
      <c r="AM613" s="3"/>
      <c r="AN613" s="3"/>
    </row>
    <row r="614" ht="15.75" customHeight="1">
      <c r="AG614" s="91"/>
      <c r="AM614" s="3"/>
      <c r="AN614" s="3"/>
    </row>
    <row r="615" ht="15.75" customHeight="1">
      <c r="AG615" s="91"/>
      <c r="AM615" s="3"/>
      <c r="AN615" s="3"/>
    </row>
    <row r="616" ht="15.75" customHeight="1">
      <c r="AG616" s="91"/>
      <c r="AM616" s="3"/>
      <c r="AN616" s="3"/>
    </row>
    <row r="617" ht="15.75" customHeight="1">
      <c r="AG617" s="91"/>
      <c r="AM617" s="3"/>
      <c r="AN617" s="3"/>
    </row>
    <row r="618" ht="15.75" customHeight="1">
      <c r="AG618" s="91"/>
      <c r="AM618" s="3"/>
      <c r="AN618" s="3"/>
    </row>
    <row r="619" ht="15.75" customHeight="1">
      <c r="AG619" s="91"/>
      <c r="AM619" s="3"/>
      <c r="AN619" s="3"/>
    </row>
    <row r="620" ht="15.75" customHeight="1">
      <c r="AG620" s="91"/>
      <c r="AM620" s="3"/>
      <c r="AN620" s="3"/>
    </row>
    <row r="621" ht="15.75" customHeight="1">
      <c r="AG621" s="91"/>
      <c r="AM621" s="3"/>
      <c r="AN621" s="3"/>
    </row>
    <row r="622" ht="15.75" customHeight="1">
      <c r="AG622" s="91"/>
      <c r="AM622" s="3"/>
      <c r="AN622" s="3"/>
    </row>
    <row r="623" ht="15.75" customHeight="1">
      <c r="AG623" s="91"/>
      <c r="AM623" s="3"/>
      <c r="AN623" s="3"/>
    </row>
    <row r="624" ht="15.75" customHeight="1">
      <c r="AG624" s="91"/>
      <c r="AM624" s="3"/>
      <c r="AN624" s="3"/>
    </row>
    <row r="625" ht="15.75" customHeight="1">
      <c r="AG625" s="91"/>
      <c r="AM625" s="3"/>
      <c r="AN625" s="3"/>
    </row>
    <row r="626" ht="15.75" customHeight="1">
      <c r="AG626" s="91"/>
      <c r="AM626" s="3"/>
      <c r="AN626" s="3"/>
    </row>
    <row r="627" ht="15.75" customHeight="1">
      <c r="AG627" s="91"/>
      <c r="AM627" s="3"/>
      <c r="AN627" s="3"/>
    </row>
    <row r="628" ht="15.75" customHeight="1">
      <c r="AG628" s="91"/>
      <c r="AM628" s="3"/>
      <c r="AN628" s="3"/>
    </row>
    <row r="629" ht="15.75" customHeight="1">
      <c r="AG629" s="91"/>
      <c r="AM629" s="3"/>
      <c r="AN629" s="3"/>
    </row>
    <row r="630" ht="15.75" customHeight="1">
      <c r="AG630" s="91"/>
      <c r="AM630" s="3"/>
      <c r="AN630" s="3"/>
    </row>
    <row r="631" ht="15.75" customHeight="1">
      <c r="AG631" s="91"/>
      <c r="AM631" s="3"/>
      <c r="AN631" s="3"/>
    </row>
    <row r="632" ht="15.75" customHeight="1">
      <c r="AG632" s="91"/>
      <c r="AM632" s="3"/>
      <c r="AN632" s="3"/>
    </row>
    <row r="633" ht="15.75" customHeight="1">
      <c r="AG633" s="91"/>
      <c r="AM633" s="3"/>
      <c r="AN633" s="3"/>
    </row>
    <row r="634" ht="15.75" customHeight="1">
      <c r="AG634" s="91"/>
      <c r="AM634" s="3"/>
      <c r="AN634" s="3"/>
    </row>
    <row r="635" ht="15.75" customHeight="1">
      <c r="AG635" s="91"/>
      <c r="AM635" s="3"/>
      <c r="AN635" s="3"/>
    </row>
    <row r="636" ht="15.75" customHeight="1">
      <c r="AG636" s="91"/>
      <c r="AM636" s="3"/>
      <c r="AN636" s="3"/>
    </row>
    <row r="637" ht="15.75" customHeight="1">
      <c r="AG637" s="91"/>
      <c r="AM637" s="3"/>
      <c r="AN637" s="3"/>
    </row>
    <row r="638" ht="15.75" customHeight="1">
      <c r="AG638" s="91"/>
      <c r="AM638" s="3"/>
      <c r="AN638" s="3"/>
    </row>
    <row r="639" ht="15.75" customHeight="1">
      <c r="AG639" s="91"/>
      <c r="AM639" s="3"/>
      <c r="AN639" s="3"/>
    </row>
    <row r="640" ht="15.75" customHeight="1">
      <c r="AG640" s="91"/>
      <c r="AM640" s="3"/>
      <c r="AN640" s="3"/>
    </row>
    <row r="641" ht="15.75" customHeight="1">
      <c r="AG641" s="91"/>
      <c r="AM641" s="3"/>
      <c r="AN641" s="3"/>
    </row>
    <row r="642" ht="15.75" customHeight="1">
      <c r="AG642" s="91"/>
      <c r="AM642" s="3"/>
      <c r="AN642" s="3"/>
    </row>
    <row r="643" ht="15.75" customHeight="1">
      <c r="AG643" s="91"/>
      <c r="AM643" s="3"/>
      <c r="AN643" s="3"/>
    </row>
    <row r="644" ht="15.75" customHeight="1">
      <c r="AG644" s="91"/>
      <c r="AM644" s="3"/>
      <c r="AN644" s="3"/>
    </row>
    <row r="645" ht="15.75" customHeight="1">
      <c r="AG645" s="91"/>
      <c r="AM645" s="3"/>
      <c r="AN645" s="3"/>
    </row>
    <row r="646" ht="15.75" customHeight="1">
      <c r="AG646" s="91"/>
      <c r="AM646" s="3"/>
      <c r="AN646" s="3"/>
    </row>
    <row r="647" ht="15.75" customHeight="1">
      <c r="AG647" s="91"/>
      <c r="AM647" s="3"/>
      <c r="AN647" s="3"/>
    </row>
    <row r="648" ht="15.75" customHeight="1">
      <c r="AG648" s="91"/>
      <c r="AM648" s="3"/>
      <c r="AN648" s="3"/>
    </row>
    <row r="649" ht="15.75" customHeight="1">
      <c r="AG649" s="91"/>
      <c r="AM649" s="3"/>
      <c r="AN649" s="3"/>
    </row>
    <row r="650" ht="15.75" customHeight="1">
      <c r="AG650" s="91"/>
      <c r="AM650" s="3"/>
      <c r="AN650" s="3"/>
    </row>
    <row r="651" ht="15.75" customHeight="1">
      <c r="AG651" s="91"/>
      <c r="AM651" s="3"/>
      <c r="AN651" s="3"/>
    </row>
    <row r="652" ht="15.75" customHeight="1">
      <c r="AG652" s="91"/>
      <c r="AM652" s="3"/>
      <c r="AN652" s="3"/>
    </row>
    <row r="653" ht="15.75" customHeight="1">
      <c r="AG653" s="91"/>
      <c r="AM653" s="3"/>
      <c r="AN653" s="3"/>
    </row>
    <row r="654" ht="15.75" customHeight="1">
      <c r="AG654" s="91"/>
      <c r="AM654" s="3"/>
      <c r="AN654" s="3"/>
    </row>
    <row r="655" ht="15.75" customHeight="1">
      <c r="AG655" s="91"/>
      <c r="AM655" s="3"/>
      <c r="AN655" s="3"/>
    </row>
    <row r="656" ht="15.75" customHeight="1">
      <c r="AG656" s="91"/>
      <c r="AM656" s="3"/>
      <c r="AN656" s="3"/>
    </row>
    <row r="657" ht="15.75" customHeight="1">
      <c r="AG657" s="91"/>
      <c r="AM657" s="3"/>
      <c r="AN657" s="3"/>
    </row>
    <row r="658" ht="15.75" customHeight="1">
      <c r="AG658" s="91"/>
      <c r="AM658" s="3"/>
      <c r="AN658" s="3"/>
    </row>
    <row r="659" ht="15.75" customHeight="1">
      <c r="AG659" s="91"/>
      <c r="AM659" s="3"/>
      <c r="AN659" s="3"/>
    </row>
    <row r="660" ht="15.75" customHeight="1">
      <c r="AG660" s="91"/>
      <c r="AM660" s="3"/>
      <c r="AN660" s="3"/>
    </row>
    <row r="661" ht="15.75" customHeight="1">
      <c r="AG661" s="91"/>
      <c r="AM661" s="3"/>
      <c r="AN661" s="3"/>
    </row>
    <row r="662" ht="15.75" customHeight="1">
      <c r="AG662" s="91"/>
      <c r="AM662" s="3"/>
      <c r="AN662" s="3"/>
    </row>
    <row r="663" ht="15.75" customHeight="1">
      <c r="AG663" s="91"/>
      <c r="AM663" s="3"/>
      <c r="AN663" s="3"/>
    </row>
    <row r="664" ht="15.75" customHeight="1">
      <c r="AG664" s="91"/>
      <c r="AM664" s="3"/>
      <c r="AN664" s="3"/>
    </row>
    <row r="665" ht="15.75" customHeight="1">
      <c r="AG665" s="91"/>
      <c r="AM665" s="3"/>
      <c r="AN665" s="3"/>
    </row>
    <row r="666" ht="15.75" customHeight="1">
      <c r="AG666" s="91"/>
      <c r="AM666" s="3"/>
      <c r="AN666" s="3"/>
    </row>
    <row r="667" ht="15.75" customHeight="1">
      <c r="AG667" s="91"/>
      <c r="AM667" s="3"/>
      <c r="AN667" s="3"/>
    </row>
    <row r="668" ht="15.75" customHeight="1">
      <c r="AG668" s="91"/>
      <c r="AM668" s="3"/>
      <c r="AN668" s="3"/>
    </row>
    <row r="669" ht="15.75" customHeight="1">
      <c r="AG669" s="91"/>
      <c r="AM669" s="3"/>
      <c r="AN669" s="3"/>
    </row>
    <row r="670" ht="15.75" customHeight="1">
      <c r="AG670" s="91"/>
      <c r="AM670" s="3"/>
      <c r="AN670" s="3"/>
    </row>
    <row r="671" ht="15.75" customHeight="1">
      <c r="AG671" s="91"/>
      <c r="AM671" s="3"/>
      <c r="AN671" s="3"/>
    </row>
    <row r="672" ht="15.75" customHeight="1">
      <c r="AG672" s="91"/>
      <c r="AM672" s="3"/>
      <c r="AN672" s="3"/>
    </row>
    <row r="673" ht="15.75" customHeight="1">
      <c r="AG673" s="91"/>
      <c r="AM673" s="3"/>
      <c r="AN673" s="3"/>
    </row>
    <row r="674" ht="15.75" customHeight="1">
      <c r="AG674" s="91"/>
      <c r="AM674" s="3"/>
      <c r="AN674" s="3"/>
    </row>
    <row r="675" ht="15.75" customHeight="1">
      <c r="AG675" s="91"/>
      <c r="AM675" s="3"/>
      <c r="AN675" s="3"/>
    </row>
    <row r="676" ht="15.75" customHeight="1">
      <c r="AG676" s="91"/>
      <c r="AM676" s="3"/>
      <c r="AN676" s="3"/>
    </row>
    <row r="677" ht="15.75" customHeight="1">
      <c r="AG677" s="91"/>
      <c r="AM677" s="3"/>
      <c r="AN677" s="3"/>
    </row>
    <row r="678" ht="15.75" customHeight="1">
      <c r="AG678" s="91"/>
      <c r="AM678" s="3"/>
      <c r="AN678" s="3"/>
    </row>
    <row r="679" ht="15.75" customHeight="1">
      <c r="AG679" s="91"/>
      <c r="AM679" s="3"/>
      <c r="AN679" s="3"/>
    </row>
    <row r="680" ht="15.75" customHeight="1">
      <c r="AG680" s="91"/>
      <c r="AM680" s="3"/>
      <c r="AN680" s="3"/>
    </row>
    <row r="681" ht="15.75" customHeight="1">
      <c r="AG681" s="91"/>
      <c r="AM681" s="3"/>
      <c r="AN681" s="3"/>
    </row>
    <row r="682" ht="15.75" customHeight="1">
      <c r="AG682" s="91"/>
      <c r="AM682" s="3"/>
      <c r="AN682" s="3"/>
    </row>
    <row r="683" ht="15.75" customHeight="1">
      <c r="AG683" s="91"/>
      <c r="AM683" s="3"/>
      <c r="AN683" s="3"/>
    </row>
    <row r="684" ht="15.75" customHeight="1">
      <c r="AG684" s="91"/>
      <c r="AM684" s="3"/>
      <c r="AN684" s="3"/>
    </row>
    <row r="685" ht="15.75" customHeight="1">
      <c r="AG685" s="91"/>
      <c r="AM685" s="3"/>
      <c r="AN685" s="3"/>
    </row>
    <row r="686" ht="15.75" customHeight="1">
      <c r="AG686" s="91"/>
      <c r="AM686" s="3"/>
      <c r="AN686" s="3"/>
    </row>
    <row r="687" ht="15.75" customHeight="1">
      <c r="AG687" s="91"/>
      <c r="AM687" s="3"/>
      <c r="AN687" s="3"/>
    </row>
    <row r="688" ht="15.75" customHeight="1">
      <c r="AG688" s="91"/>
      <c r="AM688" s="3"/>
      <c r="AN688" s="3"/>
    </row>
    <row r="689" ht="15.75" customHeight="1">
      <c r="AG689" s="91"/>
      <c r="AM689" s="3"/>
      <c r="AN689" s="3"/>
    </row>
    <row r="690" ht="15.75" customHeight="1">
      <c r="AG690" s="91"/>
      <c r="AM690" s="3"/>
      <c r="AN690" s="3"/>
    </row>
    <row r="691" ht="15.75" customHeight="1">
      <c r="AG691" s="91"/>
      <c r="AM691" s="3"/>
      <c r="AN691" s="3"/>
    </row>
    <row r="692" ht="15.75" customHeight="1">
      <c r="AG692" s="91"/>
      <c r="AM692" s="3"/>
      <c r="AN692" s="3"/>
    </row>
    <row r="693" ht="15.75" customHeight="1">
      <c r="AG693" s="91"/>
      <c r="AM693" s="3"/>
      <c r="AN693" s="3"/>
    </row>
    <row r="694" ht="15.75" customHeight="1">
      <c r="AG694" s="91"/>
      <c r="AM694" s="3"/>
      <c r="AN694" s="3"/>
    </row>
    <row r="695" ht="15.75" customHeight="1">
      <c r="AG695" s="91"/>
      <c r="AM695" s="3"/>
      <c r="AN695" s="3"/>
    </row>
    <row r="696" ht="15.75" customHeight="1">
      <c r="AG696" s="91"/>
      <c r="AM696" s="3"/>
      <c r="AN696" s="3"/>
    </row>
    <row r="697" ht="15.75" customHeight="1">
      <c r="AG697" s="91"/>
      <c r="AM697" s="3"/>
      <c r="AN697" s="3"/>
    </row>
    <row r="698" ht="15.75" customHeight="1">
      <c r="AG698" s="91"/>
      <c r="AM698" s="3"/>
      <c r="AN698" s="3"/>
    </row>
    <row r="699" ht="15.75" customHeight="1">
      <c r="AG699" s="91"/>
      <c r="AM699" s="3"/>
      <c r="AN699" s="3"/>
    </row>
    <row r="700" ht="15.75" customHeight="1">
      <c r="AG700" s="91"/>
      <c r="AM700" s="3"/>
      <c r="AN700" s="3"/>
    </row>
    <row r="701" ht="15.75" customHeight="1">
      <c r="AG701" s="91"/>
      <c r="AM701" s="3"/>
      <c r="AN701" s="3"/>
    </row>
    <row r="702" ht="15.75" customHeight="1">
      <c r="AG702" s="91"/>
      <c r="AM702" s="3"/>
      <c r="AN702" s="3"/>
    </row>
    <row r="703" ht="15.75" customHeight="1">
      <c r="AG703" s="91"/>
      <c r="AM703" s="3"/>
      <c r="AN703" s="3"/>
    </row>
    <row r="704" ht="15.75" customHeight="1">
      <c r="AG704" s="91"/>
      <c r="AM704" s="3"/>
      <c r="AN704" s="3"/>
    </row>
    <row r="705" ht="15.75" customHeight="1">
      <c r="AG705" s="91"/>
      <c r="AM705" s="3"/>
      <c r="AN705" s="3"/>
    </row>
    <row r="706" ht="15.75" customHeight="1">
      <c r="AG706" s="91"/>
      <c r="AM706" s="3"/>
      <c r="AN706" s="3"/>
    </row>
    <row r="707" ht="15.75" customHeight="1">
      <c r="AG707" s="91"/>
      <c r="AM707" s="3"/>
      <c r="AN707" s="3"/>
    </row>
    <row r="708" ht="15.75" customHeight="1">
      <c r="AG708" s="91"/>
      <c r="AM708" s="3"/>
      <c r="AN708" s="3"/>
    </row>
    <row r="709" ht="15.75" customHeight="1">
      <c r="AG709" s="91"/>
      <c r="AM709" s="3"/>
      <c r="AN709" s="3"/>
    </row>
    <row r="710" ht="15.75" customHeight="1">
      <c r="AG710" s="91"/>
      <c r="AM710" s="3"/>
      <c r="AN710" s="3"/>
    </row>
    <row r="711" ht="15.75" customHeight="1">
      <c r="AG711" s="91"/>
      <c r="AM711" s="3"/>
      <c r="AN711" s="3"/>
    </row>
    <row r="712" ht="15.75" customHeight="1">
      <c r="AG712" s="91"/>
      <c r="AM712" s="3"/>
      <c r="AN712" s="3"/>
    </row>
    <row r="713" ht="15.75" customHeight="1">
      <c r="AG713" s="91"/>
      <c r="AM713" s="3"/>
      <c r="AN713" s="3"/>
    </row>
    <row r="714" ht="15.75" customHeight="1">
      <c r="AG714" s="91"/>
      <c r="AM714" s="3"/>
      <c r="AN714" s="3"/>
    </row>
    <row r="715" ht="15.75" customHeight="1">
      <c r="AG715" s="91"/>
      <c r="AM715" s="3"/>
      <c r="AN715" s="3"/>
    </row>
    <row r="716" ht="15.75" customHeight="1">
      <c r="AG716" s="91"/>
      <c r="AM716" s="3"/>
      <c r="AN716" s="3"/>
    </row>
    <row r="717" ht="15.75" customHeight="1">
      <c r="AG717" s="91"/>
      <c r="AM717" s="3"/>
      <c r="AN717" s="3"/>
    </row>
    <row r="718" ht="15.75" customHeight="1">
      <c r="AG718" s="91"/>
      <c r="AM718" s="3"/>
      <c r="AN718" s="3"/>
    </row>
    <row r="719" ht="15.75" customHeight="1">
      <c r="AG719" s="91"/>
      <c r="AM719" s="3"/>
      <c r="AN719" s="3"/>
    </row>
    <row r="720" ht="15.75" customHeight="1">
      <c r="AG720" s="91"/>
      <c r="AM720" s="3"/>
      <c r="AN720" s="3"/>
    </row>
    <row r="721" ht="15.75" customHeight="1">
      <c r="AG721" s="91"/>
      <c r="AM721" s="3"/>
      <c r="AN721" s="3"/>
    </row>
    <row r="722" ht="15.75" customHeight="1">
      <c r="AG722" s="91"/>
      <c r="AM722" s="3"/>
      <c r="AN722" s="3"/>
    </row>
    <row r="723" ht="15.75" customHeight="1">
      <c r="AG723" s="91"/>
      <c r="AM723" s="3"/>
      <c r="AN723" s="3"/>
    </row>
    <row r="724" ht="15.75" customHeight="1">
      <c r="AG724" s="91"/>
      <c r="AM724" s="3"/>
      <c r="AN724" s="3"/>
    </row>
    <row r="725" ht="15.75" customHeight="1">
      <c r="AG725" s="91"/>
      <c r="AM725" s="3"/>
      <c r="AN725" s="3"/>
    </row>
    <row r="726" ht="15.75" customHeight="1">
      <c r="AG726" s="91"/>
      <c r="AM726" s="3"/>
      <c r="AN726" s="3"/>
    </row>
    <row r="727" ht="15.75" customHeight="1">
      <c r="AG727" s="91"/>
      <c r="AM727" s="3"/>
      <c r="AN727" s="3"/>
    </row>
    <row r="728" ht="15.75" customHeight="1">
      <c r="AG728" s="91"/>
      <c r="AM728" s="3"/>
      <c r="AN728" s="3"/>
    </row>
    <row r="729" ht="15.75" customHeight="1">
      <c r="AG729" s="91"/>
      <c r="AM729" s="3"/>
      <c r="AN729" s="3"/>
    </row>
    <row r="730" ht="15.75" customHeight="1">
      <c r="AG730" s="91"/>
      <c r="AM730" s="3"/>
      <c r="AN730" s="3"/>
    </row>
    <row r="731" ht="15.75" customHeight="1">
      <c r="AG731" s="91"/>
      <c r="AM731" s="3"/>
      <c r="AN731" s="3"/>
    </row>
    <row r="732" ht="15.75" customHeight="1">
      <c r="AG732" s="91"/>
      <c r="AM732" s="3"/>
      <c r="AN732" s="3"/>
    </row>
    <row r="733" ht="15.75" customHeight="1">
      <c r="AG733" s="91"/>
      <c r="AM733" s="3"/>
      <c r="AN733" s="3"/>
    </row>
    <row r="734" ht="15.75" customHeight="1">
      <c r="AG734" s="91"/>
      <c r="AM734" s="3"/>
      <c r="AN734" s="3"/>
    </row>
    <row r="735" ht="15.75" customHeight="1">
      <c r="AG735" s="91"/>
      <c r="AM735" s="3"/>
      <c r="AN735" s="3"/>
    </row>
    <row r="736" ht="15.75" customHeight="1">
      <c r="AG736" s="91"/>
      <c r="AM736" s="3"/>
      <c r="AN736" s="3"/>
    </row>
    <row r="737" ht="15.75" customHeight="1">
      <c r="AG737" s="91"/>
      <c r="AM737" s="3"/>
      <c r="AN737" s="3"/>
    </row>
    <row r="738" ht="15.75" customHeight="1">
      <c r="AG738" s="91"/>
      <c r="AM738" s="3"/>
      <c r="AN738" s="3"/>
    </row>
    <row r="739" ht="15.75" customHeight="1">
      <c r="AG739" s="91"/>
      <c r="AM739" s="3"/>
      <c r="AN739" s="3"/>
    </row>
    <row r="740" ht="15.75" customHeight="1">
      <c r="AG740" s="91"/>
      <c r="AM740" s="3"/>
      <c r="AN740" s="3"/>
    </row>
    <row r="741" ht="15.75" customHeight="1">
      <c r="AG741" s="91"/>
      <c r="AM741" s="3"/>
      <c r="AN741" s="3"/>
    </row>
    <row r="742" ht="15.75" customHeight="1">
      <c r="AG742" s="91"/>
      <c r="AM742" s="3"/>
      <c r="AN742" s="3"/>
    </row>
    <row r="743" ht="15.75" customHeight="1">
      <c r="AG743" s="91"/>
      <c r="AM743" s="3"/>
      <c r="AN743" s="3"/>
    </row>
    <row r="744" ht="15.75" customHeight="1">
      <c r="AG744" s="91"/>
      <c r="AM744" s="3"/>
      <c r="AN744" s="3"/>
    </row>
    <row r="745" ht="15.75" customHeight="1">
      <c r="AG745" s="91"/>
      <c r="AM745" s="3"/>
      <c r="AN745" s="3"/>
    </row>
    <row r="746" ht="15.75" customHeight="1">
      <c r="AG746" s="91"/>
      <c r="AM746" s="3"/>
      <c r="AN746" s="3"/>
    </row>
    <row r="747" ht="15.75" customHeight="1">
      <c r="AG747" s="91"/>
      <c r="AM747" s="3"/>
      <c r="AN747" s="3"/>
    </row>
    <row r="748" ht="15.75" customHeight="1">
      <c r="AG748" s="91"/>
      <c r="AM748" s="3"/>
      <c r="AN748" s="3"/>
    </row>
    <row r="749" ht="15.75" customHeight="1">
      <c r="AG749" s="91"/>
      <c r="AM749" s="3"/>
      <c r="AN749" s="3"/>
    </row>
    <row r="750" ht="15.75" customHeight="1">
      <c r="AG750" s="91"/>
      <c r="AM750" s="3"/>
      <c r="AN750" s="3"/>
    </row>
    <row r="751" ht="15.75" customHeight="1">
      <c r="AG751" s="91"/>
      <c r="AM751" s="3"/>
      <c r="AN751" s="3"/>
    </row>
    <row r="752" ht="15.75" customHeight="1">
      <c r="AG752" s="91"/>
      <c r="AM752" s="3"/>
      <c r="AN752" s="3"/>
    </row>
    <row r="753" ht="15.75" customHeight="1">
      <c r="AG753" s="91"/>
      <c r="AM753" s="3"/>
      <c r="AN753" s="3"/>
    </row>
    <row r="754" ht="15.75" customHeight="1">
      <c r="AG754" s="91"/>
      <c r="AM754" s="3"/>
      <c r="AN754" s="3"/>
    </row>
    <row r="755" ht="15.75" customHeight="1">
      <c r="AG755" s="91"/>
      <c r="AM755" s="3"/>
      <c r="AN755" s="3"/>
    </row>
    <row r="756" ht="15.75" customHeight="1">
      <c r="AG756" s="91"/>
      <c r="AM756" s="3"/>
      <c r="AN756" s="3"/>
    </row>
    <row r="757" ht="15.75" customHeight="1">
      <c r="AG757" s="91"/>
      <c r="AM757" s="3"/>
      <c r="AN757" s="3"/>
    </row>
    <row r="758" ht="15.75" customHeight="1">
      <c r="AG758" s="91"/>
      <c r="AM758" s="3"/>
      <c r="AN758" s="3"/>
    </row>
    <row r="759" ht="15.75" customHeight="1">
      <c r="AG759" s="91"/>
      <c r="AM759" s="3"/>
      <c r="AN759" s="3"/>
    </row>
    <row r="760" ht="15.75" customHeight="1">
      <c r="AG760" s="91"/>
      <c r="AM760" s="3"/>
      <c r="AN760" s="3"/>
    </row>
    <row r="761" ht="15.75" customHeight="1">
      <c r="AG761" s="91"/>
      <c r="AM761" s="3"/>
      <c r="AN761" s="3"/>
    </row>
    <row r="762" ht="15.75" customHeight="1">
      <c r="AG762" s="91"/>
      <c r="AM762" s="3"/>
      <c r="AN762" s="3"/>
    </row>
    <row r="763" ht="15.75" customHeight="1">
      <c r="AG763" s="91"/>
      <c r="AM763" s="3"/>
      <c r="AN763" s="3"/>
    </row>
    <row r="764" ht="15.75" customHeight="1">
      <c r="AG764" s="91"/>
      <c r="AM764" s="3"/>
      <c r="AN764" s="3"/>
    </row>
    <row r="765" ht="15.75" customHeight="1">
      <c r="AG765" s="91"/>
      <c r="AM765" s="3"/>
      <c r="AN765" s="3"/>
    </row>
    <row r="766" ht="15.75" customHeight="1">
      <c r="AG766" s="91"/>
      <c r="AM766" s="3"/>
      <c r="AN766" s="3"/>
    </row>
    <row r="767" ht="15.75" customHeight="1">
      <c r="AG767" s="91"/>
      <c r="AM767" s="3"/>
      <c r="AN767" s="3"/>
    </row>
    <row r="768" ht="15.75" customHeight="1">
      <c r="AG768" s="91"/>
      <c r="AM768" s="3"/>
      <c r="AN768" s="3"/>
    </row>
    <row r="769" ht="15.75" customHeight="1">
      <c r="AG769" s="91"/>
      <c r="AM769" s="3"/>
      <c r="AN769" s="3"/>
    </row>
    <row r="770" ht="15.75" customHeight="1">
      <c r="AG770" s="91"/>
      <c r="AM770" s="3"/>
      <c r="AN770" s="3"/>
    </row>
    <row r="771" ht="15.75" customHeight="1">
      <c r="AG771" s="91"/>
      <c r="AM771" s="3"/>
      <c r="AN771" s="3"/>
    </row>
    <row r="772" ht="15.75" customHeight="1">
      <c r="AG772" s="91"/>
      <c r="AM772" s="3"/>
      <c r="AN772" s="3"/>
    </row>
    <row r="773" ht="15.75" customHeight="1">
      <c r="AG773" s="91"/>
      <c r="AM773" s="3"/>
      <c r="AN773" s="3"/>
    </row>
    <row r="774" ht="15.75" customHeight="1">
      <c r="AG774" s="91"/>
      <c r="AM774" s="3"/>
      <c r="AN774" s="3"/>
    </row>
    <row r="775" ht="15.75" customHeight="1">
      <c r="AG775" s="91"/>
      <c r="AM775" s="3"/>
      <c r="AN775" s="3"/>
    </row>
    <row r="776" ht="15.75" customHeight="1">
      <c r="AG776" s="91"/>
      <c r="AM776" s="3"/>
      <c r="AN776" s="3"/>
    </row>
    <row r="777" ht="15.75" customHeight="1">
      <c r="AG777" s="91"/>
      <c r="AM777" s="3"/>
      <c r="AN777" s="3"/>
    </row>
    <row r="778" ht="15.75" customHeight="1">
      <c r="AG778" s="91"/>
      <c r="AM778" s="3"/>
      <c r="AN778" s="3"/>
    </row>
    <row r="779" ht="15.75" customHeight="1">
      <c r="AG779" s="91"/>
      <c r="AM779" s="3"/>
      <c r="AN779" s="3"/>
    </row>
    <row r="780" ht="15.75" customHeight="1">
      <c r="AG780" s="91"/>
      <c r="AM780" s="3"/>
      <c r="AN780" s="3"/>
    </row>
    <row r="781" ht="15.75" customHeight="1">
      <c r="AG781" s="91"/>
      <c r="AM781" s="3"/>
      <c r="AN781" s="3"/>
    </row>
    <row r="782" ht="15.75" customHeight="1">
      <c r="AG782" s="91"/>
      <c r="AM782" s="3"/>
      <c r="AN782" s="3"/>
    </row>
    <row r="783" ht="15.75" customHeight="1">
      <c r="AG783" s="91"/>
      <c r="AM783" s="3"/>
      <c r="AN783" s="3"/>
    </row>
    <row r="784" ht="15.75" customHeight="1">
      <c r="AG784" s="91"/>
      <c r="AM784" s="3"/>
      <c r="AN784" s="3"/>
    </row>
    <row r="785" ht="15.75" customHeight="1">
      <c r="AG785" s="91"/>
      <c r="AM785" s="3"/>
      <c r="AN785" s="3"/>
    </row>
    <row r="786" ht="15.75" customHeight="1">
      <c r="AG786" s="91"/>
      <c r="AM786" s="3"/>
      <c r="AN786" s="3"/>
    </row>
    <row r="787" ht="15.75" customHeight="1">
      <c r="AG787" s="91"/>
      <c r="AM787" s="3"/>
      <c r="AN787" s="3"/>
    </row>
    <row r="788" ht="15.75" customHeight="1">
      <c r="AG788" s="91"/>
      <c r="AM788" s="3"/>
      <c r="AN788" s="3"/>
    </row>
    <row r="789" ht="15.75" customHeight="1">
      <c r="AG789" s="91"/>
      <c r="AM789" s="3"/>
      <c r="AN789" s="3"/>
    </row>
    <row r="790" ht="15.75" customHeight="1">
      <c r="AG790" s="91"/>
      <c r="AM790" s="3"/>
      <c r="AN790" s="3"/>
    </row>
    <row r="791" ht="15.75" customHeight="1">
      <c r="AG791" s="91"/>
      <c r="AM791" s="3"/>
      <c r="AN791" s="3"/>
    </row>
    <row r="792" ht="15.75" customHeight="1">
      <c r="AG792" s="91"/>
      <c r="AM792" s="3"/>
      <c r="AN792" s="3"/>
    </row>
    <row r="793" ht="15.75" customHeight="1">
      <c r="AG793" s="91"/>
      <c r="AM793" s="3"/>
      <c r="AN793" s="3"/>
    </row>
    <row r="794" ht="15.75" customHeight="1">
      <c r="AG794" s="91"/>
      <c r="AM794" s="3"/>
      <c r="AN794" s="3"/>
    </row>
    <row r="795" ht="15.75" customHeight="1">
      <c r="AG795" s="91"/>
      <c r="AM795" s="3"/>
      <c r="AN795" s="3"/>
    </row>
    <row r="796" ht="15.75" customHeight="1">
      <c r="AG796" s="91"/>
      <c r="AM796" s="3"/>
      <c r="AN796" s="3"/>
    </row>
    <row r="797" ht="15.75" customHeight="1">
      <c r="AG797" s="91"/>
      <c r="AM797" s="3"/>
      <c r="AN797" s="3"/>
    </row>
    <row r="798" ht="15.75" customHeight="1">
      <c r="AG798" s="91"/>
      <c r="AM798" s="3"/>
      <c r="AN798" s="3"/>
    </row>
    <row r="799" ht="15.75" customHeight="1">
      <c r="AG799" s="91"/>
      <c r="AM799" s="3"/>
      <c r="AN799" s="3"/>
    </row>
    <row r="800" ht="15.75" customHeight="1">
      <c r="AG800" s="91"/>
      <c r="AM800" s="3"/>
      <c r="AN800" s="3"/>
    </row>
    <row r="801" ht="15.75" customHeight="1">
      <c r="AG801" s="91"/>
      <c r="AM801" s="3"/>
      <c r="AN801" s="3"/>
    </row>
    <row r="802" ht="15.75" customHeight="1">
      <c r="AG802" s="91"/>
      <c r="AM802" s="3"/>
      <c r="AN802" s="3"/>
    </row>
    <row r="803" ht="15.75" customHeight="1">
      <c r="AG803" s="91"/>
      <c r="AM803" s="3"/>
      <c r="AN803" s="3"/>
    </row>
    <row r="804" ht="15.75" customHeight="1">
      <c r="AG804" s="91"/>
      <c r="AM804" s="3"/>
      <c r="AN804" s="3"/>
    </row>
    <row r="805" ht="15.75" customHeight="1">
      <c r="AG805" s="91"/>
      <c r="AM805" s="3"/>
      <c r="AN805" s="3"/>
    </row>
    <row r="806" ht="15.75" customHeight="1">
      <c r="AG806" s="91"/>
      <c r="AM806" s="3"/>
      <c r="AN806" s="3"/>
    </row>
    <row r="807" ht="15.75" customHeight="1">
      <c r="AG807" s="91"/>
      <c r="AM807" s="3"/>
      <c r="AN807" s="3"/>
    </row>
    <row r="808" ht="15.75" customHeight="1">
      <c r="AG808" s="91"/>
      <c r="AM808" s="3"/>
      <c r="AN808" s="3"/>
    </row>
    <row r="809" ht="15.75" customHeight="1">
      <c r="AG809" s="91"/>
      <c r="AM809" s="3"/>
      <c r="AN809" s="3"/>
    </row>
    <row r="810" ht="15.75" customHeight="1">
      <c r="AG810" s="91"/>
      <c r="AM810" s="3"/>
      <c r="AN810" s="3"/>
    </row>
    <row r="811" ht="15.75" customHeight="1">
      <c r="AG811" s="91"/>
      <c r="AM811" s="3"/>
      <c r="AN811" s="3"/>
    </row>
    <row r="812" ht="15.75" customHeight="1">
      <c r="AG812" s="91"/>
      <c r="AM812" s="3"/>
      <c r="AN812" s="3"/>
    </row>
    <row r="813" ht="15.75" customHeight="1">
      <c r="AG813" s="91"/>
      <c r="AM813" s="3"/>
      <c r="AN813" s="3"/>
    </row>
    <row r="814" ht="15.75" customHeight="1">
      <c r="AG814" s="91"/>
      <c r="AM814" s="3"/>
      <c r="AN814" s="3"/>
    </row>
    <row r="815" ht="15.75" customHeight="1">
      <c r="AG815" s="91"/>
      <c r="AM815" s="3"/>
      <c r="AN815" s="3"/>
    </row>
    <row r="816" ht="15.75" customHeight="1">
      <c r="AG816" s="91"/>
      <c r="AM816" s="3"/>
      <c r="AN816" s="3"/>
    </row>
    <row r="817" ht="15.75" customHeight="1">
      <c r="AG817" s="91"/>
      <c r="AM817" s="3"/>
      <c r="AN817" s="3"/>
    </row>
    <row r="818" ht="15.75" customHeight="1">
      <c r="AG818" s="91"/>
      <c r="AM818" s="3"/>
      <c r="AN818" s="3"/>
    </row>
    <row r="819" ht="15.75" customHeight="1">
      <c r="AG819" s="91"/>
      <c r="AM819" s="3"/>
      <c r="AN819" s="3"/>
    </row>
    <row r="820" ht="15.75" customHeight="1">
      <c r="AG820" s="91"/>
      <c r="AM820" s="3"/>
      <c r="AN820" s="3"/>
    </row>
    <row r="821" ht="15.75" customHeight="1">
      <c r="AG821" s="91"/>
      <c r="AM821" s="3"/>
      <c r="AN821" s="3"/>
    </row>
    <row r="822" ht="15.75" customHeight="1">
      <c r="AG822" s="91"/>
      <c r="AM822" s="3"/>
      <c r="AN822" s="3"/>
    </row>
    <row r="823" ht="15.75" customHeight="1">
      <c r="AG823" s="91"/>
      <c r="AM823" s="3"/>
      <c r="AN823" s="3"/>
    </row>
    <row r="824" ht="15.75" customHeight="1">
      <c r="AG824" s="91"/>
      <c r="AM824" s="3"/>
      <c r="AN824" s="3"/>
    </row>
    <row r="825" ht="15.75" customHeight="1">
      <c r="AG825" s="91"/>
      <c r="AM825" s="3"/>
      <c r="AN825" s="3"/>
    </row>
    <row r="826" ht="15.75" customHeight="1">
      <c r="AG826" s="91"/>
      <c r="AM826" s="3"/>
      <c r="AN826" s="3"/>
    </row>
    <row r="827" ht="15.75" customHeight="1">
      <c r="AG827" s="91"/>
      <c r="AM827" s="3"/>
      <c r="AN827" s="3"/>
    </row>
    <row r="828" ht="15.75" customHeight="1">
      <c r="AG828" s="91"/>
      <c r="AM828" s="3"/>
      <c r="AN828" s="3"/>
    </row>
    <row r="829" ht="15.75" customHeight="1">
      <c r="AG829" s="91"/>
      <c r="AM829" s="3"/>
      <c r="AN829" s="3"/>
    </row>
    <row r="830" ht="15.75" customHeight="1">
      <c r="AG830" s="91"/>
      <c r="AM830" s="3"/>
      <c r="AN830" s="3"/>
    </row>
    <row r="831" ht="15.75" customHeight="1">
      <c r="AG831" s="91"/>
      <c r="AM831" s="3"/>
      <c r="AN831" s="3"/>
    </row>
    <row r="832" ht="15.75" customHeight="1">
      <c r="AG832" s="91"/>
      <c r="AM832" s="3"/>
      <c r="AN832" s="3"/>
    </row>
    <row r="833" ht="15.75" customHeight="1">
      <c r="AG833" s="91"/>
      <c r="AM833" s="3"/>
      <c r="AN833" s="3"/>
    </row>
    <row r="834" ht="15.75" customHeight="1">
      <c r="AG834" s="91"/>
      <c r="AM834" s="3"/>
      <c r="AN834" s="3"/>
    </row>
    <row r="835" ht="15.75" customHeight="1">
      <c r="AG835" s="91"/>
      <c r="AM835" s="3"/>
      <c r="AN835" s="3"/>
    </row>
    <row r="836" ht="15.75" customHeight="1">
      <c r="AG836" s="91"/>
      <c r="AM836" s="3"/>
      <c r="AN836" s="3"/>
    </row>
    <row r="837" ht="15.75" customHeight="1">
      <c r="AG837" s="91"/>
      <c r="AM837" s="3"/>
      <c r="AN837" s="3"/>
    </row>
    <row r="838" ht="15.75" customHeight="1">
      <c r="AG838" s="91"/>
      <c r="AM838" s="3"/>
      <c r="AN838" s="3"/>
    </row>
    <row r="839" ht="15.75" customHeight="1">
      <c r="AG839" s="91"/>
      <c r="AM839" s="3"/>
      <c r="AN839" s="3"/>
    </row>
    <row r="840" ht="15.75" customHeight="1">
      <c r="AG840" s="91"/>
      <c r="AM840" s="3"/>
      <c r="AN840" s="3"/>
    </row>
    <row r="841" ht="15.75" customHeight="1">
      <c r="AG841" s="91"/>
      <c r="AM841" s="3"/>
      <c r="AN841" s="3"/>
    </row>
    <row r="842" ht="15.75" customHeight="1">
      <c r="AG842" s="91"/>
      <c r="AM842" s="3"/>
      <c r="AN842" s="3"/>
    </row>
    <row r="843" ht="15.75" customHeight="1">
      <c r="AG843" s="91"/>
      <c r="AM843" s="3"/>
      <c r="AN843" s="3"/>
    </row>
    <row r="844" ht="15.75" customHeight="1">
      <c r="AG844" s="91"/>
      <c r="AM844" s="3"/>
      <c r="AN844" s="3"/>
    </row>
    <row r="845" ht="15.75" customHeight="1">
      <c r="AG845" s="91"/>
      <c r="AM845" s="3"/>
      <c r="AN845" s="3"/>
    </row>
    <row r="846" ht="15.75" customHeight="1">
      <c r="AG846" s="91"/>
      <c r="AM846" s="3"/>
      <c r="AN846" s="3"/>
    </row>
    <row r="847" ht="15.75" customHeight="1">
      <c r="AG847" s="91"/>
      <c r="AM847" s="3"/>
      <c r="AN847" s="3"/>
    </row>
    <row r="848" ht="15.75" customHeight="1">
      <c r="AG848" s="91"/>
      <c r="AM848" s="3"/>
      <c r="AN848" s="3"/>
    </row>
    <row r="849" ht="15.75" customHeight="1">
      <c r="AG849" s="91"/>
      <c r="AM849" s="3"/>
      <c r="AN849" s="3"/>
    </row>
    <row r="850" ht="15.75" customHeight="1">
      <c r="AG850" s="91"/>
      <c r="AM850" s="3"/>
      <c r="AN850" s="3"/>
    </row>
    <row r="851" ht="15.75" customHeight="1">
      <c r="AG851" s="91"/>
      <c r="AM851" s="3"/>
      <c r="AN851" s="3"/>
    </row>
    <row r="852" ht="15.75" customHeight="1">
      <c r="AG852" s="91"/>
      <c r="AM852" s="3"/>
      <c r="AN852" s="3"/>
    </row>
    <row r="853" ht="15.75" customHeight="1">
      <c r="AG853" s="91"/>
      <c r="AM853" s="3"/>
      <c r="AN853" s="3"/>
    </row>
    <row r="854" ht="15.75" customHeight="1">
      <c r="AG854" s="91"/>
      <c r="AM854" s="3"/>
      <c r="AN854" s="3"/>
    </row>
    <row r="855" ht="15.75" customHeight="1">
      <c r="AG855" s="91"/>
      <c r="AM855" s="3"/>
      <c r="AN855" s="3"/>
    </row>
    <row r="856" ht="15.75" customHeight="1">
      <c r="AG856" s="91"/>
      <c r="AM856" s="3"/>
      <c r="AN856" s="3"/>
    </row>
    <row r="857" ht="15.75" customHeight="1">
      <c r="AG857" s="91"/>
      <c r="AM857" s="3"/>
      <c r="AN857" s="3"/>
    </row>
    <row r="858" ht="15.75" customHeight="1">
      <c r="AG858" s="91"/>
      <c r="AM858" s="3"/>
      <c r="AN858" s="3"/>
    </row>
    <row r="859" ht="15.75" customHeight="1">
      <c r="AG859" s="91"/>
      <c r="AM859" s="3"/>
      <c r="AN859" s="3"/>
    </row>
    <row r="860" ht="15.75" customHeight="1">
      <c r="AG860" s="91"/>
      <c r="AM860" s="3"/>
      <c r="AN860" s="3"/>
    </row>
    <row r="861" ht="15.75" customHeight="1">
      <c r="AG861" s="91"/>
      <c r="AM861" s="3"/>
      <c r="AN861" s="3"/>
    </row>
    <row r="862" ht="15.75" customHeight="1">
      <c r="AG862" s="91"/>
      <c r="AM862" s="3"/>
      <c r="AN862" s="3"/>
    </row>
    <row r="863" ht="15.75" customHeight="1">
      <c r="AG863" s="91"/>
      <c r="AM863" s="3"/>
      <c r="AN863" s="3"/>
    </row>
    <row r="864" ht="15.75" customHeight="1">
      <c r="AG864" s="91"/>
      <c r="AM864" s="3"/>
      <c r="AN864" s="3"/>
    </row>
    <row r="865" ht="15.75" customHeight="1">
      <c r="AG865" s="91"/>
      <c r="AM865" s="3"/>
      <c r="AN865" s="3"/>
    </row>
    <row r="866" ht="15.75" customHeight="1">
      <c r="AG866" s="91"/>
      <c r="AM866" s="3"/>
      <c r="AN866" s="3"/>
    </row>
    <row r="867" ht="15.75" customHeight="1">
      <c r="AG867" s="91"/>
      <c r="AM867" s="3"/>
      <c r="AN867" s="3"/>
    </row>
    <row r="868" ht="15.75" customHeight="1">
      <c r="AG868" s="91"/>
      <c r="AM868" s="3"/>
      <c r="AN868" s="3"/>
    </row>
    <row r="869" ht="15.75" customHeight="1">
      <c r="AG869" s="91"/>
      <c r="AM869" s="3"/>
      <c r="AN869" s="3"/>
    </row>
    <row r="870" ht="15.75" customHeight="1">
      <c r="AG870" s="91"/>
      <c r="AM870" s="3"/>
      <c r="AN870" s="3"/>
    </row>
    <row r="871" ht="15.75" customHeight="1">
      <c r="AG871" s="91"/>
      <c r="AM871" s="3"/>
      <c r="AN871" s="3"/>
    </row>
    <row r="872" ht="15.75" customHeight="1">
      <c r="AG872" s="91"/>
      <c r="AM872" s="3"/>
      <c r="AN872" s="3"/>
    </row>
    <row r="873" ht="15.75" customHeight="1">
      <c r="AG873" s="91"/>
      <c r="AM873" s="3"/>
      <c r="AN873" s="3"/>
    </row>
    <row r="874" ht="15.75" customHeight="1">
      <c r="AG874" s="91"/>
      <c r="AM874" s="3"/>
      <c r="AN874" s="3"/>
    </row>
    <row r="875" ht="15.75" customHeight="1">
      <c r="AG875" s="91"/>
      <c r="AM875" s="3"/>
      <c r="AN875" s="3"/>
    </row>
    <row r="876" ht="15.75" customHeight="1">
      <c r="AG876" s="91"/>
      <c r="AM876" s="3"/>
      <c r="AN876" s="3"/>
    </row>
    <row r="877" ht="15.75" customHeight="1">
      <c r="AG877" s="91"/>
      <c r="AM877" s="3"/>
      <c r="AN877" s="3"/>
    </row>
    <row r="878" ht="15.75" customHeight="1">
      <c r="AG878" s="91"/>
      <c r="AM878" s="3"/>
      <c r="AN878" s="3"/>
    </row>
    <row r="879" ht="15.75" customHeight="1">
      <c r="AG879" s="91"/>
      <c r="AM879" s="3"/>
      <c r="AN879" s="3"/>
    </row>
    <row r="880" ht="15.75" customHeight="1">
      <c r="AG880" s="91"/>
      <c r="AM880" s="3"/>
      <c r="AN880" s="3"/>
    </row>
    <row r="881" ht="15.75" customHeight="1">
      <c r="AG881" s="91"/>
      <c r="AM881" s="3"/>
      <c r="AN881" s="3"/>
    </row>
    <row r="882" ht="15.75" customHeight="1">
      <c r="AG882" s="91"/>
      <c r="AM882" s="3"/>
      <c r="AN882" s="3"/>
    </row>
    <row r="883" ht="15.75" customHeight="1">
      <c r="AG883" s="91"/>
      <c r="AM883" s="3"/>
      <c r="AN883" s="3"/>
    </row>
    <row r="884" ht="15.75" customHeight="1">
      <c r="AG884" s="91"/>
      <c r="AM884" s="3"/>
      <c r="AN884" s="3"/>
    </row>
    <row r="885" ht="15.75" customHeight="1">
      <c r="AG885" s="91"/>
      <c r="AM885" s="3"/>
      <c r="AN885" s="3"/>
    </row>
    <row r="886" ht="15.75" customHeight="1">
      <c r="AG886" s="91"/>
      <c r="AM886" s="3"/>
      <c r="AN886" s="3"/>
    </row>
    <row r="887" ht="15.75" customHeight="1">
      <c r="AG887" s="91"/>
      <c r="AM887" s="3"/>
      <c r="AN887" s="3"/>
    </row>
    <row r="888" ht="15.75" customHeight="1">
      <c r="AG888" s="91"/>
      <c r="AM888" s="3"/>
      <c r="AN888" s="3"/>
    </row>
    <row r="889" ht="15.75" customHeight="1">
      <c r="AG889" s="91"/>
      <c r="AM889" s="3"/>
      <c r="AN889" s="3"/>
    </row>
    <row r="890" ht="15.75" customHeight="1">
      <c r="AG890" s="91"/>
      <c r="AM890" s="3"/>
      <c r="AN890" s="3"/>
    </row>
    <row r="891" ht="15.75" customHeight="1">
      <c r="AG891" s="91"/>
      <c r="AM891" s="3"/>
      <c r="AN891" s="3"/>
    </row>
    <row r="892" ht="15.75" customHeight="1">
      <c r="AG892" s="91"/>
      <c r="AM892" s="3"/>
      <c r="AN892" s="3"/>
    </row>
    <row r="893" ht="15.75" customHeight="1">
      <c r="AG893" s="91"/>
      <c r="AM893" s="3"/>
      <c r="AN893" s="3"/>
    </row>
    <row r="894" ht="15.75" customHeight="1">
      <c r="AG894" s="91"/>
      <c r="AM894" s="3"/>
      <c r="AN894" s="3"/>
    </row>
    <row r="895" ht="15.75" customHeight="1">
      <c r="AG895" s="91"/>
      <c r="AM895" s="3"/>
      <c r="AN895" s="3"/>
    </row>
    <row r="896" ht="15.75" customHeight="1">
      <c r="AG896" s="91"/>
      <c r="AM896" s="3"/>
      <c r="AN896" s="3"/>
    </row>
    <row r="897" ht="15.75" customHeight="1">
      <c r="AG897" s="91"/>
      <c r="AM897" s="3"/>
      <c r="AN897" s="3"/>
    </row>
    <row r="898" ht="15.75" customHeight="1">
      <c r="AG898" s="91"/>
      <c r="AM898" s="3"/>
      <c r="AN898" s="3"/>
    </row>
    <row r="899" ht="15.75" customHeight="1">
      <c r="AG899" s="91"/>
      <c r="AM899" s="3"/>
      <c r="AN899" s="3"/>
    </row>
    <row r="900" ht="15.75" customHeight="1">
      <c r="AG900" s="91"/>
      <c r="AM900" s="3"/>
      <c r="AN900" s="3"/>
    </row>
    <row r="901" ht="15.75" customHeight="1">
      <c r="AG901" s="91"/>
      <c r="AM901" s="3"/>
      <c r="AN901" s="3"/>
    </row>
    <row r="902" ht="15.75" customHeight="1">
      <c r="AG902" s="91"/>
      <c r="AM902" s="3"/>
      <c r="AN902" s="3"/>
    </row>
    <row r="903" ht="15.75" customHeight="1">
      <c r="AG903" s="91"/>
      <c r="AM903" s="3"/>
      <c r="AN903" s="3"/>
    </row>
    <row r="904" ht="15.75" customHeight="1">
      <c r="AG904" s="91"/>
      <c r="AM904" s="3"/>
      <c r="AN904" s="3"/>
    </row>
    <row r="905" ht="15.75" customHeight="1">
      <c r="AG905" s="91"/>
      <c r="AM905" s="3"/>
      <c r="AN905" s="3"/>
    </row>
    <row r="906" ht="15.75" customHeight="1">
      <c r="AG906" s="91"/>
      <c r="AM906" s="3"/>
      <c r="AN906" s="3"/>
    </row>
    <row r="907" ht="15.75" customHeight="1">
      <c r="AG907" s="91"/>
      <c r="AM907" s="3"/>
      <c r="AN907" s="3"/>
    </row>
    <row r="908" ht="15.75" customHeight="1">
      <c r="AG908" s="91"/>
      <c r="AM908" s="3"/>
      <c r="AN908" s="3"/>
    </row>
    <row r="909" ht="15.75" customHeight="1">
      <c r="AG909" s="91"/>
      <c r="AM909" s="3"/>
      <c r="AN909" s="3"/>
    </row>
    <row r="910" ht="15.75" customHeight="1">
      <c r="AG910" s="91"/>
      <c r="AM910" s="3"/>
      <c r="AN910" s="3"/>
    </row>
    <row r="911" ht="15.75" customHeight="1">
      <c r="AG911" s="91"/>
      <c r="AM911" s="3"/>
      <c r="AN911" s="3"/>
    </row>
    <row r="912" ht="15.75" customHeight="1">
      <c r="AG912" s="91"/>
      <c r="AM912" s="3"/>
      <c r="AN912" s="3"/>
    </row>
    <row r="913" ht="15.75" customHeight="1">
      <c r="AG913" s="91"/>
      <c r="AM913" s="3"/>
      <c r="AN913" s="3"/>
    </row>
    <row r="914" ht="15.75" customHeight="1">
      <c r="AG914" s="91"/>
      <c r="AM914" s="3"/>
      <c r="AN914" s="3"/>
    </row>
    <row r="915" ht="15.75" customHeight="1">
      <c r="AG915" s="91"/>
      <c r="AM915" s="3"/>
      <c r="AN915" s="3"/>
    </row>
    <row r="916" ht="15.75" customHeight="1">
      <c r="AG916" s="91"/>
      <c r="AM916" s="3"/>
      <c r="AN916" s="3"/>
    </row>
    <row r="917" ht="15.75" customHeight="1">
      <c r="AG917" s="91"/>
      <c r="AM917" s="3"/>
      <c r="AN917" s="3"/>
    </row>
    <row r="918" ht="15.75" customHeight="1">
      <c r="AG918" s="91"/>
      <c r="AM918" s="3"/>
      <c r="AN918" s="3"/>
    </row>
    <row r="919" ht="15.75" customHeight="1">
      <c r="AG919" s="91"/>
      <c r="AM919" s="3"/>
      <c r="AN919" s="3"/>
    </row>
    <row r="920" ht="15.75" customHeight="1">
      <c r="AG920" s="91"/>
      <c r="AM920" s="3"/>
      <c r="AN920" s="3"/>
    </row>
    <row r="921" ht="15.75" customHeight="1">
      <c r="AG921" s="91"/>
      <c r="AM921" s="3"/>
      <c r="AN921" s="3"/>
    </row>
    <row r="922" ht="15.75" customHeight="1">
      <c r="AG922" s="91"/>
      <c r="AM922" s="3"/>
      <c r="AN922" s="3"/>
    </row>
    <row r="923" ht="15.75" customHeight="1">
      <c r="AG923" s="91"/>
      <c r="AM923" s="3"/>
      <c r="AN923" s="3"/>
    </row>
    <row r="924" ht="15.75" customHeight="1">
      <c r="AG924" s="91"/>
      <c r="AM924" s="3"/>
      <c r="AN924" s="3"/>
    </row>
    <row r="925" ht="15.75" customHeight="1">
      <c r="AG925" s="91"/>
      <c r="AM925" s="3"/>
      <c r="AN925" s="3"/>
    </row>
    <row r="926" ht="15.75" customHeight="1">
      <c r="AG926" s="91"/>
      <c r="AM926" s="3"/>
      <c r="AN926" s="3"/>
    </row>
    <row r="927" ht="15.75" customHeight="1">
      <c r="AG927" s="91"/>
      <c r="AM927" s="3"/>
      <c r="AN927" s="3"/>
    </row>
    <row r="928" ht="15.75" customHeight="1">
      <c r="AG928" s="91"/>
      <c r="AM928" s="3"/>
      <c r="AN928" s="3"/>
    </row>
    <row r="929" ht="15.75" customHeight="1">
      <c r="AG929" s="91"/>
      <c r="AM929" s="3"/>
      <c r="AN929" s="3"/>
    </row>
    <row r="930" ht="15.75" customHeight="1">
      <c r="AG930" s="91"/>
      <c r="AM930" s="3"/>
      <c r="AN930" s="3"/>
    </row>
    <row r="931" ht="15.75" customHeight="1">
      <c r="AG931" s="91"/>
      <c r="AM931" s="3"/>
      <c r="AN931" s="3"/>
    </row>
    <row r="932" ht="15.75" customHeight="1">
      <c r="AG932" s="91"/>
      <c r="AM932" s="3"/>
      <c r="AN932" s="3"/>
    </row>
    <row r="933" ht="15.75" customHeight="1">
      <c r="AG933" s="91"/>
      <c r="AM933" s="3"/>
      <c r="AN933" s="3"/>
    </row>
    <row r="934" ht="15.75" customHeight="1">
      <c r="AG934" s="91"/>
      <c r="AM934" s="3"/>
      <c r="AN934" s="3"/>
    </row>
    <row r="935" ht="15.75" customHeight="1">
      <c r="AG935" s="91"/>
      <c r="AM935" s="3"/>
      <c r="AN935" s="3"/>
    </row>
    <row r="936" ht="15.75" customHeight="1">
      <c r="AG936" s="91"/>
      <c r="AM936" s="3"/>
      <c r="AN936" s="3"/>
    </row>
    <row r="937" ht="15.75" customHeight="1">
      <c r="AG937" s="91"/>
      <c r="AM937" s="3"/>
      <c r="AN937" s="3"/>
    </row>
    <row r="938" ht="15.75" customHeight="1">
      <c r="AG938" s="91"/>
      <c r="AM938" s="3"/>
      <c r="AN938" s="3"/>
    </row>
    <row r="939" ht="15.75" customHeight="1">
      <c r="AG939" s="91"/>
      <c r="AM939" s="3"/>
      <c r="AN939" s="3"/>
    </row>
    <row r="940" ht="15.75" customHeight="1">
      <c r="AG940" s="91"/>
      <c r="AM940" s="3"/>
      <c r="AN940" s="3"/>
    </row>
    <row r="941" ht="15.75" customHeight="1">
      <c r="AG941" s="91"/>
      <c r="AM941" s="3"/>
      <c r="AN941" s="3"/>
    </row>
    <row r="942" ht="15.75" customHeight="1">
      <c r="AG942" s="91"/>
      <c r="AM942" s="3"/>
      <c r="AN942" s="3"/>
    </row>
    <row r="943" ht="15.75" customHeight="1">
      <c r="AG943" s="91"/>
      <c r="AM943" s="3"/>
      <c r="AN943" s="3"/>
    </row>
    <row r="944" ht="15.75" customHeight="1">
      <c r="AG944" s="91"/>
      <c r="AM944" s="3"/>
      <c r="AN944" s="3"/>
    </row>
    <row r="945" ht="15.75" customHeight="1">
      <c r="AG945" s="91"/>
      <c r="AM945" s="3"/>
      <c r="AN945" s="3"/>
    </row>
    <row r="946" ht="15.75" customHeight="1">
      <c r="AG946" s="91"/>
      <c r="AM946" s="3"/>
      <c r="AN946" s="3"/>
    </row>
    <row r="947" ht="15.75" customHeight="1">
      <c r="AG947" s="91"/>
      <c r="AM947" s="3"/>
      <c r="AN947" s="3"/>
    </row>
    <row r="948" ht="15.75" customHeight="1">
      <c r="AG948" s="91"/>
      <c r="AM948" s="3"/>
      <c r="AN948" s="3"/>
    </row>
    <row r="949" ht="15.75" customHeight="1">
      <c r="AG949" s="91"/>
      <c r="AM949" s="3"/>
      <c r="AN949" s="3"/>
    </row>
    <row r="950" ht="15.75" customHeight="1">
      <c r="AG950" s="91"/>
      <c r="AM950" s="3"/>
      <c r="AN950" s="3"/>
    </row>
    <row r="951" ht="15.75" customHeight="1">
      <c r="AG951" s="91"/>
      <c r="AM951" s="3"/>
      <c r="AN951" s="3"/>
    </row>
    <row r="952" ht="15.75" customHeight="1">
      <c r="AG952" s="91"/>
      <c r="AM952" s="3"/>
      <c r="AN952" s="3"/>
    </row>
    <row r="953" ht="15.75" customHeight="1">
      <c r="AG953" s="91"/>
      <c r="AM953" s="3"/>
      <c r="AN953" s="3"/>
    </row>
    <row r="954" ht="15.75" customHeight="1">
      <c r="AG954" s="91"/>
      <c r="AM954" s="3"/>
      <c r="AN954" s="3"/>
    </row>
    <row r="955" ht="15.75" customHeight="1">
      <c r="AG955" s="91"/>
      <c r="AM955" s="3"/>
      <c r="AN955" s="3"/>
    </row>
    <row r="956" ht="15.75" customHeight="1">
      <c r="AG956" s="91"/>
      <c r="AM956" s="3"/>
      <c r="AN956" s="3"/>
    </row>
    <row r="957" ht="15.75" customHeight="1">
      <c r="AG957" s="91"/>
      <c r="AM957" s="3"/>
      <c r="AN957" s="3"/>
    </row>
    <row r="958" ht="15.75" customHeight="1">
      <c r="AG958" s="91"/>
      <c r="AM958" s="3"/>
      <c r="AN958" s="3"/>
    </row>
    <row r="959" ht="15.75" customHeight="1">
      <c r="AG959" s="91"/>
      <c r="AM959" s="3"/>
      <c r="AN959" s="3"/>
    </row>
    <row r="960" ht="15.75" customHeight="1">
      <c r="AG960" s="91"/>
      <c r="AM960" s="3"/>
      <c r="AN960" s="3"/>
    </row>
    <row r="961" ht="15.75" customHeight="1">
      <c r="AG961" s="91"/>
      <c r="AM961" s="3"/>
      <c r="AN961" s="3"/>
    </row>
    <row r="962" ht="15.75" customHeight="1">
      <c r="AG962" s="91"/>
      <c r="AM962" s="3"/>
      <c r="AN962" s="3"/>
    </row>
    <row r="963" ht="15.75" customHeight="1">
      <c r="AG963" s="91"/>
      <c r="AM963" s="3"/>
      <c r="AN963" s="3"/>
    </row>
    <row r="964" ht="15.75" customHeight="1">
      <c r="AG964" s="91"/>
      <c r="AM964" s="3"/>
      <c r="AN964" s="3"/>
    </row>
    <row r="965" ht="15.75" customHeight="1">
      <c r="AG965" s="91"/>
      <c r="AM965" s="3"/>
      <c r="AN965" s="3"/>
    </row>
    <row r="966" ht="15.75" customHeight="1">
      <c r="AG966" s="91"/>
      <c r="AM966" s="3"/>
      <c r="AN966" s="3"/>
    </row>
    <row r="967" ht="15.75" customHeight="1">
      <c r="AG967" s="91"/>
      <c r="AM967" s="3"/>
      <c r="AN967" s="3"/>
    </row>
    <row r="968" ht="15.75" customHeight="1">
      <c r="AG968" s="91"/>
      <c r="AM968" s="3"/>
      <c r="AN968" s="3"/>
    </row>
    <row r="969" ht="15.75" customHeight="1">
      <c r="AG969" s="91"/>
      <c r="AM969" s="3"/>
      <c r="AN969" s="3"/>
    </row>
    <row r="970" ht="15.75" customHeight="1">
      <c r="AG970" s="91"/>
      <c r="AM970" s="3"/>
      <c r="AN970" s="3"/>
    </row>
    <row r="971" ht="15.75" customHeight="1">
      <c r="AG971" s="91"/>
      <c r="AM971" s="3"/>
      <c r="AN971" s="3"/>
    </row>
    <row r="972" ht="15.75" customHeight="1">
      <c r="AG972" s="91"/>
      <c r="AM972" s="3"/>
      <c r="AN972" s="3"/>
    </row>
    <row r="973" ht="15.75" customHeight="1">
      <c r="AG973" s="91"/>
      <c r="AM973" s="3"/>
      <c r="AN973" s="3"/>
    </row>
    <row r="974" ht="15.75" customHeight="1">
      <c r="AG974" s="91"/>
      <c r="AM974" s="3"/>
      <c r="AN974" s="3"/>
    </row>
    <row r="975" ht="15.75" customHeight="1">
      <c r="AG975" s="91"/>
      <c r="AM975" s="3"/>
      <c r="AN975" s="3"/>
    </row>
    <row r="976" ht="15.75" customHeight="1">
      <c r="AG976" s="91"/>
      <c r="AM976" s="3"/>
      <c r="AN976" s="3"/>
    </row>
    <row r="977" ht="15.75" customHeight="1">
      <c r="AG977" s="91"/>
      <c r="AM977" s="3"/>
      <c r="AN977" s="3"/>
    </row>
    <row r="978" ht="15.75" customHeight="1">
      <c r="AG978" s="91"/>
      <c r="AM978" s="3"/>
      <c r="AN978" s="3"/>
    </row>
    <row r="979" ht="15.75" customHeight="1">
      <c r="AG979" s="91"/>
      <c r="AM979" s="3"/>
      <c r="AN979" s="3"/>
    </row>
    <row r="980" ht="15.75" customHeight="1">
      <c r="AG980" s="91"/>
      <c r="AM980" s="3"/>
      <c r="AN980" s="3"/>
    </row>
    <row r="981" ht="15.75" customHeight="1">
      <c r="AG981" s="91"/>
      <c r="AM981" s="3"/>
      <c r="AN981" s="3"/>
    </row>
    <row r="982" ht="15.75" customHeight="1">
      <c r="AG982" s="91"/>
      <c r="AM982" s="3"/>
      <c r="AN982" s="3"/>
    </row>
    <row r="983" ht="15.75" customHeight="1">
      <c r="AG983" s="91"/>
      <c r="AM983" s="3"/>
      <c r="AN983" s="3"/>
    </row>
    <row r="984" ht="15.75" customHeight="1">
      <c r="AG984" s="91"/>
      <c r="AM984" s="3"/>
      <c r="AN984" s="3"/>
    </row>
    <row r="985" ht="15.75" customHeight="1">
      <c r="AG985" s="91"/>
      <c r="AM985" s="3"/>
      <c r="AN985" s="3"/>
    </row>
    <row r="986" ht="15.75" customHeight="1">
      <c r="AG986" s="91"/>
      <c r="AM986" s="3"/>
      <c r="AN986" s="3"/>
    </row>
    <row r="987" ht="15.75" customHeight="1">
      <c r="AG987" s="91"/>
      <c r="AM987" s="3"/>
      <c r="AN987" s="3"/>
    </row>
    <row r="988" ht="15.75" customHeight="1">
      <c r="AG988" s="91"/>
      <c r="AM988" s="3"/>
      <c r="AN988" s="3"/>
    </row>
    <row r="989" ht="15.75" customHeight="1">
      <c r="AG989" s="91"/>
      <c r="AM989" s="3"/>
      <c r="AN989" s="3"/>
    </row>
    <row r="990" ht="15.75" customHeight="1">
      <c r="AG990" s="91"/>
      <c r="AM990" s="3"/>
      <c r="AN990" s="3"/>
    </row>
    <row r="991" ht="15.75" customHeight="1">
      <c r="AG991" s="91"/>
      <c r="AM991" s="3"/>
      <c r="AN991" s="3"/>
    </row>
    <row r="992" ht="15.75" customHeight="1">
      <c r="AG992" s="91"/>
      <c r="AM992" s="3"/>
      <c r="AN992" s="3"/>
    </row>
    <row r="993" ht="15.75" customHeight="1">
      <c r="AG993" s="91"/>
      <c r="AM993" s="3"/>
      <c r="AN993" s="3"/>
    </row>
    <row r="994" ht="15.75" customHeight="1">
      <c r="AG994" s="91"/>
      <c r="AM994" s="3"/>
      <c r="AN994" s="3"/>
    </row>
    <row r="995" ht="15.75" customHeight="1">
      <c r="AG995" s="91"/>
      <c r="AM995" s="3"/>
      <c r="AN995" s="3"/>
    </row>
    <row r="996" ht="15.75" customHeight="1">
      <c r="AG996" s="91"/>
      <c r="AM996" s="3"/>
      <c r="AN996" s="3"/>
    </row>
    <row r="997" ht="15.75" customHeight="1">
      <c r="AG997" s="91"/>
      <c r="AM997" s="3"/>
      <c r="AN997" s="3"/>
    </row>
    <row r="998" ht="15.75" customHeight="1">
      <c r="AG998" s="91"/>
      <c r="AM998" s="3"/>
      <c r="AN998" s="3"/>
    </row>
    <row r="999" ht="15.75" customHeight="1">
      <c r="AG999" s="91"/>
      <c r="AM999" s="3"/>
      <c r="AN999" s="3"/>
    </row>
    <row r="1000" ht="15.75" customHeight="1">
      <c r="AG1000" s="91"/>
      <c r="AM1000" s="3"/>
      <c r="AN1000" s="3"/>
    </row>
  </sheetData>
  <autoFilter ref="$A$3:$AL$79">
    <sortState ref="A3:AL79">
      <sortCondition ref="A3:A79"/>
    </sortState>
  </autoFilter>
  <printOptions/>
  <pageMargins bottom="0.75" footer="0.0" header="0.0" left="0.7" right="0.7" top="0.75"/>
  <pageSetup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40" width="14.43"/>
  </cols>
  <sheetData>
    <row r="1" ht="15.0" customHeight="1">
      <c r="B1" s="57" t="s">
        <v>4457</v>
      </c>
      <c r="D1" s="1">
        <v>45614.0</v>
      </c>
      <c r="F1" s="2"/>
      <c r="G1" s="3"/>
      <c r="H1" s="4"/>
      <c r="I1" s="5"/>
      <c r="AB1" s="7"/>
      <c r="AC1" s="7"/>
      <c r="AD1" s="7"/>
      <c r="AE1" s="7"/>
      <c r="AF1" s="7"/>
      <c r="AG1" s="862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  <c r="AM1" s="3"/>
      <c r="AN1" s="3"/>
    </row>
    <row r="2" ht="15.0" customHeight="1">
      <c r="B2" s="57" t="s">
        <v>4458</v>
      </c>
      <c r="D2" s="1">
        <v>45620.0</v>
      </c>
      <c r="G2" s="13"/>
      <c r="H2" s="13"/>
      <c r="I2" s="14">
        <f>SUBTOTAL(9,I4:I9754)</f>
        <v>818.17</v>
      </c>
      <c r="J2" s="4"/>
      <c r="K2" s="14">
        <f>SUBTOTAL(9,K4:K9754)</f>
        <v>782.588818</v>
      </c>
      <c r="L2" s="15">
        <f>SUMPRODUCT(L5:L585,K5:K585)/K2</f>
        <v>0.3006160437</v>
      </c>
      <c r="M2" s="2"/>
      <c r="P2" s="2"/>
      <c r="Q2" s="16">
        <f>+SUMPRODUCT(Q5:Q473,AH5:AH473)/SUM(AH5:AH473)</f>
        <v>89.45812271</v>
      </c>
      <c r="R2" s="12">
        <f>+SUMPRODUCT(R5:R473,AH5:AH473)/SUM(AH5:AH473)</f>
        <v>2696.822784</v>
      </c>
      <c r="S2" s="2"/>
      <c r="AB2" s="7"/>
      <c r="AC2" s="7"/>
      <c r="AD2" s="7"/>
      <c r="AE2" s="7"/>
      <c r="AF2" s="7"/>
      <c r="AG2" s="863">
        <f>SUMPRODUCT($AG5:$AG473,$K5:$K473)/SUM($K5:$K473)</f>
        <v>54.25076402</v>
      </c>
      <c r="AH2" s="18"/>
      <c r="AI2" s="19">
        <v>2646.5</v>
      </c>
      <c r="AJ2" s="20"/>
      <c r="AK2" s="11"/>
      <c r="AL2" s="21"/>
      <c r="AM2" s="3"/>
      <c r="AN2" s="3"/>
    </row>
    <row r="3" ht="15.0" customHeight="1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3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864" t="s">
        <v>36</v>
      </c>
      <c r="AH3" s="39">
        <f>SUBTOTAL(9,AH5:AH9755)</f>
        <v>7215.495017</v>
      </c>
      <c r="AI3" s="40">
        <f>SUMPRODUCT(K5:K473,AI5:AI473)/K2</f>
        <v>16.33517542</v>
      </c>
      <c r="AJ3" s="39">
        <f>SUBTOTAL(9,AJ5:AJ9755)</f>
        <v>7110.736598</v>
      </c>
      <c r="AK3" s="11"/>
      <c r="AL3" s="39">
        <f>SUBTOTAL(9,AL5:AL9755)</f>
        <v>467282.3577</v>
      </c>
      <c r="AM3" s="3" t="s">
        <v>4049</v>
      </c>
      <c r="AN3" s="3" t="s">
        <v>4459</v>
      </c>
      <c r="AO3" s="7">
        <f>+AH3/Q2*100</f>
        <v>8065.779605</v>
      </c>
    </row>
    <row r="4" ht="15.75" customHeight="1">
      <c r="A4" s="865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866"/>
      <c r="AH4" s="50"/>
      <c r="AI4" s="51"/>
      <c r="AJ4" s="52"/>
      <c r="AK4" s="53"/>
      <c r="AL4" s="52"/>
      <c r="AM4" s="134"/>
      <c r="AN4" s="134"/>
      <c r="AO4" s="67"/>
      <c r="AP4" s="67"/>
      <c r="AQ4" s="67"/>
    </row>
    <row r="5" ht="15.75" customHeight="1">
      <c r="A5" s="92" t="s">
        <v>4570</v>
      </c>
      <c r="B5" s="841"/>
      <c r="C5" s="854">
        <v>45566.0</v>
      </c>
      <c r="D5" s="67" t="s">
        <v>4571</v>
      </c>
      <c r="E5" s="67">
        <v>1.0460498487E10</v>
      </c>
      <c r="F5" s="867" t="s">
        <v>4572</v>
      </c>
      <c r="G5" s="134" t="s">
        <v>4100</v>
      </c>
      <c r="H5" s="58" t="s">
        <v>47</v>
      </c>
      <c r="I5" s="58">
        <v>13.82</v>
      </c>
      <c r="J5" s="58">
        <v>8.15</v>
      </c>
      <c r="K5" s="59">
        <f t="shared" ref="K5:K81" si="1">+I5-(I5*(J5/100))</f>
        <v>12.69367</v>
      </c>
      <c r="L5" s="106">
        <v>0.043</v>
      </c>
      <c r="M5" s="106">
        <v>0.041</v>
      </c>
      <c r="N5" s="135">
        <v>0.041</v>
      </c>
      <c r="O5" s="106">
        <f t="shared" ref="O5:O21" si="2">+ROUND((M5+N5)/2,3)</f>
        <v>0.041</v>
      </c>
      <c r="P5" s="85">
        <v>85.0</v>
      </c>
      <c r="Q5" s="846">
        <v>85.0</v>
      </c>
      <c r="R5" s="741">
        <v>2639.99</v>
      </c>
      <c r="S5" s="134">
        <v>100.0</v>
      </c>
      <c r="T5" s="67"/>
      <c r="U5" s="67">
        <v>100.0</v>
      </c>
      <c r="V5" s="67">
        <v>1.1023</v>
      </c>
      <c r="W5" s="67"/>
      <c r="X5" s="67"/>
      <c r="Y5" s="67"/>
      <c r="Z5" s="69">
        <f t="shared" ref="Z5:Z33" si="3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81" si="4">+Y5+Z5</f>
        <v>30</v>
      </c>
      <c r="AB5" s="71">
        <f t="shared" ref="AB5:AB55" si="5">+((O5*P5*(R5-U5)/100)-S5-AA5+T5)*V5</f>
        <v>-45.72489045</v>
      </c>
      <c r="AC5" s="71">
        <f>+(S5-T5)*V5-'data 1'!$F$4</f>
        <v>30.23</v>
      </c>
      <c r="AD5" s="71">
        <f t="shared" ref="AD5:AD81" si="6">+(Q5-P5)*(R5-U5)*L5*V5/100</f>
        <v>0</v>
      </c>
      <c r="AE5" s="71">
        <f t="shared" ref="AE5:AE81" si="7">+(Y5*V5-70)+V5*(Z5-IF(D5="UNTUCA",IF(+((W5-3)*2.5+(X5-3)*3.1)&gt;0,+((W5-3)*1.5+(X5-3)*3.1),0),IF(+((W5-3)*1.5+(X5-3)*3.1)&gt;0,+((W5-3)*1.5+(X5-3)*3.1),0)))</f>
        <v>-36.931</v>
      </c>
      <c r="AF5" s="71">
        <f t="shared" ref="AF5:AF81" si="8">(L5-O5)*(R5-U5)*Q5*V5/100</f>
        <v>4.759712661</v>
      </c>
      <c r="AG5" s="868">
        <v>0.0</v>
      </c>
      <c r="AH5" s="52">
        <f t="shared" ref="AH5:AH81" si="9">31.1035*L5*Q5*1.1023*K5/100</f>
        <v>15.90683053</v>
      </c>
      <c r="AI5" s="73">
        <f t="shared" ref="AI5:AI81" si="10">+((+$AI$2-R5+U5)*L5*Q5*V5)/100</f>
        <v>4.291188313</v>
      </c>
      <c r="AJ5" s="73">
        <f t="shared" ref="AJ5:AJ81" si="11">31.1035*1.1023*K5*P5*O5/100</f>
        <v>15.16697795</v>
      </c>
      <c r="AK5" s="53"/>
      <c r="AL5" s="122">
        <f t="shared" ref="AL5:AL81" si="12">+IF(AB5*K5&gt;0,AB5*K5,0)</f>
        <v>0</v>
      </c>
      <c r="AM5" s="3"/>
      <c r="AN5" s="3"/>
      <c r="AO5" s="58"/>
      <c r="AQ5" s="58"/>
    </row>
    <row r="6" ht="15.75" customHeight="1">
      <c r="A6" s="92" t="s">
        <v>4573</v>
      </c>
      <c r="B6" s="841"/>
      <c r="C6" s="854">
        <v>45566.0</v>
      </c>
      <c r="D6" s="67" t="s">
        <v>4571</v>
      </c>
      <c r="E6" s="67">
        <v>1.0460498487E10</v>
      </c>
      <c r="F6" s="867" t="s">
        <v>4572</v>
      </c>
      <c r="G6" s="134" t="s">
        <v>4100</v>
      </c>
      <c r="H6" s="58" t="s">
        <v>47</v>
      </c>
      <c r="I6" s="58">
        <v>10.08</v>
      </c>
      <c r="J6" s="58">
        <v>9.45</v>
      </c>
      <c r="K6" s="59">
        <f t="shared" si="1"/>
        <v>9.12744</v>
      </c>
      <c r="L6" s="106">
        <v>0.026</v>
      </c>
      <c r="M6" s="106">
        <v>0.025</v>
      </c>
      <c r="N6" s="135">
        <v>0.025</v>
      </c>
      <c r="O6" s="106">
        <f t="shared" si="2"/>
        <v>0.025</v>
      </c>
      <c r="P6" s="85">
        <v>85.0</v>
      </c>
      <c r="Q6" s="846">
        <v>85.0</v>
      </c>
      <c r="R6" s="741">
        <v>2639.99</v>
      </c>
      <c r="S6" s="134">
        <v>100.0</v>
      </c>
      <c r="T6" s="67"/>
      <c r="U6" s="67">
        <v>100.0</v>
      </c>
      <c r="V6" s="67">
        <v>1.1023</v>
      </c>
      <c r="W6" s="67"/>
      <c r="X6" s="67"/>
      <c r="Y6" s="67"/>
      <c r="Z6" s="69">
        <f t="shared" si="3"/>
        <v>30</v>
      </c>
      <c r="AA6" s="70">
        <f t="shared" si="4"/>
        <v>30</v>
      </c>
      <c r="AB6" s="71">
        <f t="shared" si="5"/>
        <v>-83.80259174</v>
      </c>
      <c r="AC6" s="71">
        <f>+(S6-T6)*V6-'data 1'!$F$4</f>
        <v>30.23</v>
      </c>
      <c r="AD6" s="71">
        <f t="shared" si="6"/>
        <v>0</v>
      </c>
      <c r="AE6" s="71">
        <f t="shared" si="7"/>
        <v>-36.931</v>
      </c>
      <c r="AF6" s="71">
        <f t="shared" si="8"/>
        <v>2.37985633</v>
      </c>
      <c r="AG6" s="868">
        <v>0.0</v>
      </c>
      <c r="AH6" s="52">
        <f t="shared" si="9"/>
        <v>6.915925873</v>
      </c>
      <c r="AI6" s="73">
        <f t="shared" si="10"/>
        <v>2.594672003</v>
      </c>
      <c r="AJ6" s="73">
        <f t="shared" si="11"/>
        <v>6.649928724</v>
      </c>
      <c r="AK6" s="53"/>
      <c r="AL6" s="122">
        <f t="shared" si="12"/>
        <v>0</v>
      </c>
      <c r="AM6" s="3"/>
      <c r="AN6" s="3"/>
      <c r="AO6" s="58"/>
      <c r="AQ6" s="58"/>
    </row>
    <row r="7" ht="15.75" customHeight="1">
      <c r="A7" s="92" t="s">
        <v>4574</v>
      </c>
      <c r="B7" s="841">
        <v>45583.0</v>
      </c>
      <c r="C7" s="854">
        <v>45581.0</v>
      </c>
      <c r="D7" s="2" t="s">
        <v>4466</v>
      </c>
      <c r="E7" s="2">
        <v>2.0606534923E10</v>
      </c>
      <c r="F7" s="67" t="s">
        <v>4575</v>
      </c>
      <c r="G7" s="3">
        <v>144.0</v>
      </c>
      <c r="H7" s="58" t="s">
        <v>47</v>
      </c>
      <c r="I7" s="58">
        <v>14.19</v>
      </c>
      <c r="J7" s="58">
        <v>5.45</v>
      </c>
      <c r="K7" s="59">
        <f t="shared" si="1"/>
        <v>13.416645</v>
      </c>
      <c r="L7" s="60">
        <v>0.086</v>
      </c>
      <c r="M7" s="62">
        <v>0.086</v>
      </c>
      <c r="N7" s="62">
        <v>0.086</v>
      </c>
      <c r="O7" s="60">
        <f t="shared" si="2"/>
        <v>0.086</v>
      </c>
      <c r="P7" s="136">
        <v>90.0</v>
      </c>
      <c r="Q7" s="58">
        <v>89.05</v>
      </c>
      <c r="R7" s="70">
        <v>2655.25</v>
      </c>
      <c r="S7" s="3">
        <v>100.0</v>
      </c>
      <c r="T7" s="2"/>
      <c r="U7" s="2">
        <v>100.0</v>
      </c>
      <c r="V7" s="2">
        <v>1.1023</v>
      </c>
      <c r="W7" s="2"/>
      <c r="X7" s="2"/>
      <c r="Y7" s="68">
        <v>30.0</v>
      </c>
      <c r="Z7" s="69">
        <f t="shared" si="3"/>
        <v>30</v>
      </c>
      <c r="AA7" s="70">
        <f t="shared" si="4"/>
        <v>60</v>
      </c>
      <c r="AB7" s="71">
        <f t="shared" si="5"/>
        <v>41.64087061</v>
      </c>
      <c r="AC7" s="71">
        <f>+(S7-T7)*V7-'data 1'!$F$4</f>
        <v>30.23</v>
      </c>
      <c r="AD7" s="71">
        <f t="shared" si="6"/>
        <v>-2.301204745</v>
      </c>
      <c r="AE7" s="71">
        <f t="shared" si="7"/>
        <v>-3.862</v>
      </c>
      <c r="AF7" s="71">
        <f t="shared" si="8"/>
        <v>0</v>
      </c>
      <c r="AG7" s="868">
        <f>+IF(D7="RONALD WILLIAN GARIBAY ESCUDERO",AC7+AD7+AE7+AF7+80,AC7+AD7+AE7+AF7)+90-53</f>
        <v>61.06679525</v>
      </c>
      <c r="AH7" s="52">
        <f t="shared" si="9"/>
        <v>35.22778791</v>
      </c>
      <c r="AI7" s="73">
        <f t="shared" si="10"/>
        <v>7.703091482</v>
      </c>
      <c r="AJ7" s="73">
        <f t="shared" si="11"/>
        <v>35.60360372</v>
      </c>
      <c r="AK7" s="11"/>
      <c r="AL7" s="122">
        <f t="shared" si="12"/>
        <v>558.6807784</v>
      </c>
      <c r="AM7" s="3"/>
      <c r="AN7" s="3"/>
      <c r="AO7" s="58"/>
      <c r="AQ7" s="58"/>
    </row>
    <row r="8" ht="15.75" customHeight="1">
      <c r="A8" s="92" t="s">
        <v>4576</v>
      </c>
      <c r="B8" s="841">
        <v>45583.0</v>
      </c>
      <c r="C8" s="854">
        <v>45581.0</v>
      </c>
      <c r="D8" s="2" t="s">
        <v>602</v>
      </c>
      <c r="E8" s="2">
        <v>2.0169040237E10</v>
      </c>
      <c r="F8" s="869" t="s">
        <v>4577</v>
      </c>
      <c r="G8" s="3">
        <v>101.0</v>
      </c>
      <c r="H8" s="58" t="s">
        <v>47</v>
      </c>
      <c r="I8" s="58">
        <v>9.14</v>
      </c>
      <c r="J8" s="58">
        <v>1.2</v>
      </c>
      <c r="K8" s="59">
        <f t="shared" si="1"/>
        <v>9.03032</v>
      </c>
      <c r="L8" s="60">
        <v>0.068</v>
      </c>
      <c r="M8" s="60">
        <v>0.068</v>
      </c>
      <c r="N8" s="62">
        <v>0.068</v>
      </c>
      <c r="O8" s="60">
        <f t="shared" si="2"/>
        <v>0.068</v>
      </c>
      <c r="P8" s="136">
        <v>90.0</v>
      </c>
      <c r="Q8" s="58">
        <v>85.46</v>
      </c>
      <c r="R8" s="70">
        <v>2655.25</v>
      </c>
      <c r="S8" s="3">
        <v>100.0</v>
      </c>
      <c r="U8" s="2">
        <v>100.0</v>
      </c>
      <c r="V8" s="2">
        <v>1.1023</v>
      </c>
      <c r="Y8" s="68">
        <v>30.0</v>
      </c>
      <c r="Z8" s="69">
        <f t="shared" si="3"/>
        <v>30</v>
      </c>
      <c r="AA8" s="70">
        <f t="shared" si="4"/>
        <v>60</v>
      </c>
      <c r="AB8" s="71">
        <f t="shared" si="5"/>
        <v>-3.98889301</v>
      </c>
      <c r="AC8" s="71">
        <f>+(S8-T8)*V8-'data 1'!$F$4</f>
        <v>30.23</v>
      </c>
      <c r="AD8" s="71">
        <f t="shared" si="6"/>
        <v>-8.695568286</v>
      </c>
      <c r="AE8" s="71">
        <f t="shared" si="7"/>
        <v>-3.862</v>
      </c>
      <c r="AF8" s="71">
        <f t="shared" si="8"/>
        <v>0</v>
      </c>
      <c r="AG8" s="868">
        <v>0.0</v>
      </c>
      <c r="AH8" s="52">
        <f t="shared" si="9"/>
        <v>17.99218926</v>
      </c>
      <c r="AI8" s="73">
        <f t="shared" si="10"/>
        <v>5.845268724</v>
      </c>
      <c r="AJ8" s="73">
        <f t="shared" si="11"/>
        <v>18.94801116</v>
      </c>
      <c r="AK8" s="11"/>
      <c r="AL8" s="122">
        <f t="shared" si="12"/>
        <v>0</v>
      </c>
      <c r="AM8" s="3"/>
      <c r="AN8" s="3"/>
      <c r="AO8" s="58"/>
      <c r="AQ8" s="58"/>
    </row>
    <row r="9" ht="15.75" customHeight="1">
      <c r="A9" s="92" t="s">
        <v>4578</v>
      </c>
      <c r="B9" s="841">
        <v>45586.0</v>
      </c>
      <c r="C9" s="854">
        <v>45585.0</v>
      </c>
      <c r="D9" s="57" t="s">
        <v>602</v>
      </c>
      <c r="E9" s="2">
        <v>2.0169040237E10</v>
      </c>
      <c r="F9" s="2" t="s">
        <v>4579</v>
      </c>
      <c r="G9" s="3">
        <v>13.0</v>
      </c>
      <c r="H9" s="58" t="s">
        <v>47</v>
      </c>
      <c r="I9" s="58">
        <v>1.17</v>
      </c>
      <c r="J9" s="58">
        <v>1.1</v>
      </c>
      <c r="K9" s="59">
        <f t="shared" si="1"/>
        <v>1.15713</v>
      </c>
      <c r="L9" s="60">
        <v>0.851</v>
      </c>
      <c r="M9" s="60">
        <v>0.816</v>
      </c>
      <c r="N9" s="62">
        <v>0.816</v>
      </c>
      <c r="O9" s="60">
        <f t="shared" si="2"/>
        <v>0.816</v>
      </c>
      <c r="P9" s="136">
        <v>90.0</v>
      </c>
      <c r="Q9" s="458">
        <v>89.71</v>
      </c>
      <c r="R9" s="70">
        <v>2712.5</v>
      </c>
      <c r="S9" s="3">
        <v>160.0</v>
      </c>
      <c r="U9" s="2">
        <v>130.0</v>
      </c>
      <c r="V9" s="2">
        <v>1.1023</v>
      </c>
      <c r="Y9" s="68">
        <v>30.0</v>
      </c>
      <c r="Z9" s="69">
        <f t="shared" si="3"/>
        <v>30</v>
      </c>
      <c r="AA9" s="70">
        <f t="shared" si="4"/>
        <v>60</v>
      </c>
      <c r="AB9" s="71">
        <f t="shared" si="5"/>
        <v>1848.102952</v>
      </c>
      <c r="AC9" s="71">
        <f>+(S9-T9)*V9-'data 1'!$F$4</f>
        <v>96.368</v>
      </c>
      <c r="AD9" s="71">
        <f t="shared" si="6"/>
        <v>-7.025345634</v>
      </c>
      <c r="AE9" s="71">
        <f t="shared" si="7"/>
        <v>-3.862</v>
      </c>
      <c r="AF9" s="71">
        <f t="shared" si="8"/>
        <v>89.38178812</v>
      </c>
      <c r="AG9" s="868">
        <f t="shared" ref="AG9:AG25" si="13">+IF(D9="RONALD WILLIAN GARIBAY ESCUDERO",AC9+AD9+AE9+AF9+80,AC9+AD9+AE9+AF9)</f>
        <v>174.8624425</v>
      </c>
      <c r="AH9" s="52">
        <f t="shared" si="9"/>
        <v>30.28737532</v>
      </c>
      <c r="AI9" s="73">
        <f t="shared" si="10"/>
        <v>53.85799705</v>
      </c>
      <c r="AJ9" s="73">
        <f t="shared" si="11"/>
        <v>29.13559495</v>
      </c>
      <c r="AK9" s="11"/>
      <c r="AL9" s="122">
        <f t="shared" si="12"/>
        <v>2138.495369</v>
      </c>
      <c r="AM9" s="3"/>
      <c r="AN9" s="3"/>
      <c r="AO9" s="58"/>
      <c r="AQ9" s="58"/>
    </row>
    <row r="10" ht="15.75" customHeight="1">
      <c r="A10" s="92" t="s">
        <v>4580</v>
      </c>
      <c r="B10" s="841">
        <v>45590.0</v>
      </c>
      <c r="C10" s="854">
        <v>45585.0</v>
      </c>
      <c r="D10" s="57" t="s">
        <v>4466</v>
      </c>
      <c r="E10" s="2">
        <v>2.0606534923E10</v>
      </c>
      <c r="F10" s="2" t="s">
        <v>4581</v>
      </c>
      <c r="G10" s="3">
        <v>14.0</v>
      </c>
      <c r="H10" s="58" t="s">
        <v>47</v>
      </c>
      <c r="I10" s="58">
        <v>1.41</v>
      </c>
      <c r="J10" s="58">
        <v>1.0</v>
      </c>
      <c r="K10" s="59">
        <f t="shared" si="1"/>
        <v>1.3959</v>
      </c>
      <c r="L10" s="60">
        <v>0.356</v>
      </c>
      <c r="M10" s="60">
        <v>0.348</v>
      </c>
      <c r="N10" s="60">
        <v>0.348</v>
      </c>
      <c r="O10" s="60">
        <f t="shared" si="2"/>
        <v>0.348</v>
      </c>
      <c r="P10" s="136">
        <v>90.0</v>
      </c>
      <c r="Q10" s="458">
        <v>89.42</v>
      </c>
      <c r="R10" s="70">
        <v>2712.5</v>
      </c>
      <c r="S10" s="3">
        <v>120.0</v>
      </c>
      <c r="U10" s="2">
        <v>130.0</v>
      </c>
      <c r="V10" s="2">
        <v>1.1023</v>
      </c>
      <c r="Y10" s="68">
        <v>30.0</v>
      </c>
      <c r="Z10" s="69">
        <f t="shared" si="3"/>
        <v>30</v>
      </c>
      <c r="AA10" s="70">
        <f t="shared" si="4"/>
        <v>60</v>
      </c>
      <c r="AB10" s="71">
        <f t="shared" si="5"/>
        <v>693.1692297</v>
      </c>
      <c r="AC10" s="71">
        <f>+(S10-T10)*V10-'data 1'!$F$4</f>
        <v>52.276</v>
      </c>
      <c r="AD10" s="71">
        <f t="shared" si="6"/>
        <v>-5.877844996</v>
      </c>
      <c r="AE10" s="71">
        <f t="shared" si="7"/>
        <v>-3.862</v>
      </c>
      <c r="AF10" s="71">
        <f t="shared" si="8"/>
        <v>20.3640798</v>
      </c>
      <c r="AG10" s="868">
        <f t="shared" si="13"/>
        <v>62.9002348</v>
      </c>
      <c r="AH10" s="52">
        <f t="shared" si="9"/>
        <v>15.2351958</v>
      </c>
      <c r="AI10" s="73">
        <f t="shared" si="10"/>
        <v>22.45765702</v>
      </c>
      <c r="AJ10" s="73">
        <f t="shared" si="11"/>
        <v>14.9894304</v>
      </c>
      <c r="AK10" s="11"/>
      <c r="AL10" s="122">
        <f t="shared" si="12"/>
        <v>967.5949277</v>
      </c>
      <c r="AM10" s="3"/>
      <c r="AN10" s="3"/>
      <c r="AO10" s="58"/>
      <c r="AQ10" s="58"/>
    </row>
    <row r="11" ht="15.75" customHeight="1">
      <c r="A11" s="92" t="s">
        <v>4582</v>
      </c>
      <c r="B11" s="841">
        <v>45586.0</v>
      </c>
      <c r="C11" s="854">
        <v>45585.0</v>
      </c>
      <c r="D11" s="57" t="s">
        <v>602</v>
      </c>
      <c r="E11" s="2">
        <v>2.0169040237E10</v>
      </c>
      <c r="F11" s="2" t="s">
        <v>4583</v>
      </c>
      <c r="G11" s="3">
        <v>21.0</v>
      </c>
      <c r="H11" s="58" t="s">
        <v>47</v>
      </c>
      <c r="I11" s="58">
        <v>2.13</v>
      </c>
      <c r="J11" s="58">
        <v>1.2</v>
      </c>
      <c r="K11" s="59">
        <f t="shared" si="1"/>
        <v>2.10444</v>
      </c>
      <c r="L11" s="60">
        <v>0.542</v>
      </c>
      <c r="M11" s="84">
        <v>0.529</v>
      </c>
      <c r="N11" s="84">
        <v>0.529</v>
      </c>
      <c r="O11" s="60">
        <f t="shared" si="2"/>
        <v>0.529</v>
      </c>
      <c r="P11" s="136">
        <v>90.0</v>
      </c>
      <c r="Q11" s="458">
        <v>89.63</v>
      </c>
      <c r="R11" s="70">
        <v>2712.5</v>
      </c>
      <c r="S11" s="3">
        <v>140.0</v>
      </c>
      <c r="U11" s="2">
        <v>130.0</v>
      </c>
      <c r="V11" s="2">
        <v>1.1023</v>
      </c>
      <c r="Y11" s="68">
        <v>30.0</v>
      </c>
      <c r="Z11" s="69">
        <f t="shared" si="3"/>
        <v>30</v>
      </c>
      <c r="AA11" s="70">
        <f t="shared" si="4"/>
        <v>60</v>
      </c>
      <c r="AB11" s="71">
        <f t="shared" si="5"/>
        <v>1134.84899</v>
      </c>
      <c r="AC11" s="71">
        <f>+(S11-T11)*V11-'data 1'!$F$4</f>
        <v>74.322</v>
      </c>
      <c r="AD11" s="71">
        <f t="shared" si="6"/>
        <v>-5.708751625</v>
      </c>
      <c r="AE11" s="71">
        <f t="shared" si="7"/>
        <v>-3.862</v>
      </c>
      <c r="AF11" s="71">
        <f t="shared" si="8"/>
        <v>33.1693443</v>
      </c>
      <c r="AG11" s="868">
        <f t="shared" si="13"/>
        <v>97.92059267</v>
      </c>
      <c r="AH11" s="52">
        <f t="shared" si="9"/>
        <v>35.0508295</v>
      </c>
      <c r="AI11" s="73">
        <f t="shared" si="10"/>
        <v>34.27144881</v>
      </c>
      <c r="AJ11" s="73">
        <f t="shared" si="11"/>
        <v>34.35134916</v>
      </c>
      <c r="AK11" s="11"/>
      <c r="AL11" s="122">
        <f t="shared" si="12"/>
        <v>2388.221608</v>
      </c>
      <c r="AM11" s="3"/>
      <c r="AN11" s="3"/>
      <c r="AO11" s="58"/>
      <c r="AQ11" s="58"/>
    </row>
    <row r="12" ht="15.75" customHeight="1">
      <c r="A12" s="92" t="s">
        <v>4584</v>
      </c>
      <c r="B12" s="841">
        <v>45593.0</v>
      </c>
      <c r="C12" s="854">
        <v>45585.0</v>
      </c>
      <c r="D12" s="57" t="s">
        <v>602</v>
      </c>
      <c r="E12" s="2">
        <v>2.0169040237E10</v>
      </c>
      <c r="F12" s="2" t="s">
        <v>4585</v>
      </c>
      <c r="G12" s="3">
        <v>11.0</v>
      </c>
      <c r="H12" s="58" t="s">
        <v>47</v>
      </c>
      <c r="I12" s="58">
        <v>1.16</v>
      </c>
      <c r="J12" s="58">
        <v>1.0</v>
      </c>
      <c r="K12" s="59">
        <f t="shared" si="1"/>
        <v>1.1484</v>
      </c>
      <c r="L12" s="60">
        <v>0.329</v>
      </c>
      <c r="M12" s="75">
        <v>0.323</v>
      </c>
      <c r="N12" s="84">
        <v>0.323</v>
      </c>
      <c r="O12" s="60">
        <f t="shared" si="2"/>
        <v>0.323</v>
      </c>
      <c r="P12" s="136">
        <v>90.0</v>
      </c>
      <c r="Q12" s="458">
        <v>89.43</v>
      </c>
      <c r="R12" s="70">
        <v>2712.5</v>
      </c>
      <c r="S12" s="3">
        <v>120.0</v>
      </c>
      <c r="U12" s="2">
        <v>130.0</v>
      </c>
      <c r="V12" s="2">
        <v>1.1023</v>
      </c>
      <c r="Y12" s="68">
        <v>30.0</v>
      </c>
      <c r="Z12" s="69">
        <f t="shared" si="3"/>
        <v>30</v>
      </c>
      <c r="AA12" s="70">
        <f t="shared" si="4"/>
        <v>60</v>
      </c>
      <c r="AB12" s="71">
        <f t="shared" si="5"/>
        <v>629.1187103</v>
      </c>
      <c r="AC12" s="71">
        <f>+(S12-T12)*V12-'data 1'!$F$4</f>
        <v>52.276</v>
      </c>
      <c r="AD12" s="71">
        <f t="shared" si="6"/>
        <v>-5.338397288</v>
      </c>
      <c r="AE12" s="71">
        <f t="shared" si="7"/>
        <v>-3.862</v>
      </c>
      <c r="AF12" s="71">
        <f t="shared" si="8"/>
        <v>15.27476786</v>
      </c>
      <c r="AG12" s="868">
        <f t="shared" si="13"/>
        <v>58.35037057</v>
      </c>
      <c r="AH12" s="52">
        <f t="shared" si="9"/>
        <v>11.58460904</v>
      </c>
      <c r="AI12" s="73">
        <f t="shared" si="10"/>
        <v>20.75672876</v>
      </c>
      <c r="AJ12" s="73">
        <f t="shared" si="11"/>
        <v>11.44582983</v>
      </c>
      <c r="AK12" s="11"/>
      <c r="AL12" s="122">
        <f t="shared" si="12"/>
        <v>722.4799269</v>
      </c>
      <c r="AM12" s="3"/>
      <c r="AN12" s="3"/>
      <c r="AO12" s="58"/>
      <c r="AQ12" s="58"/>
    </row>
    <row r="13" ht="15.75" customHeight="1">
      <c r="A13" s="92" t="s">
        <v>4586</v>
      </c>
      <c r="B13" s="841"/>
      <c r="C13" s="854">
        <v>45585.0</v>
      </c>
      <c r="D13" s="57" t="s">
        <v>4466</v>
      </c>
      <c r="E13" s="2">
        <v>2.0606534923E10</v>
      </c>
      <c r="F13" s="2" t="s">
        <v>4587</v>
      </c>
      <c r="G13" s="3">
        <v>16.0</v>
      </c>
      <c r="H13" s="58" t="s">
        <v>47</v>
      </c>
      <c r="I13" s="58">
        <v>1.48</v>
      </c>
      <c r="J13" s="58">
        <v>1.16</v>
      </c>
      <c r="K13" s="59">
        <f t="shared" si="1"/>
        <v>1.462832</v>
      </c>
      <c r="L13" s="60">
        <v>0.352</v>
      </c>
      <c r="M13" s="60">
        <v>0.341</v>
      </c>
      <c r="N13" s="62">
        <v>0.341</v>
      </c>
      <c r="O13" s="60">
        <f t="shared" si="2"/>
        <v>0.341</v>
      </c>
      <c r="P13" s="136">
        <v>90.0</v>
      </c>
      <c r="Q13" s="458">
        <v>89.4</v>
      </c>
      <c r="R13" s="70">
        <v>2712.5</v>
      </c>
      <c r="S13" s="3">
        <v>120.0</v>
      </c>
      <c r="U13" s="2">
        <v>130.0</v>
      </c>
      <c r="V13" s="2">
        <v>1.1023</v>
      </c>
      <c r="Y13" s="68">
        <v>30.0</v>
      </c>
      <c r="Z13" s="69">
        <f t="shared" si="3"/>
        <v>30</v>
      </c>
      <c r="AA13" s="70">
        <f t="shared" si="4"/>
        <v>60</v>
      </c>
      <c r="AB13" s="71">
        <f t="shared" si="5"/>
        <v>675.2350843</v>
      </c>
      <c r="AC13" s="71">
        <f>+(S13-T13)*V13-'data 1'!$F$4</f>
        <v>52.276</v>
      </c>
      <c r="AD13" s="71">
        <f t="shared" si="6"/>
        <v>-6.012208752</v>
      </c>
      <c r="AE13" s="71">
        <f t="shared" si="7"/>
        <v>-3.862</v>
      </c>
      <c r="AF13" s="71">
        <f t="shared" si="8"/>
        <v>27.994347</v>
      </c>
      <c r="AG13" s="868">
        <f t="shared" si="13"/>
        <v>70.39613825</v>
      </c>
      <c r="AH13" s="52">
        <f t="shared" si="9"/>
        <v>15.7827873</v>
      </c>
      <c r="AI13" s="73">
        <f t="shared" si="10"/>
        <v>22.20035727</v>
      </c>
      <c r="AJ13" s="73">
        <f t="shared" si="11"/>
        <v>15.39218979</v>
      </c>
      <c r="AK13" s="11"/>
      <c r="AL13" s="122">
        <f t="shared" si="12"/>
        <v>987.7554888</v>
      </c>
      <c r="AM13" s="3"/>
      <c r="AN13" s="3"/>
      <c r="AO13" s="58"/>
      <c r="AQ13" s="58"/>
    </row>
    <row r="14" ht="15.75" customHeight="1">
      <c r="A14" s="92" t="s">
        <v>4588</v>
      </c>
      <c r="B14" s="841">
        <v>45590.0</v>
      </c>
      <c r="C14" s="854">
        <v>45585.0</v>
      </c>
      <c r="D14" s="57" t="s">
        <v>4589</v>
      </c>
      <c r="E14" s="2">
        <v>2.0606031361E10</v>
      </c>
      <c r="F14" s="2" t="s">
        <v>4507</v>
      </c>
      <c r="G14" s="3" t="s">
        <v>4100</v>
      </c>
      <c r="H14" s="58" t="s">
        <v>47</v>
      </c>
      <c r="I14" s="58">
        <v>16.07</v>
      </c>
      <c r="J14" s="58">
        <v>6.0</v>
      </c>
      <c r="K14" s="59">
        <f t="shared" si="1"/>
        <v>15.1058</v>
      </c>
      <c r="L14" s="75">
        <v>0.131</v>
      </c>
      <c r="M14" s="75">
        <v>0.131</v>
      </c>
      <c r="N14" s="75">
        <v>0.131</v>
      </c>
      <c r="O14" s="60">
        <f t="shared" si="2"/>
        <v>0.131</v>
      </c>
      <c r="P14" s="136">
        <v>85.0</v>
      </c>
      <c r="Q14" s="458">
        <v>89.09</v>
      </c>
      <c r="R14" s="70">
        <v>2712.5</v>
      </c>
      <c r="S14" s="3">
        <v>100.0</v>
      </c>
      <c r="U14" s="2">
        <v>130.0</v>
      </c>
      <c r="V14" s="2">
        <v>1.1023</v>
      </c>
      <c r="Y14" s="68"/>
      <c r="Z14" s="69">
        <f t="shared" si="3"/>
        <v>30</v>
      </c>
      <c r="AA14" s="70">
        <f t="shared" si="4"/>
        <v>30</v>
      </c>
      <c r="AB14" s="71">
        <f t="shared" si="5"/>
        <v>173.6799037</v>
      </c>
      <c r="AC14" s="71">
        <f>+(S14-T14)*V14-'data 1'!$F$4</f>
        <v>30.23</v>
      </c>
      <c r="AD14" s="71">
        <f t="shared" si="6"/>
        <v>15.25227901</v>
      </c>
      <c r="AE14" s="71">
        <f t="shared" si="7"/>
        <v>-36.931</v>
      </c>
      <c r="AF14" s="71">
        <f t="shared" si="8"/>
        <v>0</v>
      </c>
      <c r="AG14" s="868">
        <f t="shared" si="13"/>
        <v>8.551279012</v>
      </c>
      <c r="AH14" s="52">
        <f t="shared" si="9"/>
        <v>60.44398014</v>
      </c>
      <c r="AI14" s="73">
        <f t="shared" si="10"/>
        <v>8.233415563</v>
      </c>
      <c r="AJ14" s="73">
        <f t="shared" si="11"/>
        <v>57.66907972</v>
      </c>
      <c r="AK14" s="11"/>
      <c r="AL14" s="122">
        <f t="shared" si="12"/>
        <v>2623.573889</v>
      </c>
      <c r="AM14" s="3"/>
      <c r="AN14" s="3"/>
      <c r="AO14" s="58"/>
      <c r="AQ14" s="58"/>
    </row>
    <row r="15" ht="15.75" customHeight="1">
      <c r="A15" s="92" t="s">
        <v>4590</v>
      </c>
      <c r="B15" s="841">
        <v>45590.0</v>
      </c>
      <c r="C15" s="854">
        <v>45585.0</v>
      </c>
      <c r="D15" s="57" t="s">
        <v>4589</v>
      </c>
      <c r="E15" s="2">
        <v>2.0606031361E10</v>
      </c>
      <c r="F15" s="2" t="s">
        <v>4507</v>
      </c>
      <c r="G15" s="3" t="s">
        <v>4100</v>
      </c>
      <c r="H15" s="58" t="s">
        <v>47</v>
      </c>
      <c r="I15" s="58">
        <v>15.0</v>
      </c>
      <c r="J15" s="58">
        <v>6.3</v>
      </c>
      <c r="K15" s="59">
        <f t="shared" si="1"/>
        <v>14.055</v>
      </c>
      <c r="L15" s="75">
        <v>0.188</v>
      </c>
      <c r="M15" s="75">
        <v>0.188</v>
      </c>
      <c r="N15" s="75">
        <v>0.188</v>
      </c>
      <c r="O15" s="60">
        <f t="shared" si="2"/>
        <v>0.188</v>
      </c>
      <c r="P15" s="136">
        <v>85.0</v>
      </c>
      <c r="Q15" s="458">
        <v>89.22</v>
      </c>
      <c r="R15" s="70">
        <v>2712.5</v>
      </c>
      <c r="S15" s="3">
        <v>100.0</v>
      </c>
      <c r="U15" s="2">
        <v>130.0</v>
      </c>
      <c r="V15" s="2">
        <v>1.1023</v>
      </c>
      <c r="Y15" s="68"/>
      <c r="Z15" s="69">
        <f t="shared" si="3"/>
        <v>30</v>
      </c>
      <c r="AA15" s="70">
        <f t="shared" si="4"/>
        <v>30</v>
      </c>
      <c r="AB15" s="71">
        <f t="shared" si="5"/>
        <v>311.6020221</v>
      </c>
      <c r="AC15" s="71">
        <f>+(S15-T15)*V15-'data 1'!$F$4</f>
        <v>30.23</v>
      </c>
      <c r="AD15" s="71">
        <f t="shared" si="6"/>
        <v>22.5844978</v>
      </c>
      <c r="AE15" s="71">
        <f t="shared" si="7"/>
        <v>-36.931</v>
      </c>
      <c r="AF15" s="71">
        <f t="shared" si="8"/>
        <v>0</v>
      </c>
      <c r="AG15" s="868">
        <f t="shared" si="13"/>
        <v>15.8834978</v>
      </c>
      <c r="AH15" s="52">
        <f t="shared" si="9"/>
        <v>80.82765655</v>
      </c>
      <c r="AI15" s="73">
        <f t="shared" si="10"/>
        <v>11.83313583</v>
      </c>
      <c r="AJ15" s="73">
        <f t="shared" si="11"/>
        <v>77.00460442</v>
      </c>
      <c r="AK15" s="11"/>
      <c r="AL15" s="122">
        <f t="shared" si="12"/>
        <v>4379.56642</v>
      </c>
      <c r="AM15" s="3"/>
      <c r="AN15" s="3"/>
      <c r="AO15" s="58"/>
      <c r="AQ15" s="58"/>
    </row>
    <row r="16" ht="15.75" customHeight="1">
      <c r="A16" s="92" t="s">
        <v>4591</v>
      </c>
      <c r="B16" s="841">
        <v>45593.0</v>
      </c>
      <c r="C16" s="854">
        <v>45586.0</v>
      </c>
      <c r="D16" s="2" t="s">
        <v>602</v>
      </c>
      <c r="E16" s="2">
        <v>2.0169040237E10</v>
      </c>
      <c r="F16" s="2" t="s">
        <v>4592</v>
      </c>
      <c r="G16" s="3">
        <v>46.0</v>
      </c>
      <c r="H16" s="58" t="s">
        <v>47</v>
      </c>
      <c r="I16" s="58">
        <v>4.72</v>
      </c>
      <c r="J16" s="58">
        <v>1.1</v>
      </c>
      <c r="K16" s="59">
        <f t="shared" si="1"/>
        <v>4.66808</v>
      </c>
      <c r="L16" s="60">
        <v>0.251</v>
      </c>
      <c r="M16" s="75">
        <v>0.251</v>
      </c>
      <c r="N16" s="62">
        <v>0.251</v>
      </c>
      <c r="O16" s="60">
        <f t="shared" si="2"/>
        <v>0.251</v>
      </c>
      <c r="P16" s="63">
        <v>90.0</v>
      </c>
      <c r="Q16" s="458">
        <v>89.45</v>
      </c>
      <c r="R16" s="741">
        <v>2724.3</v>
      </c>
      <c r="S16" s="143">
        <v>100.0</v>
      </c>
      <c r="T16" s="63"/>
      <c r="U16" s="2">
        <v>130.0</v>
      </c>
      <c r="V16" s="2">
        <v>1.1023</v>
      </c>
      <c r="W16" s="63"/>
      <c r="X16" s="63"/>
      <c r="Y16" s="68">
        <v>30.0</v>
      </c>
      <c r="Z16" s="69">
        <f t="shared" si="3"/>
        <v>30</v>
      </c>
      <c r="AA16" s="70">
        <f t="shared" si="4"/>
        <v>60</v>
      </c>
      <c r="AB16" s="71">
        <f t="shared" si="5"/>
        <v>469.6375275</v>
      </c>
      <c r="AC16" s="71">
        <f>+(S16-T16)*V16-'data 1'!$F$4</f>
        <v>30.23</v>
      </c>
      <c r="AD16" s="71">
        <f t="shared" si="6"/>
        <v>-3.947811557</v>
      </c>
      <c r="AE16" s="71">
        <f t="shared" si="7"/>
        <v>-3.862</v>
      </c>
      <c r="AF16" s="71">
        <f t="shared" si="8"/>
        <v>0</v>
      </c>
      <c r="AG16" s="868">
        <f t="shared" si="13"/>
        <v>22.42018844</v>
      </c>
      <c r="AH16" s="52">
        <f t="shared" si="9"/>
        <v>35.93365765</v>
      </c>
      <c r="AI16" s="73">
        <f t="shared" si="10"/>
        <v>12.9188655</v>
      </c>
      <c r="AJ16" s="73">
        <f t="shared" si="11"/>
        <v>36.15460245</v>
      </c>
      <c r="AK16" s="11"/>
      <c r="AL16" s="122">
        <f t="shared" si="12"/>
        <v>2192.305549</v>
      </c>
      <c r="AM16" s="3"/>
      <c r="AN16" s="3"/>
      <c r="AO16" s="58"/>
      <c r="AQ16" s="58"/>
    </row>
    <row r="17" ht="15.75" customHeight="1">
      <c r="A17" s="92" t="s">
        <v>4593</v>
      </c>
      <c r="B17" s="841">
        <v>45593.0</v>
      </c>
      <c r="C17" s="854">
        <v>45586.0</v>
      </c>
      <c r="D17" s="2" t="s">
        <v>602</v>
      </c>
      <c r="E17" s="2">
        <v>2.0169040237E10</v>
      </c>
      <c r="F17" s="2" t="s">
        <v>4592</v>
      </c>
      <c r="G17" s="3">
        <v>97.0</v>
      </c>
      <c r="H17" s="58" t="s">
        <v>47</v>
      </c>
      <c r="I17" s="58">
        <v>8.82</v>
      </c>
      <c r="J17" s="58">
        <v>1.05</v>
      </c>
      <c r="K17" s="59">
        <f t="shared" si="1"/>
        <v>8.72739</v>
      </c>
      <c r="L17" s="60">
        <v>0.552</v>
      </c>
      <c r="M17" s="75">
        <v>0.565</v>
      </c>
      <c r="N17" s="75">
        <v>0.612</v>
      </c>
      <c r="O17" s="60">
        <f t="shared" si="2"/>
        <v>0.589</v>
      </c>
      <c r="P17" s="63">
        <v>90.0</v>
      </c>
      <c r="Q17" s="458">
        <v>89.52</v>
      </c>
      <c r="R17" s="741">
        <v>2724.3</v>
      </c>
      <c r="S17" s="143">
        <v>100.0</v>
      </c>
      <c r="T17" s="63"/>
      <c r="U17" s="2">
        <v>130.0</v>
      </c>
      <c r="V17" s="2">
        <v>1.1023</v>
      </c>
      <c r="W17" s="63"/>
      <c r="X17" s="63"/>
      <c r="Y17" s="68">
        <v>30.0</v>
      </c>
      <c r="Z17" s="69">
        <f t="shared" si="3"/>
        <v>30</v>
      </c>
      <c r="AA17" s="70">
        <f t="shared" si="4"/>
        <v>60</v>
      </c>
      <c r="AB17" s="71">
        <f t="shared" si="5"/>
        <v>1339.557321</v>
      </c>
      <c r="AC17" s="71">
        <f>+(S17-T17)*V17-'data 1'!$F$4</f>
        <v>30.23</v>
      </c>
      <c r="AD17" s="71">
        <f t="shared" si="6"/>
        <v>-7.57705288</v>
      </c>
      <c r="AE17" s="71">
        <f t="shared" si="7"/>
        <v>-3.862</v>
      </c>
      <c r="AF17" s="71">
        <f t="shared" si="8"/>
        <v>-94.72002427</v>
      </c>
      <c r="AG17" s="868">
        <f t="shared" si="13"/>
        <v>-75.92907715</v>
      </c>
      <c r="AH17" s="52">
        <f t="shared" si="9"/>
        <v>147.8606477</v>
      </c>
      <c r="AI17" s="73">
        <f t="shared" si="10"/>
        <v>28.43344367</v>
      </c>
      <c r="AJ17" s="73">
        <f t="shared" si="11"/>
        <v>158.6175572</v>
      </c>
      <c r="AK17" s="11"/>
      <c r="AL17" s="122">
        <f t="shared" si="12"/>
        <v>11690.83917</v>
      </c>
      <c r="AM17" s="3"/>
      <c r="AN17" s="3"/>
      <c r="AO17" s="58"/>
      <c r="AQ17" s="58"/>
    </row>
    <row r="18" ht="15.75" customHeight="1">
      <c r="A18" s="92" t="s">
        <v>4594</v>
      </c>
      <c r="B18" s="841">
        <v>45589.0</v>
      </c>
      <c r="C18" s="854">
        <v>45586.0</v>
      </c>
      <c r="D18" s="2" t="s">
        <v>602</v>
      </c>
      <c r="E18" s="2">
        <v>2.0169040237E10</v>
      </c>
      <c r="F18" s="2" t="s">
        <v>4595</v>
      </c>
      <c r="G18" s="3">
        <v>34.0</v>
      </c>
      <c r="H18" s="58" t="s">
        <v>47</v>
      </c>
      <c r="I18" s="58">
        <v>3.34</v>
      </c>
      <c r="J18" s="58">
        <v>1.2</v>
      </c>
      <c r="K18" s="59">
        <f t="shared" si="1"/>
        <v>3.29992</v>
      </c>
      <c r="L18" s="60">
        <v>0.551</v>
      </c>
      <c r="M18" s="60">
        <v>0.528</v>
      </c>
      <c r="N18" s="62">
        <v>0.528</v>
      </c>
      <c r="O18" s="60">
        <f t="shared" si="2"/>
        <v>0.528</v>
      </c>
      <c r="P18" s="63">
        <v>90.0</v>
      </c>
      <c r="Q18" s="458">
        <v>89.26</v>
      </c>
      <c r="R18" s="741">
        <v>2724.3</v>
      </c>
      <c r="S18" s="3">
        <v>140.0</v>
      </c>
      <c r="T18" s="63"/>
      <c r="U18" s="2">
        <v>130.0</v>
      </c>
      <c r="V18" s="2">
        <v>1.1023</v>
      </c>
      <c r="W18" s="63"/>
      <c r="X18" s="63"/>
      <c r="Y18" s="68">
        <v>33.0</v>
      </c>
      <c r="Z18" s="69">
        <f t="shared" si="3"/>
        <v>30</v>
      </c>
      <c r="AA18" s="70">
        <f t="shared" si="4"/>
        <v>63</v>
      </c>
      <c r="AB18" s="71">
        <f t="shared" si="5"/>
        <v>1135.161062</v>
      </c>
      <c r="AC18" s="71">
        <f>+(S18-T18)*V18-'data 1'!$F$4</f>
        <v>74.322</v>
      </c>
      <c r="AD18" s="71">
        <f t="shared" si="6"/>
        <v>-11.6601281</v>
      </c>
      <c r="AE18" s="71">
        <f t="shared" si="7"/>
        <v>-0.5551</v>
      </c>
      <c r="AF18" s="71">
        <f t="shared" si="8"/>
        <v>58.70900521</v>
      </c>
      <c r="AG18" s="868">
        <f t="shared" si="13"/>
        <v>120.8157771</v>
      </c>
      <c r="AH18" s="52">
        <f t="shared" si="9"/>
        <v>55.6443357</v>
      </c>
      <c r="AI18" s="73">
        <f t="shared" si="10"/>
        <v>28.29950191</v>
      </c>
      <c r="AJ18" s="73">
        <f t="shared" si="11"/>
        <v>53.76367073</v>
      </c>
      <c r="AK18" s="11"/>
      <c r="AL18" s="122">
        <f t="shared" si="12"/>
        <v>3745.940692</v>
      </c>
      <c r="AM18" s="427"/>
      <c r="AN18" s="427"/>
      <c r="AO18" s="58"/>
      <c r="AQ18" s="58"/>
    </row>
    <row r="19" ht="15.75" customHeight="1">
      <c r="A19" s="92" t="s">
        <v>4596</v>
      </c>
      <c r="B19" s="841">
        <v>45589.0</v>
      </c>
      <c r="C19" s="854">
        <v>45586.0</v>
      </c>
      <c r="D19" s="2" t="s">
        <v>602</v>
      </c>
      <c r="E19" s="2">
        <v>2.0169040237E10</v>
      </c>
      <c r="F19" s="2" t="s">
        <v>4595</v>
      </c>
      <c r="G19" s="3">
        <v>8.0</v>
      </c>
      <c r="H19" s="58" t="s">
        <v>47</v>
      </c>
      <c r="I19" s="58">
        <v>0.72</v>
      </c>
      <c r="J19" s="58">
        <v>1.0</v>
      </c>
      <c r="K19" s="59">
        <f t="shared" si="1"/>
        <v>0.7128</v>
      </c>
      <c r="L19" s="60">
        <v>0.302</v>
      </c>
      <c r="M19" s="60">
        <v>0.29</v>
      </c>
      <c r="N19" s="62">
        <v>0.29</v>
      </c>
      <c r="O19" s="60">
        <f t="shared" si="2"/>
        <v>0.29</v>
      </c>
      <c r="P19" s="63">
        <v>90.0</v>
      </c>
      <c r="Q19" s="458">
        <v>89.74</v>
      </c>
      <c r="R19" s="741">
        <v>2724.3</v>
      </c>
      <c r="S19" s="3">
        <v>110.0</v>
      </c>
      <c r="U19" s="2">
        <v>130.0</v>
      </c>
      <c r="V19" s="2">
        <v>1.1023</v>
      </c>
      <c r="Y19" s="68">
        <v>36.0</v>
      </c>
      <c r="Z19" s="69">
        <f t="shared" si="3"/>
        <v>30</v>
      </c>
      <c r="AA19" s="70">
        <f t="shared" si="4"/>
        <v>66</v>
      </c>
      <c r="AB19" s="71">
        <f t="shared" si="5"/>
        <v>552.3760883</v>
      </c>
      <c r="AC19" s="71">
        <f>+(S19-T19)*V19-'data 1'!$F$4</f>
        <v>41.253</v>
      </c>
      <c r="AD19" s="71">
        <f t="shared" si="6"/>
        <v>-2.245433998</v>
      </c>
      <c r="AE19" s="71">
        <f t="shared" si="7"/>
        <v>2.7518</v>
      </c>
      <c r="AF19" s="71">
        <f t="shared" si="8"/>
        <v>30.79550387</v>
      </c>
      <c r="AG19" s="868">
        <f t="shared" si="13"/>
        <v>72.55486987</v>
      </c>
      <c r="AH19" s="52">
        <f t="shared" si="9"/>
        <v>6.623228959</v>
      </c>
      <c r="AI19" s="73">
        <f t="shared" si="10"/>
        <v>15.59420785</v>
      </c>
      <c r="AJ19" s="73">
        <f t="shared" si="11"/>
        <v>6.378481021</v>
      </c>
      <c r="AK19" s="11"/>
      <c r="AL19" s="122">
        <f t="shared" si="12"/>
        <v>393.7336757</v>
      </c>
      <c r="AM19" s="427"/>
      <c r="AN19" s="427"/>
      <c r="AO19" s="58"/>
      <c r="AQ19" s="58"/>
    </row>
    <row r="20" ht="15.75" customHeight="1">
      <c r="A20" s="92" t="s">
        <v>4597</v>
      </c>
      <c r="B20" s="841">
        <v>45593.0</v>
      </c>
      <c r="C20" s="854">
        <v>45586.0</v>
      </c>
      <c r="D20" s="2" t="s">
        <v>602</v>
      </c>
      <c r="E20" s="2">
        <v>2.0169040237E10</v>
      </c>
      <c r="F20" s="2" t="s">
        <v>4598</v>
      </c>
      <c r="G20" s="3">
        <v>20.0</v>
      </c>
      <c r="H20" s="58" t="s">
        <v>47</v>
      </c>
      <c r="I20" s="58">
        <v>1.73</v>
      </c>
      <c r="J20" s="58">
        <v>1.1</v>
      </c>
      <c r="K20" s="59">
        <f t="shared" si="1"/>
        <v>1.71097</v>
      </c>
      <c r="L20" s="60">
        <v>0.392</v>
      </c>
      <c r="M20" s="75">
        <v>0.378</v>
      </c>
      <c r="N20" s="75">
        <v>0.378</v>
      </c>
      <c r="O20" s="60">
        <f t="shared" si="2"/>
        <v>0.378</v>
      </c>
      <c r="P20" s="63">
        <v>90.0</v>
      </c>
      <c r="Q20" s="2">
        <v>89.41</v>
      </c>
      <c r="R20" s="741">
        <v>2724.3</v>
      </c>
      <c r="S20" s="134">
        <v>120.0</v>
      </c>
      <c r="U20" s="2">
        <v>130.0</v>
      </c>
      <c r="V20" s="2">
        <v>1.1023</v>
      </c>
      <c r="Y20" s="68">
        <v>30.0</v>
      </c>
      <c r="Z20" s="69">
        <f t="shared" si="3"/>
        <v>30</v>
      </c>
      <c r="AA20" s="70">
        <f t="shared" si="4"/>
        <v>60</v>
      </c>
      <c r="AB20" s="71">
        <f t="shared" si="5"/>
        <v>774.454882</v>
      </c>
      <c r="AC20" s="71">
        <f>+(S20-T20)*V20-'data 1'!$F$4</f>
        <v>52.276</v>
      </c>
      <c r="AD20" s="71">
        <f t="shared" si="6"/>
        <v>-6.613906967</v>
      </c>
      <c r="AE20" s="71">
        <f t="shared" si="7"/>
        <v>-3.862</v>
      </c>
      <c r="AF20" s="71">
        <f t="shared" si="8"/>
        <v>35.79596985</v>
      </c>
      <c r="AG20" s="868">
        <f t="shared" si="13"/>
        <v>77.59606288</v>
      </c>
      <c r="AH20" s="52">
        <f t="shared" si="9"/>
        <v>20.56002441</v>
      </c>
      <c r="AI20" s="73">
        <f t="shared" si="10"/>
        <v>20.16705452</v>
      </c>
      <c r="AJ20" s="73">
        <f t="shared" si="11"/>
        <v>19.95656419</v>
      </c>
      <c r="AK20" s="11"/>
      <c r="AL20" s="122">
        <f t="shared" si="12"/>
        <v>1325.069069</v>
      </c>
      <c r="AM20" s="3"/>
      <c r="AN20" s="3"/>
      <c r="AO20" s="58"/>
      <c r="AQ20" s="58"/>
    </row>
    <row r="21" ht="15.75" customHeight="1">
      <c r="A21" s="92" t="s">
        <v>4599</v>
      </c>
      <c r="B21" s="841">
        <v>45590.0</v>
      </c>
      <c r="C21" s="854">
        <v>45586.0</v>
      </c>
      <c r="D21" s="2" t="s">
        <v>602</v>
      </c>
      <c r="E21" s="2">
        <v>2.0169040237E10</v>
      </c>
      <c r="F21" s="2" t="s">
        <v>4600</v>
      </c>
      <c r="G21" s="3">
        <v>15.0</v>
      </c>
      <c r="H21" s="58" t="s">
        <v>47</v>
      </c>
      <c r="I21" s="58">
        <v>1.26</v>
      </c>
      <c r="J21" s="58">
        <v>1.15</v>
      </c>
      <c r="K21" s="59">
        <f t="shared" si="1"/>
        <v>1.24551</v>
      </c>
      <c r="L21" s="60">
        <v>0.231</v>
      </c>
      <c r="M21" s="60">
        <v>0.222</v>
      </c>
      <c r="N21" s="62">
        <v>0.222</v>
      </c>
      <c r="O21" s="60">
        <f t="shared" si="2"/>
        <v>0.222</v>
      </c>
      <c r="P21" s="63">
        <v>90.0</v>
      </c>
      <c r="Q21" s="458">
        <v>89.26</v>
      </c>
      <c r="R21" s="741">
        <v>2724.3</v>
      </c>
      <c r="S21" s="3">
        <v>110.0</v>
      </c>
      <c r="U21" s="2">
        <v>130.0</v>
      </c>
      <c r="V21" s="2">
        <v>1.1023</v>
      </c>
      <c r="Y21" s="68">
        <v>30.0</v>
      </c>
      <c r="Z21" s="69">
        <f t="shared" si="3"/>
        <v>30</v>
      </c>
      <c r="AA21" s="70">
        <f t="shared" si="4"/>
        <v>60</v>
      </c>
      <c r="AB21" s="71">
        <f t="shared" si="5"/>
        <v>383.9764386</v>
      </c>
      <c r="AC21" s="71">
        <f>+(S21-T21)*V21-'data 1'!$F$4</f>
        <v>41.253</v>
      </c>
      <c r="AD21" s="71">
        <f t="shared" si="6"/>
        <v>-4.888365864</v>
      </c>
      <c r="AE21" s="71">
        <f t="shared" si="7"/>
        <v>-3.862</v>
      </c>
      <c r="AF21" s="71">
        <f t="shared" si="8"/>
        <v>22.973089</v>
      </c>
      <c r="AG21" s="868">
        <f t="shared" si="13"/>
        <v>55.47572313</v>
      </c>
      <c r="AH21" s="52">
        <f t="shared" si="9"/>
        <v>8.804914649</v>
      </c>
      <c r="AI21" s="73">
        <f t="shared" si="10"/>
        <v>11.8642195</v>
      </c>
      <c r="AJ21" s="73">
        <f t="shared" si="11"/>
        <v>8.532018175</v>
      </c>
      <c r="AK21" s="11"/>
      <c r="AL21" s="122">
        <f t="shared" si="12"/>
        <v>478.2464941</v>
      </c>
      <c r="AM21" s="3"/>
      <c r="AN21" s="3"/>
      <c r="AO21" s="58"/>
      <c r="AQ21" s="58"/>
    </row>
    <row r="22" ht="15.75" customHeight="1">
      <c r="A22" s="92" t="s">
        <v>4601</v>
      </c>
      <c r="B22" s="841">
        <v>45598.0</v>
      </c>
      <c r="C22" s="854">
        <v>45586.0</v>
      </c>
      <c r="D22" s="2" t="s">
        <v>4466</v>
      </c>
      <c r="E22" s="2">
        <v>2.0606534923E10</v>
      </c>
      <c r="F22" s="2" t="s">
        <v>4602</v>
      </c>
      <c r="G22" s="3">
        <v>11.0</v>
      </c>
      <c r="H22" s="58" t="s">
        <v>47</v>
      </c>
      <c r="I22" s="58">
        <v>0.89</v>
      </c>
      <c r="J22" s="58">
        <v>1.15</v>
      </c>
      <c r="K22" s="59">
        <f t="shared" si="1"/>
        <v>0.879765</v>
      </c>
      <c r="L22" s="75">
        <v>0.639</v>
      </c>
      <c r="M22" s="75">
        <v>0.639</v>
      </c>
      <c r="N22" s="75">
        <v>0.639</v>
      </c>
      <c r="O22" s="75">
        <v>0.639</v>
      </c>
      <c r="P22" s="63">
        <v>90.0</v>
      </c>
      <c r="Q22" s="2">
        <v>89.75</v>
      </c>
      <c r="R22" s="741">
        <v>2724.3</v>
      </c>
      <c r="S22" s="3">
        <v>150.0</v>
      </c>
      <c r="U22" s="2">
        <v>130.0</v>
      </c>
      <c r="V22" s="2">
        <v>1.1023</v>
      </c>
      <c r="Y22" s="68">
        <v>15.0</v>
      </c>
      <c r="Z22" s="69">
        <f t="shared" si="3"/>
        <v>30</v>
      </c>
      <c r="AA22" s="70">
        <f t="shared" si="4"/>
        <v>45</v>
      </c>
      <c r="AB22" s="71">
        <f t="shared" si="5"/>
        <v>1429.663181</v>
      </c>
      <c r="AC22" s="71">
        <f>+(S22-T22)*V22-'data 1'!$F$4</f>
        <v>85.345</v>
      </c>
      <c r="AD22" s="71">
        <f t="shared" si="6"/>
        <v>-4.568365782</v>
      </c>
      <c r="AE22" s="71">
        <f t="shared" si="7"/>
        <v>-20.3965</v>
      </c>
      <c r="AF22" s="71">
        <f t="shared" si="8"/>
        <v>0</v>
      </c>
      <c r="AG22" s="868">
        <f t="shared" si="13"/>
        <v>60.38013422</v>
      </c>
      <c r="AH22" s="52">
        <f t="shared" si="9"/>
        <v>17.29860432</v>
      </c>
      <c r="AI22" s="73">
        <f t="shared" si="10"/>
        <v>32.99936826</v>
      </c>
      <c r="AJ22" s="73">
        <f t="shared" si="11"/>
        <v>17.34678985</v>
      </c>
      <c r="AK22" s="11"/>
      <c r="AL22" s="122">
        <f t="shared" si="12"/>
        <v>1257.767629</v>
      </c>
      <c r="AM22" s="3"/>
      <c r="AN22" s="3"/>
      <c r="AO22" s="58"/>
      <c r="AQ22" s="58"/>
    </row>
    <row r="23" ht="15.75" customHeight="1">
      <c r="A23" s="92" t="s">
        <v>4603</v>
      </c>
      <c r="B23" s="841">
        <v>45589.0</v>
      </c>
      <c r="C23" s="854">
        <v>45586.0</v>
      </c>
      <c r="D23" s="2" t="s">
        <v>4466</v>
      </c>
      <c r="E23" s="2">
        <v>2.0606534923E10</v>
      </c>
      <c r="F23" s="2" t="s">
        <v>4604</v>
      </c>
      <c r="G23" s="3">
        <v>3.0</v>
      </c>
      <c r="H23" s="58" t="s">
        <v>47</v>
      </c>
      <c r="I23" s="58">
        <v>0.26</v>
      </c>
      <c r="J23" s="58">
        <v>1.0</v>
      </c>
      <c r="K23" s="59">
        <f t="shared" si="1"/>
        <v>0.2574</v>
      </c>
      <c r="L23" s="60">
        <v>0.714</v>
      </c>
      <c r="M23" s="60">
        <v>0.685</v>
      </c>
      <c r="N23" s="62">
        <v>0.685</v>
      </c>
      <c r="O23" s="60">
        <f t="shared" ref="O23:O81" si="14">+ROUND((M23+N23)/2,3)</f>
        <v>0.685</v>
      </c>
      <c r="P23" s="63">
        <v>90.0</v>
      </c>
      <c r="Q23" s="458">
        <v>89.27</v>
      </c>
      <c r="R23" s="741">
        <v>2724.3</v>
      </c>
      <c r="S23" s="3">
        <v>140.0</v>
      </c>
      <c r="U23" s="2">
        <v>130.0</v>
      </c>
      <c r="V23" s="2">
        <v>1.1023</v>
      </c>
      <c r="Y23" s="68">
        <v>30.0</v>
      </c>
      <c r="Z23" s="69">
        <f t="shared" si="3"/>
        <v>30</v>
      </c>
      <c r="AA23" s="70">
        <f t="shared" si="4"/>
        <v>60</v>
      </c>
      <c r="AB23" s="71">
        <f t="shared" si="5"/>
        <v>1542.543133</v>
      </c>
      <c r="AC23" s="71">
        <f>+(S23-T23)*V23-'data 1'!$F$4</f>
        <v>74.322</v>
      </c>
      <c r="AD23" s="71">
        <f t="shared" si="6"/>
        <v>-14.90531213</v>
      </c>
      <c r="AE23" s="71">
        <f t="shared" si="7"/>
        <v>-3.862</v>
      </c>
      <c r="AF23" s="71">
        <f t="shared" si="8"/>
        <v>74.032691</v>
      </c>
      <c r="AG23" s="868">
        <f t="shared" si="13"/>
        <v>129.5873789</v>
      </c>
      <c r="AH23" s="52">
        <f t="shared" si="9"/>
        <v>5.624984867</v>
      </c>
      <c r="AI23" s="73">
        <f t="shared" si="10"/>
        <v>36.67533226</v>
      </c>
      <c r="AJ23" s="73">
        <f t="shared" si="11"/>
        <v>5.440648802</v>
      </c>
      <c r="AK23" s="11"/>
      <c r="AL23" s="122">
        <f t="shared" si="12"/>
        <v>397.0506024</v>
      </c>
      <c r="AM23" s="3"/>
      <c r="AN23" s="3"/>
      <c r="AO23" s="58"/>
      <c r="AQ23" s="58"/>
    </row>
    <row r="24" ht="15.75" customHeight="1">
      <c r="A24" s="92" t="s">
        <v>4605</v>
      </c>
      <c r="B24" s="841">
        <v>45589.0</v>
      </c>
      <c r="C24" s="854">
        <v>45586.0</v>
      </c>
      <c r="D24" s="2" t="s">
        <v>602</v>
      </c>
      <c r="E24" s="2">
        <v>2.0169040237E10</v>
      </c>
      <c r="F24" s="2" t="s">
        <v>4606</v>
      </c>
      <c r="G24" s="3">
        <v>81.0</v>
      </c>
      <c r="H24" s="58" t="s">
        <v>47</v>
      </c>
      <c r="I24" s="58">
        <v>7.66</v>
      </c>
      <c r="J24" s="58">
        <v>1.1</v>
      </c>
      <c r="K24" s="59">
        <f t="shared" si="1"/>
        <v>7.57574</v>
      </c>
      <c r="L24" s="60">
        <v>0.609</v>
      </c>
      <c r="M24" s="60">
        <v>0.585</v>
      </c>
      <c r="N24" s="62">
        <v>0.599</v>
      </c>
      <c r="O24" s="60">
        <f t="shared" si="14"/>
        <v>0.592</v>
      </c>
      <c r="P24" s="63">
        <v>90.0</v>
      </c>
      <c r="Q24" s="458">
        <v>89.72</v>
      </c>
      <c r="R24" s="741">
        <v>2724.3</v>
      </c>
      <c r="S24" s="3">
        <v>140.0</v>
      </c>
      <c r="U24" s="2">
        <v>130.0</v>
      </c>
      <c r="V24" s="2">
        <v>1.1023</v>
      </c>
      <c r="Y24" s="68">
        <v>20.0</v>
      </c>
      <c r="Z24" s="69">
        <f t="shared" si="3"/>
        <v>30</v>
      </c>
      <c r="AA24" s="70">
        <f t="shared" si="4"/>
        <v>50</v>
      </c>
      <c r="AB24" s="71">
        <f t="shared" si="5"/>
        <v>1314.209503</v>
      </c>
      <c r="AC24" s="71">
        <f>+(S24-T24)*V24-'data 1'!$F$4</f>
        <v>74.322</v>
      </c>
      <c r="AD24" s="71">
        <f t="shared" si="6"/>
        <v>-4.876355137</v>
      </c>
      <c r="AE24" s="71">
        <f t="shared" si="7"/>
        <v>-14.885</v>
      </c>
      <c r="AF24" s="71">
        <f t="shared" si="8"/>
        <v>43.61724085</v>
      </c>
      <c r="AG24" s="868">
        <f t="shared" si="13"/>
        <v>98.17788571</v>
      </c>
      <c r="AH24" s="52">
        <f t="shared" si="9"/>
        <v>141.9190476</v>
      </c>
      <c r="AI24" s="73">
        <f t="shared" si="10"/>
        <v>31.43958958</v>
      </c>
      <c r="AJ24" s="73">
        <f t="shared" si="11"/>
        <v>138.3879725</v>
      </c>
      <c r="AK24" s="11"/>
      <c r="AL24" s="122">
        <f t="shared" si="12"/>
        <v>9956.1095</v>
      </c>
      <c r="AM24" s="3"/>
      <c r="AN24" s="3"/>
      <c r="AO24" s="58"/>
      <c r="AQ24" s="58"/>
    </row>
    <row r="25" ht="15.75" customHeight="1">
      <c r="A25" s="92" t="s">
        <v>4607</v>
      </c>
      <c r="B25" s="841">
        <v>45589.0</v>
      </c>
      <c r="C25" s="854">
        <v>45586.0</v>
      </c>
      <c r="D25" s="2" t="s">
        <v>602</v>
      </c>
      <c r="E25" s="2">
        <v>2.0169040237E10</v>
      </c>
      <c r="F25" s="2" t="s">
        <v>4606</v>
      </c>
      <c r="G25" s="3">
        <v>80.0</v>
      </c>
      <c r="H25" s="58" t="s">
        <v>47</v>
      </c>
      <c r="I25" s="58">
        <v>7.46</v>
      </c>
      <c r="J25" s="58">
        <v>1.2</v>
      </c>
      <c r="K25" s="59">
        <f t="shared" si="1"/>
        <v>7.37048</v>
      </c>
      <c r="L25" s="60">
        <v>0.347</v>
      </c>
      <c r="M25" s="60">
        <v>0.333</v>
      </c>
      <c r="N25" s="62">
        <v>0.347</v>
      </c>
      <c r="O25" s="60">
        <f t="shared" si="14"/>
        <v>0.34</v>
      </c>
      <c r="P25" s="63">
        <v>90.0</v>
      </c>
      <c r="Q25" s="458">
        <v>89.1</v>
      </c>
      <c r="R25" s="741">
        <v>2724.3</v>
      </c>
      <c r="S25" s="3">
        <v>120.0</v>
      </c>
      <c r="U25" s="2">
        <v>130.0</v>
      </c>
      <c r="V25" s="2">
        <v>1.1023</v>
      </c>
      <c r="Y25" s="68">
        <v>20.0</v>
      </c>
      <c r="Z25" s="69">
        <f t="shared" si="3"/>
        <v>30</v>
      </c>
      <c r="AA25" s="70">
        <f t="shared" si="4"/>
        <v>50</v>
      </c>
      <c r="AB25" s="71">
        <f t="shared" si="5"/>
        <v>687.6762483</v>
      </c>
      <c r="AC25" s="71">
        <f>+(S25-T25)*V25-'data 1'!$F$4</f>
        <v>52.276</v>
      </c>
      <c r="AD25" s="71">
        <f t="shared" si="6"/>
        <v>-8.930833387</v>
      </c>
      <c r="AE25" s="71">
        <f t="shared" si="7"/>
        <v>-14.885</v>
      </c>
      <c r="AF25" s="71">
        <f t="shared" si="8"/>
        <v>17.8359295</v>
      </c>
      <c r="AG25" s="868">
        <f t="shared" si="13"/>
        <v>46.29609612</v>
      </c>
      <c r="AH25" s="52">
        <f t="shared" si="9"/>
        <v>78.12895584</v>
      </c>
      <c r="AI25" s="73">
        <f t="shared" si="10"/>
        <v>17.79006313</v>
      </c>
      <c r="AJ25" s="73">
        <f t="shared" si="11"/>
        <v>77.32612868</v>
      </c>
      <c r="AK25" s="11"/>
      <c r="AL25" s="122">
        <f t="shared" si="12"/>
        <v>5068.504035</v>
      </c>
      <c r="AM25" s="3"/>
      <c r="AN25" s="3"/>
      <c r="AO25" s="58"/>
      <c r="AQ25" s="58"/>
    </row>
    <row r="26" ht="15.75" customHeight="1">
      <c r="A26" s="92" t="s">
        <v>4608</v>
      </c>
      <c r="B26" s="841">
        <v>45594.0</v>
      </c>
      <c r="C26" s="854">
        <v>45587.0</v>
      </c>
      <c r="D26" s="57" t="s">
        <v>4609</v>
      </c>
      <c r="E26" s="2">
        <v>1.060268805E10</v>
      </c>
      <c r="F26" s="2" t="s">
        <v>4610</v>
      </c>
      <c r="G26" s="3">
        <v>9.0</v>
      </c>
      <c r="H26" s="58" t="s">
        <v>47</v>
      </c>
      <c r="I26" s="58">
        <v>0.72</v>
      </c>
      <c r="J26" s="58">
        <v>1.22</v>
      </c>
      <c r="K26" s="59">
        <f t="shared" si="1"/>
        <v>0.711216</v>
      </c>
      <c r="L26" s="60">
        <v>0.439</v>
      </c>
      <c r="M26" s="60">
        <v>0.421</v>
      </c>
      <c r="N26" s="62">
        <v>0.421</v>
      </c>
      <c r="O26" s="60">
        <f t="shared" si="14"/>
        <v>0.421</v>
      </c>
      <c r="P26" s="63">
        <v>90.0</v>
      </c>
      <c r="Q26" s="2">
        <v>89.5</v>
      </c>
      <c r="R26" s="741">
        <v>2726.5</v>
      </c>
      <c r="S26" s="134">
        <v>130.0</v>
      </c>
      <c r="U26" s="2">
        <v>130.0</v>
      </c>
      <c r="V26" s="2">
        <v>1.1023</v>
      </c>
      <c r="Y26" s="68">
        <v>10.0</v>
      </c>
      <c r="Z26" s="69">
        <f t="shared" si="3"/>
        <v>30</v>
      </c>
      <c r="AA26" s="70">
        <f t="shared" si="4"/>
        <v>40</v>
      </c>
      <c r="AB26" s="71">
        <f t="shared" si="5"/>
        <v>897.0670069</v>
      </c>
      <c r="AC26" s="71">
        <f>+(S26-T26)*V26-'data 1'!$F$4</f>
        <v>63.299</v>
      </c>
      <c r="AD26" s="71">
        <f t="shared" si="6"/>
        <v>-6.28235768</v>
      </c>
      <c r="AE26" s="71">
        <f t="shared" si="7"/>
        <v>-25.908</v>
      </c>
      <c r="AF26" s="71">
        <f t="shared" si="8"/>
        <v>46.10878461</v>
      </c>
      <c r="AG26" s="868">
        <f>+IF(D26="RONALD WILLIAN GARIBAY ESCUDERO",AC26+AD26+AE26+AF26+80,AC26+AD26+AE26+AF26)+70-60</f>
        <v>87.21742693</v>
      </c>
      <c r="AH26" s="52">
        <f t="shared" si="9"/>
        <v>9.580719893</v>
      </c>
      <c r="AI26" s="73">
        <f t="shared" si="10"/>
        <v>21.65495908</v>
      </c>
      <c r="AJ26" s="73">
        <f t="shared" si="11"/>
        <v>9.23921754</v>
      </c>
      <c r="AK26" s="11"/>
      <c r="AL26" s="122">
        <f t="shared" si="12"/>
        <v>638.0084083</v>
      </c>
      <c r="AM26" s="3"/>
      <c r="AN26" s="3"/>
      <c r="AO26" s="58"/>
      <c r="AQ26" s="58"/>
    </row>
    <row r="27" ht="15.75" customHeight="1">
      <c r="A27" s="92" t="s">
        <v>4611</v>
      </c>
      <c r="B27" s="841">
        <v>45592.0</v>
      </c>
      <c r="C27" s="854">
        <v>45588.0</v>
      </c>
      <c r="D27" s="57" t="s">
        <v>4571</v>
      </c>
      <c r="E27" s="67">
        <v>1.0460498487E10</v>
      </c>
      <c r="F27" s="2" t="s">
        <v>4142</v>
      </c>
      <c r="G27" s="3">
        <v>135.0</v>
      </c>
      <c r="H27" s="58" t="s">
        <v>47</v>
      </c>
      <c r="I27" s="58">
        <v>11.62</v>
      </c>
      <c r="J27" s="58">
        <v>5.5</v>
      </c>
      <c r="K27" s="59">
        <f t="shared" si="1"/>
        <v>10.9809</v>
      </c>
      <c r="L27" s="60">
        <v>0.465</v>
      </c>
      <c r="M27" s="60">
        <v>0.418</v>
      </c>
      <c r="N27" s="75">
        <v>0.473</v>
      </c>
      <c r="O27" s="60">
        <f t="shared" si="14"/>
        <v>0.446</v>
      </c>
      <c r="P27" s="63">
        <v>90.0</v>
      </c>
      <c r="Q27" s="2">
        <v>89.49</v>
      </c>
      <c r="R27" s="65">
        <v>2727.5</v>
      </c>
      <c r="S27" s="3">
        <v>130.0</v>
      </c>
      <c r="U27" s="2">
        <v>130.0</v>
      </c>
      <c r="V27" s="2">
        <v>1.1023</v>
      </c>
      <c r="Y27" s="68">
        <v>30.0</v>
      </c>
      <c r="Z27" s="69">
        <f t="shared" si="3"/>
        <v>30</v>
      </c>
      <c r="AA27" s="70">
        <f t="shared" si="4"/>
        <v>60</v>
      </c>
      <c r="AB27" s="71">
        <f t="shared" si="5"/>
        <v>939.861214</v>
      </c>
      <c r="AC27" s="71">
        <f>+(S27-T27)*V27-'data 1'!$F$4</f>
        <v>63.299</v>
      </c>
      <c r="AD27" s="71">
        <f t="shared" si="6"/>
        <v>-6.790136309</v>
      </c>
      <c r="AE27" s="71">
        <f t="shared" si="7"/>
        <v>-3.862</v>
      </c>
      <c r="AF27" s="71">
        <f t="shared" si="8"/>
        <v>48.68368825</v>
      </c>
      <c r="AG27" s="868">
        <f t="shared" ref="AG27:AG29" si="15">+IF(D27="RONALD WILLIAN GARIBAY ESCUDERO",AC27+AD27+AE27+AF27+80,AC27+AD27+AE27+AF27)</f>
        <v>101.3305519</v>
      </c>
      <c r="AH27" s="52">
        <f t="shared" si="9"/>
        <v>156.665896</v>
      </c>
      <c r="AI27" s="73">
        <f t="shared" si="10"/>
        <v>22.47622383</v>
      </c>
      <c r="AJ27" s="73">
        <f t="shared" si="11"/>
        <v>151.1208452</v>
      </c>
      <c r="AK27" s="11"/>
      <c r="AL27" s="122">
        <f t="shared" si="12"/>
        <v>10320.522</v>
      </c>
      <c r="AM27" s="3"/>
      <c r="AN27" s="3"/>
      <c r="AO27" s="58"/>
      <c r="AQ27" s="58"/>
    </row>
    <row r="28" ht="15.75" customHeight="1">
      <c r="A28" s="92" t="s">
        <v>4612</v>
      </c>
      <c r="B28" s="841"/>
      <c r="C28" s="854">
        <v>45588.0</v>
      </c>
      <c r="D28" s="57" t="s">
        <v>4571</v>
      </c>
      <c r="E28" s="67">
        <v>1.0460498487E10</v>
      </c>
      <c r="F28" s="2" t="s">
        <v>4142</v>
      </c>
      <c r="G28" s="3">
        <v>112.0</v>
      </c>
      <c r="H28" s="58" t="s">
        <v>47</v>
      </c>
      <c r="I28" s="58">
        <v>10.07</v>
      </c>
      <c r="J28" s="58">
        <v>6.5</v>
      </c>
      <c r="K28" s="59">
        <f t="shared" si="1"/>
        <v>9.41545</v>
      </c>
      <c r="L28" s="60">
        <v>0.46</v>
      </c>
      <c r="M28" s="60">
        <v>0.442</v>
      </c>
      <c r="N28" s="75">
        <v>0.504</v>
      </c>
      <c r="O28" s="60">
        <f t="shared" si="14"/>
        <v>0.473</v>
      </c>
      <c r="P28" s="63">
        <v>90.0</v>
      </c>
      <c r="Q28" s="2">
        <v>89.37</v>
      </c>
      <c r="R28" s="65">
        <v>2727.5</v>
      </c>
      <c r="S28" s="3">
        <v>130.0</v>
      </c>
      <c r="U28" s="2">
        <v>130.0</v>
      </c>
      <c r="V28" s="2">
        <v>1.1023</v>
      </c>
      <c r="Y28" s="68">
        <v>30.0</v>
      </c>
      <c r="Z28" s="69">
        <f t="shared" si="3"/>
        <v>30</v>
      </c>
      <c r="AA28" s="70">
        <f t="shared" si="4"/>
        <v>60</v>
      </c>
      <c r="AB28" s="71">
        <f t="shared" si="5"/>
        <v>1009.437563</v>
      </c>
      <c r="AC28" s="71">
        <f>+(S28-T28)*V28-'data 1'!$F$4</f>
        <v>63.299</v>
      </c>
      <c r="AD28" s="71">
        <f t="shared" si="6"/>
        <v>-8.297623876</v>
      </c>
      <c r="AE28" s="71">
        <f t="shared" si="7"/>
        <v>-3.862</v>
      </c>
      <c r="AF28" s="71">
        <f t="shared" si="8"/>
        <v>-33.26522566</v>
      </c>
      <c r="AG28" s="868">
        <f t="shared" si="15"/>
        <v>17.87415046</v>
      </c>
      <c r="AH28" s="52">
        <f t="shared" si="9"/>
        <v>132.7088056</v>
      </c>
      <c r="AI28" s="73">
        <f t="shared" si="10"/>
        <v>22.204729</v>
      </c>
      <c r="AJ28" s="73">
        <f t="shared" si="11"/>
        <v>137.4212203</v>
      </c>
      <c r="AK28" s="11"/>
      <c r="AL28" s="122">
        <f t="shared" si="12"/>
        <v>9504.308905</v>
      </c>
      <c r="AM28" s="3"/>
      <c r="AN28" s="3"/>
      <c r="AO28" s="58"/>
      <c r="AQ28" s="58"/>
    </row>
    <row r="29" ht="15.75" customHeight="1">
      <c r="A29" s="92" t="s">
        <v>4613</v>
      </c>
      <c r="B29" s="841"/>
      <c r="C29" s="854">
        <v>45588.0</v>
      </c>
      <c r="D29" s="57" t="s">
        <v>4571</v>
      </c>
      <c r="E29" s="67">
        <v>1.0460498487E10</v>
      </c>
      <c r="F29" s="2" t="s">
        <v>4142</v>
      </c>
      <c r="G29" s="3" t="s">
        <v>4100</v>
      </c>
      <c r="H29" s="58" t="s">
        <v>47</v>
      </c>
      <c r="I29" s="58">
        <v>21.4</v>
      </c>
      <c r="J29" s="58">
        <v>2.8</v>
      </c>
      <c r="K29" s="59">
        <f t="shared" si="1"/>
        <v>20.8008</v>
      </c>
      <c r="L29" s="60">
        <v>0.144</v>
      </c>
      <c r="M29" s="60">
        <v>0.138</v>
      </c>
      <c r="N29" s="75">
        <v>0.158</v>
      </c>
      <c r="O29" s="60">
        <f t="shared" si="14"/>
        <v>0.148</v>
      </c>
      <c r="P29" s="63">
        <v>90.0</v>
      </c>
      <c r="Q29" s="2">
        <v>89.61</v>
      </c>
      <c r="R29" s="65">
        <v>2727.5</v>
      </c>
      <c r="S29" s="3">
        <v>100.0</v>
      </c>
      <c r="U29" s="2">
        <v>130.0</v>
      </c>
      <c r="V29" s="2">
        <v>1.1023</v>
      </c>
      <c r="Y29" s="68">
        <v>30.0</v>
      </c>
      <c r="Z29" s="69">
        <f t="shared" si="3"/>
        <v>30</v>
      </c>
      <c r="AA29" s="70">
        <f t="shared" si="4"/>
        <v>60</v>
      </c>
      <c r="AB29" s="71">
        <f t="shared" si="5"/>
        <v>205.0134701</v>
      </c>
      <c r="AC29" s="71">
        <f>+(S29-T29)*V29-'data 1'!$F$4</f>
        <v>30.23</v>
      </c>
      <c r="AD29" s="71">
        <f t="shared" si="6"/>
        <v>-1.607986739</v>
      </c>
      <c r="AE29" s="71">
        <f t="shared" si="7"/>
        <v>-3.862</v>
      </c>
      <c r="AF29" s="71">
        <f t="shared" si="8"/>
        <v>-10.262941</v>
      </c>
      <c r="AG29" s="868">
        <f t="shared" si="15"/>
        <v>14.49707226</v>
      </c>
      <c r="AH29" s="52">
        <f t="shared" si="9"/>
        <v>92.02547695</v>
      </c>
      <c r="AI29" s="73">
        <f t="shared" si="10"/>
        <v>6.969712388</v>
      </c>
      <c r="AJ29" s="73">
        <f t="shared" si="11"/>
        <v>94.99337817</v>
      </c>
      <c r="AK29" s="11"/>
      <c r="AL29" s="122">
        <f t="shared" si="12"/>
        <v>4264.444189</v>
      </c>
      <c r="AM29" s="3"/>
      <c r="AN29" s="3"/>
      <c r="AO29" s="58"/>
      <c r="AQ29" s="58"/>
    </row>
    <row r="30" ht="15.75" customHeight="1">
      <c r="A30" s="92" t="s">
        <v>4614</v>
      </c>
      <c r="B30" s="841">
        <v>45594.0</v>
      </c>
      <c r="C30" s="854">
        <v>45588.0</v>
      </c>
      <c r="D30" s="57" t="s">
        <v>63</v>
      </c>
      <c r="E30" s="2">
        <v>1.0437450094E10</v>
      </c>
      <c r="F30" s="2" t="s">
        <v>4417</v>
      </c>
      <c r="G30" s="3">
        <v>21.0</v>
      </c>
      <c r="H30" s="58" t="s">
        <v>47</v>
      </c>
      <c r="I30" s="58">
        <v>1.77</v>
      </c>
      <c r="J30" s="58">
        <v>2.25</v>
      </c>
      <c r="K30" s="59">
        <f t="shared" si="1"/>
        <v>1.730175</v>
      </c>
      <c r="L30" s="60">
        <v>0.358</v>
      </c>
      <c r="M30" s="60">
        <v>0.34</v>
      </c>
      <c r="N30" s="62">
        <v>0.34</v>
      </c>
      <c r="O30" s="60">
        <f t="shared" si="14"/>
        <v>0.34</v>
      </c>
      <c r="P30" s="63">
        <v>90.0</v>
      </c>
      <c r="Q30" s="2">
        <v>89.65</v>
      </c>
      <c r="R30" s="65">
        <v>2736.45</v>
      </c>
      <c r="S30" s="134">
        <v>120.0</v>
      </c>
      <c r="U30" s="2">
        <v>130.0</v>
      </c>
      <c r="V30" s="2">
        <v>1.1023</v>
      </c>
      <c r="Y30" s="68">
        <v>20.0</v>
      </c>
      <c r="Z30" s="69">
        <f t="shared" si="3"/>
        <v>30</v>
      </c>
      <c r="AA30" s="70">
        <f t="shared" si="4"/>
        <v>50</v>
      </c>
      <c r="AB30" s="71">
        <f t="shared" si="5"/>
        <v>691.7744895</v>
      </c>
      <c r="AC30" s="71">
        <f>+(S30-T30)*V30-'data 1'!$F$4</f>
        <v>52.276</v>
      </c>
      <c r="AD30" s="71">
        <f t="shared" si="6"/>
        <v>-3.599981563</v>
      </c>
      <c r="AE30" s="71">
        <f t="shared" si="7"/>
        <v>-14.885</v>
      </c>
      <c r="AF30" s="71">
        <f t="shared" si="8"/>
        <v>46.36305067</v>
      </c>
      <c r="AG30" s="868">
        <f>+IF(D30="RONALD WILLIAN GARIBAY ESCUDERO",AC30+AD30+AE30+AF30+80,AC30+AD30+AE30+AF30)+90-53</f>
        <v>117.1540691</v>
      </c>
      <c r="AH30" s="52">
        <f t="shared" si="9"/>
        <v>19.03848658</v>
      </c>
      <c r="AI30" s="73">
        <f t="shared" si="10"/>
        <v>14.16888412</v>
      </c>
      <c r="AJ30" s="73">
        <f t="shared" si="11"/>
        <v>18.15183471</v>
      </c>
      <c r="AK30" s="11"/>
      <c r="AL30" s="122">
        <f t="shared" si="12"/>
        <v>1196.890927</v>
      </c>
      <c r="AM30" s="3"/>
      <c r="AN30" s="3"/>
      <c r="AO30" s="58"/>
      <c r="AQ30" s="58"/>
    </row>
    <row r="31" ht="15.75" customHeight="1">
      <c r="A31" s="92" t="s">
        <v>4615</v>
      </c>
      <c r="B31" s="841">
        <v>45594.0</v>
      </c>
      <c r="C31" s="854">
        <v>45588.0</v>
      </c>
      <c r="D31" s="57" t="s">
        <v>264</v>
      </c>
      <c r="E31" s="57">
        <v>2.0606102519E10</v>
      </c>
      <c r="F31" s="2" t="s">
        <v>4498</v>
      </c>
      <c r="G31" s="3">
        <v>15.0</v>
      </c>
      <c r="H31" s="58" t="s">
        <v>47</v>
      </c>
      <c r="I31" s="58">
        <v>1.26</v>
      </c>
      <c r="J31" s="58">
        <v>2.1</v>
      </c>
      <c r="K31" s="59">
        <f t="shared" si="1"/>
        <v>1.23354</v>
      </c>
      <c r="L31" s="60">
        <v>0.536</v>
      </c>
      <c r="M31" s="60">
        <v>0.515</v>
      </c>
      <c r="N31" s="62">
        <v>0.515</v>
      </c>
      <c r="O31" s="60">
        <f t="shared" si="14"/>
        <v>0.515</v>
      </c>
      <c r="P31" s="63">
        <v>90.0</v>
      </c>
      <c r="Q31" s="57">
        <v>89.42</v>
      </c>
      <c r="R31" s="65">
        <v>2736.45</v>
      </c>
      <c r="S31" s="134">
        <v>140.0</v>
      </c>
      <c r="U31" s="2">
        <v>130.0</v>
      </c>
      <c r="V31" s="2">
        <v>1.1023</v>
      </c>
      <c r="Y31" s="68">
        <v>10.0</v>
      </c>
      <c r="Z31" s="69">
        <f t="shared" si="3"/>
        <v>30</v>
      </c>
      <c r="AA31" s="70">
        <f t="shared" si="4"/>
        <v>40</v>
      </c>
      <c r="AB31" s="71">
        <f t="shared" si="5"/>
        <v>1133.263139</v>
      </c>
      <c r="AC31" s="71">
        <f>+(S31-T31)*V31-'data 1'!$F$4</f>
        <v>74.322</v>
      </c>
      <c r="AD31" s="71">
        <f t="shared" si="6"/>
        <v>-8.931861679</v>
      </c>
      <c r="AE31" s="71">
        <f t="shared" si="7"/>
        <v>-25.908</v>
      </c>
      <c r="AF31" s="71">
        <f t="shared" si="8"/>
        <v>53.95145554</v>
      </c>
      <c r="AG31" s="868">
        <f>+IF(D31="RONALD WILLIAN GARIBAY ESCUDERO",AC31+AD31+AE31+AF31+80,AC31+AD31+AE31+AF31)+70-53</f>
        <v>110.4335939</v>
      </c>
      <c r="AH31" s="52">
        <f t="shared" si="9"/>
        <v>20.27037398</v>
      </c>
      <c r="AI31" s="73">
        <f t="shared" si="10"/>
        <v>21.15932372</v>
      </c>
      <c r="AJ31" s="73">
        <f t="shared" si="11"/>
        <v>19.60252628</v>
      </c>
      <c r="AK31" s="11"/>
      <c r="AL31" s="122">
        <f t="shared" si="12"/>
        <v>1397.925412</v>
      </c>
      <c r="AM31" s="3"/>
      <c r="AN31" s="3"/>
      <c r="AO31" s="58"/>
      <c r="AQ31" s="58"/>
    </row>
    <row r="32" ht="15.75" customHeight="1">
      <c r="A32" s="92" t="s">
        <v>4616</v>
      </c>
      <c r="B32" s="841">
        <v>45593.0</v>
      </c>
      <c r="C32" s="854">
        <v>45589.0</v>
      </c>
      <c r="D32" s="57" t="s">
        <v>602</v>
      </c>
      <c r="E32" s="57">
        <v>2.0169040237E10</v>
      </c>
      <c r="F32" s="2" t="s">
        <v>4617</v>
      </c>
      <c r="G32" s="3">
        <v>21.0</v>
      </c>
      <c r="H32" s="58" t="s">
        <v>71</v>
      </c>
      <c r="I32" s="58">
        <v>2.09</v>
      </c>
      <c r="J32" s="58">
        <v>2.1</v>
      </c>
      <c r="K32" s="59">
        <f t="shared" si="1"/>
        <v>2.04611</v>
      </c>
      <c r="L32" s="60">
        <v>0.204</v>
      </c>
      <c r="M32" s="60">
        <v>0.2</v>
      </c>
      <c r="N32" s="62">
        <v>0.2</v>
      </c>
      <c r="O32" s="60">
        <f t="shared" si="14"/>
        <v>0.2</v>
      </c>
      <c r="P32" s="63">
        <v>90.0</v>
      </c>
      <c r="Q32" s="57">
        <v>89.77</v>
      </c>
      <c r="R32" s="65">
        <v>2732.0</v>
      </c>
      <c r="S32" s="134">
        <v>110.0</v>
      </c>
      <c r="U32" s="2">
        <v>130.0</v>
      </c>
      <c r="V32" s="2">
        <v>1.1023</v>
      </c>
      <c r="Y32" s="68">
        <v>30.0</v>
      </c>
      <c r="Z32" s="69">
        <f t="shared" si="3"/>
        <v>30</v>
      </c>
      <c r="AA32" s="70">
        <f t="shared" si="4"/>
        <v>60</v>
      </c>
      <c r="AB32" s="71">
        <f t="shared" si="5"/>
        <v>328.882228</v>
      </c>
      <c r="AC32" s="71">
        <f>+(S32-T32)*V32-'data 1'!$F$4</f>
        <v>41.253</v>
      </c>
      <c r="AD32" s="71">
        <f t="shared" si="6"/>
        <v>-1.345752214</v>
      </c>
      <c r="AE32" s="71">
        <f t="shared" si="7"/>
        <v>-3.862</v>
      </c>
      <c r="AF32" s="71">
        <f t="shared" si="8"/>
        <v>10.29907726</v>
      </c>
      <c r="AG32" s="868">
        <f>+IF(D32="RONALD WILLIAN GARIBAY ESCUDERO",AC32+AD32+AE32+AF32+80,AC32+AD32+AE32+AF32)</f>
        <v>46.34432505</v>
      </c>
      <c r="AH32" s="52">
        <f t="shared" si="9"/>
        <v>12.84693243</v>
      </c>
      <c r="AI32" s="73">
        <f t="shared" si="10"/>
        <v>8.982996097</v>
      </c>
      <c r="AJ32" s="73">
        <f t="shared" si="11"/>
        <v>12.62730156</v>
      </c>
      <c r="AK32" s="11"/>
      <c r="AL32" s="122">
        <f t="shared" si="12"/>
        <v>672.9292155</v>
      </c>
      <c r="AM32" s="3"/>
      <c r="AN32" s="3"/>
      <c r="AO32" s="58"/>
      <c r="AQ32" s="58"/>
    </row>
    <row r="33" ht="15.75" customHeight="1">
      <c r="A33" s="92" t="s">
        <v>4618</v>
      </c>
      <c r="B33" s="841">
        <v>45595.0</v>
      </c>
      <c r="C33" s="854">
        <v>45590.0</v>
      </c>
      <c r="D33" s="67" t="s">
        <v>63</v>
      </c>
      <c r="E33" s="2">
        <v>1.0437450094E10</v>
      </c>
      <c r="F33" s="67" t="s">
        <v>4619</v>
      </c>
      <c r="G33" s="134">
        <v>18.0</v>
      </c>
      <c r="H33" s="58" t="s">
        <v>47</v>
      </c>
      <c r="I33" s="58">
        <v>1.45</v>
      </c>
      <c r="J33" s="58">
        <v>0.9</v>
      </c>
      <c r="K33" s="59">
        <f t="shared" si="1"/>
        <v>1.43695</v>
      </c>
      <c r="L33" s="106">
        <v>0.414</v>
      </c>
      <c r="M33" s="106">
        <v>0.397</v>
      </c>
      <c r="N33" s="135">
        <v>0.397</v>
      </c>
      <c r="O33" s="60">
        <f t="shared" si="14"/>
        <v>0.397</v>
      </c>
      <c r="P33" s="63">
        <v>90.0</v>
      </c>
      <c r="Q33" s="67">
        <v>89.45</v>
      </c>
      <c r="R33" s="65">
        <v>2732.0</v>
      </c>
      <c r="S33" s="134">
        <v>120.0</v>
      </c>
      <c r="T33" s="67"/>
      <c r="U33" s="67">
        <v>100.0</v>
      </c>
      <c r="V33" s="67">
        <v>1.1023</v>
      </c>
      <c r="W33" s="67"/>
      <c r="X33" s="67"/>
      <c r="Y33" s="68">
        <v>15.0</v>
      </c>
      <c r="Z33" s="69">
        <f t="shared" si="3"/>
        <v>30</v>
      </c>
      <c r="AA33" s="70">
        <f t="shared" si="4"/>
        <v>45</v>
      </c>
      <c r="AB33" s="71">
        <f t="shared" si="5"/>
        <v>854.7384113</v>
      </c>
      <c r="AC33" s="71">
        <f>+(S33-T33)*V33-'data 1'!$F$4</f>
        <v>52.276</v>
      </c>
      <c r="AD33" s="71">
        <f t="shared" si="6"/>
        <v>-6.606154447</v>
      </c>
      <c r="AE33" s="71">
        <f t="shared" si="7"/>
        <v>-20.3965</v>
      </c>
      <c r="AF33" s="71">
        <f t="shared" si="8"/>
        <v>44.11791287</v>
      </c>
      <c r="AG33" s="868">
        <f>+IF(D33="RONALD WILLIAN GARIBAY ESCUDERO",AC33+AD33+AE33+AF33+80,AC33+AD33+AE33+AF33)+90-53</f>
        <v>106.3912584</v>
      </c>
      <c r="AH33" s="52">
        <f t="shared" si="9"/>
        <v>18.24447674</v>
      </c>
      <c r="AI33" s="73">
        <f t="shared" si="10"/>
        <v>5.919002122</v>
      </c>
      <c r="AJ33" s="73">
        <f t="shared" si="11"/>
        <v>17.60288056</v>
      </c>
      <c r="AK33" s="53"/>
      <c r="AL33" s="51">
        <f t="shared" si="12"/>
        <v>1228.21636</v>
      </c>
      <c r="AM33" s="134"/>
      <c r="AN33" s="134"/>
      <c r="AO33" s="58"/>
      <c r="AQ33" s="58"/>
    </row>
    <row r="34" ht="15.75" customHeight="1">
      <c r="A34" s="92" t="s">
        <v>4620</v>
      </c>
      <c r="B34" s="841">
        <v>45600.0</v>
      </c>
      <c r="C34" s="854">
        <v>45593.0</v>
      </c>
      <c r="D34" s="67" t="s">
        <v>3847</v>
      </c>
      <c r="E34" s="67">
        <v>2.0611424541E10</v>
      </c>
      <c r="F34" s="67"/>
      <c r="G34" s="134" t="s">
        <v>4100</v>
      </c>
      <c r="H34" s="58" t="s">
        <v>71</v>
      </c>
      <c r="I34" s="58">
        <v>10.27</v>
      </c>
      <c r="J34" s="58">
        <v>1.9</v>
      </c>
      <c r="K34" s="59">
        <f t="shared" si="1"/>
        <v>10.07487</v>
      </c>
      <c r="L34" s="106">
        <v>0.325</v>
      </c>
      <c r="M34" s="106">
        <v>0.315</v>
      </c>
      <c r="N34" s="135">
        <v>0.315</v>
      </c>
      <c r="O34" s="106">
        <f t="shared" si="14"/>
        <v>0.315</v>
      </c>
      <c r="P34" s="136">
        <v>90.0</v>
      </c>
      <c r="Q34" s="69">
        <v>89.23</v>
      </c>
      <c r="R34" s="70">
        <v>2741.8</v>
      </c>
      <c r="S34" s="134">
        <f>-8+100</f>
        <v>92</v>
      </c>
      <c r="T34" s="67"/>
      <c r="U34" s="67">
        <v>80.0</v>
      </c>
      <c r="V34" s="67">
        <v>1.1023</v>
      </c>
      <c r="W34" s="859"/>
      <c r="X34" s="859"/>
      <c r="Y34" s="67"/>
      <c r="Z34" s="846">
        <v>25.0</v>
      </c>
      <c r="AA34" s="70">
        <f t="shared" si="4"/>
        <v>25</v>
      </c>
      <c r="AB34" s="71">
        <f t="shared" si="5"/>
        <v>702.8488567</v>
      </c>
      <c r="AC34" s="71">
        <f>+(S34-T34)*V34-'data 1'!$F$4</f>
        <v>21.4116</v>
      </c>
      <c r="AD34" s="71">
        <f t="shared" si="6"/>
        <v>-7.342590605</v>
      </c>
      <c r="AE34" s="71">
        <f t="shared" si="7"/>
        <v>-42.4425</v>
      </c>
      <c r="AF34" s="71">
        <f t="shared" si="8"/>
        <v>26.1809934</v>
      </c>
      <c r="AG34" s="868">
        <f t="shared" ref="AG34:AG41" si="16">+IF(D34="RONALD WILLIAN GARIBAY ESCUDERO",AC34+AD34+AE34+AF34+80,AC34+AD34+AE34+AF34)+70</f>
        <v>67.80750279</v>
      </c>
      <c r="AH34" s="52">
        <f t="shared" si="9"/>
        <v>100.1711764</v>
      </c>
      <c r="AI34" s="73">
        <f t="shared" si="10"/>
        <v>-4.890862937</v>
      </c>
      <c r="AJ34" s="73">
        <f t="shared" si="11"/>
        <v>97.9268046</v>
      </c>
      <c r="AK34" s="53"/>
      <c r="AL34" s="51">
        <f t="shared" si="12"/>
        <v>7081.110861</v>
      </c>
      <c r="AM34" s="134"/>
      <c r="AN34" s="134"/>
      <c r="AO34" s="58"/>
      <c r="AQ34" s="58"/>
    </row>
    <row r="35" ht="15.75" customHeight="1">
      <c r="A35" s="92" t="s">
        <v>4621</v>
      </c>
      <c r="B35" s="841">
        <v>45600.0</v>
      </c>
      <c r="C35" s="854">
        <v>45593.0</v>
      </c>
      <c r="D35" s="67" t="s">
        <v>3847</v>
      </c>
      <c r="E35" s="67">
        <v>2.0611424541E10</v>
      </c>
      <c r="F35" s="67"/>
      <c r="G35" s="134" t="s">
        <v>4100</v>
      </c>
      <c r="H35" s="58" t="s">
        <v>71</v>
      </c>
      <c r="I35" s="58">
        <v>36.68</v>
      </c>
      <c r="J35" s="58">
        <v>2.2</v>
      </c>
      <c r="K35" s="59">
        <f t="shared" si="1"/>
        <v>35.87304</v>
      </c>
      <c r="L35" s="106">
        <v>0.446</v>
      </c>
      <c r="M35" s="106">
        <v>0.428</v>
      </c>
      <c r="N35" s="135">
        <v>0.485</v>
      </c>
      <c r="O35" s="106">
        <f t="shared" si="14"/>
        <v>0.457</v>
      </c>
      <c r="P35" s="136">
        <v>90.0</v>
      </c>
      <c r="Q35" s="69">
        <v>89.45</v>
      </c>
      <c r="R35" s="70">
        <v>2741.8</v>
      </c>
      <c r="S35" s="134">
        <f>-8+110</f>
        <v>102</v>
      </c>
      <c r="T35" s="67"/>
      <c r="U35" s="67">
        <v>80.0</v>
      </c>
      <c r="V35" s="67">
        <v>1.1023</v>
      </c>
      <c r="W35" s="859"/>
      <c r="X35" s="859"/>
      <c r="Y35" s="67"/>
      <c r="Z35" s="846">
        <v>25.0</v>
      </c>
      <c r="AA35" s="70">
        <f t="shared" si="4"/>
        <v>25</v>
      </c>
      <c r="AB35" s="71">
        <f t="shared" si="5"/>
        <v>1066.80411</v>
      </c>
      <c r="AC35" s="71">
        <f>+(S35-T35)*V35-'data 1'!$F$4</f>
        <v>32.4346</v>
      </c>
      <c r="AD35" s="71">
        <f t="shared" si="6"/>
        <v>-7.197352549</v>
      </c>
      <c r="AE35" s="71">
        <f t="shared" si="7"/>
        <v>-42.4425</v>
      </c>
      <c r="AF35" s="71">
        <f t="shared" si="8"/>
        <v>-28.87009801</v>
      </c>
      <c r="AG35" s="868">
        <f t="shared" si="16"/>
        <v>23.92464944</v>
      </c>
      <c r="AH35" s="52">
        <f t="shared" si="9"/>
        <v>490.6733319</v>
      </c>
      <c r="AI35" s="73">
        <f t="shared" si="10"/>
        <v>-6.728316955</v>
      </c>
      <c r="AJ35" s="73">
        <f t="shared" si="11"/>
        <v>505.8665472</v>
      </c>
      <c r="AK35" s="53"/>
      <c r="AL35" s="51">
        <f t="shared" si="12"/>
        <v>38269.50652</v>
      </c>
      <c r="AM35" s="3"/>
      <c r="AN35" s="3"/>
      <c r="AO35" s="58"/>
      <c r="AQ35" s="58"/>
    </row>
    <row r="36" ht="15.75" customHeight="1">
      <c r="A36" s="92" t="s">
        <v>4622</v>
      </c>
      <c r="B36" s="841">
        <v>45600.0</v>
      </c>
      <c r="C36" s="854">
        <v>45593.0</v>
      </c>
      <c r="D36" s="67" t="s">
        <v>3847</v>
      </c>
      <c r="E36" s="67">
        <v>2.0611424541E10</v>
      </c>
      <c r="F36" s="67"/>
      <c r="G36" s="134" t="s">
        <v>4100</v>
      </c>
      <c r="H36" s="58" t="s">
        <v>71</v>
      </c>
      <c r="I36" s="58">
        <v>36.37</v>
      </c>
      <c r="J36" s="58">
        <v>2.0</v>
      </c>
      <c r="K36" s="59">
        <f t="shared" si="1"/>
        <v>35.6426</v>
      </c>
      <c r="L36" s="106">
        <v>0.239</v>
      </c>
      <c r="M36" s="106">
        <v>0.23</v>
      </c>
      <c r="N36" s="135">
        <v>0.23</v>
      </c>
      <c r="O36" s="106">
        <f t="shared" si="14"/>
        <v>0.23</v>
      </c>
      <c r="P36" s="136">
        <v>90.0</v>
      </c>
      <c r="Q36" s="69">
        <v>89.55</v>
      </c>
      <c r="R36" s="70">
        <v>2741.8</v>
      </c>
      <c r="S36" s="134">
        <f>-8+95</f>
        <v>87</v>
      </c>
      <c r="T36" s="67"/>
      <c r="U36" s="67">
        <v>80.0</v>
      </c>
      <c r="V36" s="67">
        <v>1.1023</v>
      </c>
      <c r="W36" s="859"/>
      <c r="X36" s="859"/>
      <c r="Y36" s="67"/>
      <c r="Z36" s="846">
        <v>25.0</v>
      </c>
      <c r="AA36" s="70">
        <f t="shared" si="4"/>
        <v>25</v>
      </c>
      <c r="AB36" s="71">
        <f t="shared" si="5"/>
        <v>483.901543</v>
      </c>
      <c r="AC36" s="71">
        <f>+(S36-T36)*V36-'data 1'!$F$4</f>
        <v>15.9001</v>
      </c>
      <c r="AD36" s="71">
        <f t="shared" si="6"/>
        <v>-3.155626852</v>
      </c>
      <c r="AE36" s="71">
        <f t="shared" si="7"/>
        <v>-42.4425</v>
      </c>
      <c r="AF36" s="71">
        <f t="shared" si="8"/>
        <v>23.6473962</v>
      </c>
      <c r="AG36" s="868">
        <f t="shared" si="16"/>
        <v>63.94936935</v>
      </c>
      <c r="AH36" s="52">
        <f t="shared" si="9"/>
        <v>261.5422991</v>
      </c>
      <c r="AI36" s="73">
        <f t="shared" si="10"/>
        <v>-3.609563857</v>
      </c>
      <c r="AJ36" s="73">
        <f t="shared" si="11"/>
        <v>252.958217</v>
      </c>
      <c r="AK36" s="53"/>
      <c r="AL36" s="51">
        <f t="shared" si="12"/>
        <v>17247.50914</v>
      </c>
      <c r="AM36" s="3"/>
      <c r="AN36" s="3"/>
      <c r="AO36" s="58"/>
      <c r="AQ36" s="58"/>
    </row>
    <row r="37" ht="15.75" customHeight="1">
      <c r="A37" s="92" t="s">
        <v>4623</v>
      </c>
      <c r="B37" s="841">
        <v>45600.0</v>
      </c>
      <c r="C37" s="854">
        <v>45593.0</v>
      </c>
      <c r="D37" s="67" t="s">
        <v>3847</v>
      </c>
      <c r="E37" s="67">
        <v>2.0611424541E10</v>
      </c>
      <c r="F37" s="67"/>
      <c r="G37" s="134" t="s">
        <v>4100</v>
      </c>
      <c r="H37" s="58" t="s">
        <v>71</v>
      </c>
      <c r="I37" s="58">
        <v>21.65</v>
      </c>
      <c r="J37" s="58">
        <v>1.7</v>
      </c>
      <c r="K37" s="59">
        <f t="shared" si="1"/>
        <v>21.28195</v>
      </c>
      <c r="L37" s="106">
        <v>0.324</v>
      </c>
      <c r="M37" s="106">
        <v>0.301</v>
      </c>
      <c r="N37" s="135">
        <v>0.362</v>
      </c>
      <c r="O37" s="106">
        <f t="shared" si="14"/>
        <v>0.332</v>
      </c>
      <c r="P37" s="136">
        <v>90.0</v>
      </c>
      <c r="Q37" s="69">
        <v>89.27</v>
      </c>
      <c r="R37" s="70">
        <v>2741.8</v>
      </c>
      <c r="S37" s="134">
        <f>-8+100</f>
        <v>92</v>
      </c>
      <c r="T37" s="67"/>
      <c r="U37" s="67">
        <v>80.0</v>
      </c>
      <c r="V37" s="67">
        <v>1.1023</v>
      </c>
      <c r="W37" s="859"/>
      <c r="X37" s="859"/>
      <c r="Y37" s="67"/>
      <c r="Z37" s="846">
        <v>25.0</v>
      </c>
      <c r="AA37" s="70">
        <f t="shared" si="4"/>
        <v>25</v>
      </c>
      <c r="AB37" s="71">
        <f t="shared" si="5"/>
        <v>747.7406194</v>
      </c>
      <c r="AC37" s="71">
        <f>+(S37-T37)*V37-'data 1'!$F$4</f>
        <v>21.4116</v>
      </c>
      <c r="AD37" s="71">
        <f t="shared" si="6"/>
        <v>-6.939738382</v>
      </c>
      <c r="AE37" s="71">
        <f t="shared" si="7"/>
        <v>-42.4425</v>
      </c>
      <c r="AF37" s="71">
        <f t="shared" si="8"/>
        <v>-20.95418384</v>
      </c>
      <c r="AG37" s="868">
        <f t="shared" si="16"/>
        <v>21.07517778</v>
      </c>
      <c r="AH37" s="52">
        <f t="shared" si="9"/>
        <v>211.0430394</v>
      </c>
      <c r="AI37" s="73">
        <f t="shared" si="10"/>
        <v>-4.877999857</v>
      </c>
      <c r="AJ37" s="73">
        <f t="shared" si="11"/>
        <v>218.0223824</v>
      </c>
      <c r="AK37" s="53"/>
      <c r="AL37" s="51">
        <f t="shared" si="12"/>
        <v>15913.37848</v>
      </c>
      <c r="AM37" s="3"/>
      <c r="AN37" s="3"/>
      <c r="AO37" s="58"/>
      <c r="AQ37" s="58"/>
    </row>
    <row r="38" ht="15.75" customHeight="1">
      <c r="A38" s="92" t="s">
        <v>4624</v>
      </c>
      <c r="B38" s="841">
        <v>45600.0</v>
      </c>
      <c r="C38" s="854">
        <v>45593.0</v>
      </c>
      <c r="D38" s="67" t="s">
        <v>3847</v>
      </c>
      <c r="E38" s="67">
        <v>2.0611424541E10</v>
      </c>
      <c r="F38" s="67"/>
      <c r="G38" s="134" t="s">
        <v>4100</v>
      </c>
      <c r="H38" s="58" t="s">
        <v>71</v>
      </c>
      <c r="I38" s="58">
        <v>31.06</v>
      </c>
      <c r="J38" s="58">
        <v>3.6</v>
      </c>
      <c r="K38" s="59">
        <f t="shared" si="1"/>
        <v>29.94184</v>
      </c>
      <c r="L38" s="106">
        <v>0.607</v>
      </c>
      <c r="M38" s="106">
        <v>0.583</v>
      </c>
      <c r="N38" s="135">
        <v>0.583</v>
      </c>
      <c r="O38" s="106">
        <f t="shared" si="14"/>
        <v>0.583</v>
      </c>
      <c r="P38" s="136">
        <v>90.0</v>
      </c>
      <c r="Q38" s="69">
        <v>89.68</v>
      </c>
      <c r="R38" s="70">
        <v>2741.8</v>
      </c>
      <c r="S38" s="134">
        <f>-8+120</f>
        <v>112</v>
      </c>
      <c r="T38" s="67"/>
      <c r="U38" s="67">
        <v>80.0</v>
      </c>
      <c r="V38" s="67">
        <v>1.1023</v>
      </c>
      <c r="W38" s="859"/>
      <c r="X38" s="859"/>
      <c r="Y38" s="67"/>
      <c r="Z38" s="846">
        <v>25.0</v>
      </c>
      <c r="AA38" s="70">
        <f t="shared" si="4"/>
        <v>25</v>
      </c>
      <c r="AB38" s="71">
        <f t="shared" si="5"/>
        <v>1388.508293</v>
      </c>
      <c r="AC38" s="71">
        <f>+(S38-T38)*V38-'data 1'!$F$4</f>
        <v>43.4576</v>
      </c>
      <c r="AD38" s="71">
        <f t="shared" si="6"/>
        <v>-5.699199997</v>
      </c>
      <c r="AE38" s="71">
        <f t="shared" si="7"/>
        <v>-42.4425</v>
      </c>
      <c r="AF38" s="71">
        <f t="shared" si="8"/>
        <v>63.15126718</v>
      </c>
      <c r="AG38" s="868">
        <f t="shared" si="16"/>
        <v>128.4671672</v>
      </c>
      <c r="AH38" s="52">
        <f t="shared" si="9"/>
        <v>558.8198768</v>
      </c>
      <c r="AI38" s="73">
        <f t="shared" si="10"/>
        <v>-9.180694352</v>
      </c>
      <c r="AJ38" s="73">
        <f t="shared" si="11"/>
        <v>538.6400215</v>
      </c>
      <c r="AK38" s="53"/>
      <c r="AL38" s="51">
        <f t="shared" si="12"/>
        <v>41574.49314</v>
      </c>
      <c r="AM38" s="52"/>
      <c r="AN38" s="134"/>
      <c r="AO38" s="58"/>
      <c r="AQ38" s="58"/>
    </row>
    <row r="39" ht="15.75" customHeight="1">
      <c r="A39" s="92" t="s">
        <v>4625</v>
      </c>
      <c r="B39" s="841">
        <v>45600.0</v>
      </c>
      <c r="C39" s="854">
        <v>45593.0</v>
      </c>
      <c r="D39" s="67" t="s">
        <v>3847</v>
      </c>
      <c r="E39" s="67">
        <v>2.0611424541E10</v>
      </c>
      <c r="F39" s="67"/>
      <c r="G39" s="134" t="s">
        <v>4100</v>
      </c>
      <c r="H39" s="58" t="s">
        <v>71</v>
      </c>
      <c r="I39" s="58">
        <v>30.93</v>
      </c>
      <c r="J39" s="58">
        <v>2.8</v>
      </c>
      <c r="K39" s="59">
        <f t="shared" si="1"/>
        <v>30.06396</v>
      </c>
      <c r="L39" s="106">
        <v>0.305</v>
      </c>
      <c r="M39" s="106">
        <v>0.299</v>
      </c>
      <c r="N39" s="135">
        <v>0.299</v>
      </c>
      <c r="O39" s="106">
        <f t="shared" si="14"/>
        <v>0.299</v>
      </c>
      <c r="P39" s="136">
        <v>90.0</v>
      </c>
      <c r="Q39" s="69">
        <v>89.28</v>
      </c>
      <c r="R39" s="70">
        <v>2741.8</v>
      </c>
      <c r="S39" s="134">
        <f>-8+95</f>
        <v>87</v>
      </c>
      <c r="T39" s="67"/>
      <c r="U39" s="67">
        <v>80.0</v>
      </c>
      <c r="V39" s="67">
        <v>1.1023</v>
      </c>
      <c r="W39" s="859"/>
      <c r="X39" s="859"/>
      <c r="Y39" s="67"/>
      <c r="Z39" s="846">
        <v>25.0</v>
      </c>
      <c r="AA39" s="70">
        <f t="shared" si="4"/>
        <v>25</v>
      </c>
      <c r="AB39" s="71">
        <f t="shared" si="5"/>
        <v>666.1092859</v>
      </c>
      <c r="AC39" s="71">
        <f>+(S39-T39)*V39-'data 1'!$F$4</f>
        <v>15.9001</v>
      </c>
      <c r="AD39" s="71">
        <f t="shared" si="6"/>
        <v>-6.443288299</v>
      </c>
      <c r="AE39" s="71">
        <f t="shared" si="7"/>
        <v>-42.4425</v>
      </c>
      <c r="AF39" s="71">
        <f t="shared" si="8"/>
        <v>15.71739834</v>
      </c>
      <c r="AG39" s="868">
        <f t="shared" si="16"/>
        <v>52.73171004</v>
      </c>
      <c r="AH39" s="52">
        <f t="shared" si="9"/>
        <v>280.6785829</v>
      </c>
      <c r="AI39" s="73">
        <f t="shared" si="10"/>
        <v>-4.592458698</v>
      </c>
      <c r="AJ39" s="73">
        <f t="shared" si="11"/>
        <v>277.3760453</v>
      </c>
      <c r="AK39" s="53"/>
      <c r="AL39" s="51">
        <f t="shared" si="12"/>
        <v>20025.88293</v>
      </c>
      <c r="AM39" s="52"/>
      <c r="AN39" s="134"/>
      <c r="AO39" s="58"/>
      <c r="AQ39" s="58"/>
    </row>
    <row r="40" ht="15.75" customHeight="1">
      <c r="A40" s="92" t="s">
        <v>4626</v>
      </c>
      <c r="B40" s="841">
        <v>45600.0</v>
      </c>
      <c r="C40" s="854">
        <v>45593.0</v>
      </c>
      <c r="D40" s="67" t="s">
        <v>3847</v>
      </c>
      <c r="E40" s="67">
        <v>2.0611424541E10</v>
      </c>
      <c r="F40" s="67"/>
      <c r="G40" s="134" t="s">
        <v>4100</v>
      </c>
      <c r="H40" s="58" t="s">
        <v>71</v>
      </c>
      <c r="I40" s="58">
        <v>24.33</v>
      </c>
      <c r="J40" s="58">
        <v>2.18</v>
      </c>
      <c r="K40" s="59">
        <f t="shared" si="1"/>
        <v>23.799606</v>
      </c>
      <c r="L40" s="106">
        <v>0.337</v>
      </c>
      <c r="M40" s="106">
        <v>0.32</v>
      </c>
      <c r="N40" s="135">
        <v>0.32</v>
      </c>
      <c r="O40" s="106">
        <f t="shared" si="14"/>
        <v>0.32</v>
      </c>
      <c r="P40" s="136">
        <v>90.0</v>
      </c>
      <c r="Q40" s="69">
        <v>89.8</v>
      </c>
      <c r="R40" s="70">
        <v>2741.8</v>
      </c>
      <c r="S40" s="134">
        <f>-8+100</f>
        <v>92</v>
      </c>
      <c r="T40" s="67"/>
      <c r="U40" s="67">
        <v>80.0</v>
      </c>
      <c r="V40" s="67">
        <v>1.1023</v>
      </c>
      <c r="W40" s="859"/>
      <c r="X40" s="859"/>
      <c r="Y40" s="67"/>
      <c r="Z40" s="846">
        <v>25.0</v>
      </c>
      <c r="AA40" s="70">
        <f t="shared" si="4"/>
        <v>25</v>
      </c>
      <c r="AB40" s="71">
        <f t="shared" si="5"/>
        <v>716.0523163</v>
      </c>
      <c r="AC40" s="71">
        <f>+(S40-T40)*V40-'data 1'!$F$4</f>
        <v>21.4116</v>
      </c>
      <c r="AD40" s="71">
        <f t="shared" si="6"/>
        <v>-1.977584842</v>
      </c>
      <c r="AE40" s="71">
        <f t="shared" si="7"/>
        <v>-42.4425</v>
      </c>
      <c r="AF40" s="71">
        <f t="shared" si="8"/>
        <v>44.79200327</v>
      </c>
      <c r="AG40" s="868">
        <f t="shared" si="16"/>
        <v>91.78351843</v>
      </c>
      <c r="AH40" s="52">
        <f t="shared" si="9"/>
        <v>246.9363783</v>
      </c>
      <c r="AI40" s="73">
        <f t="shared" si="10"/>
        <v>-5.103844989</v>
      </c>
      <c r="AJ40" s="73">
        <f t="shared" si="11"/>
        <v>235.0018734</v>
      </c>
      <c r="AK40" s="53"/>
      <c r="AL40" s="51">
        <f t="shared" si="12"/>
        <v>17041.763</v>
      </c>
      <c r="AM40" s="52"/>
      <c r="AN40" s="134"/>
      <c r="AO40" s="58"/>
      <c r="AQ40" s="58"/>
    </row>
    <row r="41" ht="15.75" customHeight="1">
      <c r="A41" s="92" t="s">
        <v>4627</v>
      </c>
      <c r="B41" s="841">
        <v>45600.0</v>
      </c>
      <c r="C41" s="854">
        <v>45593.0</v>
      </c>
      <c r="D41" s="67" t="s">
        <v>3847</v>
      </c>
      <c r="E41" s="67">
        <v>2.0611424541E10</v>
      </c>
      <c r="F41" s="67"/>
      <c r="G41" s="134" t="s">
        <v>4100</v>
      </c>
      <c r="H41" s="58" t="s">
        <v>71</v>
      </c>
      <c r="I41" s="58">
        <v>24.1</v>
      </c>
      <c r="J41" s="58">
        <v>2.55</v>
      </c>
      <c r="K41" s="59">
        <f t="shared" si="1"/>
        <v>23.48545</v>
      </c>
      <c r="L41" s="106">
        <v>0.44</v>
      </c>
      <c r="M41" s="106">
        <v>0.418</v>
      </c>
      <c r="N41" s="135">
        <v>0.418</v>
      </c>
      <c r="O41" s="106">
        <f t="shared" si="14"/>
        <v>0.418</v>
      </c>
      <c r="P41" s="136">
        <v>90.0</v>
      </c>
      <c r="Q41" s="69">
        <v>89.22</v>
      </c>
      <c r="R41" s="70">
        <v>2741.8</v>
      </c>
      <c r="S41" s="134">
        <f>-8+110</f>
        <v>102</v>
      </c>
      <c r="T41" s="67"/>
      <c r="U41" s="67">
        <v>80.0</v>
      </c>
      <c r="V41" s="67">
        <v>1.1023</v>
      </c>
      <c r="W41" s="859"/>
      <c r="X41" s="859"/>
      <c r="Y41" s="67"/>
      <c r="Z41" s="846">
        <v>25.0</v>
      </c>
      <c r="AA41" s="70">
        <f t="shared" si="4"/>
        <v>25</v>
      </c>
      <c r="AB41" s="71">
        <f t="shared" si="5"/>
        <v>963.8171251</v>
      </c>
      <c r="AC41" s="71">
        <f>+(S41-T41)*V41-'data 1'!$F$4</f>
        <v>32.4346</v>
      </c>
      <c r="AD41" s="71">
        <f t="shared" si="6"/>
        <v>-10.06983854</v>
      </c>
      <c r="AE41" s="71">
        <f t="shared" si="7"/>
        <v>-42.4425</v>
      </c>
      <c r="AF41" s="71">
        <f t="shared" si="8"/>
        <v>57.59173044</v>
      </c>
      <c r="AG41" s="868">
        <f t="shared" si="16"/>
        <v>107.5139919</v>
      </c>
      <c r="AH41" s="52">
        <f t="shared" si="9"/>
        <v>316.0988026</v>
      </c>
      <c r="AI41" s="73">
        <f t="shared" si="10"/>
        <v>-6.620733908</v>
      </c>
      <c r="AJ41" s="73">
        <f t="shared" si="11"/>
        <v>302.9191619</v>
      </c>
      <c r="AK41" s="53"/>
      <c r="AL41" s="51">
        <f t="shared" si="12"/>
        <v>22635.6789</v>
      </c>
      <c r="AM41" s="52"/>
      <c r="AN41" s="134"/>
      <c r="AO41" s="58"/>
      <c r="AQ41" s="58"/>
    </row>
    <row r="42" ht="15.75" customHeight="1">
      <c r="A42" s="839" t="s">
        <v>4628</v>
      </c>
      <c r="B42" s="841">
        <v>45586.0</v>
      </c>
      <c r="C42" s="870">
        <v>45564.0</v>
      </c>
      <c r="D42" s="2" t="s">
        <v>4589</v>
      </c>
      <c r="E42" s="2">
        <v>2.0606031361E10</v>
      </c>
      <c r="F42" s="67" t="s">
        <v>4629</v>
      </c>
      <c r="G42" s="3" t="s">
        <v>4100</v>
      </c>
      <c r="H42" s="2" t="s">
        <v>47</v>
      </c>
      <c r="I42" s="58">
        <v>34.23</v>
      </c>
      <c r="J42" s="58">
        <v>9.1</v>
      </c>
      <c r="K42" s="59">
        <f t="shared" si="1"/>
        <v>31.11507</v>
      </c>
      <c r="L42" s="106">
        <v>0.159</v>
      </c>
      <c r="M42" s="106">
        <v>0.14</v>
      </c>
      <c r="N42" s="106">
        <v>0.196</v>
      </c>
      <c r="O42" s="106">
        <f t="shared" si="14"/>
        <v>0.168</v>
      </c>
      <c r="P42" s="63">
        <v>85.0</v>
      </c>
      <c r="Q42" s="67">
        <v>89.79</v>
      </c>
      <c r="R42" s="741">
        <v>2629.95</v>
      </c>
      <c r="S42" s="3">
        <v>100.0</v>
      </c>
      <c r="T42" s="2"/>
      <c r="U42" s="67">
        <v>130.0</v>
      </c>
      <c r="V42" s="2">
        <v>1.1023</v>
      </c>
      <c r="W42" s="2"/>
      <c r="X42" s="2"/>
      <c r="Y42" s="67">
        <v>35.0</v>
      </c>
      <c r="Z42" s="69">
        <f t="shared" ref="Z42:Z44" si="17">IF(IF(D42="UNTUCA",IF(+((W42-3)*1.5+(X42-3)*3.1)&gt;0,+((W42-3)*1.5+(X42-3)*3.1),0),IF(+((W42-3)*1.5+(X42-3)*3.1)&gt;0,+((W42-3)*1.5+(X42-3)*3.1),0))&lt;30,30,IF(D42="UNTUCA",IF(+((W42-3)*1.5+(X42-3)*3.1)&gt;0,+((W42-3)*1.5+(X42-3)*3.1),0),IF(+((W42-3)*1.5+(X42-3)*3.1)&gt;0,+((W42-3)*1.5+(X42-3)*3.1),0)))</f>
        <v>30</v>
      </c>
      <c r="AA42" s="70">
        <f t="shared" si="4"/>
        <v>65</v>
      </c>
      <c r="AB42" s="71">
        <f t="shared" si="5"/>
        <v>211.6337296</v>
      </c>
      <c r="AC42" s="71">
        <f>+(S42-T42)*V42-'data 1'!$F$4</f>
        <v>30.23</v>
      </c>
      <c r="AD42" s="71">
        <f t="shared" si="6"/>
        <v>20.98764781</v>
      </c>
      <c r="AE42" s="71">
        <f t="shared" si="7"/>
        <v>1.6495</v>
      </c>
      <c r="AF42" s="71">
        <f t="shared" si="8"/>
        <v>-22.26904594</v>
      </c>
      <c r="AG42" s="868">
        <f t="shared" ref="AG42:AG44" si="18">+IF(D42="RONALD WILLIAN GARIBAY ESCUDERO",AC42+AD42+AE42+AF42+80,AC42+AD42+AE42+AF42)</f>
        <v>30.59810188</v>
      </c>
      <c r="AH42" s="52">
        <f t="shared" si="9"/>
        <v>152.3017689</v>
      </c>
      <c r="AI42" s="73">
        <f t="shared" si="10"/>
        <v>23.06273061</v>
      </c>
      <c r="AJ42" s="73">
        <f t="shared" si="11"/>
        <v>152.3379332</v>
      </c>
      <c r="AK42" s="871"/>
      <c r="AL42" s="122">
        <f t="shared" si="12"/>
        <v>6584.99831</v>
      </c>
      <c r="AN42" s="3"/>
      <c r="AO42" s="3"/>
    </row>
    <row r="43" ht="15.75" customHeight="1">
      <c r="A43" s="839" t="s">
        <v>4630</v>
      </c>
      <c r="B43" s="841">
        <v>45586.0</v>
      </c>
      <c r="C43" s="870">
        <v>45564.0</v>
      </c>
      <c r="D43" s="2" t="s">
        <v>4589</v>
      </c>
      <c r="E43" s="2">
        <v>2.0606031361E10</v>
      </c>
      <c r="F43" s="67" t="s">
        <v>4629</v>
      </c>
      <c r="G43" s="3" t="s">
        <v>4100</v>
      </c>
      <c r="H43" s="2" t="s">
        <v>47</v>
      </c>
      <c r="I43" s="58">
        <v>22.3</v>
      </c>
      <c r="J43" s="58">
        <v>2.3</v>
      </c>
      <c r="K43" s="59">
        <f t="shared" si="1"/>
        <v>21.7871</v>
      </c>
      <c r="L43" s="106">
        <v>0.126</v>
      </c>
      <c r="M43" s="106">
        <v>0.12</v>
      </c>
      <c r="N43" s="106">
        <v>0.179</v>
      </c>
      <c r="O43" s="106">
        <f t="shared" si="14"/>
        <v>0.15</v>
      </c>
      <c r="P43" s="63">
        <v>85.0</v>
      </c>
      <c r="Q43" s="2">
        <v>89.52</v>
      </c>
      <c r="R43" s="741">
        <v>2629.95</v>
      </c>
      <c r="S43" s="3">
        <v>100.0</v>
      </c>
      <c r="T43" s="2"/>
      <c r="U43" s="67">
        <v>130.0</v>
      </c>
      <c r="V43" s="2">
        <v>1.1023</v>
      </c>
      <c r="W43" s="2"/>
      <c r="X43" s="2"/>
      <c r="Y43" s="67">
        <v>35.0</v>
      </c>
      <c r="Z43" s="69">
        <f t="shared" si="17"/>
        <v>30</v>
      </c>
      <c r="AA43" s="70">
        <f t="shared" si="4"/>
        <v>65</v>
      </c>
      <c r="AB43" s="71">
        <f t="shared" si="5"/>
        <v>169.4715978</v>
      </c>
      <c r="AC43" s="71">
        <f>+(S43-T43)*V43-'data 1'!$F$4</f>
        <v>30.23</v>
      </c>
      <c r="AD43" s="71">
        <f t="shared" si="6"/>
        <v>15.69423351</v>
      </c>
      <c r="AE43" s="71">
        <f t="shared" si="7"/>
        <v>1.6495</v>
      </c>
      <c r="AF43" s="71">
        <f t="shared" si="8"/>
        <v>-59.20555347</v>
      </c>
      <c r="AG43" s="868">
        <f t="shared" si="18"/>
        <v>-11.63181996</v>
      </c>
      <c r="AH43" s="52">
        <f t="shared" si="9"/>
        <v>84.25566578</v>
      </c>
      <c r="AI43" s="73">
        <f t="shared" si="10"/>
        <v>18.22116953</v>
      </c>
      <c r="AJ43" s="73">
        <f t="shared" si="11"/>
        <v>95.23984519</v>
      </c>
      <c r="AK43" s="871"/>
      <c r="AL43" s="122">
        <f t="shared" si="12"/>
        <v>3692.294649</v>
      </c>
      <c r="AN43" s="3"/>
      <c r="AO43" s="3"/>
    </row>
    <row r="44" ht="15.75" customHeight="1">
      <c r="A44" s="839" t="s">
        <v>4631</v>
      </c>
      <c r="B44" s="841">
        <v>45586.0</v>
      </c>
      <c r="C44" s="870">
        <v>45564.0</v>
      </c>
      <c r="D44" s="2" t="s">
        <v>4589</v>
      </c>
      <c r="E44" s="2">
        <v>2.0606031361E10</v>
      </c>
      <c r="F44" s="67" t="s">
        <v>4629</v>
      </c>
      <c r="G44" s="3" t="s">
        <v>4100</v>
      </c>
      <c r="H44" s="2" t="s">
        <v>47</v>
      </c>
      <c r="I44" s="58">
        <v>15.65</v>
      </c>
      <c r="J44" s="58">
        <v>2.6</v>
      </c>
      <c r="K44" s="59">
        <f t="shared" si="1"/>
        <v>15.2431</v>
      </c>
      <c r="L44" s="106">
        <v>0.103</v>
      </c>
      <c r="M44" s="106">
        <v>0.099</v>
      </c>
      <c r="N44" s="106">
        <v>0.099</v>
      </c>
      <c r="O44" s="106">
        <f t="shared" si="14"/>
        <v>0.099</v>
      </c>
      <c r="P44" s="63">
        <v>85.0</v>
      </c>
      <c r="Q44" s="469">
        <v>89.0</v>
      </c>
      <c r="R44" s="741">
        <v>2629.95</v>
      </c>
      <c r="S44" s="3">
        <v>100.0</v>
      </c>
      <c r="T44" s="2"/>
      <c r="U44" s="67">
        <v>130.0</v>
      </c>
      <c r="V44" s="2">
        <v>1.1023</v>
      </c>
      <c r="W44" s="2"/>
      <c r="X44" s="2"/>
      <c r="Y44" s="2">
        <v>0.0</v>
      </c>
      <c r="Z44" s="69">
        <f t="shared" si="17"/>
        <v>30</v>
      </c>
      <c r="AA44" s="70">
        <f t="shared" si="4"/>
        <v>30</v>
      </c>
      <c r="AB44" s="71">
        <f t="shared" si="5"/>
        <v>88.59272457</v>
      </c>
      <c r="AC44" s="71">
        <f>+(S44-T44)*V44-'data 1'!$F$4</f>
        <v>30.23</v>
      </c>
      <c r="AD44" s="71">
        <f t="shared" si="6"/>
        <v>11.35346293</v>
      </c>
      <c r="AE44" s="71">
        <f t="shared" si="7"/>
        <v>-36.931</v>
      </c>
      <c r="AF44" s="71">
        <f t="shared" si="8"/>
        <v>9.810273791</v>
      </c>
      <c r="AG44" s="868">
        <f t="shared" si="18"/>
        <v>14.46273672</v>
      </c>
      <c r="AH44" s="52">
        <f t="shared" si="9"/>
        <v>47.90817192</v>
      </c>
      <c r="AI44" s="73">
        <f t="shared" si="10"/>
        <v>14.8085611</v>
      </c>
      <c r="AJ44" s="73">
        <f t="shared" si="11"/>
        <v>43.97810262</v>
      </c>
      <c r="AK44" s="871"/>
      <c r="AL44" s="122">
        <f t="shared" si="12"/>
        <v>1350.42776</v>
      </c>
      <c r="AN44" s="3"/>
      <c r="AO44" s="3"/>
    </row>
    <row r="45" ht="15.75" customHeight="1">
      <c r="A45" s="839" t="s">
        <v>4632</v>
      </c>
      <c r="B45" s="841">
        <v>45581.0</v>
      </c>
      <c r="C45" s="841">
        <v>45565.0</v>
      </c>
      <c r="D45" s="67" t="s">
        <v>4633</v>
      </c>
      <c r="E45" s="67">
        <v>2.0554057862E10</v>
      </c>
      <c r="F45" s="67" t="s">
        <v>4634</v>
      </c>
      <c r="G45" s="134" t="s">
        <v>4100</v>
      </c>
      <c r="H45" s="67" t="s">
        <v>47</v>
      </c>
      <c r="I45" s="69">
        <v>48.85</v>
      </c>
      <c r="J45" s="69">
        <v>2.1</v>
      </c>
      <c r="K45" s="59">
        <f t="shared" si="1"/>
        <v>47.82415</v>
      </c>
      <c r="L45" s="106">
        <v>0.253</v>
      </c>
      <c r="M45" s="106">
        <v>0.219</v>
      </c>
      <c r="N45" s="111">
        <v>0.28</v>
      </c>
      <c r="O45" s="106">
        <f t="shared" si="14"/>
        <v>0.25</v>
      </c>
      <c r="P45" s="136">
        <v>90.0</v>
      </c>
      <c r="Q45" s="67">
        <v>89.77</v>
      </c>
      <c r="R45" s="741">
        <v>2629.95</v>
      </c>
      <c r="S45" s="134">
        <v>110.0</v>
      </c>
      <c r="T45" s="67"/>
      <c r="U45" s="67">
        <v>100.0</v>
      </c>
      <c r="V45" s="67">
        <v>1.1023</v>
      </c>
      <c r="W45" s="67"/>
      <c r="X45" s="67"/>
      <c r="Y45" s="67"/>
      <c r="Z45" s="846">
        <v>35.0</v>
      </c>
      <c r="AA45" s="70">
        <f t="shared" si="4"/>
        <v>35</v>
      </c>
      <c r="AB45" s="71">
        <f t="shared" si="5"/>
        <v>467.6383741</v>
      </c>
      <c r="AC45" s="71">
        <f>+(S45-T45)*V45-'data 1'!$F$4</f>
        <v>41.253</v>
      </c>
      <c r="AD45" s="71">
        <f t="shared" si="6"/>
        <v>-1.622781705</v>
      </c>
      <c r="AE45" s="71">
        <f t="shared" si="7"/>
        <v>-31.4195</v>
      </c>
      <c r="AF45" s="71">
        <f t="shared" si="8"/>
        <v>7.510420019</v>
      </c>
      <c r="AG45" s="868">
        <f t="shared" ref="AG45:AG47" si="19">+IF(D45="RONALD WILLIAN GARIBAY ESCUDERO",AC45+AD45+AE45+AF45+80,AC45+AD45+AE45+AF45)+70-30</f>
        <v>55.72113831</v>
      </c>
      <c r="AH45" s="52">
        <f t="shared" si="9"/>
        <v>372.3986308</v>
      </c>
      <c r="AI45" s="73">
        <f t="shared" si="10"/>
        <v>29.17855842</v>
      </c>
      <c r="AJ45" s="73">
        <f t="shared" si="11"/>
        <v>368.9256467</v>
      </c>
      <c r="AK45" s="73"/>
      <c r="AL45" s="122">
        <f t="shared" si="12"/>
        <v>22364.40775</v>
      </c>
      <c r="AN45" s="3"/>
      <c r="AO45" s="3"/>
    </row>
    <row r="46" ht="15.75" customHeight="1">
      <c r="A46" s="839" t="s">
        <v>4635</v>
      </c>
      <c r="B46" s="841">
        <v>45581.0</v>
      </c>
      <c r="C46" s="841">
        <v>45565.0</v>
      </c>
      <c r="D46" s="67" t="s">
        <v>4633</v>
      </c>
      <c r="E46" s="67">
        <v>2.0554057862E10</v>
      </c>
      <c r="F46" s="67" t="s">
        <v>4634</v>
      </c>
      <c r="G46" s="134" t="s">
        <v>4100</v>
      </c>
      <c r="H46" s="67" t="s">
        <v>47</v>
      </c>
      <c r="I46" s="69">
        <v>44.9</v>
      </c>
      <c r="J46" s="69">
        <v>1.85</v>
      </c>
      <c r="K46" s="59">
        <f t="shared" si="1"/>
        <v>44.06935</v>
      </c>
      <c r="L46" s="106">
        <v>0.246</v>
      </c>
      <c r="M46" s="106">
        <v>0.235</v>
      </c>
      <c r="N46" s="137">
        <v>0.271</v>
      </c>
      <c r="O46" s="106">
        <f t="shared" si="14"/>
        <v>0.253</v>
      </c>
      <c r="P46" s="136">
        <v>90.0</v>
      </c>
      <c r="Q46" s="67">
        <v>89.39</v>
      </c>
      <c r="R46" s="741">
        <v>2629.95</v>
      </c>
      <c r="S46" s="134">
        <v>100.0</v>
      </c>
      <c r="T46" s="67"/>
      <c r="U46" s="67">
        <v>100.0</v>
      </c>
      <c r="V46" s="67">
        <v>1.1023</v>
      </c>
      <c r="W46" s="67"/>
      <c r="X46" s="67"/>
      <c r="Y46" s="67"/>
      <c r="Z46" s="846">
        <v>35.0</v>
      </c>
      <c r="AA46" s="70">
        <f t="shared" si="4"/>
        <v>35</v>
      </c>
      <c r="AB46" s="71">
        <f t="shared" si="5"/>
        <v>486.1910366</v>
      </c>
      <c r="AC46" s="71">
        <f>+(S46-T46)*V46-'data 1'!$F$4</f>
        <v>30.23</v>
      </c>
      <c r="AD46" s="71">
        <f t="shared" si="6"/>
        <v>-4.184819086</v>
      </c>
      <c r="AE46" s="71">
        <f t="shared" si="7"/>
        <v>-31.4195</v>
      </c>
      <c r="AF46" s="71">
        <f t="shared" si="8"/>
        <v>-17.45013226</v>
      </c>
      <c r="AG46" s="868">
        <f t="shared" si="19"/>
        <v>17.17554866</v>
      </c>
      <c r="AH46" s="52">
        <f t="shared" si="9"/>
        <v>332.2536485</v>
      </c>
      <c r="AI46" s="73">
        <f t="shared" si="10"/>
        <v>28.25114991</v>
      </c>
      <c r="AJ46" s="73">
        <f t="shared" si="11"/>
        <v>344.0398462</v>
      </c>
      <c r="AK46" s="73"/>
      <c r="AL46" s="122">
        <f t="shared" si="12"/>
        <v>21426.12296</v>
      </c>
      <c r="AN46" s="3"/>
      <c r="AO46" s="3"/>
    </row>
    <row r="47" ht="15.75" customHeight="1">
      <c r="A47" s="92" t="s">
        <v>4636</v>
      </c>
      <c r="B47" s="841">
        <v>45581.0</v>
      </c>
      <c r="C47" s="841">
        <v>45565.0</v>
      </c>
      <c r="D47" s="67" t="s">
        <v>4633</v>
      </c>
      <c r="E47" s="91">
        <v>2.0554057862E10</v>
      </c>
      <c r="F47" s="67" t="s">
        <v>4634</v>
      </c>
      <c r="G47" s="134" t="s">
        <v>4100</v>
      </c>
      <c r="H47" s="67" t="s">
        <v>47</v>
      </c>
      <c r="I47" s="69">
        <v>38.9</v>
      </c>
      <c r="J47" s="69">
        <v>1.45</v>
      </c>
      <c r="K47" s="59">
        <f t="shared" si="1"/>
        <v>38.33595</v>
      </c>
      <c r="L47" s="106">
        <v>0.261</v>
      </c>
      <c r="M47" s="106">
        <v>0.237</v>
      </c>
      <c r="N47" s="137">
        <v>0.264</v>
      </c>
      <c r="O47" s="111">
        <f t="shared" si="14"/>
        <v>0.251</v>
      </c>
      <c r="P47" s="136">
        <v>90.0</v>
      </c>
      <c r="Q47" s="67">
        <v>89.57</v>
      </c>
      <c r="R47" s="741">
        <v>2629.95</v>
      </c>
      <c r="S47" s="134">
        <v>100.0</v>
      </c>
      <c r="T47" s="67"/>
      <c r="U47" s="67">
        <v>100.0</v>
      </c>
      <c r="V47" s="67">
        <v>1.1023</v>
      </c>
      <c r="W47" s="67"/>
      <c r="X47" s="67"/>
      <c r="Y47" s="67"/>
      <c r="Z47" s="846">
        <v>35.0</v>
      </c>
      <c r="AA47" s="70">
        <f t="shared" si="4"/>
        <v>35</v>
      </c>
      <c r="AB47" s="71">
        <f t="shared" si="5"/>
        <v>481.1712616</v>
      </c>
      <c r="AC47" s="71">
        <f>+(S47-T47)*V47-'data 1'!$F$4</f>
        <v>30.23</v>
      </c>
      <c r="AD47" s="71">
        <f t="shared" si="6"/>
        <v>-3.129829708</v>
      </c>
      <c r="AE47" s="71">
        <f t="shared" si="7"/>
        <v>-31.4195</v>
      </c>
      <c r="AF47" s="71">
        <f t="shared" si="8"/>
        <v>24.97895812</v>
      </c>
      <c r="AG47" s="868">
        <f t="shared" si="19"/>
        <v>60.65962841</v>
      </c>
      <c r="AH47" s="52">
        <f t="shared" si="9"/>
        <v>307.2687409</v>
      </c>
      <c r="AI47" s="73">
        <f t="shared" si="10"/>
        <v>30.03413765</v>
      </c>
      <c r="AJ47" s="73">
        <f t="shared" si="11"/>
        <v>296.9145841</v>
      </c>
      <c r="AK47" s="53"/>
      <c r="AL47" s="122">
        <f t="shared" si="12"/>
        <v>18446.15743</v>
      </c>
      <c r="AM47" s="3"/>
      <c r="AN47" s="3"/>
    </row>
    <row r="48" ht="15.75" customHeight="1">
      <c r="A48" s="839" t="s">
        <v>4637</v>
      </c>
      <c r="B48" s="841">
        <v>45571.0</v>
      </c>
      <c r="C48" s="870">
        <v>45569.0</v>
      </c>
      <c r="D48" s="2" t="s">
        <v>602</v>
      </c>
      <c r="E48" s="2">
        <v>2.0169040237E10</v>
      </c>
      <c r="F48" s="67" t="s">
        <v>4386</v>
      </c>
      <c r="G48" s="3">
        <v>40.0</v>
      </c>
      <c r="H48" s="2" t="s">
        <v>47</v>
      </c>
      <c r="I48" s="58">
        <v>3.71</v>
      </c>
      <c r="J48" s="58">
        <v>1.2</v>
      </c>
      <c r="K48" s="59">
        <f t="shared" si="1"/>
        <v>3.66548</v>
      </c>
      <c r="L48" s="60">
        <v>0.388</v>
      </c>
      <c r="M48" s="60">
        <v>0.368</v>
      </c>
      <c r="N48" s="62">
        <v>0.368</v>
      </c>
      <c r="O48" s="106">
        <f t="shared" si="14"/>
        <v>0.368</v>
      </c>
      <c r="P48" s="136">
        <v>90.0</v>
      </c>
      <c r="Q48" s="69">
        <v>89.75</v>
      </c>
      <c r="R48" s="741">
        <v>2641.5</v>
      </c>
      <c r="S48" s="3">
        <v>130.0</v>
      </c>
      <c r="T48" s="2"/>
      <c r="U48" s="67">
        <v>130.0</v>
      </c>
      <c r="V48" s="67">
        <v>1.1023</v>
      </c>
      <c r="W48" s="2"/>
      <c r="X48" s="2"/>
      <c r="Y48" s="67">
        <v>30.0</v>
      </c>
      <c r="Z48" s="69">
        <f t="shared" ref="Z48:Z58" si="20">IF(IF(D48="UNTUCA",IF(+((W48-3)*1.5+(X48-3)*3.1)&gt;0,+((W48-3)*1.5+(X48-3)*3.1),0),IF(+((W48-3)*1.5+(X48-3)*3.1)&gt;0,+((W48-3)*1.5+(X48-3)*3.1),0))&lt;30,30,IF(D48="UNTUCA",IF(+((W48-3)*1.5+(X48-3)*3.1)&gt;0,+((W48-3)*1.5+(X48-3)*3.1),0),IF(+((W48-3)*1.5+(X48-3)*3.1)&gt;0,+((W48-3)*1.5+(X48-3)*3.1),0)))</f>
        <v>30</v>
      </c>
      <c r="AA48" s="70">
        <f t="shared" si="4"/>
        <v>60</v>
      </c>
      <c r="AB48" s="71">
        <f t="shared" si="5"/>
        <v>707.4658402</v>
      </c>
      <c r="AC48" s="71">
        <f>+(S48-T48)*V48-'data 1'!$F$4</f>
        <v>63.299</v>
      </c>
      <c r="AD48" s="71">
        <f t="shared" si="6"/>
        <v>-2.685373657</v>
      </c>
      <c r="AE48" s="71">
        <f t="shared" si="7"/>
        <v>-3.862</v>
      </c>
      <c r="AF48" s="71">
        <f t="shared" si="8"/>
        <v>49.69325478</v>
      </c>
      <c r="AG48" s="868">
        <f t="shared" ref="AG48:AG53" si="21">+IF(D48="RONALD WILLIAN GARIBAY ESCUDERO",AC48+AD48+AE48+AF48+80,AC48+AD48+AE48+AF48)</f>
        <v>106.4448811</v>
      </c>
      <c r="AH48" s="52">
        <f t="shared" si="9"/>
        <v>43.76290131</v>
      </c>
      <c r="AI48" s="73">
        <f t="shared" si="10"/>
        <v>51.82028042</v>
      </c>
      <c r="AJ48" s="73">
        <f t="shared" si="11"/>
        <v>41.62270027</v>
      </c>
      <c r="AK48" s="73"/>
      <c r="AL48" s="122">
        <f t="shared" si="12"/>
        <v>2593.201888</v>
      </c>
      <c r="AN48" s="3"/>
      <c r="AO48" s="3"/>
    </row>
    <row r="49" ht="15.75" customHeight="1">
      <c r="A49" s="839" t="s">
        <v>4638</v>
      </c>
      <c r="B49" s="841">
        <v>45574.0</v>
      </c>
      <c r="C49" s="870">
        <v>45571.0</v>
      </c>
      <c r="D49" s="2" t="s">
        <v>4466</v>
      </c>
      <c r="E49" s="2">
        <v>2.0606534923E10</v>
      </c>
      <c r="F49" s="67" t="s">
        <v>4639</v>
      </c>
      <c r="G49" s="3">
        <v>7.0</v>
      </c>
      <c r="H49" s="2" t="s">
        <v>40</v>
      </c>
      <c r="I49" s="58">
        <v>0.55</v>
      </c>
      <c r="J49" s="58">
        <v>12.5</v>
      </c>
      <c r="K49" s="59">
        <f t="shared" si="1"/>
        <v>0.48125</v>
      </c>
      <c r="L49" s="60">
        <v>2.789</v>
      </c>
      <c r="M49" s="60">
        <v>2.733</v>
      </c>
      <c r="N49" s="62">
        <v>2.733</v>
      </c>
      <c r="O49" s="106">
        <f t="shared" si="14"/>
        <v>2.733</v>
      </c>
      <c r="P49" s="136">
        <v>90.0</v>
      </c>
      <c r="Q49" s="69">
        <v>89.1</v>
      </c>
      <c r="R49" s="741">
        <v>2650.05</v>
      </c>
      <c r="S49" s="3">
        <v>330.0</v>
      </c>
      <c r="T49" s="2"/>
      <c r="U49" s="2">
        <v>130.0</v>
      </c>
      <c r="V49" s="2">
        <v>1.1023</v>
      </c>
      <c r="W49" s="2"/>
      <c r="X49" s="2"/>
      <c r="Y49" s="67">
        <v>35.0</v>
      </c>
      <c r="Z49" s="69">
        <f t="shared" si="20"/>
        <v>30</v>
      </c>
      <c r="AA49" s="70">
        <f t="shared" si="4"/>
        <v>65</v>
      </c>
      <c r="AB49" s="71">
        <f t="shared" si="5"/>
        <v>6397.271888</v>
      </c>
      <c r="AC49" s="71">
        <f>+(S49-T49)*V49-'data 1'!$F$4</f>
        <v>283.759</v>
      </c>
      <c r="AD49" s="71">
        <f t="shared" si="6"/>
        <v>-69.72684084</v>
      </c>
      <c r="AE49" s="71">
        <f t="shared" si="7"/>
        <v>1.6495</v>
      </c>
      <c r="AF49" s="71">
        <f t="shared" si="8"/>
        <v>138.6036592</v>
      </c>
      <c r="AG49" s="868">
        <f t="shared" si="21"/>
        <v>354.2853184</v>
      </c>
      <c r="AH49" s="52">
        <f t="shared" si="9"/>
        <v>41.00209335</v>
      </c>
      <c r="AI49" s="73">
        <f t="shared" si="10"/>
        <v>346.3736606</v>
      </c>
      <c r="AJ49" s="73">
        <f t="shared" si="11"/>
        <v>40.58466382</v>
      </c>
      <c r="AK49" s="73"/>
      <c r="AL49" s="122">
        <f t="shared" si="12"/>
        <v>3078.687096</v>
      </c>
      <c r="AN49" s="3"/>
      <c r="AO49" s="3"/>
    </row>
    <row r="50" ht="15.75" customHeight="1">
      <c r="A50" s="839" t="s">
        <v>4640</v>
      </c>
      <c r="B50" s="841">
        <v>45574.0</v>
      </c>
      <c r="C50" s="870">
        <v>45571.0</v>
      </c>
      <c r="D50" s="2" t="s">
        <v>4466</v>
      </c>
      <c r="E50" s="2">
        <v>2.0606534923E10</v>
      </c>
      <c r="F50" s="67" t="s">
        <v>4639</v>
      </c>
      <c r="G50" s="3">
        <v>19.0</v>
      </c>
      <c r="H50" s="2" t="s">
        <v>40</v>
      </c>
      <c r="I50" s="58">
        <v>1.56</v>
      </c>
      <c r="J50" s="58">
        <v>14.75</v>
      </c>
      <c r="K50" s="59">
        <f t="shared" si="1"/>
        <v>1.3299</v>
      </c>
      <c r="L50" s="60">
        <v>2.702</v>
      </c>
      <c r="M50" s="60">
        <v>2.648</v>
      </c>
      <c r="N50" s="75">
        <v>2.756</v>
      </c>
      <c r="O50" s="106">
        <f t="shared" si="14"/>
        <v>2.702</v>
      </c>
      <c r="P50" s="136">
        <v>90.0</v>
      </c>
      <c r="Q50" s="69">
        <v>89.23</v>
      </c>
      <c r="R50" s="741">
        <v>2650.05</v>
      </c>
      <c r="S50" s="3">
        <v>330.0</v>
      </c>
      <c r="T50" s="2"/>
      <c r="U50" s="2">
        <v>130.0</v>
      </c>
      <c r="V50" s="2">
        <v>1.1023</v>
      </c>
      <c r="W50" s="2"/>
      <c r="X50" s="2"/>
      <c r="Y50" s="67">
        <v>35.0</v>
      </c>
      <c r="Z50" s="69">
        <f t="shared" si="20"/>
        <v>30</v>
      </c>
      <c r="AA50" s="70">
        <f t="shared" si="4"/>
        <v>65</v>
      </c>
      <c r="AB50" s="71">
        <f t="shared" si="5"/>
        <v>6319.769841</v>
      </c>
      <c r="AC50" s="71">
        <f>+(S50-T50)*V50-'data 1'!$F$4</f>
        <v>283.759</v>
      </c>
      <c r="AD50" s="71">
        <f t="shared" si="6"/>
        <v>-57.79430359</v>
      </c>
      <c r="AE50" s="71">
        <f t="shared" si="7"/>
        <v>1.6495</v>
      </c>
      <c r="AF50" s="71">
        <f t="shared" si="8"/>
        <v>0</v>
      </c>
      <c r="AG50" s="868">
        <f t="shared" si="21"/>
        <v>227.6141964</v>
      </c>
      <c r="AH50" s="52">
        <f t="shared" si="9"/>
        <v>109.9320415</v>
      </c>
      <c r="AI50" s="73">
        <f t="shared" si="10"/>
        <v>336.0584955</v>
      </c>
      <c r="AJ50" s="73">
        <f t="shared" si="11"/>
        <v>110.8806873</v>
      </c>
      <c r="AK50" s="73"/>
      <c r="AL50" s="122">
        <f t="shared" si="12"/>
        <v>8404.661912</v>
      </c>
      <c r="AN50" s="3"/>
      <c r="AO50" s="3"/>
    </row>
    <row r="51" ht="15.75" customHeight="1">
      <c r="A51" s="839" t="s">
        <v>4641</v>
      </c>
      <c r="B51" s="841">
        <v>45574.0</v>
      </c>
      <c r="C51" s="870">
        <v>45571.0</v>
      </c>
      <c r="D51" s="2" t="s">
        <v>4466</v>
      </c>
      <c r="E51" s="2">
        <v>2.0606534923E10</v>
      </c>
      <c r="F51" s="67" t="s">
        <v>4639</v>
      </c>
      <c r="G51" s="3">
        <v>36.0</v>
      </c>
      <c r="H51" s="2" t="s">
        <v>40</v>
      </c>
      <c r="I51" s="58">
        <v>3.44</v>
      </c>
      <c r="J51" s="58">
        <v>6.9</v>
      </c>
      <c r="K51" s="59">
        <f t="shared" si="1"/>
        <v>3.20264</v>
      </c>
      <c r="L51" s="60">
        <v>1.432</v>
      </c>
      <c r="M51" s="60">
        <v>1.375</v>
      </c>
      <c r="N51" s="62">
        <v>1.375</v>
      </c>
      <c r="O51" s="106">
        <f t="shared" si="14"/>
        <v>1.375</v>
      </c>
      <c r="P51" s="136">
        <v>90.0</v>
      </c>
      <c r="Q51" s="69">
        <v>89.22</v>
      </c>
      <c r="R51" s="741">
        <v>2650.05</v>
      </c>
      <c r="S51" s="3">
        <v>210.0</v>
      </c>
      <c r="U51" s="2">
        <v>130.0</v>
      </c>
      <c r="V51" s="2">
        <v>1.1023</v>
      </c>
      <c r="Y51" s="67">
        <v>35.0</v>
      </c>
      <c r="Z51" s="69">
        <f t="shared" si="20"/>
        <v>30</v>
      </c>
      <c r="AA51" s="70">
        <f t="shared" si="4"/>
        <v>65</v>
      </c>
      <c r="AB51" s="71">
        <f t="shared" si="5"/>
        <v>3134.458255</v>
      </c>
      <c r="AC51" s="71">
        <f>+(S51-T51)*V51-'data 1'!$F$4</f>
        <v>151.483</v>
      </c>
      <c r="AD51" s="71">
        <f t="shared" si="6"/>
        <v>-31.02748581</v>
      </c>
      <c r="AE51" s="71">
        <f t="shared" si="7"/>
        <v>1.6495</v>
      </c>
      <c r="AF51" s="71">
        <f t="shared" si="8"/>
        <v>141.2687296</v>
      </c>
      <c r="AG51" s="868">
        <f t="shared" si="21"/>
        <v>263.3737438</v>
      </c>
      <c r="AH51" s="52">
        <f t="shared" si="9"/>
        <v>140.2886157</v>
      </c>
      <c r="AI51" s="73">
        <f t="shared" si="10"/>
        <v>178.0835801</v>
      </c>
      <c r="AJ51" s="73">
        <f t="shared" si="11"/>
        <v>135.882147</v>
      </c>
      <c r="AK51" s="73"/>
      <c r="AL51" s="122">
        <f t="shared" si="12"/>
        <v>10038.54139</v>
      </c>
      <c r="AN51" s="3"/>
      <c r="AO51" s="3"/>
    </row>
    <row r="52" ht="15.75" customHeight="1">
      <c r="A52" s="839" t="s">
        <v>4642</v>
      </c>
      <c r="B52" s="841">
        <v>45574.0</v>
      </c>
      <c r="C52" s="870">
        <v>45571.0</v>
      </c>
      <c r="D52" s="2" t="s">
        <v>4466</v>
      </c>
      <c r="E52" s="2">
        <v>2.0606534923E10</v>
      </c>
      <c r="F52" s="67" t="s">
        <v>4639</v>
      </c>
      <c r="G52" s="3">
        <v>34.0</v>
      </c>
      <c r="H52" s="2" t="s">
        <v>40</v>
      </c>
      <c r="I52" s="58">
        <v>3.25</v>
      </c>
      <c r="J52" s="58">
        <v>14.5</v>
      </c>
      <c r="K52" s="59">
        <f t="shared" si="1"/>
        <v>2.77875</v>
      </c>
      <c r="L52" s="60">
        <v>1.125</v>
      </c>
      <c r="M52" s="60">
        <v>1.1</v>
      </c>
      <c r="N52" s="75">
        <v>1.164</v>
      </c>
      <c r="O52" s="106">
        <f t="shared" si="14"/>
        <v>1.132</v>
      </c>
      <c r="P52" s="136">
        <v>90.0</v>
      </c>
      <c r="Q52" s="69">
        <v>89.47</v>
      </c>
      <c r="R52" s="741">
        <v>2650.05</v>
      </c>
      <c r="S52" s="3">
        <v>180.0</v>
      </c>
      <c r="T52" s="2"/>
      <c r="U52" s="2">
        <v>130.0</v>
      </c>
      <c r="V52" s="2">
        <v>1.1023</v>
      </c>
      <c r="W52" s="2"/>
      <c r="X52" s="2"/>
      <c r="Y52" s="67">
        <v>55.0</v>
      </c>
      <c r="Z52" s="69">
        <f t="shared" si="20"/>
        <v>30</v>
      </c>
      <c r="AA52" s="70">
        <f t="shared" si="4"/>
        <v>85</v>
      </c>
      <c r="AB52" s="71">
        <f t="shared" si="5"/>
        <v>2537.965216</v>
      </c>
      <c r="AC52" s="71">
        <f>+(S52-T52)*V52-'data 1'!$F$4</f>
        <v>118.414</v>
      </c>
      <c r="AD52" s="71">
        <f t="shared" si="6"/>
        <v>-16.56293727</v>
      </c>
      <c r="AE52" s="71">
        <f t="shared" si="7"/>
        <v>23.6955</v>
      </c>
      <c r="AF52" s="71">
        <f t="shared" si="8"/>
        <v>-17.39740375</v>
      </c>
      <c r="AG52" s="868">
        <f t="shared" si="21"/>
        <v>108.149159</v>
      </c>
      <c r="AH52" s="52">
        <f t="shared" si="9"/>
        <v>95.89335308</v>
      </c>
      <c r="AI52" s="73">
        <f t="shared" si="10"/>
        <v>140.2970699</v>
      </c>
      <c r="AJ52" s="73">
        <f t="shared" si="11"/>
        <v>97.06160786</v>
      </c>
      <c r="AK52" s="73"/>
      <c r="AL52" s="122">
        <f t="shared" si="12"/>
        <v>7052.370844</v>
      </c>
      <c r="AN52" s="3"/>
      <c r="AO52" s="3"/>
    </row>
    <row r="53" ht="15.75" customHeight="1">
      <c r="A53" s="839" t="s">
        <v>4643</v>
      </c>
      <c r="B53" s="841">
        <v>45581.0</v>
      </c>
      <c r="C53" s="841">
        <v>45574.0</v>
      </c>
      <c r="D53" s="2" t="s">
        <v>4466</v>
      </c>
      <c r="E53" s="2">
        <v>2.0606534923E10</v>
      </c>
      <c r="F53" s="2" t="s">
        <v>4644</v>
      </c>
      <c r="G53" s="3">
        <v>120.0</v>
      </c>
      <c r="H53" s="2" t="s">
        <v>40</v>
      </c>
      <c r="I53" s="58">
        <v>9.93</v>
      </c>
      <c r="J53" s="58">
        <v>1.1</v>
      </c>
      <c r="K53" s="59">
        <f t="shared" si="1"/>
        <v>9.82077</v>
      </c>
      <c r="L53" s="60">
        <v>0.256</v>
      </c>
      <c r="M53" s="60">
        <v>0.241</v>
      </c>
      <c r="N53" s="62">
        <v>0.241</v>
      </c>
      <c r="O53" s="106">
        <f t="shared" si="14"/>
        <v>0.241</v>
      </c>
      <c r="P53" s="136">
        <v>90.0</v>
      </c>
      <c r="Q53" s="2">
        <v>89.33</v>
      </c>
      <c r="R53" s="70">
        <v>2610.7</v>
      </c>
      <c r="S53" s="3">
        <v>110.0</v>
      </c>
      <c r="U53" s="67">
        <v>130.0</v>
      </c>
      <c r="V53" s="2">
        <v>1.1023</v>
      </c>
      <c r="Y53" s="67">
        <v>40.0</v>
      </c>
      <c r="Z53" s="69">
        <f t="shared" si="20"/>
        <v>30</v>
      </c>
      <c r="AA53" s="70">
        <f t="shared" si="4"/>
        <v>70</v>
      </c>
      <c r="AB53" s="71">
        <f t="shared" si="5"/>
        <v>394.6937598</v>
      </c>
      <c r="AC53" s="71">
        <f>+(S53-T53)*V53-'data 1'!$F$4</f>
        <v>41.253</v>
      </c>
      <c r="AD53" s="71">
        <f t="shared" si="6"/>
        <v>-4.690172566</v>
      </c>
      <c r="AE53" s="71">
        <f t="shared" si="7"/>
        <v>7.161</v>
      </c>
      <c r="AF53" s="71">
        <f t="shared" si="8"/>
        <v>36.64060594</v>
      </c>
      <c r="AG53" s="868">
        <f t="shared" si="21"/>
        <v>80.36443337</v>
      </c>
      <c r="AH53" s="52">
        <f t="shared" si="9"/>
        <v>77.00020983</v>
      </c>
      <c r="AI53" s="73">
        <f t="shared" si="10"/>
        <v>41.79474049</v>
      </c>
      <c r="AJ53" s="73">
        <f t="shared" si="11"/>
        <v>73.03216267</v>
      </c>
      <c r="AK53" s="73"/>
      <c r="AL53" s="122">
        <f t="shared" si="12"/>
        <v>3876.196636</v>
      </c>
      <c r="AN53" s="3"/>
      <c r="AO53" s="3"/>
    </row>
    <row r="54" ht="15.75" customHeight="1">
      <c r="A54" s="839" t="s">
        <v>4645</v>
      </c>
      <c r="B54" s="841">
        <v>45583.0</v>
      </c>
      <c r="C54" s="841">
        <v>45577.0</v>
      </c>
      <c r="D54" s="67" t="s">
        <v>45</v>
      </c>
      <c r="E54" s="67">
        <v>1.0416085884E10</v>
      </c>
      <c r="F54" s="67" t="s">
        <v>4646</v>
      </c>
      <c r="G54" s="134" t="s">
        <v>4100</v>
      </c>
      <c r="H54" s="67" t="s">
        <v>47</v>
      </c>
      <c r="I54" s="69">
        <v>32.87</v>
      </c>
      <c r="J54" s="69">
        <v>16.15</v>
      </c>
      <c r="K54" s="59">
        <f t="shared" si="1"/>
        <v>27.561495</v>
      </c>
      <c r="L54" s="106">
        <v>0.161</v>
      </c>
      <c r="M54" s="106">
        <v>0.139</v>
      </c>
      <c r="N54" s="111">
        <v>0.142</v>
      </c>
      <c r="O54" s="106">
        <f t="shared" si="14"/>
        <v>0.141</v>
      </c>
      <c r="P54" s="136">
        <v>85.0</v>
      </c>
      <c r="Q54" s="69">
        <v>89.74</v>
      </c>
      <c r="R54" s="70">
        <v>2648.8</v>
      </c>
      <c r="S54" s="134">
        <v>110.0</v>
      </c>
      <c r="T54" s="67"/>
      <c r="U54" s="67">
        <v>100.0</v>
      </c>
      <c r="V54" s="67">
        <v>1.1023</v>
      </c>
      <c r="W54" s="67"/>
      <c r="X54" s="67"/>
      <c r="Y54" s="67"/>
      <c r="Z54" s="69">
        <f t="shared" si="20"/>
        <v>30</v>
      </c>
      <c r="AA54" s="70">
        <f t="shared" si="4"/>
        <v>30</v>
      </c>
      <c r="AB54" s="71">
        <f t="shared" si="5"/>
        <v>182.4016375</v>
      </c>
      <c r="AC54" s="71">
        <f>+(S54-T54)*V54-'data 1'!$F$4</f>
        <v>41.253</v>
      </c>
      <c r="AD54" s="71">
        <f t="shared" si="6"/>
        <v>21.44074065</v>
      </c>
      <c r="AE54" s="71">
        <f t="shared" si="7"/>
        <v>-36.931</v>
      </c>
      <c r="AF54" s="71">
        <f t="shared" si="8"/>
        <v>50.42566412</v>
      </c>
      <c r="AG54" s="868">
        <f t="shared" ref="AG54:AG55" si="22">+IF(D54="RONALD WILLIAN GARIBAY ESCUDERO",AC54+AD54+AE54+AF54+80,AC54+AD54+AE54+AF54)+90-53</f>
        <v>113.1884048</v>
      </c>
      <c r="AH54" s="52">
        <f t="shared" si="9"/>
        <v>136.5286455</v>
      </c>
      <c r="AI54" s="73">
        <f t="shared" si="10"/>
        <v>15.55988247</v>
      </c>
      <c r="AJ54" s="73">
        <f t="shared" si="11"/>
        <v>113.2530427</v>
      </c>
      <c r="AK54" s="73"/>
      <c r="AL54" s="51">
        <f t="shared" si="12"/>
        <v>5027.261819</v>
      </c>
      <c r="AN54" s="3"/>
      <c r="AO54" s="3"/>
    </row>
    <row r="55" ht="15.75" customHeight="1">
      <c r="A55" s="839" t="s">
        <v>4647</v>
      </c>
      <c r="B55" s="841">
        <v>45583.0</v>
      </c>
      <c r="C55" s="841">
        <v>45577.0</v>
      </c>
      <c r="D55" s="67" t="s">
        <v>45</v>
      </c>
      <c r="E55" s="67">
        <v>1.0421580605E10</v>
      </c>
      <c r="F55" s="67" t="s">
        <v>4648</v>
      </c>
      <c r="G55" s="134" t="s">
        <v>4100</v>
      </c>
      <c r="H55" s="67" t="s">
        <v>47</v>
      </c>
      <c r="I55" s="69">
        <v>29.58</v>
      </c>
      <c r="J55" s="69">
        <v>15.55</v>
      </c>
      <c r="K55" s="59">
        <f t="shared" si="1"/>
        <v>24.98031</v>
      </c>
      <c r="L55" s="106">
        <v>0.125</v>
      </c>
      <c r="M55" s="106">
        <v>0.117</v>
      </c>
      <c r="N55" s="111">
        <v>0.127</v>
      </c>
      <c r="O55" s="106">
        <f t="shared" si="14"/>
        <v>0.122</v>
      </c>
      <c r="P55" s="136">
        <v>85.0</v>
      </c>
      <c r="Q55" s="69">
        <v>89.36</v>
      </c>
      <c r="R55" s="70">
        <v>2648.8</v>
      </c>
      <c r="S55" s="134">
        <v>110.0</v>
      </c>
      <c r="T55" s="67"/>
      <c r="U55" s="67">
        <v>100.0</v>
      </c>
      <c r="V55" s="67">
        <v>1.1023</v>
      </c>
      <c r="W55" s="67"/>
      <c r="X55" s="67"/>
      <c r="Y55" s="67"/>
      <c r="Z55" s="69">
        <f t="shared" si="20"/>
        <v>30</v>
      </c>
      <c r="AA55" s="70">
        <f t="shared" si="4"/>
        <v>30</v>
      </c>
      <c r="AB55" s="71">
        <f t="shared" si="5"/>
        <v>137.0275303</v>
      </c>
      <c r="AC55" s="71">
        <f>+(S55-T55)*V55-'data 1'!$F$4</f>
        <v>41.253</v>
      </c>
      <c r="AD55" s="71">
        <f t="shared" si="6"/>
        <v>15.31200521</v>
      </c>
      <c r="AE55" s="71">
        <f t="shared" si="7"/>
        <v>-36.931</v>
      </c>
      <c r="AF55" s="71">
        <f t="shared" si="8"/>
        <v>7.531820837</v>
      </c>
      <c r="AG55" s="868">
        <f t="shared" si="22"/>
        <v>64.16582604</v>
      </c>
      <c r="AH55" s="52">
        <f t="shared" si="9"/>
        <v>95.66653977</v>
      </c>
      <c r="AI55" s="73">
        <f t="shared" si="10"/>
        <v>12.02949911</v>
      </c>
      <c r="AJ55" s="73">
        <f t="shared" si="11"/>
        <v>88.8148628</v>
      </c>
      <c r="AK55" s="73"/>
      <c r="AL55" s="51">
        <f t="shared" si="12"/>
        <v>3422.990185</v>
      </c>
      <c r="AN55" s="3"/>
      <c r="AO55" s="3"/>
    </row>
    <row r="56" ht="15.75" customHeight="1">
      <c r="A56" s="839" t="s">
        <v>4649</v>
      </c>
      <c r="B56" s="841">
        <v>45588.0</v>
      </c>
      <c r="C56" s="870">
        <v>45577.0</v>
      </c>
      <c r="D56" s="2" t="s">
        <v>4571</v>
      </c>
      <c r="E56" s="67">
        <v>1.0460498487E10</v>
      </c>
      <c r="F56" s="869" t="s">
        <v>4168</v>
      </c>
      <c r="G56" s="3">
        <v>21.0</v>
      </c>
      <c r="H56" s="2" t="s">
        <v>47</v>
      </c>
      <c r="I56" s="58">
        <v>1.71</v>
      </c>
      <c r="J56" s="58">
        <v>4.5</v>
      </c>
      <c r="K56" s="59">
        <f t="shared" si="1"/>
        <v>1.63305</v>
      </c>
      <c r="L56" s="60">
        <v>0.058</v>
      </c>
      <c r="M56" s="62">
        <v>0.055</v>
      </c>
      <c r="N56" s="62">
        <v>0.055</v>
      </c>
      <c r="O56" s="106">
        <f t="shared" si="14"/>
        <v>0.055</v>
      </c>
      <c r="P56" s="136">
        <v>85.0</v>
      </c>
      <c r="Q56" s="140">
        <v>89.0</v>
      </c>
      <c r="R56" s="70">
        <v>2648.8</v>
      </c>
      <c r="S56" s="143">
        <v>100.0</v>
      </c>
      <c r="T56" s="2"/>
      <c r="U56" s="2">
        <v>130.0</v>
      </c>
      <c r="V56" s="2">
        <v>1.1023</v>
      </c>
      <c r="W56" s="2"/>
      <c r="X56" s="2"/>
      <c r="Y56" s="2">
        <v>20.0</v>
      </c>
      <c r="Z56" s="69">
        <f t="shared" si="20"/>
        <v>30</v>
      </c>
      <c r="AA56" s="70">
        <f t="shared" si="4"/>
        <v>50</v>
      </c>
      <c r="AB56" s="447">
        <v>0.0</v>
      </c>
      <c r="AC56" s="71">
        <f>+(S56-T56)*V56-'data 1'!$F$4</f>
        <v>30.23</v>
      </c>
      <c r="AD56" s="71">
        <f t="shared" si="6"/>
        <v>6.441417917</v>
      </c>
      <c r="AE56" s="71">
        <f t="shared" si="7"/>
        <v>-14.885</v>
      </c>
      <c r="AF56" s="71">
        <f t="shared" si="8"/>
        <v>7.413183551</v>
      </c>
      <c r="AG56" s="868">
        <f t="shared" ref="AG56:AG71" si="23">+IF(D56="RONALD WILLIAN GARIBAY ESCUDERO",AC56+AD56+AE56+AF56+80,AC56+AD56+AE56+AF56)</f>
        <v>29.19960147</v>
      </c>
      <c r="AH56" s="52">
        <f t="shared" si="9"/>
        <v>2.890191048</v>
      </c>
      <c r="AI56" s="73">
        <f t="shared" si="10"/>
        <v>7.26622271</v>
      </c>
      <c r="AJ56" s="73">
        <f t="shared" si="11"/>
        <v>2.617520951</v>
      </c>
      <c r="AK56" s="73"/>
      <c r="AL56" s="122">
        <f t="shared" si="12"/>
        <v>0</v>
      </c>
      <c r="AN56" s="3"/>
      <c r="AO56" s="3"/>
    </row>
    <row r="57" ht="15.75" customHeight="1">
      <c r="A57" s="839" t="s">
        <v>4650</v>
      </c>
      <c r="B57" s="841">
        <v>45588.0</v>
      </c>
      <c r="C57" s="870">
        <v>45577.0</v>
      </c>
      <c r="D57" s="2" t="s">
        <v>4571</v>
      </c>
      <c r="E57" s="67">
        <v>1.0460498487E10</v>
      </c>
      <c r="F57" s="2" t="s">
        <v>4168</v>
      </c>
      <c r="G57" s="3">
        <v>190.0</v>
      </c>
      <c r="H57" s="2" t="s">
        <v>47</v>
      </c>
      <c r="I57" s="58">
        <v>16.96</v>
      </c>
      <c r="J57" s="58">
        <v>8.0</v>
      </c>
      <c r="K57" s="59">
        <f t="shared" si="1"/>
        <v>15.6032</v>
      </c>
      <c r="L57" s="60">
        <v>0.364</v>
      </c>
      <c r="M57" s="60">
        <v>0.342</v>
      </c>
      <c r="N57" s="62">
        <v>0.342</v>
      </c>
      <c r="O57" s="106">
        <f t="shared" si="14"/>
        <v>0.342</v>
      </c>
      <c r="P57" s="136">
        <v>90.0</v>
      </c>
      <c r="Q57" s="58">
        <v>89.8</v>
      </c>
      <c r="R57" s="70">
        <v>2648.8</v>
      </c>
      <c r="S57" s="143">
        <v>120.0</v>
      </c>
      <c r="T57" s="2"/>
      <c r="U57" s="2">
        <v>130.0</v>
      </c>
      <c r="V57" s="2">
        <v>1.1023</v>
      </c>
      <c r="W57" s="2"/>
      <c r="X57" s="2"/>
      <c r="Y57" s="2">
        <v>20.0</v>
      </c>
      <c r="Z57" s="69">
        <f t="shared" si="20"/>
        <v>30</v>
      </c>
      <c r="AA57" s="70">
        <f t="shared" si="4"/>
        <v>50</v>
      </c>
      <c r="AB57" s="71">
        <f t="shared" ref="AB57:AB81" si="24">+((O57*P57*(R57-U57)/100)-S57-AA57+T57)*V57</f>
        <v>667.2074633</v>
      </c>
      <c r="AC57" s="71">
        <f>+(S57-T57)*V57-'data 1'!$F$4</f>
        <v>52.276</v>
      </c>
      <c r="AD57" s="71">
        <f t="shared" si="6"/>
        <v>-2.021272519</v>
      </c>
      <c r="AE57" s="71">
        <f t="shared" si="7"/>
        <v>-14.885</v>
      </c>
      <c r="AF57" s="71">
        <f t="shared" si="8"/>
        <v>54.85200533</v>
      </c>
      <c r="AG57" s="868">
        <f t="shared" si="23"/>
        <v>90.22173281</v>
      </c>
      <c r="AH57" s="52">
        <f t="shared" si="9"/>
        <v>174.8640226</v>
      </c>
      <c r="AI57" s="73">
        <f t="shared" si="10"/>
        <v>46.01171542</v>
      </c>
      <c r="AJ57" s="73">
        <f t="shared" si="11"/>
        <v>164.6612318</v>
      </c>
      <c r="AK57" s="73"/>
      <c r="AL57" s="122">
        <f t="shared" si="12"/>
        <v>10410.57149</v>
      </c>
      <c r="AN57" s="3"/>
      <c r="AO57" s="3"/>
    </row>
    <row r="58" ht="15.75" customHeight="1">
      <c r="A58" s="839" t="s">
        <v>4651</v>
      </c>
      <c r="B58" s="841">
        <v>45588.0</v>
      </c>
      <c r="C58" s="870">
        <v>45577.0</v>
      </c>
      <c r="D58" s="2" t="s">
        <v>4571</v>
      </c>
      <c r="E58" s="67">
        <v>1.0460498487E10</v>
      </c>
      <c r="F58" s="2" t="s">
        <v>4168</v>
      </c>
      <c r="G58" s="3" t="s">
        <v>4100</v>
      </c>
      <c r="H58" s="2" t="s">
        <v>47</v>
      </c>
      <c r="I58" s="58">
        <v>16.14</v>
      </c>
      <c r="J58" s="58">
        <v>8.0</v>
      </c>
      <c r="K58" s="59">
        <f t="shared" si="1"/>
        <v>14.8488</v>
      </c>
      <c r="L58" s="60">
        <v>0.203</v>
      </c>
      <c r="M58" s="60">
        <v>0.192</v>
      </c>
      <c r="N58" s="62">
        <v>0.192</v>
      </c>
      <c r="O58" s="106">
        <f t="shared" si="14"/>
        <v>0.192</v>
      </c>
      <c r="P58" s="136">
        <v>85.0</v>
      </c>
      <c r="Q58" s="58">
        <v>89.09</v>
      </c>
      <c r="R58" s="70">
        <v>2648.8</v>
      </c>
      <c r="S58" s="143">
        <v>100.0</v>
      </c>
      <c r="U58" s="2">
        <v>130.0</v>
      </c>
      <c r="V58" s="2">
        <v>1.1023</v>
      </c>
      <c r="Y58" s="2">
        <v>20.0</v>
      </c>
      <c r="Z58" s="69">
        <f t="shared" si="20"/>
        <v>30</v>
      </c>
      <c r="AA58" s="70">
        <f t="shared" si="4"/>
        <v>50</v>
      </c>
      <c r="AB58" s="71">
        <f t="shared" si="24"/>
        <v>287.7754328</v>
      </c>
      <c r="AC58" s="71">
        <f>+(S58-T58)*V58-'data 1'!$F$4</f>
        <v>30.23</v>
      </c>
      <c r="AD58" s="71">
        <f t="shared" si="6"/>
        <v>23.05222437</v>
      </c>
      <c r="AE58" s="71">
        <f t="shared" si="7"/>
        <v>-14.885</v>
      </c>
      <c r="AF58" s="71">
        <f t="shared" si="8"/>
        <v>27.2091601</v>
      </c>
      <c r="AG58" s="868">
        <f t="shared" si="23"/>
        <v>65.60638447</v>
      </c>
      <c r="AH58" s="52">
        <f t="shared" si="9"/>
        <v>92.07154351</v>
      </c>
      <c r="AI58" s="73">
        <f t="shared" si="10"/>
        <v>25.45749702</v>
      </c>
      <c r="AJ58" s="73">
        <f t="shared" si="11"/>
        <v>83.0846092</v>
      </c>
      <c r="AK58" s="73"/>
      <c r="AL58" s="122">
        <f t="shared" si="12"/>
        <v>4273.119846</v>
      </c>
      <c r="AN58" s="3"/>
      <c r="AO58" s="3"/>
    </row>
    <row r="59" ht="15.75" customHeight="1">
      <c r="A59" s="839" t="s">
        <v>4652</v>
      </c>
      <c r="B59" s="841">
        <v>45583.0</v>
      </c>
      <c r="C59" s="841">
        <v>45579.0</v>
      </c>
      <c r="D59" s="67" t="s">
        <v>4571</v>
      </c>
      <c r="E59" s="67">
        <v>1.0460498487E10</v>
      </c>
      <c r="F59" s="67" t="s">
        <v>4653</v>
      </c>
      <c r="G59" s="134">
        <v>49.0</v>
      </c>
      <c r="H59" s="67" t="s">
        <v>47</v>
      </c>
      <c r="I59" s="69">
        <v>3.89</v>
      </c>
      <c r="J59" s="69">
        <v>6.7</v>
      </c>
      <c r="K59" s="59">
        <f t="shared" si="1"/>
        <v>3.62937</v>
      </c>
      <c r="L59" s="106">
        <v>0.415</v>
      </c>
      <c r="M59" s="106">
        <v>0.394</v>
      </c>
      <c r="N59" s="135">
        <v>0.38</v>
      </c>
      <c r="O59" s="106">
        <f t="shared" si="14"/>
        <v>0.387</v>
      </c>
      <c r="P59" s="136">
        <v>90.0</v>
      </c>
      <c r="Q59" s="69">
        <v>89.77773243839133</v>
      </c>
      <c r="R59" s="70">
        <v>2654.9</v>
      </c>
      <c r="S59" s="134">
        <v>120.0</v>
      </c>
      <c r="T59" s="67"/>
      <c r="U59" s="67">
        <v>130.0</v>
      </c>
      <c r="V59" s="67">
        <v>1.1023</v>
      </c>
      <c r="W59" s="67"/>
      <c r="X59" s="67"/>
      <c r="Y59" s="67">
        <v>30.0</v>
      </c>
      <c r="Z59" s="846">
        <v>25.0</v>
      </c>
      <c r="AA59" s="70">
        <f t="shared" si="4"/>
        <v>55</v>
      </c>
      <c r="AB59" s="71">
        <f t="shared" si="24"/>
        <v>776.4851091</v>
      </c>
      <c r="AC59" s="71">
        <f>+(S59-T59)*V59-'data 1'!$F$4</f>
        <v>52.276</v>
      </c>
      <c r="AD59" s="71">
        <f t="shared" si="6"/>
        <v>-2.567250053</v>
      </c>
      <c r="AE59" s="71">
        <f t="shared" si="7"/>
        <v>-9.3735</v>
      </c>
      <c r="AF59" s="71">
        <f t="shared" si="8"/>
        <v>69.96335915</v>
      </c>
      <c r="AG59" s="868">
        <f t="shared" si="23"/>
        <v>110.2986091</v>
      </c>
      <c r="AH59" s="52">
        <f t="shared" si="9"/>
        <v>46.36145348</v>
      </c>
      <c r="AI59" s="73">
        <f t="shared" si="10"/>
        <v>49.94018089</v>
      </c>
      <c r="AJ59" s="73">
        <f t="shared" si="11"/>
        <v>43.34048718</v>
      </c>
      <c r="AK59" s="73"/>
      <c r="AL59" s="122">
        <f t="shared" si="12"/>
        <v>2818.151761</v>
      </c>
      <c r="AN59" s="3"/>
      <c r="AO59" s="3"/>
    </row>
    <row r="60" ht="15.75" customHeight="1">
      <c r="A60" s="839" t="s">
        <v>4654</v>
      </c>
      <c r="B60" s="841">
        <v>45583.0</v>
      </c>
      <c r="C60" s="841">
        <v>45579.0</v>
      </c>
      <c r="D60" s="67" t="s">
        <v>4571</v>
      </c>
      <c r="E60" s="67">
        <v>1.0460498487E10</v>
      </c>
      <c r="F60" s="67" t="s">
        <v>4655</v>
      </c>
      <c r="G60" s="134">
        <v>20.0</v>
      </c>
      <c r="H60" s="67" t="s">
        <v>47</v>
      </c>
      <c r="I60" s="69">
        <v>1.35</v>
      </c>
      <c r="J60" s="69">
        <v>2.8</v>
      </c>
      <c r="K60" s="59">
        <f t="shared" si="1"/>
        <v>1.3122</v>
      </c>
      <c r="L60" s="106">
        <v>0.333</v>
      </c>
      <c r="M60" s="106">
        <v>0.316</v>
      </c>
      <c r="N60" s="135">
        <v>0.38</v>
      </c>
      <c r="O60" s="106">
        <f t="shared" si="14"/>
        <v>0.348</v>
      </c>
      <c r="P60" s="67">
        <v>90.0</v>
      </c>
      <c r="Q60" s="69">
        <v>89.35716246715029</v>
      </c>
      <c r="R60" s="70">
        <v>2654.9</v>
      </c>
      <c r="S60" s="134">
        <v>120.0</v>
      </c>
      <c r="T60" s="67"/>
      <c r="U60" s="67">
        <v>130.0</v>
      </c>
      <c r="V60" s="67">
        <v>1.1023</v>
      </c>
      <c r="W60" s="67"/>
      <c r="X60" s="67"/>
      <c r="Y60" s="67">
        <v>30.0</v>
      </c>
      <c r="Z60" s="846">
        <v>25.0</v>
      </c>
      <c r="AA60" s="70">
        <f t="shared" si="4"/>
        <v>55</v>
      </c>
      <c r="AB60" s="71">
        <f t="shared" si="24"/>
        <v>678.794885</v>
      </c>
      <c r="AC60" s="71">
        <f>+(S60-T60)*V60-'data 1'!$F$4</f>
        <v>52.276</v>
      </c>
      <c r="AD60" s="71">
        <f t="shared" si="6"/>
        <v>-5.957848409</v>
      </c>
      <c r="AE60" s="71">
        <f t="shared" si="7"/>
        <v>-9.3735</v>
      </c>
      <c r="AF60" s="71">
        <f t="shared" si="8"/>
        <v>-37.3047916</v>
      </c>
      <c r="AG60" s="868">
        <f t="shared" si="23"/>
        <v>-0.3601400044</v>
      </c>
      <c r="AH60" s="52">
        <f t="shared" si="9"/>
        <v>13.3869828</v>
      </c>
      <c r="AI60" s="73">
        <f t="shared" si="10"/>
        <v>39.88476019</v>
      </c>
      <c r="AJ60" s="73">
        <f t="shared" si="11"/>
        <v>14.09064444</v>
      </c>
      <c r="AK60" s="73"/>
      <c r="AL60" s="122">
        <f t="shared" si="12"/>
        <v>890.714648</v>
      </c>
      <c r="AN60" s="3"/>
      <c r="AO60" s="3"/>
    </row>
    <row r="61" ht="15.75" customHeight="1">
      <c r="A61" s="839" t="s">
        <v>4656</v>
      </c>
      <c r="B61" s="841">
        <v>45583.0</v>
      </c>
      <c r="C61" s="841">
        <v>45579.0</v>
      </c>
      <c r="D61" s="67" t="s">
        <v>4571</v>
      </c>
      <c r="E61" s="67">
        <v>1.0460498487E10</v>
      </c>
      <c r="F61" s="67" t="s">
        <v>4657</v>
      </c>
      <c r="G61" s="134" t="s">
        <v>4100</v>
      </c>
      <c r="H61" s="67" t="s">
        <v>71</v>
      </c>
      <c r="I61" s="69">
        <v>11.21</v>
      </c>
      <c r="J61" s="69">
        <v>9.9</v>
      </c>
      <c r="K61" s="59">
        <f t="shared" si="1"/>
        <v>10.10021</v>
      </c>
      <c r="L61" s="106">
        <v>0.159</v>
      </c>
      <c r="M61" s="106">
        <v>0.149</v>
      </c>
      <c r="N61" s="135">
        <v>0.174</v>
      </c>
      <c r="O61" s="106">
        <f t="shared" si="14"/>
        <v>0.162</v>
      </c>
      <c r="P61" s="67">
        <v>85.0</v>
      </c>
      <c r="Q61" s="69">
        <v>89.82767786156835</v>
      </c>
      <c r="R61" s="70">
        <v>2654.9</v>
      </c>
      <c r="S61" s="134">
        <v>100.0</v>
      </c>
      <c r="T61" s="67"/>
      <c r="U61" s="67">
        <v>130.0</v>
      </c>
      <c r="V61" s="67">
        <v>1.1023</v>
      </c>
      <c r="W61" s="67"/>
      <c r="X61" s="67"/>
      <c r="Y61" s="67">
        <v>30.0</v>
      </c>
      <c r="Z61" s="846">
        <v>25.0</v>
      </c>
      <c r="AA61" s="70">
        <f t="shared" si="4"/>
        <v>55</v>
      </c>
      <c r="AB61" s="71">
        <f t="shared" si="24"/>
        <v>212.3897641</v>
      </c>
      <c r="AC61" s="71">
        <f>+(S61-T61)*V61-'data 1'!$F$4</f>
        <v>30.23</v>
      </c>
      <c r="AD61" s="71">
        <f t="shared" si="6"/>
        <v>21.36384395</v>
      </c>
      <c r="AE61" s="71">
        <f t="shared" si="7"/>
        <v>-9.3735</v>
      </c>
      <c r="AF61" s="71">
        <f t="shared" si="8"/>
        <v>-7.500244434</v>
      </c>
      <c r="AG61" s="868">
        <f t="shared" si="23"/>
        <v>34.72009952</v>
      </c>
      <c r="AH61" s="52">
        <f t="shared" si="9"/>
        <v>49.45916386</v>
      </c>
      <c r="AI61" s="73">
        <f t="shared" si="10"/>
        <v>19.14435238</v>
      </c>
      <c r="AJ61" s="73">
        <f t="shared" si="11"/>
        <v>47.68408057</v>
      </c>
      <c r="AK61" s="73"/>
      <c r="AL61" s="122">
        <f t="shared" si="12"/>
        <v>2145.181219</v>
      </c>
      <c r="AN61" s="3"/>
      <c r="AO61" s="3"/>
    </row>
    <row r="62" ht="15.75" customHeight="1">
      <c r="A62" s="839" t="s">
        <v>4658</v>
      </c>
      <c r="B62" s="841">
        <v>45583.0</v>
      </c>
      <c r="C62" s="870">
        <v>45579.0</v>
      </c>
      <c r="D62" s="2" t="s">
        <v>602</v>
      </c>
      <c r="E62" s="2">
        <v>2.0169040237E10</v>
      </c>
      <c r="F62" s="67" t="s">
        <v>4659</v>
      </c>
      <c r="G62" s="3">
        <v>32.0</v>
      </c>
      <c r="H62" s="2" t="s">
        <v>47</v>
      </c>
      <c r="I62" s="58">
        <v>3.01</v>
      </c>
      <c r="J62" s="58">
        <v>0.4</v>
      </c>
      <c r="K62" s="59">
        <f t="shared" si="1"/>
        <v>2.99796</v>
      </c>
      <c r="L62" s="60">
        <v>0.374</v>
      </c>
      <c r="M62" s="60">
        <v>0.355</v>
      </c>
      <c r="N62" s="75">
        <v>0.395</v>
      </c>
      <c r="O62" s="106">
        <f t="shared" si="14"/>
        <v>0.375</v>
      </c>
      <c r="P62" s="136">
        <v>90.0</v>
      </c>
      <c r="Q62" s="58">
        <v>89.84371524539388</v>
      </c>
      <c r="R62" s="70">
        <v>2654.9</v>
      </c>
      <c r="S62" s="3">
        <v>120.0</v>
      </c>
      <c r="T62" s="2"/>
      <c r="U62" s="2">
        <v>130.0</v>
      </c>
      <c r="V62" s="2">
        <v>1.1023</v>
      </c>
      <c r="W62" s="2"/>
      <c r="X62" s="2"/>
      <c r="Y62" s="68">
        <v>35.0</v>
      </c>
      <c r="Z62" s="69">
        <f t="shared" ref="Z62:Z71" si="25">IF(IF(D62="UNTUCA",IF(+((W62-3)*1.5+(X62-3)*3.1)&gt;0,+((W62-3)*1.5+(X62-3)*3.1),0),IF(+((W62-3)*1.5+(X62-3)*3.1)&gt;0,+((W62-3)*1.5+(X62-3)*3.1),0))&lt;30,30,IF(D62="UNTUCA",IF(+((W62-3)*1.5+(X62-3)*3.1)&gt;0,+((W62-3)*1.5+(X62-3)*3.1),0),IF(+((W62-3)*1.5+(X62-3)*3.1)&gt;0,+((W62-3)*1.5+(X62-3)*3.1),0)))</f>
        <v>30</v>
      </c>
      <c r="AA62" s="70">
        <f t="shared" si="4"/>
        <v>65</v>
      </c>
      <c r="AB62" s="71">
        <f t="shared" si="24"/>
        <v>735.4035786</v>
      </c>
      <c r="AC62" s="71">
        <f>+(S62-T62)*V62-'data 1'!$F$4</f>
        <v>52.276</v>
      </c>
      <c r="AD62" s="71">
        <f t="shared" si="6"/>
        <v>-1.626792671</v>
      </c>
      <c r="AE62" s="71">
        <f t="shared" si="7"/>
        <v>1.6495</v>
      </c>
      <c r="AF62" s="71">
        <f t="shared" si="8"/>
        <v>-2.50052783</v>
      </c>
      <c r="AG62" s="868">
        <f t="shared" si="23"/>
        <v>49.7981795</v>
      </c>
      <c r="AH62" s="52">
        <f t="shared" si="9"/>
        <v>34.53776325</v>
      </c>
      <c r="AI62" s="73">
        <f t="shared" si="10"/>
        <v>45.03940943</v>
      </c>
      <c r="AJ62" s="73">
        <f t="shared" si="11"/>
        <v>34.69034991</v>
      </c>
      <c r="AK62" s="73"/>
      <c r="AL62" s="122">
        <f t="shared" si="12"/>
        <v>2204.710513</v>
      </c>
      <c r="AN62" s="3"/>
      <c r="AO62" s="3"/>
    </row>
    <row r="63" ht="15.75" customHeight="1">
      <c r="A63" s="839" t="s">
        <v>4660</v>
      </c>
      <c r="B63" s="841">
        <v>45583.0</v>
      </c>
      <c r="C63" s="870">
        <v>45579.0</v>
      </c>
      <c r="D63" s="2" t="s">
        <v>602</v>
      </c>
      <c r="E63" s="2">
        <v>2.0169040237E10</v>
      </c>
      <c r="F63" s="67" t="s">
        <v>4659</v>
      </c>
      <c r="G63" s="3">
        <v>98.0</v>
      </c>
      <c r="H63" s="2" t="s">
        <v>47</v>
      </c>
      <c r="I63" s="58">
        <v>8.38</v>
      </c>
      <c r="J63" s="58">
        <v>0.4</v>
      </c>
      <c r="K63" s="59">
        <f t="shared" si="1"/>
        <v>8.34648</v>
      </c>
      <c r="L63" s="60">
        <v>0.552</v>
      </c>
      <c r="M63" s="60">
        <v>0.527</v>
      </c>
      <c r="N63" s="75">
        <v>0.573</v>
      </c>
      <c r="O63" s="106">
        <f t="shared" si="14"/>
        <v>0.55</v>
      </c>
      <c r="P63" s="136">
        <v>90.0</v>
      </c>
      <c r="Q63" s="58">
        <v>89.72914208439948</v>
      </c>
      <c r="R63" s="70">
        <v>2654.9</v>
      </c>
      <c r="S63" s="3">
        <v>140.0</v>
      </c>
      <c r="T63" s="2"/>
      <c r="U63" s="2">
        <v>130.0</v>
      </c>
      <c r="V63" s="2">
        <v>1.1023</v>
      </c>
      <c r="W63" s="2"/>
      <c r="X63" s="2"/>
      <c r="Y63" s="68">
        <v>35.0</v>
      </c>
      <c r="Z63" s="69">
        <f t="shared" si="25"/>
        <v>30</v>
      </c>
      <c r="AA63" s="70">
        <f t="shared" si="4"/>
        <v>65</v>
      </c>
      <c r="AB63" s="71">
        <f t="shared" si="24"/>
        <v>1151.711149</v>
      </c>
      <c r="AC63" s="71">
        <f>+(S63-T63)*V63-'data 1'!$F$4</f>
        <v>74.322</v>
      </c>
      <c r="AD63" s="71">
        <f t="shared" si="6"/>
        <v>-4.161257582</v>
      </c>
      <c r="AE63" s="71">
        <f t="shared" si="7"/>
        <v>1.6495</v>
      </c>
      <c r="AF63" s="71">
        <f t="shared" si="8"/>
        <v>4.994678066</v>
      </c>
      <c r="AG63" s="868">
        <f t="shared" si="23"/>
        <v>76.80492048</v>
      </c>
      <c r="AH63" s="52">
        <f t="shared" si="9"/>
        <v>141.737582</v>
      </c>
      <c r="AI63" s="73">
        <f t="shared" si="10"/>
        <v>66.39050551</v>
      </c>
      <c r="AJ63" s="73">
        <f t="shared" si="11"/>
        <v>141.6503413</v>
      </c>
      <c r="AK63" s="73"/>
      <c r="AL63" s="122">
        <f t="shared" si="12"/>
        <v>9612.734068</v>
      </c>
      <c r="AN63" s="3"/>
      <c r="AO63" s="3"/>
    </row>
    <row r="64" ht="15.75" customHeight="1">
      <c r="A64" s="839" t="s">
        <v>4661</v>
      </c>
      <c r="B64" s="841">
        <v>45583.0</v>
      </c>
      <c r="C64" s="870">
        <v>45579.0</v>
      </c>
      <c r="D64" s="2" t="s">
        <v>602</v>
      </c>
      <c r="E64" s="2">
        <v>2.0169040237E10</v>
      </c>
      <c r="F64" s="67" t="s">
        <v>4662</v>
      </c>
      <c r="G64" s="3">
        <v>14.0</v>
      </c>
      <c r="H64" s="2" t="s">
        <v>40</v>
      </c>
      <c r="I64" s="472">
        <v>0.93</v>
      </c>
      <c r="J64" s="58">
        <v>32.97</v>
      </c>
      <c r="K64" s="59">
        <f t="shared" si="1"/>
        <v>0.623379</v>
      </c>
      <c r="L64" s="60">
        <v>0.359</v>
      </c>
      <c r="M64" s="60">
        <v>0.345</v>
      </c>
      <c r="N64" s="62">
        <v>0.345</v>
      </c>
      <c r="O64" s="60">
        <f t="shared" si="14"/>
        <v>0.345</v>
      </c>
      <c r="P64" s="136">
        <v>90.0</v>
      </c>
      <c r="Q64" s="58">
        <v>89.89851371257573</v>
      </c>
      <c r="R64" s="70">
        <v>2654.9</v>
      </c>
      <c r="S64" s="3">
        <v>130.0</v>
      </c>
      <c r="T64" s="2"/>
      <c r="U64" s="2">
        <v>130.0</v>
      </c>
      <c r="V64" s="2">
        <v>1.1023</v>
      </c>
      <c r="W64" s="2"/>
      <c r="X64" s="2"/>
      <c r="Y64" s="68">
        <v>30.0</v>
      </c>
      <c r="Z64" s="69">
        <f t="shared" si="25"/>
        <v>30</v>
      </c>
      <c r="AA64" s="70">
        <f t="shared" si="4"/>
        <v>60</v>
      </c>
      <c r="AB64" s="71">
        <f t="shared" si="24"/>
        <v>654.7457523</v>
      </c>
      <c r="AC64" s="71">
        <f>+(S64-T64)*V64-'data 1'!$F$4</f>
        <v>63.299</v>
      </c>
      <c r="AD64" s="71">
        <f t="shared" si="6"/>
        <v>-1.014018326</v>
      </c>
      <c r="AE64" s="71">
        <f t="shared" si="7"/>
        <v>-3.862</v>
      </c>
      <c r="AF64" s="71">
        <f t="shared" si="8"/>
        <v>35.02874171</v>
      </c>
      <c r="AG64" s="868">
        <f t="shared" si="23"/>
        <v>93.45172339</v>
      </c>
      <c r="AH64" s="52">
        <f t="shared" si="9"/>
        <v>6.897761873</v>
      </c>
      <c r="AI64" s="73">
        <f t="shared" si="10"/>
        <v>43.25938516</v>
      </c>
      <c r="AJ64" s="73">
        <f t="shared" si="11"/>
        <v>6.63625158</v>
      </c>
      <c r="AK64" s="73"/>
      <c r="AL64" s="122">
        <f t="shared" si="12"/>
        <v>408.1547523</v>
      </c>
      <c r="AN64" s="3"/>
      <c r="AO64" s="3"/>
    </row>
    <row r="65" ht="15.75" customHeight="1">
      <c r="A65" s="839" t="s">
        <v>4663</v>
      </c>
      <c r="B65" s="841">
        <v>45583.0</v>
      </c>
      <c r="C65" s="870">
        <v>45579.0</v>
      </c>
      <c r="D65" s="2" t="s">
        <v>602</v>
      </c>
      <c r="E65" s="2">
        <v>2.0169040237E10</v>
      </c>
      <c r="F65" s="67" t="s">
        <v>4662</v>
      </c>
      <c r="G65" s="3">
        <v>3.0</v>
      </c>
      <c r="H65" s="2" t="s">
        <v>47</v>
      </c>
      <c r="I65" s="58">
        <v>0.27</v>
      </c>
      <c r="J65" s="58">
        <v>1.1</v>
      </c>
      <c r="K65" s="59">
        <f t="shared" si="1"/>
        <v>0.26703</v>
      </c>
      <c r="L65" s="60">
        <v>0.253</v>
      </c>
      <c r="M65" s="60">
        <v>0.24</v>
      </c>
      <c r="N65" s="62">
        <v>0.24</v>
      </c>
      <c r="O65" s="60">
        <f t="shared" si="14"/>
        <v>0.24</v>
      </c>
      <c r="P65" s="136">
        <v>90.0</v>
      </c>
      <c r="Q65" s="58">
        <v>89.79058332371973</v>
      </c>
      <c r="R65" s="70">
        <v>2654.9</v>
      </c>
      <c r="S65" s="3">
        <v>120.0</v>
      </c>
      <c r="T65" s="2"/>
      <c r="U65" s="2">
        <v>130.0</v>
      </c>
      <c r="V65" s="2">
        <v>1.1023</v>
      </c>
      <c r="W65" s="2"/>
      <c r="X65" s="2"/>
      <c r="Y65" s="68">
        <v>30.0</v>
      </c>
      <c r="Z65" s="69">
        <f t="shared" si="25"/>
        <v>30</v>
      </c>
      <c r="AA65" s="70">
        <f t="shared" si="4"/>
        <v>60</v>
      </c>
      <c r="AB65" s="71">
        <f t="shared" si="24"/>
        <v>402.7566103</v>
      </c>
      <c r="AC65" s="71">
        <f>+(S65-T65)*V65-'data 1'!$F$4</f>
        <v>52.276</v>
      </c>
      <c r="AD65" s="71">
        <f t="shared" si="6"/>
        <v>-1.474605242</v>
      </c>
      <c r="AE65" s="71">
        <f t="shared" si="7"/>
        <v>-3.862</v>
      </c>
      <c r="AF65" s="71">
        <f t="shared" si="8"/>
        <v>32.48763783</v>
      </c>
      <c r="AG65" s="868">
        <f t="shared" si="23"/>
        <v>79.42703259</v>
      </c>
      <c r="AH65" s="52">
        <f t="shared" si="9"/>
        <v>2.079794566</v>
      </c>
      <c r="AI65" s="73">
        <f t="shared" si="10"/>
        <v>30.44981767</v>
      </c>
      <c r="AJ65" s="73">
        <f t="shared" si="11"/>
        <v>1.977529069</v>
      </c>
      <c r="AK65" s="73"/>
      <c r="AL65" s="122">
        <f t="shared" si="12"/>
        <v>107.5480977</v>
      </c>
      <c r="AN65" s="3"/>
      <c r="AO65" s="3"/>
    </row>
    <row r="66" ht="15.75" customHeight="1">
      <c r="A66" s="839" t="s">
        <v>4664</v>
      </c>
      <c r="B66" s="841">
        <v>45583.0</v>
      </c>
      <c r="C66" s="870">
        <v>45579.0</v>
      </c>
      <c r="D66" s="2" t="s">
        <v>602</v>
      </c>
      <c r="E66" s="2">
        <v>2.0169040237E10</v>
      </c>
      <c r="F66" s="67" t="s">
        <v>4665</v>
      </c>
      <c r="G66" s="3">
        <v>12.0</v>
      </c>
      <c r="H66" s="2" t="s">
        <v>47</v>
      </c>
      <c r="I66" s="58">
        <v>1.0</v>
      </c>
      <c r="J66" s="58">
        <v>1.2</v>
      </c>
      <c r="K66" s="59">
        <f t="shared" si="1"/>
        <v>0.988</v>
      </c>
      <c r="L66" s="60">
        <v>0.238</v>
      </c>
      <c r="M66" s="60">
        <v>0.226</v>
      </c>
      <c r="N66" s="62">
        <v>0.226</v>
      </c>
      <c r="O66" s="60">
        <f t="shared" si="14"/>
        <v>0.226</v>
      </c>
      <c r="P66" s="136">
        <v>90.0</v>
      </c>
      <c r="Q66" s="58">
        <v>89.44630790919254</v>
      </c>
      <c r="R66" s="70">
        <v>2654.9</v>
      </c>
      <c r="S66" s="3">
        <v>120.0</v>
      </c>
      <c r="T66" s="2"/>
      <c r="U66" s="2">
        <v>130.0</v>
      </c>
      <c r="V66" s="2">
        <v>1.1023</v>
      </c>
      <c r="W66" s="2"/>
      <c r="X66" s="2"/>
      <c r="Y66" s="68">
        <v>30.0</v>
      </c>
      <c r="Z66" s="69">
        <f t="shared" si="25"/>
        <v>30</v>
      </c>
      <c r="AA66" s="70">
        <f t="shared" si="4"/>
        <v>60</v>
      </c>
      <c r="AB66" s="71">
        <f t="shared" si="24"/>
        <v>367.6883247</v>
      </c>
      <c r="AC66" s="71">
        <f>+(S66-T66)*V66-'data 1'!$F$4</f>
        <v>52.276</v>
      </c>
      <c r="AD66" s="71">
        <f t="shared" si="6"/>
        <v>-3.667661671</v>
      </c>
      <c r="AE66" s="71">
        <f t="shared" si="7"/>
        <v>-3.862</v>
      </c>
      <c r="AF66" s="71">
        <f t="shared" si="8"/>
        <v>29.8736064</v>
      </c>
      <c r="AG66" s="868">
        <f t="shared" si="23"/>
        <v>74.61994473</v>
      </c>
      <c r="AH66" s="52">
        <f t="shared" si="9"/>
        <v>7.211164284</v>
      </c>
      <c r="AI66" s="73">
        <f t="shared" si="10"/>
        <v>28.53466368</v>
      </c>
      <c r="AJ66" s="73">
        <f t="shared" si="11"/>
        <v>6.889964154</v>
      </c>
      <c r="AK66" s="73"/>
      <c r="AL66" s="122">
        <f t="shared" si="12"/>
        <v>363.2760648</v>
      </c>
      <c r="AN66" s="3"/>
      <c r="AO66" s="3"/>
    </row>
    <row r="67" ht="15.75" customHeight="1">
      <c r="A67" s="839" t="s">
        <v>4666</v>
      </c>
      <c r="B67" s="841">
        <v>45585.0</v>
      </c>
      <c r="C67" s="870">
        <v>45583.0</v>
      </c>
      <c r="D67" s="2" t="s">
        <v>602</v>
      </c>
      <c r="E67" s="2">
        <v>2.0169040237E10</v>
      </c>
      <c r="F67" s="67" t="s">
        <v>4667</v>
      </c>
      <c r="G67" s="3">
        <v>110.0</v>
      </c>
      <c r="H67" s="2" t="s">
        <v>47</v>
      </c>
      <c r="I67" s="58">
        <v>9.64</v>
      </c>
      <c r="J67" s="58">
        <v>1.1</v>
      </c>
      <c r="K67" s="59">
        <f t="shared" si="1"/>
        <v>9.53396</v>
      </c>
      <c r="L67" s="60">
        <v>0.302</v>
      </c>
      <c r="M67" s="75">
        <v>0.301</v>
      </c>
      <c r="N67" s="75">
        <v>0.301</v>
      </c>
      <c r="O67" s="60">
        <f t="shared" si="14"/>
        <v>0.301</v>
      </c>
      <c r="P67" s="136">
        <v>90.0</v>
      </c>
      <c r="Q67" s="58">
        <v>89.23</v>
      </c>
      <c r="R67" s="70">
        <v>2701.6</v>
      </c>
      <c r="S67" s="3">
        <v>120.0</v>
      </c>
      <c r="U67" s="2">
        <v>130.0</v>
      </c>
      <c r="V67" s="197">
        <v>1.1023</v>
      </c>
      <c r="Y67" s="68">
        <v>30.0</v>
      </c>
      <c r="Z67" s="69">
        <f t="shared" si="25"/>
        <v>30</v>
      </c>
      <c r="AA67" s="70">
        <f t="shared" si="4"/>
        <v>60</v>
      </c>
      <c r="AB67" s="71">
        <f t="shared" si="24"/>
        <v>569.4993708</v>
      </c>
      <c r="AC67" s="71">
        <f>+(S67-T67)*V67-'data 1'!$F$4</f>
        <v>52.276</v>
      </c>
      <c r="AD67" s="71">
        <f t="shared" si="6"/>
        <v>-6.591752501</v>
      </c>
      <c r="AE67" s="71">
        <f t="shared" si="7"/>
        <v>-3.862</v>
      </c>
      <c r="AF67" s="71">
        <f t="shared" si="8"/>
        <v>2.529380217</v>
      </c>
      <c r="AG67" s="868">
        <f t="shared" si="23"/>
        <v>44.35162772</v>
      </c>
      <c r="AH67" s="52">
        <f t="shared" si="9"/>
        <v>88.08464953</v>
      </c>
      <c r="AI67" s="73">
        <f t="shared" si="10"/>
        <v>22.24843468</v>
      </c>
      <c r="AJ67" s="73">
        <f t="shared" si="11"/>
        <v>88.55057789</v>
      </c>
      <c r="AK67" s="73"/>
      <c r="AL67" s="122">
        <f t="shared" si="12"/>
        <v>5429.584221</v>
      </c>
      <c r="AN67" s="3"/>
      <c r="AO67" s="3"/>
    </row>
    <row r="68" ht="15.75" customHeight="1">
      <c r="A68" s="839" t="s">
        <v>4668</v>
      </c>
      <c r="B68" s="841">
        <v>45585.0</v>
      </c>
      <c r="C68" s="870">
        <v>45583.0</v>
      </c>
      <c r="D68" s="2" t="s">
        <v>602</v>
      </c>
      <c r="E68" s="2">
        <v>2.0169040237E10</v>
      </c>
      <c r="F68" s="67" t="s">
        <v>4667</v>
      </c>
      <c r="G68" s="3">
        <v>111.0</v>
      </c>
      <c r="H68" s="2" t="s">
        <v>47</v>
      </c>
      <c r="I68" s="58">
        <v>9.87</v>
      </c>
      <c r="J68" s="58">
        <v>1.2</v>
      </c>
      <c r="K68" s="59">
        <f t="shared" si="1"/>
        <v>9.75156</v>
      </c>
      <c r="L68" s="60">
        <v>0.22</v>
      </c>
      <c r="M68" s="75">
        <v>0.217</v>
      </c>
      <c r="N68" s="75">
        <v>0.217</v>
      </c>
      <c r="O68" s="60">
        <f t="shared" si="14"/>
        <v>0.217</v>
      </c>
      <c r="P68" s="136">
        <v>90.0</v>
      </c>
      <c r="Q68" s="58">
        <v>89.45</v>
      </c>
      <c r="R68" s="70">
        <v>2701.6</v>
      </c>
      <c r="S68" s="3">
        <v>110.0</v>
      </c>
      <c r="U68" s="2">
        <v>130.0</v>
      </c>
      <c r="V68" s="2">
        <v>1.1023</v>
      </c>
      <c r="Y68" s="68">
        <v>30.0</v>
      </c>
      <c r="Z68" s="69">
        <f t="shared" si="25"/>
        <v>30</v>
      </c>
      <c r="AA68" s="70">
        <f t="shared" si="4"/>
        <v>60</v>
      </c>
      <c r="AB68" s="71">
        <f t="shared" si="24"/>
        <v>366.220965</v>
      </c>
      <c r="AC68" s="71">
        <f>+(S68-T68)*V68-'data 1'!$F$4</f>
        <v>41.253</v>
      </c>
      <c r="AD68" s="71">
        <f t="shared" si="6"/>
        <v>-3.429956363</v>
      </c>
      <c r="AE68" s="71">
        <f t="shared" si="7"/>
        <v>-3.862</v>
      </c>
      <c r="AF68" s="71">
        <f t="shared" si="8"/>
        <v>7.606849504</v>
      </c>
      <c r="AG68" s="868">
        <f t="shared" si="23"/>
        <v>41.56789314</v>
      </c>
      <c r="AH68" s="52">
        <f t="shared" si="9"/>
        <v>65.79398512</v>
      </c>
      <c r="AI68" s="73">
        <f t="shared" si="10"/>
        <v>16.24742911</v>
      </c>
      <c r="AJ68" s="73">
        <f t="shared" si="11"/>
        <v>65.29582445</v>
      </c>
      <c r="AK68" s="73"/>
      <c r="AL68" s="122">
        <f t="shared" si="12"/>
        <v>3571.225713</v>
      </c>
      <c r="AN68" s="3"/>
      <c r="AO68" s="3"/>
    </row>
    <row r="69" ht="15.75" customHeight="1">
      <c r="A69" s="839" t="s">
        <v>4669</v>
      </c>
      <c r="B69" s="841">
        <v>45585.0</v>
      </c>
      <c r="C69" s="870">
        <v>45583.0</v>
      </c>
      <c r="D69" s="2" t="s">
        <v>602</v>
      </c>
      <c r="E69" s="2">
        <v>2.0169040237E10</v>
      </c>
      <c r="F69" s="67" t="s">
        <v>4670</v>
      </c>
      <c r="G69" s="3">
        <v>36.0</v>
      </c>
      <c r="H69" s="2" t="s">
        <v>47</v>
      </c>
      <c r="I69" s="58">
        <v>3.81</v>
      </c>
      <c r="J69" s="58">
        <v>3.45</v>
      </c>
      <c r="K69" s="59">
        <f t="shared" si="1"/>
        <v>3.678555</v>
      </c>
      <c r="L69" s="60">
        <v>0.329</v>
      </c>
      <c r="M69" s="60">
        <v>0.309</v>
      </c>
      <c r="N69" s="62">
        <v>0.309</v>
      </c>
      <c r="O69" s="60">
        <f t="shared" si="14"/>
        <v>0.309</v>
      </c>
      <c r="P69" s="136">
        <v>90.0</v>
      </c>
      <c r="Q69" s="58">
        <v>89.33</v>
      </c>
      <c r="R69" s="70">
        <v>2701.6</v>
      </c>
      <c r="S69" s="3">
        <v>110.0</v>
      </c>
      <c r="U69" s="2">
        <v>130.0</v>
      </c>
      <c r="V69" s="2">
        <v>1.1023</v>
      </c>
      <c r="Y69" s="68">
        <v>20.0</v>
      </c>
      <c r="Z69" s="69">
        <f t="shared" si="25"/>
        <v>30</v>
      </c>
      <c r="AA69" s="70">
        <f t="shared" si="4"/>
        <v>50</v>
      </c>
      <c r="AB69" s="71">
        <f t="shared" si="24"/>
        <v>611.9550285</v>
      </c>
      <c r="AC69" s="71">
        <f>+(S69-T69)*V69-'data 1'!$F$4</f>
        <v>41.253</v>
      </c>
      <c r="AD69" s="71">
        <f t="shared" si="6"/>
        <v>-6.248473397</v>
      </c>
      <c r="AE69" s="71">
        <f t="shared" si="7"/>
        <v>-14.885</v>
      </c>
      <c r="AF69" s="71">
        <f t="shared" si="8"/>
        <v>50.64429783</v>
      </c>
      <c r="AG69" s="868">
        <f t="shared" si="23"/>
        <v>70.76382444</v>
      </c>
      <c r="AH69" s="52">
        <f t="shared" si="9"/>
        <v>37.06632719</v>
      </c>
      <c r="AI69" s="73">
        <f t="shared" si="10"/>
        <v>24.26469614</v>
      </c>
      <c r="AJ69" s="73">
        <f t="shared" si="11"/>
        <v>35.07416268</v>
      </c>
      <c r="AK69" s="73"/>
      <c r="AL69" s="122">
        <f t="shared" si="12"/>
        <v>2251.11023</v>
      </c>
      <c r="AN69" s="3"/>
      <c r="AO69" s="3"/>
    </row>
    <row r="70" ht="15.75" customHeight="1">
      <c r="A70" s="839" t="s">
        <v>4671</v>
      </c>
      <c r="B70" s="841">
        <v>45585.0</v>
      </c>
      <c r="C70" s="870">
        <v>45583.0</v>
      </c>
      <c r="D70" s="2" t="s">
        <v>602</v>
      </c>
      <c r="E70" s="2">
        <v>2.0169040237E10</v>
      </c>
      <c r="F70" s="67" t="s">
        <v>4670</v>
      </c>
      <c r="G70" s="3">
        <v>45.0</v>
      </c>
      <c r="H70" s="2" t="s">
        <v>47</v>
      </c>
      <c r="I70" s="58">
        <v>4.23</v>
      </c>
      <c r="J70" s="58">
        <v>1.2</v>
      </c>
      <c r="K70" s="59">
        <f t="shared" si="1"/>
        <v>4.17924</v>
      </c>
      <c r="L70" s="60">
        <v>0.215</v>
      </c>
      <c r="M70" s="60">
        <v>0.204</v>
      </c>
      <c r="N70" s="62">
        <v>0.204</v>
      </c>
      <c r="O70" s="60">
        <f t="shared" si="14"/>
        <v>0.204</v>
      </c>
      <c r="P70" s="136">
        <v>90.0</v>
      </c>
      <c r="Q70" s="58">
        <v>89.74</v>
      </c>
      <c r="R70" s="70">
        <v>2701.6</v>
      </c>
      <c r="S70" s="3">
        <v>100.0</v>
      </c>
      <c r="U70" s="2">
        <v>130.0</v>
      </c>
      <c r="V70" s="2">
        <v>1.1023</v>
      </c>
      <c r="Y70" s="68">
        <v>20.0</v>
      </c>
      <c r="Z70" s="69">
        <f t="shared" si="25"/>
        <v>30</v>
      </c>
      <c r="AA70" s="70">
        <f t="shared" si="4"/>
        <v>50</v>
      </c>
      <c r="AB70" s="71">
        <f t="shared" si="24"/>
        <v>355.1012712</v>
      </c>
      <c r="AC70" s="71">
        <f>+(S70-T70)*V70-'data 1'!$F$4</f>
        <v>30.23</v>
      </c>
      <c r="AD70" s="71">
        <f t="shared" si="6"/>
        <v>-1.584583146</v>
      </c>
      <c r="AE70" s="71">
        <f t="shared" si="7"/>
        <v>-14.885</v>
      </c>
      <c r="AF70" s="71">
        <f t="shared" si="8"/>
        <v>27.98220764</v>
      </c>
      <c r="AG70" s="868">
        <f t="shared" si="23"/>
        <v>41.74262449</v>
      </c>
      <c r="AH70" s="52">
        <f t="shared" si="9"/>
        <v>27.64591105</v>
      </c>
      <c r="AI70" s="73">
        <f t="shared" si="10"/>
        <v>15.92964694</v>
      </c>
      <c r="AJ70" s="73">
        <f t="shared" si="11"/>
        <v>26.30746844</v>
      </c>
      <c r="AK70" s="73"/>
      <c r="AL70" s="122">
        <f t="shared" si="12"/>
        <v>1484.053437</v>
      </c>
      <c r="AN70" s="3"/>
      <c r="AO70" s="3"/>
    </row>
    <row r="71" ht="15.75" customHeight="1">
      <c r="A71" s="839" t="s">
        <v>4672</v>
      </c>
      <c r="B71" s="841">
        <v>45585.0</v>
      </c>
      <c r="C71" s="870">
        <v>45583.0</v>
      </c>
      <c r="D71" s="2" t="s">
        <v>602</v>
      </c>
      <c r="E71" s="2">
        <v>2.0169040237E10</v>
      </c>
      <c r="F71" s="67" t="s">
        <v>4673</v>
      </c>
      <c r="G71" s="3">
        <v>22.0</v>
      </c>
      <c r="H71" s="2" t="s">
        <v>47</v>
      </c>
      <c r="I71" s="58">
        <v>1.9</v>
      </c>
      <c r="J71" s="58">
        <v>1.25</v>
      </c>
      <c r="K71" s="59">
        <f t="shared" si="1"/>
        <v>1.87625</v>
      </c>
      <c r="L71" s="60">
        <v>0.503</v>
      </c>
      <c r="M71" s="60">
        <v>0.477</v>
      </c>
      <c r="N71" s="62">
        <v>0.477</v>
      </c>
      <c r="O71" s="60">
        <f t="shared" si="14"/>
        <v>0.477</v>
      </c>
      <c r="P71" s="136">
        <v>90.0</v>
      </c>
      <c r="Q71" s="58">
        <v>89.11</v>
      </c>
      <c r="R71" s="70">
        <v>2701.6</v>
      </c>
      <c r="S71" s="3">
        <v>130.0</v>
      </c>
      <c r="U71" s="2">
        <v>130.0</v>
      </c>
      <c r="V71" s="2">
        <v>1.1023</v>
      </c>
      <c r="Y71" s="68">
        <v>20.0</v>
      </c>
      <c r="Z71" s="69">
        <f t="shared" si="25"/>
        <v>30</v>
      </c>
      <c r="AA71" s="70">
        <f t="shared" si="4"/>
        <v>50</v>
      </c>
      <c r="AB71" s="71">
        <f t="shared" si="24"/>
        <v>1018.51184</v>
      </c>
      <c r="AC71" s="71">
        <f>+(S71-T71)*V71-'data 1'!$F$4</f>
        <v>63.299</v>
      </c>
      <c r="AD71" s="71">
        <f t="shared" si="6"/>
        <v>-12.68998814</v>
      </c>
      <c r="AE71" s="71">
        <f t="shared" si="7"/>
        <v>-14.885</v>
      </c>
      <c r="AF71" s="71">
        <f t="shared" si="8"/>
        <v>65.67544379</v>
      </c>
      <c r="AG71" s="868">
        <f t="shared" si="23"/>
        <v>101.3994557</v>
      </c>
      <c r="AH71" s="52">
        <f t="shared" si="9"/>
        <v>28.83329021</v>
      </c>
      <c r="AI71" s="73">
        <f t="shared" si="10"/>
        <v>37.00633311</v>
      </c>
      <c r="AJ71" s="73">
        <f t="shared" si="11"/>
        <v>27.61599294</v>
      </c>
      <c r="AK71" s="73"/>
      <c r="AL71" s="122">
        <f t="shared" si="12"/>
        <v>1910.98284</v>
      </c>
      <c r="AN71" s="3"/>
      <c r="AO71" s="3"/>
    </row>
    <row r="72" ht="15.75" customHeight="1">
      <c r="A72" s="839" t="s">
        <v>4674</v>
      </c>
      <c r="B72" s="841">
        <v>45594.0</v>
      </c>
      <c r="C72" s="870">
        <v>45584.0</v>
      </c>
      <c r="D72" s="2" t="s">
        <v>74</v>
      </c>
      <c r="E72" s="2">
        <v>1.0082235774E10</v>
      </c>
      <c r="F72" s="2"/>
      <c r="G72" s="3">
        <v>26.0</v>
      </c>
      <c r="H72" s="2" t="s">
        <v>47</v>
      </c>
      <c r="I72" s="58">
        <v>2.38</v>
      </c>
      <c r="J72" s="58">
        <v>1.0</v>
      </c>
      <c r="K72" s="59">
        <f t="shared" si="1"/>
        <v>2.3562</v>
      </c>
      <c r="L72" s="60">
        <v>0.177</v>
      </c>
      <c r="M72" s="60">
        <v>0.168</v>
      </c>
      <c r="N72" s="62">
        <v>0.168</v>
      </c>
      <c r="O72" s="60">
        <f t="shared" si="14"/>
        <v>0.168</v>
      </c>
      <c r="P72" s="136">
        <v>85.0</v>
      </c>
      <c r="Q72" s="58">
        <v>89.45</v>
      </c>
      <c r="R72" s="70">
        <v>2712.5</v>
      </c>
      <c r="S72" s="3">
        <v>95.0</v>
      </c>
      <c r="U72" s="2">
        <v>80.0</v>
      </c>
      <c r="V72" s="2">
        <v>1.1023</v>
      </c>
      <c r="Y72" s="68"/>
      <c r="Z72" s="77">
        <v>10.0</v>
      </c>
      <c r="AA72" s="70">
        <f t="shared" si="4"/>
        <v>10</v>
      </c>
      <c r="AB72" s="71">
        <f t="shared" si="24"/>
        <v>298.6362183</v>
      </c>
      <c r="AC72" s="71">
        <f>+(S72-T72)*V72-'data 1'!$F$4</f>
        <v>24.7185</v>
      </c>
      <c r="AD72" s="71">
        <f t="shared" si="6"/>
        <v>22.85606511</v>
      </c>
      <c r="AE72" s="71">
        <f t="shared" si="7"/>
        <v>-58.977</v>
      </c>
      <c r="AF72" s="71">
        <f t="shared" si="8"/>
        <v>23.36097914</v>
      </c>
      <c r="AG72" s="868">
        <f t="shared" ref="AG72:AG77" si="26">+IF(D72="RONALD WILLIAN GARIBAY ESCUDERO",AC72+AD72+AE72+AF72+80,AC72+AD72+AE72+AF72)+90</f>
        <v>101.9585443</v>
      </c>
      <c r="AH72" s="52">
        <f t="shared" si="9"/>
        <v>12.79012627</v>
      </c>
      <c r="AI72" s="73">
        <f t="shared" si="10"/>
        <v>2.443326213</v>
      </c>
      <c r="AJ72" s="73">
        <f t="shared" si="11"/>
        <v>11.53584543</v>
      </c>
      <c r="AK72" s="73"/>
      <c r="AL72" s="122">
        <f t="shared" si="12"/>
        <v>703.6466576</v>
      </c>
      <c r="AN72" s="3"/>
      <c r="AO72" s="3"/>
    </row>
    <row r="73" ht="15.75" customHeight="1">
      <c r="A73" s="839" t="s">
        <v>4675</v>
      </c>
      <c r="B73" s="841">
        <v>45594.0</v>
      </c>
      <c r="C73" s="870">
        <v>45584.0</v>
      </c>
      <c r="D73" s="2" t="s">
        <v>74</v>
      </c>
      <c r="E73" s="2">
        <v>1.0082235774E10</v>
      </c>
      <c r="G73" s="3">
        <v>61.0</v>
      </c>
      <c r="H73" s="2" t="s">
        <v>47</v>
      </c>
      <c r="I73" s="58">
        <v>5.04</v>
      </c>
      <c r="J73" s="58">
        <v>1.1</v>
      </c>
      <c r="K73" s="59">
        <f t="shared" si="1"/>
        <v>4.98456</v>
      </c>
      <c r="L73" s="60">
        <v>0.709</v>
      </c>
      <c r="M73" s="60">
        <v>0.674</v>
      </c>
      <c r="N73" s="75">
        <v>0.781</v>
      </c>
      <c r="O73" s="60">
        <f t="shared" si="14"/>
        <v>0.728</v>
      </c>
      <c r="P73" s="136">
        <v>90.0</v>
      </c>
      <c r="Q73" s="58">
        <v>89.26</v>
      </c>
      <c r="R73" s="70">
        <v>2712.5</v>
      </c>
      <c r="S73" s="3">
        <v>125.0</v>
      </c>
      <c r="U73" s="2">
        <v>80.0</v>
      </c>
      <c r="V73" s="2">
        <v>1.1023</v>
      </c>
      <c r="Y73" s="68"/>
      <c r="Z73" s="77">
        <v>10.0</v>
      </c>
      <c r="AA73" s="70">
        <f t="shared" si="4"/>
        <v>10</v>
      </c>
      <c r="AB73" s="71">
        <f t="shared" si="24"/>
        <v>1752.451972</v>
      </c>
      <c r="AC73" s="71">
        <f>+(S73-T73)*V73-'data 1'!$F$4</f>
        <v>57.7875</v>
      </c>
      <c r="AD73" s="71">
        <f t="shared" si="6"/>
        <v>-15.2246088</v>
      </c>
      <c r="AE73" s="71">
        <f t="shared" si="7"/>
        <v>-58.977</v>
      </c>
      <c r="AF73" s="71">
        <f t="shared" si="8"/>
        <v>-49.21286748</v>
      </c>
      <c r="AG73" s="868">
        <f t="shared" si="26"/>
        <v>24.37302372</v>
      </c>
      <c r="AH73" s="52">
        <f t="shared" si="9"/>
        <v>108.1531107</v>
      </c>
      <c r="AI73" s="73">
        <f t="shared" si="10"/>
        <v>9.766320239</v>
      </c>
      <c r="AJ73" s="73">
        <f t="shared" si="11"/>
        <v>111.9720904</v>
      </c>
      <c r="AK73" s="73"/>
      <c r="AL73" s="122">
        <f t="shared" si="12"/>
        <v>8735.202003</v>
      </c>
      <c r="AN73" s="3"/>
      <c r="AO73" s="3"/>
    </row>
    <row r="74" ht="15.75" customHeight="1">
      <c r="A74" s="839" t="s">
        <v>4676</v>
      </c>
      <c r="B74" s="841">
        <v>45594.0</v>
      </c>
      <c r="C74" s="870">
        <v>45584.0</v>
      </c>
      <c r="D74" s="2" t="s">
        <v>74</v>
      </c>
      <c r="E74" s="2">
        <v>1.0082235774E10</v>
      </c>
      <c r="G74" s="3">
        <v>61.0</v>
      </c>
      <c r="H74" s="2" t="s">
        <v>47</v>
      </c>
      <c r="I74" s="58">
        <v>5.31</v>
      </c>
      <c r="J74" s="58">
        <v>1.0</v>
      </c>
      <c r="K74" s="59">
        <f t="shared" si="1"/>
        <v>5.2569</v>
      </c>
      <c r="L74" s="60">
        <v>0.45199999999999996</v>
      </c>
      <c r="M74" s="60">
        <v>0.4246499999999999</v>
      </c>
      <c r="N74" s="75">
        <v>0.471</v>
      </c>
      <c r="O74" s="60">
        <f t="shared" si="14"/>
        <v>0.448</v>
      </c>
      <c r="P74" s="136">
        <v>90.0</v>
      </c>
      <c r="Q74" s="58">
        <v>89.13</v>
      </c>
      <c r="R74" s="70">
        <v>2712.5</v>
      </c>
      <c r="S74" s="3">
        <v>115.0</v>
      </c>
      <c r="U74" s="2">
        <v>80.0</v>
      </c>
      <c r="V74" s="2">
        <v>1.1023</v>
      </c>
      <c r="Y74" s="68"/>
      <c r="Z74" s="77">
        <v>10.0</v>
      </c>
      <c r="AA74" s="70">
        <f t="shared" si="4"/>
        <v>10</v>
      </c>
      <c r="AB74" s="71">
        <f t="shared" si="24"/>
        <v>1032.220175</v>
      </c>
      <c r="AC74" s="71">
        <f>+(S74-T74)*V74-'data 1'!$F$4</f>
        <v>46.7645</v>
      </c>
      <c r="AD74" s="71">
        <f t="shared" si="6"/>
        <v>-11.411057</v>
      </c>
      <c r="AE74" s="71">
        <f t="shared" si="7"/>
        <v>-58.977</v>
      </c>
      <c r="AF74" s="71">
        <f t="shared" si="8"/>
        <v>10.34551429</v>
      </c>
      <c r="AG74" s="868">
        <f t="shared" si="26"/>
        <v>76.7219573</v>
      </c>
      <c r="AH74" s="52">
        <f t="shared" si="9"/>
        <v>72.61078405</v>
      </c>
      <c r="AI74" s="73">
        <f t="shared" si="10"/>
        <v>6.217133377</v>
      </c>
      <c r="AJ74" s="73">
        <f t="shared" si="11"/>
        <v>72.67069412</v>
      </c>
      <c r="AK74" s="73"/>
      <c r="AL74" s="122">
        <f t="shared" si="12"/>
        <v>5426.278239</v>
      </c>
      <c r="AN74" s="3"/>
      <c r="AO74" s="3"/>
    </row>
    <row r="75" ht="15.75" customHeight="1">
      <c r="A75" s="839" t="s">
        <v>4677</v>
      </c>
      <c r="B75" s="841">
        <v>45594.0</v>
      </c>
      <c r="C75" s="870">
        <v>45584.0</v>
      </c>
      <c r="D75" s="2" t="s">
        <v>74</v>
      </c>
      <c r="E75" s="2">
        <v>1.0082235774E10</v>
      </c>
      <c r="G75" s="3">
        <v>62.0</v>
      </c>
      <c r="H75" s="2" t="s">
        <v>47</v>
      </c>
      <c r="I75" s="58">
        <v>5.3</v>
      </c>
      <c r="J75" s="58">
        <v>1.2</v>
      </c>
      <c r="K75" s="59">
        <f t="shared" si="1"/>
        <v>5.2364</v>
      </c>
      <c r="L75" s="60">
        <v>0.17</v>
      </c>
      <c r="M75" s="60">
        <v>0.161</v>
      </c>
      <c r="N75" s="75">
        <v>0.199</v>
      </c>
      <c r="O75" s="60">
        <f t="shared" si="14"/>
        <v>0.18</v>
      </c>
      <c r="P75" s="136">
        <v>85.0</v>
      </c>
      <c r="Q75" s="58">
        <v>89.56</v>
      </c>
      <c r="R75" s="70">
        <v>2712.5</v>
      </c>
      <c r="S75" s="3">
        <v>95.0</v>
      </c>
      <c r="U75" s="2">
        <v>80.0</v>
      </c>
      <c r="V75" s="2">
        <v>1.1023</v>
      </c>
      <c r="Y75" s="68"/>
      <c r="Z75" s="77">
        <v>10.0</v>
      </c>
      <c r="AA75" s="70">
        <f t="shared" si="4"/>
        <v>10</v>
      </c>
      <c r="AB75" s="71">
        <f t="shared" si="24"/>
        <v>328.2346268</v>
      </c>
      <c r="AC75" s="71">
        <f>+(S75-T75)*V75-'data 1'!$F$4</f>
        <v>24.7185</v>
      </c>
      <c r="AD75" s="71">
        <f t="shared" si="6"/>
        <v>22.49479042</v>
      </c>
      <c r="AE75" s="71">
        <f t="shared" si="7"/>
        <v>-58.977</v>
      </c>
      <c r="AF75" s="71">
        <f t="shared" si="8"/>
        <v>-25.98856334</v>
      </c>
      <c r="AG75" s="868">
        <f t="shared" si="26"/>
        <v>52.24772708</v>
      </c>
      <c r="AH75" s="52">
        <f t="shared" si="9"/>
        <v>27.33410698</v>
      </c>
      <c r="AI75" s="73">
        <f t="shared" si="10"/>
        <v>2.349583314</v>
      </c>
      <c r="AJ75" s="73">
        <f t="shared" si="11"/>
        <v>27.46839692</v>
      </c>
      <c r="AK75" s="73"/>
      <c r="AL75" s="122">
        <f t="shared" si="12"/>
        <v>1718.7678</v>
      </c>
      <c r="AN75" s="3"/>
      <c r="AO75" s="3"/>
    </row>
    <row r="76" ht="15.75" customHeight="1">
      <c r="A76" s="839" t="s">
        <v>4678</v>
      </c>
      <c r="B76" s="841">
        <v>45594.0</v>
      </c>
      <c r="C76" s="870">
        <v>45584.0</v>
      </c>
      <c r="D76" s="2" t="s">
        <v>74</v>
      </c>
      <c r="E76" s="2">
        <v>1.0082235774E10</v>
      </c>
      <c r="G76" s="3">
        <v>41.0</v>
      </c>
      <c r="H76" s="2" t="s">
        <v>47</v>
      </c>
      <c r="I76" s="58">
        <v>3.55</v>
      </c>
      <c r="J76" s="58">
        <v>1.1</v>
      </c>
      <c r="K76" s="59">
        <f t="shared" si="1"/>
        <v>3.51095</v>
      </c>
      <c r="L76" s="60">
        <v>0.256</v>
      </c>
      <c r="M76" s="60">
        <v>0.243</v>
      </c>
      <c r="N76" s="75">
        <v>0.271</v>
      </c>
      <c r="O76" s="60">
        <f t="shared" si="14"/>
        <v>0.257</v>
      </c>
      <c r="P76" s="136">
        <v>90.0</v>
      </c>
      <c r="Q76" s="58">
        <v>89.7</v>
      </c>
      <c r="R76" s="70">
        <v>2712.5</v>
      </c>
      <c r="S76" s="3">
        <v>105.0</v>
      </c>
      <c r="U76" s="2">
        <v>80.0</v>
      </c>
      <c r="V76" s="2">
        <v>1.1023</v>
      </c>
      <c r="Y76" s="68"/>
      <c r="Z76" s="77">
        <v>10.0</v>
      </c>
      <c r="AA76" s="70">
        <f t="shared" si="4"/>
        <v>10</v>
      </c>
      <c r="AB76" s="71">
        <f t="shared" si="24"/>
        <v>544.4229387</v>
      </c>
      <c r="AC76" s="71">
        <f>+(S76-T76)*V76-'data 1'!$F$4</f>
        <v>35.7415</v>
      </c>
      <c r="AD76" s="71">
        <f t="shared" si="6"/>
        <v>-2.228586048</v>
      </c>
      <c r="AE76" s="71">
        <f t="shared" si="7"/>
        <v>-58.977</v>
      </c>
      <c r="AF76" s="71">
        <f t="shared" si="8"/>
        <v>-2.602918861</v>
      </c>
      <c r="AG76" s="868">
        <f t="shared" si="26"/>
        <v>61.93299509</v>
      </c>
      <c r="AH76" s="52">
        <f t="shared" si="9"/>
        <v>27.64178739</v>
      </c>
      <c r="AI76" s="73">
        <f t="shared" si="10"/>
        <v>3.54372695</v>
      </c>
      <c r="AJ76" s="73">
        <f t="shared" si="11"/>
        <v>27.8425717</v>
      </c>
      <c r="AK76" s="73"/>
      <c r="AL76" s="122">
        <f t="shared" si="12"/>
        <v>1911.441717</v>
      </c>
      <c r="AN76" s="3"/>
      <c r="AO76" s="3"/>
    </row>
    <row r="77" ht="15.75" customHeight="1">
      <c r="A77" s="839" t="s">
        <v>4679</v>
      </c>
      <c r="B77" s="841">
        <v>45594.0</v>
      </c>
      <c r="C77" s="870">
        <v>45584.0</v>
      </c>
      <c r="D77" s="2" t="s">
        <v>74</v>
      </c>
      <c r="E77" s="2">
        <v>1.0082235774E10</v>
      </c>
      <c r="G77" s="3">
        <v>32.0</v>
      </c>
      <c r="H77" s="2" t="s">
        <v>47</v>
      </c>
      <c r="I77" s="58">
        <v>2.65</v>
      </c>
      <c r="J77" s="58">
        <v>1.2</v>
      </c>
      <c r="K77" s="59">
        <f t="shared" si="1"/>
        <v>2.6182</v>
      </c>
      <c r="L77" s="60">
        <v>0.351</v>
      </c>
      <c r="M77" s="60">
        <v>0.333</v>
      </c>
      <c r="N77" s="75">
        <v>0.39</v>
      </c>
      <c r="O77" s="60">
        <f t="shared" si="14"/>
        <v>0.362</v>
      </c>
      <c r="P77" s="136">
        <v>90.0</v>
      </c>
      <c r="Q77" s="58">
        <v>89.83</v>
      </c>
      <c r="R77" s="70">
        <v>2712.5</v>
      </c>
      <c r="S77" s="3">
        <v>110.0</v>
      </c>
      <c r="U77" s="2">
        <v>80.0</v>
      </c>
      <c r="V77" s="2">
        <v>1.1023</v>
      </c>
      <c r="Y77" s="68"/>
      <c r="Z77" s="77">
        <v>10.0</v>
      </c>
      <c r="AA77" s="70">
        <f t="shared" si="4"/>
        <v>10</v>
      </c>
      <c r="AB77" s="71">
        <f t="shared" si="24"/>
        <v>813.1319876</v>
      </c>
      <c r="AC77" s="71">
        <f>+(S77-T77)*V77-'data 1'!$F$4</f>
        <v>41.253</v>
      </c>
      <c r="AD77" s="71">
        <f t="shared" si="6"/>
        <v>-1.731506894</v>
      </c>
      <c r="AE77" s="71">
        <f t="shared" si="7"/>
        <v>-58.977</v>
      </c>
      <c r="AF77" s="71">
        <f t="shared" si="8"/>
        <v>-28.67360328</v>
      </c>
      <c r="AG77" s="868">
        <f t="shared" si="26"/>
        <v>41.87088983</v>
      </c>
      <c r="AH77" s="52">
        <f t="shared" si="9"/>
        <v>28.30351697</v>
      </c>
      <c r="AI77" s="73">
        <f t="shared" si="10"/>
        <v>4.865823586</v>
      </c>
      <c r="AJ77" s="73">
        <f t="shared" si="11"/>
        <v>29.24576377</v>
      </c>
      <c r="AK77" s="73"/>
      <c r="AL77" s="122">
        <f t="shared" si="12"/>
        <v>2128.94217</v>
      </c>
      <c r="AN77" s="3"/>
      <c r="AO77" s="3"/>
    </row>
    <row r="78" ht="15.75" customHeight="1">
      <c r="A78" s="839" t="s">
        <v>4680</v>
      </c>
      <c r="B78" s="841">
        <v>45590.0</v>
      </c>
      <c r="C78" s="56">
        <v>45585.0</v>
      </c>
      <c r="D78" s="57" t="s">
        <v>602</v>
      </c>
      <c r="E78" s="2">
        <v>2.0169040237E10</v>
      </c>
      <c r="F78" s="2" t="s">
        <v>4681</v>
      </c>
      <c r="G78" s="3">
        <v>10.0</v>
      </c>
      <c r="H78" s="57" t="s">
        <v>47</v>
      </c>
      <c r="I78" s="58">
        <v>0.86</v>
      </c>
      <c r="J78" s="58">
        <v>1.2</v>
      </c>
      <c r="K78" s="59">
        <f t="shared" si="1"/>
        <v>0.84968</v>
      </c>
      <c r="L78" s="60">
        <v>0.312</v>
      </c>
      <c r="M78" s="60">
        <v>0.302</v>
      </c>
      <c r="N78" s="60">
        <v>0.302</v>
      </c>
      <c r="O78" s="60">
        <f t="shared" si="14"/>
        <v>0.302</v>
      </c>
      <c r="P78" s="136">
        <v>90.0</v>
      </c>
      <c r="Q78" s="458">
        <v>89.23</v>
      </c>
      <c r="R78" s="70">
        <v>2712.5</v>
      </c>
      <c r="S78" s="3">
        <v>120.0</v>
      </c>
      <c r="U78" s="2">
        <v>130.0</v>
      </c>
      <c r="V78" s="2">
        <v>1.1023</v>
      </c>
      <c r="Y78" s="68">
        <v>30.0</v>
      </c>
      <c r="Z78" s="69">
        <f t="shared" ref="Z78:Z81" si="27">IF(IF(D78="UNTUCA",IF(+((W78-3)*1.5+(X78-3)*3.1)&gt;0,+((W78-3)*1.5+(X78-3)*3.1),0),IF(+((W78-3)*1.5+(X78-3)*3.1)&gt;0,+((W78-3)*1.5+(X78-3)*3.1),0))&lt;30,30,IF(D78="UNTUCA",IF(+((W78-3)*1.5+(X78-3)*3.1)&gt;0,+((W78-3)*1.5+(X78-3)*3.1),0),IF(+((W78-3)*1.5+(X78-3)*3.1)&gt;0,+((W78-3)*1.5+(X78-3)*3.1),0)))</f>
        <v>30</v>
      </c>
      <c r="AA78" s="70">
        <f t="shared" si="4"/>
        <v>60</v>
      </c>
      <c r="AB78" s="71">
        <f t="shared" si="24"/>
        <v>575.3162741</v>
      </c>
      <c r="AC78" s="71">
        <f>+(S78-T78)*V78-'data 1'!$F$4</f>
        <v>52.276</v>
      </c>
      <c r="AD78" s="71">
        <f t="shared" si="6"/>
        <v>-6.838887455</v>
      </c>
      <c r="AE78" s="71">
        <f t="shared" si="7"/>
        <v>-3.862</v>
      </c>
      <c r="AF78" s="71">
        <f t="shared" si="8"/>
        <v>25.40101264</v>
      </c>
      <c r="AG78" s="868">
        <f t="shared" ref="AG78:AG81" si="28">+IF(D78="RONALD WILLIAN GARIBAY ESCUDERO",AC78+AD78+AE78+AF78+80,AC78+AD78+AE78+AF78)</f>
        <v>66.97612518</v>
      </c>
      <c r="AH78" s="52">
        <f t="shared" si="9"/>
        <v>8.110169896</v>
      </c>
      <c r="AI78" s="73">
        <f t="shared" si="10"/>
        <v>19.64017117</v>
      </c>
      <c r="AJ78" s="73">
        <f t="shared" si="11"/>
        <v>7.917971195</v>
      </c>
      <c r="AK78" s="73"/>
      <c r="AL78" s="122">
        <f t="shared" si="12"/>
        <v>488.8347317</v>
      </c>
      <c r="AN78" s="3"/>
      <c r="AO78" s="3"/>
    </row>
    <row r="79" ht="15.75" customHeight="1">
      <c r="A79" s="839" t="s">
        <v>4682</v>
      </c>
      <c r="B79" s="841">
        <v>45593.0</v>
      </c>
      <c r="C79" s="95">
        <v>45585.0</v>
      </c>
      <c r="D79" s="67" t="s">
        <v>602</v>
      </c>
      <c r="E79" s="67">
        <v>2.0169040237E10</v>
      </c>
      <c r="F79" s="67" t="s">
        <v>4683</v>
      </c>
      <c r="G79" s="134">
        <v>26.0</v>
      </c>
      <c r="H79" s="67" t="s">
        <v>47</v>
      </c>
      <c r="I79" s="69">
        <v>2.42</v>
      </c>
      <c r="J79" s="69">
        <v>1.2</v>
      </c>
      <c r="K79" s="59">
        <f t="shared" si="1"/>
        <v>2.39096</v>
      </c>
      <c r="L79" s="106">
        <v>0.61</v>
      </c>
      <c r="M79" s="106">
        <v>0.586</v>
      </c>
      <c r="N79" s="106">
        <v>0.722</v>
      </c>
      <c r="O79" s="106">
        <f t="shared" si="14"/>
        <v>0.654</v>
      </c>
      <c r="P79" s="136">
        <v>90.0</v>
      </c>
      <c r="Q79" s="857">
        <v>89.12</v>
      </c>
      <c r="R79" s="70">
        <v>2712.5</v>
      </c>
      <c r="S79" s="134">
        <v>150.0</v>
      </c>
      <c r="T79" s="67"/>
      <c r="U79" s="67">
        <v>130.0</v>
      </c>
      <c r="V79" s="67">
        <v>1.1023</v>
      </c>
      <c r="W79" s="67"/>
      <c r="X79" s="67"/>
      <c r="Y79" s="67">
        <v>60.0</v>
      </c>
      <c r="Z79" s="69">
        <f t="shared" si="27"/>
        <v>30</v>
      </c>
      <c r="AA79" s="70">
        <f t="shared" si="4"/>
        <v>90</v>
      </c>
      <c r="AB79" s="71">
        <f t="shared" si="24"/>
        <v>1411.009587</v>
      </c>
      <c r="AC79" s="71">
        <f>+(S79-T79)*V79-'data 1'!$F$4</f>
        <v>85.345</v>
      </c>
      <c r="AD79" s="71">
        <f t="shared" si="6"/>
        <v>-15.28103058</v>
      </c>
      <c r="AE79" s="71">
        <f t="shared" si="7"/>
        <v>29.207</v>
      </c>
      <c r="AF79" s="71">
        <f t="shared" si="8"/>
        <v>-111.6266758</v>
      </c>
      <c r="AG79" s="868">
        <f t="shared" si="28"/>
        <v>-12.35570641</v>
      </c>
      <c r="AH79" s="52">
        <f t="shared" si="9"/>
        <v>44.56422853</v>
      </c>
      <c r="AI79" s="73">
        <f t="shared" si="10"/>
        <v>38.35171543</v>
      </c>
      <c r="AJ79" s="73">
        <f t="shared" si="11"/>
        <v>48.25047995</v>
      </c>
      <c r="AK79" s="73"/>
      <c r="AL79" s="51">
        <f t="shared" si="12"/>
        <v>3373.667482</v>
      </c>
      <c r="AM79" s="67"/>
      <c r="AN79" s="134"/>
      <c r="AO79" s="134"/>
      <c r="AP79" s="67"/>
      <c r="AQ79" s="67"/>
    </row>
    <row r="80" ht="15.75" customHeight="1">
      <c r="A80" s="839" t="s">
        <v>4684</v>
      </c>
      <c r="B80" s="841">
        <v>45593.0</v>
      </c>
      <c r="C80" s="95">
        <v>45585.0</v>
      </c>
      <c r="D80" s="67" t="s">
        <v>602</v>
      </c>
      <c r="E80" s="67">
        <v>2.0169040237E10</v>
      </c>
      <c r="F80" s="67" t="s">
        <v>4683</v>
      </c>
      <c r="G80" s="134">
        <v>116.0</v>
      </c>
      <c r="H80" s="67" t="s">
        <v>47</v>
      </c>
      <c r="I80" s="69">
        <v>10.9</v>
      </c>
      <c r="J80" s="69">
        <v>1.15</v>
      </c>
      <c r="K80" s="59">
        <f t="shared" si="1"/>
        <v>10.77465</v>
      </c>
      <c r="L80" s="106">
        <v>0.305</v>
      </c>
      <c r="M80" s="106">
        <v>0.301</v>
      </c>
      <c r="N80" s="106">
        <v>0.301</v>
      </c>
      <c r="O80" s="106">
        <f t="shared" si="14"/>
        <v>0.301</v>
      </c>
      <c r="P80" s="136">
        <v>90.0</v>
      </c>
      <c r="Q80" s="857">
        <v>89.52</v>
      </c>
      <c r="R80" s="70">
        <v>2712.5</v>
      </c>
      <c r="S80" s="134">
        <v>120.0</v>
      </c>
      <c r="T80" s="67"/>
      <c r="U80" s="67">
        <v>130.0</v>
      </c>
      <c r="V80" s="67">
        <v>1.1023</v>
      </c>
      <c r="W80" s="67"/>
      <c r="X80" s="67"/>
      <c r="Y80" s="67">
        <v>30.0</v>
      </c>
      <c r="Z80" s="69">
        <f t="shared" si="27"/>
        <v>30</v>
      </c>
      <c r="AA80" s="70">
        <f t="shared" si="4"/>
        <v>60</v>
      </c>
      <c r="AB80" s="71">
        <f t="shared" si="24"/>
        <v>572.7542533</v>
      </c>
      <c r="AC80" s="71">
        <f>+(S80-T80)*V80-'data 1'!$F$4</f>
        <v>52.276</v>
      </c>
      <c r="AD80" s="71">
        <f t="shared" si="6"/>
        <v>-4.167553794</v>
      </c>
      <c r="AE80" s="71">
        <f t="shared" si="7"/>
        <v>-3.862</v>
      </c>
      <c r="AF80" s="71">
        <f t="shared" si="8"/>
        <v>10.19342666</v>
      </c>
      <c r="AG80" s="868">
        <f t="shared" si="28"/>
        <v>54.43987286</v>
      </c>
      <c r="AH80" s="52">
        <f t="shared" si="9"/>
        <v>100.8630633</v>
      </c>
      <c r="AI80" s="73">
        <f t="shared" si="10"/>
        <v>19.2619253</v>
      </c>
      <c r="AJ80" s="73">
        <f t="shared" si="11"/>
        <v>100.073997</v>
      </c>
      <c r="AK80" s="73"/>
      <c r="AL80" s="51">
        <f t="shared" si="12"/>
        <v>6171.226615</v>
      </c>
      <c r="AM80" s="67"/>
      <c r="AN80" s="134"/>
      <c r="AO80" s="134"/>
      <c r="AP80" s="67"/>
      <c r="AQ80" s="67"/>
    </row>
    <row r="81" ht="15.75" customHeight="1">
      <c r="A81" s="839" t="s">
        <v>4685</v>
      </c>
      <c r="B81" s="841">
        <v>45588.0</v>
      </c>
      <c r="C81" s="56">
        <v>45585.0</v>
      </c>
      <c r="D81" s="57" t="s">
        <v>602</v>
      </c>
      <c r="E81" s="2">
        <v>2.0169040237E10</v>
      </c>
      <c r="F81" s="2" t="s">
        <v>4686</v>
      </c>
      <c r="G81" s="3">
        <v>93.0</v>
      </c>
      <c r="H81" s="57" t="s">
        <v>47</v>
      </c>
      <c r="I81" s="58">
        <v>7.46</v>
      </c>
      <c r="J81" s="58">
        <v>1.05</v>
      </c>
      <c r="K81" s="59">
        <f t="shared" si="1"/>
        <v>7.38167</v>
      </c>
      <c r="L81" s="60">
        <v>0.702</v>
      </c>
      <c r="M81" s="60">
        <v>0.673</v>
      </c>
      <c r="N81" s="60">
        <v>0.673</v>
      </c>
      <c r="O81" s="60">
        <f t="shared" si="14"/>
        <v>0.673</v>
      </c>
      <c r="P81" s="136">
        <v>90.0</v>
      </c>
      <c r="Q81" s="458">
        <v>89.35</v>
      </c>
      <c r="R81" s="70">
        <v>2712.5</v>
      </c>
      <c r="S81" s="3">
        <v>140.0</v>
      </c>
      <c r="U81" s="2">
        <v>130.0</v>
      </c>
      <c r="V81" s="2">
        <v>1.1023</v>
      </c>
      <c r="Y81" s="68">
        <v>30.0</v>
      </c>
      <c r="Z81" s="69">
        <f t="shared" si="27"/>
        <v>30</v>
      </c>
      <c r="AA81" s="70">
        <f t="shared" si="4"/>
        <v>60</v>
      </c>
      <c r="AB81" s="71">
        <f t="shared" si="24"/>
        <v>1503.779982</v>
      </c>
      <c r="AC81" s="71">
        <f>+(S81-T81)*V81-'data 1'!$F$4</f>
        <v>74.322</v>
      </c>
      <c r="AD81" s="71">
        <f t="shared" si="6"/>
        <v>-12.98944533</v>
      </c>
      <c r="AE81" s="71">
        <f t="shared" si="7"/>
        <v>-3.862</v>
      </c>
      <c r="AF81" s="71">
        <f t="shared" si="8"/>
        <v>73.76200146</v>
      </c>
      <c r="AG81" s="868">
        <f t="shared" si="28"/>
        <v>131.2325561</v>
      </c>
      <c r="AH81" s="52">
        <f t="shared" si="9"/>
        <v>158.7432854</v>
      </c>
      <c r="AI81" s="73">
        <f t="shared" si="10"/>
        <v>44.24981409</v>
      </c>
      <c r="AJ81" s="73">
        <f t="shared" si="11"/>
        <v>153.2926277</v>
      </c>
      <c r="AK81" s="73"/>
      <c r="AL81" s="122">
        <f t="shared" si="12"/>
        <v>11100.40758</v>
      </c>
      <c r="AN81" s="3"/>
      <c r="AO81" s="3"/>
    </row>
    <row r="82" ht="15.75" customHeight="1">
      <c r="B82" s="56"/>
      <c r="C82" s="56"/>
      <c r="G82" s="3"/>
      <c r="L82" s="60"/>
      <c r="M82" s="60"/>
      <c r="N82" s="62"/>
      <c r="P82" s="63"/>
      <c r="Q82" s="64"/>
      <c r="S82" s="3"/>
      <c r="AG82" s="607"/>
      <c r="AH82" s="3"/>
      <c r="AI82" s="3"/>
      <c r="AJ82" s="3"/>
      <c r="AL82" s="3"/>
      <c r="AM82" s="3"/>
      <c r="AN82" s="3"/>
    </row>
    <row r="83" ht="15.75" customHeight="1">
      <c r="B83" s="56"/>
      <c r="C83" s="56"/>
      <c r="G83" s="3"/>
      <c r="L83" s="60"/>
      <c r="M83" s="60"/>
      <c r="N83" s="62"/>
      <c r="P83" s="63"/>
      <c r="Q83" s="64"/>
      <c r="S83" s="3"/>
      <c r="AG83" s="607"/>
      <c r="AH83" s="3"/>
      <c r="AI83" s="3"/>
      <c r="AJ83" s="3"/>
      <c r="AL83" s="3"/>
      <c r="AM83" s="3"/>
      <c r="AN83" s="3"/>
    </row>
    <row r="84" ht="15.75" customHeight="1">
      <c r="B84" s="56"/>
      <c r="C84" s="56"/>
      <c r="G84" s="3"/>
      <c r="L84" s="60"/>
      <c r="M84" s="60"/>
      <c r="N84" s="62"/>
      <c r="P84" s="63"/>
      <c r="Q84" s="64"/>
      <c r="S84" s="3"/>
      <c r="AG84" s="607"/>
      <c r="AH84" s="3"/>
      <c r="AI84" s="3"/>
      <c r="AJ84" s="3"/>
      <c r="AL84" s="3"/>
      <c r="AM84" s="3"/>
      <c r="AN84" s="3"/>
    </row>
    <row r="85" ht="15.75" customHeight="1">
      <c r="B85" s="56"/>
      <c r="C85" s="56"/>
      <c r="G85" s="3"/>
      <c r="L85" s="60"/>
      <c r="M85" s="60"/>
      <c r="N85" s="62"/>
      <c r="P85" s="63"/>
      <c r="Q85" s="64"/>
      <c r="S85" s="3"/>
      <c r="AG85" s="607"/>
      <c r="AH85" s="3"/>
      <c r="AI85" s="3"/>
      <c r="AJ85" s="3"/>
      <c r="AL85" s="3"/>
      <c r="AM85" s="3"/>
      <c r="AN85" s="3"/>
    </row>
    <row r="86" ht="15.75" customHeight="1">
      <c r="B86" s="56"/>
      <c r="C86" s="56"/>
      <c r="G86" s="3"/>
      <c r="L86" s="60"/>
      <c r="M86" s="60"/>
      <c r="N86" s="62"/>
      <c r="P86" s="63"/>
      <c r="Q86" s="64"/>
      <c r="S86" s="3"/>
      <c r="AG86" s="607"/>
      <c r="AH86" s="3"/>
      <c r="AI86" s="3"/>
      <c r="AJ86" s="3"/>
      <c r="AL86" s="3"/>
      <c r="AM86" s="3"/>
      <c r="AN86" s="3"/>
    </row>
    <row r="87" ht="15.75" customHeight="1">
      <c r="B87" s="56"/>
      <c r="C87" s="56"/>
      <c r="G87" s="3"/>
      <c r="L87" s="60"/>
      <c r="M87" s="60"/>
      <c r="N87" s="62"/>
      <c r="P87" s="63"/>
      <c r="Q87" s="64"/>
      <c r="S87" s="3"/>
      <c r="AG87" s="607"/>
      <c r="AH87" s="3"/>
      <c r="AI87" s="3"/>
      <c r="AJ87" s="3"/>
      <c r="AL87" s="3"/>
      <c r="AM87" s="3"/>
      <c r="AN87" s="3"/>
    </row>
    <row r="88" ht="15.75" customHeight="1">
      <c r="B88" s="56"/>
      <c r="C88" s="56"/>
      <c r="G88" s="3"/>
      <c r="L88" s="60"/>
      <c r="M88" s="60"/>
      <c r="N88" s="62"/>
      <c r="P88" s="63"/>
      <c r="Q88" s="64"/>
      <c r="AG88" s="607"/>
      <c r="AH88" s="3"/>
      <c r="AI88" s="3"/>
      <c r="AJ88" s="3"/>
      <c r="AL88" s="3"/>
      <c r="AM88" s="3"/>
      <c r="AN88" s="3"/>
    </row>
    <row r="89" ht="15.75" customHeight="1">
      <c r="B89" s="56"/>
      <c r="C89" s="56"/>
      <c r="G89" s="3"/>
      <c r="L89" s="60"/>
      <c r="M89" s="60"/>
      <c r="N89" s="62"/>
      <c r="P89" s="63"/>
      <c r="Q89" s="64"/>
      <c r="AG89" s="607"/>
      <c r="AH89" s="3"/>
      <c r="AI89" s="3"/>
      <c r="AJ89" s="3"/>
      <c r="AL89" s="3"/>
      <c r="AM89" s="3"/>
      <c r="AN89" s="3"/>
    </row>
    <row r="90" ht="15.75" customHeight="1">
      <c r="B90" s="56"/>
      <c r="C90" s="56"/>
      <c r="G90" s="3"/>
      <c r="L90" s="60"/>
      <c r="M90" s="60"/>
      <c r="N90" s="62"/>
      <c r="P90" s="63"/>
      <c r="Q90" s="64"/>
      <c r="AG90" s="607"/>
      <c r="AH90" s="3"/>
      <c r="AI90" s="3"/>
      <c r="AJ90" s="3"/>
      <c r="AL90" s="3"/>
      <c r="AM90" s="3"/>
      <c r="AN90" s="3"/>
    </row>
    <row r="91" ht="15.75" customHeight="1">
      <c r="B91" s="56"/>
      <c r="C91" s="56"/>
      <c r="G91" s="3"/>
      <c r="L91" s="60"/>
      <c r="M91" s="60"/>
      <c r="N91" s="62"/>
      <c r="P91" s="63"/>
      <c r="Q91" s="64"/>
      <c r="AG91" s="607"/>
      <c r="AH91" s="3"/>
      <c r="AI91" s="3"/>
      <c r="AJ91" s="3"/>
      <c r="AL91" s="3"/>
      <c r="AM91" s="3"/>
      <c r="AN91" s="3"/>
    </row>
    <row r="92" ht="15.75" customHeight="1">
      <c r="B92" s="56"/>
      <c r="C92" s="56"/>
      <c r="G92" s="3"/>
      <c r="L92" s="60"/>
      <c r="M92" s="60"/>
      <c r="N92" s="62"/>
      <c r="P92" s="63"/>
      <c r="Q92" s="64"/>
      <c r="AG92" s="607"/>
      <c r="AH92" s="3"/>
      <c r="AI92" s="3"/>
      <c r="AJ92" s="3"/>
      <c r="AL92" s="3"/>
      <c r="AM92" s="3"/>
      <c r="AN92" s="3"/>
    </row>
    <row r="93" ht="15.75" customHeight="1">
      <c r="B93" s="56"/>
      <c r="C93" s="56"/>
      <c r="G93" s="3"/>
      <c r="L93" s="60"/>
      <c r="M93" s="60"/>
      <c r="N93" s="62"/>
      <c r="P93" s="63"/>
      <c r="Q93" s="64"/>
      <c r="AG93" s="607"/>
      <c r="AH93" s="3"/>
      <c r="AI93" s="3"/>
      <c r="AJ93" s="3"/>
      <c r="AL93" s="3"/>
      <c r="AM93" s="3"/>
      <c r="AN93" s="3"/>
    </row>
    <row r="94" ht="15.75" customHeight="1">
      <c r="B94" s="56"/>
      <c r="C94" s="56"/>
      <c r="G94" s="3"/>
      <c r="L94" s="60"/>
      <c r="M94" s="60"/>
      <c r="N94" s="62"/>
      <c r="P94" s="63"/>
      <c r="Q94" s="64"/>
      <c r="AG94" s="607"/>
      <c r="AH94" s="3"/>
      <c r="AI94" s="3"/>
      <c r="AJ94" s="3"/>
      <c r="AL94" s="3"/>
      <c r="AM94" s="3"/>
      <c r="AN94" s="3"/>
    </row>
    <row r="95" ht="15.75" customHeight="1">
      <c r="B95" s="56"/>
      <c r="C95" s="56"/>
      <c r="G95" s="3"/>
      <c r="L95" s="60"/>
      <c r="M95" s="60"/>
      <c r="N95" s="62"/>
      <c r="P95" s="63"/>
      <c r="Q95" s="64"/>
      <c r="AG95" s="607"/>
      <c r="AH95" s="3"/>
      <c r="AI95" s="3"/>
      <c r="AJ95" s="3"/>
      <c r="AL95" s="3"/>
      <c r="AM95" s="3"/>
      <c r="AN95" s="3"/>
    </row>
    <row r="96" ht="15.75" customHeight="1">
      <c r="B96" s="56"/>
      <c r="C96" s="56"/>
      <c r="G96" s="3"/>
      <c r="L96" s="60"/>
      <c r="M96" s="60"/>
      <c r="N96" s="62"/>
      <c r="P96" s="63"/>
      <c r="Q96" s="64"/>
      <c r="AG96" s="607"/>
      <c r="AH96" s="3"/>
      <c r="AI96" s="3"/>
      <c r="AJ96" s="3"/>
      <c r="AL96" s="3"/>
      <c r="AM96" s="3"/>
      <c r="AN96" s="3"/>
    </row>
    <row r="97" ht="15.75" customHeight="1">
      <c r="B97" s="56"/>
      <c r="C97" s="56"/>
      <c r="G97" s="3"/>
      <c r="L97" s="60"/>
      <c r="M97" s="60"/>
      <c r="N97" s="62"/>
      <c r="P97" s="63"/>
      <c r="Q97" s="64"/>
      <c r="AG97" s="607"/>
      <c r="AH97" s="3"/>
      <c r="AI97" s="3"/>
      <c r="AJ97" s="3"/>
      <c r="AL97" s="3"/>
      <c r="AM97" s="3"/>
      <c r="AN97" s="3"/>
    </row>
    <row r="98" ht="15.75" customHeight="1">
      <c r="B98" s="56"/>
      <c r="C98" s="56"/>
      <c r="G98" s="3"/>
      <c r="L98" s="60"/>
      <c r="M98" s="60"/>
      <c r="N98" s="62"/>
      <c r="P98" s="63"/>
      <c r="Q98" s="64"/>
      <c r="AG98" s="607"/>
      <c r="AH98" s="3"/>
      <c r="AI98" s="3"/>
      <c r="AJ98" s="3"/>
      <c r="AL98" s="3"/>
      <c r="AM98" s="3"/>
      <c r="AN98" s="3"/>
    </row>
    <row r="99" ht="15.75" customHeight="1">
      <c r="B99" s="56"/>
      <c r="C99" s="56"/>
      <c r="G99" s="3"/>
      <c r="L99" s="60"/>
      <c r="M99" s="60"/>
      <c r="N99" s="62"/>
      <c r="P99" s="63"/>
      <c r="Q99" s="64"/>
      <c r="AG99" s="607"/>
      <c r="AH99" s="3"/>
      <c r="AI99" s="3"/>
      <c r="AJ99" s="3"/>
      <c r="AL99" s="3"/>
      <c r="AM99" s="3"/>
      <c r="AN99" s="3"/>
    </row>
    <row r="100" ht="15.75" customHeight="1">
      <c r="B100" s="56"/>
      <c r="C100" s="56"/>
      <c r="G100" s="3"/>
      <c r="L100" s="60"/>
      <c r="M100" s="60"/>
      <c r="N100" s="62"/>
      <c r="P100" s="63"/>
      <c r="Q100" s="64"/>
      <c r="AG100" s="607"/>
      <c r="AH100" s="3"/>
      <c r="AI100" s="3"/>
      <c r="AJ100" s="3"/>
      <c r="AL100" s="3"/>
      <c r="AM100" s="3"/>
      <c r="AN100" s="3"/>
    </row>
    <row r="101" ht="15.75" customHeight="1">
      <c r="B101" s="56"/>
      <c r="C101" s="56"/>
      <c r="G101" s="3"/>
      <c r="L101" s="60"/>
      <c r="M101" s="60"/>
      <c r="N101" s="62"/>
      <c r="P101" s="63"/>
      <c r="Q101" s="64"/>
      <c r="AG101" s="607"/>
      <c r="AH101" s="3"/>
      <c r="AI101" s="3"/>
      <c r="AJ101" s="3"/>
      <c r="AL101" s="3"/>
      <c r="AM101" s="3"/>
      <c r="AN101" s="3"/>
    </row>
    <row r="102" ht="15.75" customHeight="1">
      <c r="B102" s="56"/>
      <c r="C102" s="56"/>
      <c r="G102" s="3"/>
      <c r="L102" s="60"/>
      <c r="M102" s="60"/>
      <c r="N102" s="62"/>
      <c r="P102" s="63"/>
      <c r="Q102" s="64"/>
      <c r="AG102" s="607"/>
      <c r="AH102" s="3"/>
      <c r="AI102" s="3"/>
      <c r="AJ102" s="3"/>
      <c r="AL102" s="3"/>
      <c r="AM102" s="3"/>
      <c r="AN102" s="3"/>
    </row>
    <row r="103" ht="15.75" customHeight="1">
      <c r="B103" s="56"/>
      <c r="C103" s="56"/>
      <c r="G103" s="3"/>
      <c r="L103" s="60"/>
      <c r="M103" s="60"/>
      <c r="N103" s="62"/>
      <c r="P103" s="63"/>
      <c r="Q103" s="64"/>
      <c r="AG103" s="607"/>
      <c r="AH103" s="3"/>
      <c r="AI103" s="3"/>
      <c r="AJ103" s="3"/>
      <c r="AL103" s="3"/>
      <c r="AM103" s="3"/>
      <c r="AN103" s="3"/>
    </row>
    <row r="104" ht="15.75" customHeight="1">
      <c r="B104" s="56"/>
      <c r="C104" s="56"/>
      <c r="G104" s="3"/>
      <c r="M104" s="60"/>
      <c r="N104" s="62"/>
      <c r="P104" s="63"/>
      <c r="Q104" s="64"/>
      <c r="AG104" s="607"/>
      <c r="AH104" s="3"/>
      <c r="AI104" s="3"/>
      <c r="AJ104" s="3"/>
      <c r="AL104" s="3"/>
      <c r="AM104" s="3"/>
      <c r="AN104" s="3"/>
    </row>
    <row r="105" ht="15.75" customHeight="1">
      <c r="B105" s="56"/>
      <c r="C105" s="56"/>
      <c r="G105" s="3"/>
      <c r="M105" s="60"/>
      <c r="N105" s="62"/>
      <c r="P105" s="63"/>
      <c r="Q105" s="64"/>
      <c r="AG105" s="607"/>
      <c r="AH105" s="3"/>
      <c r="AI105" s="3"/>
      <c r="AJ105" s="3"/>
      <c r="AL105" s="3"/>
      <c r="AM105" s="3"/>
      <c r="AN105" s="3"/>
    </row>
    <row r="106" ht="15.75" customHeight="1">
      <c r="B106" s="56"/>
      <c r="C106" s="56"/>
      <c r="G106" s="3"/>
      <c r="M106" s="60"/>
      <c r="N106" s="62"/>
      <c r="P106" s="63"/>
      <c r="Q106" s="64"/>
      <c r="AG106" s="607"/>
      <c r="AH106" s="3"/>
      <c r="AI106" s="3"/>
      <c r="AJ106" s="3"/>
      <c r="AL106" s="3"/>
      <c r="AM106" s="3"/>
      <c r="AN106" s="3"/>
    </row>
    <row r="107" ht="15.75" customHeight="1">
      <c r="B107" s="56"/>
      <c r="C107" s="56"/>
      <c r="G107" s="3"/>
      <c r="M107" s="60"/>
      <c r="N107" s="62"/>
      <c r="P107" s="63"/>
      <c r="Q107" s="64"/>
      <c r="AG107" s="607"/>
      <c r="AH107" s="3"/>
      <c r="AI107" s="3"/>
      <c r="AJ107" s="3"/>
      <c r="AL107" s="3"/>
      <c r="AM107" s="3"/>
      <c r="AN107" s="3"/>
    </row>
    <row r="108" ht="15.75" customHeight="1">
      <c r="B108" s="56"/>
      <c r="C108" s="56"/>
      <c r="G108" s="3"/>
      <c r="M108" s="60"/>
      <c r="N108" s="62"/>
      <c r="P108" s="63"/>
      <c r="Q108" s="64"/>
      <c r="AG108" s="607"/>
      <c r="AH108" s="3"/>
      <c r="AI108" s="3"/>
      <c r="AJ108" s="3"/>
      <c r="AL108" s="3"/>
      <c r="AM108" s="3"/>
      <c r="AN108" s="3"/>
    </row>
    <row r="109" ht="15.75" customHeight="1">
      <c r="B109" s="56"/>
      <c r="C109" s="56"/>
      <c r="G109" s="3"/>
      <c r="M109" s="60"/>
      <c r="N109" s="62"/>
      <c r="P109" s="63"/>
      <c r="Q109" s="64"/>
      <c r="AG109" s="607"/>
      <c r="AH109" s="3"/>
      <c r="AI109" s="3"/>
      <c r="AJ109" s="3"/>
      <c r="AL109" s="3"/>
      <c r="AM109" s="3"/>
      <c r="AN109" s="3"/>
    </row>
    <row r="110" ht="15.75" customHeight="1">
      <c r="B110" s="56"/>
      <c r="C110" s="56"/>
      <c r="G110" s="3"/>
      <c r="M110" s="60"/>
      <c r="N110" s="62"/>
      <c r="P110" s="63"/>
      <c r="Q110" s="64"/>
      <c r="AG110" s="607"/>
      <c r="AH110" s="3"/>
      <c r="AI110" s="3"/>
      <c r="AJ110" s="3"/>
      <c r="AL110" s="3"/>
      <c r="AM110" s="3"/>
      <c r="AN110" s="3"/>
    </row>
    <row r="111" ht="15.75" customHeight="1">
      <c r="B111" s="56"/>
      <c r="C111" s="56"/>
      <c r="G111" s="3"/>
      <c r="N111" s="62"/>
      <c r="P111" s="63"/>
      <c r="Q111" s="64"/>
      <c r="AG111" s="607"/>
      <c r="AH111" s="3"/>
      <c r="AI111" s="3"/>
      <c r="AJ111" s="3"/>
      <c r="AL111" s="3"/>
      <c r="AM111" s="3"/>
      <c r="AN111" s="3"/>
    </row>
    <row r="112" ht="15.75" customHeight="1">
      <c r="B112" s="56"/>
      <c r="C112" s="56"/>
      <c r="G112" s="3"/>
      <c r="N112" s="62"/>
      <c r="P112" s="63"/>
      <c r="Q112" s="64"/>
      <c r="AG112" s="607"/>
      <c r="AH112" s="3"/>
      <c r="AI112" s="3"/>
      <c r="AJ112" s="3"/>
      <c r="AL112" s="3"/>
      <c r="AM112" s="3"/>
      <c r="AN112" s="3"/>
    </row>
    <row r="113" ht="15.75" customHeight="1">
      <c r="B113" s="56"/>
      <c r="C113" s="56"/>
      <c r="G113" s="3"/>
      <c r="N113" s="62"/>
      <c r="P113" s="63"/>
      <c r="Q113" s="64"/>
      <c r="AG113" s="607"/>
      <c r="AH113" s="3"/>
      <c r="AI113" s="3"/>
      <c r="AJ113" s="3"/>
      <c r="AL113" s="3"/>
      <c r="AM113" s="3"/>
      <c r="AN113" s="3"/>
    </row>
    <row r="114" ht="15.75" customHeight="1">
      <c r="B114" s="56"/>
      <c r="C114" s="56"/>
      <c r="G114" s="3"/>
      <c r="N114" s="62"/>
      <c r="P114" s="63"/>
      <c r="Q114" s="64"/>
      <c r="AG114" s="607"/>
      <c r="AH114" s="3"/>
      <c r="AI114" s="3"/>
      <c r="AJ114" s="3"/>
      <c r="AL114" s="3"/>
      <c r="AM114" s="3"/>
      <c r="AN114" s="3"/>
    </row>
    <row r="115" ht="15.75" customHeight="1">
      <c r="B115" s="56"/>
      <c r="C115" s="56"/>
      <c r="G115" s="3"/>
      <c r="N115" s="62"/>
      <c r="P115" s="63"/>
      <c r="Q115" s="64"/>
      <c r="AG115" s="607"/>
      <c r="AH115" s="3"/>
      <c r="AI115" s="3"/>
      <c r="AJ115" s="3"/>
      <c r="AL115" s="3"/>
      <c r="AM115" s="3"/>
      <c r="AN115" s="3"/>
    </row>
    <row r="116" ht="15.75" customHeight="1">
      <c r="B116" s="56"/>
      <c r="C116" s="56"/>
      <c r="G116" s="3"/>
      <c r="N116" s="62"/>
      <c r="P116" s="63"/>
      <c r="Q116" s="64"/>
      <c r="AG116" s="607"/>
      <c r="AH116" s="3"/>
      <c r="AI116" s="3"/>
      <c r="AJ116" s="3"/>
      <c r="AL116" s="3"/>
      <c r="AM116" s="3"/>
      <c r="AN116" s="3"/>
    </row>
    <row r="117" ht="15.75" customHeight="1">
      <c r="B117" s="56"/>
      <c r="C117" s="56"/>
      <c r="G117" s="3"/>
      <c r="N117" s="62"/>
      <c r="P117" s="63"/>
      <c r="Q117" s="64"/>
      <c r="AG117" s="607"/>
      <c r="AH117" s="3"/>
      <c r="AI117" s="3"/>
      <c r="AJ117" s="3"/>
      <c r="AL117" s="3"/>
      <c r="AM117" s="3"/>
      <c r="AN117" s="3"/>
    </row>
    <row r="118" ht="15.75" customHeight="1">
      <c r="B118" s="56"/>
      <c r="C118" s="56"/>
      <c r="G118" s="3"/>
      <c r="N118" s="62"/>
      <c r="P118" s="63"/>
      <c r="Q118" s="64"/>
      <c r="AG118" s="607"/>
      <c r="AH118" s="3"/>
      <c r="AI118" s="3"/>
      <c r="AJ118" s="3"/>
      <c r="AL118" s="3"/>
      <c r="AM118" s="3"/>
      <c r="AN118" s="3"/>
    </row>
    <row r="119" ht="15.75" customHeight="1">
      <c r="B119" s="56"/>
      <c r="C119" s="56"/>
      <c r="G119" s="3"/>
      <c r="N119" s="62"/>
      <c r="P119" s="63"/>
      <c r="Q119" s="64"/>
      <c r="AG119" s="607"/>
      <c r="AH119" s="3"/>
      <c r="AI119" s="3"/>
      <c r="AJ119" s="3"/>
      <c r="AL119" s="3"/>
      <c r="AM119" s="3"/>
      <c r="AN119" s="3"/>
    </row>
    <row r="120" ht="15.75" customHeight="1">
      <c r="B120" s="56"/>
      <c r="C120" s="56"/>
      <c r="G120" s="3"/>
      <c r="N120" s="62"/>
      <c r="P120" s="63"/>
      <c r="Q120" s="64"/>
      <c r="AG120" s="607"/>
      <c r="AH120" s="3"/>
      <c r="AI120" s="3"/>
      <c r="AJ120" s="3"/>
      <c r="AL120" s="3"/>
      <c r="AM120" s="3"/>
      <c r="AN120" s="3"/>
    </row>
    <row r="121" ht="15.75" customHeight="1">
      <c r="B121" s="56"/>
      <c r="C121" s="56"/>
      <c r="G121" s="3"/>
      <c r="N121" s="62"/>
      <c r="P121" s="63"/>
      <c r="Q121" s="64"/>
      <c r="AG121" s="607"/>
      <c r="AH121" s="3"/>
      <c r="AI121" s="3"/>
      <c r="AJ121" s="3"/>
      <c r="AL121" s="3"/>
      <c r="AM121" s="3"/>
      <c r="AN121" s="3"/>
    </row>
    <row r="122" ht="15.75" customHeight="1">
      <c r="B122" s="56"/>
      <c r="C122" s="56"/>
      <c r="G122" s="3"/>
      <c r="N122" s="62"/>
      <c r="P122" s="63"/>
      <c r="Q122" s="64"/>
      <c r="AG122" s="607"/>
      <c r="AH122" s="3"/>
      <c r="AI122" s="3"/>
      <c r="AJ122" s="3"/>
      <c r="AL122" s="3"/>
      <c r="AM122" s="3"/>
      <c r="AN122" s="3"/>
    </row>
    <row r="123" ht="15.75" customHeight="1">
      <c r="B123" s="56"/>
      <c r="C123" s="56"/>
      <c r="G123" s="3"/>
      <c r="N123" s="62"/>
      <c r="P123" s="63"/>
      <c r="Q123" s="64"/>
      <c r="AG123" s="607"/>
      <c r="AH123" s="3"/>
      <c r="AI123" s="3"/>
      <c r="AJ123" s="3"/>
      <c r="AL123" s="3"/>
      <c r="AM123" s="3"/>
      <c r="AN123" s="3"/>
    </row>
    <row r="124" ht="15.75" customHeight="1">
      <c r="B124" s="56"/>
      <c r="C124" s="56"/>
      <c r="G124" s="3"/>
      <c r="N124" s="62"/>
      <c r="P124" s="63"/>
      <c r="Q124" s="64"/>
      <c r="AG124" s="607"/>
      <c r="AH124" s="3"/>
      <c r="AI124" s="3"/>
      <c r="AJ124" s="3"/>
      <c r="AL124" s="3"/>
      <c r="AM124" s="3"/>
      <c r="AN124" s="3"/>
    </row>
    <row r="125" ht="15.75" customHeight="1">
      <c r="B125" s="56"/>
      <c r="C125" s="56"/>
      <c r="G125" s="3"/>
      <c r="N125" s="62"/>
      <c r="P125" s="63"/>
      <c r="Q125" s="64"/>
      <c r="AG125" s="607"/>
      <c r="AH125" s="3"/>
      <c r="AI125" s="3"/>
      <c r="AJ125" s="3"/>
      <c r="AL125" s="3"/>
      <c r="AM125" s="3"/>
      <c r="AN125" s="3"/>
    </row>
    <row r="126" ht="15.75" customHeight="1">
      <c r="B126" s="56"/>
      <c r="C126" s="56"/>
      <c r="G126" s="3"/>
      <c r="N126" s="62"/>
      <c r="P126" s="63"/>
      <c r="Q126" s="64"/>
      <c r="AG126" s="607"/>
      <c r="AH126" s="3"/>
      <c r="AI126" s="3"/>
      <c r="AJ126" s="3"/>
      <c r="AL126" s="3"/>
      <c r="AM126" s="3"/>
      <c r="AN126" s="3"/>
    </row>
    <row r="127" ht="15.75" customHeight="1">
      <c r="B127" s="56"/>
      <c r="C127" s="56"/>
      <c r="G127" s="3"/>
      <c r="N127" s="62"/>
      <c r="P127" s="63"/>
      <c r="Q127" s="64"/>
      <c r="AG127" s="607"/>
      <c r="AH127" s="3"/>
      <c r="AI127" s="3"/>
      <c r="AJ127" s="3"/>
      <c r="AL127" s="3"/>
      <c r="AM127" s="3"/>
      <c r="AN127" s="3"/>
    </row>
    <row r="128" ht="15.75" customHeight="1">
      <c r="B128" s="56"/>
      <c r="C128" s="56"/>
      <c r="G128" s="3"/>
      <c r="N128" s="62"/>
      <c r="P128" s="63"/>
      <c r="Q128" s="64"/>
      <c r="AG128" s="607"/>
      <c r="AH128" s="3"/>
      <c r="AI128" s="3"/>
      <c r="AJ128" s="3"/>
      <c r="AL128" s="3"/>
      <c r="AM128" s="3"/>
      <c r="AN128" s="3"/>
    </row>
    <row r="129" ht="15.75" customHeight="1">
      <c r="B129" s="56"/>
      <c r="C129" s="56"/>
      <c r="G129" s="3"/>
      <c r="N129" s="62"/>
      <c r="P129" s="63"/>
      <c r="Q129" s="64"/>
      <c r="AG129" s="607"/>
      <c r="AH129" s="3"/>
      <c r="AI129" s="3"/>
      <c r="AJ129" s="3"/>
      <c r="AL129" s="3"/>
      <c r="AM129" s="3"/>
      <c r="AN129" s="3"/>
    </row>
    <row r="130" ht="15.75" customHeight="1">
      <c r="B130" s="56"/>
      <c r="C130" s="56"/>
      <c r="G130" s="3"/>
      <c r="N130" s="62"/>
      <c r="P130" s="63"/>
      <c r="Q130" s="64"/>
      <c r="AG130" s="607"/>
      <c r="AH130" s="3"/>
      <c r="AI130" s="3"/>
      <c r="AJ130" s="3"/>
      <c r="AL130" s="3"/>
      <c r="AM130" s="3"/>
      <c r="AN130" s="3"/>
    </row>
    <row r="131" ht="15.75" customHeight="1">
      <c r="B131" s="56"/>
      <c r="C131" s="56"/>
      <c r="G131" s="3"/>
      <c r="N131" s="62"/>
      <c r="P131" s="63"/>
      <c r="Q131" s="64"/>
      <c r="AG131" s="607"/>
      <c r="AH131" s="3"/>
      <c r="AI131" s="3"/>
      <c r="AJ131" s="3"/>
      <c r="AL131" s="3"/>
      <c r="AM131" s="3"/>
      <c r="AN131" s="3"/>
    </row>
    <row r="132" ht="15.75" customHeight="1">
      <c r="B132" s="56"/>
      <c r="C132" s="56"/>
      <c r="G132" s="3"/>
      <c r="N132" s="62"/>
      <c r="P132" s="63"/>
      <c r="Q132" s="64"/>
      <c r="AG132" s="607"/>
      <c r="AH132" s="3"/>
      <c r="AI132" s="3"/>
      <c r="AJ132" s="3"/>
      <c r="AL132" s="3"/>
      <c r="AM132" s="3"/>
      <c r="AN132" s="3"/>
    </row>
    <row r="133" ht="15.75" customHeight="1">
      <c r="B133" s="56"/>
      <c r="C133" s="56"/>
      <c r="G133" s="3"/>
      <c r="N133" s="62"/>
      <c r="P133" s="63"/>
      <c r="Q133" s="64"/>
      <c r="AG133" s="607"/>
      <c r="AH133" s="3"/>
      <c r="AI133" s="3"/>
      <c r="AJ133" s="3"/>
      <c r="AL133" s="3"/>
      <c r="AM133" s="3"/>
      <c r="AN133" s="3"/>
    </row>
    <row r="134" ht="15.75" customHeight="1">
      <c r="B134" s="56"/>
      <c r="C134" s="56"/>
      <c r="G134" s="3"/>
      <c r="N134" s="62"/>
      <c r="P134" s="63"/>
      <c r="Q134" s="64"/>
      <c r="AG134" s="607"/>
      <c r="AH134" s="3"/>
      <c r="AI134" s="3"/>
      <c r="AJ134" s="3"/>
      <c r="AL134" s="3"/>
      <c r="AM134" s="3"/>
      <c r="AN134" s="3"/>
    </row>
    <row r="135" ht="15.75" customHeight="1">
      <c r="B135" s="56"/>
      <c r="C135" s="56"/>
      <c r="G135" s="3"/>
      <c r="N135" s="62"/>
      <c r="P135" s="63"/>
      <c r="Q135" s="64"/>
      <c r="AG135" s="607"/>
      <c r="AH135" s="3"/>
      <c r="AI135" s="3"/>
      <c r="AJ135" s="3"/>
      <c r="AL135" s="3"/>
      <c r="AM135" s="3"/>
      <c r="AN135" s="3"/>
    </row>
    <row r="136" ht="15.75" customHeight="1">
      <c r="B136" s="56"/>
      <c r="C136" s="56"/>
      <c r="G136" s="3"/>
      <c r="N136" s="62"/>
      <c r="P136" s="63"/>
      <c r="Q136" s="64"/>
      <c r="AG136" s="607"/>
      <c r="AH136" s="3"/>
      <c r="AI136" s="3"/>
      <c r="AJ136" s="3"/>
      <c r="AL136" s="3"/>
      <c r="AM136" s="3"/>
      <c r="AN136" s="3"/>
    </row>
    <row r="137" ht="15.75" customHeight="1">
      <c r="B137" s="56"/>
      <c r="C137" s="56"/>
      <c r="G137" s="3"/>
      <c r="N137" s="62"/>
      <c r="P137" s="63"/>
      <c r="Q137" s="64"/>
      <c r="AG137" s="607"/>
      <c r="AH137" s="3"/>
      <c r="AI137" s="3"/>
      <c r="AJ137" s="3"/>
      <c r="AL137" s="3"/>
      <c r="AM137" s="3"/>
      <c r="AN137" s="3"/>
    </row>
    <row r="138" ht="15.75" customHeight="1">
      <c r="B138" s="56"/>
      <c r="C138" s="56"/>
      <c r="G138" s="3"/>
      <c r="N138" s="62"/>
      <c r="P138" s="63"/>
      <c r="Q138" s="64"/>
      <c r="AG138" s="607"/>
      <c r="AH138" s="3"/>
      <c r="AI138" s="3"/>
      <c r="AJ138" s="3"/>
      <c r="AL138" s="3"/>
      <c r="AM138" s="3"/>
      <c r="AN138" s="3"/>
    </row>
    <row r="139" ht="15.75" customHeight="1">
      <c r="B139" s="56"/>
      <c r="C139" s="56"/>
      <c r="G139" s="3"/>
      <c r="N139" s="62"/>
      <c r="P139" s="63"/>
      <c r="Q139" s="64"/>
      <c r="AG139" s="607"/>
      <c r="AH139" s="3"/>
      <c r="AI139" s="3"/>
      <c r="AJ139" s="3"/>
      <c r="AL139" s="3"/>
      <c r="AM139" s="3"/>
      <c r="AN139" s="3"/>
    </row>
    <row r="140" ht="15.75" customHeight="1">
      <c r="B140" s="56"/>
      <c r="C140" s="56"/>
      <c r="G140" s="3"/>
      <c r="N140" s="62"/>
      <c r="P140" s="63"/>
      <c r="Q140" s="64"/>
      <c r="AG140" s="607"/>
      <c r="AH140" s="3"/>
      <c r="AI140" s="3"/>
      <c r="AJ140" s="3"/>
      <c r="AL140" s="3"/>
      <c r="AM140" s="3"/>
      <c r="AN140" s="3"/>
    </row>
    <row r="141" ht="15.75" customHeight="1">
      <c r="B141" s="56"/>
      <c r="C141" s="56"/>
      <c r="G141" s="3"/>
      <c r="N141" s="62"/>
      <c r="P141" s="63"/>
      <c r="Q141" s="64"/>
      <c r="AG141" s="607"/>
      <c r="AH141" s="3"/>
      <c r="AI141" s="3"/>
      <c r="AJ141" s="3"/>
      <c r="AL141" s="3"/>
      <c r="AM141" s="3"/>
      <c r="AN141" s="3"/>
    </row>
    <row r="142" ht="15.75" customHeight="1">
      <c r="B142" s="56"/>
      <c r="C142" s="56"/>
      <c r="G142" s="3"/>
      <c r="N142" s="62"/>
      <c r="P142" s="63"/>
      <c r="Q142" s="64"/>
      <c r="AG142" s="607"/>
      <c r="AH142" s="3"/>
      <c r="AI142" s="3"/>
      <c r="AJ142" s="3"/>
      <c r="AL142" s="3"/>
      <c r="AM142" s="3"/>
      <c r="AN142" s="3"/>
    </row>
    <row r="143" ht="15.75" customHeight="1">
      <c r="B143" s="56"/>
      <c r="C143" s="56"/>
      <c r="G143" s="3"/>
      <c r="N143" s="62"/>
      <c r="P143" s="63"/>
      <c r="Q143" s="64"/>
      <c r="AG143" s="607"/>
      <c r="AH143" s="3"/>
      <c r="AI143" s="3"/>
      <c r="AJ143" s="3"/>
      <c r="AL143" s="3"/>
      <c r="AM143" s="3"/>
      <c r="AN143" s="3"/>
    </row>
    <row r="144" ht="15.75" customHeight="1">
      <c r="B144" s="56"/>
      <c r="C144" s="56"/>
      <c r="G144" s="3"/>
      <c r="N144" s="62"/>
      <c r="P144" s="63"/>
      <c r="Q144" s="64"/>
      <c r="AG144" s="607"/>
      <c r="AH144" s="3"/>
      <c r="AI144" s="3"/>
      <c r="AJ144" s="3"/>
      <c r="AL144" s="3"/>
      <c r="AM144" s="3"/>
      <c r="AN144" s="3"/>
    </row>
    <row r="145" ht="15.75" customHeight="1">
      <c r="B145" s="56"/>
      <c r="C145" s="56"/>
      <c r="G145" s="3"/>
      <c r="N145" s="62"/>
      <c r="P145" s="63"/>
      <c r="Q145" s="64"/>
      <c r="AG145" s="607"/>
      <c r="AH145" s="3"/>
      <c r="AI145" s="3"/>
      <c r="AJ145" s="3"/>
      <c r="AL145" s="3"/>
      <c r="AM145" s="3"/>
      <c r="AN145" s="3"/>
    </row>
    <row r="146" ht="15.75" customHeight="1">
      <c r="B146" s="56"/>
      <c r="C146" s="56"/>
      <c r="G146" s="3"/>
      <c r="N146" s="62"/>
      <c r="P146" s="63"/>
      <c r="Q146" s="64"/>
      <c r="AG146" s="607"/>
      <c r="AH146" s="3"/>
      <c r="AI146" s="3"/>
      <c r="AJ146" s="3"/>
      <c r="AL146" s="3"/>
      <c r="AM146" s="3"/>
      <c r="AN146" s="3"/>
    </row>
    <row r="147" ht="15.75" customHeight="1">
      <c r="B147" s="56"/>
      <c r="C147" s="56"/>
      <c r="G147" s="3"/>
      <c r="N147" s="62"/>
      <c r="P147" s="63"/>
      <c r="Q147" s="64"/>
      <c r="AG147" s="607"/>
      <c r="AH147" s="3"/>
      <c r="AI147" s="3"/>
      <c r="AJ147" s="3"/>
      <c r="AL147" s="3"/>
      <c r="AM147" s="3"/>
      <c r="AN147" s="3"/>
    </row>
    <row r="148" ht="15.75" customHeight="1">
      <c r="B148" s="56"/>
      <c r="C148" s="56"/>
      <c r="G148" s="3"/>
      <c r="N148" s="62"/>
      <c r="P148" s="63"/>
      <c r="Q148" s="64"/>
      <c r="AG148" s="607"/>
      <c r="AH148" s="3"/>
      <c r="AI148" s="3"/>
      <c r="AJ148" s="3"/>
      <c r="AL148" s="3"/>
      <c r="AM148" s="3"/>
      <c r="AN148" s="3"/>
    </row>
    <row r="149" ht="15.75" customHeight="1">
      <c r="B149" s="56"/>
      <c r="C149" s="56"/>
      <c r="G149" s="3"/>
      <c r="N149" s="62"/>
      <c r="P149" s="63"/>
      <c r="Q149" s="64"/>
      <c r="AG149" s="607"/>
      <c r="AH149" s="3"/>
      <c r="AI149" s="3"/>
      <c r="AJ149" s="3"/>
      <c r="AL149" s="3"/>
      <c r="AM149" s="3"/>
      <c r="AN149" s="3"/>
    </row>
    <row r="150" ht="15.75" customHeight="1">
      <c r="B150" s="56"/>
      <c r="C150" s="56"/>
      <c r="G150" s="3"/>
      <c r="N150" s="62"/>
      <c r="P150" s="63"/>
      <c r="Q150" s="64"/>
      <c r="AG150" s="607"/>
      <c r="AH150" s="3"/>
      <c r="AI150" s="3"/>
      <c r="AJ150" s="3"/>
      <c r="AL150" s="3"/>
      <c r="AM150" s="3"/>
      <c r="AN150" s="3"/>
    </row>
    <row r="151" ht="15.75" customHeight="1">
      <c r="B151" s="56"/>
      <c r="C151" s="56"/>
      <c r="G151" s="3"/>
      <c r="N151" s="62"/>
      <c r="P151" s="63"/>
      <c r="Q151" s="64"/>
      <c r="AG151" s="607"/>
      <c r="AH151" s="3"/>
      <c r="AI151" s="3"/>
      <c r="AJ151" s="3"/>
      <c r="AL151" s="3"/>
      <c r="AM151" s="3"/>
      <c r="AN151" s="3"/>
    </row>
    <row r="152" ht="15.75" customHeight="1">
      <c r="B152" s="56"/>
      <c r="C152" s="56"/>
      <c r="G152" s="3"/>
      <c r="N152" s="62"/>
      <c r="P152" s="63"/>
      <c r="Q152" s="64"/>
      <c r="AG152" s="607"/>
      <c r="AH152" s="3"/>
      <c r="AI152" s="3"/>
      <c r="AJ152" s="3"/>
      <c r="AL152" s="3"/>
      <c r="AM152" s="3"/>
      <c r="AN152" s="3"/>
    </row>
    <row r="153" ht="15.75" customHeight="1">
      <c r="B153" s="56"/>
      <c r="C153" s="56"/>
      <c r="G153" s="3"/>
      <c r="N153" s="62"/>
      <c r="P153" s="63"/>
      <c r="Q153" s="64"/>
      <c r="AG153" s="607"/>
      <c r="AH153" s="3"/>
      <c r="AI153" s="3"/>
      <c r="AJ153" s="3"/>
      <c r="AL153" s="3"/>
      <c r="AM153" s="3"/>
      <c r="AN153" s="3"/>
    </row>
    <row r="154" ht="15.75" customHeight="1">
      <c r="B154" s="56"/>
      <c r="C154" s="56"/>
      <c r="G154" s="3"/>
      <c r="N154" s="62"/>
      <c r="P154" s="63"/>
      <c r="Q154" s="64"/>
      <c r="AG154" s="607"/>
      <c r="AH154" s="3"/>
      <c r="AI154" s="3"/>
      <c r="AJ154" s="3"/>
      <c r="AL154" s="3"/>
      <c r="AM154" s="3"/>
      <c r="AN154" s="3"/>
    </row>
    <row r="155" ht="15.75" customHeight="1">
      <c r="B155" s="56"/>
      <c r="C155" s="56"/>
      <c r="G155" s="3"/>
      <c r="N155" s="62"/>
      <c r="P155" s="63"/>
      <c r="Q155" s="64"/>
      <c r="AG155" s="607"/>
      <c r="AH155" s="3"/>
      <c r="AI155" s="3"/>
      <c r="AJ155" s="3"/>
      <c r="AL155" s="3"/>
      <c r="AM155" s="3"/>
      <c r="AN155" s="3"/>
    </row>
    <row r="156" ht="15.75" customHeight="1">
      <c r="B156" s="56"/>
      <c r="C156" s="56"/>
      <c r="G156" s="3"/>
      <c r="N156" s="62"/>
      <c r="P156" s="63"/>
      <c r="Q156" s="64"/>
      <c r="AG156" s="607"/>
      <c r="AH156" s="3"/>
      <c r="AI156" s="3"/>
      <c r="AJ156" s="3"/>
      <c r="AL156" s="3"/>
      <c r="AM156" s="3"/>
      <c r="AN156" s="3"/>
    </row>
    <row r="157" ht="15.75" customHeight="1">
      <c r="B157" s="56"/>
      <c r="C157" s="56"/>
      <c r="G157" s="3"/>
      <c r="N157" s="62"/>
      <c r="P157" s="63"/>
      <c r="Q157" s="64"/>
      <c r="AG157" s="607"/>
      <c r="AH157" s="3"/>
      <c r="AI157" s="3"/>
      <c r="AJ157" s="3"/>
      <c r="AL157" s="3"/>
      <c r="AM157" s="3"/>
      <c r="AN157" s="3"/>
    </row>
    <row r="158" ht="15.75" customHeight="1">
      <c r="B158" s="56"/>
      <c r="C158" s="56"/>
      <c r="G158" s="3"/>
      <c r="N158" s="62"/>
      <c r="P158" s="63"/>
      <c r="Q158" s="64"/>
      <c r="AG158" s="607"/>
      <c r="AH158" s="3"/>
      <c r="AI158" s="3"/>
      <c r="AJ158" s="3"/>
      <c r="AL158" s="3"/>
      <c r="AM158" s="3"/>
      <c r="AN158" s="3"/>
    </row>
    <row r="159" ht="15.75" customHeight="1">
      <c r="B159" s="56"/>
      <c r="C159" s="56"/>
      <c r="G159" s="3"/>
      <c r="N159" s="62"/>
      <c r="P159" s="63"/>
      <c r="Q159" s="64"/>
      <c r="AG159" s="607"/>
      <c r="AH159" s="3"/>
      <c r="AI159" s="3"/>
      <c r="AJ159" s="3"/>
      <c r="AL159" s="3"/>
      <c r="AM159" s="3"/>
      <c r="AN159" s="3"/>
    </row>
    <row r="160" ht="15.75" customHeight="1">
      <c r="B160" s="56"/>
      <c r="C160" s="56"/>
      <c r="G160" s="3"/>
      <c r="N160" s="62"/>
      <c r="P160" s="63"/>
      <c r="Q160" s="64"/>
      <c r="AG160" s="607"/>
      <c r="AH160" s="3"/>
      <c r="AI160" s="3"/>
      <c r="AJ160" s="3"/>
      <c r="AL160" s="3"/>
      <c r="AM160" s="3"/>
      <c r="AN160" s="3"/>
    </row>
    <row r="161" ht="15.75" customHeight="1">
      <c r="B161" s="56"/>
      <c r="C161" s="56"/>
      <c r="G161" s="3"/>
      <c r="N161" s="62"/>
      <c r="P161" s="63"/>
      <c r="Q161" s="64"/>
      <c r="AG161" s="607"/>
      <c r="AH161" s="3"/>
      <c r="AI161" s="3"/>
      <c r="AJ161" s="3"/>
      <c r="AL161" s="3"/>
      <c r="AM161" s="3"/>
      <c r="AN161" s="3"/>
    </row>
    <row r="162" ht="15.75" customHeight="1">
      <c r="B162" s="56"/>
      <c r="C162" s="56"/>
      <c r="G162" s="3"/>
      <c r="N162" s="62"/>
      <c r="P162" s="63"/>
      <c r="Q162" s="64"/>
      <c r="AG162" s="607"/>
      <c r="AH162" s="3"/>
      <c r="AI162" s="3"/>
      <c r="AJ162" s="3"/>
      <c r="AL162" s="3"/>
      <c r="AM162" s="3"/>
      <c r="AN162" s="3"/>
    </row>
    <row r="163" ht="15.75" customHeight="1">
      <c r="B163" s="56"/>
      <c r="C163" s="56"/>
      <c r="G163" s="3"/>
      <c r="N163" s="62"/>
      <c r="P163" s="63"/>
      <c r="Q163" s="64"/>
      <c r="AG163" s="607"/>
      <c r="AH163" s="3"/>
      <c r="AI163" s="3"/>
      <c r="AJ163" s="3"/>
      <c r="AL163" s="3"/>
      <c r="AM163" s="3"/>
      <c r="AN163" s="3"/>
    </row>
    <row r="164" ht="15.75" customHeight="1">
      <c r="B164" s="56"/>
      <c r="C164" s="56"/>
      <c r="G164" s="3"/>
      <c r="N164" s="62"/>
      <c r="P164" s="63"/>
      <c r="Q164" s="64"/>
      <c r="AG164" s="607"/>
      <c r="AH164" s="3"/>
      <c r="AI164" s="3"/>
      <c r="AJ164" s="3"/>
      <c r="AL164" s="3"/>
      <c r="AM164" s="3"/>
      <c r="AN164" s="3"/>
    </row>
    <row r="165" ht="15.75" customHeight="1">
      <c r="B165" s="56"/>
      <c r="C165" s="56"/>
      <c r="G165" s="3"/>
      <c r="N165" s="62"/>
      <c r="P165" s="63"/>
      <c r="Q165" s="64"/>
      <c r="AG165" s="607"/>
      <c r="AH165" s="3"/>
      <c r="AI165" s="3"/>
      <c r="AJ165" s="3"/>
      <c r="AL165" s="3"/>
      <c r="AM165" s="3"/>
      <c r="AN165" s="3"/>
    </row>
    <row r="166" ht="15.75" customHeight="1">
      <c r="B166" s="56"/>
      <c r="C166" s="56"/>
      <c r="G166" s="3"/>
      <c r="N166" s="62"/>
      <c r="P166" s="63"/>
      <c r="Q166" s="64"/>
      <c r="AG166" s="607"/>
      <c r="AH166" s="3"/>
      <c r="AI166" s="3"/>
      <c r="AJ166" s="3"/>
      <c r="AL166" s="3"/>
      <c r="AM166" s="3"/>
      <c r="AN166" s="3"/>
    </row>
    <row r="167" ht="15.75" customHeight="1">
      <c r="B167" s="56"/>
      <c r="C167" s="56"/>
      <c r="G167" s="3"/>
      <c r="N167" s="62"/>
      <c r="P167" s="63"/>
      <c r="Q167" s="64"/>
      <c r="AG167" s="607"/>
      <c r="AH167" s="3"/>
      <c r="AI167" s="3"/>
      <c r="AJ167" s="3"/>
      <c r="AL167" s="3"/>
      <c r="AM167" s="3"/>
      <c r="AN167" s="3"/>
    </row>
    <row r="168" ht="15.75" customHeight="1">
      <c r="B168" s="56"/>
      <c r="C168" s="56"/>
      <c r="G168" s="3"/>
      <c r="N168" s="62"/>
      <c r="P168" s="63"/>
      <c r="Q168" s="64"/>
      <c r="AG168" s="607"/>
      <c r="AH168" s="3"/>
      <c r="AI168" s="3"/>
      <c r="AJ168" s="3"/>
      <c r="AL168" s="3"/>
      <c r="AM168" s="3"/>
      <c r="AN168" s="3"/>
    </row>
    <row r="169" ht="15.75" customHeight="1">
      <c r="B169" s="56"/>
      <c r="C169" s="56"/>
      <c r="G169" s="3"/>
      <c r="N169" s="62"/>
      <c r="P169" s="63"/>
      <c r="AG169" s="607"/>
      <c r="AH169" s="3"/>
      <c r="AI169" s="3"/>
      <c r="AJ169" s="3"/>
      <c r="AL169" s="3"/>
      <c r="AM169" s="3"/>
      <c r="AN169" s="3"/>
    </row>
    <row r="170" ht="15.75" customHeight="1">
      <c r="B170" s="56"/>
      <c r="C170" s="56"/>
      <c r="G170" s="3"/>
      <c r="N170" s="62"/>
      <c r="P170" s="63"/>
      <c r="AG170" s="607"/>
      <c r="AH170" s="3"/>
      <c r="AI170" s="3"/>
      <c r="AJ170" s="3"/>
      <c r="AL170" s="3"/>
      <c r="AM170" s="3"/>
      <c r="AN170" s="3"/>
    </row>
    <row r="171" ht="15.75" customHeight="1">
      <c r="B171" s="56"/>
      <c r="C171" s="56"/>
      <c r="G171" s="3"/>
      <c r="N171" s="62"/>
      <c r="P171" s="63"/>
      <c r="AG171" s="607"/>
      <c r="AH171" s="3"/>
      <c r="AI171" s="3"/>
      <c r="AJ171" s="3"/>
      <c r="AL171" s="3"/>
      <c r="AM171" s="3"/>
      <c r="AN171" s="3"/>
    </row>
    <row r="172" ht="15.75" customHeight="1">
      <c r="B172" s="56"/>
      <c r="C172" s="56"/>
      <c r="G172" s="3"/>
      <c r="N172" s="62"/>
      <c r="P172" s="63"/>
      <c r="AG172" s="607"/>
      <c r="AH172" s="3"/>
      <c r="AI172" s="3"/>
      <c r="AJ172" s="3"/>
      <c r="AL172" s="3"/>
      <c r="AM172" s="3"/>
      <c r="AN172" s="3"/>
    </row>
    <row r="173" ht="15.75" customHeight="1">
      <c r="B173" s="56"/>
      <c r="C173" s="56"/>
      <c r="G173" s="3"/>
      <c r="N173" s="62"/>
      <c r="P173" s="63"/>
      <c r="AG173" s="607"/>
      <c r="AH173" s="3"/>
      <c r="AI173" s="3"/>
      <c r="AJ173" s="3"/>
      <c r="AL173" s="3"/>
      <c r="AM173" s="3"/>
      <c r="AN173" s="3"/>
    </row>
    <row r="174" ht="15.75" customHeight="1">
      <c r="B174" s="56"/>
      <c r="C174" s="56"/>
      <c r="G174" s="3"/>
      <c r="N174" s="62"/>
      <c r="P174" s="63"/>
      <c r="AG174" s="607"/>
      <c r="AH174" s="3"/>
      <c r="AI174" s="3"/>
      <c r="AJ174" s="3"/>
      <c r="AL174" s="3"/>
      <c r="AM174" s="3"/>
      <c r="AN174" s="3"/>
    </row>
    <row r="175" ht="15.75" customHeight="1">
      <c r="B175" s="56"/>
      <c r="C175" s="56"/>
      <c r="G175" s="3"/>
      <c r="N175" s="62"/>
      <c r="P175" s="63"/>
      <c r="AG175" s="607"/>
      <c r="AH175" s="3"/>
      <c r="AI175" s="3"/>
      <c r="AJ175" s="3"/>
      <c r="AL175" s="3"/>
      <c r="AM175" s="3"/>
      <c r="AN175" s="3"/>
    </row>
    <row r="176" ht="15.75" customHeight="1">
      <c r="B176" s="56"/>
      <c r="C176" s="56"/>
      <c r="G176" s="3"/>
      <c r="N176" s="62"/>
      <c r="P176" s="63"/>
      <c r="AG176" s="607"/>
      <c r="AH176" s="3"/>
      <c r="AI176" s="3"/>
      <c r="AJ176" s="3"/>
      <c r="AL176" s="3"/>
      <c r="AM176" s="3"/>
      <c r="AN176" s="3"/>
    </row>
    <row r="177" ht="15.75" customHeight="1">
      <c r="B177" s="56"/>
      <c r="C177" s="56"/>
      <c r="G177" s="3"/>
      <c r="N177" s="62"/>
      <c r="P177" s="63"/>
      <c r="AG177" s="607"/>
      <c r="AH177" s="3"/>
      <c r="AI177" s="3"/>
      <c r="AJ177" s="3"/>
      <c r="AL177" s="3"/>
      <c r="AM177" s="3"/>
      <c r="AN177" s="3"/>
    </row>
    <row r="178" ht="15.75" customHeight="1">
      <c r="B178" s="56"/>
      <c r="C178" s="56"/>
      <c r="G178" s="3"/>
      <c r="N178" s="62"/>
      <c r="P178" s="63"/>
      <c r="AG178" s="607"/>
      <c r="AH178" s="3"/>
      <c r="AI178" s="3"/>
      <c r="AJ178" s="3"/>
      <c r="AL178" s="3"/>
      <c r="AM178" s="3"/>
      <c r="AN178" s="3"/>
    </row>
    <row r="179" ht="15.75" customHeight="1">
      <c r="B179" s="56"/>
      <c r="C179" s="56"/>
      <c r="G179" s="3"/>
      <c r="N179" s="62"/>
      <c r="P179" s="63"/>
      <c r="AG179" s="607"/>
      <c r="AH179" s="3"/>
      <c r="AI179" s="3"/>
      <c r="AJ179" s="3"/>
      <c r="AL179" s="3"/>
      <c r="AM179" s="3"/>
      <c r="AN179" s="3"/>
    </row>
    <row r="180" ht="15.75" customHeight="1">
      <c r="B180" s="56"/>
      <c r="C180" s="56"/>
      <c r="G180" s="3"/>
      <c r="N180" s="62"/>
      <c r="P180" s="63"/>
      <c r="AG180" s="607"/>
      <c r="AH180" s="3"/>
      <c r="AI180" s="3"/>
      <c r="AJ180" s="3"/>
      <c r="AL180" s="3"/>
      <c r="AM180" s="3"/>
      <c r="AN180" s="3"/>
    </row>
    <row r="181" ht="15.75" customHeight="1">
      <c r="B181" s="56"/>
      <c r="C181" s="56"/>
      <c r="G181" s="3"/>
      <c r="N181" s="62"/>
      <c r="P181" s="63"/>
      <c r="AG181" s="607"/>
      <c r="AH181" s="3"/>
      <c r="AI181" s="3"/>
      <c r="AJ181" s="3"/>
      <c r="AL181" s="3"/>
      <c r="AM181" s="3"/>
      <c r="AN181" s="3"/>
    </row>
    <row r="182" ht="15.75" customHeight="1">
      <c r="B182" s="56"/>
      <c r="C182" s="56"/>
      <c r="G182" s="3"/>
      <c r="N182" s="62"/>
      <c r="P182" s="63"/>
      <c r="AG182" s="607"/>
      <c r="AH182" s="3"/>
      <c r="AI182" s="3"/>
      <c r="AJ182" s="3"/>
      <c r="AL182" s="3"/>
      <c r="AM182" s="3"/>
      <c r="AN182" s="3"/>
    </row>
    <row r="183" ht="15.75" customHeight="1">
      <c r="B183" s="56"/>
      <c r="C183" s="56"/>
      <c r="G183" s="3"/>
      <c r="N183" s="62"/>
      <c r="P183" s="63"/>
      <c r="AG183" s="607"/>
      <c r="AH183" s="3"/>
      <c r="AI183" s="3"/>
      <c r="AJ183" s="3"/>
      <c r="AL183" s="3"/>
      <c r="AM183" s="3"/>
      <c r="AN183" s="3"/>
    </row>
    <row r="184" ht="15.75" customHeight="1">
      <c r="B184" s="56"/>
      <c r="C184" s="56"/>
      <c r="G184" s="3"/>
      <c r="N184" s="62"/>
      <c r="P184" s="63"/>
      <c r="AG184" s="607"/>
      <c r="AH184" s="3"/>
      <c r="AI184" s="3"/>
      <c r="AJ184" s="3"/>
      <c r="AL184" s="3"/>
      <c r="AM184" s="3"/>
      <c r="AN184" s="3"/>
    </row>
    <row r="185" ht="15.75" customHeight="1">
      <c r="B185" s="56"/>
      <c r="C185" s="56"/>
      <c r="G185" s="3"/>
      <c r="N185" s="62"/>
      <c r="P185" s="63"/>
      <c r="AG185" s="607"/>
      <c r="AH185" s="3"/>
      <c r="AI185" s="3"/>
      <c r="AJ185" s="3"/>
      <c r="AL185" s="3"/>
      <c r="AM185" s="3"/>
      <c r="AN185" s="3"/>
    </row>
    <row r="186" ht="15.75" customHeight="1">
      <c r="B186" s="56"/>
      <c r="C186" s="56"/>
      <c r="G186" s="3"/>
      <c r="N186" s="62"/>
      <c r="P186" s="63"/>
      <c r="AG186" s="607"/>
      <c r="AH186" s="3"/>
      <c r="AI186" s="3"/>
      <c r="AJ186" s="3"/>
      <c r="AL186" s="3"/>
      <c r="AM186" s="3"/>
      <c r="AN186" s="3"/>
    </row>
    <row r="187" ht="15.75" customHeight="1">
      <c r="B187" s="56"/>
      <c r="C187" s="56"/>
      <c r="G187" s="3"/>
      <c r="N187" s="62"/>
      <c r="P187" s="63"/>
      <c r="AG187" s="607"/>
      <c r="AH187" s="3"/>
      <c r="AI187" s="3"/>
      <c r="AJ187" s="3"/>
      <c r="AL187" s="3"/>
      <c r="AM187" s="3"/>
      <c r="AN187" s="3"/>
    </row>
    <row r="188" ht="15.75" customHeight="1">
      <c r="B188" s="56"/>
      <c r="C188" s="56"/>
      <c r="G188" s="3"/>
      <c r="N188" s="62"/>
      <c r="P188" s="63"/>
      <c r="AG188" s="607"/>
      <c r="AH188" s="3"/>
      <c r="AI188" s="3"/>
      <c r="AJ188" s="3"/>
      <c r="AL188" s="3"/>
      <c r="AM188" s="3"/>
      <c r="AN188" s="3"/>
    </row>
    <row r="189" ht="15.75" customHeight="1">
      <c r="B189" s="56"/>
      <c r="C189" s="56"/>
      <c r="G189" s="3"/>
      <c r="N189" s="62"/>
      <c r="P189" s="63"/>
      <c r="AG189" s="607"/>
      <c r="AH189" s="3"/>
      <c r="AI189" s="3"/>
      <c r="AJ189" s="3"/>
      <c r="AL189" s="3"/>
      <c r="AM189" s="3"/>
      <c r="AN189" s="3"/>
    </row>
    <row r="190" ht="15.75" customHeight="1">
      <c r="B190" s="56"/>
      <c r="C190" s="56"/>
      <c r="G190" s="3"/>
      <c r="N190" s="62"/>
      <c r="P190" s="63"/>
      <c r="AG190" s="607"/>
      <c r="AH190" s="3"/>
      <c r="AI190" s="3"/>
      <c r="AJ190" s="3"/>
      <c r="AL190" s="3"/>
      <c r="AM190" s="3"/>
      <c r="AN190" s="3"/>
    </row>
    <row r="191" ht="15.75" customHeight="1">
      <c r="B191" s="56"/>
      <c r="C191" s="56"/>
      <c r="G191" s="3"/>
      <c r="N191" s="62"/>
      <c r="P191" s="63"/>
      <c r="AG191" s="607"/>
      <c r="AH191" s="3"/>
      <c r="AI191" s="3"/>
      <c r="AJ191" s="3"/>
      <c r="AL191" s="3"/>
      <c r="AM191" s="3"/>
      <c r="AN191" s="3"/>
    </row>
    <row r="192" ht="15.75" customHeight="1">
      <c r="B192" s="56"/>
      <c r="C192" s="56"/>
      <c r="G192" s="3"/>
      <c r="N192" s="62"/>
      <c r="P192" s="63"/>
      <c r="AG192" s="607"/>
      <c r="AH192" s="3"/>
      <c r="AI192" s="3"/>
      <c r="AJ192" s="3"/>
      <c r="AL192" s="3"/>
      <c r="AM192" s="3"/>
      <c r="AN192" s="3"/>
    </row>
    <row r="193" ht="15.75" customHeight="1">
      <c r="B193" s="56"/>
      <c r="C193" s="56"/>
      <c r="G193" s="3"/>
      <c r="N193" s="62"/>
      <c r="P193" s="63"/>
      <c r="AG193" s="607"/>
      <c r="AH193" s="3"/>
      <c r="AI193" s="3"/>
      <c r="AJ193" s="3"/>
      <c r="AL193" s="3"/>
      <c r="AM193" s="3"/>
      <c r="AN193" s="3"/>
    </row>
    <row r="194" ht="15.75" customHeight="1">
      <c r="B194" s="56"/>
      <c r="C194" s="56"/>
      <c r="G194" s="3"/>
      <c r="N194" s="62"/>
      <c r="P194" s="63"/>
      <c r="AG194" s="607"/>
      <c r="AH194" s="3"/>
      <c r="AI194" s="3"/>
      <c r="AJ194" s="3"/>
      <c r="AL194" s="3"/>
      <c r="AM194" s="3"/>
      <c r="AN194" s="3"/>
    </row>
    <row r="195" ht="15.75" customHeight="1">
      <c r="B195" s="56"/>
      <c r="C195" s="56"/>
      <c r="G195" s="3"/>
      <c r="N195" s="62"/>
      <c r="P195" s="63"/>
      <c r="AG195" s="607"/>
      <c r="AH195" s="3"/>
      <c r="AI195" s="3"/>
      <c r="AJ195" s="3"/>
      <c r="AL195" s="3"/>
      <c r="AM195" s="3"/>
      <c r="AN195" s="3"/>
    </row>
    <row r="196" ht="15.75" customHeight="1">
      <c r="B196" s="56"/>
      <c r="C196" s="56"/>
      <c r="G196" s="3"/>
      <c r="N196" s="62"/>
      <c r="P196" s="63"/>
      <c r="AG196" s="607"/>
      <c r="AH196" s="3"/>
      <c r="AI196" s="3"/>
      <c r="AJ196" s="3"/>
      <c r="AL196" s="3"/>
      <c r="AM196" s="3"/>
      <c r="AN196" s="3"/>
    </row>
    <row r="197" ht="15.75" customHeight="1">
      <c r="B197" s="56"/>
      <c r="C197" s="56"/>
      <c r="G197" s="3"/>
      <c r="N197" s="62"/>
      <c r="P197" s="63"/>
      <c r="AG197" s="607"/>
      <c r="AH197" s="3"/>
      <c r="AI197" s="3"/>
      <c r="AJ197" s="3"/>
      <c r="AL197" s="3"/>
      <c r="AM197" s="3"/>
      <c r="AN197" s="3"/>
    </row>
    <row r="198" ht="15.75" customHeight="1">
      <c r="B198" s="56"/>
      <c r="C198" s="56"/>
      <c r="G198" s="3"/>
      <c r="N198" s="62"/>
      <c r="P198" s="63"/>
      <c r="AG198" s="607"/>
      <c r="AH198" s="3"/>
      <c r="AI198" s="3"/>
      <c r="AJ198" s="3"/>
      <c r="AL198" s="3"/>
      <c r="AM198" s="3"/>
      <c r="AN198" s="3"/>
    </row>
    <row r="199" ht="15.75" customHeight="1">
      <c r="G199" s="3"/>
      <c r="N199" s="62"/>
      <c r="P199" s="63"/>
      <c r="AG199" s="607"/>
      <c r="AH199" s="3"/>
      <c r="AI199" s="3"/>
      <c r="AJ199" s="3"/>
      <c r="AL199" s="3"/>
      <c r="AM199" s="3"/>
      <c r="AN199" s="3"/>
    </row>
    <row r="200" ht="15.75" customHeight="1">
      <c r="G200" s="3"/>
      <c r="N200" s="62"/>
      <c r="P200" s="63"/>
      <c r="AG200" s="607"/>
      <c r="AH200" s="3"/>
      <c r="AI200" s="3"/>
      <c r="AJ200" s="3"/>
      <c r="AL200" s="3"/>
      <c r="AM200" s="3"/>
      <c r="AN200" s="3"/>
    </row>
    <row r="201" ht="15.75" customHeight="1">
      <c r="G201" s="3"/>
      <c r="N201" s="62"/>
      <c r="P201" s="63"/>
      <c r="AG201" s="607"/>
      <c r="AH201" s="3"/>
      <c r="AI201" s="3"/>
      <c r="AJ201" s="3"/>
      <c r="AL201" s="3"/>
      <c r="AM201" s="3"/>
      <c r="AN201" s="3"/>
    </row>
    <row r="202" ht="15.75" customHeight="1">
      <c r="G202" s="3"/>
      <c r="N202" s="62"/>
      <c r="P202" s="63"/>
      <c r="AG202" s="607"/>
      <c r="AH202" s="3"/>
      <c r="AI202" s="3"/>
      <c r="AJ202" s="3"/>
      <c r="AL202" s="3"/>
      <c r="AM202" s="3"/>
      <c r="AN202" s="3"/>
    </row>
    <row r="203" ht="15.75" customHeight="1">
      <c r="G203" s="3"/>
      <c r="N203" s="62"/>
      <c r="P203" s="63"/>
      <c r="AG203" s="607"/>
      <c r="AH203" s="3"/>
      <c r="AI203" s="3"/>
      <c r="AJ203" s="3"/>
      <c r="AL203" s="3"/>
      <c r="AM203" s="3"/>
      <c r="AN203" s="3"/>
    </row>
    <row r="204" ht="15.75" customHeight="1">
      <c r="G204" s="3"/>
      <c r="N204" s="62"/>
      <c r="P204" s="63"/>
      <c r="AG204" s="607"/>
      <c r="AH204" s="3"/>
      <c r="AI204" s="3"/>
      <c r="AJ204" s="3"/>
      <c r="AL204" s="3"/>
      <c r="AM204" s="3"/>
      <c r="AN204" s="3"/>
    </row>
    <row r="205" ht="15.75" customHeight="1">
      <c r="G205" s="3"/>
      <c r="N205" s="62"/>
      <c r="P205" s="63"/>
      <c r="AG205" s="607"/>
      <c r="AH205" s="3"/>
      <c r="AI205" s="3"/>
      <c r="AJ205" s="3"/>
      <c r="AL205" s="3"/>
      <c r="AM205" s="3"/>
      <c r="AN205" s="3"/>
    </row>
    <row r="206" ht="15.75" customHeight="1">
      <c r="G206" s="3"/>
      <c r="N206" s="62"/>
      <c r="P206" s="63"/>
      <c r="AG206" s="607"/>
      <c r="AH206" s="3"/>
      <c r="AI206" s="3"/>
      <c r="AJ206" s="3"/>
      <c r="AL206" s="3"/>
      <c r="AM206" s="3"/>
      <c r="AN206" s="3"/>
    </row>
    <row r="207" ht="15.75" customHeight="1">
      <c r="G207" s="3"/>
      <c r="N207" s="62"/>
      <c r="P207" s="63"/>
      <c r="AG207" s="607"/>
      <c r="AH207" s="3"/>
      <c r="AI207" s="3"/>
      <c r="AJ207" s="3"/>
      <c r="AL207" s="3"/>
      <c r="AM207" s="3"/>
      <c r="AN207" s="3"/>
    </row>
    <row r="208" ht="15.75" customHeight="1">
      <c r="G208" s="3"/>
      <c r="N208" s="62"/>
      <c r="P208" s="63"/>
      <c r="AG208" s="607"/>
      <c r="AH208" s="3"/>
      <c r="AI208" s="3"/>
      <c r="AJ208" s="3"/>
      <c r="AL208" s="3"/>
      <c r="AM208" s="3"/>
      <c r="AN208" s="3"/>
    </row>
    <row r="209" ht="15.75" customHeight="1">
      <c r="G209" s="3"/>
      <c r="N209" s="62"/>
      <c r="P209" s="63"/>
      <c r="AG209" s="607"/>
      <c r="AH209" s="3"/>
      <c r="AI209" s="3"/>
      <c r="AJ209" s="3"/>
      <c r="AL209" s="3"/>
      <c r="AM209" s="3"/>
      <c r="AN209" s="3"/>
    </row>
    <row r="210" ht="15.75" customHeight="1">
      <c r="G210" s="3"/>
      <c r="N210" s="62"/>
      <c r="P210" s="63"/>
      <c r="AG210" s="607"/>
      <c r="AH210" s="3"/>
      <c r="AI210" s="3"/>
      <c r="AJ210" s="3"/>
      <c r="AL210" s="3"/>
      <c r="AM210" s="3"/>
      <c r="AN210" s="3"/>
    </row>
    <row r="211" ht="15.75" customHeight="1">
      <c r="G211" s="3"/>
      <c r="N211" s="62"/>
      <c r="P211" s="63"/>
      <c r="AG211" s="607"/>
      <c r="AH211" s="3"/>
      <c r="AI211" s="3"/>
      <c r="AJ211" s="3"/>
      <c r="AL211" s="3"/>
      <c r="AM211" s="3"/>
      <c r="AN211" s="3"/>
    </row>
    <row r="212" ht="15.75" customHeight="1">
      <c r="G212" s="3"/>
      <c r="P212" s="63"/>
      <c r="AG212" s="607"/>
      <c r="AH212" s="3"/>
      <c r="AI212" s="3"/>
      <c r="AJ212" s="3"/>
      <c r="AL212" s="3"/>
      <c r="AM212" s="3"/>
      <c r="AN212" s="3"/>
    </row>
    <row r="213" ht="15.75" customHeight="1">
      <c r="G213" s="3"/>
      <c r="P213" s="63"/>
      <c r="AG213" s="607"/>
      <c r="AH213" s="3"/>
      <c r="AI213" s="3"/>
      <c r="AJ213" s="3"/>
      <c r="AL213" s="3"/>
      <c r="AM213" s="3"/>
      <c r="AN213" s="3"/>
    </row>
    <row r="214" ht="15.75" customHeight="1">
      <c r="G214" s="3"/>
      <c r="P214" s="63"/>
      <c r="AG214" s="607"/>
      <c r="AH214" s="3"/>
      <c r="AI214" s="3"/>
      <c r="AJ214" s="3"/>
      <c r="AL214" s="3"/>
      <c r="AM214" s="3"/>
      <c r="AN214" s="3"/>
    </row>
    <row r="215" ht="15.75" customHeight="1">
      <c r="G215" s="3"/>
      <c r="P215" s="63"/>
      <c r="AG215" s="607"/>
      <c r="AH215" s="3"/>
      <c r="AI215" s="3"/>
      <c r="AJ215" s="3"/>
      <c r="AL215" s="3"/>
      <c r="AM215" s="3"/>
      <c r="AN215" s="3"/>
    </row>
    <row r="216" ht="15.75" customHeight="1">
      <c r="G216" s="3"/>
      <c r="P216" s="63"/>
      <c r="AG216" s="607"/>
      <c r="AH216" s="3"/>
      <c r="AI216" s="3"/>
      <c r="AJ216" s="3"/>
      <c r="AL216" s="3"/>
      <c r="AM216" s="3"/>
      <c r="AN216" s="3"/>
    </row>
    <row r="217" ht="15.75" customHeight="1">
      <c r="G217" s="3"/>
      <c r="P217" s="63"/>
      <c r="AG217" s="607"/>
      <c r="AH217" s="3"/>
      <c r="AI217" s="3"/>
      <c r="AJ217" s="3"/>
      <c r="AL217" s="3"/>
      <c r="AM217" s="3"/>
      <c r="AN217" s="3"/>
    </row>
    <row r="218" ht="15.75" customHeight="1">
      <c r="G218" s="3"/>
      <c r="P218" s="63"/>
      <c r="AG218" s="607"/>
      <c r="AH218" s="3"/>
      <c r="AI218" s="3"/>
      <c r="AJ218" s="3"/>
      <c r="AL218" s="3"/>
      <c r="AM218" s="3"/>
      <c r="AN218" s="3"/>
    </row>
    <row r="219" ht="15.75" customHeight="1">
      <c r="G219" s="3"/>
      <c r="P219" s="63"/>
      <c r="AG219" s="607"/>
      <c r="AH219" s="3"/>
      <c r="AI219" s="3"/>
      <c r="AJ219" s="3"/>
      <c r="AL219" s="3"/>
      <c r="AM219" s="3"/>
      <c r="AN219" s="3"/>
    </row>
    <row r="220" ht="15.75" customHeight="1">
      <c r="G220" s="3"/>
      <c r="P220" s="63"/>
      <c r="AG220" s="607"/>
      <c r="AH220" s="3"/>
      <c r="AI220" s="3"/>
      <c r="AJ220" s="3"/>
      <c r="AL220" s="3"/>
      <c r="AM220" s="3"/>
      <c r="AN220" s="3"/>
    </row>
    <row r="221" ht="15.75" customHeight="1">
      <c r="G221" s="3"/>
      <c r="P221" s="63"/>
      <c r="AG221" s="607"/>
      <c r="AH221" s="3"/>
      <c r="AI221" s="3"/>
      <c r="AJ221" s="3"/>
      <c r="AL221" s="3"/>
      <c r="AM221" s="3"/>
      <c r="AN221" s="3"/>
    </row>
    <row r="222" ht="15.75" customHeight="1">
      <c r="G222" s="3"/>
      <c r="P222" s="63"/>
      <c r="AG222" s="607"/>
      <c r="AH222" s="3"/>
      <c r="AI222" s="3"/>
      <c r="AJ222" s="3"/>
      <c r="AL222" s="3"/>
      <c r="AM222" s="3"/>
      <c r="AN222" s="3"/>
    </row>
    <row r="223" ht="15.75" customHeight="1">
      <c r="G223" s="3"/>
      <c r="P223" s="63"/>
      <c r="AG223" s="607"/>
      <c r="AH223" s="3"/>
      <c r="AI223" s="3"/>
      <c r="AJ223" s="3"/>
      <c r="AL223" s="3"/>
      <c r="AM223" s="3"/>
      <c r="AN223" s="3"/>
    </row>
    <row r="224" ht="15.75" customHeight="1">
      <c r="G224" s="3"/>
      <c r="P224" s="63"/>
      <c r="AG224" s="607"/>
      <c r="AH224" s="3"/>
      <c r="AI224" s="3"/>
      <c r="AJ224" s="3"/>
      <c r="AL224" s="3"/>
      <c r="AM224" s="3"/>
      <c r="AN224" s="3"/>
    </row>
    <row r="225" ht="15.75" customHeight="1">
      <c r="G225" s="3"/>
      <c r="P225" s="63"/>
      <c r="AG225" s="607"/>
      <c r="AH225" s="3"/>
      <c r="AI225" s="3"/>
      <c r="AJ225" s="3"/>
      <c r="AL225" s="3"/>
      <c r="AM225" s="3"/>
      <c r="AN225" s="3"/>
    </row>
    <row r="226" ht="15.75" customHeight="1">
      <c r="G226" s="3"/>
      <c r="P226" s="63"/>
      <c r="AG226" s="607"/>
      <c r="AH226" s="3"/>
      <c r="AI226" s="3"/>
      <c r="AJ226" s="3"/>
      <c r="AL226" s="3"/>
      <c r="AM226" s="3"/>
      <c r="AN226" s="3"/>
    </row>
    <row r="227" ht="15.75" customHeight="1">
      <c r="G227" s="3"/>
      <c r="P227" s="63"/>
      <c r="AG227" s="607"/>
      <c r="AH227" s="3"/>
      <c r="AI227" s="3"/>
      <c r="AJ227" s="3"/>
      <c r="AL227" s="3"/>
      <c r="AM227" s="3"/>
      <c r="AN227" s="3"/>
    </row>
    <row r="228" ht="15.75" customHeight="1">
      <c r="G228" s="3"/>
      <c r="P228" s="63"/>
      <c r="AG228" s="607"/>
      <c r="AH228" s="3"/>
      <c r="AI228" s="3"/>
      <c r="AJ228" s="3"/>
      <c r="AL228" s="3"/>
      <c r="AM228" s="3"/>
      <c r="AN228" s="3"/>
    </row>
    <row r="229" ht="15.75" customHeight="1">
      <c r="G229" s="3"/>
      <c r="P229" s="63"/>
      <c r="AG229" s="607"/>
      <c r="AH229" s="3"/>
      <c r="AI229" s="3"/>
      <c r="AJ229" s="3"/>
      <c r="AL229" s="3"/>
      <c r="AM229" s="3"/>
      <c r="AN229" s="3"/>
    </row>
    <row r="230" ht="15.75" customHeight="1">
      <c r="G230" s="3"/>
      <c r="P230" s="63"/>
      <c r="AG230" s="607"/>
      <c r="AH230" s="3"/>
      <c r="AI230" s="3"/>
      <c r="AJ230" s="3"/>
      <c r="AL230" s="3"/>
      <c r="AM230" s="3"/>
      <c r="AN230" s="3"/>
    </row>
    <row r="231" ht="15.75" customHeight="1">
      <c r="G231" s="3"/>
      <c r="P231" s="63"/>
      <c r="AG231" s="607"/>
      <c r="AH231" s="3"/>
      <c r="AI231" s="3"/>
      <c r="AJ231" s="3"/>
      <c r="AL231" s="3"/>
      <c r="AM231" s="3"/>
      <c r="AN231" s="3"/>
    </row>
    <row r="232" ht="15.75" customHeight="1">
      <c r="G232" s="3"/>
      <c r="P232" s="63"/>
      <c r="AG232" s="607"/>
      <c r="AH232" s="3"/>
      <c r="AI232" s="3"/>
      <c r="AJ232" s="3"/>
      <c r="AL232" s="3"/>
      <c r="AM232" s="3"/>
      <c r="AN232" s="3"/>
    </row>
    <row r="233" ht="15.75" customHeight="1">
      <c r="G233" s="3"/>
      <c r="P233" s="63"/>
      <c r="AG233" s="607"/>
      <c r="AH233" s="3"/>
      <c r="AI233" s="3"/>
      <c r="AJ233" s="3"/>
      <c r="AL233" s="3"/>
      <c r="AM233" s="3"/>
      <c r="AN233" s="3"/>
    </row>
    <row r="234" ht="15.75" customHeight="1">
      <c r="G234" s="3"/>
      <c r="P234" s="63"/>
      <c r="AG234" s="607"/>
      <c r="AH234" s="3"/>
      <c r="AI234" s="3"/>
      <c r="AJ234" s="3"/>
      <c r="AL234" s="3"/>
      <c r="AM234" s="3"/>
      <c r="AN234" s="3"/>
    </row>
    <row r="235" ht="15.75" customHeight="1">
      <c r="G235" s="3"/>
      <c r="P235" s="63"/>
      <c r="AG235" s="607"/>
      <c r="AH235" s="3"/>
      <c r="AI235" s="3"/>
      <c r="AJ235" s="3"/>
      <c r="AL235" s="3"/>
      <c r="AM235" s="3"/>
      <c r="AN235" s="3"/>
    </row>
    <row r="236" ht="15.75" customHeight="1">
      <c r="G236" s="3"/>
      <c r="P236" s="63"/>
      <c r="AG236" s="607"/>
      <c r="AH236" s="3"/>
      <c r="AI236" s="3"/>
      <c r="AJ236" s="3"/>
      <c r="AL236" s="3"/>
      <c r="AM236" s="3"/>
      <c r="AN236" s="3"/>
    </row>
    <row r="237" ht="15.75" customHeight="1">
      <c r="G237" s="3"/>
      <c r="P237" s="63"/>
      <c r="AG237" s="607"/>
      <c r="AH237" s="3"/>
      <c r="AI237" s="3"/>
      <c r="AJ237" s="3"/>
      <c r="AL237" s="3"/>
      <c r="AM237" s="3"/>
      <c r="AN237" s="3"/>
    </row>
    <row r="238" ht="15.75" customHeight="1">
      <c r="G238" s="3"/>
      <c r="P238" s="63"/>
      <c r="AG238" s="607"/>
      <c r="AH238" s="3"/>
      <c r="AI238" s="3"/>
      <c r="AJ238" s="3"/>
      <c r="AL238" s="3"/>
      <c r="AM238" s="3"/>
      <c r="AN238" s="3"/>
    </row>
    <row r="239" ht="15.75" customHeight="1">
      <c r="G239" s="3"/>
      <c r="P239" s="63"/>
      <c r="AG239" s="607"/>
      <c r="AH239" s="3"/>
      <c r="AI239" s="3"/>
      <c r="AJ239" s="3"/>
      <c r="AL239" s="3"/>
      <c r="AM239" s="3"/>
      <c r="AN239" s="3"/>
    </row>
    <row r="240" ht="15.75" customHeight="1">
      <c r="G240" s="3"/>
      <c r="P240" s="63"/>
      <c r="AG240" s="607"/>
      <c r="AH240" s="3"/>
      <c r="AI240" s="3"/>
      <c r="AJ240" s="3"/>
      <c r="AL240" s="3"/>
      <c r="AM240" s="3"/>
      <c r="AN240" s="3"/>
    </row>
    <row r="241" ht="15.75" customHeight="1">
      <c r="G241" s="3"/>
      <c r="P241" s="63"/>
      <c r="AG241" s="607"/>
      <c r="AH241" s="3"/>
      <c r="AI241" s="3"/>
      <c r="AJ241" s="3"/>
      <c r="AL241" s="3"/>
      <c r="AM241" s="3"/>
      <c r="AN241" s="3"/>
    </row>
    <row r="242" ht="15.75" customHeight="1">
      <c r="G242" s="3"/>
      <c r="P242" s="63"/>
      <c r="AG242" s="607"/>
      <c r="AH242" s="3"/>
      <c r="AI242" s="3"/>
      <c r="AJ242" s="3"/>
      <c r="AL242" s="3"/>
      <c r="AM242" s="3"/>
      <c r="AN242" s="3"/>
    </row>
    <row r="243" ht="15.75" customHeight="1">
      <c r="G243" s="3"/>
      <c r="P243" s="63"/>
      <c r="AG243" s="607"/>
      <c r="AH243" s="3"/>
      <c r="AI243" s="3"/>
      <c r="AJ243" s="3"/>
      <c r="AL243" s="3"/>
      <c r="AM243" s="3"/>
      <c r="AN243" s="3"/>
    </row>
    <row r="244" ht="15.75" customHeight="1">
      <c r="G244" s="3"/>
      <c r="P244" s="63"/>
      <c r="AG244" s="607"/>
      <c r="AH244" s="3"/>
      <c r="AI244" s="3"/>
      <c r="AJ244" s="3"/>
      <c r="AL244" s="3"/>
      <c r="AM244" s="3"/>
      <c r="AN244" s="3"/>
    </row>
    <row r="245" ht="15.75" customHeight="1">
      <c r="G245" s="3"/>
      <c r="P245" s="63"/>
      <c r="AG245" s="607"/>
      <c r="AH245" s="3"/>
      <c r="AI245" s="3"/>
      <c r="AJ245" s="3"/>
      <c r="AL245" s="3"/>
      <c r="AM245" s="3"/>
      <c r="AN245" s="3"/>
    </row>
    <row r="246" ht="15.75" customHeight="1">
      <c r="G246" s="3"/>
      <c r="P246" s="63"/>
      <c r="AG246" s="607"/>
      <c r="AH246" s="3"/>
      <c r="AI246" s="3"/>
      <c r="AJ246" s="3"/>
      <c r="AL246" s="3"/>
      <c r="AM246" s="3"/>
      <c r="AN246" s="3"/>
    </row>
    <row r="247" ht="15.75" customHeight="1">
      <c r="G247" s="3"/>
      <c r="P247" s="63"/>
      <c r="AG247" s="607"/>
      <c r="AH247" s="3"/>
      <c r="AI247" s="3"/>
      <c r="AJ247" s="3"/>
      <c r="AL247" s="3"/>
      <c r="AM247" s="3"/>
      <c r="AN247" s="3"/>
    </row>
    <row r="248" ht="15.75" customHeight="1">
      <c r="G248" s="3"/>
      <c r="P248" s="63"/>
      <c r="AG248" s="607"/>
      <c r="AH248" s="3"/>
      <c r="AI248" s="3"/>
      <c r="AJ248" s="3"/>
      <c r="AL248" s="3"/>
      <c r="AM248" s="3"/>
      <c r="AN248" s="3"/>
    </row>
    <row r="249" ht="15.75" customHeight="1">
      <c r="G249" s="3"/>
      <c r="P249" s="63"/>
      <c r="AG249" s="607"/>
      <c r="AH249" s="3"/>
      <c r="AI249" s="3"/>
      <c r="AJ249" s="3"/>
      <c r="AL249" s="3"/>
      <c r="AM249" s="3"/>
      <c r="AN249" s="3"/>
    </row>
    <row r="250" ht="15.75" customHeight="1">
      <c r="G250" s="3"/>
      <c r="P250" s="63"/>
      <c r="AG250" s="607"/>
      <c r="AH250" s="3"/>
      <c r="AI250" s="3"/>
      <c r="AJ250" s="3"/>
      <c r="AL250" s="3"/>
      <c r="AM250" s="3"/>
      <c r="AN250" s="3"/>
    </row>
    <row r="251" ht="15.75" customHeight="1">
      <c r="G251" s="3"/>
      <c r="P251" s="63"/>
      <c r="AG251" s="607"/>
      <c r="AH251" s="3"/>
      <c r="AI251" s="3"/>
      <c r="AJ251" s="3"/>
      <c r="AL251" s="3"/>
      <c r="AM251" s="3"/>
      <c r="AN251" s="3"/>
    </row>
    <row r="252" ht="15.75" customHeight="1">
      <c r="G252" s="3"/>
      <c r="P252" s="63"/>
      <c r="AG252" s="607"/>
      <c r="AH252" s="3"/>
      <c r="AI252" s="3"/>
      <c r="AJ252" s="3"/>
      <c r="AL252" s="3"/>
      <c r="AM252" s="3"/>
      <c r="AN252" s="3"/>
    </row>
    <row r="253" ht="15.75" customHeight="1">
      <c r="G253" s="3"/>
      <c r="P253" s="63"/>
      <c r="AG253" s="607"/>
      <c r="AH253" s="3"/>
      <c r="AI253" s="3"/>
      <c r="AJ253" s="3"/>
      <c r="AL253" s="3"/>
      <c r="AM253" s="3"/>
      <c r="AN253" s="3"/>
    </row>
    <row r="254" ht="15.75" customHeight="1">
      <c r="G254" s="3"/>
      <c r="P254" s="63"/>
      <c r="AG254" s="607"/>
      <c r="AH254" s="3"/>
      <c r="AI254" s="3"/>
      <c r="AJ254" s="3"/>
      <c r="AL254" s="3"/>
      <c r="AM254" s="3"/>
      <c r="AN254" s="3"/>
    </row>
    <row r="255" ht="15.75" customHeight="1">
      <c r="G255" s="3"/>
      <c r="P255" s="63"/>
      <c r="AG255" s="607"/>
      <c r="AH255" s="3"/>
      <c r="AI255" s="3"/>
      <c r="AJ255" s="3"/>
      <c r="AL255" s="3"/>
      <c r="AM255" s="3"/>
      <c r="AN255" s="3"/>
    </row>
    <row r="256" ht="15.75" customHeight="1">
      <c r="G256" s="3"/>
      <c r="P256" s="63"/>
      <c r="AG256" s="607"/>
      <c r="AH256" s="3"/>
      <c r="AI256" s="3"/>
      <c r="AJ256" s="3"/>
      <c r="AL256" s="3"/>
      <c r="AM256" s="3"/>
      <c r="AN256" s="3"/>
    </row>
    <row r="257" ht="15.75" customHeight="1">
      <c r="G257" s="3"/>
      <c r="P257" s="63"/>
      <c r="AG257" s="607"/>
      <c r="AH257" s="3"/>
      <c r="AI257" s="3"/>
      <c r="AJ257" s="3"/>
      <c r="AL257" s="3"/>
      <c r="AM257" s="3"/>
      <c r="AN257" s="3"/>
    </row>
    <row r="258" ht="15.75" customHeight="1">
      <c r="G258" s="3"/>
      <c r="P258" s="63"/>
      <c r="AG258" s="607"/>
      <c r="AH258" s="3"/>
      <c r="AI258" s="3"/>
      <c r="AJ258" s="3"/>
      <c r="AL258" s="3"/>
      <c r="AM258" s="3"/>
      <c r="AN258" s="3"/>
    </row>
    <row r="259" ht="15.75" customHeight="1">
      <c r="G259" s="3"/>
      <c r="P259" s="63"/>
      <c r="AG259" s="607"/>
      <c r="AH259" s="3"/>
      <c r="AI259" s="3"/>
      <c r="AJ259" s="3"/>
      <c r="AL259" s="3"/>
      <c r="AM259" s="3"/>
      <c r="AN259" s="3"/>
    </row>
    <row r="260" ht="15.75" customHeight="1">
      <c r="G260" s="3"/>
      <c r="P260" s="63"/>
      <c r="AG260" s="607"/>
      <c r="AH260" s="3"/>
      <c r="AI260" s="3"/>
      <c r="AJ260" s="3"/>
      <c r="AL260" s="3"/>
      <c r="AM260" s="3"/>
      <c r="AN260" s="3"/>
    </row>
    <row r="261" ht="15.75" customHeight="1">
      <c r="G261" s="3"/>
      <c r="P261" s="63"/>
      <c r="AG261" s="607"/>
      <c r="AH261" s="3"/>
      <c r="AI261" s="3"/>
      <c r="AJ261" s="3"/>
      <c r="AL261" s="3"/>
      <c r="AM261" s="3"/>
      <c r="AN261" s="3"/>
    </row>
    <row r="262" ht="15.75" customHeight="1">
      <c r="G262" s="3"/>
      <c r="P262" s="63"/>
      <c r="AG262" s="607"/>
      <c r="AH262" s="3"/>
      <c r="AI262" s="3"/>
      <c r="AJ262" s="3"/>
      <c r="AL262" s="3"/>
      <c r="AM262" s="3"/>
      <c r="AN262" s="3"/>
    </row>
    <row r="263" ht="15.75" customHeight="1">
      <c r="G263" s="3"/>
      <c r="P263" s="63"/>
      <c r="AG263" s="607"/>
      <c r="AH263" s="3"/>
      <c r="AI263" s="3"/>
      <c r="AJ263" s="3"/>
      <c r="AL263" s="3"/>
      <c r="AM263" s="3"/>
      <c r="AN263" s="3"/>
    </row>
    <row r="264" ht="15.75" customHeight="1">
      <c r="G264" s="3"/>
      <c r="P264" s="63"/>
      <c r="AG264" s="607"/>
      <c r="AH264" s="3"/>
      <c r="AI264" s="3"/>
      <c r="AJ264" s="3"/>
      <c r="AL264" s="3"/>
      <c r="AM264" s="3"/>
      <c r="AN264" s="3"/>
    </row>
    <row r="265" ht="15.75" customHeight="1">
      <c r="G265" s="3"/>
      <c r="P265" s="63"/>
      <c r="AG265" s="607"/>
      <c r="AH265" s="3"/>
      <c r="AI265" s="3"/>
      <c r="AJ265" s="3"/>
      <c r="AL265" s="3"/>
      <c r="AM265" s="3"/>
      <c r="AN265" s="3"/>
    </row>
    <row r="266" ht="15.75" customHeight="1">
      <c r="G266" s="3"/>
      <c r="P266" s="63"/>
      <c r="AG266" s="607"/>
      <c r="AH266" s="3"/>
      <c r="AI266" s="3"/>
      <c r="AJ266" s="3"/>
      <c r="AL266" s="3"/>
      <c r="AM266" s="3"/>
      <c r="AN266" s="3"/>
    </row>
    <row r="267" ht="15.75" customHeight="1">
      <c r="G267" s="3"/>
      <c r="P267" s="63"/>
      <c r="AG267" s="607"/>
      <c r="AH267" s="3"/>
      <c r="AI267" s="3"/>
      <c r="AJ267" s="3"/>
      <c r="AL267" s="3"/>
      <c r="AM267" s="3"/>
      <c r="AN267" s="3"/>
    </row>
    <row r="268" ht="15.75" customHeight="1">
      <c r="G268" s="3"/>
      <c r="P268" s="63"/>
      <c r="AG268" s="607"/>
      <c r="AH268" s="3"/>
      <c r="AI268" s="3"/>
      <c r="AJ268" s="3"/>
      <c r="AL268" s="3"/>
      <c r="AM268" s="3"/>
      <c r="AN268" s="3"/>
    </row>
    <row r="269" ht="15.75" customHeight="1">
      <c r="G269" s="3"/>
      <c r="P269" s="63"/>
      <c r="AG269" s="607"/>
      <c r="AH269" s="3"/>
      <c r="AI269" s="3"/>
      <c r="AJ269" s="3"/>
      <c r="AL269" s="3"/>
      <c r="AM269" s="3"/>
      <c r="AN269" s="3"/>
    </row>
    <row r="270" ht="15.75" customHeight="1">
      <c r="G270" s="3"/>
      <c r="P270" s="63"/>
      <c r="AG270" s="607"/>
      <c r="AH270" s="3"/>
      <c r="AI270" s="3"/>
      <c r="AJ270" s="3"/>
      <c r="AL270" s="3"/>
      <c r="AM270" s="3"/>
      <c r="AN270" s="3"/>
    </row>
    <row r="271" ht="15.75" customHeight="1">
      <c r="G271" s="3"/>
      <c r="P271" s="63"/>
      <c r="AG271" s="607"/>
      <c r="AH271" s="3"/>
      <c r="AI271" s="3"/>
      <c r="AJ271" s="3"/>
      <c r="AL271" s="3"/>
      <c r="AM271" s="3"/>
      <c r="AN271" s="3"/>
    </row>
    <row r="272" ht="15.75" customHeight="1">
      <c r="G272" s="3"/>
      <c r="P272" s="63"/>
      <c r="AG272" s="607"/>
      <c r="AH272" s="3"/>
      <c r="AI272" s="3"/>
      <c r="AJ272" s="3"/>
      <c r="AL272" s="3"/>
      <c r="AM272" s="3"/>
      <c r="AN272" s="3"/>
    </row>
    <row r="273" ht="15.75" customHeight="1">
      <c r="G273" s="3"/>
      <c r="P273" s="63"/>
      <c r="AG273" s="607"/>
      <c r="AH273" s="3"/>
      <c r="AI273" s="3"/>
      <c r="AJ273" s="3"/>
      <c r="AL273" s="3"/>
      <c r="AM273" s="3"/>
      <c r="AN273" s="3"/>
    </row>
    <row r="274" ht="15.75" customHeight="1">
      <c r="G274" s="3"/>
      <c r="P274" s="63"/>
      <c r="AG274" s="607"/>
      <c r="AH274" s="3"/>
      <c r="AI274" s="3"/>
      <c r="AJ274" s="3"/>
      <c r="AL274" s="3"/>
      <c r="AM274" s="3"/>
      <c r="AN274" s="3"/>
    </row>
    <row r="275" ht="15.75" customHeight="1">
      <c r="G275" s="3"/>
      <c r="P275" s="63"/>
      <c r="AG275" s="607"/>
      <c r="AH275" s="3"/>
      <c r="AI275" s="3"/>
      <c r="AJ275" s="3"/>
      <c r="AL275" s="3"/>
      <c r="AM275" s="3"/>
      <c r="AN275" s="3"/>
    </row>
    <row r="276" ht="15.75" customHeight="1">
      <c r="G276" s="3"/>
      <c r="P276" s="63"/>
      <c r="AG276" s="607"/>
      <c r="AH276" s="3"/>
      <c r="AI276" s="3"/>
      <c r="AJ276" s="3"/>
      <c r="AL276" s="3"/>
      <c r="AM276" s="3"/>
      <c r="AN276" s="3"/>
    </row>
    <row r="277" ht="15.75" customHeight="1">
      <c r="G277" s="3"/>
      <c r="P277" s="63"/>
      <c r="AG277" s="607"/>
      <c r="AH277" s="3"/>
      <c r="AI277" s="3"/>
      <c r="AJ277" s="3"/>
      <c r="AL277" s="3"/>
      <c r="AM277" s="3"/>
      <c r="AN277" s="3"/>
    </row>
    <row r="278" ht="15.75" customHeight="1">
      <c r="G278" s="3"/>
      <c r="P278" s="63"/>
      <c r="AG278" s="607"/>
      <c r="AH278" s="3"/>
      <c r="AI278" s="3"/>
      <c r="AJ278" s="3"/>
      <c r="AL278" s="3"/>
      <c r="AM278" s="3"/>
      <c r="AN278" s="3"/>
    </row>
    <row r="279" ht="15.75" customHeight="1">
      <c r="G279" s="3"/>
      <c r="P279" s="63"/>
      <c r="AG279" s="607"/>
      <c r="AH279" s="3"/>
      <c r="AI279" s="3"/>
      <c r="AJ279" s="3"/>
      <c r="AL279" s="3"/>
      <c r="AM279" s="3"/>
      <c r="AN279" s="3"/>
    </row>
    <row r="280" ht="15.75" customHeight="1">
      <c r="G280" s="3"/>
      <c r="P280" s="63"/>
      <c r="AG280" s="607"/>
      <c r="AH280" s="3"/>
      <c r="AI280" s="3"/>
      <c r="AJ280" s="3"/>
      <c r="AL280" s="3"/>
      <c r="AM280" s="3"/>
      <c r="AN280" s="3"/>
    </row>
    <row r="281" ht="15.75" customHeight="1">
      <c r="G281" s="3"/>
      <c r="P281" s="63"/>
      <c r="AG281" s="607"/>
      <c r="AH281" s="3"/>
      <c r="AI281" s="3"/>
      <c r="AJ281" s="3"/>
      <c r="AL281" s="3"/>
      <c r="AM281" s="3"/>
      <c r="AN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ht="15.75" customHeight="1">
      <c r="AG470" s="607"/>
      <c r="AM470" s="3"/>
      <c r="AN470" s="3"/>
    </row>
    <row r="471" ht="15.75" customHeight="1">
      <c r="AG471" s="607"/>
      <c r="AM471" s="3"/>
      <c r="AN471" s="3"/>
    </row>
    <row r="472" ht="15.75" customHeight="1">
      <c r="AG472" s="607"/>
      <c r="AM472" s="3"/>
      <c r="AN472" s="3"/>
    </row>
    <row r="473" ht="15.75" customHeight="1">
      <c r="AG473" s="607"/>
      <c r="AM473" s="3"/>
      <c r="AN473" s="3"/>
    </row>
    <row r="474" ht="15.75" customHeight="1">
      <c r="AG474" s="607"/>
      <c r="AM474" s="3"/>
      <c r="AN474" s="3"/>
    </row>
    <row r="475" ht="15.75" customHeight="1">
      <c r="AG475" s="607"/>
      <c r="AM475" s="3"/>
      <c r="AN475" s="3"/>
    </row>
    <row r="476" ht="15.75" customHeight="1">
      <c r="AG476" s="607"/>
      <c r="AM476" s="3"/>
      <c r="AN476" s="3"/>
    </row>
    <row r="477" ht="15.75" customHeight="1">
      <c r="AG477" s="607"/>
      <c r="AM477" s="3"/>
      <c r="AN477" s="3"/>
    </row>
    <row r="478" ht="15.75" customHeight="1">
      <c r="AG478" s="607"/>
      <c r="AM478" s="3"/>
      <c r="AN478" s="3"/>
    </row>
    <row r="479" ht="15.75" customHeight="1">
      <c r="AG479" s="607"/>
      <c r="AM479" s="3"/>
      <c r="AN479" s="3"/>
    </row>
    <row r="480" ht="15.75" customHeight="1">
      <c r="AG480" s="607"/>
      <c r="AM480" s="3"/>
      <c r="AN480" s="3"/>
    </row>
    <row r="481" ht="15.75" customHeight="1">
      <c r="AG481" s="607"/>
      <c r="AM481" s="3"/>
      <c r="AN481" s="3"/>
    </row>
    <row r="482" ht="15.75" customHeight="1">
      <c r="AG482" s="607"/>
      <c r="AM482" s="3"/>
      <c r="AN482" s="3"/>
    </row>
    <row r="483" ht="15.75" customHeight="1">
      <c r="AG483" s="607"/>
      <c r="AM483" s="3"/>
      <c r="AN483" s="3"/>
    </row>
    <row r="484" ht="15.75" customHeight="1">
      <c r="AG484" s="607"/>
      <c r="AM484" s="3"/>
      <c r="AN484" s="3"/>
    </row>
    <row r="485" ht="15.75" customHeight="1">
      <c r="AG485" s="607"/>
      <c r="AM485" s="3"/>
      <c r="AN485" s="3"/>
    </row>
    <row r="486" ht="15.75" customHeight="1">
      <c r="AG486" s="607"/>
      <c r="AM486" s="3"/>
      <c r="AN486" s="3"/>
    </row>
    <row r="487" ht="15.75" customHeight="1">
      <c r="AG487" s="607"/>
      <c r="AM487" s="3"/>
      <c r="AN487" s="3"/>
    </row>
    <row r="488" ht="15.75" customHeight="1">
      <c r="AG488" s="607"/>
      <c r="AM488" s="3"/>
      <c r="AN488" s="3"/>
    </row>
    <row r="489" ht="15.75" customHeight="1">
      <c r="AG489" s="607"/>
      <c r="AM489" s="3"/>
      <c r="AN489" s="3"/>
    </row>
    <row r="490" ht="15.75" customHeight="1">
      <c r="AG490" s="607"/>
      <c r="AM490" s="3"/>
      <c r="AN490" s="3"/>
    </row>
    <row r="491" ht="15.75" customHeight="1">
      <c r="AG491" s="607"/>
      <c r="AM491" s="3"/>
      <c r="AN491" s="3"/>
    </row>
    <row r="492" ht="15.75" customHeight="1">
      <c r="AG492" s="607"/>
      <c r="AM492" s="3"/>
      <c r="AN492" s="3"/>
    </row>
    <row r="493" ht="15.75" customHeight="1">
      <c r="AG493" s="607"/>
      <c r="AM493" s="3"/>
      <c r="AN493" s="3"/>
    </row>
    <row r="494" ht="15.75" customHeight="1">
      <c r="AG494" s="607"/>
      <c r="AM494" s="3"/>
      <c r="AN494" s="3"/>
    </row>
    <row r="495" ht="15.75" customHeight="1">
      <c r="AG495" s="607"/>
      <c r="AM495" s="3"/>
      <c r="AN495" s="3"/>
    </row>
    <row r="496" ht="15.75" customHeight="1">
      <c r="AG496" s="607"/>
      <c r="AM496" s="3"/>
      <c r="AN496" s="3"/>
    </row>
    <row r="497" ht="15.75" customHeight="1">
      <c r="AG497" s="607"/>
      <c r="AM497" s="3"/>
      <c r="AN497" s="3"/>
    </row>
    <row r="498" ht="15.75" customHeight="1">
      <c r="AG498" s="607"/>
      <c r="AM498" s="3"/>
      <c r="AN498" s="3"/>
    </row>
    <row r="499" ht="15.75" customHeight="1">
      <c r="AG499" s="607"/>
      <c r="AM499" s="3"/>
      <c r="AN499" s="3"/>
    </row>
    <row r="500" ht="15.75" customHeight="1">
      <c r="AG500" s="607"/>
      <c r="AM500" s="3"/>
      <c r="AN500" s="3"/>
    </row>
    <row r="501" ht="15.75" customHeight="1">
      <c r="AG501" s="607"/>
      <c r="AM501" s="3"/>
      <c r="AN501" s="3"/>
    </row>
    <row r="502" ht="15.75" customHeight="1">
      <c r="AG502" s="607"/>
      <c r="AM502" s="3"/>
      <c r="AN502" s="3"/>
    </row>
    <row r="503" ht="15.75" customHeight="1">
      <c r="AG503" s="607"/>
      <c r="AM503" s="3"/>
      <c r="AN503" s="3"/>
    </row>
    <row r="504" ht="15.75" customHeight="1">
      <c r="AG504" s="607"/>
      <c r="AM504" s="3"/>
      <c r="AN504" s="3"/>
    </row>
    <row r="505" ht="15.75" customHeight="1">
      <c r="AG505" s="607"/>
      <c r="AM505" s="3"/>
      <c r="AN505" s="3"/>
    </row>
    <row r="506" ht="15.75" customHeight="1">
      <c r="AG506" s="607"/>
      <c r="AM506" s="3"/>
      <c r="AN506" s="3"/>
    </row>
    <row r="507" ht="15.75" customHeight="1">
      <c r="AG507" s="607"/>
      <c r="AM507" s="3"/>
      <c r="AN507" s="3"/>
    </row>
    <row r="508" ht="15.75" customHeight="1">
      <c r="AG508" s="607"/>
      <c r="AM508" s="3"/>
      <c r="AN508" s="3"/>
    </row>
    <row r="509" ht="15.75" customHeight="1">
      <c r="AG509" s="607"/>
      <c r="AM509" s="3"/>
      <c r="AN509" s="3"/>
    </row>
    <row r="510" ht="15.75" customHeight="1">
      <c r="AG510" s="607"/>
      <c r="AM510" s="3"/>
      <c r="AN510" s="3"/>
    </row>
    <row r="511" ht="15.75" customHeight="1">
      <c r="AG511" s="607"/>
      <c r="AM511" s="3"/>
      <c r="AN511" s="3"/>
    </row>
    <row r="512" ht="15.75" customHeight="1">
      <c r="AG512" s="607"/>
      <c r="AM512" s="3"/>
      <c r="AN512" s="3"/>
    </row>
    <row r="513" ht="15.75" customHeight="1">
      <c r="AG513" s="607"/>
      <c r="AM513" s="3"/>
      <c r="AN513" s="3"/>
    </row>
    <row r="514" ht="15.75" customHeight="1">
      <c r="AG514" s="607"/>
      <c r="AM514" s="3"/>
      <c r="AN514" s="3"/>
    </row>
    <row r="515" ht="15.75" customHeight="1">
      <c r="AG515" s="607"/>
      <c r="AM515" s="3"/>
      <c r="AN515" s="3"/>
    </row>
    <row r="516" ht="15.75" customHeight="1">
      <c r="AG516" s="607"/>
      <c r="AM516" s="3"/>
      <c r="AN516" s="3"/>
    </row>
    <row r="517" ht="15.75" customHeight="1">
      <c r="AG517" s="607"/>
      <c r="AM517" s="3"/>
      <c r="AN517" s="3"/>
    </row>
    <row r="518" ht="15.75" customHeight="1">
      <c r="AG518" s="607"/>
      <c r="AM518" s="3"/>
      <c r="AN518" s="3"/>
    </row>
    <row r="519" ht="15.75" customHeight="1">
      <c r="AG519" s="607"/>
      <c r="AM519" s="3"/>
      <c r="AN519" s="3"/>
    </row>
    <row r="520" ht="15.75" customHeight="1">
      <c r="AG520" s="607"/>
      <c r="AM520" s="3"/>
      <c r="AN520" s="3"/>
    </row>
    <row r="521" ht="15.75" customHeight="1">
      <c r="AG521" s="607"/>
      <c r="AM521" s="3"/>
      <c r="AN521" s="3"/>
    </row>
    <row r="522" ht="15.75" customHeight="1">
      <c r="AG522" s="607"/>
      <c r="AM522" s="3"/>
      <c r="AN522" s="3"/>
    </row>
    <row r="523" ht="15.75" customHeight="1">
      <c r="AG523" s="607"/>
      <c r="AM523" s="3"/>
      <c r="AN523" s="3"/>
    </row>
    <row r="524" ht="15.75" customHeight="1">
      <c r="AG524" s="607"/>
      <c r="AM524" s="3"/>
      <c r="AN524" s="3"/>
    </row>
    <row r="525" ht="15.75" customHeight="1">
      <c r="AG525" s="607"/>
      <c r="AM525" s="3"/>
      <c r="AN525" s="3"/>
    </row>
    <row r="526" ht="15.75" customHeight="1">
      <c r="AG526" s="607"/>
      <c r="AM526" s="3"/>
      <c r="AN526" s="3"/>
    </row>
    <row r="527" ht="15.75" customHeight="1">
      <c r="AG527" s="607"/>
      <c r="AM527" s="3"/>
      <c r="AN527" s="3"/>
    </row>
    <row r="528" ht="15.75" customHeight="1">
      <c r="AG528" s="607"/>
      <c r="AM528" s="3"/>
      <c r="AN528" s="3"/>
    </row>
    <row r="529" ht="15.75" customHeight="1">
      <c r="AG529" s="607"/>
      <c r="AM529" s="3"/>
      <c r="AN529" s="3"/>
    </row>
    <row r="530" ht="15.75" customHeight="1">
      <c r="AG530" s="607"/>
      <c r="AM530" s="3"/>
      <c r="AN530" s="3"/>
    </row>
    <row r="531" ht="15.75" customHeight="1">
      <c r="AG531" s="607"/>
      <c r="AM531" s="3"/>
      <c r="AN531" s="3"/>
    </row>
    <row r="532" ht="15.75" customHeight="1">
      <c r="AG532" s="607"/>
      <c r="AM532" s="3"/>
      <c r="AN532" s="3"/>
    </row>
    <row r="533" ht="15.75" customHeight="1">
      <c r="AG533" s="607"/>
      <c r="AM533" s="3"/>
      <c r="AN533" s="3"/>
    </row>
    <row r="534" ht="15.75" customHeight="1">
      <c r="AG534" s="607"/>
      <c r="AM534" s="3"/>
      <c r="AN534" s="3"/>
    </row>
    <row r="535" ht="15.75" customHeight="1">
      <c r="AG535" s="607"/>
      <c r="AM535" s="3"/>
      <c r="AN535" s="3"/>
    </row>
    <row r="536" ht="15.75" customHeight="1">
      <c r="AG536" s="607"/>
      <c r="AM536" s="3"/>
      <c r="AN536" s="3"/>
    </row>
    <row r="537" ht="15.75" customHeight="1">
      <c r="AG537" s="607"/>
      <c r="AM537" s="3"/>
      <c r="AN537" s="3"/>
    </row>
    <row r="538" ht="15.75" customHeight="1">
      <c r="AG538" s="607"/>
      <c r="AM538" s="3"/>
      <c r="AN538" s="3"/>
    </row>
    <row r="539" ht="15.75" customHeight="1">
      <c r="AG539" s="607"/>
      <c r="AM539" s="3"/>
      <c r="AN539" s="3"/>
    </row>
    <row r="540" ht="15.75" customHeight="1">
      <c r="AG540" s="607"/>
      <c r="AM540" s="3"/>
      <c r="AN540" s="3"/>
    </row>
    <row r="541" ht="15.75" customHeight="1">
      <c r="AG541" s="607"/>
      <c r="AM541" s="3"/>
      <c r="AN541" s="3"/>
    </row>
    <row r="542" ht="15.75" customHeight="1">
      <c r="AG542" s="607"/>
      <c r="AM542" s="3"/>
      <c r="AN542" s="3"/>
    </row>
    <row r="543" ht="15.75" customHeight="1">
      <c r="AG543" s="607"/>
      <c r="AM543" s="3"/>
      <c r="AN543" s="3"/>
    </row>
    <row r="544" ht="15.75" customHeight="1">
      <c r="AG544" s="607"/>
      <c r="AM544" s="3"/>
      <c r="AN544" s="3"/>
    </row>
    <row r="545" ht="15.75" customHeight="1">
      <c r="AG545" s="607"/>
      <c r="AM545" s="3"/>
      <c r="AN545" s="3"/>
    </row>
    <row r="546" ht="15.75" customHeight="1">
      <c r="AG546" s="607"/>
      <c r="AM546" s="3"/>
      <c r="AN546" s="3"/>
    </row>
    <row r="547" ht="15.75" customHeight="1">
      <c r="AG547" s="607"/>
      <c r="AM547" s="3"/>
      <c r="AN547" s="3"/>
    </row>
    <row r="548" ht="15.75" customHeight="1">
      <c r="AG548" s="607"/>
      <c r="AM548" s="3"/>
      <c r="AN548" s="3"/>
    </row>
    <row r="549" ht="15.75" customHeight="1">
      <c r="AG549" s="607"/>
      <c r="AM549" s="3"/>
      <c r="AN549" s="3"/>
    </row>
    <row r="550" ht="15.75" customHeight="1">
      <c r="AG550" s="607"/>
      <c r="AM550" s="3"/>
      <c r="AN550" s="3"/>
    </row>
    <row r="551" ht="15.75" customHeight="1">
      <c r="AG551" s="607"/>
      <c r="AM551" s="3"/>
      <c r="AN551" s="3"/>
    </row>
    <row r="552" ht="15.75" customHeight="1">
      <c r="AG552" s="607"/>
      <c r="AM552" s="3"/>
      <c r="AN552" s="3"/>
    </row>
    <row r="553" ht="15.75" customHeight="1">
      <c r="AG553" s="607"/>
      <c r="AM553" s="3"/>
      <c r="AN553" s="3"/>
    </row>
    <row r="554" ht="15.75" customHeight="1">
      <c r="AG554" s="607"/>
      <c r="AM554" s="3"/>
      <c r="AN554" s="3"/>
    </row>
    <row r="555" ht="15.75" customHeight="1">
      <c r="AG555" s="607"/>
      <c r="AM555" s="3"/>
      <c r="AN555" s="3"/>
    </row>
    <row r="556" ht="15.75" customHeight="1">
      <c r="AG556" s="607"/>
      <c r="AM556" s="3"/>
      <c r="AN556" s="3"/>
    </row>
    <row r="557" ht="15.75" customHeight="1">
      <c r="AG557" s="607"/>
      <c r="AM557" s="3"/>
      <c r="AN557" s="3"/>
    </row>
    <row r="558" ht="15.75" customHeight="1">
      <c r="AG558" s="607"/>
      <c r="AM558" s="3"/>
      <c r="AN558" s="3"/>
    </row>
    <row r="559" ht="15.75" customHeight="1">
      <c r="AG559" s="607"/>
      <c r="AM559" s="3"/>
      <c r="AN559" s="3"/>
    </row>
    <row r="560" ht="15.75" customHeight="1">
      <c r="AG560" s="607"/>
      <c r="AM560" s="3"/>
      <c r="AN560" s="3"/>
    </row>
    <row r="561" ht="15.75" customHeight="1">
      <c r="AG561" s="607"/>
      <c r="AM561" s="3"/>
      <c r="AN561" s="3"/>
    </row>
    <row r="562" ht="15.75" customHeight="1">
      <c r="AG562" s="607"/>
      <c r="AM562" s="3"/>
      <c r="AN562" s="3"/>
    </row>
    <row r="563" ht="15.75" customHeight="1">
      <c r="AG563" s="607"/>
      <c r="AM563" s="3"/>
      <c r="AN563" s="3"/>
    </row>
    <row r="564" ht="15.75" customHeight="1">
      <c r="AG564" s="607"/>
      <c r="AM564" s="3"/>
      <c r="AN564" s="3"/>
    </row>
    <row r="565" ht="15.75" customHeight="1">
      <c r="AG565" s="607"/>
      <c r="AM565" s="3"/>
      <c r="AN565" s="3"/>
    </row>
    <row r="566" ht="15.75" customHeight="1">
      <c r="AG566" s="607"/>
      <c r="AM566" s="3"/>
      <c r="AN566" s="3"/>
    </row>
    <row r="567" ht="15.75" customHeight="1">
      <c r="AG567" s="607"/>
      <c r="AM567" s="3"/>
      <c r="AN567" s="3"/>
    </row>
    <row r="568" ht="15.75" customHeight="1">
      <c r="AG568" s="607"/>
      <c r="AM568" s="3"/>
      <c r="AN568" s="3"/>
    </row>
    <row r="569" ht="15.75" customHeight="1">
      <c r="AG569" s="607"/>
      <c r="AM569" s="3"/>
      <c r="AN569" s="3"/>
    </row>
    <row r="570" ht="15.75" customHeight="1">
      <c r="AG570" s="607"/>
      <c r="AM570" s="3"/>
      <c r="AN570" s="3"/>
    </row>
    <row r="571" ht="15.75" customHeight="1">
      <c r="AG571" s="607"/>
      <c r="AM571" s="3"/>
      <c r="AN571" s="3"/>
    </row>
    <row r="572" ht="15.75" customHeight="1">
      <c r="AG572" s="607"/>
      <c r="AM572" s="3"/>
      <c r="AN572" s="3"/>
    </row>
    <row r="573" ht="15.75" customHeight="1">
      <c r="AG573" s="607"/>
      <c r="AM573" s="3"/>
      <c r="AN573" s="3"/>
    </row>
    <row r="574" ht="15.75" customHeight="1">
      <c r="AG574" s="607"/>
      <c r="AM574" s="3"/>
      <c r="AN574" s="3"/>
    </row>
    <row r="575" ht="15.75" customHeight="1">
      <c r="AG575" s="607"/>
      <c r="AM575" s="3"/>
      <c r="AN575" s="3"/>
    </row>
    <row r="576" ht="15.75" customHeight="1">
      <c r="AG576" s="607"/>
      <c r="AM576" s="3"/>
      <c r="AN576" s="3"/>
    </row>
    <row r="577" ht="15.75" customHeight="1">
      <c r="AG577" s="607"/>
      <c r="AM577" s="3"/>
      <c r="AN577" s="3"/>
    </row>
    <row r="578" ht="15.75" customHeight="1">
      <c r="AG578" s="607"/>
      <c r="AM578" s="3"/>
      <c r="AN578" s="3"/>
    </row>
    <row r="579" ht="15.75" customHeight="1">
      <c r="AG579" s="607"/>
      <c r="AM579" s="3"/>
      <c r="AN579" s="3"/>
    </row>
    <row r="580" ht="15.75" customHeight="1">
      <c r="AG580" s="607"/>
      <c r="AM580" s="3"/>
      <c r="AN580" s="3"/>
    </row>
    <row r="581" ht="15.75" customHeight="1">
      <c r="AG581" s="607"/>
      <c r="AM581" s="3"/>
      <c r="AN581" s="3"/>
    </row>
    <row r="582" ht="15.75" customHeight="1">
      <c r="AG582" s="607"/>
      <c r="AM582" s="3"/>
      <c r="AN582" s="3"/>
    </row>
    <row r="583" ht="15.75" customHeight="1">
      <c r="AG583" s="607"/>
      <c r="AM583" s="3"/>
      <c r="AN583" s="3"/>
    </row>
    <row r="584" ht="15.75" customHeight="1">
      <c r="AG584" s="607"/>
      <c r="AM584" s="3"/>
      <c r="AN584" s="3"/>
    </row>
    <row r="585" ht="15.75" customHeight="1">
      <c r="AG585" s="607"/>
      <c r="AM585" s="3"/>
      <c r="AN585" s="3"/>
    </row>
    <row r="586" ht="15.75" customHeight="1">
      <c r="AG586" s="607"/>
      <c r="AM586" s="3"/>
      <c r="AN586" s="3"/>
    </row>
    <row r="587" ht="15.75" customHeight="1">
      <c r="AG587" s="607"/>
      <c r="AM587" s="3"/>
      <c r="AN587" s="3"/>
    </row>
    <row r="588" ht="15.75" customHeight="1">
      <c r="AG588" s="607"/>
      <c r="AM588" s="3"/>
      <c r="AN588" s="3"/>
    </row>
    <row r="589" ht="15.75" customHeight="1">
      <c r="AG589" s="607"/>
      <c r="AM589" s="3"/>
      <c r="AN589" s="3"/>
    </row>
    <row r="590" ht="15.75" customHeight="1">
      <c r="AG590" s="607"/>
      <c r="AM590" s="3"/>
      <c r="AN590" s="3"/>
    </row>
    <row r="591" ht="15.75" customHeight="1">
      <c r="AG591" s="607"/>
      <c r="AM591" s="3"/>
      <c r="AN591" s="3"/>
    </row>
    <row r="592" ht="15.75" customHeight="1">
      <c r="AG592" s="607"/>
      <c r="AM592" s="3"/>
      <c r="AN592" s="3"/>
    </row>
    <row r="593" ht="15.75" customHeight="1">
      <c r="AG593" s="607"/>
      <c r="AM593" s="3"/>
      <c r="AN593" s="3"/>
    </row>
    <row r="594" ht="15.75" customHeight="1">
      <c r="AG594" s="607"/>
      <c r="AM594" s="3"/>
      <c r="AN594" s="3"/>
    </row>
    <row r="595" ht="15.75" customHeight="1">
      <c r="AG595" s="607"/>
      <c r="AM595" s="3"/>
      <c r="AN595" s="3"/>
    </row>
    <row r="596" ht="15.75" customHeight="1">
      <c r="AG596" s="607"/>
      <c r="AM596" s="3"/>
      <c r="AN596" s="3"/>
    </row>
    <row r="597" ht="15.75" customHeight="1">
      <c r="AG597" s="607"/>
      <c r="AM597" s="3"/>
      <c r="AN597" s="3"/>
    </row>
    <row r="598" ht="15.75" customHeight="1">
      <c r="AG598" s="607"/>
      <c r="AM598" s="3"/>
      <c r="AN598" s="3"/>
    </row>
    <row r="599" ht="15.75" customHeight="1">
      <c r="AG599" s="607"/>
      <c r="AM599" s="3"/>
      <c r="AN599" s="3"/>
    </row>
    <row r="600" ht="15.75" customHeight="1">
      <c r="AG600" s="607"/>
      <c r="AM600" s="3"/>
      <c r="AN600" s="3"/>
    </row>
    <row r="601" ht="15.75" customHeight="1">
      <c r="AG601" s="607"/>
      <c r="AM601" s="3"/>
      <c r="AN601" s="3"/>
    </row>
    <row r="602" ht="15.75" customHeight="1">
      <c r="AG602" s="607"/>
      <c r="AM602" s="3"/>
      <c r="AN602" s="3"/>
    </row>
    <row r="603" ht="15.75" customHeight="1">
      <c r="AG603" s="607"/>
      <c r="AM603" s="3"/>
      <c r="AN603" s="3"/>
    </row>
    <row r="604" ht="15.75" customHeight="1">
      <c r="AG604" s="607"/>
      <c r="AM604" s="3"/>
      <c r="AN604" s="3"/>
    </row>
    <row r="605" ht="15.75" customHeight="1">
      <c r="AG605" s="607"/>
      <c r="AM605" s="3"/>
      <c r="AN605" s="3"/>
    </row>
    <row r="606" ht="15.75" customHeight="1">
      <c r="AG606" s="607"/>
      <c r="AM606" s="3"/>
      <c r="AN606" s="3"/>
    </row>
    <row r="607" ht="15.75" customHeight="1">
      <c r="AG607" s="607"/>
      <c r="AM607" s="3"/>
      <c r="AN607" s="3"/>
    </row>
    <row r="608" ht="15.75" customHeight="1">
      <c r="AG608" s="607"/>
      <c r="AM608" s="3"/>
      <c r="AN608" s="3"/>
    </row>
    <row r="609" ht="15.75" customHeight="1">
      <c r="AG609" s="607"/>
      <c r="AM609" s="3"/>
      <c r="AN609" s="3"/>
    </row>
    <row r="610" ht="15.75" customHeight="1">
      <c r="AG610" s="607"/>
      <c r="AM610" s="3"/>
      <c r="AN610" s="3"/>
    </row>
    <row r="611" ht="15.75" customHeight="1">
      <c r="AG611" s="607"/>
      <c r="AM611" s="3"/>
      <c r="AN611" s="3"/>
    </row>
    <row r="612" ht="15.75" customHeight="1">
      <c r="AG612" s="607"/>
      <c r="AM612" s="3"/>
      <c r="AN612" s="3"/>
    </row>
    <row r="613" ht="15.75" customHeight="1">
      <c r="AG613" s="607"/>
      <c r="AM613" s="3"/>
      <c r="AN613" s="3"/>
    </row>
    <row r="614" ht="15.75" customHeight="1">
      <c r="AG614" s="607"/>
      <c r="AM614" s="3"/>
      <c r="AN614" s="3"/>
    </row>
    <row r="615" ht="15.75" customHeight="1">
      <c r="AG615" s="607"/>
      <c r="AM615" s="3"/>
      <c r="AN615" s="3"/>
    </row>
    <row r="616" ht="15.75" customHeight="1">
      <c r="AG616" s="607"/>
      <c r="AM616" s="3"/>
      <c r="AN616" s="3"/>
    </row>
    <row r="617" ht="15.75" customHeight="1">
      <c r="AG617" s="607"/>
      <c r="AM617" s="3"/>
      <c r="AN617" s="3"/>
    </row>
    <row r="618" ht="15.75" customHeight="1">
      <c r="AG618" s="607"/>
      <c r="AM618" s="3"/>
      <c r="AN618" s="3"/>
    </row>
    <row r="619" ht="15.75" customHeight="1">
      <c r="AG619" s="607"/>
      <c r="AM619" s="3"/>
      <c r="AN619" s="3"/>
    </row>
    <row r="620" ht="15.75" customHeight="1">
      <c r="AG620" s="607"/>
      <c r="AM620" s="3"/>
      <c r="AN620" s="3"/>
    </row>
    <row r="621" ht="15.75" customHeight="1">
      <c r="AG621" s="607"/>
      <c r="AM621" s="3"/>
      <c r="AN621" s="3"/>
    </row>
    <row r="622" ht="15.75" customHeight="1">
      <c r="AG622" s="607"/>
      <c r="AM622" s="3"/>
      <c r="AN622" s="3"/>
    </row>
    <row r="623" ht="15.75" customHeight="1">
      <c r="AG623" s="607"/>
      <c r="AM623" s="3"/>
      <c r="AN623" s="3"/>
    </row>
    <row r="624" ht="15.75" customHeight="1">
      <c r="AG624" s="607"/>
      <c r="AM624" s="3"/>
      <c r="AN624" s="3"/>
    </row>
    <row r="625" ht="15.75" customHeight="1">
      <c r="AG625" s="607"/>
      <c r="AM625" s="3"/>
      <c r="AN625" s="3"/>
    </row>
    <row r="626" ht="15.75" customHeight="1">
      <c r="AG626" s="607"/>
      <c r="AM626" s="3"/>
      <c r="AN626" s="3"/>
    </row>
    <row r="627" ht="15.75" customHeight="1">
      <c r="AG627" s="607"/>
      <c r="AM627" s="3"/>
      <c r="AN627" s="3"/>
    </row>
    <row r="628" ht="15.75" customHeight="1">
      <c r="AG628" s="607"/>
      <c r="AM628" s="3"/>
      <c r="AN628" s="3"/>
    </row>
    <row r="629" ht="15.75" customHeight="1">
      <c r="AG629" s="607"/>
      <c r="AM629" s="3"/>
      <c r="AN629" s="3"/>
    </row>
    <row r="630" ht="15.75" customHeight="1">
      <c r="AG630" s="607"/>
      <c r="AM630" s="3"/>
      <c r="AN630" s="3"/>
    </row>
    <row r="631" ht="15.75" customHeight="1">
      <c r="AG631" s="607"/>
      <c r="AM631" s="3"/>
      <c r="AN631" s="3"/>
    </row>
    <row r="632" ht="15.75" customHeight="1">
      <c r="AG632" s="607"/>
      <c r="AM632" s="3"/>
      <c r="AN632" s="3"/>
    </row>
    <row r="633" ht="15.75" customHeight="1">
      <c r="AG633" s="607"/>
      <c r="AM633" s="3"/>
      <c r="AN633" s="3"/>
    </row>
    <row r="634" ht="15.75" customHeight="1">
      <c r="AG634" s="607"/>
      <c r="AM634" s="3"/>
      <c r="AN634" s="3"/>
    </row>
    <row r="635" ht="15.75" customHeight="1">
      <c r="AG635" s="607"/>
      <c r="AM635" s="3"/>
      <c r="AN635" s="3"/>
    </row>
    <row r="636" ht="15.75" customHeight="1">
      <c r="AG636" s="607"/>
      <c r="AM636" s="3"/>
      <c r="AN636" s="3"/>
    </row>
    <row r="637" ht="15.75" customHeight="1">
      <c r="AG637" s="607"/>
      <c r="AM637" s="3"/>
      <c r="AN637" s="3"/>
    </row>
    <row r="638" ht="15.75" customHeight="1">
      <c r="AG638" s="607"/>
      <c r="AM638" s="3"/>
      <c r="AN638" s="3"/>
    </row>
    <row r="639" ht="15.75" customHeight="1">
      <c r="AG639" s="607"/>
      <c r="AM639" s="3"/>
      <c r="AN639" s="3"/>
    </row>
    <row r="640" ht="15.75" customHeight="1">
      <c r="AG640" s="607"/>
      <c r="AM640" s="3"/>
      <c r="AN640" s="3"/>
    </row>
    <row r="641" ht="15.75" customHeight="1">
      <c r="AG641" s="607"/>
      <c r="AM641" s="3"/>
      <c r="AN641" s="3"/>
    </row>
    <row r="642" ht="15.75" customHeight="1">
      <c r="AG642" s="607"/>
      <c r="AM642" s="3"/>
      <c r="AN642" s="3"/>
    </row>
    <row r="643" ht="15.75" customHeight="1">
      <c r="AG643" s="607"/>
      <c r="AM643" s="3"/>
      <c r="AN643" s="3"/>
    </row>
    <row r="644" ht="15.75" customHeight="1">
      <c r="AG644" s="607"/>
      <c r="AM644" s="3"/>
      <c r="AN644" s="3"/>
    </row>
    <row r="645" ht="15.75" customHeight="1">
      <c r="AG645" s="607"/>
      <c r="AM645" s="3"/>
      <c r="AN645" s="3"/>
    </row>
    <row r="646" ht="15.75" customHeight="1">
      <c r="AG646" s="607"/>
      <c r="AM646" s="3"/>
      <c r="AN646" s="3"/>
    </row>
    <row r="647" ht="15.75" customHeight="1">
      <c r="AG647" s="607"/>
      <c r="AM647" s="3"/>
      <c r="AN647" s="3"/>
    </row>
    <row r="648" ht="15.75" customHeight="1">
      <c r="AG648" s="607"/>
      <c r="AM648" s="3"/>
      <c r="AN648" s="3"/>
    </row>
    <row r="649" ht="15.75" customHeight="1">
      <c r="AG649" s="607"/>
      <c r="AM649" s="3"/>
      <c r="AN649" s="3"/>
    </row>
    <row r="650" ht="15.75" customHeight="1">
      <c r="AG650" s="607"/>
      <c r="AM650" s="3"/>
      <c r="AN650" s="3"/>
    </row>
    <row r="651" ht="15.75" customHeight="1">
      <c r="AG651" s="607"/>
      <c r="AM651" s="3"/>
      <c r="AN651" s="3"/>
    </row>
    <row r="652" ht="15.75" customHeight="1">
      <c r="AG652" s="607"/>
      <c r="AM652" s="3"/>
      <c r="AN652" s="3"/>
    </row>
    <row r="653" ht="15.75" customHeight="1">
      <c r="AG653" s="607"/>
      <c r="AM653" s="3"/>
      <c r="AN653" s="3"/>
    </row>
    <row r="654" ht="15.75" customHeight="1">
      <c r="AG654" s="607"/>
      <c r="AM654" s="3"/>
      <c r="AN654" s="3"/>
    </row>
    <row r="655" ht="15.75" customHeight="1">
      <c r="AG655" s="607"/>
      <c r="AM655" s="3"/>
      <c r="AN655" s="3"/>
    </row>
    <row r="656" ht="15.75" customHeight="1">
      <c r="AG656" s="607"/>
      <c r="AM656" s="3"/>
      <c r="AN656" s="3"/>
    </row>
    <row r="657" ht="15.75" customHeight="1">
      <c r="AG657" s="607"/>
      <c r="AM657" s="3"/>
      <c r="AN657" s="3"/>
    </row>
    <row r="658" ht="15.75" customHeight="1">
      <c r="AG658" s="607"/>
      <c r="AM658" s="3"/>
      <c r="AN658" s="3"/>
    </row>
    <row r="659" ht="15.75" customHeight="1">
      <c r="AG659" s="607"/>
      <c r="AM659" s="3"/>
      <c r="AN659" s="3"/>
    </row>
    <row r="660" ht="15.75" customHeight="1">
      <c r="AG660" s="607"/>
      <c r="AM660" s="3"/>
      <c r="AN660" s="3"/>
    </row>
    <row r="661" ht="15.75" customHeight="1">
      <c r="AG661" s="607"/>
      <c r="AM661" s="3"/>
      <c r="AN661" s="3"/>
    </row>
    <row r="662" ht="15.75" customHeight="1">
      <c r="AG662" s="607"/>
      <c r="AM662" s="3"/>
      <c r="AN662" s="3"/>
    </row>
    <row r="663" ht="15.75" customHeight="1">
      <c r="AG663" s="607"/>
      <c r="AM663" s="3"/>
      <c r="AN663" s="3"/>
    </row>
    <row r="664" ht="15.75" customHeight="1">
      <c r="AG664" s="607"/>
      <c r="AM664" s="3"/>
      <c r="AN664" s="3"/>
    </row>
    <row r="665" ht="15.75" customHeight="1">
      <c r="AG665" s="607"/>
      <c r="AM665" s="3"/>
      <c r="AN665" s="3"/>
    </row>
    <row r="666" ht="15.75" customHeight="1">
      <c r="AG666" s="607"/>
      <c r="AM666" s="3"/>
      <c r="AN666" s="3"/>
    </row>
    <row r="667" ht="15.75" customHeight="1">
      <c r="AG667" s="607"/>
      <c r="AM667" s="3"/>
      <c r="AN667" s="3"/>
    </row>
    <row r="668" ht="15.75" customHeight="1">
      <c r="AG668" s="607"/>
      <c r="AM668" s="3"/>
      <c r="AN668" s="3"/>
    </row>
    <row r="669" ht="15.75" customHeight="1">
      <c r="AG669" s="607"/>
      <c r="AM669" s="3"/>
      <c r="AN669" s="3"/>
    </row>
    <row r="670" ht="15.75" customHeight="1">
      <c r="AG670" s="607"/>
      <c r="AM670" s="3"/>
      <c r="AN670" s="3"/>
    </row>
    <row r="671" ht="15.75" customHeight="1">
      <c r="AG671" s="607"/>
      <c r="AM671" s="3"/>
      <c r="AN671" s="3"/>
    </row>
    <row r="672" ht="15.75" customHeight="1">
      <c r="AG672" s="607"/>
      <c r="AM672" s="3"/>
      <c r="AN672" s="3"/>
    </row>
    <row r="673" ht="15.75" customHeight="1">
      <c r="AG673" s="607"/>
      <c r="AM673" s="3"/>
      <c r="AN673" s="3"/>
    </row>
    <row r="674" ht="15.75" customHeight="1">
      <c r="AG674" s="607"/>
      <c r="AM674" s="3"/>
      <c r="AN674" s="3"/>
    </row>
    <row r="675" ht="15.75" customHeight="1">
      <c r="AG675" s="607"/>
      <c r="AM675" s="3"/>
      <c r="AN675" s="3"/>
    </row>
    <row r="676" ht="15.75" customHeight="1">
      <c r="AG676" s="607"/>
      <c r="AM676" s="3"/>
      <c r="AN676" s="3"/>
    </row>
    <row r="677" ht="15.75" customHeight="1">
      <c r="AG677" s="607"/>
      <c r="AM677" s="3"/>
      <c r="AN677" s="3"/>
    </row>
    <row r="678" ht="15.75" customHeight="1">
      <c r="AG678" s="607"/>
      <c r="AM678" s="3"/>
      <c r="AN678" s="3"/>
    </row>
    <row r="679" ht="15.75" customHeight="1">
      <c r="AG679" s="607"/>
      <c r="AM679" s="3"/>
      <c r="AN679" s="3"/>
    </row>
    <row r="680" ht="15.75" customHeight="1">
      <c r="AG680" s="607"/>
      <c r="AM680" s="3"/>
      <c r="AN680" s="3"/>
    </row>
    <row r="681" ht="15.75" customHeight="1">
      <c r="AG681" s="607"/>
      <c r="AM681" s="3"/>
      <c r="AN681" s="3"/>
    </row>
    <row r="682" ht="15.75" customHeight="1">
      <c r="AG682" s="607"/>
      <c r="AM682" s="3"/>
      <c r="AN682" s="3"/>
    </row>
    <row r="683" ht="15.75" customHeight="1">
      <c r="AG683" s="607"/>
      <c r="AM683" s="3"/>
      <c r="AN683" s="3"/>
    </row>
    <row r="684" ht="15.75" customHeight="1">
      <c r="AG684" s="607"/>
      <c r="AM684" s="3"/>
      <c r="AN684" s="3"/>
    </row>
    <row r="685" ht="15.75" customHeight="1">
      <c r="AG685" s="607"/>
      <c r="AM685" s="3"/>
      <c r="AN685" s="3"/>
    </row>
    <row r="686" ht="15.75" customHeight="1">
      <c r="AG686" s="607"/>
      <c r="AM686" s="3"/>
      <c r="AN686" s="3"/>
    </row>
    <row r="687" ht="15.75" customHeight="1">
      <c r="AG687" s="607"/>
      <c r="AM687" s="3"/>
      <c r="AN687" s="3"/>
    </row>
    <row r="688" ht="15.75" customHeight="1">
      <c r="AG688" s="607"/>
      <c r="AM688" s="3"/>
      <c r="AN688" s="3"/>
    </row>
    <row r="689" ht="15.75" customHeight="1">
      <c r="AG689" s="607"/>
      <c r="AM689" s="3"/>
      <c r="AN689" s="3"/>
    </row>
    <row r="690" ht="15.75" customHeight="1">
      <c r="AG690" s="607"/>
      <c r="AM690" s="3"/>
      <c r="AN690" s="3"/>
    </row>
    <row r="691" ht="15.75" customHeight="1">
      <c r="AG691" s="607"/>
      <c r="AM691" s="3"/>
      <c r="AN691" s="3"/>
    </row>
    <row r="692" ht="15.75" customHeight="1">
      <c r="AG692" s="607"/>
      <c r="AM692" s="3"/>
      <c r="AN692" s="3"/>
    </row>
    <row r="693" ht="15.75" customHeight="1">
      <c r="AG693" s="607"/>
      <c r="AM693" s="3"/>
      <c r="AN693" s="3"/>
    </row>
    <row r="694" ht="15.75" customHeight="1">
      <c r="AG694" s="607"/>
      <c r="AM694" s="3"/>
      <c r="AN694" s="3"/>
    </row>
    <row r="695" ht="15.75" customHeight="1">
      <c r="AG695" s="607"/>
      <c r="AM695" s="3"/>
      <c r="AN695" s="3"/>
    </row>
    <row r="696" ht="15.75" customHeight="1">
      <c r="AG696" s="607"/>
      <c r="AM696" s="3"/>
      <c r="AN696" s="3"/>
    </row>
    <row r="697" ht="15.75" customHeight="1">
      <c r="AG697" s="607"/>
      <c r="AM697" s="3"/>
      <c r="AN697" s="3"/>
    </row>
    <row r="698" ht="15.75" customHeight="1">
      <c r="AG698" s="607"/>
      <c r="AM698" s="3"/>
      <c r="AN698" s="3"/>
    </row>
    <row r="699" ht="15.75" customHeight="1">
      <c r="AG699" s="607"/>
      <c r="AM699" s="3"/>
      <c r="AN699" s="3"/>
    </row>
    <row r="700" ht="15.75" customHeight="1">
      <c r="AG700" s="607"/>
      <c r="AM700" s="3"/>
      <c r="AN700" s="3"/>
    </row>
    <row r="701" ht="15.75" customHeight="1">
      <c r="AG701" s="607"/>
      <c r="AM701" s="3"/>
      <c r="AN701" s="3"/>
    </row>
    <row r="702" ht="15.75" customHeight="1">
      <c r="AG702" s="607"/>
      <c r="AM702" s="3"/>
      <c r="AN702" s="3"/>
    </row>
    <row r="703" ht="15.75" customHeight="1">
      <c r="AG703" s="607"/>
      <c r="AM703" s="3"/>
      <c r="AN703" s="3"/>
    </row>
    <row r="704" ht="15.75" customHeight="1">
      <c r="AG704" s="607"/>
      <c r="AM704" s="3"/>
      <c r="AN704" s="3"/>
    </row>
    <row r="705" ht="15.75" customHeight="1">
      <c r="AG705" s="607"/>
      <c r="AM705" s="3"/>
      <c r="AN705" s="3"/>
    </row>
    <row r="706" ht="15.75" customHeight="1">
      <c r="AG706" s="607"/>
      <c r="AM706" s="3"/>
      <c r="AN706" s="3"/>
    </row>
    <row r="707" ht="15.75" customHeight="1">
      <c r="AG707" s="607"/>
      <c r="AM707" s="3"/>
      <c r="AN707" s="3"/>
    </row>
    <row r="708" ht="15.75" customHeight="1">
      <c r="AG708" s="607"/>
      <c r="AM708" s="3"/>
      <c r="AN708" s="3"/>
    </row>
    <row r="709" ht="15.75" customHeight="1">
      <c r="AG709" s="607"/>
      <c r="AM709" s="3"/>
      <c r="AN709" s="3"/>
    </row>
    <row r="710" ht="15.75" customHeight="1">
      <c r="AG710" s="607"/>
      <c r="AM710" s="3"/>
      <c r="AN710" s="3"/>
    </row>
    <row r="711" ht="15.75" customHeight="1">
      <c r="AG711" s="607"/>
      <c r="AM711" s="3"/>
      <c r="AN711" s="3"/>
    </row>
    <row r="712" ht="15.75" customHeight="1">
      <c r="AG712" s="607"/>
      <c r="AM712" s="3"/>
      <c r="AN712" s="3"/>
    </row>
    <row r="713" ht="15.75" customHeight="1">
      <c r="AG713" s="607"/>
      <c r="AM713" s="3"/>
      <c r="AN713" s="3"/>
    </row>
    <row r="714" ht="15.75" customHeight="1">
      <c r="AG714" s="607"/>
      <c r="AM714" s="3"/>
      <c r="AN714" s="3"/>
    </row>
    <row r="715" ht="15.75" customHeight="1">
      <c r="AG715" s="607"/>
      <c r="AM715" s="3"/>
      <c r="AN715" s="3"/>
    </row>
    <row r="716" ht="15.75" customHeight="1">
      <c r="AG716" s="607"/>
      <c r="AM716" s="3"/>
      <c r="AN716" s="3"/>
    </row>
    <row r="717" ht="15.75" customHeight="1">
      <c r="AG717" s="607"/>
      <c r="AM717" s="3"/>
      <c r="AN717" s="3"/>
    </row>
    <row r="718" ht="15.75" customHeight="1">
      <c r="AG718" s="607"/>
      <c r="AM718" s="3"/>
      <c r="AN718" s="3"/>
    </row>
    <row r="719" ht="15.75" customHeight="1">
      <c r="AG719" s="607"/>
      <c r="AM719" s="3"/>
      <c r="AN719" s="3"/>
    </row>
    <row r="720" ht="15.75" customHeight="1">
      <c r="AG720" s="607"/>
      <c r="AM720" s="3"/>
      <c r="AN720" s="3"/>
    </row>
    <row r="721" ht="15.75" customHeight="1">
      <c r="AG721" s="607"/>
      <c r="AM721" s="3"/>
      <c r="AN721" s="3"/>
    </row>
    <row r="722" ht="15.75" customHeight="1">
      <c r="AG722" s="607"/>
      <c r="AM722" s="3"/>
      <c r="AN722" s="3"/>
    </row>
    <row r="723" ht="15.75" customHeight="1">
      <c r="AG723" s="607"/>
      <c r="AM723" s="3"/>
      <c r="AN723" s="3"/>
    </row>
    <row r="724" ht="15.75" customHeight="1">
      <c r="AG724" s="607"/>
      <c r="AM724" s="3"/>
      <c r="AN724" s="3"/>
    </row>
    <row r="725" ht="15.75" customHeight="1">
      <c r="AG725" s="607"/>
      <c r="AM725" s="3"/>
      <c r="AN725" s="3"/>
    </row>
    <row r="726" ht="15.75" customHeight="1">
      <c r="AG726" s="607"/>
      <c r="AM726" s="3"/>
      <c r="AN726" s="3"/>
    </row>
    <row r="727" ht="15.75" customHeight="1">
      <c r="AG727" s="607"/>
      <c r="AM727" s="3"/>
      <c r="AN727" s="3"/>
    </row>
    <row r="728" ht="15.75" customHeight="1">
      <c r="AG728" s="607"/>
      <c r="AM728" s="3"/>
      <c r="AN728" s="3"/>
    </row>
    <row r="729" ht="15.75" customHeight="1">
      <c r="AG729" s="607"/>
      <c r="AM729" s="3"/>
      <c r="AN729" s="3"/>
    </row>
    <row r="730" ht="15.75" customHeight="1">
      <c r="AG730" s="607"/>
      <c r="AM730" s="3"/>
      <c r="AN730" s="3"/>
    </row>
    <row r="731" ht="15.75" customHeight="1">
      <c r="AG731" s="607"/>
      <c r="AM731" s="3"/>
      <c r="AN731" s="3"/>
    </row>
    <row r="732" ht="15.75" customHeight="1">
      <c r="AG732" s="607"/>
      <c r="AM732" s="3"/>
      <c r="AN732" s="3"/>
    </row>
    <row r="733" ht="15.75" customHeight="1">
      <c r="AG733" s="607"/>
      <c r="AM733" s="3"/>
      <c r="AN733" s="3"/>
    </row>
    <row r="734" ht="15.75" customHeight="1">
      <c r="AG734" s="607"/>
      <c r="AM734" s="3"/>
      <c r="AN734" s="3"/>
    </row>
    <row r="735" ht="15.75" customHeight="1">
      <c r="AG735" s="607"/>
      <c r="AM735" s="3"/>
      <c r="AN735" s="3"/>
    </row>
    <row r="736" ht="15.75" customHeight="1">
      <c r="AG736" s="607"/>
      <c r="AM736" s="3"/>
      <c r="AN736" s="3"/>
    </row>
    <row r="737" ht="15.75" customHeight="1">
      <c r="AG737" s="607"/>
      <c r="AM737" s="3"/>
      <c r="AN737" s="3"/>
    </row>
    <row r="738" ht="15.75" customHeight="1">
      <c r="AG738" s="607"/>
      <c r="AM738" s="3"/>
      <c r="AN738" s="3"/>
    </row>
    <row r="739" ht="15.75" customHeight="1">
      <c r="AG739" s="607"/>
      <c r="AM739" s="3"/>
      <c r="AN739" s="3"/>
    </row>
    <row r="740" ht="15.75" customHeight="1">
      <c r="AG740" s="607"/>
      <c r="AM740" s="3"/>
      <c r="AN740" s="3"/>
    </row>
    <row r="741" ht="15.75" customHeight="1">
      <c r="AG741" s="607"/>
      <c r="AM741" s="3"/>
      <c r="AN741" s="3"/>
    </row>
    <row r="742" ht="15.75" customHeight="1">
      <c r="AG742" s="607"/>
      <c r="AM742" s="3"/>
      <c r="AN742" s="3"/>
    </row>
    <row r="743" ht="15.75" customHeight="1">
      <c r="AG743" s="607"/>
      <c r="AM743" s="3"/>
      <c r="AN743" s="3"/>
    </row>
    <row r="744" ht="15.75" customHeight="1">
      <c r="AG744" s="607"/>
      <c r="AM744" s="3"/>
      <c r="AN744" s="3"/>
    </row>
    <row r="745" ht="15.75" customHeight="1">
      <c r="AG745" s="607"/>
      <c r="AM745" s="3"/>
      <c r="AN745" s="3"/>
    </row>
    <row r="746" ht="15.75" customHeight="1">
      <c r="AG746" s="607"/>
      <c r="AM746" s="3"/>
      <c r="AN746" s="3"/>
    </row>
    <row r="747" ht="15.75" customHeight="1">
      <c r="AG747" s="607"/>
      <c r="AM747" s="3"/>
      <c r="AN747" s="3"/>
    </row>
    <row r="748" ht="15.75" customHeight="1">
      <c r="AG748" s="607"/>
      <c r="AM748" s="3"/>
      <c r="AN748" s="3"/>
    </row>
    <row r="749" ht="15.75" customHeight="1">
      <c r="AG749" s="607"/>
      <c r="AM749" s="3"/>
      <c r="AN749" s="3"/>
    </row>
    <row r="750" ht="15.75" customHeight="1">
      <c r="AG750" s="607"/>
      <c r="AM750" s="3"/>
      <c r="AN750" s="3"/>
    </row>
    <row r="751" ht="15.75" customHeight="1">
      <c r="AG751" s="607"/>
      <c r="AM751" s="3"/>
      <c r="AN751" s="3"/>
    </row>
    <row r="752" ht="15.75" customHeight="1">
      <c r="AG752" s="607"/>
      <c r="AM752" s="3"/>
      <c r="AN752" s="3"/>
    </row>
    <row r="753" ht="15.75" customHeight="1">
      <c r="AG753" s="607"/>
      <c r="AM753" s="3"/>
      <c r="AN753" s="3"/>
    </row>
    <row r="754" ht="15.75" customHeight="1">
      <c r="AG754" s="607"/>
      <c r="AM754" s="3"/>
      <c r="AN754" s="3"/>
    </row>
    <row r="755" ht="15.75" customHeight="1">
      <c r="AG755" s="607"/>
      <c r="AM755" s="3"/>
      <c r="AN755" s="3"/>
    </row>
    <row r="756" ht="15.75" customHeight="1">
      <c r="AG756" s="607"/>
      <c r="AM756" s="3"/>
      <c r="AN756" s="3"/>
    </row>
    <row r="757" ht="15.75" customHeight="1">
      <c r="AG757" s="607"/>
      <c r="AM757" s="3"/>
      <c r="AN757" s="3"/>
    </row>
    <row r="758" ht="15.75" customHeight="1">
      <c r="AG758" s="607"/>
      <c r="AM758" s="3"/>
      <c r="AN758" s="3"/>
    </row>
    <row r="759" ht="15.75" customHeight="1">
      <c r="AG759" s="607"/>
      <c r="AM759" s="3"/>
      <c r="AN759" s="3"/>
    </row>
    <row r="760" ht="15.75" customHeight="1">
      <c r="AG760" s="607"/>
      <c r="AM760" s="3"/>
      <c r="AN760" s="3"/>
    </row>
    <row r="761" ht="15.75" customHeight="1">
      <c r="AG761" s="607"/>
      <c r="AM761" s="3"/>
      <c r="AN761" s="3"/>
    </row>
    <row r="762" ht="15.75" customHeight="1">
      <c r="AG762" s="607"/>
      <c r="AM762" s="3"/>
      <c r="AN762" s="3"/>
    </row>
    <row r="763" ht="15.75" customHeight="1">
      <c r="AG763" s="607"/>
      <c r="AM763" s="3"/>
      <c r="AN763" s="3"/>
    </row>
    <row r="764" ht="15.75" customHeight="1">
      <c r="AG764" s="607"/>
      <c r="AM764" s="3"/>
      <c r="AN764" s="3"/>
    </row>
    <row r="765" ht="15.75" customHeight="1">
      <c r="AG765" s="607"/>
      <c r="AM765" s="3"/>
      <c r="AN765" s="3"/>
    </row>
    <row r="766" ht="15.75" customHeight="1">
      <c r="AG766" s="607"/>
      <c r="AM766" s="3"/>
      <c r="AN766" s="3"/>
    </row>
    <row r="767" ht="15.75" customHeight="1">
      <c r="AG767" s="607"/>
      <c r="AM767" s="3"/>
      <c r="AN767" s="3"/>
    </row>
    <row r="768" ht="15.75" customHeight="1">
      <c r="AG768" s="607"/>
      <c r="AM768" s="3"/>
      <c r="AN768" s="3"/>
    </row>
    <row r="769" ht="15.75" customHeight="1">
      <c r="AG769" s="607"/>
      <c r="AM769" s="3"/>
      <c r="AN769" s="3"/>
    </row>
    <row r="770" ht="15.75" customHeight="1">
      <c r="AG770" s="607"/>
      <c r="AM770" s="3"/>
      <c r="AN770" s="3"/>
    </row>
    <row r="771" ht="15.75" customHeight="1">
      <c r="AG771" s="607"/>
      <c r="AM771" s="3"/>
      <c r="AN771" s="3"/>
    </row>
    <row r="772" ht="15.75" customHeight="1">
      <c r="AG772" s="607"/>
      <c r="AM772" s="3"/>
      <c r="AN772" s="3"/>
    </row>
    <row r="773" ht="15.75" customHeight="1">
      <c r="AG773" s="607"/>
      <c r="AM773" s="3"/>
      <c r="AN773" s="3"/>
    </row>
    <row r="774" ht="15.75" customHeight="1">
      <c r="AG774" s="607"/>
      <c r="AM774" s="3"/>
      <c r="AN774" s="3"/>
    </row>
    <row r="775" ht="15.75" customHeight="1">
      <c r="AG775" s="607"/>
      <c r="AM775" s="3"/>
      <c r="AN775" s="3"/>
    </row>
    <row r="776" ht="15.75" customHeight="1">
      <c r="AG776" s="607"/>
      <c r="AM776" s="3"/>
      <c r="AN776" s="3"/>
    </row>
    <row r="777" ht="15.75" customHeight="1">
      <c r="AG777" s="607"/>
      <c r="AM777" s="3"/>
      <c r="AN777" s="3"/>
    </row>
    <row r="778" ht="15.75" customHeight="1">
      <c r="AG778" s="607"/>
      <c r="AM778" s="3"/>
      <c r="AN778" s="3"/>
    </row>
    <row r="779" ht="15.75" customHeight="1">
      <c r="AG779" s="607"/>
      <c r="AM779" s="3"/>
      <c r="AN779" s="3"/>
    </row>
    <row r="780" ht="15.75" customHeight="1">
      <c r="AG780" s="607"/>
      <c r="AM780" s="3"/>
      <c r="AN780" s="3"/>
    </row>
    <row r="781" ht="15.75" customHeight="1">
      <c r="AG781" s="607"/>
      <c r="AM781" s="3"/>
      <c r="AN781" s="3"/>
    </row>
    <row r="782" ht="15.75" customHeight="1">
      <c r="AG782" s="607"/>
      <c r="AM782" s="3"/>
      <c r="AN782" s="3"/>
    </row>
    <row r="783" ht="15.75" customHeight="1">
      <c r="AG783" s="607"/>
      <c r="AM783" s="3"/>
      <c r="AN783" s="3"/>
    </row>
    <row r="784" ht="15.75" customHeight="1">
      <c r="AG784" s="607"/>
      <c r="AM784" s="3"/>
      <c r="AN784" s="3"/>
    </row>
    <row r="785" ht="15.75" customHeight="1">
      <c r="AG785" s="607"/>
      <c r="AM785" s="3"/>
      <c r="AN785" s="3"/>
    </row>
    <row r="786" ht="15.75" customHeight="1">
      <c r="AG786" s="607"/>
      <c r="AM786" s="3"/>
      <c r="AN786" s="3"/>
    </row>
    <row r="787" ht="15.75" customHeight="1">
      <c r="AG787" s="607"/>
      <c r="AM787" s="3"/>
      <c r="AN787" s="3"/>
    </row>
    <row r="788" ht="15.75" customHeight="1">
      <c r="AG788" s="607"/>
      <c r="AM788" s="3"/>
      <c r="AN788" s="3"/>
    </row>
    <row r="789" ht="15.75" customHeight="1">
      <c r="AG789" s="607"/>
      <c r="AM789" s="3"/>
      <c r="AN789" s="3"/>
    </row>
    <row r="790" ht="15.75" customHeight="1">
      <c r="AG790" s="607"/>
      <c r="AM790" s="3"/>
      <c r="AN790" s="3"/>
    </row>
    <row r="791" ht="15.75" customHeight="1">
      <c r="AG791" s="607"/>
      <c r="AM791" s="3"/>
      <c r="AN791" s="3"/>
    </row>
    <row r="792" ht="15.75" customHeight="1">
      <c r="AG792" s="607"/>
      <c r="AM792" s="3"/>
      <c r="AN792" s="3"/>
    </row>
    <row r="793" ht="15.75" customHeight="1">
      <c r="AG793" s="607"/>
      <c r="AM793" s="3"/>
      <c r="AN793" s="3"/>
    </row>
    <row r="794" ht="15.75" customHeight="1">
      <c r="AG794" s="607"/>
      <c r="AM794" s="3"/>
      <c r="AN794" s="3"/>
    </row>
    <row r="795" ht="15.75" customHeight="1">
      <c r="AG795" s="607"/>
      <c r="AM795" s="3"/>
      <c r="AN795" s="3"/>
    </row>
    <row r="796" ht="15.75" customHeight="1">
      <c r="AG796" s="607"/>
      <c r="AM796" s="3"/>
      <c r="AN796" s="3"/>
    </row>
    <row r="797" ht="15.75" customHeight="1">
      <c r="AG797" s="607"/>
      <c r="AM797" s="3"/>
      <c r="AN797" s="3"/>
    </row>
    <row r="798" ht="15.75" customHeight="1">
      <c r="AG798" s="607"/>
      <c r="AM798" s="3"/>
      <c r="AN798" s="3"/>
    </row>
    <row r="799" ht="15.75" customHeight="1">
      <c r="AG799" s="607"/>
      <c r="AM799" s="3"/>
      <c r="AN799" s="3"/>
    </row>
    <row r="800" ht="15.75" customHeight="1">
      <c r="AG800" s="607"/>
      <c r="AM800" s="3"/>
      <c r="AN800" s="3"/>
    </row>
    <row r="801" ht="15.75" customHeight="1">
      <c r="AG801" s="607"/>
      <c r="AM801" s="3"/>
      <c r="AN801" s="3"/>
    </row>
    <row r="802" ht="15.75" customHeight="1">
      <c r="AG802" s="607"/>
      <c r="AM802" s="3"/>
      <c r="AN802" s="3"/>
    </row>
    <row r="803" ht="15.75" customHeight="1">
      <c r="AG803" s="607"/>
      <c r="AM803" s="3"/>
      <c r="AN803" s="3"/>
    </row>
    <row r="804" ht="15.75" customHeight="1">
      <c r="AG804" s="607"/>
      <c r="AM804" s="3"/>
      <c r="AN804" s="3"/>
    </row>
    <row r="805" ht="15.75" customHeight="1">
      <c r="AG805" s="607"/>
      <c r="AM805" s="3"/>
      <c r="AN805" s="3"/>
    </row>
    <row r="806" ht="15.75" customHeight="1">
      <c r="AG806" s="607"/>
      <c r="AM806" s="3"/>
      <c r="AN806" s="3"/>
    </row>
    <row r="807" ht="15.75" customHeight="1">
      <c r="AG807" s="607"/>
      <c r="AM807" s="3"/>
      <c r="AN807" s="3"/>
    </row>
    <row r="808" ht="15.75" customHeight="1">
      <c r="AG808" s="607"/>
      <c r="AM808" s="3"/>
      <c r="AN808" s="3"/>
    </row>
    <row r="809" ht="15.75" customHeight="1">
      <c r="AG809" s="607"/>
      <c r="AM809" s="3"/>
      <c r="AN809" s="3"/>
    </row>
    <row r="810" ht="15.75" customHeight="1">
      <c r="AG810" s="607"/>
      <c r="AM810" s="3"/>
      <c r="AN810" s="3"/>
    </row>
    <row r="811" ht="15.75" customHeight="1">
      <c r="AG811" s="607"/>
      <c r="AM811" s="3"/>
      <c r="AN811" s="3"/>
    </row>
    <row r="812" ht="15.75" customHeight="1">
      <c r="AG812" s="607"/>
      <c r="AM812" s="3"/>
      <c r="AN812" s="3"/>
    </row>
    <row r="813" ht="15.75" customHeight="1">
      <c r="AG813" s="607"/>
      <c r="AM813" s="3"/>
      <c r="AN813" s="3"/>
    </row>
    <row r="814" ht="15.75" customHeight="1">
      <c r="AG814" s="607"/>
      <c r="AM814" s="3"/>
      <c r="AN814" s="3"/>
    </row>
    <row r="815" ht="15.75" customHeight="1">
      <c r="AG815" s="607"/>
      <c r="AM815" s="3"/>
      <c r="AN815" s="3"/>
    </row>
    <row r="816" ht="15.75" customHeight="1">
      <c r="AG816" s="607"/>
      <c r="AM816" s="3"/>
      <c r="AN816" s="3"/>
    </row>
    <row r="817" ht="15.75" customHeight="1">
      <c r="AG817" s="607"/>
      <c r="AM817" s="3"/>
      <c r="AN817" s="3"/>
    </row>
    <row r="818" ht="15.75" customHeight="1">
      <c r="AG818" s="607"/>
      <c r="AM818" s="3"/>
      <c r="AN818" s="3"/>
    </row>
    <row r="819" ht="15.75" customHeight="1">
      <c r="AG819" s="607"/>
      <c r="AM819" s="3"/>
      <c r="AN819" s="3"/>
    </row>
    <row r="820" ht="15.75" customHeight="1">
      <c r="AG820" s="607"/>
      <c r="AM820" s="3"/>
      <c r="AN820" s="3"/>
    </row>
    <row r="821" ht="15.75" customHeight="1">
      <c r="AG821" s="607"/>
      <c r="AM821" s="3"/>
      <c r="AN821" s="3"/>
    </row>
    <row r="822" ht="15.75" customHeight="1">
      <c r="AG822" s="607"/>
      <c r="AM822" s="3"/>
      <c r="AN822" s="3"/>
    </row>
    <row r="823" ht="15.75" customHeight="1">
      <c r="AG823" s="607"/>
      <c r="AM823" s="3"/>
      <c r="AN823" s="3"/>
    </row>
    <row r="824" ht="15.75" customHeight="1">
      <c r="AG824" s="607"/>
      <c r="AM824" s="3"/>
      <c r="AN824" s="3"/>
    </row>
    <row r="825" ht="15.75" customHeight="1">
      <c r="AG825" s="607"/>
      <c r="AM825" s="3"/>
      <c r="AN825" s="3"/>
    </row>
    <row r="826" ht="15.75" customHeight="1">
      <c r="AG826" s="607"/>
      <c r="AM826" s="3"/>
      <c r="AN826" s="3"/>
    </row>
    <row r="827" ht="15.75" customHeight="1">
      <c r="AG827" s="607"/>
      <c r="AM827" s="3"/>
      <c r="AN827" s="3"/>
    </row>
    <row r="828" ht="15.75" customHeight="1">
      <c r="AG828" s="607"/>
      <c r="AM828" s="3"/>
      <c r="AN828" s="3"/>
    </row>
    <row r="829" ht="15.75" customHeight="1">
      <c r="AG829" s="607"/>
      <c r="AM829" s="3"/>
      <c r="AN829" s="3"/>
    </row>
    <row r="830" ht="15.75" customHeight="1">
      <c r="AG830" s="607"/>
      <c r="AM830" s="3"/>
      <c r="AN830" s="3"/>
    </row>
    <row r="831" ht="15.75" customHeight="1">
      <c r="AG831" s="607"/>
      <c r="AM831" s="3"/>
      <c r="AN831" s="3"/>
    </row>
    <row r="832" ht="15.75" customHeight="1">
      <c r="AG832" s="607"/>
      <c r="AM832" s="3"/>
      <c r="AN832" s="3"/>
    </row>
    <row r="833" ht="15.75" customHeight="1">
      <c r="AG833" s="607"/>
      <c r="AM833" s="3"/>
      <c r="AN833" s="3"/>
    </row>
    <row r="834" ht="15.75" customHeight="1">
      <c r="AG834" s="607"/>
      <c r="AM834" s="3"/>
      <c r="AN834" s="3"/>
    </row>
    <row r="835" ht="15.75" customHeight="1">
      <c r="AG835" s="607"/>
      <c r="AM835" s="3"/>
      <c r="AN835" s="3"/>
    </row>
    <row r="836" ht="15.75" customHeight="1">
      <c r="AG836" s="607"/>
      <c r="AM836" s="3"/>
      <c r="AN836" s="3"/>
    </row>
    <row r="837" ht="15.75" customHeight="1">
      <c r="AG837" s="607"/>
      <c r="AM837" s="3"/>
      <c r="AN837" s="3"/>
    </row>
    <row r="838" ht="15.75" customHeight="1">
      <c r="AG838" s="607"/>
      <c r="AM838" s="3"/>
      <c r="AN838" s="3"/>
    </row>
    <row r="839" ht="15.75" customHeight="1">
      <c r="AG839" s="607"/>
      <c r="AM839" s="3"/>
      <c r="AN839" s="3"/>
    </row>
    <row r="840" ht="15.75" customHeight="1">
      <c r="AG840" s="607"/>
      <c r="AM840" s="3"/>
      <c r="AN840" s="3"/>
    </row>
    <row r="841" ht="15.75" customHeight="1">
      <c r="AG841" s="607"/>
      <c r="AM841" s="3"/>
      <c r="AN841" s="3"/>
    </row>
    <row r="842" ht="15.75" customHeight="1">
      <c r="AG842" s="607"/>
      <c r="AM842" s="3"/>
      <c r="AN842" s="3"/>
    </row>
    <row r="843" ht="15.75" customHeight="1">
      <c r="AG843" s="607"/>
      <c r="AM843" s="3"/>
      <c r="AN843" s="3"/>
    </row>
    <row r="844" ht="15.75" customHeight="1">
      <c r="AG844" s="607"/>
      <c r="AM844" s="3"/>
      <c r="AN844" s="3"/>
    </row>
    <row r="845" ht="15.75" customHeight="1">
      <c r="AG845" s="607"/>
      <c r="AM845" s="3"/>
      <c r="AN845" s="3"/>
    </row>
    <row r="846" ht="15.75" customHeight="1">
      <c r="AG846" s="607"/>
      <c r="AM846" s="3"/>
      <c r="AN846" s="3"/>
    </row>
    <row r="847" ht="15.75" customHeight="1">
      <c r="AG847" s="607"/>
      <c r="AM847" s="3"/>
      <c r="AN847" s="3"/>
    </row>
    <row r="848" ht="15.75" customHeight="1">
      <c r="AG848" s="607"/>
      <c r="AM848" s="3"/>
      <c r="AN848" s="3"/>
    </row>
    <row r="849" ht="15.75" customHeight="1">
      <c r="AG849" s="607"/>
      <c r="AM849" s="3"/>
      <c r="AN849" s="3"/>
    </row>
    <row r="850" ht="15.75" customHeight="1">
      <c r="AG850" s="607"/>
      <c r="AM850" s="3"/>
      <c r="AN850" s="3"/>
    </row>
    <row r="851" ht="15.75" customHeight="1">
      <c r="AG851" s="607"/>
      <c r="AM851" s="3"/>
      <c r="AN851" s="3"/>
    </row>
    <row r="852" ht="15.75" customHeight="1">
      <c r="AG852" s="607"/>
      <c r="AM852" s="3"/>
      <c r="AN852" s="3"/>
    </row>
    <row r="853" ht="15.75" customHeight="1">
      <c r="AG853" s="607"/>
      <c r="AM853" s="3"/>
      <c r="AN853" s="3"/>
    </row>
    <row r="854" ht="15.75" customHeight="1">
      <c r="AG854" s="607"/>
      <c r="AM854" s="3"/>
      <c r="AN854" s="3"/>
    </row>
    <row r="855" ht="15.75" customHeight="1">
      <c r="AG855" s="607"/>
      <c r="AM855" s="3"/>
      <c r="AN855" s="3"/>
    </row>
    <row r="856" ht="15.75" customHeight="1">
      <c r="AG856" s="607"/>
      <c r="AM856" s="3"/>
      <c r="AN856" s="3"/>
    </row>
    <row r="857" ht="15.75" customHeight="1">
      <c r="AG857" s="607"/>
      <c r="AM857" s="3"/>
      <c r="AN857" s="3"/>
    </row>
    <row r="858" ht="15.75" customHeight="1">
      <c r="AG858" s="607"/>
      <c r="AM858" s="3"/>
      <c r="AN858" s="3"/>
    </row>
    <row r="859" ht="15.75" customHeight="1">
      <c r="AG859" s="607"/>
      <c r="AM859" s="3"/>
      <c r="AN859" s="3"/>
    </row>
    <row r="860" ht="15.75" customHeight="1">
      <c r="AG860" s="607"/>
      <c r="AM860" s="3"/>
      <c r="AN860" s="3"/>
    </row>
    <row r="861" ht="15.75" customHeight="1">
      <c r="AG861" s="607"/>
      <c r="AM861" s="3"/>
      <c r="AN861" s="3"/>
    </row>
    <row r="862" ht="15.75" customHeight="1">
      <c r="AG862" s="607"/>
      <c r="AM862" s="3"/>
      <c r="AN862" s="3"/>
    </row>
    <row r="863" ht="15.75" customHeight="1">
      <c r="AG863" s="607"/>
      <c r="AM863" s="3"/>
      <c r="AN863" s="3"/>
    </row>
    <row r="864" ht="15.75" customHeight="1">
      <c r="AG864" s="607"/>
      <c r="AM864" s="3"/>
      <c r="AN864" s="3"/>
    </row>
    <row r="865" ht="15.75" customHeight="1">
      <c r="AG865" s="607"/>
      <c r="AM865" s="3"/>
      <c r="AN865" s="3"/>
    </row>
    <row r="866" ht="15.75" customHeight="1">
      <c r="AG866" s="607"/>
      <c r="AM866" s="3"/>
      <c r="AN866" s="3"/>
    </row>
    <row r="867" ht="15.75" customHeight="1">
      <c r="AG867" s="607"/>
      <c r="AM867" s="3"/>
      <c r="AN867" s="3"/>
    </row>
    <row r="868" ht="15.75" customHeight="1">
      <c r="AG868" s="607"/>
      <c r="AM868" s="3"/>
      <c r="AN868" s="3"/>
    </row>
    <row r="869" ht="15.75" customHeight="1">
      <c r="AG869" s="607"/>
      <c r="AM869" s="3"/>
      <c r="AN869" s="3"/>
    </row>
    <row r="870" ht="15.75" customHeight="1">
      <c r="AG870" s="607"/>
      <c r="AM870" s="3"/>
      <c r="AN870" s="3"/>
    </row>
    <row r="871" ht="15.75" customHeight="1">
      <c r="AG871" s="607"/>
      <c r="AM871" s="3"/>
      <c r="AN871" s="3"/>
    </row>
    <row r="872" ht="15.75" customHeight="1">
      <c r="AG872" s="607"/>
      <c r="AM872" s="3"/>
      <c r="AN872" s="3"/>
    </row>
    <row r="873" ht="15.75" customHeight="1">
      <c r="AG873" s="607"/>
      <c r="AM873" s="3"/>
      <c r="AN873" s="3"/>
    </row>
    <row r="874" ht="15.75" customHeight="1">
      <c r="AG874" s="607"/>
      <c r="AM874" s="3"/>
      <c r="AN874" s="3"/>
    </row>
    <row r="875" ht="15.75" customHeight="1">
      <c r="AG875" s="607"/>
      <c r="AM875" s="3"/>
      <c r="AN875" s="3"/>
    </row>
    <row r="876" ht="15.75" customHeight="1">
      <c r="AG876" s="607"/>
      <c r="AM876" s="3"/>
      <c r="AN876" s="3"/>
    </row>
    <row r="877" ht="15.75" customHeight="1">
      <c r="AG877" s="607"/>
      <c r="AM877" s="3"/>
      <c r="AN877" s="3"/>
    </row>
    <row r="878" ht="15.75" customHeight="1">
      <c r="AG878" s="607"/>
      <c r="AM878" s="3"/>
      <c r="AN878" s="3"/>
    </row>
    <row r="879" ht="15.75" customHeight="1">
      <c r="AG879" s="607"/>
      <c r="AM879" s="3"/>
      <c r="AN879" s="3"/>
    </row>
    <row r="880" ht="15.75" customHeight="1">
      <c r="AG880" s="607"/>
      <c r="AM880" s="3"/>
      <c r="AN880" s="3"/>
    </row>
    <row r="881" ht="15.75" customHeight="1">
      <c r="AG881" s="607"/>
      <c r="AM881" s="3"/>
      <c r="AN881" s="3"/>
    </row>
    <row r="882" ht="15.75" customHeight="1">
      <c r="AG882" s="607"/>
      <c r="AM882" s="3"/>
      <c r="AN882" s="3"/>
    </row>
    <row r="883" ht="15.75" customHeight="1">
      <c r="AG883" s="607"/>
      <c r="AM883" s="3"/>
      <c r="AN883" s="3"/>
    </row>
    <row r="884" ht="15.75" customHeight="1">
      <c r="AG884" s="607"/>
      <c r="AM884" s="3"/>
      <c r="AN884" s="3"/>
    </row>
    <row r="885" ht="15.75" customHeight="1">
      <c r="AG885" s="607"/>
      <c r="AM885" s="3"/>
      <c r="AN885" s="3"/>
    </row>
    <row r="886" ht="15.75" customHeight="1">
      <c r="AG886" s="607"/>
      <c r="AM886" s="3"/>
      <c r="AN886" s="3"/>
    </row>
    <row r="887" ht="15.75" customHeight="1">
      <c r="AG887" s="607"/>
      <c r="AM887" s="3"/>
      <c r="AN887" s="3"/>
    </row>
    <row r="888" ht="15.75" customHeight="1">
      <c r="AG888" s="607"/>
      <c r="AM888" s="3"/>
      <c r="AN888" s="3"/>
    </row>
    <row r="889" ht="15.75" customHeight="1">
      <c r="AG889" s="607"/>
      <c r="AM889" s="3"/>
      <c r="AN889" s="3"/>
    </row>
    <row r="890" ht="15.75" customHeight="1">
      <c r="AG890" s="607"/>
      <c r="AM890" s="3"/>
      <c r="AN890" s="3"/>
    </row>
    <row r="891" ht="15.75" customHeight="1">
      <c r="AG891" s="607"/>
      <c r="AM891" s="3"/>
      <c r="AN891" s="3"/>
    </row>
    <row r="892" ht="15.75" customHeight="1">
      <c r="AG892" s="607"/>
      <c r="AM892" s="3"/>
      <c r="AN892" s="3"/>
    </row>
    <row r="893" ht="15.75" customHeight="1">
      <c r="AG893" s="607"/>
      <c r="AM893" s="3"/>
      <c r="AN893" s="3"/>
    </row>
    <row r="894" ht="15.75" customHeight="1">
      <c r="AG894" s="607"/>
      <c r="AM894" s="3"/>
      <c r="AN894" s="3"/>
    </row>
    <row r="895" ht="15.75" customHeight="1">
      <c r="AG895" s="607"/>
      <c r="AM895" s="3"/>
      <c r="AN895" s="3"/>
    </row>
    <row r="896" ht="15.75" customHeight="1">
      <c r="AG896" s="607"/>
      <c r="AM896" s="3"/>
      <c r="AN896" s="3"/>
    </row>
    <row r="897" ht="15.75" customHeight="1">
      <c r="AG897" s="607"/>
      <c r="AM897" s="3"/>
      <c r="AN897" s="3"/>
    </row>
    <row r="898" ht="15.75" customHeight="1">
      <c r="AG898" s="607"/>
      <c r="AM898" s="3"/>
      <c r="AN898" s="3"/>
    </row>
    <row r="899" ht="15.75" customHeight="1">
      <c r="AG899" s="607"/>
      <c r="AM899" s="3"/>
      <c r="AN899" s="3"/>
    </row>
    <row r="900" ht="15.75" customHeight="1">
      <c r="AG900" s="607"/>
      <c r="AM900" s="3"/>
      <c r="AN900" s="3"/>
    </row>
    <row r="901" ht="15.75" customHeight="1">
      <c r="AG901" s="607"/>
      <c r="AM901" s="3"/>
      <c r="AN901" s="3"/>
    </row>
    <row r="902" ht="15.75" customHeight="1">
      <c r="AG902" s="607"/>
      <c r="AM902" s="3"/>
      <c r="AN902" s="3"/>
    </row>
    <row r="903" ht="15.75" customHeight="1">
      <c r="AG903" s="607"/>
      <c r="AM903" s="3"/>
      <c r="AN903" s="3"/>
    </row>
    <row r="904" ht="15.75" customHeight="1">
      <c r="AG904" s="607"/>
      <c r="AM904" s="3"/>
      <c r="AN904" s="3"/>
    </row>
    <row r="905" ht="15.75" customHeight="1">
      <c r="AG905" s="607"/>
      <c r="AM905" s="3"/>
      <c r="AN905" s="3"/>
    </row>
    <row r="906" ht="15.75" customHeight="1">
      <c r="AG906" s="607"/>
      <c r="AM906" s="3"/>
      <c r="AN906" s="3"/>
    </row>
    <row r="907" ht="15.75" customHeight="1">
      <c r="AG907" s="607"/>
      <c r="AM907" s="3"/>
      <c r="AN907" s="3"/>
    </row>
    <row r="908" ht="15.75" customHeight="1">
      <c r="AG908" s="607"/>
      <c r="AM908" s="3"/>
      <c r="AN908" s="3"/>
    </row>
    <row r="909" ht="15.75" customHeight="1">
      <c r="AG909" s="607"/>
      <c r="AM909" s="3"/>
      <c r="AN909" s="3"/>
    </row>
    <row r="910" ht="15.75" customHeight="1">
      <c r="AG910" s="607"/>
      <c r="AM910" s="3"/>
      <c r="AN910" s="3"/>
    </row>
    <row r="911" ht="15.75" customHeight="1">
      <c r="AG911" s="607"/>
      <c r="AM911" s="3"/>
      <c r="AN911" s="3"/>
    </row>
    <row r="912" ht="15.75" customHeight="1">
      <c r="AG912" s="607"/>
      <c r="AM912" s="3"/>
      <c r="AN912" s="3"/>
    </row>
    <row r="913" ht="15.75" customHeight="1">
      <c r="AG913" s="607"/>
      <c r="AM913" s="3"/>
      <c r="AN913" s="3"/>
    </row>
    <row r="914" ht="15.75" customHeight="1">
      <c r="AG914" s="607"/>
      <c r="AM914" s="3"/>
      <c r="AN914" s="3"/>
    </row>
    <row r="915" ht="15.75" customHeight="1">
      <c r="AG915" s="607"/>
      <c r="AM915" s="3"/>
      <c r="AN915" s="3"/>
    </row>
    <row r="916" ht="15.75" customHeight="1">
      <c r="AG916" s="607"/>
      <c r="AM916" s="3"/>
      <c r="AN916" s="3"/>
    </row>
    <row r="917" ht="15.75" customHeight="1">
      <c r="AG917" s="607"/>
      <c r="AM917" s="3"/>
      <c r="AN917" s="3"/>
    </row>
    <row r="918" ht="15.75" customHeight="1">
      <c r="AG918" s="607"/>
      <c r="AM918" s="3"/>
      <c r="AN918" s="3"/>
    </row>
    <row r="919" ht="15.75" customHeight="1">
      <c r="AG919" s="607"/>
      <c r="AM919" s="3"/>
      <c r="AN919" s="3"/>
    </row>
    <row r="920" ht="15.75" customHeight="1">
      <c r="AG920" s="607"/>
      <c r="AM920" s="3"/>
      <c r="AN920" s="3"/>
    </row>
    <row r="921" ht="15.75" customHeight="1">
      <c r="AG921" s="607"/>
      <c r="AM921" s="3"/>
      <c r="AN921" s="3"/>
    </row>
    <row r="922" ht="15.75" customHeight="1">
      <c r="AG922" s="607"/>
      <c r="AM922" s="3"/>
      <c r="AN922" s="3"/>
    </row>
    <row r="923" ht="15.75" customHeight="1">
      <c r="AG923" s="607"/>
      <c r="AM923" s="3"/>
      <c r="AN923" s="3"/>
    </row>
    <row r="924" ht="15.75" customHeight="1">
      <c r="AG924" s="607"/>
      <c r="AM924" s="3"/>
      <c r="AN924" s="3"/>
    </row>
    <row r="925" ht="15.75" customHeight="1">
      <c r="AG925" s="607"/>
      <c r="AM925" s="3"/>
      <c r="AN925" s="3"/>
    </row>
    <row r="926" ht="15.75" customHeight="1">
      <c r="AG926" s="607"/>
      <c r="AM926" s="3"/>
      <c r="AN926" s="3"/>
    </row>
    <row r="927" ht="15.75" customHeight="1">
      <c r="AG927" s="607"/>
      <c r="AM927" s="3"/>
      <c r="AN927" s="3"/>
    </row>
    <row r="928" ht="15.75" customHeight="1">
      <c r="AG928" s="607"/>
      <c r="AM928" s="3"/>
      <c r="AN928" s="3"/>
    </row>
    <row r="929" ht="15.75" customHeight="1">
      <c r="AG929" s="607"/>
      <c r="AM929" s="3"/>
      <c r="AN929" s="3"/>
    </row>
    <row r="930" ht="15.75" customHeight="1">
      <c r="AG930" s="607"/>
      <c r="AM930" s="3"/>
      <c r="AN930" s="3"/>
    </row>
    <row r="931" ht="15.75" customHeight="1">
      <c r="AG931" s="607"/>
      <c r="AM931" s="3"/>
      <c r="AN931" s="3"/>
    </row>
    <row r="932" ht="15.75" customHeight="1">
      <c r="AG932" s="607"/>
      <c r="AM932" s="3"/>
      <c r="AN932" s="3"/>
    </row>
    <row r="933" ht="15.75" customHeight="1">
      <c r="AG933" s="607"/>
      <c r="AM933" s="3"/>
      <c r="AN933" s="3"/>
    </row>
    <row r="934" ht="15.75" customHeight="1">
      <c r="AG934" s="607"/>
      <c r="AM934" s="3"/>
      <c r="AN934" s="3"/>
    </row>
    <row r="935" ht="15.75" customHeight="1">
      <c r="AG935" s="607"/>
      <c r="AM935" s="3"/>
      <c r="AN935" s="3"/>
    </row>
    <row r="936" ht="15.75" customHeight="1">
      <c r="AG936" s="607"/>
      <c r="AM936" s="3"/>
      <c r="AN936" s="3"/>
    </row>
    <row r="937" ht="15.75" customHeight="1">
      <c r="AG937" s="607"/>
      <c r="AM937" s="3"/>
      <c r="AN937" s="3"/>
    </row>
    <row r="938" ht="15.75" customHeight="1">
      <c r="AG938" s="607"/>
      <c r="AM938" s="3"/>
      <c r="AN938" s="3"/>
    </row>
    <row r="939" ht="15.75" customHeight="1">
      <c r="AG939" s="607"/>
      <c r="AM939" s="3"/>
      <c r="AN939" s="3"/>
    </row>
    <row r="940" ht="15.75" customHeight="1">
      <c r="AG940" s="607"/>
      <c r="AM940" s="3"/>
      <c r="AN940" s="3"/>
    </row>
    <row r="941" ht="15.75" customHeight="1">
      <c r="AG941" s="607"/>
      <c r="AM941" s="3"/>
      <c r="AN941" s="3"/>
    </row>
    <row r="942" ht="15.75" customHeight="1">
      <c r="AG942" s="607"/>
      <c r="AM942" s="3"/>
      <c r="AN942" s="3"/>
    </row>
    <row r="943" ht="15.75" customHeight="1">
      <c r="AG943" s="607"/>
      <c r="AM943" s="3"/>
      <c r="AN943" s="3"/>
    </row>
    <row r="944" ht="15.75" customHeight="1">
      <c r="AG944" s="607"/>
      <c r="AM944" s="3"/>
      <c r="AN944" s="3"/>
    </row>
    <row r="945" ht="15.75" customHeight="1">
      <c r="AG945" s="607"/>
      <c r="AM945" s="3"/>
      <c r="AN945" s="3"/>
    </row>
    <row r="946" ht="15.75" customHeight="1">
      <c r="AG946" s="607"/>
      <c r="AM946" s="3"/>
      <c r="AN946" s="3"/>
    </row>
    <row r="947" ht="15.75" customHeight="1">
      <c r="AG947" s="607"/>
      <c r="AM947" s="3"/>
      <c r="AN947" s="3"/>
    </row>
    <row r="948" ht="15.75" customHeight="1">
      <c r="AG948" s="607"/>
      <c r="AM948" s="3"/>
      <c r="AN948" s="3"/>
    </row>
    <row r="949" ht="15.75" customHeight="1">
      <c r="AG949" s="607"/>
      <c r="AM949" s="3"/>
      <c r="AN949" s="3"/>
    </row>
    <row r="950" ht="15.75" customHeight="1">
      <c r="AG950" s="607"/>
      <c r="AM950" s="3"/>
      <c r="AN950" s="3"/>
    </row>
    <row r="951" ht="15.75" customHeight="1">
      <c r="AG951" s="607"/>
      <c r="AM951" s="3"/>
      <c r="AN951" s="3"/>
    </row>
    <row r="952" ht="15.75" customHeight="1">
      <c r="AG952" s="607"/>
      <c r="AM952" s="3"/>
      <c r="AN952" s="3"/>
    </row>
    <row r="953" ht="15.75" customHeight="1">
      <c r="AG953" s="607"/>
      <c r="AM953" s="3"/>
      <c r="AN953" s="3"/>
    </row>
    <row r="954" ht="15.75" customHeight="1">
      <c r="AG954" s="607"/>
      <c r="AM954" s="3"/>
      <c r="AN954" s="3"/>
    </row>
    <row r="955" ht="15.75" customHeight="1">
      <c r="AG955" s="607"/>
      <c r="AM955" s="3"/>
      <c r="AN955" s="3"/>
    </row>
    <row r="956" ht="15.75" customHeight="1">
      <c r="AG956" s="607"/>
      <c r="AM956" s="3"/>
      <c r="AN956" s="3"/>
    </row>
    <row r="957" ht="15.75" customHeight="1">
      <c r="AG957" s="607"/>
      <c r="AM957" s="3"/>
      <c r="AN957" s="3"/>
    </row>
    <row r="958" ht="15.75" customHeight="1">
      <c r="AG958" s="607"/>
      <c r="AM958" s="3"/>
      <c r="AN958" s="3"/>
    </row>
    <row r="959" ht="15.75" customHeight="1">
      <c r="AG959" s="607"/>
      <c r="AM959" s="3"/>
      <c r="AN959" s="3"/>
    </row>
    <row r="960" ht="15.75" customHeight="1">
      <c r="AG960" s="607"/>
      <c r="AM960" s="3"/>
      <c r="AN960" s="3"/>
    </row>
    <row r="961" ht="15.75" customHeight="1">
      <c r="AG961" s="607"/>
      <c r="AM961" s="3"/>
      <c r="AN961" s="3"/>
    </row>
    <row r="962" ht="15.75" customHeight="1">
      <c r="AG962" s="607"/>
      <c r="AM962" s="3"/>
      <c r="AN962" s="3"/>
    </row>
    <row r="963" ht="15.75" customHeight="1">
      <c r="AG963" s="607"/>
      <c r="AM963" s="3"/>
      <c r="AN963" s="3"/>
    </row>
    <row r="964" ht="15.75" customHeight="1">
      <c r="AG964" s="607"/>
      <c r="AM964" s="3"/>
      <c r="AN964" s="3"/>
    </row>
    <row r="965" ht="15.75" customHeight="1">
      <c r="AG965" s="607"/>
      <c r="AM965" s="3"/>
      <c r="AN965" s="3"/>
    </row>
    <row r="966" ht="15.75" customHeight="1">
      <c r="AG966" s="607"/>
      <c r="AM966" s="3"/>
      <c r="AN966" s="3"/>
    </row>
    <row r="967" ht="15.75" customHeight="1">
      <c r="AG967" s="607"/>
      <c r="AM967" s="3"/>
      <c r="AN967" s="3"/>
    </row>
    <row r="968" ht="15.75" customHeight="1">
      <c r="AG968" s="607"/>
      <c r="AM968" s="3"/>
      <c r="AN968" s="3"/>
    </row>
    <row r="969" ht="15.75" customHeight="1">
      <c r="AG969" s="607"/>
      <c r="AM969" s="3"/>
      <c r="AN969" s="3"/>
    </row>
    <row r="970" ht="15.75" customHeight="1">
      <c r="AG970" s="607"/>
      <c r="AM970" s="3"/>
      <c r="AN970" s="3"/>
    </row>
    <row r="971" ht="15.75" customHeight="1">
      <c r="AG971" s="607"/>
      <c r="AM971" s="3"/>
      <c r="AN971" s="3"/>
    </row>
    <row r="972" ht="15.75" customHeight="1">
      <c r="AG972" s="607"/>
      <c r="AM972" s="3"/>
      <c r="AN972" s="3"/>
    </row>
    <row r="973" ht="15.75" customHeight="1">
      <c r="AG973" s="607"/>
      <c r="AM973" s="3"/>
      <c r="AN973" s="3"/>
    </row>
    <row r="974" ht="15.75" customHeight="1">
      <c r="AG974" s="607"/>
      <c r="AM974" s="3"/>
      <c r="AN974" s="3"/>
    </row>
    <row r="975" ht="15.75" customHeight="1">
      <c r="AG975" s="607"/>
      <c r="AM975" s="3"/>
      <c r="AN975" s="3"/>
    </row>
    <row r="976" ht="15.75" customHeight="1">
      <c r="AG976" s="607"/>
      <c r="AM976" s="3"/>
      <c r="AN976" s="3"/>
    </row>
    <row r="977" ht="15.75" customHeight="1">
      <c r="AG977" s="607"/>
      <c r="AM977" s="3"/>
      <c r="AN977" s="3"/>
    </row>
    <row r="978" ht="15.75" customHeight="1">
      <c r="AG978" s="607"/>
      <c r="AM978" s="3"/>
      <c r="AN978" s="3"/>
    </row>
    <row r="979" ht="15.75" customHeight="1">
      <c r="AG979" s="607"/>
      <c r="AM979" s="3"/>
      <c r="AN979" s="3"/>
    </row>
    <row r="980" ht="15.75" customHeight="1">
      <c r="AG980" s="607"/>
      <c r="AM980" s="3"/>
      <c r="AN980" s="3"/>
    </row>
    <row r="981" ht="15.75" customHeight="1">
      <c r="AG981" s="607"/>
      <c r="AM981" s="3"/>
      <c r="AN981" s="3"/>
    </row>
    <row r="982" ht="15.75" customHeight="1">
      <c r="AG982" s="607"/>
      <c r="AM982" s="3"/>
      <c r="AN982" s="3"/>
    </row>
    <row r="983" ht="15.75" customHeight="1">
      <c r="AG983" s="607"/>
      <c r="AM983" s="3"/>
      <c r="AN983" s="3"/>
    </row>
    <row r="984" ht="15.75" customHeight="1">
      <c r="AG984" s="607"/>
      <c r="AM984" s="3"/>
      <c r="AN984" s="3"/>
    </row>
    <row r="985" ht="15.75" customHeight="1">
      <c r="AG985" s="607"/>
      <c r="AM985" s="3"/>
      <c r="AN985" s="3"/>
    </row>
    <row r="986" ht="15.75" customHeight="1">
      <c r="AG986" s="607"/>
      <c r="AM986" s="3"/>
      <c r="AN986" s="3"/>
    </row>
    <row r="987" ht="15.75" customHeight="1">
      <c r="AG987" s="607"/>
      <c r="AM987" s="3"/>
      <c r="AN987" s="3"/>
    </row>
    <row r="988" ht="15.75" customHeight="1">
      <c r="AG988" s="607"/>
      <c r="AM988" s="3"/>
      <c r="AN988" s="3"/>
    </row>
    <row r="989" ht="15.75" customHeight="1">
      <c r="AG989" s="607"/>
      <c r="AM989" s="3"/>
      <c r="AN989" s="3"/>
    </row>
    <row r="990" ht="15.75" customHeight="1">
      <c r="AG990" s="607"/>
      <c r="AM990" s="3"/>
      <c r="AN990" s="3"/>
    </row>
    <row r="991" ht="15.75" customHeight="1">
      <c r="AG991" s="607"/>
      <c r="AM991" s="3"/>
      <c r="AN991" s="3"/>
    </row>
    <row r="992" ht="15.75" customHeight="1">
      <c r="AG992" s="607"/>
      <c r="AM992" s="3"/>
      <c r="AN992" s="3"/>
    </row>
    <row r="993" ht="15.75" customHeight="1">
      <c r="AG993" s="607"/>
      <c r="AM993" s="3"/>
      <c r="AN993" s="3"/>
    </row>
    <row r="994" ht="15.75" customHeight="1">
      <c r="AG994" s="607"/>
      <c r="AM994" s="3"/>
      <c r="AN994" s="3"/>
    </row>
    <row r="995" ht="15.75" customHeight="1">
      <c r="AG995" s="607"/>
      <c r="AM995" s="3"/>
      <c r="AN995" s="3"/>
    </row>
    <row r="996" ht="15.75" customHeight="1">
      <c r="AG996" s="607"/>
      <c r="AM996" s="3"/>
      <c r="AN996" s="3"/>
    </row>
    <row r="997" ht="15.75" customHeight="1">
      <c r="AG997" s="607"/>
      <c r="AM997" s="3"/>
      <c r="AN997" s="3"/>
    </row>
    <row r="998" ht="15.75" customHeight="1">
      <c r="AG998" s="607"/>
      <c r="AM998" s="3"/>
      <c r="AN998" s="3"/>
    </row>
    <row r="999" ht="15.75" customHeight="1">
      <c r="AG999" s="607"/>
      <c r="AM999" s="3"/>
      <c r="AN999" s="3"/>
    </row>
    <row r="1000" ht="15.75" customHeight="1">
      <c r="AG1000" s="607"/>
      <c r="AM1000" s="3"/>
      <c r="AN1000" s="3"/>
    </row>
  </sheetData>
  <autoFilter ref="$A$3:$AL$41">
    <sortState ref="A3:AL41">
      <sortCondition ref="A3:A41"/>
    </sortState>
  </autoFilter>
  <printOptions/>
  <pageMargins bottom="0.75" footer="0.0" header="0.0" left="0.7" right="0.7" top="0.75"/>
  <pageSetup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F1" s="2"/>
      <c r="G1" s="3"/>
      <c r="H1" s="4"/>
      <c r="I1" s="6"/>
      <c r="O1" s="57">
        <v>0.282</v>
      </c>
      <c r="AB1" s="7"/>
      <c r="AC1" s="7"/>
      <c r="AD1" s="7"/>
      <c r="AE1" s="7"/>
      <c r="AF1" s="7"/>
      <c r="AG1" s="872" t="s">
        <v>0</v>
      </c>
      <c r="AH1" s="9" t="s">
        <v>1</v>
      </c>
      <c r="AI1" s="10" t="s">
        <v>2</v>
      </c>
      <c r="AJ1" s="9" t="s">
        <v>3</v>
      </c>
      <c r="AK1" s="11"/>
      <c r="AL1" s="12" t="s">
        <v>4</v>
      </c>
    </row>
    <row r="2" ht="15.0" customHeight="1">
      <c r="G2" s="13"/>
      <c r="H2" s="13"/>
      <c r="I2" s="14">
        <f>SUM(I5:I623)</f>
        <v>580.23</v>
      </c>
      <c r="J2" s="4"/>
      <c r="K2" s="873">
        <f>SUM(K5:K623)</f>
        <v>559.149232</v>
      </c>
      <c r="L2" s="15">
        <f>SUMPRODUCT(L5:L735,K5:K735)/K2</f>
        <v>0.3185824091</v>
      </c>
      <c r="M2" s="2"/>
      <c r="O2" s="57">
        <v>0.328</v>
      </c>
      <c r="P2" s="2"/>
      <c r="Q2" s="16">
        <f>+SUMPRODUCT(Q5:Q623,AH5:AH623)/SUM(AH5:AH623)</f>
        <v>88.99283871</v>
      </c>
      <c r="R2" s="12">
        <f>+SUMPRODUCT(R5:R623,AH5:AH623)/SUM(AH5:AH623)</f>
        <v>2638.287728</v>
      </c>
      <c r="S2" s="2"/>
      <c r="AB2" s="7"/>
      <c r="AC2" s="7"/>
      <c r="AD2" s="7"/>
      <c r="AE2" s="7"/>
      <c r="AF2" s="7"/>
      <c r="AG2" s="874">
        <f>SUMPRODUCT($AG5:$AG623,$K5:$K623)/SUM($K5:$K623)</f>
        <v>69.05138687</v>
      </c>
      <c r="AH2" s="18"/>
      <c r="AI2" s="19">
        <v>2740.0</v>
      </c>
      <c r="AJ2" s="20"/>
      <c r="AK2" s="11"/>
      <c r="AL2" s="21"/>
    </row>
    <row r="3" ht="15.0" customHeight="1">
      <c r="A3" s="22" t="s">
        <v>5</v>
      </c>
      <c r="B3" s="22" t="s">
        <v>6</v>
      </c>
      <c r="C3" s="22" t="s">
        <v>7</v>
      </c>
      <c r="D3" s="22" t="s">
        <v>8</v>
      </c>
      <c r="E3" s="22" t="s">
        <v>9</v>
      </c>
      <c r="F3" s="22" t="s">
        <v>10</v>
      </c>
      <c r="G3" s="23" t="s">
        <v>11</v>
      </c>
      <c r="H3" s="24"/>
      <c r="I3" s="25" t="s">
        <v>12</v>
      </c>
      <c r="J3" s="26" t="s">
        <v>13</v>
      </c>
      <c r="K3" s="27" t="s">
        <v>14</v>
      </c>
      <c r="L3" s="25" t="s">
        <v>15</v>
      </c>
      <c r="M3" s="28" t="s">
        <v>16</v>
      </c>
      <c r="N3" s="29" t="s">
        <v>17</v>
      </c>
      <c r="O3" s="23" t="s">
        <v>18</v>
      </c>
      <c r="P3" s="30" t="s">
        <v>19</v>
      </c>
      <c r="Q3" s="25" t="s">
        <v>20</v>
      </c>
      <c r="R3" s="25" t="s">
        <v>21</v>
      </c>
      <c r="S3" s="31" t="s">
        <v>22</v>
      </c>
      <c r="T3" s="32" t="s">
        <v>23</v>
      </c>
      <c r="U3" s="32" t="s">
        <v>24</v>
      </c>
      <c r="V3" s="33" t="s">
        <v>25</v>
      </c>
      <c r="W3" s="34" t="s">
        <v>26</v>
      </c>
      <c r="X3" s="34" t="s">
        <v>27</v>
      </c>
      <c r="Y3" s="34" t="s">
        <v>28</v>
      </c>
      <c r="Z3" s="23" t="s">
        <v>29</v>
      </c>
      <c r="AA3" s="23" t="s">
        <v>30</v>
      </c>
      <c r="AB3" s="35" t="s">
        <v>31</v>
      </c>
      <c r="AC3" s="36" t="s">
        <v>32</v>
      </c>
      <c r="AD3" s="37" t="s">
        <v>33</v>
      </c>
      <c r="AE3" s="37" t="s">
        <v>34</v>
      </c>
      <c r="AF3" s="37" t="s">
        <v>35</v>
      </c>
      <c r="AG3" s="875" t="s">
        <v>36</v>
      </c>
      <c r="AH3" s="39">
        <f>SUBTOTAL(9,AH5:AH9905)</f>
        <v>5431.188726</v>
      </c>
      <c r="AI3" s="40">
        <f>SUMPRODUCT(K5:K623,AI5:AI623)/K2</f>
        <v>64.71488802</v>
      </c>
      <c r="AJ3" s="39">
        <f>SUBTOTAL(9,AJ5:AJ9905)</f>
        <v>5304.717504</v>
      </c>
      <c r="AK3" s="11"/>
      <c r="AL3" s="39">
        <f>SUBTOTAL(9,AL5:AL9905)</f>
        <v>334871.509</v>
      </c>
    </row>
    <row r="4" ht="15.75" customHeight="1">
      <c r="A4" s="41"/>
      <c r="B4" s="42"/>
      <c r="C4" s="42"/>
      <c r="D4" s="42"/>
      <c r="E4" s="42"/>
      <c r="F4" s="42"/>
      <c r="G4" s="43"/>
      <c r="H4" s="43"/>
      <c r="I4" s="43"/>
      <c r="J4" s="42"/>
      <c r="K4" s="43"/>
      <c r="L4" s="43"/>
      <c r="M4" s="44"/>
      <c r="N4" s="44"/>
      <c r="O4" s="43"/>
      <c r="P4" s="43"/>
      <c r="Q4" s="43"/>
      <c r="R4" s="43"/>
      <c r="S4" s="43"/>
      <c r="T4" s="45"/>
      <c r="U4" s="45"/>
      <c r="V4" s="45"/>
      <c r="W4" s="43"/>
      <c r="X4" s="43"/>
      <c r="Y4" s="43"/>
      <c r="Z4" s="43"/>
      <c r="AA4" s="43"/>
      <c r="AB4" s="46"/>
      <c r="AC4" s="47"/>
      <c r="AD4" s="48"/>
      <c r="AE4" s="48"/>
      <c r="AF4" s="48"/>
      <c r="AG4" s="876"/>
      <c r="AH4" s="50"/>
      <c r="AI4" s="51"/>
      <c r="AJ4" s="52"/>
      <c r="AK4" s="53"/>
      <c r="AL4" s="52"/>
      <c r="AM4" s="67"/>
      <c r="AN4" s="67"/>
      <c r="AO4" s="67"/>
      <c r="AP4" s="67"/>
      <c r="AQ4" s="67"/>
    </row>
    <row r="5" ht="15.0" customHeight="1">
      <c r="A5" s="877" t="s">
        <v>4687</v>
      </c>
      <c r="B5" s="841">
        <v>45563.0</v>
      </c>
      <c r="C5" s="870">
        <v>45560.0</v>
      </c>
      <c r="D5" s="2" t="s">
        <v>53</v>
      </c>
      <c r="E5" s="2">
        <v>2.049096836E10</v>
      </c>
      <c r="F5" s="2" t="s">
        <v>4688</v>
      </c>
      <c r="G5" s="3" t="s">
        <v>4100</v>
      </c>
      <c r="H5" s="2" t="s">
        <v>47</v>
      </c>
      <c r="I5" s="58">
        <v>25.27</v>
      </c>
      <c r="J5" s="58">
        <v>4.2</v>
      </c>
      <c r="K5" s="59">
        <f t="shared" ref="K5:K50" si="1">+I5-(I5*(J5/100))</f>
        <v>24.20866</v>
      </c>
      <c r="L5" s="60">
        <v>0.188</v>
      </c>
      <c r="M5" s="60">
        <v>0.175</v>
      </c>
      <c r="N5" s="131">
        <v>0.218</v>
      </c>
      <c r="O5" s="106">
        <f t="shared" ref="O5:O50" si="2">+ROUND((M5+N5)/2,3)</f>
        <v>0.197</v>
      </c>
      <c r="P5" s="2">
        <v>88.0</v>
      </c>
      <c r="Q5" s="2">
        <v>89.27</v>
      </c>
      <c r="R5" s="65">
        <v>2635.95</v>
      </c>
      <c r="S5" s="3">
        <v>115.0</v>
      </c>
      <c r="T5" s="2"/>
      <c r="U5" s="2">
        <v>130.0</v>
      </c>
      <c r="V5" s="67">
        <v>1.1023</v>
      </c>
      <c r="W5" s="58"/>
      <c r="X5" s="58"/>
      <c r="Y5" s="2">
        <v>50.0</v>
      </c>
      <c r="Z5" s="69">
        <f t="shared" ref="Z5:Z6" si="3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50" si="4">+Y5+Z5</f>
        <v>80</v>
      </c>
      <c r="AB5" s="71">
        <f t="shared" ref="AB5:AB50" si="5">+((O5*P5*(R5-U5)/100)-S5-AA5+T5)*V5</f>
        <v>263.9253336</v>
      </c>
      <c r="AC5" s="71">
        <f>+(S5-T5)*V5-'data 1'!$F$4</f>
        <v>46.7645</v>
      </c>
      <c r="AD5" s="71">
        <f t="shared" ref="AD5:AD50" si="6">+(Q5-P5)*(R5-U5)*L5*V5/100</f>
        <v>6.595288216</v>
      </c>
      <c r="AE5" s="71">
        <f t="shared" ref="AE5:AE50" si="7">+(Y5*V5-70)+V5*(Z5-IF(D5="UNTUCA",IF(+((W5-3)*2.5+(X5-3)*3.1)&gt;0,+((W5-3)*1.5+(X5-3)*3.1),0),IF(+((W5-3)*1.5+(X5-3)*3.1)&gt;0,+((W5-3)*1.5+(X5-3)*3.1),0)))</f>
        <v>18.184</v>
      </c>
      <c r="AF5" s="71">
        <f t="shared" ref="AF5:AF50" si="8">(L5-O5)*(R5-U5)*Q5*V5/100</f>
        <v>-22.19321667</v>
      </c>
      <c r="AG5" s="71">
        <f t="shared" ref="AG5:AG6" si="9">+IF(D5="RONALD WILLIAN GARIBAY ESCUDERO",AC5+AD5+AE5+AF5+80,AC5+AD5+AE5+AF5)</f>
        <v>49.35057155</v>
      </c>
      <c r="AH5" s="52">
        <f t="shared" ref="AH5:AH50" si="10">31.1035*L5*Q5*1.1023*K5/100</f>
        <v>139.2974622</v>
      </c>
      <c r="AI5" s="871">
        <f t="shared" ref="AI5:AI50" si="11">+((+$AI$2-R5+U5)*L5*Q5*V5)/100</f>
        <v>43.29839887</v>
      </c>
      <c r="AJ5" s="871">
        <f t="shared" ref="AJ5:AJ50" si="12">31.1035*1.1023*K5*P5*O5/100</f>
        <v>143.8893725</v>
      </c>
      <c r="AK5" s="11"/>
      <c r="AL5" s="122">
        <f t="shared" ref="AL5:AL50" si="13">+IF(AB5*K5&gt;0,AB5*K5,0)</f>
        <v>6389.278667</v>
      </c>
      <c r="AM5" s="67"/>
      <c r="AN5" s="67"/>
      <c r="AO5" s="67"/>
      <c r="AP5" s="67"/>
      <c r="AQ5" s="67"/>
    </row>
    <row r="6" ht="15.0" customHeight="1">
      <c r="A6" s="116" t="s">
        <v>4689</v>
      </c>
      <c r="B6" s="841">
        <v>45563.0</v>
      </c>
      <c r="C6" s="870">
        <v>45560.0</v>
      </c>
      <c r="D6" s="2" t="s">
        <v>53</v>
      </c>
      <c r="E6" s="2">
        <v>2.049096836E10</v>
      </c>
      <c r="F6" s="2" t="s">
        <v>4688</v>
      </c>
      <c r="G6" s="3" t="s">
        <v>4100</v>
      </c>
      <c r="H6" s="2" t="s">
        <v>47</v>
      </c>
      <c r="I6" s="58">
        <v>14.91</v>
      </c>
      <c r="J6" s="58">
        <v>3.5</v>
      </c>
      <c r="K6" s="59">
        <f t="shared" si="1"/>
        <v>14.38815</v>
      </c>
      <c r="L6" s="60">
        <v>0.171</v>
      </c>
      <c r="M6" s="60">
        <v>0.153</v>
      </c>
      <c r="N6" s="60">
        <v>0.153</v>
      </c>
      <c r="O6" s="106">
        <f t="shared" si="2"/>
        <v>0.153</v>
      </c>
      <c r="P6" s="2">
        <v>88.0</v>
      </c>
      <c r="Q6" s="2">
        <v>89.13</v>
      </c>
      <c r="R6" s="65">
        <v>2635.95</v>
      </c>
      <c r="S6" s="3">
        <v>115.0</v>
      </c>
      <c r="T6" s="2"/>
      <c r="U6" s="2">
        <v>130.0</v>
      </c>
      <c r="V6" s="67">
        <v>1.1023</v>
      </c>
      <c r="W6" s="58"/>
      <c r="X6" s="58"/>
      <c r="Y6" s="2">
        <v>50.0</v>
      </c>
      <c r="Z6" s="69">
        <f t="shared" si="3"/>
        <v>30</v>
      </c>
      <c r="AA6" s="70">
        <f t="shared" si="4"/>
        <v>80</v>
      </c>
      <c r="AB6" s="71">
        <f t="shared" si="5"/>
        <v>156.9687413</v>
      </c>
      <c r="AC6" s="71">
        <f>+(S6-T6)*V6-'data 1'!$F$4</f>
        <v>46.7645</v>
      </c>
      <c r="AD6" s="71">
        <f t="shared" si="6"/>
        <v>5.337609072</v>
      </c>
      <c r="AE6" s="71">
        <f t="shared" si="7"/>
        <v>18.184</v>
      </c>
      <c r="AF6" s="71">
        <f t="shared" si="8"/>
        <v>44.31682316</v>
      </c>
      <c r="AG6" s="71">
        <f t="shared" si="9"/>
        <v>114.6029322</v>
      </c>
      <c r="AH6" s="52">
        <f t="shared" si="10"/>
        <v>75.18549148</v>
      </c>
      <c r="AI6" s="871">
        <f t="shared" si="11"/>
        <v>39.32135452</v>
      </c>
      <c r="AJ6" s="871">
        <f t="shared" si="12"/>
        <v>66.41835713</v>
      </c>
      <c r="AK6" s="11"/>
      <c r="AL6" s="122">
        <f t="shared" si="13"/>
        <v>2258.489796</v>
      </c>
    </row>
    <row r="7" ht="15.75" customHeight="1">
      <c r="A7" s="116" t="s">
        <v>4690</v>
      </c>
      <c r="B7" s="841">
        <v>45581.0</v>
      </c>
      <c r="C7" s="841">
        <v>45565.0</v>
      </c>
      <c r="D7" s="67" t="s">
        <v>4633</v>
      </c>
      <c r="E7" s="67">
        <v>2.0554057862E10</v>
      </c>
      <c r="F7" s="67" t="s">
        <v>4634</v>
      </c>
      <c r="G7" s="134" t="s">
        <v>4100</v>
      </c>
      <c r="H7" s="67" t="s">
        <v>47</v>
      </c>
      <c r="I7" s="69">
        <v>43.01</v>
      </c>
      <c r="J7" s="69">
        <v>1.9</v>
      </c>
      <c r="K7" s="59">
        <f t="shared" si="1"/>
        <v>42.19281</v>
      </c>
      <c r="L7" s="106">
        <v>0.264</v>
      </c>
      <c r="M7" s="106">
        <v>0.246</v>
      </c>
      <c r="N7" s="137">
        <v>0.274</v>
      </c>
      <c r="O7" s="111">
        <f t="shared" si="2"/>
        <v>0.26</v>
      </c>
      <c r="P7" s="136">
        <v>90.0</v>
      </c>
      <c r="Q7" s="67">
        <v>89.33</v>
      </c>
      <c r="R7" s="741">
        <v>2629.95</v>
      </c>
      <c r="S7" s="134">
        <v>100.0</v>
      </c>
      <c r="T7" s="67"/>
      <c r="U7" s="67">
        <v>100.0</v>
      </c>
      <c r="V7" s="67">
        <v>1.1023</v>
      </c>
      <c r="W7" s="67"/>
      <c r="X7" s="67"/>
      <c r="Y7" s="67"/>
      <c r="Z7" s="846">
        <v>35.0</v>
      </c>
      <c r="AA7" s="70">
        <f t="shared" si="4"/>
        <v>35</v>
      </c>
      <c r="AB7" s="71">
        <f t="shared" si="5"/>
        <v>503.7602491</v>
      </c>
      <c r="AC7" s="71">
        <f>+(S7-T7)*V7-'data 1'!$F$4</f>
        <v>30.23</v>
      </c>
      <c r="AD7" s="71">
        <f t="shared" si="6"/>
        <v>-4.93276556</v>
      </c>
      <c r="AE7" s="71">
        <f t="shared" si="7"/>
        <v>-31.4195</v>
      </c>
      <c r="AF7" s="71">
        <f t="shared" si="8"/>
        <v>9.964811114</v>
      </c>
      <c r="AG7" s="71">
        <f t="shared" ref="AG7:AG9" si="14">+IF(D7="RONALD WILLIAN GARIBAY ESCUDERO",AC7+AD7+AE7+AF7+80,AC7+AD7+AE7+AF7)+90-30</f>
        <v>63.84254555</v>
      </c>
      <c r="AH7" s="52">
        <f t="shared" si="10"/>
        <v>341.1526743</v>
      </c>
      <c r="AI7" s="73">
        <f t="shared" si="11"/>
        <v>54.60391151</v>
      </c>
      <c r="AJ7" s="73">
        <f t="shared" si="12"/>
        <v>338.5036661</v>
      </c>
      <c r="AK7" s="53"/>
      <c r="AL7" s="122">
        <f t="shared" si="13"/>
        <v>21255.06048</v>
      </c>
    </row>
    <row r="8" ht="15.75" customHeight="1">
      <c r="A8" s="116" t="s">
        <v>4691</v>
      </c>
      <c r="B8" s="841">
        <v>45581.0</v>
      </c>
      <c r="C8" s="841">
        <v>45565.0</v>
      </c>
      <c r="D8" s="67" t="s">
        <v>4633</v>
      </c>
      <c r="E8" s="67">
        <v>2.0554057862E10</v>
      </c>
      <c r="F8" s="67" t="s">
        <v>4634</v>
      </c>
      <c r="G8" s="134" t="s">
        <v>4100</v>
      </c>
      <c r="H8" s="67" t="s">
        <v>47</v>
      </c>
      <c r="I8" s="69">
        <v>47.01</v>
      </c>
      <c r="J8" s="69">
        <v>2.0</v>
      </c>
      <c r="K8" s="59">
        <f t="shared" si="1"/>
        <v>46.0698</v>
      </c>
      <c r="L8" s="106">
        <v>0.236</v>
      </c>
      <c r="M8" s="106">
        <v>0.222</v>
      </c>
      <c r="N8" s="137">
        <v>0.255</v>
      </c>
      <c r="O8" s="106">
        <f t="shared" si="2"/>
        <v>0.239</v>
      </c>
      <c r="P8" s="136">
        <v>90.0</v>
      </c>
      <c r="Q8" s="67">
        <v>89.69</v>
      </c>
      <c r="R8" s="741">
        <v>2629.95</v>
      </c>
      <c r="S8" s="134">
        <v>100.0</v>
      </c>
      <c r="T8" s="67"/>
      <c r="U8" s="67">
        <v>100.0</v>
      </c>
      <c r="V8" s="67">
        <v>1.1023</v>
      </c>
      <c r="W8" s="67"/>
      <c r="X8" s="67"/>
      <c r="Y8" s="67"/>
      <c r="Z8" s="846">
        <v>35.0</v>
      </c>
      <c r="AA8" s="70">
        <f t="shared" si="4"/>
        <v>35</v>
      </c>
      <c r="AB8" s="71">
        <f t="shared" si="5"/>
        <v>451.0526117</v>
      </c>
      <c r="AC8" s="71">
        <f>+(S8-T8)*V8-'data 1'!$F$4</f>
        <v>30.23</v>
      </c>
      <c r="AD8" s="71">
        <f t="shared" si="6"/>
        <v>-2.040259658</v>
      </c>
      <c r="AE8" s="71">
        <f t="shared" si="7"/>
        <v>-31.4195</v>
      </c>
      <c r="AF8" s="71">
        <f t="shared" si="8"/>
        <v>-7.503726985</v>
      </c>
      <c r="AG8" s="71">
        <f t="shared" si="14"/>
        <v>49.26651336</v>
      </c>
      <c r="AH8" s="52">
        <f t="shared" si="10"/>
        <v>334.3346766</v>
      </c>
      <c r="AI8" s="73">
        <f t="shared" si="11"/>
        <v>49.00930234</v>
      </c>
      <c r="AJ8" s="73">
        <f t="shared" si="12"/>
        <v>339.7549607</v>
      </c>
      <c r="AK8" s="53"/>
      <c r="AL8" s="122">
        <f t="shared" si="13"/>
        <v>20779.90361</v>
      </c>
    </row>
    <row r="9" ht="15.75" customHeight="1">
      <c r="A9" s="116" t="s">
        <v>4692</v>
      </c>
      <c r="B9" s="841">
        <v>45581.0</v>
      </c>
      <c r="C9" s="854">
        <v>45565.0</v>
      </c>
      <c r="D9" s="67" t="s">
        <v>4633</v>
      </c>
      <c r="E9" s="67">
        <v>2.0554057862E10</v>
      </c>
      <c r="F9" s="67" t="s">
        <v>4634</v>
      </c>
      <c r="G9" s="134" t="s">
        <v>4100</v>
      </c>
      <c r="H9" s="58" t="s">
        <v>47</v>
      </c>
      <c r="I9" s="58">
        <v>46.76</v>
      </c>
      <c r="J9" s="58">
        <v>2.05</v>
      </c>
      <c r="K9" s="59">
        <f t="shared" si="1"/>
        <v>45.80142</v>
      </c>
      <c r="L9" s="106">
        <v>0.275</v>
      </c>
      <c r="M9" s="106">
        <v>0.247</v>
      </c>
      <c r="N9" s="137">
        <v>0.278</v>
      </c>
      <c r="O9" s="106">
        <f t="shared" si="2"/>
        <v>0.263</v>
      </c>
      <c r="P9" s="136">
        <v>90.0</v>
      </c>
      <c r="Q9" s="67">
        <v>89.49</v>
      </c>
      <c r="R9" s="741">
        <v>2629.95</v>
      </c>
      <c r="S9" s="134">
        <v>100.0</v>
      </c>
      <c r="T9" s="67"/>
      <c r="U9" s="67">
        <v>100.0</v>
      </c>
      <c r="V9" s="67">
        <v>1.1023</v>
      </c>
      <c r="W9" s="67"/>
      <c r="X9" s="67"/>
      <c r="Y9" s="67"/>
      <c r="Z9" s="69">
        <f t="shared" ref="Z9:Z22" si="15">IF(IF(D9="UNTUCA",IF(+((W9-3)*1.5+(X9-3)*3.1)&gt;0,+((W9-3)*1.5+(X9-3)*3.1),0),IF(+((W9-3)*1.5+(X9-3)*3.1)&gt;0,+((W9-3)*1.5+(X9-3)*3.1),0))&lt;30,30,IF(D9="UNTUCA",IF(+((W9-3)*1.5+(X9-3)*3.1)&gt;0,+((W9-3)*1.5+(X9-3)*3.1),0),IF(+((W9-3)*1.5+(X9-3)*3.1)&gt;0,+((W9-3)*1.5+(X9-3)*3.1),0)))</f>
        <v>30</v>
      </c>
      <c r="AA9" s="70">
        <f t="shared" si="4"/>
        <v>30</v>
      </c>
      <c r="AB9" s="71">
        <f t="shared" si="5"/>
        <v>516.8014116</v>
      </c>
      <c r="AC9" s="71">
        <f>+(S9-T9)*V9-'data 1'!$F$4</f>
        <v>30.23</v>
      </c>
      <c r="AD9" s="71">
        <f t="shared" si="6"/>
        <v>-3.911241349</v>
      </c>
      <c r="AE9" s="71">
        <f t="shared" si="7"/>
        <v>-36.931</v>
      </c>
      <c r="AF9" s="71">
        <f t="shared" si="8"/>
        <v>29.94797761</v>
      </c>
      <c r="AG9" s="72">
        <f t="shared" si="14"/>
        <v>79.33573626</v>
      </c>
      <c r="AH9" s="52">
        <f t="shared" si="10"/>
        <v>386.4516928</v>
      </c>
      <c r="AI9" s="73">
        <f t="shared" si="11"/>
        <v>56.98095126</v>
      </c>
      <c r="AJ9" s="871">
        <f t="shared" si="12"/>
        <v>371.6946157</v>
      </c>
      <c r="AK9" s="11"/>
      <c r="AL9" s="122">
        <f t="shared" si="13"/>
        <v>23670.23851</v>
      </c>
      <c r="AM9" s="3"/>
      <c r="AN9" s="3"/>
      <c r="AO9" s="58"/>
      <c r="AQ9" s="58"/>
    </row>
    <row r="10" ht="15.75" customHeight="1">
      <c r="A10" s="116" t="s">
        <v>4693</v>
      </c>
      <c r="B10" s="870">
        <v>45574.0</v>
      </c>
      <c r="C10" s="870">
        <v>45566.0</v>
      </c>
      <c r="D10" s="2" t="s">
        <v>4571</v>
      </c>
      <c r="E10" s="2">
        <v>1.0460498487E10</v>
      </c>
      <c r="F10" s="67" t="s">
        <v>4694</v>
      </c>
      <c r="G10" s="3" t="s">
        <v>4100</v>
      </c>
      <c r="H10" s="2" t="s">
        <v>47</v>
      </c>
      <c r="I10" s="2">
        <v>25.04</v>
      </c>
      <c r="J10" s="2">
        <v>1.45</v>
      </c>
      <c r="K10" s="59">
        <f t="shared" si="1"/>
        <v>24.67692</v>
      </c>
      <c r="L10" s="60">
        <v>0.084</v>
      </c>
      <c r="M10" s="60">
        <v>0.084</v>
      </c>
      <c r="N10" s="60">
        <v>0.084</v>
      </c>
      <c r="O10" s="106">
        <f t="shared" si="2"/>
        <v>0.084</v>
      </c>
      <c r="P10" s="136">
        <v>87.0</v>
      </c>
      <c r="Q10" s="2">
        <v>88.69</v>
      </c>
      <c r="R10" s="741">
        <v>2638.85</v>
      </c>
      <c r="S10" s="3">
        <v>100.0</v>
      </c>
      <c r="T10" s="2"/>
      <c r="U10" s="67">
        <v>80.0</v>
      </c>
      <c r="V10" s="2">
        <v>1.1023</v>
      </c>
      <c r="W10" s="2"/>
      <c r="X10" s="2"/>
      <c r="Y10" s="2">
        <v>25.0</v>
      </c>
      <c r="Z10" s="69">
        <f t="shared" si="15"/>
        <v>30</v>
      </c>
      <c r="AA10" s="70">
        <f t="shared" si="4"/>
        <v>55</v>
      </c>
      <c r="AB10" s="71">
        <f t="shared" si="5"/>
        <v>35.27443554</v>
      </c>
      <c r="AC10" s="71">
        <f>+(S10-T10)*V10-'data 1'!$F$4</f>
        <v>30.23</v>
      </c>
      <c r="AD10" s="71">
        <f t="shared" si="6"/>
        <v>4.004152656</v>
      </c>
      <c r="AE10" s="71">
        <f t="shared" si="7"/>
        <v>-9.3735</v>
      </c>
      <c r="AF10" s="71">
        <f t="shared" si="8"/>
        <v>0</v>
      </c>
      <c r="AG10" s="71">
        <f t="shared" ref="AG10:AG22" si="16">+IF(D10="RONALD WILLIAN GARIBAY ESCUDERO",AC10+AD10+AE10+AF10+80,AC10+AD10+AE10+AF10)</f>
        <v>24.86065266</v>
      </c>
      <c r="AH10" s="52">
        <f t="shared" si="10"/>
        <v>63.03096604</v>
      </c>
      <c r="AI10" s="73">
        <f t="shared" si="11"/>
        <v>14.87620268</v>
      </c>
      <c r="AJ10" s="871">
        <f t="shared" si="12"/>
        <v>61.82990242</v>
      </c>
      <c r="AK10" s="11"/>
      <c r="AL10" s="122">
        <f t="shared" si="13"/>
        <v>870.4644239</v>
      </c>
    </row>
    <row r="11" ht="15.75" customHeight="1">
      <c r="A11" s="116" t="s">
        <v>4695</v>
      </c>
      <c r="B11" s="870">
        <v>45574.0</v>
      </c>
      <c r="C11" s="870">
        <v>45566.0</v>
      </c>
      <c r="D11" s="2" t="s">
        <v>4571</v>
      </c>
      <c r="E11" s="2">
        <v>1.0460498487E10</v>
      </c>
      <c r="F11" s="67" t="s">
        <v>4696</v>
      </c>
      <c r="G11" s="3" t="s">
        <v>4100</v>
      </c>
      <c r="H11" s="2" t="s">
        <v>47</v>
      </c>
      <c r="I11" s="2">
        <v>27.75</v>
      </c>
      <c r="J11" s="2">
        <v>1.65</v>
      </c>
      <c r="K11" s="59">
        <f t="shared" si="1"/>
        <v>27.292125</v>
      </c>
      <c r="L11" s="60">
        <v>0.106</v>
      </c>
      <c r="M11" s="60">
        <v>0.106</v>
      </c>
      <c r="N11" s="60">
        <v>0.106</v>
      </c>
      <c r="O11" s="106">
        <f t="shared" si="2"/>
        <v>0.106</v>
      </c>
      <c r="P11" s="136">
        <v>87.0</v>
      </c>
      <c r="Q11" s="2">
        <v>88.05</v>
      </c>
      <c r="R11" s="741">
        <v>2638.85</v>
      </c>
      <c r="S11" s="3">
        <v>100.0</v>
      </c>
      <c r="T11" s="2"/>
      <c r="U11" s="67">
        <v>100.0</v>
      </c>
      <c r="V11" s="2">
        <v>1.1023</v>
      </c>
      <c r="W11" s="2"/>
      <c r="X11" s="2"/>
      <c r="Y11" s="2">
        <v>40.0</v>
      </c>
      <c r="Z11" s="69">
        <f t="shared" si="15"/>
        <v>30</v>
      </c>
      <c r="AA11" s="70">
        <f t="shared" si="4"/>
        <v>70</v>
      </c>
      <c r="AB11" s="71">
        <f t="shared" si="5"/>
        <v>70.69352702</v>
      </c>
      <c r="AC11" s="71">
        <f>+(S11-T11)*V11-'data 1'!$F$4</f>
        <v>30.23</v>
      </c>
      <c r="AD11" s="71">
        <f t="shared" si="6"/>
        <v>3.114813257</v>
      </c>
      <c r="AE11" s="71">
        <f t="shared" si="7"/>
        <v>7.161</v>
      </c>
      <c r="AF11" s="71">
        <f t="shared" si="8"/>
        <v>0</v>
      </c>
      <c r="AG11" s="71">
        <f t="shared" si="16"/>
        <v>40.50581326</v>
      </c>
      <c r="AH11" s="52">
        <f t="shared" si="10"/>
        <v>87.33365708</v>
      </c>
      <c r="AI11" s="73">
        <f t="shared" si="11"/>
        <v>20.69450629</v>
      </c>
      <c r="AJ11" s="871">
        <f t="shared" si="12"/>
        <v>86.2921995</v>
      </c>
      <c r="AK11" s="11"/>
      <c r="AL11" s="122">
        <f t="shared" si="13"/>
        <v>1929.376576</v>
      </c>
    </row>
    <row r="12" ht="15.75" customHeight="1">
      <c r="A12" s="116" t="s">
        <v>4697</v>
      </c>
      <c r="B12" s="870">
        <v>45573.0</v>
      </c>
      <c r="C12" s="870">
        <v>45567.0</v>
      </c>
      <c r="D12" s="2" t="s">
        <v>602</v>
      </c>
      <c r="E12" s="2">
        <v>2.0169040231E10</v>
      </c>
      <c r="F12" s="67" t="s">
        <v>4698</v>
      </c>
      <c r="G12" s="3">
        <v>57.0</v>
      </c>
      <c r="H12" s="2" t="s">
        <v>47</v>
      </c>
      <c r="I12" s="58">
        <v>5.46</v>
      </c>
      <c r="J12" s="58">
        <v>1.1</v>
      </c>
      <c r="K12" s="59">
        <f t="shared" si="1"/>
        <v>5.39994</v>
      </c>
      <c r="L12" s="60">
        <v>0.149</v>
      </c>
      <c r="M12" s="60">
        <v>0.141</v>
      </c>
      <c r="N12" s="62">
        <v>0.141</v>
      </c>
      <c r="O12" s="106">
        <f t="shared" si="2"/>
        <v>0.141</v>
      </c>
      <c r="P12" s="2">
        <v>90.0</v>
      </c>
      <c r="Q12" s="2">
        <v>89.16</v>
      </c>
      <c r="R12" s="741">
        <v>2636.66</v>
      </c>
      <c r="S12" s="3">
        <v>110.0</v>
      </c>
      <c r="T12" s="2"/>
      <c r="U12" s="67">
        <v>130.0</v>
      </c>
      <c r="V12" s="2">
        <v>1.1023</v>
      </c>
      <c r="W12" s="2"/>
      <c r="X12" s="2"/>
      <c r="Y12" s="2">
        <v>30.0</v>
      </c>
      <c r="Z12" s="69">
        <f t="shared" si="15"/>
        <v>30</v>
      </c>
      <c r="AA12" s="70">
        <f t="shared" si="4"/>
        <v>60</v>
      </c>
      <c r="AB12" s="71">
        <f t="shared" si="5"/>
        <v>163.2452883</v>
      </c>
      <c r="AC12" s="71">
        <f>+(S12-T12)*V12-'data 1'!$F$4</f>
        <v>41.253</v>
      </c>
      <c r="AD12" s="71">
        <f t="shared" si="6"/>
        <v>-3.458285094</v>
      </c>
      <c r="AE12" s="71">
        <f t="shared" si="7"/>
        <v>-3.862</v>
      </c>
      <c r="AF12" s="71">
        <f t="shared" si="8"/>
        <v>19.70857775</v>
      </c>
      <c r="AG12" s="71">
        <f t="shared" si="16"/>
        <v>53.64129266</v>
      </c>
      <c r="AH12" s="52">
        <f t="shared" si="10"/>
        <v>24.59542502</v>
      </c>
      <c r="AI12" s="73">
        <f t="shared" si="11"/>
        <v>34.17002757</v>
      </c>
      <c r="AJ12" s="871">
        <f t="shared" si="12"/>
        <v>23.49414397</v>
      </c>
      <c r="AK12" s="11"/>
      <c r="AL12" s="122">
        <f t="shared" si="13"/>
        <v>881.5147619</v>
      </c>
    </row>
    <row r="13" ht="15.75" customHeight="1">
      <c r="A13" s="116" t="s">
        <v>4699</v>
      </c>
      <c r="B13" s="870">
        <v>45573.0</v>
      </c>
      <c r="C13" s="870">
        <v>45567.0</v>
      </c>
      <c r="D13" s="2" t="s">
        <v>602</v>
      </c>
      <c r="E13" s="2">
        <v>2.0169040231E10</v>
      </c>
      <c r="F13" s="67" t="s">
        <v>4698</v>
      </c>
      <c r="G13" s="3">
        <v>76.0</v>
      </c>
      <c r="H13" s="2" t="s">
        <v>47</v>
      </c>
      <c r="I13" s="58">
        <v>7.43</v>
      </c>
      <c r="J13" s="58">
        <v>1.0</v>
      </c>
      <c r="K13" s="59">
        <f t="shared" si="1"/>
        <v>7.3557</v>
      </c>
      <c r="L13" s="60">
        <v>0.482</v>
      </c>
      <c r="M13" s="60">
        <v>0.458</v>
      </c>
      <c r="N13" s="62">
        <v>0.458</v>
      </c>
      <c r="O13" s="106">
        <f t="shared" si="2"/>
        <v>0.458</v>
      </c>
      <c r="P13" s="2">
        <v>90.0</v>
      </c>
      <c r="Q13" s="2">
        <v>89.26</v>
      </c>
      <c r="R13" s="741">
        <v>2636.66</v>
      </c>
      <c r="S13" s="3">
        <v>140.0</v>
      </c>
      <c r="T13" s="2"/>
      <c r="U13" s="67">
        <v>130.0</v>
      </c>
      <c r="V13" s="2">
        <v>1.1023</v>
      </c>
      <c r="W13" s="2"/>
      <c r="X13" s="2"/>
      <c r="Y13" s="2">
        <v>30.0</v>
      </c>
      <c r="Z13" s="69">
        <f t="shared" si="15"/>
        <v>30</v>
      </c>
      <c r="AA13" s="70">
        <f t="shared" si="4"/>
        <v>60</v>
      </c>
      <c r="AB13" s="71">
        <f t="shared" si="5"/>
        <v>918.4862413</v>
      </c>
      <c r="AC13" s="71">
        <f>+(S13-T13)*V13-'data 1'!$F$4</f>
        <v>74.322</v>
      </c>
      <c r="AD13" s="71">
        <f t="shared" si="6"/>
        <v>-9.855394113</v>
      </c>
      <c r="AE13" s="71">
        <f t="shared" si="7"/>
        <v>-3.862</v>
      </c>
      <c r="AF13" s="71">
        <f t="shared" si="8"/>
        <v>59.19204745</v>
      </c>
      <c r="AG13" s="71">
        <f t="shared" si="16"/>
        <v>119.7966533</v>
      </c>
      <c r="AH13" s="52">
        <f t="shared" si="10"/>
        <v>108.5018138</v>
      </c>
      <c r="AI13" s="73">
        <f t="shared" si="11"/>
        <v>110.6605748</v>
      </c>
      <c r="AJ13" s="871">
        <f t="shared" si="12"/>
        <v>103.9539665</v>
      </c>
      <c r="AK13" s="11"/>
      <c r="AL13" s="122">
        <f t="shared" si="13"/>
        <v>6756.109245</v>
      </c>
    </row>
    <row r="14" ht="15.75" customHeight="1">
      <c r="A14" s="116" t="s">
        <v>4700</v>
      </c>
      <c r="B14" s="870">
        <v>45570.0</v>
      </c>
      <c r="C14" s="870">
        <v>45567.0</v>
      </c>
      <c r="D14" s="2" t="s">
        <v>602</v>
      </c>
      <c r="E14" s="2">
        <v>2.0169040231E10</v>
      </c>
      <c r="F14" s="67" t="s">
        <v>4701</v>
      </c>
      <c r="G14" s="3">
        <v>45.0</v>
      </c>
      <c r="H14" s="2" t="s">
        <v>47</v>
      </c>
      <c r="I14" s="58">
        <v>3.94</v>
      </c>
      <c r="J14" s="58">
        <v>0.8</v>
      </c>
      <c r="K14" s="59">
        <f t="shared" si="1"/>
        <v>3.90848</v>
      </c>
      <c r="L14" s="60">
        <v>0.348</v>
      </c>
      <c r="M14" s="60">
        <v>0.331</v>
      </c>
      <c r="N14" s="62">
        <v>0.388</v>
      </c>
      <c r="O14" s="106">
        <f t="shared" si="2"/>
        <v>0.36</v>
      </c>
      <c r="P14" s="2">
        <v>90.0</v>
      </c>
      <c r="Q14" s="2">
        <v>89.57</v>
      </c>
      <c r="R14" s="741">
        <v>2646.66</v>
      </c>
      <c r="S14" s="3">
        <v>130.0</v>
      </c>
      <c r="T14" s="2"/>
      <c r="U14" s="67">
        <v>130.0</v>
      </c>
      <c r="V14" s="2">
        <v>1.1023</v>
      </c>
      <c r="W14" s="2"/>
      <c r="X14" s="2"/>
      <c r="Y14" s="2">
        <v>50.0</v>
      </c>
      <c r="Z14" s="69">
        <f t="shared" si="15"/>
        <v>30</v>
      </c>
      <c r="AA14" s="70">
        <f t="shared" si="4"/>
        <v>80</v>
      </c>
      <c r="AB14" s="71">
        <f t="shared" si="5"/>
        <v>667.330039</v>
      </c>
      <c r="AC14" s="71">
        <f>+(S14-T14)*V14-'data 1'!$F$4</f>
        <v>63.299</v>
      </c>
      <c r="AD14" s="71">
        <f t="shared" si="6"/>
        <v>-4.151184665</v>
      </c>
      <c r="AE14" s="71">
        <f t="shared" si="7"/>
        <v>18.184</v>
      </c>
      <c r="AF14" s="71">
        <f t="shared" si="8"/>
        <v>-29.81729034</v>
      </c>
      <c r="AG14" s="71">
        <f t="shared" si="16"/>
        <v>47.514525</v>
      </c>
      <c r="AH14" s="52">
        <f t="shared" si="10"/>
        <v>41.76945237</v>
      </c>
      <c r="AI14" s="73">
        <f t="shared" si="11"/>
        <v>76.73758676</v>
      </c>
      <c r="AJ14" s="871">
        <f t="shared" si="12"/>
        <v>43.41721613</v>
      </c>
      <c r="AK14" s="11"/>
      <c r="AL14" s="122">
        <f t="shared" si="13"/>
        <v>2608.246111</v>
      </c>
    </row>
    <row r="15" ht="15.75" customHeight="1">
      <c r="A15" s="116" t="s">
        <v>4702</v>
      </c>
      <c r="B15" s="841">
        <v>45571.0</v>
      </c>
      <c r="C15" s="870">
        <v>45569.0</v>
      </c>
      <c r="D15" s="2" t="s">
        <v>602</v>
      </c>
      <c r="E15" s="2">
        <v>2.0169040235E10</v>
      </c>
      <c r="F15" s="67" t="s">
        <v>4386</v>
      </c>
      <c r="G15" s="3">
        <v>90.0</v>
      </c>
      <c r="H15" s="2" t="s">
        <v>47</v>
      </c>
      <c r="I15" s="58">
        <v>8.42</v>
      </c>
      <c r="J15" s="58">
        <v>1.1</v>
      </c>
      <c r="K15" s="59">
        <f t="shared" si="1"/>
        <v>8.32738</v>
      </c>
      <c r="L15" s="60">
        <v>0.42</v>
      </c>
      <c r="M15" s="60">
        <v>0.399</v>
      </c>
      <c r="N15" s="62">
        <v>0.399</v>
      </c>
      <c r="O15" s="106">
        <f t="shared" si="2"/>
        <v>0.399</v>
      </c>
      <c r="P15" s="136">
        <v>90.0</v>
      </c>
      <c r="Q15" s="69">
        <v>89.44</v>
      </c>
      <c r="R15" s="741">
        <v>2641.5</v>
      </c>
      <c r="S15" s="3">
        <v>130.0</v>
      </c>
      <c r="U15" s="67">
        <v>130.0</v>
      </c>
      <c r="V15" s="67">
        <v>1.1023</v>
      </c>
      <c r="Y15" s="67">
        <v>30.0</v>
      </c>
      <c r="Z15" s="69">
        <f t="shared" si="15"/>
        <v>30</v>
      </c>
      <c r="AA15" s="70">
        <f t="shared" si="4"/>
        <v>60</v>
      </c>
      <c r="AB15" s="71">
        <f t="shared" si="5"/>
        <v>784.7049382</v>
      </c>
      <c r="AC15" s="71">
        <f>+(S15-T15)*V15-'data 1'!$F$4</f>
        <v>63.299</v>
      </c>
      <c r="AD15" s="71">
        <f t="shared" si="6"/>
        <v>-6.51133901</v>
      </c>
      <c r="AE15" s="71">
        <f t="shared" si="7"/>
        <v>-3.862</v>
      </c>
      <c r="AF15" s="71">
        <f t="shared" si="8"/>
        <v>51.99769295</v>
      </c>
      <c r="AG15" s="71">
        <f t="shared" si="16"/>
        <v>104.9233539</v>
      </c>
      <c r="AH15" s="52">
        <f t="shared" si="10"/>
        <v>107.2503044</v>
      </c>
      <c r="AI15" s="73">
        <f t="shared" si="11"/>
        <v>94.61654661</v>
      </c>
      <c r="AJ15" s="73">
        <f t="shared" si="12"/>
        <v>102.525727</v>
      </c>
      <c r="AK15" s="11"/>
      <c r="AL15" s="122">
        <f t="shared" si="13"/>
        <v>6534.536208</v>
      </c>
    </row>
    <row r="16" ht="15.75" customHeight="1">
      <c r="A16" s="116" t="s">
        <v>4703</v>
      </c>
      <c r="B16" s="841">
        <v>45571.0</v>
      </c>
      <c r="C16" s="870">
        <v>45569.0</v>
      </c>
      <c r="D16" s="2" t="s">
        <v>602</v>
      </c>
      <c r="E16" s="2">
        <v>2.0169040236E10</v>
      </c>
      <c r="F16" s="67" t="s">
        <v>4386</v>
      </c>
      <c r="G16" s="3">
        <v>20.0</v>
      </c>
      <c r="H16" s="2" t="s">
        <v>47</v>
      </c>
      <c r="I16" s="58">
        <v>1.87</v>
      </c>
      <c r="J16" s="58">
        <v>1.1</v>
      </c>
      <c r="K16" s="59">
        <f t="shared" si="1"/>
        <v>1.84943</v>
      </c>
      <c r="L16" s="60">
        <v>0.421</v>
      </c>
      <c r="M16" s="60">
        <v>0.399</v>
      </c>
      <c r="N16" s="62">
        <v>0.399</v>
      </c>
      <c r="O16" s="106">
        <f t="shared" si="2"/>
        <v>0.399</v>
      </c>
      <c r="P16" s="136">
        <v>90.0</v>
      </c>
      <c r="Q16" s="69">
        <v>89.56</v>
      </c>
      <c r="R16" s="741">
        <v>2641.5</v>
      </c>
      <c r="S16" s="3">
        <v>130.0</v>
      </c>
      <c r="U16" s="67">
        <v>130.0</v>
      </c>
      <c r="V16" s="67">
        <v>1.1023</v>
      </c>
      <c r="Y16" s="67">
        <v>30.0</v>
      </c>
      <c r="Z16" s="69">
        <f t="shared" si="15"/>
        <v>30</v>
      </c>
      <c r="AA16" s="70">
        <f t="shared" si="4"/>
        <v>60</v>
      </c>
      <c r="AB16" s="71">
        <f t="shared" si="5"/>
        <v>784.7049382</v>
      </c>
      <c r="AC16" s="71">
        <f>+(S16-T16)*V16-'data 1'!$F$4</f>
        <v>63.299</v>
      </c>
      <c r="AD16" s="71">
        <f t="shared" si="6"/>
        <v>-5.128233156</v>
      </c>
      <c r="AE16" s="71">
        <f t="shared" si="7"/>
        <v>-3.862</v>
      </c>
      <c r="AF16" s="71">
        <f t="shared" si="8"/>
        <v>54.54686003</v>
      </c>
      <c r="AG16" s="71">
        <f t="shared" si="16"/>
        <v>108.8556269</v>
      </c>
      <c r="AH16" s="52">
        <f t="shared" si="10"/>
        <v>23.90799455</v>
      </c>
      <c r="AI16" s="73">
        <f t="shared" si="11"/>
        <v>94.96907163</v>
      </c>
      <c r="AJ16" s="73">
        <f t="shared" si="12"/>
        <v>22.7699655</v>
      </c>
      <c r="AK16" s="11"/>
      <c r="AL16" s="122">
        <f t="shared" si="13"/>
        <v>1451.256854</v>
      </c>
    </row>
    <row r="17" ht="15.75" customHeight="1">
      <c r="A17" s="116" t="s">
        <v>4704</v>
      </c>
      <c r="B17" s="841">
        <v>45572.0</v>
      </c>
      <c r="C17" s="841">
        <v>45570.0</v>
      </c>
      <c r="D17" s="67" t="s">
        <v>602</v>
      </c>
      <c r="E17" s="67">
        <v>2.0169040237E10</v>
      </c>
      <c r="F17" s="67" t="s">
        <v>4476</v>
      </c>
      <c r="G17" s="134">
        <v>57.0</v>
      </c>
      <c r="H17" s="67" t="s">
        <v>47</v>
      </c>
      <c r="I17" s="69">
        <v>4.88</v>
      </c>
      <c r="J17" s="69">
        <v>1.2</v>
      </c>
      <c r="K17" s="59">
        <f t="shared" si="1"/>
        <v>4.82144</v>
      </c>
      <c r="L17" s="106">
        <v>0.395</v>
      </c>
      <c r="M17" s="106">
        <v>0.375</v>
      </c>
      <c r="N17" s="111">
        <v>0.423</v>
      </c>
      <c r="O17" s="106">
        <f t="shared" si="2"/>
        <v>0.399</v>
      </c>
      <c r="P17" s="136">
        <v>90.0</v>
      </c>
      <c r="Q17" s="69">
        <v>89.63</v>
      </c>
      <c r="R17" s="741">
        <v>2641.5</v>
      </c>
      <c r="S17" s="134">
        <v>105.0</v>
      </c>
      <c r="T17" s="67"/>
      <c r="U17" s="67">
        <v>130.0</v>
      </c>
      <c r="V17" s="67">
        <v>1.1023</v>
      </c>
      <c r="W17" s="67"/>
      <c r="X17" s="67"/>
      <c r="Y17" s="67">
        <v>10.0</v>
      </c>
      <c r="Z17" s="69">
        <f t="shared" si="15"/>
        <v>30</v>
      </c>
      <c r="AA17" s="70">
        <f t="shared" si="4"/>
        <v>40</v>
      </c>
      <c r="AB17" s="71">
        <f t="shared" si="5"/>
        <v>834.3084382</v>
      </c>
      <c r="AC17" s="71">
        <f>+(S17-T17)*V17-'data 1'!$F$4</f>
        <v>35.7415</v>
      </c>
      <c r="AD17" s="71">
        <f t="shared" si="6"/>
        <v>-4.046055257</v>
      </c>
      <c r="AE17" s="71">
        <f t="shared" si="7"/>
        <v>-25.908</v>
      </c>
      <c r="AF17" s="71">
        <f t="shared" si="8"/>
        <v>-9.925362509</v>
      </c>
      <c r="AG17" s="71">
        <f t="shared" si="16"/>
        <v>-4.137917765</v>
      </c>
      <c r="AH17" s="52">
        <f t="shared" si="10"/>
        <v>58.52431348</v>
      </c>
      <c r="AI17" s="73">
        <f t="shared" si="11"/>
        <v>89.17364191</v>
      </c>
      <c r="AJ17" s="73">
        <f t="shared" si="12"/>
        <v>59.36100444</v>
      </c>
      <c r="AK17" s="53"/>
      <c r="AL17" s="122">
        <f t="shared" si="13"/>
        <v>4022.568076</v>
      </c>
    </row>
    <row r="18" ht="15.75" customHeight="1">
      <c r="A18" s="116" t="s">
        <v>4705</v>
      </c>
      <c r="B18" s="841">
        <v>45572.0</v>
      </c>
      <c r="C18" s="841">
        <v>45570.0</v>
      </c>
      <c r="D18" s="67" t="s">
        <v>602</v>
      </c>
      <c r="E18" s="67">
        <v>2.0169040237E10</v>
      </c>
      <c r="F18" s="67" t="s">
        <v>4476</v>
      </c>
      <c r="G18" s="134">
        <v>50.0</v>
      </c>
      <c r="H18" s="67" t="s">
        <v>47</v>
      </c>
      <c r="I18" s="69">
        <v>4.31</v>
      </c>
      <c r="J18" s="69">
        <v>1.1</v>
      </c>
      <c r="K18" s="59">
        <f t="shared" si="1"/>
        <v>4.26259</v>
      </c>
      <c r="L18" s="106">
        <v>0.293</v>
      </c>
      <c r="M18" s="106">
        <v>0.278</v>
      </c>
      <c r="N18" s="111">
        <v>0.309</v>
      </c>
      <c r="O18" s="106">
        <f t="shared" si="2"/>
        <v>0.294</v>
      </c>
      <c r="P18" s="136">
        <v>90.0</v>
      </c>
      <c r="Q18" s="69">
        <v>89.54</v>
      </c>
      <c r="R18" s="741">
        <v>2641.5</v>
      </c>
      <c r="S18" s="134">
        <v>100.0</v>
      </c>
      <c r="T18" s="67"/>
      <c r="U18" s="67">
        <v>130.0</v>
      </c>
      <c r="V18" s="67">
        <v>1.1023</v>
      </c>
      <c r="W18" s="67"/>
      <c r="X18" s="67"/>
      <c r="Y18" s="67">
        <v>10.0</v>
      </c>
      <c r="Z18" s="69">
        <f t="shared" si="15"/>
        <v>30</v>
      </c>
      <c r="AA18" s="70">
        <f t="shared" si="4"/>
        <v>40</v>
      </c>
      <c r="AB18" s="71">
        <f t="shared" si="5"/>
        <v>578.2036387</v>
      </c>
      <c r="AC18" s="71">
        <f>+(S18-T18)*V18-'data 1'!$F$4</f>
        <v>30.23</v>
      </c>
      <c r="AD18" s="71">
        <f t="shared" si="6"/>
        <v>-3.731285169</v>
      </c>
      <c r="AE18" s="71">
        <f t="shared" si="7"/>
        <v>-25.908</v>
      </c>
      <c r="AF18" s="71">
        <f t="shared" si="8"/>
        <v>-2.478849043</v>
      </c>
      <c r="AG18" s="71">
        <f t="shared" si="16"/>
        <v>-1.888134213</v>
      </c>
      <c r="AH18" s="52">
        <f t="shared" si="10"/>
        <v>38.3413448</v>
      </c>
      <c r="AI18" s="73">
        <f t="shared" si="11"/>
        <v>66.08010467</v>
      </c>
      <c r="AJ18" s="73">
        <f t="shared" si="12"/>
        <v>38.66984852</v>
      </c>
      <c r="AK18" s="53"/>
      <c r="AL18" s="122">
        <f t="shared" si="13"/>
        <v>2464.645048</v>
      </c>
    </row>
    <row r="19" ht="15.75" customHeight="1">
      <c r="A19" s="116" t="s">
        <v>4706</v>
      </c>
      <c r="B19" s="841">
        <v>45572.0</v>
      </c>
      <c r="C19" s="841">
        <v>45571.0</v>
      </c>
      <c r="D19" s="67" t="s">
        <v>602</v>
      </c>
      <c r="E19" s="67">
        <v>2.0169040237E10</v>
      </c>
      <c r="F19" s="67" t="s">
        <v>4707</v>
      </c>
      <c r="G19" s="134">
        <v>80.0</v>
      </c>
      <c r="H19" s="67" t="s">
        <v>47</v>
      </c>
      <c r="I19" s="69">
        <v>8.11</v>
      </c>
      <c r="J19" s="69">
        <v>0.55</v>
      </c>
      <c r="K19" s="59">
        <f t="shared" si="1"/>
        <v>8.065395</v>
      </c>
      <c r="L19" s="106">
        <v>0.157</v>
      </c>
      <c r="M19" s="106">
        <v>0.154</v>
      </c>
      <c r="N19" s="135">
        <v>0.17</v>
      </c>
      <c r="O19" s="106">
        <f t="shared" si="2"/>
        <v>0.162</v>
      </c>
      <c r="P19" s="136">
        <v>90.0</v>
      </c>
      <c r="Q19" s="69">
        <v>89.15</v>
      </c>
      <c r="R19" s="741">
        <v>2639.73</v>
      </c>
      <c r="S19" s="134">
        <v>110.0</v>
      </c>
      <c r="T19" s="67"/>
      <c r="U19" s="67">
        <v>130.0</v>
      </c>
      <c r="V19" s="67">
        <v>1.1023</v>
      </c>
      <c r="W19" s="67"/>
      <c r="X19" s="67"/>
      <c r="Y19" s="67">
        <v>30.0</v>
      </c>
      <c r="Z19" s="69">
        <f t="shared" si="15"/>
        <v>30</v>
      </c>
      <c r="AA19" s="70">
        <f t="shared" si="4"/>
        <v>60</v>
      </c>
      <c r="AB19" s="71">
        <f t="shared" si="5"/>
        <v>215.9611103</v>
      </c>
      <c r="AC19" s="71">
        <f>+(S19-T19)*V19-'data 1'!$F$4</f>
        <v>41.253</v>
      </c>
      <c r="AD19" s="71">
        <f t="shared" si="6"/>
        <v>-3.691861393</v>
      </c>
      <c r="AE19" s="71">
        <f t="shared" si="7"/>
        <v>-3.862</v>
      </c>
      <c r="AF19" s="71">
        <f t="shared" si="8"/>
        <v>-12.331564</v>
      </c>
      <c r="AG19" s="71">
        <f t="shared" si="16"/>
        <v>21.3675746</v>
      </c>
      <c r="AH19" s="52">
        <f t="shared" si="10"/>
        <v>38.70398751</v>
      </c>
      <c r="AI19" s="73">
        <f t="shared" si="11"/>
        <v>35.52696992</v>
      </c>
      <c r="AJ19" s="73">
        <f t="shared" si="12"/>
        <v>40.31737377</v>
      </c>
      <c r="AK19" s="53"/>
      <c r="AL19" s="122">
        <f t="shared" si="13"/>
        <v>1741.811659</v>
      </c>
    </row>
    <row r="20" ht="15.75" customHeight="1">
      <c r="A20" s="116" t="s">
        <v>4708</v>
      </c>
      <c r="B20" s="841">
        <v>45572.0</v>
      </c>
      <c r="C20" s="841">
        <v>45571.0</v>
      </c>
      <c r="D20" s="67" t="s">
        <v>602</v>
      </c>
      <c r="E20" s="67">
        <v>2.0169040237E10</v>
      </c>
      <c r="F20" s="67" t="s">
        <v>4707</v>
      </c>
      <c r="G20" s="134">
        <v>100.0</v>
      </c>
      <c r="H20" s="67" t="s">
        <v>47</v>
      </c>
      <c r="I20" s="69">
        <v>9.96</v>
      </c>
      <c r="J20" s="69">
        <v>0.8</v>
      </c>
      <c r="K20" s="59">
        <f t="shared" si="1"/>
        <v>9.88032</v>
      </c>
      <c r="L20" s="106">
        <v>0.225</v>
      </c>
      <c r="M20" s="106">
        <v>0.212</v>
      </c>
      <c r="N20" s="111">
        <v>0.228</v>
      </c>
      <c r="O20" s="106">
        <f t="shared" si="2"/>
        <v>0.22</v>
      </c>
      <c r="P20" s="136">
        <v>90.0</v>
      </c>
      <c r="Q20" s="69">
        <v>89.52</v>
      </c>
      <c r="R20" s="741">
        <v>2639.73</v>
      </c>
      <c r="S20" s="134">
        <v>120.0</v>
      </c>
      <c r="T20" s="67"/>
      <c r="U20" s="67">
        <v>130.0</v>
      </c>
      <c r="V20" s="67">
        <v>1.1023</v>
      </c>
      <c r="W20" s="67"/>
      <c r="X20" s="67"/>
      <c r="Y20" s="67">
        <v>30.0</v>
      </c>
      <c r="Z20" s="69">
        <f t="shared" si="15"/>
        <v>30</v>
      </c>
      <c r="AA20" s="70">
        <f t="shared" si="4"/>
        <v>60</v>
      </c>
      <c r="AB20" s="71">
        <f t="shared" si="5"/>
        <v>349.348125</v>
      </c>
      <c r="AC20" s="71">
        <f>+(S20-T20)*V20-'data 1'!$F$4</f>
        <v>52.276</v>
      </c>
      <c r="AD20" s="71">
        <f t="shared" si="6"/>
        <v>-2.987793409</v>
      </c>
      <c r="AE20" s="71">
        <f t="shared" si="7"/>
        <v>-3.862</v>
      </c>
      <c r="AF20" s="71">
        <f t="shared" si="8"/>
        <v>12.3827438</v>
      </c>
      <c r="AG20" s="71">
        <f t="shared" si="16"/>
        <v>57.80895039</v>
      </c>
      <c r="AH20" s="52">
        <f t="shared" si="10"/>
        <v>68.23114691</v>
      </c>
      <c r="AI20" s="73">
        <f t="shared" si="11"/>
        <v>51.125758</v>
      </c>
      <c r="AJ20" s="73">
        <f t="shared" si="12"/>
        <v>67.07261984</v>
      </c>
      <c r="AK20" s="53"/>
      <c r="AL20" s="122">
        <f t="shared" si="13"/>
        <v>3451.671267</v>
      </c>
    </row>
    <row r="21" ht="15.75" customHeight="1">
      <c r="A21" s="116" t="s">
        <v>4709</v>
      </c>
      <c r="B21" s="841">
        <v>45572.0</v>
      </c>
      <c r="C21" s="841">
        <v>45571.0</v>
      </c>
      <c r="D21" s="67" t="s">
        <v>602</v>
      </c>
      <c r="E21" s="67">
        <v>2.0169040237E10</v>
      </c>
      <c r="F21" s="67" t="s">
        <v>4707</v>
      </c>
      <c r="G21" s="134">
        <v>48.0</v>
      </c>
      <c r="H21" s="67" t="s">
        <v>71</v>
      </c>
      <c r="I21" s="69">
        <v>5.11</v>
      </c>
      <c r="J21" s="69">
        <v>1.1</v>
      </c>
      <c r="K21" s="59">
        <f t="shared" si="1"/>
        <v>5.05379</v>
      </c>
      <c r="L21" s="106">
        <v>0.121</v>
      </c>
      <c r="M21" s="106">
        <v>0.116</v>
      </c>
      <c r="N21" s="135">
        <v>0.116</v>
      </c>
      <c r="O21" s="106">
        <f t="shared" si="2"/>
        <v>0.116</v>
      </c>
      <c r="P21" s="136">
        <v>90.0</v>
      </c>
      <c r="Q21" s="69">
        <v>89.08</v>
      </c>
      <c r="R21" s="741">
        <v>2639.73</v>
      </c>
      <c r="S21" s="134">
        <v>110.0</v>
      </c>
      <c r="T21" s="67"/>
      <c r="U21" s="67">
        <v>130.0</v>
      </c>
      <c r="V21" s="67">
        <v>1.1023</v>
      </c>
      <c r="W21" s="67"/>
      <c r="X21" s="67"/>
      <c r="Y21" s="67">
        <v>30.0</v>
      </c>
      <c r="Z21" s="69">
        <f t="shared" si="15"/>
        <v>30</v>
      </c>
      <c r="AA21" s="70">
        <f t="shared" si="4"/>
        <v>60</v>
      </c>
      <c r="AB21" s="71">
        <f t="shared" si="5"/>
        <v>101.4290296</v>
      </c>
      <c r="AC21" s="71">
        <f>+(S21-T21)*V21-'data 1'!$F$4</f>
        <v>41.253</v>
      </c>
      <c r="AD21" s="71">
        <f t="shared" si="6"/>
        <v>-3.079640392</v>
      </c>
      <c r="AE21" s="71">
        <f t="shared" si="7"/>
        <v>-3.862</v>
      </c>
      <c r="AF21" s="71">
        <f t="shared" si="8"/>
        <v>12.32188134</v>
      </c>
      <c r="AG21" s="71">
        <f t="shared" si="16"/>
        <v>46.63324095</v>
      </c>
      <c r="AH21" s="52">
        <f t="shared" si="10"/>
        <v>18.67634293</v>
      </c>
      <c r="AI21" s="73">
        <f t="shared" si="11"/>
        <v>27.35915923</v>
      </c>
      <c r="AJ21" s="73">
        <f t="shared" si="12"/>
        <v>18.08950819</v>
      </c>
      <c r="AK21" s="53"/>
      <c r="AL21" s="122">
        <f t="shared" si="13"/>
        <v>512.6010153</v>
      </c>
    </row>
    <row r="22" ht="15.75" customHeight="1">
      <c r="A22" s="116" t="s">
        <v>4710</v>
      </c>
      <c r="B22" s="841">
        <v>45572.0</v>
      </c>
      <c r="C22" s="841">
        <v>45571.0</v>
      </c>
      <c r="D22" s="67" t="s">
        <v>602</v>
      </c>
      <c r="E22" s="67">
        <v>2.0169040237E10</v>
      </c>
      <c r="F22" s="67" t="s">
        <v>4707</v>
      </c>
      <c r="G22" s="134">
        <v>50.0</v>
      </c>
      <c r="H22" s="67" t="s">
        <v>71</v>
      </c>
      <c r="I22" s="69">
        <v>5.33</v>
      </c>
      <c r="J22" s="69">
        <v>1.2</v>
      </c>
      <c r="K22" s="59">
        <f t="shared" si="1"/>
        <v>5.26604</v>
      </c>
      <c r="L22" s="106">
        <v>0.125</v>
      </c>
      <c r="M22" s="106">
        <v>0.12</v>
      </c>
      <c r="N22" s="111">
        <v>0.132</v>
      </c>
      <c r="O22" s="106">
        <f t="shared" si="2"/>
        <v>0.126</v>
      </c>
      <c r="P22" s="136">
        <v>90.0</v>
      </c>
      <c r="Q22" s="69">
        <v>89.44</v>
      </c>
      <c r="R22" s="741">
        <v>2639.73</v>
      </c>
      <c r="S22" s="134">
        <v>110.0</v>
      </c>
      <c r="T22" s="67"/>
      <c r="U22" s="67">
        <v>130.0</v>
      </c>
      <c r="V22" s="67">
        <v>1.1023</v>
      </c>
      <c r="W22" s="67"/>
      <c r="X22" s="67"/>
      <c r="Y22" s="67">
        <v>30.0</v>
      </c>
      <c r="Z22" s="69">
        <f t="shared" si="15"/>
        <v>30</v>
      </c>
      <c r="AA22" s="70">
        <f t="shared" si="4"/>
        <v>60</v>
      </c>
      <c r="AB22" s="71">
        <f t="shared" si="5"/>
        <v>126.327308</v>
      </c>
      <c r="AC22" s="71">
        <f>+(S22-T22)*V22-'data 1'!$F$4</f>
        <v>41.253</v>
      </c>
      <c r="AD22" s="71">
        <f t="shared" si="6"/>
        <v>-1.936532765</v>
      </c>
      <c r="AE22" s="71">
        <f t="shared" si="7"/>
        <v>-3.862</v>
      </c>
      <c r="AF22" s="71">
        <f t="shared" si="8"/>
        <v>-2.474335579</v>
      </c>
      <c r="AG22" s="71">
        <f t="shared" si="16"/>
        <v>32.98013166</v>
      </c>
      <c r="AH22" s="52">
        <f t="shared" si="10"/>
        <v>20.18529154</v>
      </c>
      <c r="AI22" s="73">
        <f t="shared" si="11"/>
        <v>28.37781623</v>
      </c>
      <c r="AJ22" s="73">
        <f t="shared" si="12"/>
        <v>20.4741687</v>
      </c>
      <c r="AK22" s="53"/>
      <c r="AL22" s="122">
        <f t="shared" si="13"/>
        <v>665.2446569</v>
      </c>
    </row>
    <row r="23" ht="15.75" customHeight="1">
      <c r="A23" s="116" t="s">
        <v>4711</v>
      </c>
      <c r="B23" s="841">
        <v>45573.0</v>
      </c>
      <c r="C23" s="870">
        <v>45571.0</v>
      </c>
      <c r="D23" s="2" t="s">
        <v>74</v>
      </c>
      <c r="E23" s="2">
        <v>1.0082235774E10</v>
      </c>
      <c r="F23" s="2"/>
      <c r="G23" s="3">
        <v>64.0</v>
      </c>
      <c r="H23" s="2" t="s">
        <v>47</v>
      </c>
      <c r="I23" s="58">
        <v>5.15</v>
      </c>
      <c r="J23" s="58">
        <v>0.7</v>
      </c>
      <c r="K23" s="59">
        <f t="shared" si="1"/>
        <v>5.11395</v>
      </c>
      <c r="L23" s="60">
        <v>0.393</v>
      </c>
      <c r="M23" s="60">
        <v>0.373</v>
      </c>
      <c r="N23" s="62">
        <v>0.373</v>
      </c>
      <c r="O23" s="106">
        <f t="shared" si="2"/>
        <v>0.373</v>
      </c>
      <c r="P23" s="136">
        <v>90.0</v>
      </c>
      <c r="Q23" s="69">
        <v>89.74</v>
      </c>
      <c r="R23" s="741">
        <v>2640.95</v>
      </c>
      <c r="S23" s="3">
        <v>110.0</v>
      </c>
      <c r="T23" s="2"/>
      <c r="U23" s="2">
        <v>80.0</v>
      </c>
      <c r="V23" s="2">
        <v>1.1023</v>
      </c>
      <c r="W23" s="2"/>
      <c r="X23" s="2"/>
      <c r="Y23" s="67">
        <v>30.0</v>
      </c>
      <c r="Z23" s="77">
        <v>10.0</v>
      </c>
      <c r="AA23" s="70">
        <f t="shared" si="4"/>
        <v>40</v>
      </c>
      <c r="AB23" s="71">
        <f t="shared" si="5"/>
        <v>782.3143416</v>
      </c>
      <c r="AC23" s="71">
        <f>+(S23-T23)*V23-'data 1'!$F$4</f>
        <v>41.253</v>
      </c>
      <c r="AD23" s="71">
        <f t="shared" si="6"/>
        <v>-2.884475172</v>
      </c>
      <c r="AE23" s="71">
        <f t="shared" si="7"/>
        <v>-25.908</v>
      </c>
      <c r="AF23" s="71">
        <f t="shared" si="8"/>
        <v>50.6660407</v>
      </c>
      <c r="AG23" s="71">
        <f t="shared" ref="AG23:AG27" si="17">+IF(D23="RONALD WILLIAN GARIBAY ESCUDERO",AC23+AD23+AE23+AF23+80,AC23+AD23+AE23+AF23)+90</f>
        <v>153.1265655</v>
      </c>
      <c r="AH23" s="52">
        <f t="shared" si="10"/>
        <v>61.83639495</v>
      </c>
      <c r="AI23" s="73">
        <f t="shared" si="11"/>
        <v>69.60697305</v>
      </c>
      <c r="AJ23" s="73">
        <f t="shared" si="12"/>
        <v>58.85954331</v>
      </c>
      <c r="AK23" s="11"/>
      <c r="AL23" s="122">
        <f t="shared" si="13"/>
        <v>4000.716427</v>
      </c>
    </row>
    <row r="24" ht="15.75" customHeight="1">
      <c r="A24" s="116" t="s">
        <v>4712</v>
      </c>
      <c r="B24" s="841">
        <v>45573.0</v>
      </c>
      <c r="C24" s="870">
        <v>45571.0</v>
      </c>
      <c r="D24" s="2" t="s">
        <v>74</v>
      </c>
      <c r="E24" s="2">
        <v>1.0082235774E10</v>
      </c>
      <c r="F24" s="2"/>
      <c r="G24" s="3">
        <v>56.0</v>
      </c>
      <c r="H24" s="2" t="s">
        <v>47</v>
      </c>
      <c r="I24" s="58">
        <v>4.75</v>
      </c>
      <c r="J24" s="58">
        <v>0.85</v>
      </c>
      <c r="K24" s="59">
        <f t="shared" si="1"/>
        <v>4.709625</v>
      </c>
      <c r="L24" s="60">
        <v>0.191</v>
      </c>
      <c r="M24" s="60">
        <v>0.181</v>
      </c>
      <c r="N24" s="75">
        <v>0.203</v>
      </c>
      <c r="O24" s="106">
        <f t="shared" si="2"/>
        <v>0.192</v>
      </c>
      <c r="P24" s="136">
        <v>85.0</v>
      </c>
      <c r="Q24" s="69">
        <v>89.16</v>
      </c>
      <c r="R24" s="741">
        <v>2640.95</v>
      </c>
      <c r="S24" s="3">
        <v>95.0</v>
      </c>
      <c r="T24" s="2"/>
      <c r="U24" s="2">
        <v>80.0</v>
      </c>
      <c r="V24" s="2">
        <v>1.1023</v>
      </c>
      <c r="W24" s="2"/>
      <c r="X24" s="2"/>
      <c r="Y24" s="67">
        <v>30.0</v>
      </c>
      <c r="Z24" s="77">
        <v>10.0</v>
      </c>
      <c r="AA24" s="70">
        <f t="shared" si="4"/>
        <v>40</v>
      </c>
      <c r="AB24" s="71">
        <f t="shared" si="5"/>
        <v>311.8925222</v>
      </c>
      <c r="AC24" s="71">
        <f>+(S24-T24)*V24-'data 1'!$F$4</f>
        <v>24.7185</v>
      </c>
      <c r="AD24" s="71">
        <f t="shared" si="6"/>
        <v>22.42991381</v>
      </c>
      <c r="AE24" s="71">
        <f t="shared" si="7"/>
        <v>-25.908</v>
      </c>
      <c r="AF24" s="71">
        <f t="shared" si="8"/>
        <v>-2.516929011</v>
      </c>
      <c r="AG24" s="71">
        <f t="shared" si="17"/>
        <v>108.7234848</v>
      </c>
      <c r="AH24" s="52">
        <f t="shared" si="10"/>
        <v>27.49785544</v>
      </c>
      <c r="AI24" s="73">
        <f t="shared" si="11"/>
        <v>33.61070018</v>
      </c>
      <c r="AJ24" s="73">
        <f t="shared" si="12"/>
        <v>26.35211954</v>
      </c>
      <c r="AK24" s="11"/>
      <c r="AL24" s="122">
        <f t="shared" si="13"/>
        <v>1468.89682</v>
      </c>
    </row>
    <row r="25" ht="15.75" customHeight="1">
      <c r="A25" s="116" t="s">
        <v>4713</v>
      </c>
      <c r="B25" s="841">
        <v>45573.0</v>
      </c>
      <c r="C25" s="870">
        <v>45571.0</v>
      </c>
      <c r="D25" s="2" t="s">
        <v>74</v>
      </c>
      <c r="E25" s="2">
        <v>1.0082235774E10</v>
      </c>
      <c r="G25" s="3">
        <v>72.0</v>
      </c>
      <c r="H25" s="2" t="s">
        <v>47</v>
      </c>
      <c r="I25" s="58">
        <v>6.08</v>
      </c>
      <c r="J25" s="58">
        <v>1.45</v>
      </c>
      <c r="K25" s="59">
        <f t="shared" si="1"/>
        <v>5.99184</v>
      </c>
      <c r="L25" s="60">
        <v>0.212</v>
      </c>
      <c r="M25" s="60">
        <v>0.201</v>
      </c>
      <c r="N25" s="62">
        <v>0.201</v>
      </c>
      <c r="O25" s="106">
        <f t="shared" si="2"/>
        <v>0.201</v>
      </c>
      <c r="P25" s="136">
        <v>90.0</v>
      </c>
      <c r="Q25" s="69">
        <v>89.66</v>
      </c>
      <c r="R25" s="741">
        <v>2640.95</v>
      </c>
      <c r="S25" s="3">
        <v>105.0</v>
      </c>
      <c r="U25" s="2">
        <v>80.0</v>
      </c>
      <c r="V25" s="2">
        <v>1.1023</v>
      </c>
      <c r="Y25" s="67">
        <v>30.0</v>
      </c>
      <c r="Z25" s="77">
        <v>10.0</v>
      </c>
      <c r="AA25" s="70">
        <f t="shared" si="4"/>
        <v>40</v>
      </c>
      <c r="AB25" s="71">
        <f t="shared" si="5"/>
        <v>350.835475</v>
      </c>
      <c r="AC25" s="71">
        <f>+(S25-T25)*V25-'data 1'!$F$4</f>
        <v>35.7415</v>
      </c>
      <c r="AD25" s="71">
        <f t="shared" si="6"/>
        <v>-2.034771681</v>
      </c>
      <c r="AE25" s="71">
        <f t="shared" si="7"/>
        <v>-25.908</v>
      </c>
      <c r="AF25" s="71">
        <f t="shared" si="8"/>
        <v>27.84148056</v>
      </c>
      <c r="AG25" s="71">
        <f t="shared" si="17"/>
        <v>125.6402089</v>
      </c>
      <c r="AH25" s="52">
        <f t="shared" si="10"/>
        <v>39.04845657</v>
      </c>
      <c r="AI25" s="73">
        <f t="shared" si="11"/>
        <v>37.5153263</v>
      </c>
      <c r="AJ25" s="73">
        <f t="shared" si="12"/>
        <v>37.16275002</v>
      </c>
      <c r="AK25" s="11"/>
      <c r="AL25" s="122">
        <f t="shared" si="13"/>
        <v>2102.150032</v>
      </c>
    </row>
    <row r="26" ht="15.75" customHeight="1">
      <c r="A26" s="116" t="s">
        <v>4714</v>
      </c>
      <c r="B26" s="841">
        <v>45573.0</v>
      </c>
      <c r="C26" s="870">
        <v>45571.0</v>
      </c>
      <c r="D26" s="2" t="s">
        <v>74</v>
      </c>
      <c r="E26" s="2">
        <v>1.0082235774E10</v>
      </c>
      <c r="F26" s="2"/>
      <c r="G26" s="3">
        <v>38.0</v>
      </c>
      <c r="H26" s="2" t="s">
        <v>47</v>
      </c>
      <c r="I26" s="58">
        <v>3.32</v>
      </c>
      <c r="J26" s="58">
        <v>0.9</v>
      </c>
      <c r="K26" s="59">
        <f t="shared" si="1"/>
        <v>3.29012</v>
      </c>
      <c r="L26" s="60">
        <v>0.324</v>
      </c>
      <c r="M26" s="60">
        <v>0.307</v>
      </c>
      <c r="N26" s="62">
        <v>0.307</v>
      </c>
      <c r="O26" s="106">
        <f t="shared" si="2"/>
        <v>0.307</v>
      </c>
      <c r="P26" s="136">
        <v>90.0</v>
      </c>
      <c r="Q26" s="69">
        <v>89.47</v>
      </c>
      <c r="R26" s="741">
        <v>2640.95</v>
      </c>
      <c r="S26" s="3">
        <v>110.0</v>
      </c>
      <c r="T26" s="2"/>
      <c r="U26" s="2">
        <v>80.0</v>
      </c>
      <c r="V26" s="2">
        <v>1.1023</v>
      </c>
      <c r="W26" s="2"/>
      <c r="X26" s="2"/>
      <c r="Y26" s="67">
        <v>30.0</v>
      </c>
      <c r="Z26" s="77">
        <v>10.0</v>
      </c>
      <c r="AA26" s="70">
        <f t="shared" si="4"/>
        <v>40</v>
      </c>
      <c r="AB26" s="71">
        <f t="shared" si="5"/>
        <v>614.6319916</v>
      </c>
      <c r="AC26" s="71">
        <f>+(S26-T26)*V26-'data 1'!$F$4</f>
        <v>41.253</v>
      </c>
      <c r="AD26" s="71">
        <f t="shared" si="6"/>
        <v>-4.8475443</v>
      </c>
      <c r="AE26" s="71">
        <f t="shared" si="7"/>
        <v>-25.908</v>
      </c>
      <c r="AF26" s="71">
        <f t="shared" si="8"/>
        <v>42.93656187</v>
      </c>
      <c r="AG26" s="71">
        <f t="shared" si="17"/>
        <v>143.4340176</v>
      </c>
      <c r="AH26" s="52">
        <f t="shared" si="10"/>
        <v>32.69966135</v>
      </c>
      <c r="AI26" s="73">
        <f t="shared" si="11"/>
        <v>57.21324496</v>
      </c>
      <c r="AJ26" s="73">
        <f t="shared" si="12"/>
        <v>31.16748021</v>
      </c>
      <c r="AK26" s="11"/>
      <c r="AL26" s="122">
        <f t="shared" si="13"/>
        <v>2022.213008</v>
      </c>
    </row>
    <row r="27" ht="15.75" customHeight="1">
      <c r="A27" s="116" t="s">
        <v>4715</v>
      </c>
      <c r="B27" s="841">
        <v>45573.0</v>
      </c>
      <c r="C27" s="870">
        <v>45571.0</v>
      </c>
      <c r="D27" s="2" t="s">
        <v>74</v>
      </c>
      <c r="E27" s="2">
        <v>1.0082235774E10</v>
      </c>
      <c r="F27" s="2"/>
      <c r="G27" s="3">
        <v>30.0</v>
      </c>
      <c r="H27" s="2" t="s">
        <v>47</v>
      </c>
      <c r="I27" s="58">
        <v>2.6</v>
      </c>
      <c r="J27" s="58">
        <v>1.25</v>
      </c>
      <c r="K27" s="59">
        <f t="shared" si="1"/>
        <v>2.5675</v>
      </c>
      <c r="L27" s="60">
        <v>0.172</v>
      </c>
      <c r="M27" s="60">
        <v>0.163</v>
      </c>
      <c r="N27" s="62">
        <v>0.2</v>
      </c>
      <c r="O27" s="106">
        <f t="shared" si="2"/>
        <v>0.182</v>
      </c>
      <c r="P27" s="136">
        <v>85.0</v>
      </c>
      <c r="Q27" s="69">
        <v>89.12</v>
      </c>
      <c r="R27" s="741">
        <v>2640.95</v>
      </c>
      <c r="S27" s="3">
        <v>95.0</v>
      </c>
      <c r="T27" s="2"/>
      <c r="U27" s="2">
        <v>80.0</v>
      </c>
      <c r="V27" s="2">
        <v>1.1023</v>
      </c>
      <c r="W27" s="2"/>
      <c r="X27" s="2"/>
      <c r="Y27" s="67">
        <v>30.0</v>
      </c>
      <c r="Z27" s="77">
        <v>10.0</v>
      </c>
      <c r="AA27" s="70">
        <f t="shared" si="4"/>
        <v>40</v>
      </c>
      <c r="AB27" s="71">
        <f t="shared" si="5"/>
        <v>287.8975731</v>
      </c>
      <c r="AC27" s="71">
        <f>+(S27-T27)*V27-'data 1'!$F$4</f>
        <v>24.7185</v>
      </c>
      <c r="AD27" s="71">
        <f t="shared" si="6"/>
        <v>20.00444789</v>
      </c>
      <c r="AE27" s="71">
        <f t="shared" si="7"/>
        <v>-25.908</v>
      </c>
      <c r="AF27" s="71">
        <f t="shared" si="8"/>
        <v>-25.15799837</v>
      </c>
      <c r="AG27" s="71">
        <f t="shared" si="17"/>
        <v>83.65694953</v>
      </c>
      <c r="AH27" s="52">
        <f t="shared" si="10"/>
        <v>13.49345442</v>
      </c>
      <c r="AI27" s="73">
        <f t="shared" si="11"/>
        <v>30.25364855</v>
      </c>
      <c r="AJ27" s="73">
        <f t="shared" si="12"/>
        <v>13.61789042</v>
      </c>
      <c r="AK27" s="11"/>
      <c r="AL27" s="122">
        <f t="shared" si="13"/>
        <v>739.177019</v>
      </c>
    </row>
    <row r="28" ht="15.75" customHeight="1">
      <c r="A28" s="116" t="s">
        <v>4716</v>
      </c>
      <c r="B28" s="841">
        <v>45575.0</v>
      </c>
      <c r="C28" s="841">
        <v>45572.0</v>
      </c>
      <c r="D28" s="67" t="s">
        <v>4717</v>
      </c>
      <c r="E28" s="67">
        <v>1.0310367091E10</v>
      </c>
      <c r="F28" s="67" t="s">
        <v>4718</v>
      </c>
      <c r="G28" s="134" t="s">
        <v>4100</v>
      </c>
      <c r="H28" s="67" t="s">
        <v>47</v>
      </c>
      <c r="I28" s="69">
        <v>29.37</v>
      </c>
      <c r="J28" s="69">
        <v>13.12</v>
      </c>
      <c r="K28" s="59">
        <f t="shared" si="1"/>
        <v>25.516656</v>
      </c>
      <c r="L28" s="106">
        <v>0.764</v>
      </c>
      <c r="M28" s="106">
        <v>0.725</v>
      </c>
      <c r="N28" s="111">
        <v>0.757</v>
      </c>
      <c r="O28" s="106">
        <f t="shared" si="2"/>
        <v>0.741</v>
      </c>
      <c r="P28" s="136">
        <v>90.0</v>
      </c>
      <c r="Q28" s="67">
        <v>89.27</v>
      </c>
      <c r="R28" s="741">
        <v>2640.95</v>
      </c>
      <c r="S28" s="134">
        <v>160.0</v>
      </c>
      <c r="T28" s="67"/>
      <c r="U28" s="67">
        <v>100.0</v>
      </c>
      <c r="V28" s="67">
        <v>1.1023</v>
      </c>
      <c r="W28" s="67"/>
      <c r="X28" s="67"/>
      <c r="Y28" s="67"/>
      <c r="Z28" s="69">
        <f t="shared" ref="Z28:Z39" si="18">IF(IF(D28="UNTUCA",IF(+((W28-3)*1.5+(X28-3)*3.1)&gt;0,+((W28-3)*1.5+(X28-3)*3.1),0),IF(+((W28-3)*1.5+(X28-3)*3.1)&gt;0,+((W28-3)*1.5+(X28-3)*3.1),0))&lt;30,30,IF(D28="UNTUCA",IF(+((W28-3)*1.5+(X28-3)*3.1)&gt;0,+((W28-3)*1.5+(X28-3)*3.1),0),IF(+((W28-3)*1.5+(X28-3)*3.1)&gt;0,+((W28-3)*1.5+(X28-3)*3.1),0)))</f>
        <v>30</v>
      </c>
      <c r="AA28" s="70">
        <f t="shared" si="4"/>
        <v>30</v>
      </c>
      <c r="AB28" s="71">
        <f t="shared" si="5"/>
        <v>1658.475997</v>
      </c>
      <c r="AC28" s="71">
        <f>+(S28-T28)*V28-'data 1'!$F$4</f>
        <v>96.368</v>
      </c>
      <c r="AD28" s="71">
        <f t="shared" si="6"/>
        <v>-15.62111916</v>
      </c>
      <c r="AE28" s="71">
        <f t="shared" si="7"/>
        <v>-36.931</v>
      </c>
      <c r="AF28" s="71">
        <f t="shared" si="8"/>
        <v>57.50813684</v>
      </c>
      <c r="AG28" s="71">
        <f t="shared" ref="AG28:AG50" si="19">+IF(D28="RONALD WILLIAN GARIBAY ESCUDERO",AC28+AD28+AE28+AF28+80,AC28+AD28+AE28+AF28)</f>
        <v>101.3240177</v>
      </c>
      <c r="AH28" s="52">
        <f t="shared" si="10"/>
        <v>596.6665913</v>
      </c>
      <c r="AI28" s="73">
        <f t="shared" si="11"/>
        <v>149.6445424</v>
      </c>
      <c r="AJ28" s="73">
        <f t="shared" si="12"/>
        <v>583.4364331</v>
      </c>
      <c r="AK28" s="53"/>
      <c r="AL28" s="122">
        <f t="shared" si="13"/>
        <v>42318.76151</v>
      </c>
    </row>
    <row r="29" ht="15.75" customHeight="1">
      <c r="A29" s="116" t="s">
        <v>4719</v>
      </c>
      <c r="B29" s="841">
        <v>45575.0</v>
      </c>
      <c r="C29" s="841">
        <v>45573.0</v>
      </c>
      <c r="D29" s="67" t="s">
        <v>4717</v>
      </c>
      <c r="E29" s="67">
        <v>1.0310367091E10</v>
      </c>
      <c r="F29" s="67" t="s">
        <v>4718</v>
      </c>
      <c r="G29" s="134" t="s">
        <v>4100</v>
      </c>
      <c r="H29" s="67" t="s">
        <v>47</v>
      </c>
      <c r="I29" s="69">
        <v>36.51</v>
      </c>
      <c r="J29" s="69">
        <v>13.5</v>
      </c>
      <c r="K29" s="59">
        <f t="shared" si="1"/>
        <v>31.58115</v>
      </c>
      <c r="L29" s="106">
        <v>0.999</v>
      </c>
      <c r="M29" s="106">
        <v>0.949</v>
      </c>
      <c r="N29" s="111">
        <v>0.988</v>
      </c>
      <c r="O29" s="106">
        <f t="shared" si="2"/>
        <v>0.969</v>
      </c>
      <c r="P29" s="136">
        <v>90.0</v>
      </c>
      <c r="Q29" s="67">
        <v>89.13</v>
      </c>
      <c r="R29" s="741">
        <v>2639.9</v>
      </c>
      <c r="S29" s="134">
        <v>180.0</v>
      </c>
      <c r="T29" s="67"/>
      <c r="U29" s="67">
        <v>100.0</v>
      </c>
      <c r="V29" s="67">
        <v>1.1023</v>
      </c>
      <c r="W29" s="67"/>
      <c r="X29" s="67"/>
      <c r="Y29" s="67"/>
      <c r="Z29" s="69">
        <f t="shared" si="18"/>
        <v>30</v>
      </c>
      <c r="AA29" s="70">
        <f t="shared" si="4"/>
        <v>30</v>
      </c>
      <c r="AB29" s="71">
        <f t="shared" si="5"/>
        <v>2210.163077</v>
      </c>
      <c r="AC29" s="71">
        <f>+(S29-T29)*V29-'data 1'!$F$4</f>
        <v>118.414</v>
      </c>
      <c r="AD29" s="71">
        <f t="shared" si="6"/>
        <v>-24.33330873</v>
      </c>
      <c r="AE29" s="71">
        <f t="shared" si="7"/>
        <v>-36.931</v>
      </c>
      <c r="AF29" s="71">
        <f t="shared" si="8"/>
        <v>74.8620278</v>
      </c>
      <c r="AG29" s="71">
        <f t="shared" si="19"/>
        <v>132.0117191</v>
      </c>
      <c r="AH29" s="52">
        <f t="shared" si="10"/>
        <v>964.1095936</v>
      </c>
      <c r="AI29" s="73">
        <f t="shared" si="11"/>
        <v>196.3976518</v>
      </c>
      <c r="AJ29" s="73">
        <f t="shared" si="12"/>
        <v>944.2854462</v>
      </c>
      <c r="AK29" s="53"/>
      <c r="AL29" s="122">
        <f t="shared" si="13"/>
        <v>69799.49165</v>
      </c>
    </row>
    <row r="30" ht="15.75" customHeight="1">
      <c r="A30" s="116" t="s">
        <v>4720</v>
      </c>
      <c r="B30" s="841">
        <v>45575.0</v>
      </c>
      <c r="C30" s="841">
        <v>45573.0</v>
      </c>
      <c r="D30" s="2" t="s">
        <v>51</v>
      </c>
      <c r="E30" s="2">
        <v>1.042310973E10</v>
      </c>
      <c r="F30" s="2"/>
      <c r="G30" s="3">
        <v>38.0</v>
      </c>
      <c r="H30" s="2" t="s">
        <v>47</v>
      </c>
      <c r="I30" s="58">
        <v>4.15</v>
      </c>
      <c r="J30" s="58">
        <v>0.9</v>
      </c>
      <c r="K30" s="59">
        <f t="shared" si="1"/>
        <v>4.11265</v>
      </c>
      <c r="L30" s="60">
        <v>0.384</v>
      </c>
      <c r="M30" s="60">
        <v>0.365</v>
      </c>
      <c r="N30" s="62">
        <v>0.365</v>
      </c>
      <c r="O30" s="106">
        <f t="shared" si="2"/>
        <v>0.365</v>
      </c>
      <c r="P30" s="136">
        <v>90.0</v>
      </c>
      <c r="Q30" s="2">
        <v>89.78</v>
      </c>
      <c r="R30" s="741">
        <v>2639.9</v>
      </c>
      <c r="S30" s="3">
        <v>120.0</v>
      </c>
      <c r="T30" s="2"/>
      <c r="U30" s="67">
        <v>100.0</v>
      </c>
      <c r="V30" s="2">
        <v>1.1023</v>
      </c>
      <c r="W30" s="2"/>
      <c r="X30" s="2"/>
      <c r="Y30" s="67"/>
      <c r="Z30" s="69">
        <f t="shared" si="18"/>
        <v>30</v>
      </c>
      <c r="AA30" s="70">
        <f t="shared" si="4"/>
        <v>30</v>
      </c>
      <c r="AB30" s="71">
        <f t="shared" si="5"/>
        <v>754.3668864</v>
      </c>
      <c r="AC30" s="71">
        <f>+(S30-T30)*V30-'data 1'!$F$4</f>
        <v>52.276</v>
      </c>
      <c r="AD30" s="71">
        <f t="shared" si="6"/>
        <v>-2.365213399</v>
      </c>
      <c r="AE30" s="71">
        <f t="shared" si="7"/>
        <v>-36.931</v>
      </c>
      <c r="AF30" s="71">
        <f t="shared" si="8"/>
        <v>47.75838448</v>
      </c>
      <c r="AG30" s="71">
        <f t="shared" si="19"/>
        <v>140.7381711</v>
      </c>
      <c r="AH30" s="52">
        <f t="shared" si="10"/>
        <v>48.61179367</v>
      </c>
      <c r="AI30" s="73">
        <f t="shared" si="11"/>
        <v>76.04273376</v>
      </c>
      <c r="AJ30" s="73">
        <f t="shared" si="12"/>
        <v>46.31974868</v>
      </c>
      <c r="AK30" s="11"/>
      <c r="AL30" s="122">
        <f t="shared" si="13"/>
        <v>3102.446976</v>
      </c>
    </row>
    <row r="31" ht="15.75" customHeight="1">
      <c r="A31" s="116" t="s">
        <v>4721</v>
      </c>
      <c r="B31" s="841">
        <v>45575.0</v>
      </c>
      <c r="C31" s="841">
        <v>45573.0</v>
      </c>
      <c r="D31" s="2" t="s">
        <v>51</v>
      </c>
      <c r="E31" s="2">
        <v>1.042310973E10</v>
      </c>
      <c r="F31" s="2"/>
      <c r="G31" s="3">
        <v>68.0</v>
      </c>
      <c r="H31" s="2" t="s">
        <v>47</v>
      </c>
      <c r="I31" s="58">
        <v>7.65</v>
      </c>
      <c r="J31" s="58">
        <v>1.8</v>
      </c>
      <c r="K31" s="59">
        <f t="shared" si="1"/>
        <v>7.5123</v>
      </c>
      <c r="L31" s="60">
        <v>0.154</v>
      </c>
      <c r="M31" s="60">
        <v>0.143</v>
      </c>
      <c r="N31" s="62">
        <v>0.143</v>
      </c>
      <c r="O31" s="106">
        <f t="shared" si="2"/>
        <v>0.143</v>
      </c>
      <c r="P31" s="136">
        <v>90.0</v>
      </c>
      <c r="Q31" s="2">
        <v>89.27</v>
      </c>
      <c r="R31" s="741">
        <v>2639.9</v>
      </c>
      <c r="S31" s="3">
        <v>100.0</v>
      </c>
      <c r="T31" s="2"/>
      <c r="U31" s="67">
        <v>100.0</v>
      </c>
      <c r="V31" s="2">
        <v>1.1023</v>
      </c>
      <c r="W31" s="2"/>
      <c r="X31" s="2"/>
      <c r="Y31" s="67"/>
      <c r="Z31" s="69">
        <f t="shared" si="18"/>
        <v>30</v>
      </c>
      <c r="AA31" s="70">
        <f t="shared" si="4"/>
        <v>30</v>
      </c>
      <c r="AB31" s="71">
        <f t="shared" si="5"/>
        <v>217.0264788</v>
      </c>
      <c r="AC31" s="71">
        <f>+(S31-T31)*V31-'data 1'!$F$4</f>
        <v>30.23</v>
      </c>
      <c r="AD31" s="71">
        <f t="shared" si="6"/>
        <v>-3.147458456</v>
      </c>
      <c r="AE31" s="71">
        <f t="shared" si="7"/>
        <v>-36.931</v>
      </c>
      <c r="AF31" s="71">
        <f t="shared" si="8"/>
        <v>27.49252606</v>
      </c>
      <c r="AG31" s="71">
        <f t="shared" si="19"/>
        <v>97.64406761</v>
      </c>
      <c r="AH31" s="52">
        <f t="shared" si="10"/>
        <v>35.40855859</v>
      </c>
      <c r="AI31" s="73">
        <f t="shared" si="11"/>
        <v>30.32306883</v>
      </c>
      <c r="AJ31" s="73">
        <f t="shared" si="12"/>
        <v>33.14824493</v>
      </c>
      <c r="AK31" s="11"/>
      <c r="AL31" s="122">
        <f t="shared" si="13"/>
        <v>1630.368017</v>
      </c>
    </row>
    <row r="32" ht="15.75" customHeight="1">
      <c r="A32" s="116" t="s">
        <v>4722</v>
      </c>
      <c r="B32" s="841">
        <v>45575.0</v>
      </c>
      <c r="C32" s="841">
        <v>45573.0</v>
      </c>
      <c r="D32" s="67" t="s">
        <v>4717</v>
      </c>
      <c r="E32" s="67">
        <v>1.0310367091E10</v>
      </c>
      <c r="F32" s="67"/>
      <c r="G32" s="134" t="s">
        <v>4100</v>
      </c>
      <c r="H32" s="67" t="s">
        <v>47</v>
      </c>
      <c r="I32" s="69">
        <v>30.12</v>
      </c>
      <c r="J32" s="69">
        <v>10.45</v>
      </c>
      <c r="K32" s="59">
        <f t="shared" si="1"/>
        <v>26.97246</v>
      </c>
      <c r="L32" s="106">
        <v>0.196</v>
      </c>
      <c r="M32" s="106">
        <v>0.186</v>
      </c>
      <c r="N32" s="111">
        <v>0.197</v>
      </c>
      <c r="O32" s="106">
        <f t="shared" si="2"/>
        <v>0.192</v>
      </c>
      <c r="P32" s="136">
        <v>85.0</v>
      </c>
      <c r="Q32" s="67">
        <v>89.25</v>
      </c>
      <c r="R32" s="741">
        <v>2639.9</v>
      </c>
      <c r="S32" s="134">
        <v>100.0</v>
      </c>
      <c r="T32" s="67"/>
      <c r="U32" s="67">
        <v>100.0</v>
      </c>
      <c r="V32" s="67">
        <v>1.1023</v>
      </c>
      <c r="W32" s="67"/>
      <c r="X32" s="67"/>
      <c r="Y32" s="67"/>
      <c r="Z32" s="69">
        <f t="shared" si="18"/>
        <v>30</v>
      </c>
      <c r="AA32" s="70">
        <f t="shared" si="4"/>
        <v>30</v>
      </c>
      <c r="AB32" s="71">
        <f t="shared" si="5"/>
        <v>313.6172249</v>
      </c>
      <c r="AC32" s="71">
        <f>+(S32-T32)*V32-'data 1'!$F$4</f>
        <v>30.23</v>
      </c>
      <c r="AD32" s="71">
        <f t="shared" si="6"/>
        <v>23.32176564</v>
      </c>
      <c r="AE32" s="71">
        <f t="shared" si="7"/>
        <v>-36.931</v>
      </c>
      <c r="AF32" s="71">
        <f t="shared" si="8"/>
        <v>9.995042419</v>
      </c>
      <c r="AG32" s="71">
        <f t="shared" si="19"/>
        <v>26.61580806</v>
      </c>
      <c r="AH32" s="52">
        <f t="shared" si="10"/>
        <v>161.7684868</v>
      </c>
      <c r="AI32" s="73">
        <f t="shared" si="11"/>
        <v>38.58435033</v>
      </c>
      <c r="AJ32" s="73">
        <f t="shared" si="12"/>
        <v>150.9210373</v>
      </c>
      <c r="AK32" s="53"/>
      <c r="AL32" s="122">
        <f t="shared" si="13"/>
        <v>8459.028053</v>
      </c>
    </row>
    <row r="33" ht="15.75" customHeight="1">
      <c r="A33" s="116" t="s">
        <v>4723</v>
      </c>
      <c r="B33" s="841">
        <v>45575.0</v>
      </c>
      <c r="C33" s="841">
        <v>45573.0</v>
      </c>
      <c r="D33" s="67" t="s">
        <v>4571</v>
      </c>
      <c r="E33" s="67">
        <v>1.0460498487E10</v>
      </c>
      <c r="F33" s="67" t="s">
        <v>4724</v>
      </c>
      <c r="G33" s="134" t="s">
        <v>4100</v>
      </c>
      <c r="H33" s="67" t="s">
        <v>47</v>
      </c>
      <c r="I33" s="67">
        <v>30.81</v>
      </c>
      <c r="J33" s="69">
        <v>2.9</v>
      </c>
      <c r="K33" s="59">
        <f t="shared" si="1"/>
        <v>29.91651</v>
      </c>
      <c r="L33" s="106">
        <v>0.171</v>
      </c>
      <c r="M33" s="106">
        <v>0.159</v>
      </c>
      <c r="N33" s="111">
        <v>0.183</v>
      </c>
      <c r="O33" s="106">
        <f t="shared" si="2"/>
        <v>0.171</v>
      </c>
      <c r="P33" s="67">
        <v>75.0</v>
      </c>
      <c r="Q33" s="444">
        <v>75.0</v>
      </c>
      <c r="R33" s="741">
        <v>2639.9</v>
      </c>
      <c r="S33" s="134">
        <v>100.0</v>
      </c>
      <c r="T33" s="67"/>
      <c r="U33" s="67">
        <v>100.0</v>
      </c>
      <c r="V33" s="67">
        <v>1.1023</v>
      </c>
      <c r="W33" s="67"/>
      <c r="X33" s="67"/>
      <c r="Y33" s="67"/>
      <c r="Z33" s="69">
        <f t="shared" si="18"/>
        <v>30</v>
      </c>
      <c r="AA33" s="70">
        <f t="shared" si="4"/>
        <v>30</v>
      </c>
      <c r="AB33" s="71">
        <f t="shared" si="5"/>
        <v>215.7665995</v>
      </c>
      <c r="AC33" s="71">
        <f>+(S33-T33)*V33-'data 1'!$F$4</f>
        <v>30.23</v>
      </c>
      <c r="AD33" s="71">
        <f t="shared" si="6"/>
        <v>0</v>
      </c>
      <c r="AE33" s="71">
        <f t="shared" si="7"/>
        <v>-36.931</v>
      </c>
      <c r="AF33" s="71">
        <f t="shared" si="8"/>
        <v>0</v>
      </c>
      <c r="AG33" s="71">
        <f t="shared" si="19"/>
        <v>-6.701</v>
      </c>
      <c r="AH33" s="52">
        <f t="shared" si="10"/>
        <v>131.5459166</v>
      </c>
      <c r="AI33" s="73">
        <f t="shared" si="11"/>
        <v>28.288132</v>
      </c>
      <c r="AJ33" s="73">
        <f t="shared" si="12"/>
        <v>131.5459166</v>
      </c>
      <c r="AK33" s="53"/>
      <c r="AL33" s="122">
        <f t="shared" si="13"/>
        <v>6454.983632</v>
      </c>
    </row>
    <row r="34" ht="15.75" customHeight="1">
      <c r="A34" s="116" t="s">
        <v>4725</v>
      </c>
      <c r="B34" s="841">
        <v>45577.0</v>
      </c>
      <c r="C34" s="841">
        <v>45574.0</v>
      </c>
      <c r="D34" s="2" t="s">
        <v>602</v>
      </c>
      <c r="E34" s="67">
        <v>2.0169040237E10</v>
      </c>
      <c r="F34" s="2" t="s">
        <v>4617</v>
      </c>
      <c r="G34" s="3">
        <v>152.0</v>
      </c>
      <c r="H34" s="2" t="s">
        <v>47</v>
      </c>
      <c r="I34" s="58">
        <v>14.97</v>
      </c>
      <c r="J34" s="58">
        <v>3.0</v>
      </c>
      <c r="K34" s="59">
        <f t="shared" si="1"/>
        <v>14.5209</v>
      </c>
      <c r="L34" s="60">
        <v>0.178</v>
      </c>
      <c r="M34" s="75">
        <v>0.178</v>
      </c>
      <c r="N34" s="75">
        <v>0.178</v>
      </c>
      <c r="O34" s="106">
        <f t="shared" si="2"/>
        <v>0.178</v>
      </c>
      <c r="P34" s="136">
        <v>88.0</v>
      </c>
      <c r="Q34" s="58">
        <v>89.15</v>
      </c>
      <c r="R34" s="70">
        <v>2610.7</v>
      </c>
      <c r="S34" s="3">
        <v>100.0</v>
      </c>
      <c r="T34" s="2"/>
      <c r="U34" s="67">
        <v>130.0</v>
      </c>
      <c r="V34" s="2">
        <v>1.1023</v>
      </c>
      <c r="W34" s="2"/>
      <c r="X34" s="2"/>
      <c r="Y34" s="67">
        <v>30.0</v>
      </c>
      <c r="Z34" s="69">
        <f t="shared" si="18"/>
        <v>30</v>
      </c>
      <c r="AA34" s="70">
        <f t="shared" si="4"/>
        <v>60</v>
      </c>
      <c r="AB34" s="71">
        <f t="shared" si="5"/>
        <v>251.9602596</v>
      </c>
      <c r="AC34" s="71">
        <f>+(S34-T34)*V34-'data 1'!$F$4</f>
        <v>30.23</v>
      </c>
      <c r="AD34" s="71">
        <f t="shared" si="6"/>
        <v>5.597471574</v>
      </c>
      <c r="AE34" s="71">
        <f t="shared" si="7"/>
        <v>-3.862</v>
      </c>
      <c r="AF34" s="71">
        <f t="shared" si="8"/>
        <v>0</v>
      </c>
      <c r="AG34" s="71">
        <f t="shared" si="19"/>
        <v>31.96547157</v>
      </c>
      <c r="AH34" s="52">
        <f t="shared" si="10"/>
        <v>79.0030674</v>
      </c>
      <c r="AI34" s="73">
        <f t="shared" si="11"/>
        <v>45.35693235</v>
      </c>
      <c r="AJ34" s="73">
        <f t="shared" si="12"/>
        <v>77.98395885</v>
      </c>
      <c r="AK34" s="11"/>
      <c r="AL34" s="122">
        <f t="shared" si="13"/>
        <v>3658.689733</v>
      </c>
    </row>
    <row r="35" ht="15.75" customHeight="1">
      <c r="A35" s="116" t="s">
        <v>4726</v>
      </c>
      <c r="B35" s="841">
        <v>45546.0</v>
      </c>
      <c r="C35" s="841">
        <v>45574.0</v>
      </c>
      <c r="D35" s="2" t="s">
        <v>4466</v>
      </c>
      <c r="E35" s="2">
        <v>2.0606534923E10</v>
      </c>
      <c r="F35" s="2" t="s">
        <v>4727</v>
      </c>
      <c r="G35" s="3">
        <v>5.0</v>
      </c>
      <c r="H35" s="2" t="s">
        <v>47</v>
      </c>
      <c r="I35" s="58">
        <v>0.41</v>
      </c>
      <c r="J35" s="58">
        <v>1.2</v>
      </c>
      <c r="K35" s="59">
        <f t="shared" si="1"/>
        <v>0.40508</v>
      </c>
      <c r="L35" s="60">
        <v>0.322</v>
      </c>
      <c r="M35" s="60">
        <v>0.306</v>
      </c>
      <c r="N35" s="62">
        <v>0.306</v>
      </c>
      <c r="O35" s="106">
        <f t="shared" si="2"/>
        <v>0.306</v>
      </c>
      <c r="P35" s="136">
        <v>90.0</v>
      </c>
      <c r="Q35" s="2">
        <v>89.75</v>
      </c>
      <c r="R35" s="70">
        <v>2610.7</v>
      </c>
      <c r="S35" s="3">
        <v>130.0</v>
      </c>
      <c r="T35" s="2"/>
      <c r="U35" s="67">
        <v>130.0</v>
      </c>
      <c r="V35" s="2">
        <v>1.1023</v>
      </c>
      <c r="W35" s="2"/>
      <c r="X35" s="2"/>
      <c r="Y35" s="67">
        <v>40.0</v>
      </c>
      <c r="Z35" s="69">
        <f t="shared" si="18"/>
        <v>30</v>
      </c>
      <c r="AA35" s="70">
        <f t="shared" si="4"/>
        <v>70</v>
      </c>
      <c r="AB35" s="71">
        <f t="shared" si="5"/>
        <v>532.614583</v>
      </c>
      <c r="AC35" s="71">
        <f>+(S35-T35)*V35-'data 1'!$F$4</f>
        <v>63.299</v>
      </c>
      <c r="AD35" s="71">
        <f t="shared" si="6"/>
        <v>-2.201252866</v>
      </c>
      <c r="AE35" s="71">
        <f t="shared" si="7"/>
        <v>7.161</v>
      </c>
      <c r="AF35" s="71">
        <f t="shared" si="8"/>
        <v>39.26706976</v>
      </c>
      <c r="AG35" s="71">
        <f t="shared" si="19"/>
        <v>107.5258169</v>
      </c>
      <c r="AH35" s="52">
        <f t="shared" si="10"/>
        <v>4.013656481</v>
      </c>
      <c r="AI35" s="73">
        <f t="shared" si="11"/>
        <v>82.60239758</v>
      </c>
      <c r="AJ35" s="73">
        <f t="shared" si="12"/>
        <v>3.824844703</v>
      </c>
      <c r="AK35" s="11"/>
      <c r="AL35" s="122">
        <f t="shared" si="13"/>
        <v>215.7515153</v>
      </c>
    </row>
    <row r="36" ht="15.75" customHeight="1">
      <c r="A36" s="116" t="s">
        <v>4728</v>
      </c>
      <c r="B36" s="841">
        <v>45576.0</v>
      </c>
      <c r="C36" s="841">
        <v>45574.0</v>
      </c>
      <c r="D36" s="2" t="s">
        <v>4466</v>
      </c>
      <c r="E36" s="2">
        <v>2.0606534923E10</v>
      </c>
      <c r="F36" s="2" t="s">
        <v>4639</v>
      </c>
      <c r="G36" s="3">
        <v>13.0</v>
      </c>
      <c r="H36" s="2" t="s">
        <v>47</v>
      </c>
      <c r="I36" s="58">
        <v>1.12</v>
      </c>
      <c r="J36" s="58">
        <v>1.12</v>
      </c>
      <c r="K36" s="59">
        <f t="shared" si="1"/>
        <v>1.107456</v>
      </c>
      <c r="L36" s="60">
        <v>1.087</v>
      </c>
      <c r="M36" s="60">
        <v>1.044</v>
      </c>
      <c r="N36" s="62">
        <v>1.044</v>
      </c>
      <c r="O36" s="106">
        <f t="shared" si="2"/>
        <v>1.044</v>
      </c>
      <c r="P36" s="136">
        <v>90.0</v>
      </c>
      <c r="Q36" s="2">
        <v>89.22</v>
      </c>
      <c r="R36" s="70">
        <v>2610.7</v>
      </c>
      <c r="S36" s="3">
        <v>170.0</v>
      </c>
      <c r="U36" s="67">
        <v>130.0</v>
      </c>
      <c r="V36" s="2">
        <v>1.1023</v>
      </c>
      <c r="Y36" s="67">
        <v>50.0</v>
      </c>
      <c r="Z36" s="69">
        <f t="shared" si="18"/>
        <v>30</v>
      </c>
      <c r="AA36" s="70">
        <f t="shared" si="4"/>
        <v>80</v>
      </c>
      <c r="AB36" s="71">
        <f t="shared" si="5"/>
        <v>2293.738283</v>
      </c>
      <c r="AC36" s="71">
        <f>+(S36-T36)*V36-'data 1'!$F$4</f>
        <v>107.391</v>
      </c>
      <c r="AD36" s="71">
        <f t="shared" si="6"/>
        <v>-23.18452491</v>
      </c>
      <c r="AE36" s="71">
        <f t="shared" si="7"/>
        <v>18.184</v>
      </c>
      <c r="AF36" s="71">
        <f t="shared" si="8"/>
        <v>104.907063</v>
      </c>
      <c r="AG36" s="71">
        <f t="shared" si="19"/>
        <v>207.2975381</v>
      </c>
      <c r="AH36" s="52">
        <f t="shared" si="10"/>
        <v>36.82369058</v>
      </c>
      <c r="AI36" s="73">
        <f t="shared" si="11"/>
        <v>277.2005497</v>
      </c>
      <c r="AJ36" s="73">
        <f t="shared" si="12"/>
        <v>35.67619736</v>
      </c>
      <c r="AK36" s="11"/>
      <c r="AL36" s="122">
        <f t="shared" si="13"/>
        <v>2540.214224</v>
      </c>
    </row>
    <row r="37" ht="15.75" customHeight="1">
      <c r="A37" s="116" t="s">
        <v>4729</v>
      </c>
      <c r="B37" s="841">
        <v>45581.0</v>
      </c>
      <c r="C37" s="841">
        <v>45574.0</v>
      </c>
      <c r="D37" s="2" t="s">
        <v>4466</v>
      </c>
      <c r="E37" s="2">
        <v>2.0606534923E10</v>
      </c>
      <c r="F37" s="2" t="s">
        <v>4644</v>
      </c>
      <c r="G37" s="3">
        <v>9.0</v>
      </c>
      <c r="H37" s="2" t="s">
        <v>47</v>
      </c>
      <c r="I37" s="58">
        <v>0.7</v>
      </c>
      <c r="J37" s="58">
        <v>1.3</v>
      </c>
      <c r="K37" s="59">
        <f t="shared" si="1"/>
        <v>0.6909</v>
      </c>
      <c r="L37" s="60">
        <v>0.219</v>
      </c>
      <c r="M37" s="60">
        <v>0.21</v>
      </c>
      <c r="N37" s="75">
        <v>0.21</v>
      </c>
      <c r="O37" s="106">
        <f t="shared" si="2"/>
        <v>0.21</v>
      </c>
      <c r="P37" s="136">
        <v>90.0</v>
      </c>
      <c r="Q37" s="2">
        <v>89.86</v>
      </c>
      <c r="R37" s="70">
        <v>2610.7</v>
      </c>
      <c r="S37" s="3">
        <v>110.0</v>
      </c>
      <c r="U37" s="67">
        <v>130.0</v>
      </c>
      <c r="V37" s="2">
        <v>1.1023</v>
      </c>
      <c r="Y37" s="67">
        <v>40.0</v>
      </c>
      <c r="Z37" s="69">
        <f t="shared" si="18"/>
        <v>30</v>
      </c>
      <c r="AA37" s="70">
        <f t="shared" si="4"/>
        <v>70</v>
      </c>
      <c r="AB37" s="71">
        <f t="shared" si="5"/>
        <v>318.4018903</v>
      </c>
      <c r="AC37" s="71">
        <f>+(S37-T37)*V37-'data 1'!$F$4</f>
        <v>41.253</v>
      </c>
      <c r="AD37" s="71">
        <f t="shared" si="6"/>
        <v>-0.838390222</v>
      </c>
      <c r="AE37" s="71">
        <f t="shared" si="7"/>
        <v>7.161</v>
      </c>
      <c r="AF37" s="71">
        <f t="shared" si="8"/>
        <v>22.11479805</v>
      </c>
      <c r="AG37" s="71">
        <f t="shared" si="19"/>
        <v>69.69040783</v>
      </c>
      <c r="AH37" s="52">
        <f t="shared" si="10"/>
        <v>4.661597703</v>
      </c>
      <c r="AI37" s="73">
        <f t="shared" si="11"/>
        <v>56.2487471</v>
      </c>
      <c r="AJ37" s="73">
        <f t="shared" si="12"/>
        <v>4.4769894</v>
      </c>
      <c r="AK37" s="11"/>
      <c r="AL37" s="122">
        <f t="shared" si="13"/>
        <v>219.983866</v>
      </c>
    </row>
    <row r="38" ht="15.75" customHeight="1">
      <c r="A38" s="116" t="s">
        <v>4730</v>
      </c>
      <c r="B38" s="841">
        <v>45581.0</v>
      </c>
      <c r="C38" s="841">
        <v>45574.0</v>
      </c>
      <c r="D38" s="2" t="s">
        <v>4466</v>
      </c>
      <c r="E38" s="2">
        <v>2.0606534923E10</v>
      </c>
      <c r="F38" s="2" t="s">
        <v>4644</v>
      </c>
      <c r="G38" s="3">
        <v>18.0</v>
      </c>
      <c r="H38" s="2" t="s">
        <v>47</v>
      </c>
      <c r="I38" s="58">
        <v>1.42</v>
      </c>
      <c r="J38" s="58">
        <v>1.0</v>
      </c>
      <c r="K38" s="59">
        <f t="shared" si="1"/>
        <v>1.4058</v>
      </c>
      <c r="L38" s="60">
        <v>0.217</v>
      </c>
      <c r="M38" s="60">
        <v>0.217</v>
      </c>
      <c r="N38" s="75">
        <v>0.217</v>
      </c>
      <c r="O38" s="106">
        <f t="shared" si="2"/>
        <v>0.217</v>
      </c>
      <c r="P38" s="136">
        <v>90.0</v>
      </c>
      <c r="Q38" s="2">
        <v>89.78</v>
      </c>
      <c r="R38" s="70">
        <v>2610.7</v>
      </c>
      <c r="S38" s="3">
        <v>110.0</v>
      </c>
      <c r="U38" s="67">
        <v>130.0</v>
      </c>
      <c r="V38" s="2">
        <v>1.1023</v>
      </c>
      <c r="Y38" s="67">
        <v>40.0</v>
      </c>
      <c r="Z38" s="69">
        <f t="shared" si="18"/>
        <v>30</v>
      </c>
      <c r="AA38" s="70">
        <f t="shared" si="4"/>
        <v>70</v>
      </c>
      <c r="AB38" s="71">
        <f t="shared" si="5"/>
        <v>335.6290866</v>
      </c>
      <c r="AC38" s="71">
        <f>+(S38-T38)*V38-'data 1'!$F$4</f>
        <v>41.253</v>
      </c>
      <c r="AD38" s="71">
        <f t="shared" si="6"/>
        <v>-1.305438656</v>
      </c>
      <c r="AE38" s="71">
        <f t="shared" si="7"/>
        <v>7.161</v>
      </c>
      <c r="AF38" s="71">
        <f t="shared" si="8"/>
        <v>0</v>
      </c>
      <c r="AG38" s="71">
        <f t="shared" si="19"/>
        <v>47.10856134</v>
      </c>
      <c r="AH38" s="52">
        <f t="shared" si="10"/>
        <v>9.390137316</v>
      </c>
      <c r="AI38" s="73">
        <f t="shared" si="11"/>
        <v>55.68544045</v>
      </c>
      <c r="AJ38" s="73">
        <f t="shared" si="12"/>
        <v>9.413147231</v>
      </c>
      <c r="AK38" s="11"/>
      <c r="AL38" s="122">
        <f t="shared" si="13"/>
        <v>471.82737</v>
      </c>
    </row>
    <row r="39" ht="15.75" customHeight="1">
      <c r="A39" s="116" t="s">
        <v>4731</v>
      </c>
      <c r="B39" s="841">
        <v>45577.0</v>
      </c>
      <c r="C39" s="841">
        <v>45574.0</v>
      </c>
      <c r="D39" s="2" t="s">
        <v>51</v>
      </c>
      <c r="E39" s="2">
        <v>1.042310973E10</v>
      </c>
      <c r="F39" s="2"/>
      <c r="G39" s="3" t="s">
        <v>4100</v>
      </c>
      <c r="H39" s="2" t="s">
        <v>47</v>
      </c>
      <c r="I39" s="58">
        <v>22.55</v>
      </c>
      <c r="J39" s="58">
        <v>1.3</v>
      </c>
      <c r="K39" s="59">
        <f t="shared" si="1"/>
        <v>22.25685</v>
      </c>
      <c r="L39" s="60">
        <v>0.196</v>
      </c>
      <c r="M39" s="60">
        <v>0.182</v>
      </c>
      <c r="N39" s="62">
        <v>0.182</v>
      </c>
      <c r="O39" s="106">
        <f t="shared" si="2"/>
        <v>0.182</v>
      </c>
      <c r="P39" s="63">
        <v>90.0</v>
      </c>
      <c r="Q39" s="2">
        <v>89.48</v>
      </c>
      <c r="R39" s="70">
        <v>2610.7</v>
      </c>
      <c r="S39" s="3">
        <v>100.0</v>
      </c>
      <c r="U39" s="2">
        <v>100.0</v>
      </c>
      <c r="V39" s="2">
        <v>1.1023</v>
      </c>
      <c r="Y39" s="2"/>
      <c r="Z39" s="69">
        <f t="shared" si="18"/>
        <v>30</v>
      </c>
      <c r="AA39" s="70">
        <f t="shared" si="4"/>
        <v>30</v>
      </c>
      <c r="AB39" s="71">
        <f t="shared" si="5"/>
        <v>310.0248071</v>
      </c>
      <c r="AC39" s="71">
        <f>+(S39-T39)*V39-'data 1'!$F$4</f>
        <v>30.23</v>
      </c>
      <c r="AD39" s="71">
        <f t="shared" si="6"/>
        <v>-2.820681467</v>
      </c>
      <c r="AE39" s="71">
        <f t="shared" si="7"/>
        <v>-36.931</v>
      </c>
      <c r="AF39" s="71">
        <f t="shared" si="8"/>
        <v>34.66958484</v>
      </c>
      <c r="AG39" s="71">
        <f t="shared" si="19"/>
        <v>105.1479034</v>
      </c>
      <c r="AH39" s="52">
        <f t="shared" si="10"/>
        <v>133.830412</v>
      </c>
      <c r="AI39" s="73">
        <f t="shared" si="11"/>
        <v>44.32879326</v>
      </c>
      <c r="AJ39" s="73">
        <f t="shared" si="12"/>
        <v>124.9932803</v>
      </c>
      <c r="AK39" s="11"/>
      <c r="AL39" s="122">
        <f t="shared" si="13"/>
        <v>6900.175628</v>
      </c>
    </row>
    <row r="40" ht="15.75" customHeight="1">
      <c r="A40" s="116" t="s">
        <v>4732</v>
      </c>
      <c r="B40" s="841">
        <v>45579.0</v>
      </c>
      <c r="C40" s="841">
        <v>45575.0</v>
      </c>
      <c r="D40" s="2" t="s">
        <v>63</v>
      </c>
      <c r="E40" s="2">
        <v>1.0437450094E10</v>
      </c>
      <c r="F40" s="2"/>
      <c r="G40" s="3">
        <v>100.0</v>
      </c>
      <c r="H40" s="2" t="s">
        <v>47</v>
      </c>
      <c r="I40" s="58">
        <v>8.77</v>
      </c>
      <c r="J40" s="58">
        <v>1.2</v>
      </c>
      <c r="K40" s="59">
        <f t="shared" si="1"/>
        <v>8.66476</v>
      </c>
      <c r="L40" s="60">
        <v>0.294</v>
      </c>
      <c r="M40" s="60">
        <v>0.279</v>
      </c>
      <c r="N40" s="62">
        <v>0.279</v>
      </c>
      <c r="O40" s="106">
        <f t="shared" si="2"/>
        <v>0.279</v>
      </c>
      <c r="P40" s="136">
        <v>90.0</v>
      </c>
      <c r="Q40" s="2">
        <v>89.47</v>
      </c>
      <c r="R40" s="70">
        <v>2628.95</v>
      </c>
      <c r="S40" s="3">
        <v>110.0</v>
      </c>
      <c r="T40" s="2"/>
      <c r="U40" s="67">
        <v>100.0</v>
      </c>
      <c r="V40" s="2">
        <v>1.1023</v>
      </c>
      <c r="W40" s="2"/>
      <c r="X40" s="2"/>
      <c r="Y40" s="67"/>
      <c r="Z40" s="77">
        <v>25.0</v>
      </c>
      <c r="AA40" s="70">
        <f t="shared" si="4"/>
        <v>25</v>
      </c>
      <c r="AB40" s="71">
        <f t="shared" si="5"/>
        <v>551.171324</v>
      </c>
      <c r="AC40" s="71">
        <f>+(S40-T40)*V40-'data 1'!$F$4</f>
        <v>41.253</v>
      </c>
      <c r="AD40" s="71">
        <f t="shared" si="6"/>
        <v>-4.343734282</v>
      </c>
      <c r="AE40" s="71">
        <f t="shared" si="7"/>
        <v>-42.4425</v>
      </c>
      <c r="AF40" s="71">
        <f t="shared" si="8"/>
        <v>37.4118123</v>
      </c>
      <c r="AG40" s="71">
        <f t="shared" si="19"/>
        <v>31.87857802</v>
      </c>
      <c r="AH40" s="52">
        <f t="shared" si="10"/>
        <v>78.14305303</v>
      </c>
      <c r="AI40" s="73">
        <f t="shared" si="11"/>
        <v>61.19415351</v>
      </c>
      <c r="AJ40" s="73">
        <f t="shared" si="12"/>
        <v>74.59544686</v>
      </c>
      <c r="AK40" s="11"/>
      <c r="AL40" s="122">
        <f t="shared" si="13"/>
        <v>4775.767241</v>
      </c>
    </row>
    <row r="41" ht="15.75" customHeight="1">
      <c r="A41" s="116" t="s">
        <v>4733</v>
      </c>
      <c r="B41" s="841">
        <v>45581.0</v>
      </c>
      <c r="C41" s="870">
        <v>45576.0</v>
      </c>
      <c r="D41" s="2" t="s">
        <v>63</v>
      </c>
      <c r="E41" s="2">
        <v>1.0437450094E10</v>
      </c>
      <c r="F41" s="2" t="s">
        <v>4734</v>
      </c>
      <c r="G41" s="3">
        <v>62.0</v>
      </c>
      <c r="H41" s="2" t="s">
        <v>47</v>
      </c>
      <c r="I41" s="58">
        <v>5.18</v>
      </c>
      <c r="J41" s="58">
        <v>2.8</v>
      </c>
      <c r="K41" s="59">
        <f t="shared" si="1"/>
        <v>5.03496</v>
      </c>
      <c r="L41" s="60">
        <v>0.17</v>
      </c>
      <c r="M41" s="60">
        <v>0.158</v>
      </c>
      <c r="N41" s="75">
        <v>0.224</v>
      </c>
      <c r="O41" s="106">
        <f t="shared" si="2"/>
        <v>0.191</v>
      </c>
      <c r="P41" s="136">
        <v>90.0</v>
      </c>
      <c r="Q41" s="58">
        <v>89.22</v>
      </c>
      <c r="R41" s="70">
        <v>2648.8</v>
      </c>
      <c r="S41" s="143">
        <v>100.0</v>
      </c>
      <c r="U41" s="2">
        <v>100.0</v>
      </c>
      <c r="V41" s="2">
        <v>1.1023</v>
      </c>
      <c r="Y41" s="67">
        <v>10.0</v>
      </c>
      <c r="Z41" s="69">
        <f t="shared" ref="Z41:Z42" si="20">IF(IF(D41="UNTUCA",IF(+((W41-3)*1.5+(X41-3)*3.1)&gt;0,+((W41-3)*1.5+(X41-3)*3.1),0),IF(+((W41-3)*1.5+(X41-3)*3.1)&gt;0,+((W41-3)*1.5+(X41-3)*3.1),0))&lt;30,30,IF(D41="UNTUCA",IF(+((W41-3)*1.5+(X41-3)*3.1)&gt;0,+((W41-3)*1.5+(X41-3)*3.1),0),IF(+((W41-3)*1.5+(X41-3)*3.1)&gt;0,+((W41-3)*1.5+(X41-3)*3.1),0)))</f>
        <v>30</v>
      </c>
      <c r="AA41" s="70">
        <f t="shared" si="4"/>
        <v>40</v>
      </c>
      <c r="AB41" s="71">
        <f t="shared" si="5"/>
        <v>328.6383111</v>
      </c>
      <c r="AC41" s="71">
        <f>+(S41-T41)*V41-'data 1'!$F$4</f>
        <v>30.23</v>
      </c>
      <c r="AD41" s="71">
        <f t="shared" si="6"/>
        <v>-3.72545301</v>
      </c>
      <c r="AE41" s="71">
        <f t="shared" si="7"/>
        <v>-25.908</v>
      </c>
      <c r="AF41" s="71">
        <f t="shared" si="8"/>
        <v>-52.64014532</v>
      </c>
      <c r="AG41" s="71">
        <f t="shared" si="19"/>
        <v>-52.04359833</v>
      </c>
      <c r="AH41" s="52">
        <f t="shared" si="10"/>
        <v>26.1828088</v>
      </c>
      <c r="AI41" s="73">
        <f t="shared" si="11"/>
        <v>31.96677584</v>
      </c>
      <c r="AJ41" s="73">
        <f t="shared" si="12"/>
        <v>29.67433332</v>
      </c>
      <c r="AK41" s="11"/>
      <c r="AL41" s="122">
        <f t="shared" si="13"/>
        <v>1654.680751</v>
      </c>
    </row>
    <row r="42" ht="15.75" customHeight="1">
      <c r="A42" s="116" t="s">
        <v>4735</v>
      </c>
      <c r="B42" s="841">
        <v>45581.0</v>
      </c>
      <c r="C42" s="870">
        <v>45576.0</v>
      </c>
      <c r="D42" s="2" t="s">
        <v>63</v>
      </c>
      <c r="E42" s="2">
        <v>1.0437450094E10</v>
      </c>
      <c r="F42" s="2" t="s">
        <v>4734</v>
      </c>
      <c r="G42" s="3">
        <v>31.0</v>
      </c>
      <c r="H42" s="2" t="s">
        <v>47</v>
      </c>
      <c r="I42" s="58">
        <v>2.6</v>
      </c>
      <c r="J42" s="58">
        <v>3.4</v>
      </c>
      <c r="K42" s="59">
        <f t="shared" si="1"/>
        <v>2.5116</v>
      </c>
      <c r="L42" s="60">
        <v>0.197</v>
      </c>
      <c r="M42" s="60">
        <v>0.185</v>
      </c>
      <c r="N42" s="62">
        <v>0.185</v>
      </c>
      <c r="O42" s="106">
        <f t="shared" si="2"/>
        <v>0.185</v>
      </c>
      <c r="P42" s="136">
        <v>90.0</v>
      </c>
      <c r="Q42" s="58">
        <v>89.2</v>
      </c>
      <c r="R42" s="70">
        <v>2648.8</v>
      </c>
      <c r="S42" s="143">
        <v>100.0</v>
      </c>
      <c r="U42" s="2">
        <v>100.0</v>
      </c>
      <c r="V42" s="2">
        <v>1.1023</v>
      </c>
      <c r="Y42" s="67">
        <v>10.0</v>
      </c>
      <c r="Z42" s="69">
        <f t="shared" si="20"/>
        <v>30</v>
      </c>
      <c r="AA42" s="70">
        <f t="shared" si="4"/>
        <v>40</v>
      </c>
      <c r="AB42" s="71">
        <f t="shared" si="5"/>
        <v>313.466783</v>
      </c>
      <c r="AC42" s="71">
        <f>+(S42-T42)*V42-'data 1'!$F$4</f>
        <v>30.23</v>
      </c>
      <c r="AD42" s="71">
        <f t="shared" si="6"/>
        <v>-4.42783857</v>
      </c>
      <c r="AE42" s="71">
        <f t="shared" si="7"/>
        <v>-25.908</v>
      </c>
      <c r="AF42" s="71">
        <f t="shared" si="8"/>
        <v>30.07334014</v>
      </c>
      <c r="AG42" s="71">
        <f t="shared" si="19"/>
        <v>29.96750157</v>
      </c>
      <c r="AH42" s="52">
        <f t="shared" si="10"/>
        <v>15.1318011</v>
      </c>
      <c r="AI42" s="73">
        <f t="shared" si="11"/>
        <v>37.03554807</v>
      </c>
      <c r="AJ42" s="73">
        <f t="shared" si="12"/>
        <v>14.33751157</v>
      </c>
      <c r="AK42" s="11"/>
      <c r="AL42" s="122">
        <f t="shared" si="13"/>
        <v>787.3031721</v>
      </c>
    </row>
    <row r="43" ht="15.75" customHeight="1">
      <c r="A43" s="116" t="s">
        <v>4736</v>
      </c>
      <c r="B43" s="841"/>
      <c r="C43" s="870">
        <v>45576.0</v>
      </c>
      <c r="D43" s="2" t="s">
        <v>63</v>
      </c>
      <c r="E43" s="2">
        <v>1.0437450094E10</v>
      </c>
      <c r="F43" s="2" t="s">
        <v>4479</v>
      </c>
      <c r="G43" s="3">
        <v>31.0</v>
      </c>
      <c r="H43" s="2" t="s">
        <v>47</v>
      </c>
      <c r="I43" s="58">
        <v>2.59</v>
      </c>
      <c r="J43" s="58">
        <v>3.0</v>
      </c>
      <c r="K43" s="59">
        <f t="shared" si="1"/>
        <v>2.5123</v>
      </c>
      <c r="L43" s="60">
        <v>0.164</v>
      </c>
      <c r="M43" s="60">
        <v>0.154</v>
      </c>
      <c r="N43" s="62">
        <v>0.154</v>
      </c>
      <c r="O43" s="106">
        <f t="shared" si="2"/>
        <v>0.154</v>
      </c>
      <c r="P43" s="136">
        <v>90.0</v>
      </c>
      <c r="Q43" s="58">
        <v>89.31</v>
      </c>
      <c r="R43" s="70">
        <v>2648.8</v>
      </c>
      <c r="S43" s="3">
        <v>100.0</v>
      </c>
      <c r="T43" s="2"/>
      <c r="U43" s="2">
        <v>100.0</v>
      </c>
      <c r="V43" s="2">
        <v>1.1023</v>
      </c>
      <c r="W43" s="2"/>
      <c r="X43" s="2"/>
      <c r="Y43" s="2">
        <v>10.0</v>
      </c>
      <c r="Z43" s="77">
        <v>25.0</v>
      </c>
      <c r="AA43" s="70">
        <f t="shared" si="4"/>
        <v>35</v>
      </c>
      <c r="AB43" s="71">
        <f t="shared" si="5"/>
        <v>240.5920545</v>
      </c>
      <c r="AC43" s="71">
        <f>+(S43-T43)*V43-'data 1'!$F$4</f>
        <v>30.23</v>
      </c>
      <c r="AD43" s="71">
        <f t="shared" si="6"/>
        <v>-3.179277999</v>
      </c>
      <c r="AE43" s="71">
        <f t="shared" si="7"/>
        <v>-31.4195</v>
      </c>
      <c r="AF43" s="71">
        <f t="shared" si="8"/>
        <v>25.09202175</v>
      </c>
      <c r="AG43" s="71">
        <f t="shared" si="19"/>
        <v>20.72324375</v>
      </c>
      <c r="AH43" s="52">
        <f t="shared" si="10"/>
        <v>12.61608206</v>
      </c>
      <c r="AI43" s="73">
        <f t="shared" si="11"/>
        <v>30.86964483</v>
      </c>
      <c r="AJ43" s="73">
        <f t="shared" si="12"/>
        <v>11.938336</v>
      </c>
      <c r="AK43" s="11"/>
      <c r="AL43" s="122">
        <f t="shared" si="13"/>
        <v>604.4394184</v>
      </c>
    </row>
    <row r="44" ht="15.75" customHeight="1">
      <c r="A44" s="116" t="s">
        <v>4737</v>
      </c>
      <c r="B44" s="841"/>
      <c r="C44" s="870">
        <v>45576.0</v>
      </c>
      <c r="D44" s="2" t="s">
        <v>63</v>
      </c>
      <c r="E44" s="2">
        <v>1.0437450094E10</v>
      </c>
      <c r="F44" s="2" t="s">
        <v>4479</v>
      </c>
      <c r="G44" s="3">
        <v>14.0</v>
      </c>
      <c r="H44" s="2" t="s">
        <v>47</v>
      </c>
      <c r="I44" s="58">
        <v>1.19</v>
      </c>
      <c r="J44" s="58">
        <v>1.0</v>
      </c>
      <c r="K44" s="59">
        <f t="shared" si="1"/>
        <v>1.1781</v>
      </c>
      <c r="L44" s="60">
        <v>0.474</v>
      </c>
      <c r="M44" s="60">
        <v>0.45</v>
      </c>
      <c r="N44" s="62">
        <v>0.45</v>
      </c>
      <c r="O44" s="106">
        <f t="shared" si="2"/>
        <v>0.45</v>
      </c>
      <c r="P44" s="136">
        <v>90.0</v>
      </c>
      <c r="Q44" s="58">
        <v>89.55</v>
      </c>
      <c r="R44" s="70">
        <v>2648.8</v>
      </c>
      <c r="S44" s="143">
        <v>140.0</v>
      </c>
      <c r="U44" s="2">
        <v>100.0</v>
      </c>
      <c r="V44" s="2">
        <v>1.1023</v>
      </c>
      <c r="Y44" s="2"/>
      <c r="Z44" s="69">
        <f t="shared" ref="Z44:Z46" si="21">IF(IF(D44="UNTUCA",IF(+((W44-3)*1.5+(X44-3)*3.1)&gt;0,+((W44-3)*1.5+(X44-3)*3.1),0),IF(+((W44-3)*1.5+(X44-3)*3.1)&gt;0,+((W44-3)*1.5+(X44-3)*3.1),0))&lt;30,30,IF(D44="UNTUCA",IF(+((W44-3)*1.5+(X44-3)*3.1)&gt;0,+((W44-3)*1.5+(X44-3)*3.1),0),IF(+((W44-3)*1.5+(X44-3)*3.1)&gt;0,+((W44-3)*1.5+(X44-3)*3.1),0)))</f>
        <v>30</v>
      </c>
      <c r="AA44" s="70">
        <f t="shared" si="4"/>
        <v>30</v>
      </c>
      <c r="AB44" s="71">
        <f t="shared" si="5"/>
        <v>950.4736072</v>
      </c>
      <c r="AC44" s="71">
        <f>+(S44-T44)*V44-'data 1'!$F$4</f>
        <v>74.322</v>
      </c>
      <c r="AD44" s="71">
        <f t="shared" si="6"/>
        <v>-5.992753598</v>
      </c>
      <c r="AE44" s="71">
        <f t="shared" si="7"/>
        <v>-36.931</v>
      </c>
      <c r="AF44" s="71">
        <f t="shared" si="8"/>
        <v>60.38268182</v>
      </c>
      <c r="AG44" s="71">
        <f t="shared" si="19"/>
        <v>91.78092822</v>
      </c>
      <c r="AH44" s="52">
        <f t="shared" si="10"/>
        <v>17.14490793</v>
      </c>
      <c r="AI44" s="73">
        <f t="shared" si="11"/>
        <v>89.46056305</v>
      </c>
      <c r="AJ44" s="73">
        <f t="shared" si="12"/>
        <v>16.35860434</v>
      </c>
      <c r="AK44" s="11"/>
      <c r="AL44" s="122">
        <f t="shared" si="13"/>
        <v>1119.752957</v>
      </c>
    </row>
    <row r="45" ht="15.75" customHeight="1">
      <c r="A45" s="116" t="s">
        <v>4738</v>
      </c>
      <c r="B45" s="841"/>
      <c r="C45" s="870">
        <v>45576.0</v>
      </c>
      <c r="D45" s="2" t="s">
        <v>63</v>
      </c>
      <c r="E45" s="2">
        <v>1.0437450094E10</v>
      </c>
      <c r="F45" s="2" t="s">
        <v>4739</v>
      </c>
      <c r="G45" s="3">
        <v>62.0</v>
      </c>
      <c r="H45" s="2" t="s">
        <v>47</v>
      </c>
      <c r="I45" s="58">
        <v>5.02</v>
      </c>
      <c r="J45" s="58">
        <v>3.2</v>
      </c>
      <c r="K45" s="59">
        <f t="shared" si="1"/>
        <v>4.85936</v>
      </c>
      <c r="L45" s="60">
        <v>0.147</v>
      </c>
      <c r="M45" s="60">
        <v>0.138</v>
      </c>
      <c r="N45" s="62">
        <v>0.15</v>
      </c>
      <c r="O45" s="106">
        <f t="shared" si="2"/>
        <v>0.144</v>
      </c>
      <c r="P45" s="136">
        <v>90.0</v>
      </c>
      <c r="Q45" s="58">
        <v>89.15</v>
      </c>
      <c r="R45" s="70">
        <v>2648.8</v>
      </c>
      <c r="S45" s="3">
        <v>100.0</v>
      </c>
      <c r="T45" s="2"/>
      <c r="U45" s="2">
        <v>100.0</v>
      </c>
      <c r="V45" s="2">
        <v>1.1023</v>
      </c>
      <c r="W45" s="2"/>
      <c r="X45" s="2"/>
      <c r="Y45" s="2">
        <v>10.0</v>
      </c>
      <c r="Z45" s="69">
        <f t="shared" si="21"/>
        <v>30</v>
      </c>
      <c r="AA45" s="70">
        <f t="shared" si="4"/>
        <v>40</v>
      </c>
      <c r="AB45" s="71">
        <f t="shared" si="5"/>
        <v>209.7946743</v>
      </c>
      <c r="AC45" s="71">
        <f>+(S45-T45)*V45-'data 1'!$F$4</f>
        <v>30.23</v>
      </c>
      <c r="AD45" s="71">
        <f t="shared" si="6"/>
        <v>-3.510523029</v>
      </c>
      <c r="AE45" s="71">
        <f t="shared" si="7"/>
        <v>-25.908</v>
      </c>
      <c r="AF45" s="71">
        <f t="shared" si="8"/>
        <v>7.514120721</v>
      </c>
      <c r="AG45" s="71">
        <f t="shared" si="19"/>
        <v>8.325597692</v>
      </c>
      <c r="AH45" s="52">
        <f t="shared" si="10"/>
        <v>21.83367422</v>
      </c>
      <c r="AI45" s="73">
        <f t="shared" si="11"/>
        <v>27.62017193</v>
      </c>
      <c r="AJ45" s="73">
        <f t="shared" si="12"/>
        <v>21.59201361</v>
      </c>
      <c r="AK45" s="11"/>
      <c r="AL45" s="122">
        <f t="shared" si="13"/>
        <v>1019.467849</v>
      </c>
    </row>
    <row r="46" ht="15.75" customHeight="1">
      <c r="A46" s="116" t="s">
        <v>4740</v>
      </c>
      <c r="B46" s="841">
        <v>45581.0</v>
      </c>
      <c r="C46" s="870">
        <v>45578.0</v>
      </c>
      <c r="D46" s="2" t="s">
        <v>51</v>
      </c>
      <c r="E46" s="2">
        <v>1.042310973E10</v>
      </c>
      <c r="F46" s="2"/>
      <c r="G46" s="3">
        <v>275.0</v>
      </c>
      <c r="H46" s="2" t="s">
        <v>47</v>
      </c>
      <c r="I46" s="58">
        <v>31.14</v>
      </c>
      <c r="J46" s="58">
        <v>1.5</v>
      </c>
      <c r="K46" s="59">
        <f t="shared" si="1"/>
        <v>30.6729</v>
      </c>
      <c r="L46" s="60">
        <v>0.609</v>
      </c>
      <c r="M46" s="60">
        <v>0.585</v>
      </c>
      <c r="N46" s="62">
        <v>0.585</v>
      </c>
      <c r="O46" s="106">
        <f t="shared" si="2"/>
        <v>0.585</v>
      </c>
      <c r="P46" s="136">
        <v>90.0</v>
      </c>
      <c r="Q46" s="58">
        <v>89.62</v>
      </c>
      <c r="R46" s="70">
        <v>2648.8</v>
      </c>
      <c r="S46" s="3">
        <v>140.0</v>
      </c>
      <c r="U46" s="2">
        <v>100.0</v>
      </c>
      <c r="V46" s="2">
        <v>1.1023</v>
      </c>
      <c r="Y46" s="2"/>
      <c r="Z46" s="69">
        <f t="shared" si="21"/>
        <v>30</v>
      </c>
      <c r="AA46" s="70">
        <f t="shared" si="4"/>
        <v>30</v>
      </c>
      <c r="AB46" s="71">
        <f t="shared" si="5"/>
        <v>1291.832989</v>
      </c>
      <c r="AC46" s="71">
        <f>+(S46-T46)*V46-'data 1'!$F$4</f>
        <v>74.322</v>
      </c>
      <c r="AD46" s="71">
        <f t="shared" si="6"/>
        <v>-6.501842652</v>
      </c>
      <c r="AE46" s="71">
        <f t="shared" si="7"/>
        <v>-36.931</v>
      </c>
      <c r="AF46" s="71">
        <f t="shared" si="8"/>
        <v>60.42988213</v>
      </c>
      <c r="AG46" s="71">
        <f t="shared" si="19"/>
        <v>171.3190395</v>
      </c>
      <c r="AH46" s="52">
        <f t="shared" si="10"/>
        <v>573.9659648</v>
      </c>
      <c r="AI46" s="73">
        <f t="shared" si="11"/>
        <v>115.0296842</v>
      </c>
      <c r="AJ46" s="73">
        <f t="shared" si="12"/>
        <v>553.684395</v>
      </c>
      <c r="AK46" s="11"/>
      <c r="AL46" s="122">
        <f t="shared" si="13"/>
        <v>39624.2641</v>
      </c>
    </row>
    <row r="47" ht="15.75" customHeight="1">
      <c r="A47" s="116" t="s">
        <v>4741</v>
      </c>
      <c r="B47" s="841">
        <v>45581.0</v>
      </c>
      <c r="C47" s="870">
        <v>45578.0</v>
      </c>
      <c r="D47" s="2" t="s">
        <v>63</v>
      </c>
      <c r="E47" s="2">
        <v>1.0437450094E10</v>
      </c>
      <c r="F47" s="2" t="s">
        <v>4742</v>
      </c>
      <c r="G47" s="3">
        <v>71.0</v>
      </c>
      <c r="H47" s="2" t="s">
        <v>47</v>
      </c>
      <c r="I47" s="58">
        <v>7.67</v>
      </c>
      <c r="J47" s="58">
        <v>1.1</v>
      </c>
      <c r="K47" s="59">
        <f t="shared" si="1"/>
        <v>7.58563</v>
      </c>
      <c r="L47" s="60">
        <v>0.304</v>
      </c>
      <c r="M47" s="60">
        <v>0.292</v>
      </c>
      <c r="N47" s="62">
        <v>0.292</v>
      </c>
      <c r="O47" s="106">
        <f t="shared" si="2"/>
        <v>0.292</v>
      </c>
      <c r="P47" s="136">
        <v>90.0</v>
      </c>
      <c r="Q47" s="58">
        <v>89.25</v>
      </c>
      <c r="R47" s="70">
        <v>2648.8</v>
      </c>
      <c r="S47" s="3">
        <v>110.0</v>
      </c>
      <c r="T47" s="2"/>
      <c r="U47" s="2">
        <v>100.0</v>
      </c>
      <c r="V47" s="2">
        <v>1.1023</v>
      </c>
      <c r="W47" s="2"/>
      <c r="X47" s="2"/>
      <c r="Y47" s="2">
        <v>20.0</v>
      </c>
      <c r="Z47" s="77">
        <v>25.0</v>
      </c>
      <c r="AA47" s="70">
        <f t="shared" si="4"/>
        <v>45</v>
      </c>
      <c r="AB47" s="71">
        <f t="shared" si="5"/>
        <v>567.4912007</v>
      </c>
      <c r="AC47" s="71">
        <f>+(S47-T47)*V47-'data 1'!$F$4</f>
        <v>41.253</v>
      </c>
      <c r="AD47" s="71">
        <f t="shared" si="6"/>
        <v>-6.405756307</v>
      </c>
      <c r="AE47" s="71">
        <f t="shared" si="7"/>
        <v>-20.3965</v>
      </c>
      <c r="AF47" s="71">
        <f t="shared" si="8"/>
        <v>30.09019739</v>
      </c>
      <c r="AG47" s="71">
        <f t="shared" si="19"/>
        <v>44.54094108</v>
      </c>
      <c r="AH47" s="52">
        <f t="shared" si="10"/>
        <v>70.56389308</v>
      </c>
      <c r="AI47" s="73">
        <f t="shared" si="11"/>
        <v>57.18333808</v>
      </c>
      <c r="AJ47" s="73">
        <f t="shared" si="12"/>
        <v>68.34804327</v>
      </c>
      <c r="AK47" s="11"/>
      <c r="AL47" s="122">
        <f t="shared" si="13"/>
        <v>4304.778277</v>
      </c>
    </row>
    <row r="48" ht="15.75" customHeight="1">
      <c r="A48" s="116" t="s">
        <v>4743</v>
      </c>
      <c r="B48" s="841">
        <v>45583.0</v>
      </c>
      <c r="C48" s="841">
        <v>45579.0</v>
      </c>
      <c r="D48" s="67" t="s">
        <v>602</v>
      </c>
      <c r="E48" s="67">
        <v>2.0169040237E10</v>
      </c>
      <c r="F48" s="67" t="s">
        <v>4744</v>
      </c>
      <c r="G48" s="134">
        <v>83.0</v>
      </c>
      <c r="H48" s="67" t="s">
        <v>47</v>
      </c>
      <c r="I48" s="69">
        <v>7.73</v>
      </c>
      <c r="J48" s="69">
        <v>0.65</v>
      </c>
      <c r="K48" s="59">
        <f t="shared" si="1"/>
        <v>7.679755</v>
      </c>
      <c r="L48" s="106">
        <v>0.448</v>
      </c>
      <c r="M48" s="106">
        <v>0.426</v>
      </c>
      <c r="N48" s="111">
        <v>0.432</v>
      </c>
      <c r="O48" s="106">
        <f t="shared" si="2"/>
        <v>0.429</v>
      </c>
      <c r="P48" s="136">
        <v>90.0</v>
      </c>
      <c r="Q48" s="69">
        <v>89.1845503191573</v>
      </c>
      <c r="R48" s="70">
        <v>2654.9</v>
      </c>
      <c r="S48" s="134">
        <v>120.0</v>
      </c>
      <c r="T48" s="67"/>
      <c r="U48" s="67">
        <v>130.0</v>
      </c>
      <c r="V48" s="67">
        <v>1.1023</v>
      </c>
      <c r="W48" s="67"/>
      <c r="X48" s="67"/>
      <c r="Y48" s="67">
        <v>30.0</v>
      </c>
      <c r="Z48" s="69">
        <f t="shared" ref="Z48:Z50" si="22">IF(IF(D48="UNTUCA",IF(+((W48-3)*1.5+(X48-3)*3.1)&gt;0,+((W48-3)*1.5+(X48-3)*3.1),0),IF(+((W48-3)*1.5+(X48-3)*3.1)&gt;0,+((W48-3)*1.5+(X48-3)*3.1),0))&lt;30,30,IF(D48="UNTUCA",IF(+((W48-3)*1.5+(X48-3)*3.1)&gt;0,+((W48-3)*1.5+(X48-3)*3.1),0),IF(+((W48-3)*1.5+(X48-3)*3.1)&gt;0,+((W48-3)*1.5+(X48-3)*3.1),0)))</f>
        <v>30</v>
      </c>
      <c r="AA48" s="70">
        <f t="shared" si="4"/>
        <v>60</v>
      </c>
      <c r="AB48" s="71">
        <f t="shared" si="5"/>
        <v>876.1784659</v>
      </c>
      <c r="AC48" s="71">
        <f>+(S48-T48)*V48-'data 1'!$F$4</f>
        <v>52.276</v>
      </c>
      <c r="AD48" s="71">
        <f t="shared" si="6"/>
        <v>-10.16761682</v>
      </c>
      <c r="AE48" s="71">
        <f t="shared" si="7"/>
        <v>-3.862</v>
      </c>
      <c r="AF48" s="71">
        <f t="shared" si="8"/>
        <v>47.16145743</v>
      </c>
      <c r="AG48" s="71">
        <f t="shared" si="19"/>
        <v>85.40784061</v>
      </c>
      <c r="AH48" s="52">
        <f t="shared" si="10"/>
        <v>105.2020192</v>
      </c>
      <c r="AI48" s="73">
        <f t="shared" si="11"/>
        <v>94.73443268</v>
      </c>
      <c r="AJ48" s="73">
        <f t="shared" si="12"/>
        <v>101.6614351</v>
      </c>
      <c r="AK48" s="53"/>
      <c r="AL48" s="122">
        <f t="shared" si="13"/>
        <v>6728.835955</v>
      </c>
    </row>
    <row r="49" ht="15.75" customHeight="1">
      <c r="A49" s="116" t="s">
        <v>4745</v>
      </c>
      <c r="B49" s="841">
        <v>45583.0</v>
      </c>
      <c r="C49" s="841">
        <v>45579.0</v>
      </c>
      <c r="D49" s="67" t="s">
        <v>602</v>
      </c>
      <c r="E49" s="67">
        <v>2.0169040237E10</v>
      </c>
      <c r="F49" s="67" t="s">
        <v>4744</v>
      </c>
      <c r="G49" s="134">
        <v>80.0</v>
      </c>
      <c r="H49" s="67" t="s">
        <v>47</v>
      </c>
      <c r="I49" s="69">
        <v>7.58</v>
      </c>
      <c r="J49" s="69">
        <v>1.15</v>
      </c>
      <c r="K49" s="59">
        <f t="shared" si="1"/>
        <v>7.49283</v>
      </c>
      <c r="L49" s="106">
        <v>0.324</v>
      </c>
      <c r="M49" s="106">
        <v>0.308</v>
      </c>
      <c r="N49" s="111">
        <v>0.328</v>
      </c>
      <c r="O49" s="106">
        <f t="shared" si="2"/>
        <v>0.318</v>
      </c>
      <c r="P49" s="136">
        <v>90.0</v>
      </c>
      <c r="Q49" s="69">
        <v>89.68936852851101</v>
      </c>
      <c r="R49" s="70">
        <v>2654.9</v>
      </c>
      <c r="S49" s="134">
        <v>110.0</v>
      </c>
      <c r="T49" s="67"/>
      <c r="U49" s="67">
        <v>130.0</v>
      </c>
      <c r="V49" s="67">
        <v>1.1023</v>
      </c>
      <c r="W49" s="67"/>
      <c r="X49" s="67"/>
      <c r="Y49" s="67">
        <v>30.0</v>
      </c>
      <c r="Z49" s="69">
        <f t="shared" si="22"/>
        <v>30</v>
      </c>
      <c r="AA49" s="70">
        <f t="shared" si="4"/>
        <v>60</v>
      </c>
      <c r="AB49" s="71">
        <f t="shared" si="5"/>
        <v>609.1600587</v>
      </c>
      <c r="AC49" s="71">
        <f>+(S49-T49)*V49-'data 1'!$F$4</f>
        <v>41.253</v>
      </c>
      <c r="AD49" s="71">
        <f t="shared" si="6"/>
        <v>-2.801137669</v>
      </c>
      <c r="AE49" s="71">
        <f t="shared" si="7"/>
        <v>-3.862</v>
      </c>
      <c r="AF49" s="71">
        <f t="shared" si="8"/>
        <v>14.97739234</v>
      </c>
      <c r="AG49" s="71">
        <f t="shared" si="19"/>
        <v>49.56725467</v>
      </c>
      <c r="AH49" s="52">
        <f t="shared" si="10"/>
        <v>74.65191022</v>
      </c>
      <c r="AI49" s="73">
        <f t="shared" si="11"/>
        <v>68.90110617</v>
      </c>
      <c r="AJ49" s="73">
        <f t="shared" si="12"/>
        <v>73.52322998</v>
      </c>
      <c r="AK49" s="53"/>
      <c r="AL49" s="122">
        <f t="shared" si="13"/>
        <v>4564.332762</v>
      </c>
    </row>
    <row r="50" ht="15.75" customHeight="1">
      <c r="A50" s="116" t="s">
        <v>4746</v>
      </c>
      <c r="B50" s="841">
        <v>45583.0</v>
      </c>
      <c r="C50" s="841">
        <v>45581.0</v>
      </c>
      <c r="D50" s="67" t="s">
        <v>602</v>
      </c>
      <c r="E50" s="67">
        <v>2.0169040237E10</v>
      </c>
      <c r="F50" s="67" t="s">
        <v>4747</v>
      </c>
      <c r="G50" s="134">
        <v>52.0</v>
      </c>
      <c r="H50" s="67" t="s">
        <v>47</v>
      </c>
      <c r="I50" s="69">
        <v>4.51</v>
      </c>
      <c r="J50" s="69">
        <v>1.0</v>
      </c>
      <c r="K50" s="59">
        <f t="shared" si="1"/>
        <v>4.4649</v>
      </c>
      <c r="L50" s="106">
        <v>0.584</v>
      </c>
      <c r="M50" s="106">
        <v>0.561</v>
      </c>
      <c r="N50" s="106">
        <v>0.561</v>
      </c>
      <c r="O50" s="106">
        <f t="shared" si="2"/>
        <v>0.561</v>
      </c>
      <c r="P50" s="136">
        <v>90.0</v>
      </c>
      <c r="Q50" s="69">
        <v>89.34</v>
      </c>
      <c r="R50" s="70">
        <v>2655.25</v>
      </c>
      <c r="S50" s="134">
        <v>130.0</v>
      </c>
      <c r="T50" s="67"/>
      <c r="U50" s="67">
        <v>130.0</v>
      </c>
      <c r="V50" s="67">
        <v>1.1023</v>
      </c>
      <c r="W50" s="67"/>
      <c r="X50" s="67"/>
      <c r="Y50" s="67">
        <v>30.0</v>
      </c>
      <c r="Z50" s="69">
        <f t="shared" si="22"/>
        <v>30</v>
      </c>
      <c r="AA50" s="70">
        <f t="shared" si="4"/>
        <v>60</v>
      </c>
      <c r="AB50" s="71">
        <f t="shared" si="5"/>
        <v>1195.994095</v>
      </c>
      <c r="AC50" s="71">
        <f>+(S50-T50)*V50-'data 1'!$F$4</f>
        <v>63.299</v>
      </c>
      <c r="AD50" s="71">
        <f t="shared" si="6"/>
        <v>-10.7290426</v>
      </c>
      <c r="AE50" s="71">
        <f t="shared" si="7"/>
        <v>-3.862</v>
      </c>
      <c r="AF50" s="71">
        <f t="shared" si="8"/>
        <v>57.19762174</v>
      </c>
      <c r="AG50" s="71">
        <f t="shared" si="19"/>
        <v>105.9055791</v>
      </c>
      <c r="AH50" s="52">
        <f t="shared" si="10"/>
        <v>79.86924903</v>
      </c>
      <c r="AI50" s="73">
        <f t="shared" si="11"/>
        <v>123.5070576</v>
      </c>
      <c r="AJ50" s="73">
        <f t="shared" si="12"/>
        <v>77.29051061</v>
      </c>
      <c r="AK50" s="53"/>
      <c r="AL50" s="122">
        <f t="shared" si="13"/>
        <v>5339.994033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>
      <c r="B89" s="841"/>
      <c r="G89" s="3"/>
      <c r="L89" s="60"/>
      <c r="M89" s="60"/>
      <c r="N89" s="60"/>
      <c r="O89" s="60"/>
      <c r="S89" s="3"/>
      <c r="AG89" s="7"/>
      <c r="AH89" s="3"/>
      <c r="AI89" s="3"/>
      <c r="AJ89" s="3"/>
      <c r="AK89" s="11"/>
      <c r="AL89" s="122"/>
    </row>
    <row r="90" ht="15.75" customHeight="1">
      <c r="B90" s="841"/>
      <c r="G90" s="3"/>
      <c r="L90" s="60"/>
      <c r="M90" s="60"/>
      <c r="N90" s="60"/>
      <c r="O90" s="60"/>
      <c r="S90" s="3"/>
      <c r="AH90" s="3"/>
      <c r="AI90" s="3"/>
      <c r="AJ90" s="3"/>
      <c r="AK90" s="11"/>
      <c r="AL90" s="122"/>
    </row>
    <row r="91" ht="15.75" customHeight="1">
      <c r="B91" s="841"/>
      <c r="G91" s="3"/>
      <c r="L91" s="60"/>
      <c r="M91" s="60"/>
      <c r="N91" s="60"/>
      <c r="O91" s="60"/>
      <c r="S91" s="3"/>
      <c r="AG91" s="7"/>
      <c r="AH91" s="3"/>
      <c r="AI91" s="3"/>
      <c r="AJ91" s="3"/>
      <c r="AK91" s="11"/>
      <c r="AL91" s="122"/>
    </row>
    <row r="92" ht="15.75" customHeight="1">
      <c r="B92" s="841"/>
      <c r="G92" s="3"/>
      <c r="L92" s="60"/>
      <c r="M92" s="60"/>
      <c r="N92" s="60"/>
      <c r="O92" s="60"/>
      <c r="S92" s="3"/>
      <c r="AH92" s="3"/>
      <c r="AI92" s="3"/>
      <c r="AJ92" s="3"/>
      <c r="AK92" s="11"/>
      <c r="AL92" s="122"/>
    </row>
    <row r="93" ht="15.75" customHeight="1">
      <c r="B93" s="841"/>
      <c r="G93" s="3"/>
      <c r="L93" s="60"/>
      <c r="M93" s="60"/>
      <c r="N93" s="60"/>
      <c r="O93" s="60"/>
      <c r="S93" s="3"/>
      <c r="AH93" s="3"/>
      <c r="AI93" s="3"/>
      <c r="AJ93" s="3"/>
      <c r="AK93" s="11"/>
      <c r="AL93" s="122"/>
    </row>
    <row r="94" ht="15.75" customHeight="1">
      <c r="B94" s="841"/>
      <c r="G94" s="3"/>
      <c r="L94" s="60"/>
      <c r="M94" s="60"/>
      <c r="N94" s="60"/>
      <c r="O94" s="60"/>
      <c r="S94" s="3"/>
      <c r="AH94" s="3"/>
      <c r="AI94" s="3"/>
      <c r="AJ94" s="3"/>
      <c r="AK94" s="11"/>
      <c r="AL94" s="122"/>
    </row>
    <row r="95" ht="15.75" customHeight="1">
      <c r="B95" s="841"/>
      <c r="G95" s="3"/>
      <c r="L95" s="60"/>
      <c r="M95" s="60"/>
      <c r="N95" s="60"/>
      <c r="O95" s="60"/>
      <c r="S95" s="3"/>
      <c r="AH95" s="3"/>
      <c r="AI95" s="3"/>
      <c r="AJ95" s="3"/>
      <c r="AK95" s="11"/>
      <c r="AL95" s="122"/>
    </row>
    <row r="96" ht="15.75" customHeight="1">
      <c r="B96" s="841"/>
      <c r="G96" s="3"/>
      <c r="L96" s="60"/>
      <c r="M96" s="60"/>
      <c r="N96" s="60"/>
      <c r="O96" s="60"/>
      <c r="S96" s="3"/>
      <c r="AH96" s="3"/>
      <c r="AI96" s="3"/>
      <c r="AJ96" s="3"/>
      <c r="AK96" s="11"/>
      <c r="AL96" s="122"/>
    </row>
    <row r="97" ht="15.75" customHeight="1">
      <c r="B97" s="841"/>
      <c r="G97" s="3"/>
      <c r="H97" s="2"/>
      <c r="K97" s="425"/>
      <c r="L97" s="60"/>
      <c r="M97" s="60"/>
      <c r="N97" s="60"/>
      <c r="O97" s="60"/>
      <c r="S97" s="3"/>
      <c r="AH97" s="3"/>
      <c r="AI97" s="3"/>
      <c r="AJ97" s="3"/>
      <c r="AK97" s="11"/>
      <c r="AL97" s="122"/>
    </row>
    <row r="98" ht="15.75" customHeight="1">
      <c r="B98" s="841"/>
      <c r="G98" s="3"/>
      <c r="L98" s="60"/>
      <c r="M98" s="60"/>
      <c r="N98" s="60"/>
      <c r="O98" s="60"/>
      <c r="S98" s="3"/>
      <c r="AH98" s="3"/>
      <c r="AI98" s="3"/>
      <c r="AJ98" s="3"/>
      <c r="AK98" s="11"/>
      <c r="AL98" s="122"/>
    </row>
    <row r="99" ht="15.75" customHeight="1">
      <c r="B99" s="841"/>
      <c r="G99" s="3"/>
      <c r="L99" s="60"/>
      <c r="M99" s="60"/>
      <c r="N99" s="60"/>
      <c r="O99" s="60"/>
      <c r="S99" s="3"/>
      <c r="AH99" s="3"/>
      <c r="AI99" s="3"/>
      <c r="AJ99" s="3"/>
      <c r="AK99" s="11"/>
      <c r="AL99" s="122"/>
    </row>
    <row r="100" ht="15.75" customHeight="1">
      <c r="B100" s="841"/>
      <c r="G100" s="3"/>
      <c r="L100" s="60"/>
      <c r="M100" s="60"/>
      <c r="N100" s="60"/>
      <c r="O100" s="60"/>
      <c r="S100" s="3"/>
      <c r="AH100" s="3"/>
      <c r="AI100" s="3"/>
      <c r="AJ100" s="3"/>
      <c r="AK100" s="11"/>
      <c r="AL100" s="122"/>
    </row>
    <row r="101" ht="15.75" customHeight="1">
      <c r="B101" s="841"/>
      <c r="G101" s="3"/>
      <c r="L101" s="60"/>
      <c r="M101" s="60"/>
      <c r="N101" s="60"/>
      <c r="O101" s="60"/>
      <c r="S101" s="3"/>
      <c r="AH101" s="3"/>
      <c r="AI101" s="3"/>
      <c r="AJ101" s="3"/>
      <c r="AK101" s="11"/>
      <c r="AL101" s="122"/>
    </row>
    <row r="102" ht="15.75" customHeight="1">
      <c r="B102" s="841"/>
      <c r="G102" s="3"/>
      <c r="L102" s="60"/>
      <c r="M102" s="60"/>
      <c r="N102" s="60"/>
      <c r="O102" s="60"/>
      <c r="S102" s="3"/>
      <c r="AH102" s="3"/>
      <c r="AI102" s="3"/>
      <c r="AJ102" s="3"/>
      <c r="AK102" s="11"/>
      <c r="AL102" s="122"/>
    </row>
    <row r="103" ht="15.75" customHeight="1">
      <c r="B103" s="841"/>
      <c r="G103" s="3"/>
      <c r="L103" s="60"/>
      <c r="M103" s="60"/>
      <c r="N103" s="60"/>
      <c r="O103" s="60"/>
      <c r="S103" s="3"/>
      <c r="AH103" s="3"/>
      <c r="AI103" s="3"/>
      <c r="AJ103" s="3"/>
      <c r="AK103" s="11"/>
      <c r="AL103" s="122"/>
    </row>
    <row r="104" ht="15.75" customHeight="1">
      <c r="B104" s="841"/>
      <c r="G104" s="3"/>
      <c r="L104" s="60"/>
      <c r="M104" s="60"/>
      <c r="N104" s="60"/>
      <c r="O104" s="60"/>
      <c r="S104" s="3"/>
      <c r="AH104" s="3"/>
      <c r="AI104" s="3"/>
      <c r="AJ104" s="3"/>
      <c r="AK104" s="11"/>
      <c r="AL104" s="122"/>
    </row>
    <row r="105" ht="15.75" customHeight="1">
      <c r="B105" s="841"/>
      <c r="G105" s="3"/>
      <c r="L105" s="60"/>
      <c r="M105" s="60"/>
      <c r="N105" s="60"/>
      <c r="O105" s="60"/>
      <c r="S105" s="3"/>
      <c r="AH105" s="3"/>
      <c r="AI105" s="3"/>
      <c r="AJ105" s="3"/>
      <c r="AK105" s="11"/>
      <c r="AL105" s="122"/>
    </row>
    <row r="106" ht="15.75" customHeight="1">
      <c r="B106" s="841"/>
      <c r="G106" s="3"/>
      <c r="L106" s="60"/>
      <c r="M106" s="60"/>
      <c r="N106" s="60"/>
      <c r="O106" s="60"/>
      <c r="S106" s="3"/>
      <c r="AH106" s="3"/>
      <c r="AI106" s="3"/>
      <c r="AJ106" s="3"/>
      <c r="AK106" s="11"/>
      <c r="AL106" s="122"/>
    </row>
    <row r="107" ht="15.75" customHeight="1">
      <c r="B107" s="841"/>
      <c r="G107" s="3"/>
      <c r="L107" s="60"/>
      <c r="M107" s="60"/>
      <c r="N107" s="60"/>
      <c r="O107" s="60"/>
      <c r="S107" s="3"/>
      <c r="AH107" s="3"/>
      <c r="AI107" s="3"/>
      <c r="AJ107" s="3"/>
      <c r="AK107" s="11"/>
      <c r="AL107" s="122"/>
    </row>
    <row r="108" ht="15.75" customHeight="1">
      <c r="B108" s="841"/>
      <c r="G108" s="3"/>
      <c r="L108" s="60"/>
      <c r="M108" s="60"/>
      <c r="N108" s="60"/>
      <c r="O108" s="60"/>
      <c r="S108" s="3"/>
      <c r="AH108" s="3"/>
      <c r="AI108" s="3"/>
      <c r="AJ108" s="3"/>
      <c r="AK108" s="11"/>
      <c r="AL108" s="122"/>
    </row>
    <row r="109" ht="15.75" customHeight="1">
      <c r="B109" s="841"/>
      <c r="G109" s="3"/>
      <c r="L109" s="60"/>
      <c r="M109" s="60"/>
      <c r="N109" s="60"/>
      <c r="O109" s="60"/>
      <c r="S109" s="3"/>
      <c r="AH109" s="3"/>
      <c r="AI109" s="3"/>
      <c r="AJ109" s="3"/>
      <c r="AK109" s="11"/>
      <c r="AL109" s="122"/>
    </row>
    <row r="110" ht="15.75" customHeight="1">
      <c r="B110" s="841"/>
      <c r="G110" s="3"/>
      <c r="L110" s="60"/>
      <c r="M110" s="60"/>
      <c r="N110" s="60"/>
      <c r="O110" s="60"/>
      <c r="S110" s="3"/>
      <c r="AH110" s="3"/>
      <c r="AI110" s="3"/>
      <c r="AJ110" s="3"/>
      <c r="AK110" s="11"/>
      <c r="AL110" s="122"/>
    </row>
    <row r="111" ht="15.75" customHeight="1">
      <c r="B111" s="841"/>
      <c r="G111" s="3"/>
      <c r="L111" s="60"/>
      <c r="M111" s="60"/>
      <c r="N111" s="60"/>
      <c r="O111" s="60"/>
      <c r="S111" s="3"/>
      <c r="AH111" s="3"/>
      <c r="AI111" s="3"/>
      <c r="AJ111" s="3"/>
      <c r="AK111" s="11"/>
      <c r="AL111" s="122"/>
    </row>
    <row r="112" ht="15.75" customHeight="1">
      <c r="B112" s="841"/>
      <c r="G112" s="3"/>
      <c r="L112" s="60"/>
      <c r="M112" s="60"/>
      <c r="N112" s="60"/>
      <c r="O112" s="60"/>
      <c r="S112" s="3"/>
      <c r="AH112" s="3"/>
      <c r="AI112" s="3"/>
      <c r="AJ112" s="3"/>
      <c r="AK112" s="11"/>
      <c r="AL112" s="122"/>
    </row>
    <row r="113" ht="15.75" customHeight="1">
      <c r="B113" s="841"/>
      <c r="G113" s="3"/>
      <c r="L113" s="60"/>
      <c r="M113" s="60"/>
      <c r="N113" s="60"/>
      <c r="O113" s="60"/>
      <c r="S113" s="3"/>
      <c r="AH113" s="3"/>
      <c r="AI113" s="3"/>
      <c r="AJ113" s="3"/>
      <c r="AK113" s="11"/>
      <c r="AL113" s="122"/>
    </row>
    <row r="114" ht="15.75" customHeight="1">
      <c r="B114" s="841"/>
      <c r="G114" s="3"/>
      <c r="L114" s="60"/>
      <c r="M114" s="60"/>
      <c r="N114" s="60"/>
      <c r="O114" s="60"/>
      <c r="S114" s="3"/>
      <c r="AH114" s="3"/>
      <c r="AI114" s="3"/>
      <c r="AJ114" s="3"/>
      <c r="AK114" s="11"/>
      <c r="AL114" s="122"/>
    </row>
    <row r="115" ht="15.75" customHeight="1">
      <c r="B115" s="841"/>
      <c r="G115" s="3"/>
      <c r="L115" s="60"/>
      <c r="M115" s="60"/>
      <c r="N115" s="60"/>
      <c r="O115" s="60"/>
      <c r="S115" s="3"/>
      <c r="AH115" s="3"/>
      <c r="AI115" s="3"/>
      <c r="AJ115" s="3"/>
      <c r="AK115" s="11"/>
      <c r="AL115" s="122"/>
    </row>
    <row r="116" ht="15.75" customHeight="1">
      <c r="B116" s="841"/>
      <c r="G116" s="3"/>
      <c r="L116" s="60"/>
      <c r="M116" s="60"/>
      <c r="N116" s="60"/>
      <c r="O116" s="60"/>
      <c r="S116" s="3"/>
      <c r="AH116" s="3"/>
      <c r="AI116" s="3"/>
      <c r="AJ116" s="3"/>
      <c r="AK116" s="11"/>
      <c r="AL116" s="122"/>
    </row>
    <row r="117" ht="15.75" customHeight="1">
      <c r="B117" s="841"/>
      <c r="G117" s="3"/>
      <c r="L117" s="60"/>
      <c r="M117" s="60"/>
      <c r="N117" s="60"/>
      <c r="O117" s="60"/>
      <c r="S117" s="3"/>
      <c r="AH117" s="3"/>
      <c r="AI117" s="3"/>
      <c r="AJ117" s="3"/>
      <c r="AK117" s="11"/>
      <c r="AL117" s="122"/>
    </row>
    <row r="118" ht="15.75" customHeight="1">
      <c r="B118" s="841"/>
      <c r="G118" s="3"/>
      <c r="L118" s="60"/>
      <c r="M118" s="60"/>
      <c r="N118" s="60"/>
      <c r="O118" s="60"/>
      <c r="S118" s="3"/>
      <c r="AH118" s="3"/>
      <c r="AI118" s="3"/>
      <c r="AJ118" s="3"/>
      <c r="AK118" s="11"/>
      <c r="AL118" s="122"/>
    </row>
    <row r="119" ht="15.75" customHeight="1">
      <c r="B119" s="841"/>
      <c r="G119" s="3"/>
      <c r="L119" s="60"/>
      <c r="M119" s="60"/>
      <c r="N119" s="60"/>
      <c r="O119" s="60"/>
      <c r="S119" s="3"/>
      <c r="AH119" s="3"/>
      <c r="AI119" s="3"/>
      <c r="AJ119" s="3"/>
      <c r="AK119" s="11"/>
      <c r="AL119" s="122"/>
    </row>
    <row r="120" ht="15.75" customHeight="1">
      <c r="B120" s="841"/>
      <c r="G120" s="3"/>
      <c r="L120" s="60"/>
      <c r="M120" s="60"/>
      <c r="N120" s="60"/>
      <c r="O120" s="60"/>
      <c r="S120" s="3"/>
      <c r="AH120" s="3"/>
      <c r="AI120" s="3"/>
      <c r="AJ120" s="3"/>
      <c r="AK120" s="11"/>
      <c r="AL120" s="122"/>
    </row>
    <row r="121" ht="15.75" customHeight="1">
      <c r="B121" s="841"/>
      <c r="G121" s="3"/>
      <c r="L121" s="60"/>
      <c r="M121" s="60"/>
      <c r="N121" s="60"/>
      <c r="O121" s="60"/>
      <c r="S121" s="3"/>
      <c r="AH121" s="3"/>
      <c r="AI121" s="3"/>
      <c r="AJ121" s="3"/>
      <c r="AK121" s="11"/>
      <c r="AL121" s="122"/>
    </row>
    <row r="122" ht="15.75" customHeight="1">
      <c r="B122" s="841"/>
      <c r="G122" s="3"/>
      <c r="L122" s="60"/>
      <c r="M122" s="60"/>
      <c r="N122" s="60"/>
      <c r="O122" s="60"/>
      <c r="S122" s="3"/>
      <c r="AH122" s="3"/>
      <c r="AI122" s="3"/>
      <c r="AJ122" s="3"/>
      <c r="AK122" s="11"/>
      <c r="AL122" s="122"/>
    </row>
    <row r="123" ht="15.75" customHeight="1">
      <c r="B123" s="841"/>
      <c r="G123" s="3"/>
      <c r="L123" s="60"/>
      <c r="M123" s="60"/>
      <c r="N123" s="60"/>
      <c r="O123" s="60"/>
      <c r="S123" s="3"/>
      <c r="AH123" s="3"/>
      <c r="AI123" s="3"/>
      <c r="AJ123" s="3"/>
      <c r="AK123" s="11"/>
      <c r="AL123" s="122"/>
    </row>
    <row r="124" ht="15.75" customHeight="1">
      <c r="B124" s="841"/>
      <c r="G124" s="3"/>
      <c r="L124" s="60"/>
      <c r="M124" s="60"/>
      <c r="N124" s="60"/>
      <c r="O124" s="60"/>
      <c r="S124" s="3"/>
      <c r="AH124" s="3"/>
      <c r="AI124" s="3"/>
      <c r="AJ124" s="3"/>
      <c r="AK124" s="11"/>
      <c r="AL124" s="122"/>
    </row>
    <row r="125" ht="15.75" customHeight="1">
      <c r="B125" s="841"/>
      <c r="G125" s="3"/>
      <c r="L125" s="60"/>
      <c r="M125" s="60"/>
      <c r="N125" s="60"/>
      <c r="O125" s="60"/>
      <c r="S125" s="3"/>
      <c r="AH125" s="3"/>
      <c r="AI125" s="3"/>
      <c r="AJ125" s="3"/>
      <c r="AK125" s="11"/>
      <c r="AL125" s="122"/>
    </row>
    <row r="126" ht="15.75" customHeight="1">
      <c r="B126" s="841"/>
      <c r="G126" s="3"/>
      <c r="L126" s="60"/>
      <c r="M126" s="60"/>
      <c r="N126" s="60"/>
      <c r="O126" s="60"/>
      <c r="S126" s="3"/>
      <c r="AH126" s="3"/>
      <c r="AI126" s="3"/>
      <c r="AJ126" s="3"/>
      <c r="AK126" s="11"/>
      <c r="AL126" s="122"/>
    </row>
    <row r="127" ht="15.75" customHeight="1">
      <c r="B127" s="841"/>
      <c r="G127" s="3"/>
      <c r="L127" s="60"/>
      <c r="M127" s="60"/>
      <c r="N127" s="60"/>
      <c r="O127" s="60"/>
      <c r="S127" s="3"/>
      <c r="AH127" s="3"/>
      <c r="AI127" s="3"/>
      <c r="AJ127" s="3"/>
      <c r="AK127" s="11"/>
      <c r="AL127" s="122"/>
    </row>
    <row r="128" ht="15.75" customHeight="1">
      <c r="B128" s="841"/>
      <c r="G128" s="3"/>
      <c r="L128" s="60"/>
      <c r="M128" s="60"/>
      <c r="N128" s="60"/>
      <c r="O128" s="60"/>
      <c r="S128" s="3"/>
      <c r="AH128" s="3"/>
      <c r="AI128" s="3"/>
      <c r="AJ128" s="3"/>
      <c r="AK128" s="11"/>
      <c r="AL128" s="122"/>
    </row>
    <row r="129" ht="15.75" customHeight="1">
      <c r="B129" s="841"/>
      <c r="G129" s="3"/>
      <c r="L129" s="60"/>
      <c r="M129" s="60"/>
      <c r="N129" s="60"/>
      <c r="O129" s="60"/>
      <c r="S129" s="3"/>
      <c r="AH129" s="3"/>
      <c r="AI129" s="3"/>
      <c r="AJ129" s="3"/>
      <c r="AK129" s="11"/>
      <c r="AL129" s="122"/>
    </row>
    <row r="130" ht="15.75" customHeight="1">
      <c r="B130" s="841"/>
      <c r="G130" s="3"/>
      <c r="L130" s="60"/>
      <c r="M130" s="60"/>
      <c r="N130" s="60"/>
      <c r="O130" s="60"/>
      <c r="S130" s="3"/>
      <c r="AH130" s="3"/>
      <c r="AI130" s="3"/>
      <c r="AJ130" s="3"/>
      <c r="AK130" s="11"/>
      <c r="AL130" s="122"/>
    </row>
    <row r="131" ht="15.75" customHeight="1">
      <c r="B131" s="841"/>
      <c r="G131" s="3"/>
      <c r="L131" s="60"/>
      <c r="M131" s="60"/>
      <c r="N131" s="60"/>
      <c r="O131" s="60"/>
      <c r="S131" s="3"/>
      <c r="AH131" s="3"/>
      <c r="AI131" s="3"/>
      <c r="AJ131" s="3"/>
      <c r="AK131" s="11"/>
      <c r="AL131" s="122"/>
    </row>
    <row r="132" ht="15.75" customHeight="1">
      <c r="B132" s="841"/>
      <c r="G132" s="3"/>
      <c r="L132" s="60"/>
      <c r="M132" s="60"/>
      <c r="N132" s="60"/>
      <c r="O132" s="60"/>
      <c r="S132" s="3"/>
      <c r="AH132" s="3"/>
      <c r="AI132" s="3"/>
      <c r="AJ132" s="3"/>
      <c r="AK132" s="11"/>
      <c r="AL132" s="122"/>
    </row>
    <row r="133" ht="15.75" customHeight="1">
      <c r="B133" s="841"/>
      <c r="G133" s="3"/>
      <c r="L133" s="60"/>
      <c r="M133" s="60"/>
      <c r="N133" s="60"/>
      <c r="O133" s="60"/>
      <c r="S133" s="3"/>
      <c r="AH133" s="3"/>
      <c r="AI133" s="3"/>
      <c r="AJ133" s="3"/>
      <c r="AK133" s="11"/>
      <c r="AL133" s="122"/>
    </row>
    <row r="134" ht="15.75" customHeight="1">
      <c r="B134" s="841"/>
      <c r="G134" s="3"/>
      <c r="L134" s="60"/>
      <c r="M134" s="60"/>
      <c r="N134" s="60"/>
      <c r="O134" s="60"/>
      <c r="S134" s="3"/>
      <c r="AH134" s="3"/>
      <c r="AI134" s="3"/>
      <c r="AJ134" s="3"/>
      <c r="AK134" s="11"/>
      <c r="AL134" s="122"/>
    </row>
    <row r="135" ht="15.75" customHeight="1">
      <c r="B135" s="841"/>
      <c r="G135" s="3"/>
      <c r="L135" s="60"/>
      <c r="M135" s="60"/>
      <c r="N135" s="60"/>
      <c r="O135" s="60"/>
      <c r="S135" s="3"/>
      <c r="AH135" s="3"/>
      <c r="AI135" s="3"/>
      <c r="AJ135" s="3"/>
      <c r="AK135" s="11"/>
      <c r="AL135" s="122"/>
    </row>
    <row r="136" ht="15.75" customHeight="1">
      <c r="B136" s="841"/>
      <c r="G136" s="3"/>
      <c r="L136" s="60"/>
      <c r="M136" s="60"/>
      <c r="N136" s="60"/>
      <c r="O136" s="60"/>
      <c r="S136" s="3"/>
      <c r="AH136" s="3"/>
      <c r="AI136" s="3"/>
      <c r="AJ136" s="3"/>
      <c r="AK136" s="11"/>
      <c r="AL136" s="122"/>
    </row>
    <row r="137" ht="15.75" customHeight="1">
      <c r="B137" s="841"/>
      <c r="G137" s="3"/>
      <c r="L137" s="60"/>
      <c r="M137" s="60"/>
      <c r="N137" s="60"/>
      <c r="O137" s="60"/>
      <c r="S137" s="3"/>
      <c r="AH137" s="3"/>
      <c r="AI137" s="3"/>
      <c r="AJ137" s="3"/>
      <c r="AK137" s="11"/>
      <c r="AL137" s="122"/>
    </row>
    <row r="138" ht="15.75" customHeight="1">
      <c r="B138" s="841"/>
      <c r="G138" s="3"/>
      <c r="L138" s="60"/>
      <c r="M138" s="60"/>
      <c r="N138" s="60"/>
      <c r="O138" s="60"/>
      <c r="S138" s="3"/>
      <c r="AH138" s="3"/>
      <c r="AI138" s="3"/>
      <c r="AJ138" s="3"/>
      <c r="AK138" s="11"/>
      <c r="AL138" s="122"/>
    </row>
    <row r="139" ht="15.75" customHeight="1">
      <c r="B139" s="841"/>
      <c r="G139" s="3"/>
      <c r="L139" s="60"/>
      <c r="M139" s="60"/>
      <c r="N139" s="60"/>
      <c r="O139" s="60"/>
      <c r="S139" s="3"/>
      <c r="AH139" s="3"/>
      <c r="AI139" s="3"/>
      <c r="AJ139" s="3"/>
      <c r="AK139" s="11"/>
      <c r="AL139" s="122"/>
    </row>
    <row r="140" ht="15.75" customHeight="1">
      <c r="B140" s="841"/>
      <c r="G140" s="3"/>
      <c r="L140" s="60"/>
      <c r="M140" s="60"/>
      <c r="N140" s="60"/>
      <c r="O140" s="60"/>
      <c r="S140" s="3"/>
      <c r="AH140" s="3"/>
      <c r="AI140" s="3"/>
      <c r="AJ140" s="3"/>
      <c r="AK140" s="11"/>
      <c r="AL140" s="122"/>
    </row>
    <row r="141" ht="15.75" customHeight="1">
      <c r="B141" s="841"/>
      <c r="G141" s="3"/>
      <c r="L141" s="60"/>
      <c r="M141" s="60"/>
      <c r="N141" s="60"/>
      <c r="O141" s="60"/>
      <c r="S141" s="3"/>
      <c r="AH141" s="3"/>
      <c r="AI141" s="3"/>
      <c r="AJ141" s="3"/>
      <c r="AK141" s="11"/>
      <c r="AL141" s="122"/>
    </row>
    <row r="142" ht="15.75" customHeight="1">
      <c r="B142" s="841"/>
      <c r="G142" s="3"/>
      <c r="L142" s="60"/>
      <c r="M142" s="60"/>
      <c r="N142" s="60"/>
      <c r="O142" s="60"/>
      <c r="S142" s="3"/>
      <c r="AH142" s="3"/>
      <c r="AI142" s="3"/>
      <c r="AJ142" s="3"/>
      <c r="AK142" s="11"/>
      <c r="AL142" s="122"/>
    </row>
    <row r="143" ht="15.75" customHeight="1">
      <c r="B143" s="841"/>
      <c r="G143" s="3"/>
      <c r="L143" s="60"/>
      <c r="M143" s="60"/>
      <c r="N143" s="60"/>
      <c r="O143" s="60"/>
      <c r="S143" s="3"/>
      <c r="AH143" s="3"/>
      <c r="AI143" s="3"/>
      <c r="AJ143" s="3"/>
      <c r="AK143" s="11"/>
      <c r="AL143" s="122"/>
    </row>
    <row r="144" ht="15.75" customHeight="1">
      <c r="B144" s="841"/>
      <c r="G144" s="3"/>
      <c r="L144" s="60"/>
      <c r="M144" s="60"/>
      <c r="N144" s="60"/>
      <c r="O144" s="60"/>
      <c r="S144" s="3"/>
      <c r="AH144" s="3"/>
      <c r="AI144" s="3"/>
      <c r="AJ144" s="3"/>
      <c r="AK144" s="11"/>
      <c r="AL144" s="122"/>
    </row>
    <row r="145" ht="15.75" customHeight="1">
      <c r="B145" s="841"/>
      <c r="G145" s="3"/>
      <c r="L145" s="60"/>
      <c r="M145" s="60"/>
      <c r="N145" s="60"/>
      <c r="O145" s="60"/>
      <c r="S145" s="3"/>
      <c r="AH145" s="3"/>
      <c r="AI145" s="3"/>
      <c r="AJ145" s="3"/>
      <c r="AK145" s="11"/>
      <c r="AL145" s="122"/>
    </row>
    <row r="146" ht="15.75" customHeight="1">
      <c r="B146" s="841"/>
      <c r="G146" s="3"/>
      <c r="L146" s="60"/>
      <c r="M146" s="60"/>
      <c r="N146" s="60"/>
      <c r="O146" s="60"/>
      <c r="S146" s="3"/>
      <c r="AH146" s="3"/>
      <c r="AI146" s="3"/>
      <c r="AJ146" s="3"/>
      <c r="AK146" s="11"/>
      <c r="AL146" s="122"/>
    </row>
    <row r="147" ht="15.75" customHeight="1">
      <c r="B147" s="841"/>
      <c r="G147" s="3"/>
      <c r="L147" s="60"/>
      <c r="M147" s="60"/>
      <c r="N147" s="60"/>
      <c r="O147" s="60"/>
      <c r="S147" s="3"/>
      <c r="AH147" s="3"/>
      <c r="AI147" s="3"/>
      <c r="AJ147" s="3"/>
      <c r="AK147" s="11"/>
      <c r="AL147" s="122"/>
    </row>
    <row r="148" ht="15.75" customHeight="1">
      <c r="B148" s="841"/>
      <c r="G148" s="3"/>
      <c r="L148" s="60"/>
      <c r="M148" s="60"/>
      <c r="N148" s="60"/>
      <c r="O148" s="60"/>
      <c r="S148" s="3"/>
      <c r="AH148" s="3"/>
      <c r="AI148" s="3"/>
      <c r="AJ148" s="3"/>
      <c r="AK148" s="11"/>
      <c r="AL148" s="122"/>
    </row>
    <row r="149" ht="15.75" customHeight="1">
      <c r="B149" s="841"/>
      <c r="G149" s="3"/>
      <c r="L149" s="60"/>
      <c r="M149" s="60"/>
      <c r="N149" s="60"/>
      <c r="O149" s="60"/>
      <c r="S149" s="3"/>
      <c r="AH149" s="3"/>
      <c r="AI149" s="3"/>
      <c r="AJ149" s="3"/>
      <c r="AK149" s="11"/>
      <c r="AL149" s="122"/>
    </row>
    <row r="150" ht="15.75" customHeight="1">
      <c r="B150" s="841"/>
      <c r="G150" s="3"/>
      <c r="L150" s="60"/>
      <c r="M150" s="60"/>
      <c r="N150" s="60"/>
      <c r="O150" s="60"/>
      <c r="S150" s="3"/>
      <c r="AH150" s="3"/>
      <c r="AI150" s="3"/>
      <c r="AJ150" s="3"/>
      <c r="AK150" s="11"/>
      <c r="AL150" s="122"/>
    </row>
    <row r="151" ht="15.75" customHeight="1">
      <c r="B151" s="841"/>
      <c r="G151" s="3"/>
      <c r="L151" s="60"/>
      <c r="M151" s="60"/>
      <c r="N151" s="60"/>
      <c r="O151" s="60"/>
      <c r="S151" s="3"/>
      <c r="AH151" s="3"/>
      <c r="AI151" s="3"/>
      <c r="AJ151" s="3"/>
      <c r="AK151" s="11"/>
      <c r="AL151" s="122"/>
    </row>
    <row r="152" ht="15.75" customHeight="1">
      <c r="G152" s="3"/>
      <c r="L152" s="60"/>
      <c r="M152" s="60"/>
      <c r="N152" s="60"/>
      <c r="O152" s="60"/>
      <c r="S152" s="3"/>
      <c r="AH152" s="3"/>
      <c r="AI152" s="3"/>
      <c r="AJ152" s="3"/>
      <c r="AK152" s="11"/>
      <c r="AL152" s="122"/>
    </row>
    <row r="153" ht="15.75" customHeight="1">
      <c r="G153" s="3"/>
      <c r="L153" s="60"/>
      <c r="M153" s="60"/>
      <c r="N153" s="60"/>
      <c r="O153" s="60"/>
      <c r="S153" s="3"/>
      <c r="AH153" s="3"/>
      <c r="AI153" s="3"/>
      <c r="AJ153" s="3"/>
      <c r="AK153" s="11"/>
      <c r="AL153" s="122"/>
    </row>
    <row r="154" ht="15.75" customHeight="1">
      <c r="G154" s="3"/>
      <c r="L154" s="60"/>
      <c r="M154" s="60"/>
      <c r="N154" s="60"/>
      <c r="O154" s="60"/>
      <c r="S154" s="3"/>
      <c r="AH154" s="3"/>
      <c r="AI154" s="3"/>
      <c r="AJ154" s="3"/>
      <c r="AK154" s="11"/>
      <c r="AL154" s="122"/>
    </row>
    <row r="155" ht="15.75" customHeight="1">
      <c r="G155" s="3"/>
      <c r="L155" s="60"/>
      <c r="M155" s="60"/>
      <c r="N155" s="60"/>
      <c r="O155" s="60"/>
      <c r="S155" s="3"/>
      <c r="AH155" s="3"/>
      <c r="AI155" s="3"/>
      <c r="AJ155" s="3"/>
      <c r="AK155" s="11"/>
      <c r="AL155" s="122"/>
    </row>
    <row r="156" ht="15.75" customHeight="1">
      <c r="G156" s="3"/>
      <c r="L156" s="60"/>
      <c r="M156" s="60"/>
      <c r="N156" s="60"/>
      <c r="O156" s="60"/>
      <c r="S156" s="3"/>
      <c r="AH156" s="3"/>
      <c r="AI156" s="3"/>
      <c r="AJ156" s="3"/>
      <c r="AK156" s="11"/>
      <c r="AL156" s="122"/>
    </row>
    <row r="157" ht="15.75" customHeight="1">
      <c r="G157" s="3"/>
      <c r="L157" s="60"/>
      <c r="M157" s="60"/>
      <c r="N157" s="60"/>
      <c r="O157" s="60"/>
      <c r="S157" s="3"/>
      <c r="AH157" s="3"/>
      <c r="AI157" s="3"/>
      <c r="AJ157" s="3"/>
      <c r="AK157" s="11"/>
      <c r="AL157" s="122"/>
    </row>
    <row r="158" ht="15.75" customHeight="1">
      <c r="G158" s="3"/>
      <c r="L158" s="60"/>
      <c r="M158" s="60"/>
      <c r="N158" s="60"/>
      <c r="O158" s="60"/>
      <c r="S158" s="3"/>
      <c r="AH158" s="3"/>
      <c r="AI158" s="3"/>
      <c r="AJ158" s="3"/>
      <c r="AK158" s="11"/>
      <c r="AL158" s="122"/>
    </row>
    <row r="159" ht="15.75" customHeight="1">
      <c r="G159" s="3"/>
      <c r="L159" s="60"/>
      <c r="M159" s="60"/>
      <c r="N159" s="60"/>
      <c r="O159" s="60"/>
      <c r="S159" s="3"/>
      <c r="AH159" s="3"/>
      <c r="AI159" s="3"/>
      <c r="AJ159" s="3"/>
      <c r="AK159" s="11"/>
      <c r="AL159" s="122"/>
    </row>
    <row r="160" ht="15.75" customHeight="1">
      <c r="G160" s="3"/>
      <c r="L160" s="60"/>
      <c r="M160" s="60"/>
      <c r="N160" s="60"/>
      <c r="O160" s="60"/>
      <c r="S160" s="3"/>
      <c r="AH160" s="3"/>
      <c r="AI160" s="3"/>
      <c r="AJ160" s="3"/>
      <c r="AK160" s="11"/>
      <c r="AL160" s="122"/>
    </row>
    <row r="161" ht="15.75" customHeight="1">
      <c r="G161" s="3"/>
      <c r="L161" s="60"/>
      <c r="M161" s="60"/>
      <c r="N161" s="60"/>
      <c r="O161" s="60"/>
      <c r="S161" s="3"/>
      <c r="AH161" s="3"/>
      <c r="AI161" s="3"/>
      <c r="AJ161" s="3"/>
      <c r="AK161" s="11"/>
      <c r="AL161" s="122"/>
    </row>
    <row r="162" ht="15.75" customHeight="1">
      <c r="G162" s="3"/>
      <c r="L162" s="60"/>
      <c r="M162" s="60"/>
      <c r="N162" s="60"/>
      <c r="O162" s="60"/>
      <c r="S162" s="3"/>
      <c r="AH162" s="3"/>
      <c r="AI162" s="3"/>
      <c r="AJ162" s="3"/>
      <c r="AK162" s="11"/>
      <c r="AL162" s="122"/>
    </row>
    <row r="163" ht="15.75" customHeight="1">
      <c r="G163" s="3"/>
      <c r="L163" s="60"/>
      <c r="M163" s="60"/>
      <c r="N163" s="60"/>
      <c r="O163" s="60"/>
      <c r="S163" s="3"/>
      <c r="AH163" s="3"/>
      <c r="AI163" s="3"/>
      <c r="AJ163" s="3"/>
      <c r="AK163" s="11"/>
      <c r="AL163" s="122"/>
    </row>
    <row r="164" ht="15.75" customHeight="1">
      <c r="G164" s="3"/>
      <c r="L164" s="60"/>
      <c r="M164" s="60"/>
      <c r="N164" s="60"/>
      <c r="O164" s="60"/>
      <c r="S164" s="3"/>
      <c r="AH164" s="3"/>
      <c r="AI164" s="3"/>
      <c r="AJ164" s="3"/>
      <c r="AK164" s="11"/>
      <c r="AL164" s="122"/>
    </row>
    <row r="165" ht="15.75" customHeight="1">
      <c r="G165" s="3"/>
      <c r="L165" s="60"/>
      <c r="M165" s="60"/>
      <c r="N165" s="60"/>
      <c r="O165" s="60"/>
      <c r="S165" s="3"/>
      <c r="AH165" s="3"/>
      <c r="AI165" s="3"/>
      <c r="AJ165" s="3"/>
      <c r="AK165" s="11"/>
      <c r="AL165" s="122"/>
    </row>
    <row r="166" ht="15.75" customHeight="1">
      <c r="G166" s="3"/>
      <c r="L166" s="60"/>
      <c r="M166" s="60"/>
      <c r="N166" s="60"/>
      <c r="O166" s="60"/>
      <c r="S166" s="3"/>
      <c r="AH166" s="3"/>
      <c r="AI166" s="3"/>
      <c r="AJ166" s="3"/>
      <c r="AK166" s="11"/>
      <c r="AL166" s="122"/>
    </row>
    <row r="167" ht="15.75" customHeight="1">
      <c r="G167" s="3"/>
      <c r="L167" s="60"/>
      <c r="M167" s="60"/>
      <c r="N167" s="60"/>
      <c r="O167" s="60"/>
      <c r="S167" s="3"/>
      <c r="AH167" s="3"/>
      <c r="AI167" s="3"/>
      <c r="AJ167" s="3"/>
      <c r="AK167" s="11"/>
      <c r="AL167" s="122"/>
    </row>
    <row r="168" ht="15.75" customHeight="1">
      <c r="G168" s="3"/>
      <c r="L168" s="60"/>
      <c r="M168" s="60"/>
      <c r="N168" s="60"/>
      <c r="O168" s="60"/>
      <c r="S168" s="3"/>
      <c r="AH168" s="3"/>
      <c r="AI168" s="3"/>
      <c r="AJ168" s="3"/>
      <c r="AK168" s="11"/>
      <c r="AL168" s="122"/>
    </row>
    <row r="169" ht="15.75" customHeight="1">
      <c r="G169" s="3"/>
      <c r="L169" s="60"/>
      <c r="M169" s="60"/>
      <c r="N169" s="60"/>
      <c r="O169" s="60"/>
      <c r="S169" s="3"/>
      <c r="AH169" s="3"/>
      <c r="AI169" s="3"/>
      <c r="AJ169" s="3"/>
      <c r="AK169" s="11"/>
      <c r="AL169" s="122"/>
    </row>
    <row r="170" ht="15.75" customHeight="1">
      <c r="G170" s="3"/>
      <c r="L170" s="60"/>
      <c r="M170" s="60"/>
      <c r="N170" s="60"/>
      <c r="O170" s="60"/>
      <c r="S170" s="3"/>
      <c r="AH170" s="3"/>
      <c r="AI170" s="3"/>
      <c r="AJ170" s="3"/>
      <c r="AK170" s="11"/>
      <c r="AL170" s="122"/>
    </row>
    <row r="171" ht="15.75" customHeight="1">
      <c r="G171" s="3"/>
      <c r="L171" s="60"/>
      <c r="M171" s="60"/>
      <c r="N171" s="60"/>
      <c r="O171" s="60"/>
      <c r="S171" s="3"/>
      <c r="AH171" s="3"/>
      <c r="AI171" s="3"/>
      <c r="AJ171" s="3"/>
      <c r="AK171" s="11"/>
      <c r="AL171" s="122"/>
    </row>
    <row r="172" ht="15.75" customHeight="1">
      <c r="G172" s="3"/>
      <c r="L172" s="60"/>
      <c r="M172" s="60"/>
      <c r="N172" s="60"/>
      <c r="O172" s="60"/>
      <c r="S172" s="3"/>
      <c r="AH172" s="3"/>
      <c r="AI172" s="3"/>
      <c r="AJ172" s="3"/>
      <c r="AK172" s="11"/>
      <c r="AL172" s="122"/>
    </row>
    <row r="173" ht="15.75" customHeight="1">
      <c r="G173" s="3"/>
      <c r="L173" s="60"/>
      <c r="M173" s="60"/>
      <c r="N173" s="60"/>
      <c r="O173" s="60"/>
      <c r="S173" s="3"/>
      <c r="AH173" s="3"/>
      <c r="AI173" s="3"/>
      <c r="AJ173" s="3"/>
      <c r="AK173" s="11"/>
      <c r="AL173" s="122"/>
    </row>
    <row r="174" ht="15.75" customHeight="1">
      <c r="G174" s="3"/>
      <c r="L174" s="60"/>
      <c r="M174" s="60"/>
      <c r="N174" s="60"/>
      <c r="O174" s="60"/>
      <c r="S174" s="3"/>
      <c r="AH174" s="3"/>
      <c r="AI174" s="3"/>
      <c r="AJ174" s="3"/>
      <c r="AK174" s="11"/>
      <c r="AL174" s="122"/>
    </row>
    <row r="175" ht="15.75" customHeight="1">
      <c r="G175" s="3"/>
      <c r="L175" s="60"/>
      <c r="M175" s="60"/>
      <c r="N175" s="60"/>
      <c r="O175" s="60"/>
      <c r="S175" s="3"/>
      <c r="AH175" s="3"/>
      <c r="AI175" s="3"/>
      <c r="AJ175" s="3"/>
      <c r="AK175" s="11"/>
      <c r="AL175" s="122"/>
    </row>
    <row r="176" ht="15.75" customHeight="1">
      <c r="G176" s="3"/>
      <c r="L176" s="60"/>
      <c r="M176" s="60"/>
      <c r="N176" s="60"/>
      <c r="O176" s="60"/>
      <c r="S176" s="3"/>
      <c r="AH176" s="3"/>
      <c r="AI176" s="3"/>
      <c r="AJ176" s="3"/>
      <c r="AK176" s="11"/>
      <c r="AL176" s="122"/>
    </row>
    <row r="177" ht="15.75" customHeight="1">
      <c r="G177" s="3"/>
      <c r="L177" s="60"/>
      <c r="M177" s="60"/>
      <c r="N177" s="60"/>
      <c r="O177" s="60"/>
      <c r="S177" s="3"/>
      <c r="AH177" s="3"/>
      <c r="AI177" s="3"/>
      <c r="AJ177" s="3"/>
      <c r="AK177" s="11"/>
      <c r="AL177" s="122"/>
    </row>
    <row r="178" ht="15.75" customHeight="1">
      <c r="G178" s="3"/>
      <c r="L178" s="60"/>
      <c r="M178" s="60"/>
      <c r="N178" s="60"/>
      <c r="O178" s="60"/>
      <c r="S178" s="3"/>
      <c r="AH178" s="3"/>
      <c r="AI178" s="3"/>
      <c r="AJ178" s="3"/>
      <c r="AK178" s="11"/>
      <c r="AL178" s="122"/>
    </row>
    <row r="179" ht="15.75" customHeight="1">
      <c r="G179" s="3"/>
      <c r="L179" s="60"/>
      <c r="M179" s="60"/>
      <c r="N179" s="60"/>
      <c r="O179" s="60"/>
      <c r="S179" s="3"/>
      <c r="AH179" s="3"/>
      <c r="AI179" s="3"/>
      <c r="AJ179" s="3"/>
      <c r="AK179" s="11"/>
      <c r="AL179" s="122"/>
    </row>
    <row r="180" ht="15.75" customHeight="1">
      <c r="G180" s="3"/>
      <c r="L180" s="60"/>
      <c r="M180" s="60"/>
      <c r="N180" s="60"/>
      <c r="O180" s="60"/>
      <c r="S180" s="3"/>
      <c r="AH180" s="3"/>
      <c r="AI180" s="3"/>
      <c r="AJ180" s="3"/>
      <c r="AK180" s="11"/>
      <c r="AL180" s="122"/>
    </row>
    <row r="181" ht="15.75" customHeight="1">
      <c r="G181" s="3"/>
      <c r="L181" s="60"/>
      <c r="M181" s="60"/>
      <c r="N181" s="60"/>
      <c r="O181" s="60"/>
      <c r="S181" s="3"/>
      <c r="AH181" s="3"/>
      <c r="AI181" s="3"/>
      <c r="AJ181" s="3"/>
      <c r="AK181" s="11"/>
      <c r="AL181" s="122"/>
    </row>
    <row r="182" ht="15.75" customHeight="1">
      <c r="G182" s="3"/>
      <c r="L182" s="60"/>
      <c r="M182" s="60"/>
      <c r="N182" s="60"/>
      <c r="O182" s="60"/>
      <c r="S182" s="3"/>
      <c r="AH182" s="3"/>
      <c r="AI182" s="3"/>
      <c r="AJ182" s="3"/>
      <c r="AK182" s="11"/>
      <c r="AL182" s="122"/>
    </row>
    <row r="183" ht="15.75" customHeight="1">
      <c r="G183" s="3"/>
      <c r="L183" s="60"/>
      <c r="M183" s="60"/>
      <c r="N183" s="60"/>
      <c r="O183" s="60"/>
      <c r="S183" s="3"/>
      <c r="AH183" s="3"/>
      <c r="AI183" s="3"/>
      <c r="AJ183" s="3"/>
      <c r="AK183" s="11"/>
      <c r="AL183" s="122"/>
    </row>
    <row r="184" ht="15.75" customHeight="1">
      <c r="G184" s="3"/>
      <c r="L184" s="60"/>
      <c r="M184" s="60"/>
      <c r="N184" s="60"/>
      <c r="O184" s="60"/>
      <c r="S184" s="3"/>
      <c r="AH184" s="3"/>
      <c r="AI184" s="3"/>
      <c r="AJ184" s="3"/>
      <c r="AK184" s="11"/>
      <c r="AL184" s="122"/>
    </row>
    <row r="185" ht="15.75" customHeight="1">
      <c r="G185" s="3"/>
      <c r="L185" s="60"/>
      <c r="M185" s="60"/>
      <c r="N185" s="60"/>
      <c r="O185" s="60"/>
      <c r="S185" s="3"/>
      <c r="AH185" s="3"/>
      <c r="AI185" s="3"/>
      <c r="AJ185" s="3"/>
      <c r="AK185" s="11"/>
      <c r="AL185" s="122"/>
    </row>
    <row r="186" ht="15.75" customHeight="1">
      <c r="G186" s="3"/>
      <c r="L186" s="60"/>
      <c r="M186" s="60"/>
      <c r="N186" s="60"/>
      <c r="O186" s="60"/>
      <c r="S186" s="3"/>
      <c r="AH186" s="3"/>
      <c r="AI186" s="3"/>
      <c r="AJ186" s="3"/>
      <c r="AK186" s="11"/>
      <c r="AL186" s="122"/>
    </row>
    <row r="187" ht="15.75" customHeight="1">
      <c r="G187" s="3"/>
      <c r="L187" s="60"/>
      <c r="M187" s="60"/>
      <c r="N187" s="60"/>
      <c r="O187" s="60"/>
      <c r="S187" s="3"/>
      <c r="AH187" s="3"/>
      <c r="AI187" s="3"/>
      <c r="AJ187" s="3"/>
      <c r="AK187" s="11"/>
      <c r="AL187" s="122"/>
    </row>
    <row r="188" ht="15.75" customHeight="1">
      <c r="G188" s="3"/>
      <c r="L188" s="60"/>
      <c r="M188" s="60"/>
      <c r="N188" s="60"/>
      <c r="O188" s="60"/>
      <c r="S188" s="3"/>
      <c r="AH188" s="3"/>
      <c r="AI188" s="3"/>
      <c r="AJ188" s="3"/>
      <c r="AK188" s="11"/>
      <c r="AL188" s="122"/>
    </row>
    <row r="189" ht="15.75" customHeight="1">
      <c r="G189" s="3"/>
      <c r="L189" s="60"/>
      <c r="M189" s="60"/>
      <c r="N189" s="60"/>
      <c r="O189" s="60"/>
      <c r="S189" s="3"/>
      <c r="AH189" s="3"/>
      <c r="AI189" s="3"/>
      <c r="AJ189" s="3"/>
      <c r="AK189" s="11"/>
      <c r="AL189" s="122"/>
    </row>
    <row r="190" ht="15.75" customHeight="1">
      <c r="G190" s="3"/>
      <c r="L190" s="60"/>
      <c r="M190" s="60"/>
      <c r="N190" s="60"/>
      <c r="O190" s="60"/>
      <c r="S190" s="3"/>
      <c r="AH190" s="3"/>
      <c r="AI190" s="3"/>
      <c r="AJ190" s="3"/>
      <c r="AK190" s="11"/>
      <c r="AL190" s="122"/>
    </row>
    <row r="191" ht="15.75" customHeight="1">
      <c r="G191" s="3"/>
      <c r="L191" s="60"/>
      <c r="M191" s="60"/>
      <c r="N191" s="60"/>
      <c r="O191" s="60"/>
      <c r="S191" s="3"/>
      <c r="AH191" s="3"/>
      <c r="AI191" s="3"/>
      <c r="AJ191" s="3"/>
      <c r="AK191" s="11"/>
      <c r="AL191" s="122"/>
    </row>
    <row r="192" ht="15.75" customHeight="1">
      <c r="G192" s="3"/>
      <c r="L192" s="60"/>
      <c r="M192" s="60"/>
      <c r="N192" s="60"/>
      <c r="O192" s="60"/>
      <c r="S192" s="3"/>
      <c r="AH192" s="3"/>
      <c r="AI192" s="3"/>
      <c r="AJ192" s="3"/>
      <c r="AK192" s="11"/>
      <c r="AL192" s="122"/>
    </row>
    <row r="193" ht="15.75" customHeight="1">
      <c r="G193" s="3"/>
      <c r="L193" s="60"/>
      <c r="M193" s="60"/>
      <c r="N193" s="60"/>
      <c r="O193" s="60"/>
      <c r="S193" s="3"/>
      <c r="AH193" s="3"/>
      <c r="AI193" s="3"/>
      <c r="AJ193" s="3"/>
      <c r="AK193" s="11"/>
      <c r="AL193" s="122"/>
    </row>
    <row r="194" ht="15.75" customHeight="1">
      <c r="G194" s="3"/>
      <c r="L194" s="60"/>
      <c r="M194" s="60"/>
      <c r="N194" s="60"/>
      <c r="O194" s="60"/>
      <c r="S194" s="3"/>
      <c r="AH194" s="3"/>
      <c r="AI194" s="3"/>
      <c r="AJ194" s="3"/>
      <c r="AK194" s="11"/>
      <c r="AL194" s="122"/>
    </row>
    <row r="195" ht="15.75" customHeight="1">
      <c r="G195" s="3"/>
      <c r="L195" s="60"/>
      <c r="M195" s="60"/>
      <c r="N195" s="60"/>
      <c r="O195" s="60"/>
      <c r="S195" s="3"/>
      <c r="AH195" s="3"/>
      <c r="AI195" s="3"/>
      <c r="AJ195" s="3"/>
      <c r="AK195" s="11"/>
      <c r="AL195" s="122"/>
    </row>
    <row r="196" ht="15.75" customHeight="1">
      <c r="G196" s="3"/>
      <c r="L196" s="60"/>
      <c r="M196" s="60"/>
      <c r="N196" s="60"/>
      <c r="O196" s="60"/>
      <c r="S196" s="3"/>
      <c r="AH196" s="3"/>
      <c r="AI196" s="3"/>
      <c r="AJ196" s="3"/>
      <c r="AK196" s="11"/>
      <c r="AL196" s="122"/>
    </row>
    <row r="197" ht="15.75" customHeight="1">
      <c r="G197" s="3"/>
      <c r="L197" s="60"/>
      <c r="M197" s="60"/>
      <c r="N197" s="60"/>
      <c r="O197" s="60"/>
      <c r="S197" s="3"/>
      <c r="AH197" s="3"/>
      <c r="AI197" s="3"/>
      <c r="AJ197" s="3"/>
      <c r="AK197" s="11"/>
      <c r="AL197" s="122"/>
    </row>
    <row r="198" ht="15.75" customHeight="1">
      <c r="G198" s="3"/>
      <c r="L198" s="60"/>
      <c r="M198" s="60"/>
      <c r="N198" s="60"/>
      <c r="O198" s="60"/>
      <c r="S198" s="3"/>
      <c r="AH198" s="3"/>
      <c r="AI198" s="3"/>
      <c r="AJ198" s="3"/>
      <c r="AK198" s="11"/>
      <c r="AL198" s="122"/>
    </row>
    <row r="199" ht="15.75" customHeight="1">
      <c r="G199" s="3"/>
      <c r="L199" s="60"/>
      <c r="M199" s="60"/>
      <c r="N199" s="60"/>
      <c r="O199" s="60"/>
      <c r="S199" s="3"/>
      <c r="AH199" s="3"/>
      <c r="AI199" s="3"/>
      <c r="AJ199" s="3"/>
      <c r="AK199" s="11"/>
      <c r="AL199" s="122"/>
    </row>
    <row r="200" ht="15.75" customHeight="1">
      <c r="G200" s="3"/>
      <c r="L200" s="60"/>
      <c r="M200" s="60"/>
      <c r="N200" s="60"/>
      <c r="O200" s="60"/>
      <c r="S200" s="3"/>
      <c r="AH200" s="3"/>
      <c r="AI200" s="3"/>
      <c r="AJ200" s="3"/>
      <c r="AK200" s="11"/>
      <c r="AL200" s="122"/>
    </row>
    <row r="201" ht="15.75" customHeight="1">
      <c r="G201" s="3"/>
      <c r="L201" s="60"/>
      <c r="M201" s="60"/>
      <c r="N201" s="60"/>
      <c r="O201" s="60"/>
      <c r="S201" s="3"/>
      <c r="AH201" s="3"/>
      <c r="AI201" s="3"/>
      <c r="AJ201" s="3"/>
      <c r="AK201" s="11"/>
      <c r="AL201" s="122"/>
    </row>
    <row r="202" ht="15.75" customHeight="1">
      <c r="G202" s="3"/>
      <c r="L202" s="60"/>
      <c r="M202" s="60"/>
      <c r="N202" s="60"/>
      <c r="O202" s="60"/>
      <c r="S202" s="3"/>
      <c r="AH202" s="3"/>
      <c r="AI202" s="3"/>
      <c r="AJ202" s="3"/>
      <c r="AK202" s="11"/>
      <c r="AL202" s="122"/>
    </row>
    <row r="203" ht="15.75" customHeight="1">
      <c r="G203" s="3"/>
      <c r="L203" s="60"/>
      <c r="M203" s="60"/>
      <c r="N203" s="60"/>
      <c r="O203" s="60"/>
      <c r="S203" s="3"/>
      <c r="AH203" s="3"/>
      <c r="AI203" s="3"/>
      <c r="AJ203" s="3"/>
      <c r="AK203" s="11"/>
      <c r="AL203" s="122"/>
    </row>
    <row r="204" ht="15.75" customHeight="1">
      <c r="G204" s="3"/>
      <c r="L204" s="60"/>
      <c r="M204" s="60"/>
      <c r="N204" s="60"/>
      <c r="O204" s="60"/>
      <c r="S204" s="3"/>
      <c r="AH204" s="3"/>
      <c r="AI204" s="3"/>
      <c r="AJ204" s="3"/>
      <c r="AK204" s="11"/>
      <c r="AL204" s="122"/>
    </row>
    <row r="205" ht="15.75" customHeight="1">
      <c r="G205" s="3"/>
      <c r="L205" s="60"/>
      <c r="M205" s="60"/>
      <c r="N205" s="60"/>
      <c r="O205" s="60"/>
      <c r="S205" s="3"/>
      <c r="AH205" s="3"/>
      <c r="AI205" s="3"/>
      <c r="AJ205" s="3"/>
      <c r="AK205" s="11"/>
      <c r="AL205" s="122"/>
    </row>
    <row r="206" ht="15.75" customHeight="1">
      <c r="G206" s="3"/>
      <c r="L206" s="60"/>
      <c r="M206" s="60"/>
      <c r="N206" s="60"/>
      <c r="O206" s="60"/>
      <c r="S206" s="3"/>
      <c r="AH206" s="3"/>
      <c r="AI206" s="3"/>
      <c r="AJ206" s="3"/>
      <c r="AK206" s="11"/>
      <c r="AL206" s="122"/>
    </row>
    <row r="207" ht="15.75" customHeight="1">
      <c r="G207" s="3"/>
      <c r="L207" s="60"/>
      <c r="M207" s="60"/>
      <c r="N207" s="60"/>
      <c r="O207" s="60"/>
      <c r="S207" s="3"/>
      <c r="AH207" s="3"/>
      <c r="AI207" s="3"/>
      <c r="AJ207" s="3"/>
      <c r="AK207" s="11"/>
      <c r="AL207" s="122"/>
    </row>
    <row r="208" ht="15.75" customHeight="1">
      <c r="G208" s="3"/>
      <c r="L208" s="60"/>
      <c r="M208" s="60"/>
      <c r="N208" s="60"/>
      <c r="O208" s="60"/>
      <c r="S208" s="3"/>
      <c r="AH208" s="3"/>
      <c r="AI208" s="3"/>
      <c r="AJ208" s="3"/>
      <c r="AK208" s="11"/>
      <c r="AL208" s="122"/>
    </row>
    <row r="209" ht="15.75" customHeight="1">
      <c r="G209" s="3"/>
      <c r="L209" s="60"/>
      <c r="M209" s="60"/>
      <c r="N209" s="60"/>
      <c r="O209" s="60"/>
      <c r="S209" s="3"/>
      <c r="AH209" s="3"/>
      <c r="AI209" s="3"/>
      <c r="AJ209" s="3"/>
      <c r="AK209" s="11"/>
      <c r="AL209" s="122"/>
    </row>
    <row r="210" ht="15.75" customHeight="1">
      <c r="G210" s="3"/>
      <c r="L210" s="60"/>
      <c r="M210" s="60"/>
      <c r="N210" s="60"/>
      <c r="O210" s="60"/>
      <c r="S210" s="3"/>
      <c r="AH210" s="3"/>
      <c r="AI210" s="3"/>
      <c r="AJ210" s="3"/>
      <c r="AK210" s="11"/>
      <c r="AL210" s="122"/>
    </row>
    <row r="211" ht="15.75" customHeight="1">
      <c r="G211" s="3"/>
      <c r="L211" s="60"/>
      <c r="M211" s="60"/>
      <c r="N211" s="60"/>
      <c r="O211" s="60"/>
      <c r="S211" s="3"/>
      <c r="AH211" s="3"/>
      <c r="AI211" s="3"/>
      <c r="AJ211" s="3"/>
      <c r="AK211" s="11"/>
      <c r="AL211" s="122"/>
    </row>
    <row r="212" ht="15.75" customHeight="1">
      <c r="G212" s="3"/>
      <c r="L212" s="60"/>
      <c r="M212" s="60"/>
      <c r="N212" s="60"/>
      <c r="O212" s="60"/>
      <c r="S212" s="3"/>
      <c r="AH212" s="3"/>
      <c r="AI212" s="3"/>
      <c r="AJ212" s="3"/>
      <c r="AK212" s="11"/>
      <c r="AL212" s="122"/>
    </row>
    <row r="213" ht="15.75" customHeight="1">
      <c r="G213" s="3"/>
      <c r="L213" s="60"/>
      <c r="M213" s="60"/>
      <c r="N213" s="60"/>
      <c r="O213" s="60"/>
      <c r="S213" s="3"/>
      <c r="AH213" s="3"/>
      <c r="AI213" s="3"/>
      <c r="AJ213" s="3"/>
      <c r="AK213" s="11"/>
      <c r="AL213" s="122"/>
    </row>
    <row r="214" ht="15.75" customHeight="1">
      <c r="G214" s="3"/>
      <c r="L214" s="60"/>
      <c r="M214" s="60"/>
      <c r="N214" s="60"/>
      <c r="O214" s="60"/>
      <c r="S214" s="3"/>
      <c r="AH214" s="3"/>
      <c r="AI214" s="3"/>
      <c r="AJ214" s="3"/>
      <c r="AK214" s="11"/>
      <c r="AL214" s="122"/>
    </row>
    <row r="215" ht="15.75" customHeight="1">
      <c r="G215" s="3"/>
      <c r="L215" s="60"/>
      <c r="M215" s="60"/>
      <c r="N215" s="60"/>
      <c r="O215" s="60"/>
      <c r="S215" s="3"/>
      <c r="AH215" s="3"/>
      <c r="AI215" s="3"/>
      <c r="AJ215" s="3"/>
      <c r="AK215" s="11"/>
      <c r="AL215" s="122"/>
    </row>
    <row r="216" ht="15.75" customHeight="1">
      <c r="G216" s="3"/>
      <c r="L216" s="60"/>
      <c r="M216" s="60"/>
      <c r="N216" s="60"/>
      <c r="O216" s="60"/>
      <c r="S216" s="3"/>
      <c r="AH216" s="3"/>
      <c r="AI216" s="3"/>
      <c r="AJ216" s="3"/>
      <c r="AK216" s="11"/>
      <c r="AL216" s="122"/>
    </row>
    <row r="217" ht="15.75" customHeight="1">
      <c r="G217" s="3"/>
      <c r="L217" s="60"/>
      <c r="M217" s="60"/>
      <c r="N217" s="60"/>
      <c r="O217" s="60"/>
      <c r="S217" s="3"/>
      <c r="AH217" s="3"/>
      <c r="AI217" s="3"/>
      <c r="AJ217" s="3"/>
      <c r="AK217" s="11"/>
      <c r="AL217" s="122"/>
    </row>
    <row r="218" ht="15.75" customHeight="1">
      <c r="G218" s="3"/>
      <c r="L218" s="60"/>
      <c r="M218" s="60"/>
      <c r="N218" s="60"/>
      <c r="O218" s="60"/>
      <c r="S218" s="3"/>
      <c r="AH218" s="3"/>
      <c r="AI218" s="3"/>
      <c r="AJ218" s="3"/>
      <c r="AK218" s="11"/>
      <c r="AL218" s="122"/>
    </row>
    <row r="219" ht="15.75" customHeight="1">
      <c r="G219" s="3"/>
      <c r="L219" s="60"/>
      <c r="M219" s="60"/>
      <c r="N219" s="60"/>
      <c r="O219" s="60"/>
      <c r="S219" s="3"/>
      <c r="AH219" s="3"/>
      <c r="AI219" s="3"/>
      <c r="AJ219" s="3"/>
      <c r="AK219" s="11"/>
      <c r="AL219" s="122"/>
    </row>
    <row r="220" ht="15.75" customHeight="1">
      <c r="G220" s="3"/>
      <c r="L220" s="60"/>
      <c r="M220" s="60"/>
      <c r="N220" s="60"/>
      <c r="O220" s="60"/>
      <c r="S220" s="3"/>
      <c r="AH220" s="3"/>
      <c r="AI220" s="3"/>
      <c r="AJ220" s="3"/>
      <c r="AK220" s="11"/>
      <c r="AL220" s="122"/>
    </row>
    <row r="221" ht="15.75" customHeight="1">
      <c r="G221" s="3"/>
      <c r="L221" s="60"/>
      <c r="M221" s="60"/>
      <c r="N221" s="60"/>
      <c r="O221" s="60"/>
      <c r="S221" s="3"/>
      <c r="AH221" s="3"/>
      <c r="AI221" s="3"/>
      <c r="AJ221" s="3"/>
      <c r="AK221" s="11"/>
      <c r="AL221" s="122"/>
    </row>
    <row r="222" ht="15.75" customHeight="1">
      <c r="G222" s="3"/>
      <c r="L222" s="60"/>
      <c r="M222" s="60"/>
      <c r="N222" s="60"/>
      <c r="O222" s="60"/>
      <c r="S222" s="3"/>
      <c r="AH222" s="3"/>
      <c r="AI222" s="3"/>
      <c r="AJ222" s="3"/>
      <c r="AK222" s="11"/>
      <c r="AL222" s="122"/>
    </row>
    <row r="223" ht="15.75" customHeight="1">
      <c r="G223" s="3"/>
      <c r="L223" s="60"/>
      <c r="M223" s="60"/>
      <c r="N223" s="60"/>
      <c r="O223" s="60"/>
      <c r="S223" s="3"/>
      <c r="AH223" s="3"/>
      <c r="AI223" s="3"/>
      <c r="AJ223" s="3"/>
      <c r="AK223" s="11"/>
      <c r="AL223" s="122"/>
    </row>
    <row r="224" ht="15.75" customHeight="1">
      <c r="G224" s="3"/>
      <c r="L224" s="60"/>
      <c r="M224" s="60"/>
      <c r="N224" s="60"/>
      <c r="O224" s="60"/>
      <c r="S224" s="3"/>
      <c r="AH224" s="3"/>
      <c r="AI224" s="3"/>
      <c r="AJ224" s="3"/>
      <c r="AK224" s="11"/>
      <c r="AL224" s="122"/>
    </row>
    <row r="225" ht="15.75" customHeight="1">
      <c r="G225" s="3"/>
      <c r="L225" s="60"/>
      <c r="M225" s="60"/>
      <c r="N225" s="60"/>
      <c r="O225" s="60"/>
      <c r="S225" s="3"/>
      <c r="AH225" s="3"/>
      <c r="AI225" s="3"/>
      <c r="AJ225" s="3"/>
      <c r="AK225" s="11"/>
      <c r="AL225" s="122"/>
    </row>
    <row r="226" ht="15.75" customHeight="1">
      <c r="G226" s="3"/>
      <c r="L226" s="60"/>
      <c r="M226" s="60"/>
      <c r="N226" s="60"/>
      <c r="O226" s="60"/>
      <c r="S226" s="3"/>
      <c r="AH226" s="3"/>
      <c r="AI226" s="3"/>
      <c r="AJ226" s="3"/>
      <c r="AK226" s="11"/>
      <c r="AL226" s="122"/>
    </row>
    <row r="227" ht="15.75" customHeight="1">
      <c r="G227" s="3"/>
      <c r="S227" s="3"/>
      <c r="AH227" s="3"/>
      <c r="AI227" s="3"/>
      <c r="AJ227" s="3"/>
      <c r="AL227" s="3"/>
    </row>
    <row r="228" ht="15.75" customHeight="1">
      <c r="G228" s="3"/>
      <c r="S228" s="3"/>
      <c r="AH228" s="3"/>
      <c r="AI228" s="3"/>
      <c r="AJ228" s="3"/>
      <c r="AL228" s="3"/>
    </row>
    <row r="229" ht="15.75" customHeight="1">
      <c r="G229" s="3"/>
      <c r="S229" s="3"/>
      <c r="AH229" s="3"/>
      <c r="AI229" s="3"/>
      <c r="AJ229" s="3"/>
      <c r="AL229" s="3"/>
    </row>
    <row r="230" ht="15.75" customHeight="1">
      <c r="G230" s="3"/>
      <c r="S230" s="3"/>
      <c r="AH230" s="3"/>
      <c r="AI230" s="3"/>
      <c r="AJ230" s="3"/>
      <c r="AL230" s="3"/>
    </row>
    <row r="231" ht="15.75" customHeight="1">
      <c r="G231" s="3"/>
      <c r="S231" s="3"/>
      <c r="AH231" s="3"/>
      <c r="AI231" s="3"/>
      <c r="AJ231" s="3"/>
      <c r="AL231" s="3"/>
    </row>
    <row r="232" ht="15.75" customHeight="1">
      <c r="G232" s="3"/>
      <c r="S232" s="3"/>
      <c r="AH232" s="3"/>
      <c r="AI232" s="3"/>
      <c r="AJ232" s="3"/>
      <c r="AL232" s="3"/>
    </row>
    <row r="233" ht="15.75" customHeight="1">
      <c r="G233" s="3"/>
      <c r="S233" s="3"/>
      <c r="AH233" s="3"/>
      <c r="AI233" s="3"/>
      <c r="AJ233" s="3"/>
      <c r="AL233" s="3"/>
    </row>
    <row r="234" ht="15.75" customHeight="1">
      <c r="G234" s="3"/>
      <c r="S234" s="3"/>
      <c r="AH234" s="3"/>
      <c r="AI234" s="3"/>
      <c r="AJ234" s="3"/>
      <c r="AL234" s="3"/>
    </row>
    <row r="235" ht="15.75" customHeight="1">
      <c r="G235" s="3"/>
      <c r="S235" s="3"/>
      <c r="AH235" s="3"/>
      <c r="AI235" s="3"/>
      <c r="AJ235" s="3"/>
      <c r="AL235" s="3"/>
    </row>
    <row r="236" ht="15.75" customHeight="1">
      <c r="G236" s="3"/>
      <c r="S236" s="3"/>
      <c r="AH236" s="3"/>
      <c r="AI236" s="3"/>
      <c r="AJ236" s="3"/>
      <c r="AL236" s="3"/>
    </row>
    <row r="237" ht="15.75" customHeight="1">
      <c r="G237" s="3"/>
      <c r="S237" s="3"/>
      <c r="AH237" s="3"/>
      <c r="AI237" s="3"/>
      <c r="AJ237" s="3"/>
      <c r="AL237" s="3"/>
    </row>
    <row r="238" ht="15.75" customHeight="1">
      <c r="G238" s="3"/>
      <c r="AH238" s="3"/>
      <c r="AI238" s="3"/>
      <c r="AJ238" s="3"/>
      <c r="AL238" s="3"/>
    </row>
    <row r="239" ht="15.75" customHeight="1">
      <c r="G239" s="3"/>
      <c r="AH239" s="3"/>
      <c r="AI239" s="3"/>
      <c r="AJ239" s="3"/>
      <c r="AL239" s="3"/>
    </row>
    <row r="240" ht="15.75" customHeight="1">
      <c r="G240" s="3"/>
      <c r="AH240" s="3"/>
      <c r="AI240" s="3"/>
      <c r="AJ240" s="3"/>
      <c r="AL240" s="3"/>
    </row>
    <row r="241" ht="15.75" customHeight="1">
      <c r="G241" s="3"/>
      <c r="AH241" s="3"/>
      <c r="AI241" s="3"/>
      <c r="AJ241" s="3"/>
      <c r="AL241" s="3"/>
    </row>
    <row r="242" ht="15.75" customHeight="1">
      <c r="G242" s="3"/>
      <c r="AH242" s="3"/>
      <c r="AI242" s="3"/>
      <c r="AJ242" s="3"/>
      <c r="AL242" s="3"/>
    </row>
    <row r="243" ht="15.75" customHeight="1">
      <c r="G243" s="3"/>
      <c r="AH243" s="3"/>
      <c r="AI243" s="3"/>
      <c r="AJ243" s="3"/>
      <c r="AL243" s="3"/>
    </row>
    <row r="244" ht="15.75" customHeight="1">
      <c r="G244" s="3"/>
      <c r="AH244" s="3"/>
      <c r="AI244" s="3"/>
      <c r="AJ244" s="3"/>
      <c r="AL244" s="3"/>
    </row>
    <row r="245" ht="15.75" customHeight="1">
      <c r="G245" s="3"/>
      <c r="AH245" s="3"/>
      <c r="AI245" s="3"/>
      <c r="AJ245" s="3"/>
      <c r="AL245" s="3"/>
    </row>
    <row r="246" ht="15.75" customHeight="1">
      <c r="G246" s="3"/>
      <c r="AH246" s="3"/>
      <c r="AI246" s="3"/>
      <c r="AJ246" s="3"/>
      <c r="AL246" s="3"/>
    </row>
    <row r="247" ht="15.75" customHeight="1">
      <c r="G247" s="3"/>
      <c r="AH247" s="3"/>
      <c r="AI247" s="3"/>
      <c r="AJ247" s="3"/>
      <c r="AL247" s="3"/>
    </row>
    <row r="248" ht="15.75" customHeight="1">
      <c r="G248" s="3"/>
      <c r="AH248" s="3"/>
      <c r="AI248" s="3"/>
      <c r="AJ248" s="3"/>
      <c r="AL248" s="3"/>
    </row>
    <row r="249" ht="15.75" customHeight="1">
      <c r="G249" s="3"/>
      <c r="AH249" s="3"/>
      <c r="AI249" s="3"/>
      <c r="AJ249" s="3"/>
      <c r="AL249" s="3"/>
    </row>
    <row r="250" ht="15.75" customHeight="1">
      <c r="G250" s="3"/>
      <c r="AH250" s="3"/>
      <c r="AI250" s="3"/>
      <c r="AJ250" s="3"/>
      <c r="AL250" s="3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AL$201">
    <sortState ref="A3:AL201">
      <sortCondition ref="A3:A201"/>
    </sortState>
  </autoFilter>
  <printOptions/>
  <pageMargins bottom="0.75" footer="0.0" header="0.0" left="0.7" right="0.7" top="0.75"/>
  <pageSetup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5" max="35" width="14.43"/>
    <col customWidth="1" min="36" max="36" width="17.57"/>
    <col customWidth="1" min="37" max="37" width="5.14"/>
    <col customWidth="1" min="38" max="38" width="14.43"/>
  </cols>
  <sheetData>
    <row r="1" ht="15.0" customHeight="1">
      <c r="A1" s="2"/>
      <c r="B1" s="2"/>
      <c r="C1" s="2"/>
      <c r="D1" s="2"/>
      <c r="E1" s="2"/>
      <c r="F1" s="2"/>
      <c r="G1" s="3"/>
      <c r="H1" s="4"/>
      <c r="I1" s="6">
        <v>636.85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7"/>
      <c r="AC1" s="7"/>
      <c r="AD1" s="7"/>
      <c r="AE1" s="7"/>
      <c r="AF1" s="7"/>
      <c r="AG1" s="862" t="s">
        <v>0</v>
      </c>
      <c r="AH1" s="878" t="s">
        <v>4748</v>
      </c>
      <c r="AI1" s="812" t="s">
        <v>2</v>
      </c>
      <c r="AJ1" s="9" t="s">
        <v>3</v>
      </c>
      <c r="AK1" s="11"/>
      <c r="AL1" s="12" t="s">
        <v>4</v>
      </c>
    </row>
    <row r="2" ht="15.0" customHeight="1">
      <c r="A2" s="2"/>
      <c r="B2" s="2"/>
      <c r="C2" s="2"/>
      <c r="D2" s="2"/>
      <c r="E2" s="2"/>
      <c r="F2" s="2"/>
      <c r="G2" s="13"/>
      <c r="H2" s="13"/>
      <c r="I2" s="14">
        <f>SUM(I4:I627)</f>
        <v>636.85</v>
      </c>
      <c r="J2" s="4"/>
      <c r="K2" s="873">
        <f>SUM(K4:K627)</f>
        <v>621.16369</v>
      </c>
      <c r="L2" s="15">
        <f>SUMPRODUCT(L4:L739,K4:K739)/K2</f>
        <v>0.2692009223</v>
      </c>
      <c r="M2" s="2"/>
      <c r="N2" s="2"/>
      <c r="O2" s="2"/>
      <c r="P2" s="2"/>
      <c r="Q2" s="16">
        <f>+SUMPRODUCT(Q4:Q627,AH4:AH627)/SUM(AH4:AH627)</f>
        <v>89.57251464</v>
      </c>
      <c r="R2" s="12">
        <f>+SUMPRODUCT(R4:R627,AH4:AH627)/SUM(AH4:AH627)</f>
        <v>2643.850806</v>
      </c>
      <c r="S2" s="2"/>
      <c r="T2" s="2"/>
      <c r="U2" s="2"/>
      <c r="V2" s="2"/>
      <c r="W2" s="2"/>
      <c r="X2" s="2"/>
      <c r="Y2" s="2"/>
      <c r="Z2" s="2"/>
      <c r="AA2" s="2"/>
      <c r="AB2" s="7"/>
      <c r="AC2" s="7"/>
      <c r="AD2" s="7"/>
      <c r="AE2" s="7"/>
      <c r="AF2" s="7"/>
      <c r="AG2" s="863">
        <f>SUMPRODUCT($AG4:$AG627,$K4:$K627)/SUM($K4:$K627)</f>
        <v>46.11085976</v>
      </c>
      <c r="AH2" s="879">
        <f>SUM(AH4:AH627)</f>
        <v>5135.266768</v>
      </c>
      <c r="AI2" s="828">
        <v>2720.0</v>
      </c>
      <c r="AJ2" s="20"/>
      <c r="AK2" s="11"/>
      <c r="AL2" s="21"/>
    </row>
    <row r="3" ht="15.0" customHeight="1">
      <c r="A3" s="880" t="s">
        <v>5</v>
      </c>
      <c r="B3" s="880" t="s">
        <v>6</v>
      </c>
      <c r="C3" s="880" t="s">
        <v>7</v>
      </c>
      <c r="D3" s="880" t="s">
        <v>8</v>
      </c>
      <c r="E3" s="880" t="s">
        <v>4749</v>
      </c>
      <c r="F3" s="880" t="s">
        <v>10</v>
      </c>
      <c r="G3" s="881" t="s">
        <v>11</v>
      </c>
      <c r="H3" s="882"/>
      <c r="I3" s="883" t="s">
        <v>12</v>
      </c>
      <c r="J3" s="884" t="s">
        <v>13</v>
      </c>
      <c r="K3" s="885" t="s">
        <v>14</v>
      </c>
      <c r="L3" s="883" t="s">
        <v>15</v>
      </c>
      <c r="M3" s="886" t="s">
        <v>16</v>
      </c>
      <c r="N3" s="887" t="s">
        <v>17</v>
      </c>
      <c r="O3" s="881" t="s">
        <v>18</v>
      </c>
      <c r="P3" s="888" t="s">
        <v>19</v>
      </c>
      <c r="Q3" s="883" t="s">
        <v>20</v>
      </c>
      <c r="R3" s="883" t="s">
        <v>21</v>
      </c>
      <c r="S3" s="889" t="s">
        <v>22</v>
      </c>
      <c r="T3" s="890" t="s">
        <v>23</v>
      </c>
      <c r="U3" s="890" t="s">
        <v>24</v>
      </c>
      <c r="V3" s="891" t="s">
        <v>25</v>
      </c>
      <c r="W3" s="892" t="s">
        <v>26</v>
      </c>
      <c r="X3" s="892" t="s">
        <v>27</v>
      </c>
      <c r="Y3" s="892" t="s">
        <v>28</v>
      </c>
      <c r="Z3" s="881" t="s">
        <v>29</v>
      </c>
      <c r="AA3" s="881" t="s">
        <v>30</v>
      </c>
      <c r="AB3" s="893" t="s">
        <v>31</v>
      </c>
      <c r="AC3" s="894" t="s">
        <v>32</v>
      </c>
      <c r="AD3" s="895" t="s">
        <v>33</v>
      </c>
      <c r="AE3" s="895" t="s">
        <v>34</v>
      </c>
      <c r="AF3" s="895" t="s">
        <v>35</v>
      </c>
      <c r="AG3" s="896" t="s">
        <v>36</v>
      </c>
      <c r="AH3" s="897" t="s">
        <v>4750</v>
      </c>
      <c r="AI3" s="898">
        <f>SUMPRODUCT(K4:K627,AI4:AI627)/K2</f>
        <v>48.72501755</v>
      </c>
      <c r="AJ3" s="39">
        <f>SUBTOTAL(9,AJ4:AJ9909)</f>
        <v>5056.397697</v>
      </c>
      <c r="AK3" s="11"/>
      <c r="AL3" s="39">
        <f>SUBTOTAL(9,AL4:AL9909)</f>
        <v>311685.0473</v>
      </c>
    </row>
    <row r="4" ht="15.0" customHeight="1">
      <c r="A4" s="899"/>
      <c r="B4" s="900"/>
      <c r="C4" s="900"/>
      <c r="D4" s="900"/>
      <c r="E4" s="900"/>
      <c r="F4" s="900"/>
      <c r="G4" s="901"/>
      <c r="H4" s="901"/>
      <c r="I4" s="42"/>
      <c r="J4" s="900"/>
      <c r="K4" s="42"/>
      <c r="L4" s="43"/>
      <c r="M4" s="902"/>
      <c r="N4" s="902"/>
      <c r="O4" s="901"/>
      <c r="P4" s="901"/>
      <c r="Q4" s="43"/>
      <c r="R4" s="43"/>
      <c r="S4" s="901"/>
      <c r="T4" s="903"/>
      <c r="U4" s="903"/>
      <c r="V4" s="903"/>
      <c r="W4" s="901"/>
      <c r="X4" s="901"/>
      <c r="Y4" s="901"/>
      <c r="Z4" s="901"/>
      <c r="AA4" s="901"/>
      <c r="AB4" s="904"/>
      <c r="AC4" s="905"/>
      <c r="AD4" s="906"/>
      <c r="AE4" s="906"/>
      <c r="AF4" s="906"/>
      <c r="AG4" s="907"/>
      <c r="AH4" s="50"/>
      <c r="AI4" s="51"/>
      <c r="AJ4" s="134"/>
      <c r="AK4" s="53"/>
      <c r="AL4" s="51"/>
    </row>
    <row r="5" ht="15.75" customHeight="1">
      <c r="A5" s="908" t="s">
        <v>4751</v>
      </c>
      <c r="B5" s="841">
        <v>45565.0</v>
      </c>
      <c r="C5" s="870">
        <v>45557.0</v>
      </c>
      <c r="D5" s="2" t="s">
        <v>602</v>
      </c>
      <c r="E5" s="2">
        <v>2.0169040231E10</v>
      </c>
      <c r="F5" s="2" t="s">
        <v>4752</v>
      </c>
      <c r="G5" s="3">
        <v>48.0</v>
      </c>
      <c r="H5" s="2" t="s">
        <v>47</v>
      </c>
      <c r="I5" s="58">
        <v>4.66</v>
      </c>
      <c r="J5" s="58">
        <v>1.0</v>
      </c>
      <c r="K5" s="59">
        <f t="shared" ref="K5:K29" si="1">+I5-(I5*(J5/100))</f>
        <v>4.6134</v>
      </c>
      <c r="L5" s="60">
        <v>0.514</v>
      </c>
      <c r="M5" s="60">
        <v>0.473</v>
      </c>
      <c r="N5" s="131">
        <v>0.498</v>
      </c>
      <c r="O5" s="106">
        <f t="shared" ref="O5:O17" si="2">+ROUND((M5+N5)/2,3)</f>
        <v>0.486</v>
      </c>
      <c r="P5" s="2">
        <v>90.0</v>
      </c>
      <c r="Q5" s="58">
        <v>89.22</v>
      </c>
      <c r="R5" s="65">
        <v>2605.85</v>
      </c>
      <c r="S5" s="3">
        <v>130.0</v>
      </c>
      <c r="T5" s="2"/>
      <c r="U5" s="2">
        <v>130.0</v>
      </c>
      <c r="V5" s="67">
        <v>1.1023</v>
      </c>
      <c r="W5" s="58"/>
      <c r="X5" s="58"/>
      <c r="Y5" s="2">
        <v>30.0</v>
      </c>
      <c r="Z5" s="69">
        <f t="shared" ref="Z5:Z12" si="3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29" si="4">+Y5+Z5</f>
        <v>60</v>
      </c>
      <c r="AB5" s="71">
        <f t="shared" ref="AB5:AB14" si="5">+((O5*P5*(R5-U5)/100)-S5-AA5+T5)*V5</f>
        <v>984.2842236</v>
      </c>
      <c r="AC5" s="71">
        <f>+(S5-T5)*V5-'data 1'!$F$4</f>
        <v>63.299</v>
      </c>
      <c r="AD5" s="71">
        <f t="shared" ref="AD5:AD29" si="6">+(Q5-P5)*(R5-U5)*L5*V5/100</f>
        <v>-10.94162581</v>
      </c>
      <c r="AE5" s="71">
        <f>+(Y5*V5-'data 2'!$B$2)+V5*(Z5-IF(D5="UNTUCA",IF(+((W5-3)*2.5+(X5-3)*3.1)&gt;0,+((W5-3)*1.5+(X5-3)*3.1),0),IF(+((W5-3)*1.5+(X5-3)*3.1)&gt;0,+((W5-3)*1.5+(X5-3)*3.1),0)))</f>
        <v>-23.862</v>
      </c>
      <c r="AF5" s="71">
        <f t="shared" ref="AF5:AF29" si="7">(L5-O5)*(R5-U5)*Q5*V5/100</f>
        <v>68.17802039</v>
      </c>
      <c r="AG5" s="868">
        <f t="shared" ref="AG5:AG12" si="8">+IF(D5="RONALD WILLIAN GARIBAY ESCUDERO",AC5+AD5+AE5+AF5+80,AC5+AD5+AE5+AF5)</f>
        <v>96.67339458</v>
      </c>
      <c r="AH5" s="52">
        <f t="shared" ref="AH5:AH29" si="9">31.1035*L5*Q5*1.1023*K5/100</f>
        <v>72.53631997</v>
      </c>
      <c r="AI5" s="871">
        <f t="shared" ref="AI5:AI14" si="10">+((+$AI$2-R5+U5)*L5*Q5*V5)/100</f>
        <v>123.4189576</v>
      </c>
      <c r="AJ5" s="871">
        <f t="shared" ref="AJ5:AJ29" si="11">31.1035*1.1023*K5*P5*O5/100</f>
        <v>69.18452432</v>
      </c>
      <c r="AK5" s="11"/>
      <c r="AL5" s="122">
        <f t="shared" ref="AL5:AL29" si="12">+IF(AB5*K5&gt;0,AB5*K5,0)</f>
        <v>4540.896837</v>
      </c>
    </row>
    <row r="6" ht="15.75" customHeight="1">
      <c r="A6" s="908" t="s">
        <v>4753</v>
      </c>
      <c r="B6" s="841">
        <v>45565.0</v>
      </c>
      <c r="C6" s="870">
        <v>45557.0</v>
      </c>
      <c r="D6" s="2" t="s">
        <v>602</v>
      </c>
      <c r="E6" s="2">
        <v>2.0169040231E10</v>
      </c>
      <c r="F6" s="2" t="s">
        <v>4752</v>
      </c>
      <c r="G6" s="3">
        <v>48.0</v>
      </c>
      <c r="H6" s="2" t="s">
        <v>47</v>
      </c>
      <c r="I6" s="58">
        <v>4.51</v>
      </c>
      <c r="J6" s="58">
        <v>1.1</v>
      </c>
      <c r="K6" s="59">
        <f t="shared" si="1"/>
        <v>4.46039</v>
      </c>
      <c r="L6" s="60">
        <v>0.716</v>
      </c>
      <c r="M6" s="60">
        <v>0.673</v>
      </c>
      <c r="N6" s="131">
        <v>0.777</v>
      </c>
      <c r="O6" s="106">
        <f t="shared" si="2"/>
        <v>0.725</v>
      </c>
      <c r="P6" s="2">
        <v>90.0</v>
      </c>
      <c r="Q6" s="58">
        <v>89.14</v>
      </c>
      <c r="R6" s="65">
        <v>2605.85</v>
      </c>
      <c r="S6" s="3">
        <v>160.0</v>
      </c>
      <c r="T6" s="2"/>
      <c r="U6" s="2">
        <v>130.0</v>
      </c>
      <c r="V6" s="67">
        <v>1.1023</v>
      </c>
      <c r="W6" s="58"/>
      <c r="X6" s="58"/>
      <c r="Y6" s="2">
        <v>30.0</v>
      </c>
      <c r="Z6" s="69">
        <f t="shared" si="3"/>
        <v>30</v>
      </c>
      <c r="AA6" s="70">
        <f t="shared" si="4"/>
        <v>60</v>
      </c>
      <c r="AB6" s="71">
        <f t="shared" si="5"/>
        <v>1538.250969</v>
      </c>
      <c r="AC6" s="71">
        <f>+(S6-T6)*V6-'data 1'!$F$4</f>
        <v>96.368</v>
      </c>
      <c r="AD6" s="71">
        <f t="shared" si="6"/>
        <v>-16.80488753</v>
      </c>
      <c r="AE6" s="71">
        <f>+(Y6*V6-'data 2'!$B$2)+V6*(Z6-IF(D6="UNTUCA",IF(+((W6-3)*2.5+(X6-3)*3.1)&gt;0,+((W6-3)*1.5+(X6-3)*3.1),0),IF(+((W6-3)*1.5+(X6-3)*3.1)&gt;0,+((W6-3)*1.5+(X6-3)*3.1),0)))</f>
        <v>-23.862</v>
      </c>
      <c r="AF6" s="71">
        <f t="shared" si="7"/>
        <v>-21.89471397</v>
      </c>
      <c r="AG6" s="868">
        <f t="shared" si="8"/>
        <v>33.8063985</v>
      </c>
      <c r="AH6" s="52">
        <f t="shared" si="9"/>
        <v>97.60398619</v>
      </c>
      <c r="AI6" s="871">
        <f t="shared" si="10"/>
        <v>171.767972</v>
      </c>
      <c r="AJ6" s="871">
        <f t="shared" si="11"/>
        <v>99.78434681</v>
      </c>
      <c r="AK6" s="11"/>
      <c r="AL6" s="122">
        <f t="shared" si="12"/>
        <v>6861.199241</v>
      </c>
    </row>
    <row r="7" ht="15.75" customHeight="1">
      <c r="A7" s="908" t="s">
        <v>4754</v>
      </c>
      <c r="B7" s="841">
        <v>45559.0</v>
      </c>
      <c r="C7" s="870">
        <v>45557.0</v>
      </c>
      <c r="D7" s="2" t="s">
        <v>602</v>
      </c>
      <c r="E7" s="2">
        <v>2.0169040231E10</v>
      </c>
      <c r="F7" s="2" t="s">
        <v>4103</v>
      </c>
      <c r="G7" s="3">
        <v>18.0</v>
      </c>
      <c r="H7" s="2" t="s">
        <v>47</v>
      </c>
      <c r="I7" s="58">
        <v>1.52</v>
      </c>
      <c r="J7" s="58">
        <v>1.3</v>
      </c>
      <c r="K7" s="59">
        <f t="shared" si="1"/>
        <v>1.50024</v>
      </c>
      <c r="L7" s="60">
        <v>0.443</v>
      </c>
      <c r="M7" s="60">
        <v>0.425</v>
      </c>
      <c r="N7" s="62">
        <v>0.425</v>
      </c>
      <c r="O7" s="106">
        <f t="shared" si="2"/>
        <v>0.425</v>
      </c>
      <c r="P7" s="2">
        <v>90.0</v>
      </c>
      <c r="Q7" s="2">
        <v>89.23</v>
      </c>
      <c r="R7" s="65">
        <v>2605.85</v>
      </c>
      <c r="S7" s="3">
        <v>130.0</v>
      </c>
      <c r="T7" s="2"/>
      <c r="U7" s="2">
        <v>130.0</v>
      </c>
      <c r="V7" s="67">
        <v>1.1023</v>
      </c>
      <c r="W7" s="58"/>
      <c r="X7" s="58"/>
      <c r="Y7" s="2">
        <v>30.0</v>
      </c>
      <c r="Z7" s="69">
        <f t="shared" si="3"/>
        <v>30</v>
      </c>
      <c r="AA7" s="70">
        <f t="shared" si="4"/>
        <v>60</v>
      </c>
      <c r="AB7" s="71">
        <f t="shared" si="5"/>
        <v>834.4550165</v>
      </c>
      <c r="AC7" s="71">
        <f>+(S7-T7)*V7-'data 1'!$F$4</f>
        <v>63.299</v>
      </c>
      <c r="AD7" s="71">
        <f t="shared" si="6"/>
        <v>-9.309333484</v>
      </c>
      <c r="AE7" s="71">
        <f>+(Y7*V7-'data 2'!$B$2)+V7*(Z7-IF(D7="UNTUCA",IF(+((W7-3)*2.5+(X7-3)*3.1)&gt;0,+((W7-3)*1.5+(X7-3)*3.1),0),IF(+((W7-3)*1.5+(X7-3)*3.1)&gt;0,+((W7-3)*1.5+(X7-3)*3.1),0)))</f>
        <v>-23.862</v>
      </c>
      <c r="AF7" s="71">
        <f t="shared" si="7"/>
        <v>43.83363983</v>
      </c>
      <c r="AG7" s="868">
        <f t="shared" si="8"/>
        <v>73.96130634</v>
      </c>
      <c r="AH7" s="52">
        <f t="shared" si="9"/>
        <v>20.33220262</v>
      </c>
      <c r="AI7" s="871">
        <f t="shared" si="10"/>
        <v>106.3827359</v>
      </c>
      <c r="AJ7" s="871">
        <f t="shared" si="11"/>
        <v>19.67438879</v>
      </c>
      <c r="AK7" s="11"/>
      <c r="AL7" s="122">
        <f t="shared" si="12"/>
        <v>1251.882794</v>
      </c>
    </row>
    <row r="8" ht="15.75" customHeight="1">
      <c r="A8" s="88" t="s">
        <v>4755</v>
      </c>
      <c r="B8" s="841">
        <v>45563.0</v>
      </c>
      <c r="C8" s="870">
        <v>45560.0</v>
      </c>
      <c r="D8" s="2" t="s">
        <v>4571</v>
      </c>
      <c r="E8" s="2">
        <v>1.0460498487E10</v>
      </c>
      <c r="F8" s="2" t="s">
        <v>4756</v>
      </c>
      <c r="G8" s="3" t="s">
        <v>4100</v>
      </c>
      <c r="H8" s="2" t="s">
        <v>47</v>
      </c>
      <c r="I8" s="58">
        <v>28.52</v>
      </c>
      <c r="J8" s="58">
        <v>3.7</v>
      </c>
      <c r="K8" s="59">
        <f t="shared" si="1"/>
        <v>27.46476</v>
      </c>
      <c r="L8" s="60">
        <v>0.234</v>
      </c>
      <c r="M8" s="60">
        <v>0.217</v>
      </c>
      <c r="N8" s="131">
        <v>0.256</v>
      </c>
      <c r="O8" s="106">
        <f t="shared" si="2"/>
        <v>0.237</v>
      </c>
      <c r="P8" s="2">
        <v>90.0</v>
      </c>
      <c r="Q8" s="2">
        <v>89.46</v>
      </c>
      <c r="R8" s="65">
        <v>2635.95</v>
      </c>
      <c r="S8" s="3">
        <v>120.0</v>
      </c>
      <c r="T8" s="2"/>
      <c r="U8" s="2">
        <v>130.0</v>
      </c>
      <c r="V8" s="67">
        <v>1.1023</v>
      </c>
      <c r="W8" s="58"/>
      <c r="X8" s="58"/>
      <c r="Y8" s="2">
        <v>40.0</v>
      </c>
      <c r="Z8" s="69">
        <f t="shared" si="3"/>
        <v>30</v>
      </c>
      <c r="AA8" s="70">
        <f t="shared" si="4"/>
        <v>70</v>
      </c>
      <c r="AB8" s="71">
        <f t="shared" si="5"/>
        <v>379.7634425</v>
      </c>
      <c r="AC8" s="71">
        <f>+(S8-T8)*V8-'data 1'!$F$4</f>
        <v>52.276</v>
      </c>
      <c r="AD8" s="71">
        <f t="shared" si="6"/>
        <v>-3.490453254</v>
      </c>
      <c r="AE8" s="71">
        <f>+(Y8*V8-'data 2'!$B$2)+V8*(Z8-IF(D8="UNTUCA",IF(+((W8-3)*2.5+(X8-3)*3.1)&gt;0,+((W8-3)*1.5+(X8-3)*3.1),0),IF(+((W8-3)*1.5+(X8-3)*3.1)&gt;0,+((W8-3)*1.5+(X8-3)*3.1),0)))</f>
        <v>-12.839</v>
      </c>
      <c r="AF8" s="71">
        <f t="shared" si="7"/>
        <v>-7.413484049</v>
      </c>
      <c r="AG8" s="868">
        <f t="shared" si="8"/>
        <v>28.5330627</v>
      </c>
      <c r="AH8" s="52">
        <f t="shared" si="9"/>
        <v>197.1195181</v>
      </c>
      <c r="AI8" s="871">
        <f t="shared" si="10"/>
        <v>49.39236151</v>
      </c>
      <c r="AJ8" s="871">
        <f t="shared" si="11"/>
        <v>200.8518023</v>
      </c>
      <c r="AK8" s="11"/>
      <c r="AL8" s="122">
        <f t="shared" si="12"/>
        <v>10430.11181</v>
      </c>
    </row>
    <row r="9" ht="15.75" customHeight="1">
      <c r="A9" s="88" t="s">
        <v>4757</v>
      </c>
      <c r="B9" s="841">
        <v>45566.0</v>
      </c>
      <c r="C9" s="841">
        <v>45560.0</v>
      </c>
      <c r="D9" s="67" t="s">
        <v>4571</v>
      </c>
      <c r="E9" s="67">
        <v>1.0460498487E10</v>
      </c>
      <c r="F9" s="67" t="s">
        <v>4758</v>
      </c>
      <c r="G9" s="134">
        <v>85.0</v>
      </c>
      <c r="H9" s="67" t="s">
        <v>47</v>
      </c>
      <c r="I9" s="69">
        <v>7.4</v>
      </c>
      <c r="J9" s="69">
        <v>5.95</v>
      </c>
      <c r="K9" s="59">
        <f t="shared" si="1"/>
        <v>6.9597</v>
      </c>
      <c r="L9" s="106">
        <v>0.357</v>
      </c>
      <c r="M9" s="106">
        <v>0.357</v>
      </c>
      <c r="N9" s="111">
        <v>0.357</v>
      </c>
      <c r="O9" s="106">
        <f t="shared" si="2"/>
        <v>0.357</v>
      </c>
      <c r="P9" s="67">
        <v>90.0</v>
      </c>
      <c r="Q9" s="69">
        <v>89.52</v>
      </c>
      <c r="R9" s="70">
        <v>2635.95</v>
      </c>
      <c r="S9" s="134">
        <v>130.0</v>
      </c>
      <c r="T9" s="67"/>
      <c r="U9" s="67">
        <v>100.0</v>
      </c>
      <c r="V9" s="67">
        <v>1.1023</v>
      </c>
      <c r="W9" s="69"/>
      <c r="X9" s="69"/>
      <c r="Y9" s="67"/>
      <c r="Z9" s="69">
        <f t="shared" si="3"/>
        <v>30</v>
      </c>
      <c r="AA9" s="70">
        <f t="shared" si="4"/>
        <v>30</v>
      </c>
      <c r="AB9" s="71">
        <f t="shared" si="5"/>
        <v>721.7868502</v>
      </c>
      <c r="AC9" s="71">
        <f>+(S9-T9)*V9-'data 1'!$F$4</f>
        <v>63.299</v>
      </c>
      <c r="AD9" s="71">
        <f t="shared" si="6"/>
        <v>-4.790159201</v>
      </c>
      <c r="AE9" s="71">
        <f>+(Y9*V9-'data 2'!$B$2)+V9*(Z9-IF(D9="UNTUCA",IF(+((W9-3)*2.5+(X9-3)*3.1)&gt;0,+((W9-3)*1.5+(X9-3)*3.1),0),IF(+((W9-3)*1.5+(X9-3)*3.1)&gt;0,+((W9-3)*1.5+(X9-3)*3.1),0)))</f>
        <v>-56.931</v>
      </c>
      <c r="AF9" s="71">
        <f t="shared" si="7"/>
        <v>0</v>
      </c>
      <c r="AG9" s="868">
        <f t="shared" si="8"/>
        <v>1.577840799</v>
      </c>
      <c r="AH9" s="52">
        <f t="shared" si="9"/>
        <v>76.25843328</v>
      </c>
      <c r="AI9" s="73">
        <f t="shared" si="10"/>
        <v>64.83715033</v>
      </c>
      <c r="AJ9" s="73">
        <f t="shared" si="11"/>
        <v>76.66732569</v>
      </c>
      <c r="AK9" s="53"/>
      <c r="AL9" s="122">
        <f t="shared" si="12"/>
        <v>5023.419941</v>
      </c>
    </row>
    <row r="10" ht="15.75" customHeight="1">
      <c r="A10" s="88" t="s">
        <v>4759</v>
      </c>
      <c r="B10" s="841">
        <v>45566.0</v>
      </c>
      <c r="C10" s="841">
        <v>45560.0</v>
      </c>
      <c r="D10" s="67" t="s">
        <v>4571</v>
      </c>
      <c r="E10" s="67">
        <v>1.0460498487E10</v>
      </c>
      <c r="F10" s="67" t="s">
        <v>4758</v>
      </c>
      <c r="G10" s="134" t="s">
        <v>4100</v>
      </c>
      <c r="H10" s="67" t="s">
        <v>47</v>
      </c>
      <c r="I10" s="69">
        <v>32.45</v>
      </c>
      <c r="J10" s="69">
        <v>7.3</v>
      </c>
      <c r="K10" s="59">
        <f t="shared" si="1"/>
        <v>30.08115</v>
      </c>
      <c r="L10" s="106">
        <v>0.219</v>
      </c>
      <c r="M10" s="106">
        <v>0.219</v>
      </c>
      <c r="N10" s="111">
        <v>0.219</v>
      </c>
      <c r="O10" s="106">
        <f t="shared" si="2"/>
        <v>0.219</v>
      </c>
      <c r="P10" s="67">
        <v>90.0</v>
      </c>
      <c r="Q10" s="69">
        <v>89.35</v>
      </c>
      <c r="R10" s="70">
        <v>2635.95</v>
      </c>
      <c r="S10" s="134">
        <v>120.0</v>
      </c>
      <c r="T10" s="67"/>
      <c r="U10" s="67">
        <v>100.0</v>
      </c>
      <c r="V10" s="67">
        <v>1.1023</v>
      </c>
      <c r="W10" s="69"/>
      <c r="X10" s="69"/>
      <c r="Y10" s="67"/>
      <c r="Z10" s="69">
        <f t="shared" si="3"/>
        <v>30</v>
      </c>
      <c r="AA10" s="70">
        <f t="shared" si="4"/>
        <v>30</v>
      </c>
      <c r="AB10" s="71">
        <f t="shared" si="5"/>
        <v>385.6239417</v>
      </c>
      <c r="AC10" s="71">
        <f>+(S10-T10)*V10-'data 1'!$F$4</f>
        <v>52.276</v>
      </c>
      <c r="AD10" s="71">
        <f t="shared" si="6"/>
        <v>-3.979220135</v>
      </c>
      <c r="AE10" s="71">
        <f>+(Y10*V10-'data 2'!$B$2)+V10*(Z10-IF(D10="UNTUCA",IF(+((W10-3)*2.5+(X10-3)*3.1)&gt;0,+((W10-3)*1.5+(X10-3)*3.1),0),IF(+((W10-3)*1.5+(X10-3)*3.1)&gt;0,+((W10-3)*1.5+(X10-3)*3.1),0)))</f>
        <v>-56.931</v>
      </c>
      <c r="AF10" s="71">
        <f t="shared" si="7"/>
        <v>0</v>
      </c>
      <c r="AG10" s="868">
        <f t="shared" si="8"/>
        <v>-8.634220135</v>
      </c>
      <c r="AH10" s="52">
        <f t="shared" si="9"/>
        <v>201.8097648</v>
      </c>
      <c r="AI10" s="73">
        <f t="shared" si="10"/>
        <v>39.69851861</v>
      </c>
      <c r="AJ10" s="73">
        <f t="shared" si="11"/>
        <v>203.2778828</v>
      </c>
      <c r="AK10" s="53"/>
      <c r="AL10" s="122">
        <f t="shared" si="12"/>
        <v>11600.01163</v>
      </c>
    </row>
    <row r="11" ht="15.75" customHeight="1">
      <c r="A11" s="88" t="s">
        <v>4760</v>
      </c>
      <c r="B11" s="841">
        <v>45567.0</v>
      </c>
      <c r="C11" s="870">
        <v>45561.0</v>
      </c>
      <c r="D11" s="2" t="s">
        <v>4589</v>
      </c>
      <c r="E11" s="2">
        <v>2.0606031361E10</v>
      </c>
      <c r="F11" s="2" t="s">
        <v>4761</v>
      </c>
      <c r="G11" s="3">
        <v>162.0</v>
      </c>
      <c r="H11" s="2" t="s">
        <v>47</v>
      </c>
      <c r="I11" s="58">
        <v>13.94</v>
      </c>
      <c r="J11" s="58">
        <v>0.5</v>
      </c>
      <c r="K11" s="59">
        <f t="shared" si="1"/>
        <v>13.8703</v>
      </c>
      <c r="L11" s="60">
        <v>0.306</v>
      </c>
      <c r="M11" s="60">
        <v>0.289</v>
      </c>
      <c r="N11" s="131">
        <v>0.313</v>
      </c>
      <c r="O11" s="106">
        <f t="shared" si="2"/>
        <v>0.301</v>
      </c>
      <c r="P11" s="2">
        <v>90.0</v>
      </c>
      <c r="Q11" s="58">
        <v>89.6</v>
      </c>
      <c r="R11" s="65">
        <v>2657.6</v>
      </c>
      <c r="S11" s="3">
        <v>110.0</v>
      </c>
      <c r="T11" s="2"/>
      <c r="U11" s="2">
        <v>120.0</v>
      </c>
      <c r="V11" s="2">
        <v>1.1023</v>
      </c>
      <c r="W11" s="58"/>
      <c r="X11" s="58"/>
      <c r="Y11" s="2"/>
      <c r="Z11" s="69">
        <f t="shared" si="3"/>
        <v>30</v>
      </c>
      <c r="AA11" s="70">
        <f t="shared" si="4"/>
        <v>30</v>
      </c>
      <c r="AB11" s="71">
        <f t="shared" si="5"/>
        <v>603.4385264</v>
      </c>
      <c r="AC11" s="71">
        <f>+(S11-T11)*V11-'data 1'!$F$4</f>
        <v>41.253</v>
      </c>
      <c r="AD11" s="71">
        <f t="shared" si="6"/>
        <v>-3.423768492</v>
      </c>
      <c r="AE11" s="71">
        <f>+(Y11*V11-'data 2'!$B$2)+V11*(Z11-IF(D11="UNTUCA",IF(+((W11-3)*2.5+(X11-3)*3.1)&gt;0,+((W11-3)*1.5+(X11-3)*3.1),0),IF(+((W11-3)*1.5+(X11-3)*3.1)&gt;0,+((W11-3)*1.5+(X11-3)*3.1),0)))</f>
        <v>-56.931</v>
      </c>
      <c r="AF11" s="71">
        <f t="shared" si="7"/>
        <v>12.53144023</v>
      </c>
      <c r="AG11" s="868">
        <f t="shared" si="8"/>
        <v>-6.570328261</v>
      </c>
      <c r="AH11" s="52">
        <f t="shared" si="9"/>
        <v>130.3840179</v>
      </c>
      <c r="AI11" s="871">
        <f t="shared" si="10"/>
        <v>55.12569496</v>
      </c>
      <c r="AJ11" s="871">
        <f t="shared" si="11"/>
        <v>128.8261206</v>
      </c>
      <c r="AK11" s="11"/>
      <c r="AL11" s="122">
        <f t="shared" si="12"/>
        <v>8369.873393</v>
      </c>
    </row>
    <row r="12" ht="15.75" customHeight="1">
      <c r="A12" s="88" t="s">
        <v>4762</v>
      </c>
      <c r="B12" s="841">
        <v>45567.0</v>
      </c>
      <c r="C12" s="870">
        <v>45561.0</v>
      </c>
      <c r="D12" s="2" t="s">
        <v>4589</v>
      </c>
      <c r="E12" s="2">
        <v>2.0606031361E10</v>
      </c>
      <c r="F12" s="2" t="s">
        <v>4761</v>
      </c>
      <c r="G12" s="3">
        <v>91.0</v>
      </c>
      <c r="H12" s="2" t="s">
        <v>47</v>
      </c>
      <c r="I12" s="58">
        <v>8.91</v>
      </c>
      <c r="J12" s="58">
        <v>7.3</v>
      </c>
      <c r="K12" s="59">
        <f t="shared" si="1"/>
        <v>8.25957</v>
      </c>
      <c r="L12" s="60">
        <v>0.939</v>
      </c>
      <c r="M12" s="60">
        <v>0.892</v>
      </c>
      <c r="N12" s="75">
        <v>0.954</v>
      </c>
      <c r="O12" s="106">
        <f t="shared" si="2"/>
        <v>0.923</v>
      </c>
      <c r="P12" s="2">
        <v>90.0</v>
      </c>
      <c r="Q12" s="58">
        <v>89.32</v>
      </c>
      <c r="R12" s="65">
        <v>2657.6</v>
      </c>
      <c r="S12" s="3">
        <v>170.0</v>
      </c>
      <c r="T12" s="2"/>
      <c r="U12" s="2">
        <v>120.0</v>
      </c>
      <c r="V12" s="2">
        <v>1.1023</v>
      </c>
      <c r="W12" s="58"/>
      <c r="X12" s="58"/>
      <c r="Y12" s="2"/>
      <c r="Z12" s="69">
        <f t="shared" si="3"/>
        <v>30</v>
      </c>
      <c r="AA12" s="70">
        <f t="shared" si="4"/>
        <v>30</v>
      </c>
      <c r="AB12" s="71">
        <f t="shared" si="5"/>
        <v>2103.171116</v>
      </c>
      <c r="AC12" s="71">
        <f>+(S12-T12)*V12-'data 1'!$F$4</f>
        <v>107.391</v>
      </c>
      <c r="AD12" s="71">
        <f t="shared" si="6"/>
        <v>-17.86065896</v>
      </c>
      <c r="AE12" s="71">
        <f>+(Y12*V12-'data 2'!$B$2)+V12*(Z12-IF(D12="UNTUCA",IF(+((W12-3)*2.5+(X12-3)*3.1)&gt;0,+((W12-3)*1.5+(X12-3)*3.1),0),IF(+((W12-3)*1.5+(X12-3)*3.1)&gt;0,+((W12-3)*1.5+(X12-3)*3.1),0)))</f>
        <v>-56.931</v>
      </c>
      <c r="AF12" s="71">
        <f t="shared" si="7"/>
        <v>39.97529433</v>
      </c>
      <c r="AG12" s="868">
        <f t="shared" si="8"/>
        <v>72.57463537</v>
      </c>
      <c r="AH12" s="52">
        <f t="shared" si="9"/>
        <v>237.5094063</v>
      </c>
      <c r="AI12" s="871">
        <f t="shared" si="10"/>
        <v>168.6315951</v>
      </c>
      <c r="AJ12" s="871">
        <f t="shared" si="11"/>
        <v>235.2397547</v>
      </c>
      <c r="AK12" s="11"/>
      <c r="AL12" s="122">
        <f t="shared" si="12"/>
        <v>17371.28905</v>
      </c>
    </row>
    <row r="13" ht="15.75" customHeight="1">
      <c r="A13" s="88" t="s">
        <v>4763</v>
      </c>
      <c r="B13" s="841">
        <v>45567.0</v>
      </c>
      <c r="C13" s="841">
        <v>45563.0</v>
      </c>
      <c r="D13" s="67" t="s">
        <v>4633</v>
      </c>
      <c r="E13" s="67">
        <v>2.0554057862E10</v>
      </c>
      <c r="F13" s="67" t="s">
        <v>4634</v>
      </c>
      <c r="G13" s="134" t="s">
        <v>4100</v>
      </c>
      <c r="H13" s="67" t="s">
        <v>47</v>
      </c>
      <c r="I13" s="69">
        <v>48.18</v>
      </c>
      <c r="J13" s="69">
        <v>2.4</v>
      </c>
      <c r="K13" s="59">
        <f t="shared" si="1"/>
        <v>47.02368</v>
      </c>
      <c r="L13" s="106">
        <v>0.246</v>
      </c>
      <c r="M13" s="106">
        <v>0.234</v>
      </c>
      <c r="N13" s="111">
        <v>0.237</v>
      </c>
      <c r="O13" s="106">
        <f t="shared" si="2"/>
        <v>0.236</v>
      </c>
      <c r="P13" s="136">
        <v>90.0</v>
      </c>
      <c r="Q13" s="67">
        <v>89.86</v>
      </c>
      <c r="R13" s="741">
        <v>2661.85</v>
      </c>
      <c r="S13" s="134">
        <v>100.0</v>
      </c>
      <c r="T13" s="67"/>
      <c r="U13" s="67">
        <v>100.0</v>
      </c>
      <c r="V13" s="67">
        <v>1.1023</v>
      </c>
      <c r="W13" s="67"/>
      <c r="X13" s="67"/>
      <c r="Y13" s="67"/>
      <c r="Z13" s="846">
        <v>35.0</v>
      </c>
      <c r="AA13" s="70">
        <f t="shared" si="4"/>
        <v>35</v>
      </c>
      <c r="AB13" s="71">
        <f t="shared" si="5"/>
        <v>450.991649</v>
      </c>
      <c r="AC13" s="71">
        <f>+(S13-T13)*V13-'data 1'!$F$4</f>
        <v>30.23</v>
      </c>
      <c r="AD13" s="71">
        <f t="shared" si="6"/>
        <v>-0.9725605466</v>
      </c>
      <c r="AE13" s="71">
        <f>+(Y13*V13-'data 2'!$B$2)+V13*(Z13-IF(D13="UNTUCA",IF(+((W13-3)*2.5+(X13-3)*3.1)&gt;0,+((W13-3)*1.5+(X13-3)*3.1),0),IF(+((W13-3)*1.5+(X13-3)*3.1)&gt;0,+((W13-3)*1.5+(X13-3)*3.1),0)))</f>
        <v>-51.4195</v>
      </c>
      <c r="AF13" s="71">
        <f t="shared" si="7"/>
        <v>25.37581031</v>
      </c>
      <c r="AG13" s="868">
        <f t="shared" ref="AG13:AG22" si="13">+IF(D13="RONALD WILLIAN GARIBAY ESCUDERO",AC13+AD13+AE13+AF13+80,AC13+AD13+AE13+AF13)+90-30</f>
        <v>63.21374977</v>
      </c>
      <c r="AH13" s="52">
        <f t="shared" si="9"/>
        <v>356.3913904</v>
      </c>
      <c r="AI13" s="73">
        <f t="shared" si="10"/>
        <v>38.53634532</v>
      </c>
      <c r="AJ13" s="73">
        <f t="shared" si="11"/>
        <v>342.4366147</v>
      </c>
      <c r="AK13" s="70"/>
      <c r="AL13" s="122">
        <f t="shared" si="12"/>
        <v>21207.28698</v>
      </c>
    </row>
    <row r="14" ht="15.75" customHeight="1">
      <c r="A14" s="88" t="s">
        <v>4764</v>
      </c>
      <c r="B14" s="841">
        <v>45567.0</v>
      </c>
      <c r="C14" s="841">
        <v>45563.0</v>
      </c>
      <c r="D14" s="67" t="s">
        <v>4633</v>
      </c>
      <c r="E14" s="67">
        <v>2.0554057862E10</v>
      </c>
      <c r="F14" s="67" t="s">
        <v>4634</v>
      </c>
      <c r="G14" s="134" t="s">
        <v>4100</v>
      </c>
      <c r="H14" s="67" t="s">
        <v>47</v>
      </c>
      <c r="I14" s="69">
        <v>46.98</v>
      </c>
      <c r="J14" s="69">
        <v>2.7</v>
      </c>
      <c r="K14" s="59">
        <f t="shared" si="1"/>
        <v>45.71154</v>
      </c>
      <c r="L14" s="106">
        <v>0.202</v>
      </c>
      <c r="M14" s="106">
        <v>0.196</v>
      </c>
      <c r="N14" s="111">
        <v>0.196</v>
      </c>
      <c r="O14" s="106">
        <f t="shared" si="2"/>
        <v>0.196</v>
      </c>
      <c r="P14" s="136">
        <v>90.0</v>
      </c>
      <c r="Q14" s="67">
        <v>89.86</v>
      </c>
      <c r="R14" s="741">
        <v>2661.85</v>
      </c>
      <c r="S14" s="134">
        <v>100.0</v>
      </c>
      <c r="T14" s="67"/>
      <c r="U14" s="67">
        <v>100.0</v>
      </c>
      <c r="V14" s="67">
        <v>1.1023</v>
      </c>
      <c r="W14" s="67"/>
      <c r="X14" s="67"/>
      <c r="Y14" s="67"/>
      <c r="Z14" s="846">
        <v>35.0</v>
      </c>
      <c r="AA14" s="70">
        <f t="shared" si="4"/>
        <v>35</v>
      </c>
      <c r="AB14" s="71">
        <f t="shared" si="5"/>
        <v>349.3302678</v>
      </c>
      <c r="AC14" s="71">
        <f>+(S14-T14)*V14-'data 1'!$F$4</f>
        <v>30.23</v>
      </c>
      <c r="AD14" s="71">
        <f t="shared" si="6"/>
        <v>-0.7986066277</v>
      </c>
      <c r="AE14" s="71">
        <f>+(Y14*V14-'data 2'!$B$2)+V14*(Z14-IF(D14="UNTUCA",IF(+((W14-3)*2.5+(X14-3)*3.1)&gt;0,+((W14-3)*1.5+(X14-3)*3.1),0),IF(+((W14-3)*1.5+(X14-3)*3.1)&gt;0,+((W14-3)*1.5+(X14-3)*3.1),0)))</f>
        <v>-51.4195</v>
      </c>
      <c r="AF14" s="71">
        <f t="shared" si="7"/>
        <v>15.22548619</v>
      </c>
      <c r="AG14" s="868">
        <f t="shared" si="13"/>
        <v>53.23737956</v>
      </c>
      <c r="AH14" s="52">
        <f t="shared" si="9"/>
        <v>284.480633</v>
      </c>
      <c r="AI14" s="73">
        <f t="shared" si="10"/>
        <v>31.64366567</v>
      </c>
      <c r="AJ14" s="73">
        <f t="shared" si="11"/>
        <v>276.4607633</v>
      </c>
      <c r="AK14" s="70"/>
      <c r="AL14" s="122">
        <f t="shared" si="12"/>
        <v>15968.42451</v>
      </c>
    </row>
    <row r="15" ht="15.75" customHeight="1">
      <c r="A15" s="88" t="s">
        <v>4765</v>
      </c>
      <c r="B15" s="841">
        <v>45567.0</v>
      </c>
      <c r="C15" s="841">
        <v>45563.0</v>
      </c>
      <c r="D15" s="67" t="s">
        <v>4633</v>
      </c>
      <c r="E15" s="67">
        <v>2.0554057862E10</v>
      </c>
      <c r="F15" s="67" t="s">
        <v>4634</v>
      </c>
      <c r="G15" s="134" t="s">
        <v>4100</v>
      </c>
      <c r="H15" s="67" t="s">
        <v>47</v>
      </c>
      <c r="I15" s="69">
        <v>44.13</v>
      </c>
      <c r="J15" s="69">
        <v>1.95</v>
      </c>
      <c r="K15" s="59">
        <f t="shared" si="1"/>
        <v>43.269465</v>
      </c>
      <c r="L15" s="106">
        <v>0.191</v>
      </c>
      <c r="M15" s="106">
        <v>0.185</v>
      </c>
      <c r="N15" s="111">
        <v>0.188</v>
      </c>
      <c r="O15" s="106">
        <f t="shared" si="2"/>
        <v>0.187</v>
      </c>
      <c r="P15" s="136">
        <v>90.0</v>
      </c>
      <c r="Q15" s="67">
        <v>89.86</v>
      </c>
      <c r="R15" s="741">
        <v>2661.85</v>
      </c>
      <c r="S15" s="134">
        <v>100.0</v>
      </c>
      <c r="T15" s="67"/>
      <c r="U15" s="67">
        <v>100.0</v>
      </c>
      <c r="V15" s="67">
        <v>1.1023</v>
      </c>
      <c r="W15" s="67"/>
      <c r="X15" s="67"/>
      <c r="Y15" s="67"/>
      <c r="Z15" s="846">
        <v>35.0</v>
      </c>
      <c r="AA15" s="70">
        <f t="shared" si="4"/>
        <v>35</v>
      </c>
      <c r="AB15" s="71">
        <f t="shared" ref="AB15:AB16" si="14">+((O15*P15*(R15-U16)/100)-S15-AA15+T15)*V15</f>
        <v>326.456457</v>
      </c>
      <c r="AC15" s="71">
        <f>+(S15-T15)*V15-'data 1'!$F$4</f>
        <v>30.23</v>
      </c>
      <c r="AD15" s="71">
        <f t="shared" si="6"/>
        <v>-0.755118148</v>
      </c>
      <c r="AE15" s="71">
        <f>+(Y15*V15-'data 2'!$B$2)+V15*(Z15-IF(D15="UNTUCA",IF(+((W15-3)*2.5+(X15-3)*3.1)&gt;0,+((W15-3)*1.5+(X15-3)*3.1),0),IF(+((W15-3)*1.5+(X15-3)*3.1)&gt;0,+((W15-3)*1.5+(X15-3)*3.1),0)))</f>
        <v>-51.4195</v>
      </c>
      <c r="AF15" s="71">
        <f t="shared" si="7"/>
        <v>10.15032413</v>
      </c>
      <c r="AG15" s="868">
        <f t="shared" si="13"/>
        <v>48.20570598</v>
      </c>
      <c r="AH15" s="52">
        <f t="shared" si="9"/>
        <v>254.6187468</v>
      </c>
      <c r="AI15" s="73">
        <f t="shared" ref="AI15:AI16" si="15">+((+$AI$2-R15+U16)*L15*Q15*V15)/100</f>
        <v>29.92049576</v>
      </c>
      <c r="AJ15" s="73">
        <f t="shared" si="11"/>
        <v>249.6748</v>
      </c>
      <c r="AK15" s="70"/>
      <c r="AL15" s="122">
        <f t="shared" si="12"/>
        <v>14125.59624</v>
      </c>
    </row>
    <row r="16" ht="15.75" customHeight="1">
      <c r="A16" s="88" t="s">
        <v>4766</v>
      </c>
      <c r="B16" s="841">
        <v>45567.0</v>
      </c>
      <c r="C16" s="841">
        <v>45563.0</v>
      </c>
      <c r="D16" s="67" t="s">
        <v>4633</v>
      </c>
      <c r="E16" s="67">
        <v>2.0554057862E10</v>
      </c>
      <c r="F16" s="67" t="s">
        <v>4634</v>
      </c>
      <c r="G16" s="134" t="s">
        <v>4100</v>
      </c>
      <c r="H16" s="67" t="s">
        <v>47</v>
      </c>
      <c r="I16" s="69">
        <v>45.2</v>
      </c>
      <c r="J16" s="69">
        <v>2.2</v>
      </c>
      <c r="K16" s="59">
        <f t="shared" si="1"/>
        <v>44.2056</v>
      </c>
      <c r="L16" s="106">
        <v>0.207</v>
      </c>
      <c r="M16" s="106">
        <v>0.2</v>
      </c>
      <c r="N16" s="111">
        <v>0.206</v>
      </c>
      <c r="O16" s="106">
        <f t="shared" si="2"/>
        <v>0.203</v>
      </c>
      <c r="P16" s="136">
        <v>90.0</v>
      </c>
      <c r="Q16" s="67">
        <v>89.86</v>
      </c>
      <c r="R16" s="741">
        <v>2661.85</v>
      </c>
      <c r="S16" s="134">
        <v>100.0</v>
      </c>
      <c r="T16" s="67"/>
      <c r="U16" s="67">
        <v>100.0</v>
      </c>
      <c r="V16" s="67">
        <v>1.1023</v>
      </c>
      <c r="W16" s="67"/>
      <c r="X16" s="67"/>
      <c r="Y16" s="67"/>
      <c r="Z16" s="846">
        <v>35.0</v>
      </c>
      <c r="AA16" s="70">
        <f t="shared" si="4"/>
        <v>35</v>
      </c>
      <c r="AB16" s="71">
        <f t="shared" si="14"/>
        <v>367.1210095</v>
      </c>
      <c r="AC16" s="71">
        <f>+(S16-T16)*V16-'data 1'!$F$4</f>
        <v>30.23</v>
      </c>
      <c r="AD16" s="71">
        <f t="shared" si="6"/>
        <v>-0.8183741185</v>
      </c>
      <c r="AE16" s="71">
        <f>+(Y16*V16-'data 2'!$B$2)+V16*(Z16-IF(D16="UNTUCA",IF(+((W16-3)*2.5+(X16-3)*3.1)&gt;0,+((W16-3)*1.5+(X16-3)*3.1),0),IF(+((W16-3)*1.5+(X16-3)*3.1)&gt;0,+((W16-3)*1.5+(X16-3)*3.1),0)))</f>
        <v>-51.4195</v>
      </c>
      <c r="AF16" s="71">
        <f t="shared" si="7"/>
        <v>10.15032413</v>
      </c>
      <c r="AG16" s="868">
        <f t="shared" si="13"/>
        <v>48.14245001</v>
      </c>
      <c r="AH16" s="52">
        <f t="shared" si="9"/>
        <v>281.9182031</v>
      </c>
      <c r="AI16" s="73">
        <f t="shared" si="15"/>
        <v>32.42692472</v>
      </c>
      <c r="AJ16" s="73">
        <f t="shared" si="11"/>
        <v>276.9012436</v>
      </c>
      <c r="AK16" s="70"/>
      <c r="AL16" s="122">
        <f t="shared" si="12"/>
        <v>16228.8045</v>
      </c>
    </row>
    <row r="17" ht="15.75" customHeight="1">
      <c r="A17" s="88" t="s">
        <v>4767</v>
      </c>
      <c r="B17" s="841">
        <v>45567.0</v>
      </c>
      <c r="C17" s="841">
        <v>45563.0</v>
      </c>
      <c r="D17" s="67" t="s">
        <v>4633</v>
      </c>
      <c r="E17" s="67">
        <v>2.0554057862E10</v>
      </c>
      <c r="F17" s="67" t="s">
        <v>4634</v>
      </c>
      <c r="G17" s="134" t="s">
        <v>4100</v>
      </c>
      <c r="H17" s="67" t="s">
        <v>47</v>
      </c>
      <c r="I17" s="69">
        <v>39.5</v>
      </c>
      <c r="J17" s="69">
        <v>2.85</v>
      </c>
      <c r="K17" s="59">
        <f t="shared" si="1"/>
        <v>38.37425</v>
      </c>
      <c r="L17" s="106">
        <v>0.241</v>
      </c>
      <c r="M17" s="106">
        <v>0.228</v>
      </c>
      <c r="N17" s="111">
        <v>0.232</v>
      </c>
      <c r="O17" s="106">
        <f t="shared" si="2"/>
        <v>0.23</v>
      </c>
      <c r="P17" s="136">
        <v>90.0</v>
      </c>
      <c r="Q17" s="67">
        <v>89.86</v>
      </c>
      <c r="R17" s="741">
        <v>2661.85</v>
      </c>
      <c r="S17" s="134">
        <v>100.0</v>
      </c>
      <c r="T17" s="67"/>
      <c r="U17" s="67">
        <v>100.0</v>
      </c>
      <c r="V17" s="67">
        <v>1.1023</v>
      </c>
      <c r="W17" s="67"/>
      <c r="X17" s="67"/>
      <c r="Y17" s="67"/>
      <c r="Z17" s="846">
        <v>35.0</v>
      </c>
      <c r="AA17" s="70">
        <f t="shared" si="4"/>
        <v>35</v>
      </c>
      <c r="AB17" s="71">
        <f t="shared" ref="AB17:AB29" si="16">+((O17*P17*(R17-U17)/100)-S17-AA17+T17)*V17</f>
        <v>435.7424418</v>
      </c>
      <c r="AC17" s="71">
        <f>+(S17-T17)*V17-'data 1'!$F$4</f>
        <v>30.23</v>
      </c>
      <c r="AD17" s="71">
        <f t="shared" si="6"/>
        <v>-0.9527930558</v>
      </c>
      <c r="AE17" s="71">
        <f>+(Y17*V17-'data 2'!$B$2)+V17*(Z17-IF(D17="UNTUCA",IF(+((W17-3)*2.5+(X17-3)*3.1)&gt;0,+((W17-3)*1.5+(X17-3)*3.1),0),IF(+((W17-3)*1.5+(X17-3)*3.1)&gt;0,+((W17-3)*1.5+(X17-3)*3.1),0)))</f>
        <v>-51.4195</v>
      </c>
      <c r="AF17" s="71">
        <f t="shared" si="7"/>
        <v>27.91339134</v>
      </c>
      <c r="AG17" s="868">
        <f t="shared" si="13"/>
        <v>65.77109829</v>
      </c>
      <c r="AH17" s="52">
        <f t="shared" si="9"/>
        <v>284.9262267</v>
      </c>
      <c r="AI17" s="73">
        <f t="shared" ref="AI17:AI29" si="17">+((+$AI$2-R17+U17)*L17*Q17*V17)/100</f>
        <v>37.75308627</v>
      </c>
      <c r="AJ17" s="73">
        <f t="shared" si="11"/>
        <v>272.3449428</v>
      </c>
      <c r="AK17" s="70"/>
      <c r="AL17" s="122">
        <f t="shared" si="12"/>
        <v>16721.2894</v>
      </c>
    </row>
    <row r="18" ht="15.75" customHeight="1">
      <c r="A18" s="88" t="s">
        <v>4768</v>
      </c>
      <c r="B18" s="841">
        <v>45569.0</v>
      </c>
      <c r="C18" s="841">
        <v>45564.0</v>
      </c>
      <c r="D18" s="67" t="s">
        <v>4633</v>
      </c>
      <c r="E18" s="67">
        <v>2.0554057862E10</v>
      </c>
      <c r="F18" s="67" t="s">
        <v>4634</v>
      </c>
      <c r="G18" s="134" t="s">
        <v>4100</v>
      </c>
      <c r="H18" s="67" t="s">
        <v>47</v>
      </c>
      <c r="I18" s="69">
        <v>46.94</v>
      </c>
      <c r="J18" s="69">
        <v>2.1</v>
      </c>
      <c r="K18" s="59">
        <f t="shared" si="1"/>
        <v>45.95426</v>
      </c>
      <c r="L18" s="106">
        <v>0.224</v>
      </c>
      <c r="M18" s="106">
        <v>0.213</v>
      </c>
      <c r="N18" s="111">
        <v>0.246</v>
      </c>
      <c r="O18" s="111">
        <v>0.227</v>
      </c>
      <c r="P18" s="136">
        <v>90.0</v>
      </c>
      <c r="Q18" s="67">
        <v>89.18</v>
      </c>
      <c r="R18" s="741">
        <v>2629.95</v>
      </c>
      <c r="S18" s="134">
        <v>100.0</v>
      </c>
      <c r="T18" s="67"/>
      <c r="U18" s="67">
        <v>100.0</v>
      </c>
      <c r="V18" s="67">
        <v>1.1023</v>
      </c>
      <c r="W18" s="67"/>
      <c r="X18" s="67"/>
      <c r="Y18" s="67"/>
      <c r="Z18" s="846">
        <v>35.0</v>
      </c>
      <c r="AA18" s="70">
        <f t="shared" si="4"/>
        <v>35</v>
      </c>
      <c r="AB18" s="71">
        <f t="shared" si="16"/>
        <v>420.9339617</v>
      </c>
      <c r="AC18" s="71">
        <f>+(S18-T18)*V18-'data 1'!$F$4</f>
        <v>30.23</v>
      </c>
      <c r="AD18" s="71">
        <f t="shared" si="6"/>
        <v>-5.122401504</v>
      </c>
      <c r="AE18" s="71">
        <f>+(Y18*V18-'data 2'!$B$2)+V18*(Z18-IF(D18="UNTUCA",IF(+((W18-3)*2.5+(X18-3)*3.1)&gt;0,+((W18-3)*1.5+(X18-3)*3.1),0),IF(+((W18-3)*1.5+(X18-3)*3.1)&gt;0,+((W18-3)*1.5+(X18-3)*3.1),0)))</f>
        <v>-51.4195</v>
      </c>
      <c r="AF18" s="71">
        <f t="shared" si="7"/>
        <v>-7.461058898</v>
      </c>
      <c r="AG18" s="868">
        <f t="shared" si="13"/>
        <v>26.2270396</v>
      </c>
      <c r="AH18" s="52">
        <f t="shared" si="9"/>
        <v>314.7388348</v>
      </c>
      <c r="AI18" s="73">
        <f t="shared" si="17"/>
        <v>41.84881527</v>
      </c>
      <c r="AJ18" s="73">
        <f t="shared" si="11"/>
        <v>321.8868338</v>
      </c>
      <c r="AK18" s="53"/>
      <c r="AL18" s="122">
        <f t="shared" si="12"/>
        <v>19343.70872</v>
      </c>
    </row>
    <row r="19" ht="15.75" customHeight="1">
      <c r="A19" s="88" t="s">
        <v>4769</v>
      </c>
      <c r="B19" s="841">
        <v>45569.0</v>
      </c>
      <c r="C19" s="841">
        <v>45564.0</v>
      </c>
      <c r="D19" s="67" t="s">
        <v>4633</v>
      </c>
      <c r="E19" s="67">
        <v>2.0554057862E10</v>
      </c>
      <c r="F19" s="67" t="s">
        <v>4634</v>
      </c>
      <c r="G19" s="134" t="s">
        <v>4100</v>
      </c>
      <c r="H19" s="67" t="s">
        <v>47</v>
      </c>
      <c r="I19" s="69">
        <v>48.06</v>
      </c>
      <c r="J19" s="69">
        <v>1.5</v>
      </c>
      <c r="K19" s="59">
        <f t="shared" si="1"/>
        <v>47.3391</v>
      </c>
      <c r="L19" s="106">
        <v>0.233</v>
      </c>
      <c r="M19" s="106">
        <v>0.221</v>
      </c>
      <c r="N19" s="111">
        <v>0.285</v>
      </c>
      <c r="O19" s="111">
        <v>0.23</v>
      </c>
      <c r="P19" s="136">
        <v>90.0</v>
      </c>
      <c r="Q19" s="67">
        <v>89.78</v>
      </c>
      <c r="R19" s="741">
        <v>2629.95</v>
      </c>
      <c r="S19" s="134">
        <v>100.0</v>
      </c>
      <c r="T19" s="67"/>
      <c r="U19" s="67">
        <v>100.0</v>
      </c>
      <c r="V19" s="67">
        <v>1.1023</v>
      </c>
      <c r="W19" s="67"/>
      <c r="X19" s="67"/>
      <c r="Y19" s="67"/>
      <c r="Z19" s="846">
        <v>35.0</v>
      </c>
      <c r="AA19" s="70">
        <f t="shared" si="4"/>
        <v>35</v>
      </c>
      <c r="AB19" s="71">
        <f t="shared" si="16"/>
        <v>428.4636242</v>
      </c>
      <c r="AC19" s="71">
        <f>+(S19-T19)*V19-'data 1'!$F$4</f>
        <v>30.23</v>
      </c>
      <c r="AD19" s="71">
        <f t="shared" si="6"/>
        <v>-1.429520367</v>
      </c>
      <c r="AE19" s="71">
        <f>+(Y19*V19-'data 2'!$B$2)+V19*(Z19-IF(D19="UNTUCA",IF(+((W19-3)*2.5+(X19-3)*3.1)&gt;0,+((W19-3)*1.5+(X19-3)*3.1),0),IF(+((W19-3)*1.5+(X19-3)*3.1)&gt;0,+((W19-3)*1.5+(X19-3)*3.1),0)))</f>
        <v>-51.4195</v>
      </c>
      <c r="AF19" s="71">
        <f t="shared" si="7"/>
        <v>7.511256648</v>
      </c>
      <c r="AG19" s="868">
        <f t="shared" si="13"/>
        <v>44.89223628</v>
      </c>
      <c r="AH19" s="52">
        <f t="shared" si="9"/>
        <v>339.519395</v>
      </c>
      <c r="AI19" s="73">
        <f t="shared" si="17"/>
        <v>43.82311086</v>
      </c>
      <c r="AJ19" s="73">
        <f t="shared" si="11"/>
        <v>335.9691586</v>
      </c>
      <c r="AK19" s="53"/>
      <c r="AL19" s="122">
        <f t="shared" si="12"/>
        <v>20283.08235</v>
      </c>
    </row>
    <row r="20" ht="15.75" customHeight="1">
      <c r="A20" s="88" t="s">
        <v>4770</v>
      </c>
      <c r="B20" s="841">
        <v>45569.0</v>
      </c>
      <c r="C20" s="841">
        <v>45564.0</v>
      </c>
      <c r="D20" s="67" t="s">
        <v>4633</v>
      </c>
      <c r="E20" s="67">
        <v>2.0554057862E10</v>
      </c>
      <c r="F20" s="67" t="s">
        <v>4634</v>
      </c>
      <c r="G20" s="134" t="s">
        <v>4100</v>
      </c>
      <c r="H20" s="67" t="s">
        <v>47</v>
      </c>
      <c r="I20" s="69">
        <v>46.34</v>
      </c>
      <c r="J20" s="69">
        <v>1.55</v>
      </c>
      <c r="K20" s="59">
        <f t="shared" si="1"/>
        <v>45.62173</v>
      </c>
      <c r="L20" s="106">
        <v>0.247</v>
      </c>
      <c r="M20" s="106">
        <v>0.229</v>
      </c>
      <c r="N20" s="111">
        <v>0.239</v>
      </c>
      <c r="O20" s="106">
        <f>+ROUND((M20+N20)/2,3)</f>
        <v>0.234</v>
      </c>
      <c r="P20" s="136">
        <v>90.0</v>
      </c>
      <c r="Q20" s="67">
        <v>89.51</v>
      </c>
      <c r="R20" s="741">
        <v>2629.95</v>
      </c>
      <c r="S20" s="134">
        <v>100.0</v>
      </c>
      <c r="T20" s="67"/>
      <c r="U20" s="67">
        <v>100.0</v>
      </c>
      <c r="V20" s="67">
        <v>1.1023</v>
      </c>
      <c r="W20" s="67"/>
      <c r="X20" s="67"/>
      <c r="Y20" s="67"/>
      <c r="Z20" s="846">
        <v>35.0</v>
      </c>
      <c r="AA20" s="70">
        <f t="shared" si="4"/>
        <v>35</v>
      </c>
      <c r="AB20" s="71">
        <f t="shared" si="16"/>
        <v>438.5031742</v>
      </c>
      <c r="AC20" s="71">
        <f>+(S20-T20)*V20-'data 1'!$F$4</f>
        <v>30.23</v>
      </c>
      <c r="AD20" s="71">
        <f t="shared" si="6"/>
        <v>-3.37524093</v>
      </c>
      <c r="AE20" s="71">
        <f>+(Y20*V20-'data 2'!$B$2)+V20*(Z20-IF(D20="UNTUCA",IF(+((W20-3)*2.5+(X20-3)*3.1)&gt;0,+((W20-3)*1.5+(X20-3)*3.1),0),IF(+((W20-3)*1.5+(X20-3)*3.1)&gt;0,+((W20-3)*1.5+(X20-3)*3.1),0)))</f>
        <v>-51.4195</v>
      </c>
      <c r="AF20" s="71">
        <f t="shared" si="7"/>
        <v>32.4508932</v>
      </c>
      <c r="AG20" s="868">
        <f t="shared" si="13"/>
        <v>67.88615227</v>
      </c>
      <c r="AH20" s="52">
        <f t="shared" si="9"/>
        <v>345.8193814</v>
      </c>
      <c r="AI20" s="73">
        <f t="shared" si="17"/>
        <v>46.31654886</v>
      </c>
      <c r="AJ20" s="73">
        <f t="shared" si="11"/>
        <v>329.4118257</v>
      </c>
      <c r="AK20" s="53"/>
      <c r="AL20" s="122">
        <f t="shared" si="12"/>
        <v>20005.27342</v>
      </c>
    </row>
    <row r="21" ht="15.75" customHeight="1">
      <c r="A21" s="88" t="s">
        <v>4771</v>
      </c>
      <c r="B21" s="841">
        <v>45569.0</v>
      </c>
      <c r="C21" s="841">
        <v>45564.0</v>
      </c>
      <c r="D21" s="67" t="s">
        <v>4633</v>
      </c>
      <c r="E21" s="67">
        <v>2.0554057862E10</v>
      </c>
      <c r="F21" s="67" t="s">
        <v>4634</v>
      </c>
      <c r="G21" s="134" t="s">
        <v>4100</v>
      </c>
      <c r="H21" s="67" t="s">
        <v>47</v>
      </c>
      <c r="I21" s="69">
        <v>46.39</v>
      </c>
      <c r="J21" s="69">
        <v>1.45</v>
      </c>
      <c r="K21" s="59">
        <f t="shared" si="1"/>
        <v>45.717345</v>
      </c>
      <c r="L21" s="106">
        <v>0.227</v>
      </c>
      <c r="M21" s="106">
        <v>0.211</v>
      </c>
      <c r="N21" s="111">
        <v>0.248</v>
      </c>
      <c r="O21" s="111">
        <v>0.238</v>
      </c>
      <c r="P21" s="136">
        <v>90.0</v>
      </c>
      <c r="Q21" s="67">
        <v>89.65</v>
      </c>
      <c r="R21" s="741">
        <v>2629.95</v>
      </c>
      <c r="S21" s="134">
        <v>100.0</v>
      </c>
      <c r="T21" s="67"/>
      <c r="U21" s="67">
        <v>100.0</v>
      </c>
      <c r="V21" s="67">
        <v>1.1023</v>
      </c>
      <c r="W21" s="67"/>
      <c r="X21" s="67"/>
      <c r="Y21" s="67"/>
      <c r="Z21" s="846">
        <v>35.0</v>
      </c>
      <c r="AA21" s="70">
        <f t="shared" si="4"/>
        <v>35</v>
      </c>
      <c r="AB21" s="71">
        <f t="shared" si="16"/>
        <v>448.5427242</v>
      </c>
      <c r="AC21" s="71">
        <f>+(S21-T21)*V21-'data 1'!$F$4</f>
        <v>30.23</v>
      </c>
      <c r="AD21" s="71">
        <f t="shared" si="6"/>
        <v>-2.215672907</v>
      </c>
      <c r="AE21" s="71">
        <f>+(Y21*V21-'data 2'!$B$2)+V21*(Z21-IF(D21="UNTUCA",IF(+((W21-3)*2.5+(X21-3)*3.1)&gt;0,+((W21-3)*1.5+(X21-3)*3.1),0),IF(+((W21-3)*1.5+(X21-3)*3.1)&gt;0,+((W21-3)*1.5+(X21-3)*3.1),0)))</f>
        <v>-51.4195</v>
      </c>
      <c r="AF21" s="71">
        <f t="shared" si="7"/>
        <v>-27.50139505</v>
      </c>
      <c r="AG21" s="868">
        <f t="shared" si="13"/>
        <v>9.093432041</v>
      </c>
      <c r="AH21" s="52">
        <f t="shared" si="9"/>
        <v>318.9820329</v>
      </c>
      <c r="AI21" s="73">
        <f t="shared" si="17"/>
        <v>42.63279761</v>
      </c>
      <c r="AJ21" s="73">
        <f t="shared" si="11"/>
        <v>335.744987</v>
      </c>
      <c r="AK21" s="53"/>
      <c r="AL21" s="122">
        <f t="shared" si="12"/>
        <v>20506.18247</v>
      </c>
    </row>
    <row r="22" ht="15.75" customHeight="1">
      <c r="A22" s="88" t="s">
        <v>4772</v>
      </c>
      <c r="B22" s="841">
        <v>45569.0</v>
      </c>
      <c r="C22" s="841">
        <v>45564.0</v>
      </c>
      <c r="D22" s="67" t="s">
        <v>4633</v>
      </c>
      <c r="E22" s="67">
        <v>2.0554057862E10</v>
      </c>
      <c r="F22" s="67" t="s">
        <v>4634</v>
      </c>
      <c r="G22" s="134" t="s">
        <v>4100</v>
      </c>
      <c r="H22" s="67" t="s">
        <v>47</v>
      </c>
      <c r="I22" s="69">
        <v>47.65</v>
      </c>
      <c r="J22" s="69">
        <v>1.55</v>
      </c>
      <c r="K22" s="59">
        <f t="shared" si="1"/>
        <v>46.911425</v>
      </c>
      <c r="L22" s="106">
        <v>0.243</v>
      </c>
      <c r="M22" s="106">
        <v>0.226</v>
      </c>
      <c r="N22" s="106">
        <v>0.226</v>
      </c>
      <c r="O22" s="106">
        <f t="shared" ref="O22:O29" si="18">+ROUND((M22+N22)/2,3)</f>
        <v>0.226</v>
      </c>
      <c r="P22" s="136">
        <v>90.0</v>
      </c>
      <c r="Q22" s="67">
        <v>89.63</v>
      </c>
      <c r="R22" s="741">
        <v>2629.95</v>
      </c>
      <c r="S22" s="134">
        <v>100.0</v>
      </c>
      <c r="T22" s="67"/>
      <c r="U22" s="67">
        <v>100.0</v>
      </c>
      <c r="V22" s="67">
        <v>1.1023</v>
      </c>
      <c r="W22" s="67"/>
      <c r="X22" s="67"/>
      <c r="Y22" s="67"/>
      <c r="Z22" s="846">
        <v>35.0</v>
      </c>
      <c r="AA22" s="70">
        <f t="shared" si="4"/>
        <v>35</v>
      </c>
      <c r="AB22" s="71">
        <f t="shared" si="16"/>
        <v>418.4240742</v>
      </c>
      <c r="AC22" s="71">
        <f>+(S22-T22)*V22-'data 1'!$F$4</f>
        <v>30.23</v>
      </c>
      <c r="AD22" s="71">
        <f t="shared" si="6"/>
        <v>-2.507377609</v>
      </c>
      <c r="AE22" s="71">
        <f>+(Y22*V22-'data 2'!$B$2)+V22*(Z22-IF(D22="UNTUCA",IF(+((W22-3)*2.5+(X22-3)*3.1)&gt;0,+((W22-3)*1.5+(X22-3)*3.1),0),IF(+((W22-3)*1.5+(X22-3)*3.1)&gt;0,+((W22-3)*1.5+(X22-3)*3.1),0)))</f>
        <v>-51.4195</v>
      </c>
      <c r="AF22" s="71">
        <f t="shared" si="7"/>
        <v>42.49267419</v>
      </c>
      <c r="AG22" s="868">
        <f t="shared" si="13"/>
        <v>78.79579658</v>
      </c>
      <c r="AH22" s="52">
        <f t="shared" si="9"/>
        <v>350.3058297</v>
      </c>
      <c r="AI22" s="73">
        <f t="shared" si="17"/>
        <v>45.62757119</v>
      </c>
      <c r="AJ22" s="73">
        <f t="shared" si="11"/>
        <v>327.1437618</v>
      </c>
      <c r="AK22" s="53"/>
      <c r="AL22" s="122">
        <f t="shared" si="12"/>
        <v>19628.86958</v>
      </c>
    </row>
    <row r="23" ht="15.75" customHeight="1">
      <c r="A23" s="88" t="s">
        <v>4773</v>
      </c>
      <c r="B23" s="870">
        <v>45568.0</v>
      </c>
      <c r="C23" s="870">
        <v>45565.0</v>
      </c>
      <c r="D23" s="2" t="s">
        <v>4329</v>
      </c>
      <c r="E23" s="67">
        <v>2.0605956905E10</v>
      </c>
      <c r="F23" s="67" t="s">
        <v>4634</v>
      </c>
      <c r="G23" s="3">
        <v>108.0</v>
      </c>
      <c r="H23" s="2" t="s">
        <v>47</v>
      </c>
      <c r="I23" s="58">
        <v>7.59</v>
      </c>
      <c r="J23" s="58">
        <v>9.05</v>
      </c>
      <c r="K23" s="59">
        <f t="shared" si="1"/>
        <v>6.903105</v>
      </c>
      <c r="L23" s="60">
        <v>0.96</v>
      </c>
      <c r="M23" s="60">
        <v>0.922</v>
      </c>
      <c r="N23" s="427">
        <v>1.016</v>
      </c>
      <c r="O23" s="106">
        <f t="shared" si="18"/>
        <v>0.969</v>
      </c>
      <c r="P23" s="2">
        <v>90.0</v>
      </c>
      <c r="Q23" s="2">
        <v>89.13</v>
      </c>
      <c r="R23" s="741">
        <v>2629.95</v>
      </c>
      <c r="S23" s="3">
        <v>160.0</v>
      </c>
      <c r="T23" s="2"/>
      <c r="U23" s="2">
        <v>100.0</v>
      </c>
      <c r="V23" s="2">
        <v>1.1023</v>
      </c>
      <c r="W23" s="2"/>
      <c r="X23" s="2"/>
      <c r="Y23" s="2">
        <v>5.0</v>
      </c>
      <c r="Z23" s="77">
        <v>20.0</v>
      </c>
      <c r="AA23" s="70">
        <f t="shared" si="4"/>
        <v>25</v>
      </c>
      <c r="AB23" s="71">
        <f t="shared" si="16"/>
        <v>2228.155484</v>
      </c>
      <c r="AC23" s="71">
        <f>+(S23-T23)*V23-'data 1'!$F$4</f>
        <v>96.368</v>
      </c>
      <c r="AD23" s="71">
        <f t="shared" si="6"/>
        <v>-23.29175597</v>
      </c>
      <c r="AE23" s="71">
        <f>+(Y23*V23-'data 2'!$B$2)+V23*(Z23-IF(D23="UNTUCA",IF(+((W23-3)*2.5+(X23-3)*3.1)&gt;0,+((W23-3)*1.5+(X23-3)*3.1),0),IF(+((W23-3)*1.5+(X23-3)*3.1)&gt;0,+((W23-3)*1.5+(X23-3)*3.1),0)))</f>
        <v>-62.4425</v>
      </c>
      <c r="AF23" s="71">
        <f t="shared" si="7"/>
        <v>-22.37062726</v>
      </c>
      <c r="AG23" s="868">
        <f>+IF(D23="RONALD WILLIAN GARIBAY ESCUDERO",AC23+AD23+AE23+AF23+80,AC23+AD23+AE23+AF23)+90-70</f>
        <v>8.263116776</v>
      </c>
      <c r="AH23" s="52">
        <f t="shared" si="9"/>
        <v>202.5110326</v>
      </c>
      <c r="AI23" s="871">
        <f t="shared" si="17"/>
        <v>179.2515092</v>
      </c>
      <c r="AJ23" s="871">
        <f t="shared" si="11"/>
        <v>206.4048201</v>
      </c>
      <c r="AK23" s="11"/>
      <c r="AL23" s="122">
        <f t="shared" si="12"/>
        <v>15381.19126</v>
      </c>
    </row>
    <row r="24" ht="15.75" customHeight="1">
      <c r="A24" s="88" t="s">
        <v>4774</v>
      </c>
      <c r="B24" s="870">
        <v>45570.0</v>
      </c>
      <c r="C24" s="870">
        <v>45567.0</v>
      </c>
      <c r="D24" s="2" t="s">
        <v>4571</v>
      </c>
      <c r="E24" s="2">
        <v>1.0460498487E10</v>
      </c>
      <c r="F24" s="67" t="s">
        <v>4775</v>
      </c>
      <c r="G24" s="3" t="s">
        <v>4100</v>
      </c>
      <c r="H24" s="2" t="s">
        <v>47</v>
      </c>
      <c r="I24" s="58">
        <v>26.96</v>
      </c>
      <c r="J24" s="58">
        <v>2.3</v>
      </c>
      <c r="K24" s="59">
        <f t="shared" si="1"/>
        <v>26.33992</v>
      </c>
      <c r="L24" s="60">
        <v>0.215</v>
      </c>
      <c r="M24" s="60">
        <v>0.201</v>
      </c>
      <c r="N24" s="62">
        <v>0.201</v>
      </c>
      <c r="O24" s="106">
        <f t="shared" si="18"/>
        <v>0.201</v>
      </c>
      <c r="P24" s="2">
        <v>90.0</v>
      </c>
      <c r="Q24" s="58">
        <v>89.25</v>
      </c>
      <c r="R24" s="741">
        <v>2660.95</v>
      </c>
      <c r="S24" s="3">
        <v>110.0</v>
      </c>
      <c r="T24" s="2"/>
      <c r="U24" s="67">
        <v>100.0</v>
      </c>
      <c r="V24" s="2">
        <v>1.1023</v>
      </c>
      <c r="W24" s="2"/>
      <c r="X24" s="2"/>
      <c r="Y24" s="2"/>
      <c r="Z24" s="69">
        <f t="shared" ref="Z24:Z29" si="19">IF(IF(D24="UNTUCA",IF(+((W24-3)*1.5+(X24-3)*3.1)&gt;0,+((W24-3)*1.5+(X24-3)*3.1),0),IF(+((W24-3)*1.5+(X24-3)*3.1)&gt;0,+((W24-3)*1.5+(X24-3)*3.1),0))&lt;30,30,IF(D24="UNTUCA",IF(+((W24-3)*1.5+(X24-3)*3.1)&gt;0,+((W24-3)*1.5+(X24-3)*3.1),0),IF(+((W24-3)*1.5+(X24-3)*3.1)&gt;0,+((W24-3)*1.5+(X24-3)*3.1),0)))</f>
        <v>30</v>
      </c>
      <c r="AA24" s="70">
        <f t="shared" si="4"/>
        <v>30</v>
      </c>
      <c r="AB24" s="71">
        <f t="shared" si="16"/>
        <v>356.346975</v>
      </c>
      <c r="AC24" s="71">
        <f>+(S24-T24)*V24-'data 1'!$F$4</f>
        <v>41.253</v>
      </c>
      <c r="AD24" s="71">
        <f t="shared" si="6"/>
        <v>-4.551982986</v>
      </c>
      <c r="AE24" s="71">
        <f>+(Y24*V24-'data 2'!$B$2)+V24*(Z24-IF(D24="UNTUCA",IF(+((W24-3)*2.5+(X24-3)*3.1)&gt;0,+((W24-3)*1.5+(X24-3)*3.1),0),IF(+((W24-3)*1.5+(X24-3)*3.1)&gt;0,+((W24-3)*1.5+(X24-3)*3.1),0)))</f>
        <v>-56.931</v>
      </c>
      <c r="AF24" s="71">
        <f t="shared" si="7"/>
        <v>35.27257514</v>
      </c>
      <c r="AG24" s="868">
        <f t="shared" ref="AG24:AG29" si="20">+IF(D24="RONALD WILLIAN GARIBAY ESCUDERO",AC24+AD24+AE24+AF24+80,AC24+AD24+AE24+AF24)</f>
        <v>15.04259215</v>
      </c>
      <c r="AH24" s="52">
        <f t="shared" si="9"/>
        <v>173.2886848</v>
      </c>
      <c r="AI24" s="871">
        <f t="shared" si="17"/>
        <v>33.64187289</v>
      </c>
      <c r="AJ24" s="871">
        <f t="shared" si="11"/>
        <v>163.3661551</v>
      </c>
      <c r="AK24" s="11"/>
      <c r="AL24" s="122">
        <f t="shared" si="12"/>
        <v>9386.150813</v>
      </c>
    </row>
    <row r="25" ht="15.75" customHeight="1">
      <c r="A25" s="88" t="s">
        <v>4776</v>
      </c>
      <c r="B25" s="841">
        <v>45570.0</v>
      </c>
      <c r="C25" s="841">
        <v>45567.0</v>
      </c>
      <c r="D25" s="67" t="s">
        <v>602</v>
      </c>
      <c r="E25" s="67">
        <v>2.0169040231E10</v>
      </c>
      <c r="F25" s="67" t="s">
        <v>4317</v>
      </c>
      <c r="G25" s="134">
        <v>106.0</v>
      </c>
      <c r="H25" s="67" t="s">
        <v>47</v>
      </c>
      <c r="I25" s="69">
        <v>9.51</v>
      </c>
      <c r="J25" s="69">
        <v>1.0</v>
      </c>
      <c r="K25" s="59">
        <f t="shared" si="1"/>
        <v>9.4149</v>
      </c>
      <c r="L25" s="106">
        <v>0.742</v>
      </c>
      <c r="M25" s="106">
        <v>0.705</v>
      </c>
      <c r="N25" s="111">
        <v>0.805</v>
      </c>
      <c r="O25" s="106">
        <f t="shared" si="18"/>
        <v>0.755</v>
      </c>
      <c r="P25" s="67">
        <v>90.0</v>
      </c>
      <c r="Q25" s="69">
        <v>89.63</v>
      </c>
      <c r="R25" s="741">
        <v>2646.66</v>
      </c>
      <c r="S25" s="134">
        <v>210.0</v>
      </c>
      <c r="T25" s="67"/>
      <c r="U25" s="67">
        <v>130.0</v>
      </c>
      <c r="V25" s="67">
        <v>1.1023</v>
      </c>
      <c r="W25" s="67"/>
      <c r="X25" s="67"/>
      <c r="Y25" s="67">
        <v>50.0</v>
      </c>
      <c r="Z25" s="69">
        <f t="shared" si="19"/>
        <v>30</v>
      </c>
      <c r="AA25" s="70">
        <f t="shared" si="4"/>
        <v>80</v>
      </c>
      <c r="AB25" s="71">
        <f t="shared" si="16"/>
        <v>1565.343679</v>
      </c>
      <c r="AC25" s="71">
        <f>+(S25-T25)*V25-'data 1'!$F$4</f>
        <v>151.483</v>
      </c>
      <c r="AD25" s="71">
        <f t="shared" si="6"/>
        <v>-7.616053449</v>
      </c>
      <c r="AE25" s="71">
        <f>+(Y25*V25-'data 2'!$B$2)+V25*(Z25-IF(D25="UNTUCA",IF(+((W25-3)*2.5+(X25-3)*3.1)&gt;0,+((W25-3)*1.5+(X25-3)*3.1),0),IF(+((W25-3)*1.5+(X25-3)*3.1)&gt;0,+((W25-3)*1.5+(X25-3)*3.1),0)))</f>
        <v>-1.816</v>
      </c>
      <c r="AF25" s="71">
        <f t="shared" si="7"/>
        <v>-32.32370262</v>
      </c>
      <c r="AG25" s="868">
        <f t="shared" si="20"/>
        <v>109.7272439</v>
      </c>
      <c r="AH25" s="52">
        <f t="shared" si="9"/>
        <v>214.675302</v>
      </c>
      <c r="AI25" s="73">
        <f t="shared" si="17"/>
        <v>149.0664567</v>
      </c>
      <c r="AJ25" s="73">
        <f t="shared" si="11"/>
        <v>219.3381832</v>
      </c>
      <c r="AK25" s="53"/>
      <c r="AL25" s="122">
        <f t="shared" si="12"/>
        <v>14737.5542</v>
      </c>
    </row>
    <row r="26" ht="15.75" customHeight="1">
      <c r="A26" s="88" t="s">
        <v>4777</v>
      </c>
      <c r="B26" s="841">
        <v>45570.0</v>
      </c>
      <c r="C26" s="841">
        <v>45567.0</v>
      </c>
      <c r="D26" s="67" t="s">
        <v>602</v>
      </c>
      <c r="E26" s="67">
        <v>2.0169040231E10</v>
      </c>
      <c r="F26" s="67" t="s">
        <v>4317</v>
      </c>
      <c r="G26" s="134">
        <v>50.0</v>
      </c>
      <c r="H26" s="67" t="s">
        <v>47</v>
      </c>
      <c r="I26" s="69">
        <v>4.45</v>
      </c>
      <c r="J26" s="69">
        <v>1.0</v>
      </c>
      <c r="K26" s="59">
        <f t="shared" si="1"/>
        <v>4.4055</v>
      </c>
      <c r="L26" s="106">
        <v>0.622</v>
      </c>
      <c r="M26" s="106">
        <v>0.59</v>
      </c>
      <c r="N26" s="111">
        <v>0.638</v>
      </c>
      <c r="O26" s="106">
        <f t="shared" si="18"/>
        <v>0.614</v>
      </c>
      <c r="P26" s="67">
        <v>90.0</v>
      </c>
      <c r="Q26" s="69">
        <v>89.49</v>
      </c>
      <c r="R26" s="741">
        <v>2646.66</v>
      </c>
      <c r="S26" s="134">
        <v>190.0</v>
      </c>
      <c r="T26" s="67"/>
      <c r="U26" s="67">
        <v>130.0</v>
      </c>
      <c r="V26" s="67">
        <v>1.1023</v>
      </c>
      <c r="W26" s="67"/>
      <c r="X26" s="67"/>
      <c r="Y26" s="67">
        <v>50.0</v>
      </c>
      <c r="Z26" s="69">
        <f t="shared" si="19"/>
        <v>30</v>
      </c>
      <c r="AA26" s="70">
        <f t="shared" si="4"/>
        <v>80</v>
      </c>
      <c r="AB26" s="71">
        <f t="shared" si="16"/>
        <v>1235.354572</v>
      </c>
      <c r="AC26" s="71">
        <f>+(S26-T26)*V26-'data 1'!$F$4</f>
        <v>129.437</v>
      </c>
      <c r="AD26" s="71">
        <f t="shared" si="6"/>
        <v>-8.80004544</v>
      </c>
      <c r="AE26" s="71">
        <f>+(Y26*V26-'data 2'!$B$2)+V26*(Z26-IF(D26="UNTUCA",IF(+((W26-3)*2.5+(X26-3)*3.1)&gt;0,+((W26-3)*1.5+(X26-3)*3.1),0),IF(+((W26-3)*1.5+(X26-3)*3.1)&gt;0,+((W26-3)*1.5+(X26-3)*3.1),0)))</f>
        <v>-1.816</v>
      </c>
      <c r="AF26" s="71">
        <f t="shared" si="7"/>
        <v>19.86043923</v>
      </c>
      <c r="AG26" s="868">
        <f t="shared" si="20"/>
        <v>138.6813938</v>
      </c>
      <c r="AH26" s="52">
        <f t="shared" si="9"/>
        <v>84.07544364</v>
      </c>
      <c r="AI26" s="73">
        <f t="shared" si="17"/>
        <v>124.7634913</v>
      </c>
      <c r="AJ26" s="73">
        <f t="shared" si="11"/>
        <v>83.4670675</v>
      </c>
      <c r="AK26" s="53"/>
      <c r="AL26" s="122">
        <f t="shared" si="12"/>
        <v>5442.354568</v>
      </c>
    </row>
    <row r="27" ht="15.75" customHeight="1">
      <c r="A27" s="88" t="s">
        <v>4778</v>
      </c>
      <c r="B27" s="841">
        <v>45570.0</v>
      </c>
      <c r="C27" s="841">
        <v>45569.0</v>
      </c>
      <c r="D27" s="67" t="s">
        <v>602</v>
      </c>
      <c r="E27" s="67">
        <v>2.0169040232E10</v>
      </c>
      <c r="F27" s="67" t="s">
        <v>4779</v>
      </c>
      <c r="G27" s="134">
        <v>93.0</v>
      </c>
      <c r="H27" s="67" t="s">
        <v>47</v>
      </c>
      <c r="I27" s="69">
        <v>8.5</v>
      </c>
      <c r="J27" s="69">
        <v>1.1</v>
      </c>
      <c r="K27" s="59">
        <f t="shared" si="1"/>
        <v>8.4065</v>
      </c>
      <c r="L27" s="106">
        <v>0.401</v>
      </c>
      <c r="M27" s="106">
        <v>0.38</v>
      </c>
      <c r="N27" s="135">
        <v>0.38</v>
      </c>
      <c r="O27" s="106">
        <f t="shared" si="18"/>
        <v>0.38</v>
      </c>
      <c r="P27" s="136">
        <v>90.0</v>
      </c>
      <c r="Q27" s="69">
        <v>89.15</v>
      </c>
      <c r="R27" s="741">
        <v>2650.05</v>
      </c>
      <c r="S27" s="134">
        <v>130.0</v>
      </c>
      <c r="T27" s="67"/>
      <c r="U27" s="67">
        <v>130.0</v>
      </c>
      <c r="V27" s="67">
        <v>1.1023</v>
      </c>
      <c r="W27" s="67"/>
      <c r="X27" s="67"/>
      <c r="Y27" s="67">
        <v>30.0</v>
      </c>
      <c r="Z27" s="69">
        <f t="shared" si="19"/>
        <v>30</v>
      </c>
      <c r="AA27" s="70">
        <f t="shared" si="4"/>
        <v>60</v>
      </c>
      <c r="AB27" s="71">
        <f t="shared" si="16"/>
        <v>740.5880813</v>
      </c>
      <c r="AC27" s="71">
        <f>+(S27-T27)*V27-'data 1'!$F$4</f>
        <v>63.299</v>
      </c>
      <c r="AD27" s="71">
        <f t="shared" si="6"/>
        <v>-9.468305525</v>
      </c>
      <c r="AE27" s="71">
        <f>+(Y27*V27-'data 2'!$B$2)+V27*(Z27-IF(D27="UNTUCA",IF(+((W27-3)*2.5+(X27-3)*3.1)&gt;0,+((W27-3)*1.5+(X27-3)*3.1),0),IF(+((W27-3)*1.5+(X27-3)*3.1)&gt;0,+((W27-3)*1.5+(X27-3)*3.1),0)))</f>
        <v>-23.862</v>
      </c>
      <c r="AF27" s="71">
        <f t="shared" si="7"/>
        <v>52.00553965</v>
      </c>
      <c r="AG27" s="868">
        <f t="shared" si="20"/>
        <v>81.97423412</v>
      </c>
      <c r="AH27" s="52">
        <f t="shared" si="9"/>
        <v>103.0362411</v>
      </c>
      <c r="AI27" s="73">
        <f t="shared" si="17"/>
        <v>78.79287295</v>
      </c>
      <c r="AJ27" s="73">
        <f t="shared" si="11"/>
        <v>98.57127921</v>
      </c>
      <c r="AK27" s="53"/>
      <c r="AL27" s="122">
        <f t="shared" si="12"/>
        <v>6225.753706</v>
      </c>
    </row>
    <row r="28" ht="15.75" customHeight="1">
      <c r="A28" s="88" t="s">
        <v>4780</v>
      </c>
      <c r="B28" s="841">
        <v>45570.0</v>
      </c>
      <c r="C28" s="841">
        <v>45569.0</v>
      </c>
      <c r="D28" s="67" t="s">
        <v>602</v>
      </c>
      <c r="E28" s="67">
        <v>2.0169040233E10</v>
      </c>
      <c r="F28" s="67" t="s">
        <v>4779</v>
      </c>
      <c r="G28" s="134">
        <v>100.0</v>
      </c>
      <c r="H28" s="67" t="s">
        <v>47</v>
      </c>
      <c r="I28" s="69">
        <v>9.27</v>
      </c>
      <c r="J28" s="69">
        <v>1.2</v>
      </c>
      <c r="K28" s="59">
        <f t="shared" si="1"/>
        <v>9.15876</v>
      </c>
      <c r="L28" s="106">
        <v>0.367</v>
      </c>
      <c r="M28" s="106">
        <v>0.349</v>
      </c>
      <c r="N28" s="135">
        <v>0.349</v>
      </c>
      <c r="O28" s="106">
        <f t="shared" si="18"/>
        <v>0.349</v>
      </c>
      <c r="P28" s="136">
        <v>90.0</v>
      </c>
      <c r="Q28" s="69">
        <v>89.46</v>
      </c>
      <c r="R28" s="909">
        <v>2650.05</v>
      </c>
      <c r="S28" s="134">
        <v>130.0</v>
      </c>
      <c r="T28" s="67"/>
      <c r="U28" s="67">
        <v>130.0</v>
      </c>
      <c r="V28" s="67">
        <v>1.1023</v>
      </c>
      <c r="W28" s="67"/>
      <c r="X28" s="67"/>
      <c r="Y28" s="67">
        <v>30.0</v>
      </c>
      <c r="Z28" s="69">
        <f t="shared" si="19"/>
        <v>30</v>
      </c>
      <c r="AA28" s="70">
        <f t="shared" si="4"/>
        <v>60</v>
      </c>
      <c r="AB28" s="71">
        <f t="shared" si="16"/>
        <v>663.0860352</v>
      </c>
      <c r="AC28" s="71">
        <f>+(S28-T28)*V28-'data 1'!$F$4</f>
        <v>63.299</v>
      </c>
      <c r="AD28" s="71">
        <f t="shared" si="6"/>
        <v>-5.50514534</v>
      </c>
      <c r="AE28" s="71">
        <f>+(Y28*V28-'data 2'!$B$2)+V28*(Z28-IF(D28="UNTUCA",IF(+((W28-3)*2.5+(X28-3)*3.1)&gt;0,+((W28-3)*1.5+(X28-3)*3.1),0),IF(+((W28-3)*1.5+(X28-3)*3.1)&gt;0,+((W28-3)*1.5+(X28-3)*3.1),0)))</f>
        <v>-23.862</v>
      </c>
      <c r="AF28" s="71">
        <f t="shared" si="7"/>
        <v>44.73118093</v>
      </c>
      <c r="AG28" s="868">
        <f t="shared" si="20"/>
        <v>78.66303559</v>
      </c>
      <c r="AH28" s="52">
        <f t="shared" si="9"/>
        <v>103.0957366</v>
      </c>
      <c r="AI28" s="73">
        <f t="shared" si="17"/>
        <v>72.36293511</v>
      </c>
      <c r="AJ28" s="73">
        <f t="shared" si="11"/>
        <v>98.63105633</v>
      </c>
      <c r="AK28" s="53"/>
      <c r="AL28" s="122">
        <f t="shared" si="12"/>
        <v>6073.045856</v>
      </c>
    </row>
    <row r="29" ht="15.75" customHeight="1">
      <c r="A29" s="88" t="s">
        <v>4781</v>
      </c>
      <c r="B29" s="841">
        <v>45570.0</v>
      </c>
      <c r="C29" s="841">
        <v>45569.0</v>
      </c>
      <c r="D29" s="67" t="s">
        <v>602</v>
      </c>
      <c r="E29" s="67">
        <v>2.0169040234E10</v>
      </c>
      <c r="F29" s="67" t="s">
        <v>4779</v>
      </c>
      <c r="G29" s="134">
        <v>100.0</v>
      </c>
      <c r="H29" s="67" t="s">
        <v>47</v>
      </c>
      <c r="I29" s="69">
        <v>9.29</v>
      </c>
      <c r="J29" s="69">
        <v>1.0</v>
      </c>
      <c r="K29" s="59">
        <f t="shared" si="1"/>
        <v>9.1971</v>
      </c>
      <c r="L29" s="106">
        <v>0.316</v>
      </c>
      <c r="M29" s="106">
        <v>0.3</v>
      </c>
      <c r="N29" s="135">
        <v>0.3</v>
      </c>
      <c r="O29" s="106">
        <f t="shared" si="18"/>
        <v>0.3</v>
      </c>
      <c r="P29" s="136">
        <v>90.0</v>
      </c>
      <c r="Q29" s="69">
        <v>89.65</v>
      </c>
      <c r="R29" s="909">
        <v>2650.05</v>
      </c>
      <c r="S29" s="134">
        <v>130.0</v>
      </c>
      <c r="T29" s="67"/>
      <c r="U29" s="67">
        <v>130.0</v>
      </c>
      <c r="V29" s="67">
        <v>1.1023</v>
      </c>
      <c r="W29" s="67"/>
      <c r="X29" s="67"/>
      <c r="Y29" s="67">
        <v>30.0</v>
      </c>
      <c r="Z29" s="69">
        <f t="shared" si="19"/>
        <v>30</v>
      </c>
      <c r="AA29" s="70">
        <f t="shared" si="4"/>
        <v>60</v>
      </c>
      <c r="AB29" s="71">
        <f t="shared" si="16"/>
        <v>540.5828011</v>
      </c>
      <c r="AC29" s="71">
        <f>+(S29-T29)*V29-'data 1'!$F$4</f>
        <v>63.299</v>
      </c>
      <c r="AD29" s="71">
        <f t="shared" si="6"/>
        <v>-3.072303333</v>
      </c>
      <c r="AE29" s="71">
        <f>+(Y29*V29-'data 2'!$B$2)+V29*(Z29-IF(D29="UNTUCA",IF(+((W29-3)*2.5+(X29-3)*3.1)&gt;0,+((W29-3)*1.5+(X29-3)*3.1),0),IF(+((W29-3)*1.5+(X29-3)*3.1)&gt;0,+((W29-3)*1.5+(X29-3)*3.1),0)))</f>
        <v>-23.862</v>
      </c>
      <c r="AF29" s="71">
        <f t="shared" si="7"/>
        <v>39.84549639</v>
      </c>
      <c r="AG29" s="868">
        <f t="shared" si="20"/>
        <v>76.21019306</v>
      </c>
      <c r="AH29" s="52">
        <f t="shared" si="9"/>
        <v>89.33000419</v>
      </c>
      <c r="AI29" s="73">
        <f t="shared" si="17"/>
        <v>62.43938149</v>
      </c>
      <c r="AJ29" s="73">
        <f t="shared" si="11"/>
        <v>85.13805846</v>
      </c>
      <c r="AK29" s="53"/>
      <c r="AL29" s="122">
        <f t="shared" si="12"/>
        <v>4971.79408</v>
      </c>
    </row>
    <row r="30" ht="15.75" customHeight="1">
      <c r="A30" s="2"/>
      <c r="B30" s="2"/>
      <c r="C30" s="2"/>
      <c r="D30" s="2"/>
      <c r="E30" s="2"/>
      <c r="F30" s="2"/>
      <c r="G30" s="3"/>
      <c r="H30" s="2"/>
      <c r="I30" s="2"/>
      <c r="J30" s="2"/>
      <c r="K30" s="2"/>
      <c r="L30" s="60"/>
      <c r="M30" s="60"/>
      <c r="N30" s="60"/>
      <c r="O30" s="60"/>
      <c r="P30" s="2"/>
      <c r="Q30" s="2"/>
      <c r="R30" s="2"/>
      <c r="S30" s="3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607"/>
      <c r="AH30" s="3"/>
      <c r="AI30" s="3"/>
      <c r="AJ30" s="3"/>
      <c r="AK30" s="11"/>
      <c r="AL30" s="122"/>
    </row>
    <row r="31" ht="15.75" customHeight="1">
      <c r="A31" s="2"/>
      <c r="B31" s="2"/>
      <c r="C31" s="2"/>
      <c r="D31" s="2"/>
      <c r="E31" s="2"/>
      <c r="F31" s="2"/>
      <c r="G31" s="3"/>
      <c r="H31" s="2"/>
      <c r="I31" s="2"/>
      <c r="J31" s="2"/>
      <c r="K31" s="2"/>
      <c r="L31" s="60"/>
      <c r="M31" s="60"/>
      <c r="N31" s="60"/>
      <c r="O31" s="60"/>
      <c r="P31" s="2"/>
      <c r="Q31" s="2"/>
      <c r="R31" s="2"/>
      <c r="S31" s="3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607"/>
      <c r="AH31" s="3"/>
      <c r="AI31" s="3"/>
      <c r="AJ31" s="3"/>
      <c r="AK31" s="11"/>
      <c r="AL31" s="122"/>
    </row>
    <row r="32" ht="15.75" customHeight="1">
      <c r="A32" s="2"/>
      <c r="B32" s="2"/>
      <c r="C32" s="2"/>
      <c r="D32" s="2"/>
      <c r="E32" s="2"/>
      <c r="F32" s="2"/>
      <c r="G32" s="3"/>
      <c r="H32" s="2"/>
      <c r="I32" s="2"/>
      <c r="J32" s="2"/>
      <c r="K32" s="2"/>
      <c r="L32" s="60"/>
      <c r="M32" s="60"/>
      <c r="N32" s="60"/>
      <c r="O32" s="60"/>
      <c r="P32" s="2"/>
      <c r="Q32" s="2"/>
      <c r="R32" s="2"/>
      <c r="S32" s="3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607"/>
      <c r="AH32" s="3"/>
      <c r="AI32" s="3"/>
      <c r="AJ32" s="3"/>
      <c r="AK32" s="11"/>
      <c r="AL32" s="122"/>
    </row>
    <row r="33" ht="15.75" customHeight="1">
      <c r="A33" s="2"/>
      <c r="B33" s="2"/>
      <c r="C33" s="2"/>
      <c r="D33" s="2"/>
      <c r="E33" s="2"/>
      <c r="F33" s="2"/>
      <c r="G33" s="3"/>
      <c r="H33" s="2"/>
      <c r="I33" s="2"/>
      <c r="J33" s="2"/>
      <c r="K33" s="2"/>
      <c r="L33" s="60"/>
      <c r="M33" s="60"/>
      <c r="N33" s="60"/>
      <c r="O33" s="60"/>
      <c r="P33" s="2"/>
      <c r="Q33" s="2"/>
      <c r="R33" s="2"/>
      <c r="S33" s="3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607"/>
      <c r="AH33" s="3"/>
      <c r="AI33" s="3"/>
      <c r="AJ33" s="3"/>
      <c r="AK33" s="11"/>
      <c r="AL33" s="122"/>
    </row>
    <row r="34" ht="15.75" customHeight="1">
      <c r="A34" s="2"/>
      <c r="B34" s="2"/>
      <c r="C34" s="2"/>
      <c r="D34" s="2"/>
      <c r="E34" s="2"/>
      <c r="F34" s="2"/>
      <c r="G34" s="3"/>
      <c r="H34" s="2"/>
      <c r="I34" s="2"/>
      <c r="J34" s="2"/>
      <c r="K34" s="2"/>
      <c r="L34" s="60"/>
      <c r="M34" s="60"/>
      <c r="N34" s="60"/>
      <c r="O34" s="60"/>
      <c r="P34" s="2"/>
      <c r="Q34" s="2"/>
      <c r="R34" s="2"/>
      <c r="S34" s="3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607"/>
      <c r="AH34" s="3"/>
      <c r="AI34" s="3"/>
      <c r="AJ34" s="3"/>
      <c r="AK34" s="11"/>
      <c r="AL34" s="122"/>
    </row>
    <row r="35" ht="15.75" customHeight="1">
      <c r="A35" s="2"/>
      <c r="B35" s="2"/>
      <c r="C35" s="2"/>
      <c r="D35" s="2"/>
      <c r="E35" s="2"/>
      <c r="F35" s="2"/>
      <c r="G35" s="3"/>
      <c r="H35" s="2"/>
      <c r="I35" s="2"/>
      <c r="J35" s="2"/>
      <c r="K35" s="2"/>
      <c r="L35" s="60"/>
      <c r="M35" s="60"/>
      <c r="N35" s="60"/>
      <c r="O35" s="60"/>
      <c r="P35" s="2"/>
      <c r="Q35" s="2"/>
      <c r="R35" s="2"/>
      <c r="S35" s="3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607"/>
      <c r="AH35" s="3"/>
      <c r="AI35" s="3"/>
      <c r="AJ35" s="3"/>
      <c r="AK35" s="11"/>
      <c r="AL35" s="122"/>
    </row>
    <row r="36" ht="15.75" customHeight="1">
      <c r="A36" s="2"/>
      <c r="B36" s="2"/>
      <c r="C36" s="2"/>
      <c r="D36" s="2"/>
      <c r="E36" s="2"/>
      <c r="F36" s="2"/>
      <c r="G36" s="3"/>
      <c r="H36" s="2"/>
      <c r="I36" s="2"/>
      <c r="J36" s="2"/>
      <c r="K36" s="2"/>
      <c r="L36" s="60"/>
      <c r="M36" s="60"/>
      <c r="N36" s="60"/>
      <c r="O36" s="60"/>
      <c r="P36" s="2"/>
      <c r="Q36" s="2"/>
      <c r="R36" s="2"/>
      <c r="S36" s="3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607"/>
      <c r="AH36" s="3"/>
      <c r="AI36" s="3"/>
      <c r="AJ36" s="3"/>
      <c r="AK36" s="11"/>
      <c r="AL36" s="122"/>
    </row>
    <row r="37" ht="15.75" customHeight="1">
      <c r="A37" s="2"/>
      <c r="B37" s="2"/>
      <c r="C37" s="2"/>
      <c r="D37" s="2"/>
      <c r="E37" s="2"/>
      <c r="F37" s="2"/>
      <c r="G37" s="3"/>
      <c r="H37" s="2"/>
      <c r="I37" s="2"/>
      <c r="J37" s="2"/>
      <c r="K37" s="2"/>
      <c r="L37" s="60"/>
      <c r="M37" s="60"/>
      <c r="N37" s="60"/>
      <c r="O37" s="60"/>
      <c r="P37" s="2"/>
      <c r="Q37" s="2"/>
      <c r="R37" s="2"/>
      <c r="S37" s="3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607"/>
      <c r="AH37" s="3"/>
      <c r="AI37" s="3"/>
      <c r="AJ37" s="3"/>
      <c r="AK37" s="11"/>
      <c r="AL37" s="122"/>
    </row>
    <row r="38" ht="15.75" customHeight="1">
      <c r="A38" s="2"/>
      <c r="B38" s="2"/>
      <c r="C38" s="2"/>
      <c r="D38" s="2"/>
      <c r="E38" s="2"/>
      <c r="F38" s="2"/>
      <c r="G38" s="3"/>
      <c r="H38" s="2"/>
      <c r="I38" s="2"/>
      <c r="J38" s="2"/>
      <c r="K38" s="2"/>
      <c r="L38" s="60"/>
      <c r="M38" s="60"/>
      <c r="N38" s="60"/>
      <c r="O38" s="60"/>
      <c r="P38" s="2"/>
      <c r="Q38" s="2"/>
      <c r="R38" s="2"/>
      <c r="S38" s="3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607"/>
      <c r="AH38" s="3"/>
      <c r="AI38" s="3"/>
      <c r="AJ38" s="3"/>
      <c r="AK38" s="11"/>
      <c r="AL38" s="122"/>
    </row>
    <row r="39" ht="15.75" customHeight="1">
      <c r="A39" s="2"/>
      <c r="B39" s="2"/>
      <c r="C39" s="2"/>
      <c r="D39" s="2"/>
      <c r="E39" s="2"/>
      <c r="F39" s="2"/>
      <c r="G39" s="3"/>
      <c r="H39" s="2"/>
      <c r="I39" s="2"/>
      <c r="J39" s="2"/>
      <c r="K39" s="2"/>
      <c r="L39" s="60"/>
      <c r="M39" s="60"/>
      <c r="N39" s="60"/>
      <c r="O39" s="60"/>
      <c r="P39" s="2"/>
      <c r="Q39" s="2"/>
      <c r="R39" s="2"/>
      <c r="S39" s="3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607"/>
      <c r="AH39" s="3"/>
      <c r="AI39" s="3"/>
      <c r="AJ39" s="3"/>
      <c r="AK39" s="11"/>
      <c r="AL39" s="122"/>
    </row>
    <row r="40" ht="15.75" customHeight="1">
      <c r="A40" s="2"/>
      <c r="B40" s="2"/>
      <c r="C40" s="2"/>
      <c r="D40" s="2"/>
      <c r="E40" s="2"/>
      <c r="F40" s="2"/>
      <c r="G40" s="3"/>
      <c r="H40" s="2"/>
      <c r="I40" s="2"/>
      <c r="J40" s="2"/>
      <c r="K40" s="2"/>
      <c r="L40" s="60"/>
      <c r="M40" s="60"/>
      <c r="N40" s="60"/>
      <c r="O40" s="60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607"/>
      <c r="AH40" s="3"/>
      <c r="AI40" s="3"/>
      <c r="AJ40" s="3"/>
      <c r="AK40" s="11"/>
      <c r="AL40" s="122"/>
    </row>
    <row r="41" ht="15.75" customHeight="1">
      <c r="A41" s="2"/>
      <c r="B41" s="2"/>
      <c r="C41" s="2"/>
      <c r="D41" s="2"/>
      <c r="E41" s="2"/>
      <c r="F41" s="2"/>
      <c r="G41" s="3"/>
      <c r="H41" s="2"/>
      <c r="I41" s="2"/>
      <c r="J41" s="2"/>
      <c r="K41" s="2"/>
      <c r="L41" s="60"/>
      <c r="M41" s="60"/>
      <c r="N41" s="60"/>
      <c r="O41" s="60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607"/>
      <c r="AH41" s="3"/>
      <c r="AI41" s="3"/>
      <c r="AJ41" s="3"/>
      <c r="AK41" s="11"/>
      <c r="AL41" s="122"/>
    </row>
    <row r="42" ht="15.75" customHeight="1">
      <c r="A42" s="2"/>
      <c r="B42" s="2"/>
      <c r="C42" s="2"/>
      <c r="D42" s="2"/>
      <c r="E42" s="2"/>
      <c r="F42" s="2"/>
      <c r="G42" s="3"/>
      <c r="H42" s="2"/>
      <c r="I42" s="2"/>
      <c r="J42" s="2"/>
      <c r="K42" s="2"/>
      <c r="L42" s="60"/>
      <c r="M42" s="60"/>
      <c r="N42" s="60"/>
      <c r="O42" s="60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607"/>
      <c r="AH42" s="3"/>
      <c r="AI42" s="3"/>
      <c r="AJ42" s="3"/>
      <c r="AK42" s="11"/>
      <c r="AL42" s="122"/>
    </row>
    <row r="43" ht="15.75" customHeight="1">
      <c r="A43" s="2"/>
      <c r="B43" s="2"/>
      <c r="C43" s="2"/>
      <c r="D43" s="2"/>
      <c r="E43" s="2"/>
      <c r="F43" s="2"/>
      <c r="G43" s="3"/>
      <c r="H43" s="2"/>
      <c r="I43" s="2"/>
      <c r="J43" s="2"/>
      <c r="K43" s="2"/>
      <c r="L43" s="60"/>
      <c r="M43" s="60"/>
      <c r="N43" s="60"/>
      <c r="O43" s="60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607"/>
      <c r="AH43" s="3"/>
      <c r="AI43" s="3"/>
      <c r="AJ43" s="3"/>
      <c r="AK43" s="11"/>
      <c r="AL43" s="122"/>
    </row>
    <row r="44" ht="15.75" customHeight="1">
      <c r="A44" s="2"/>
      <c r="B44" s="2"/>
      <c r="C44" s="2"/>
      <c r="D44" s="2"/>
      <c r="E44" s="2"/>
      <c r="F44" s="2"/>
      <c r="G44" s="3"/>
      <c r="H44" s="2"/>
      <c r="I44" s="2"/>
      <c r="J44" s="2"/>
      <c r="K44" s="2"/>
      <c r="L44" s="60"/>
      <c r="M44" s="60"/>
      <c r="N44" s="60"/>
      <c r="O44" s="60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607"/>
      <c r="AH44" s="3"/>
      <c r="AI44" s="3"/>
      <c r="AJ44" s="3"/>
      <c r="AK44" s="11"/>
      <c r="AL44" s="122"/>
    </row>
    <row r="45" ht="15.75" customHeight="1">
      <c r="A45" s="2"/>
      <c r="B45" s="2"/>
      <c r="C45" s="2"/>
      <c r="D45" s="2"/>
      <c r="E45" s="2"/>
      <c r="F45" s="2"/>
      <c r="G45" s="3"/>
      <c r="H45" s="2"/>
      <c r="I45" s="2"/>
      <c r="J45" s="2"/>
      <c r="K45" s="2"/>
      <c r="L45" s="60"/>
      <c r="M45" s="60"/>
      <c r="N45" s="60"/>
      <c r="O45" s="60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607"/>
      <c r="AH45" s="3"/>
      <c r="AI45" s="3"/>
      <c r="AJ45" s="3"/>
      <c r="AK45" s="11"/>
      <c r="AL45" s="122"/>
    </row>
    <row r="46" ht="15.75" customHeight="1">
      <c r="A46" s="2"/>
      <c r="B46" s="2"/>
      <c r="C46" s="2"/>
      <c r="D46" s="2"/>
      <c r="E46" s="2"/>
      <c r="F46" s="2"/>
      <c r="G46" s="3"/>
      <c r="H46" s="2"/>
      <c r="I46" s="2"/>
      <c r="J46" s="2"/>
      <c r="K46" s="2"/>
      <c r="L46" s="60"/>
      <c r="M46" s="60"/>
      <c r="N46" s="60"/>
      <c r="O46" s="60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607"/>
      <c r="AH46" s="3"/>
      <c r="AI46" s="3"/>
      <c r="AJ46" s="3"/>
      <c r="AK46" s="11"/>
      <c r="AL46" s="122"/>
    </row>
    <row r="47" ht="15.75" customHeight="1">
      <c r="A47" s="2"/>
      <c r="B47" s="2"/>
      <c r="C47" s="2"/>
      <c r="D47" s="2"/>
      <c r="E47" s="2"/>
      <c r="F47" s="2"/>
      <c r="G47" s="3"/>
      <c r="H47" s="2"/>
      <c r="I47" s="2"/>
      <c r="J47" s="2"/>
      <c r="K47" s="2"/>
      <c r="L47" s="60"/>
      <c r="M47" s="60"/>
      <c r="N47" s="60"/>
      <c r="O47" s="60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607"/>
      <c r="AH47" s="3"/>
      <c r="AI47" s="3"/>
      <c r="AJ47" s="3"/>
      <c r="AK47" s="11"/>
      <c r="AL47" s="122"/>
    </row>
    <row r="48" ht="15.75" customHeight="1">
      <c r="A48" s="2"/>
      <c r="B48" s="2"/>
      <c r="C48" s="2"/>
      <c r="D48" s="2"/>
      <c r="E48" s="2"/>
      <c r="F48" s="2"/>
      <c r="G48" s="3"/>
      <c r="H48" s="2"/>
      <c r="I48" s="2"/>
      <c r="J48" s="2"/>
      <c r="K48" s="2"/>
      <c r="L48" s="60"/>
      <c r="M48" s="60"/>
      <c r="N48" s="60"/>
      <c r="O48" s="60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607"/>
      <c r="AH48" s="3"/>
      <c r="AI48" s="3"/>
      <c r="AJ48" s="3"/>
      <c r="AK48" s="11"/>
      <c r="AL48" s="122"/>
    </row>
    <row r="49" ht="15.75" customHeight="1">
      <c r="A49" s="2"/>
      <c r="B49" s="2"/>
      <c r="C49" s="2"/>
      <c r="D49" s="2"/>
      <c r="E49" s="2"/>
      <c r="F49" s="2"/>
      <c r="G49" s="3"/>
      <c r="H49" s="2"/>
      <c r="I49" s="2"/>
      <c r="J49" s="2"/>
      <c r="K49" s="2"/>
      <c r="L49" s="60"/>
      <c r="M49" s="60"/>
      <c r="N49" s="60"/>
      <c r="O49" s="60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607"/>
      <c r="AH49" s="3"/>
      <c r="AI49" s="3"/>
      <c r="AJ49" s="3"/>
      <c r="AK49" s="11"/>
      <c r="AL49" s="122"/>
    </row>
    <row r="50" ht="15.75" customHeight="1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60"/>
      <c r="M50" s="60"/>
      <c r="N50" s="60"/>
      <c r="O50" s="60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607"/>
      <c r="AH50" s="3"/>
      <c r="AI50" s="3"/>
      <c r="AJ50" s="3"/>
      <c r="AK50" s="11"/>
      <c r="AL50" s="122"/>
    </row>
    <row r="51" ht="15.75" customHeight="1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60"/>
      <c r="M51" s="60"/>
      <c r="N51" s="60"/>
      <c r="O51" s="60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607"/>
      <c r="AH51" s="3"/>
      <c r="AI51" s="3"/>
      <c r="AJ51" s="3"/>
      <c r="AK51" s="11"/>
      <c r="AL51" s="122"/>
    </row>
    <row r="52" ht="15.75" customHeight="1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60"/>
      <c r="M52" s="60"/>
      <c r="N52" s="60"/>
      <c r="O52" s="60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607"/>
      <c r="AH52" s="3"/>
      <c r="AI52" s="3"/>
      <c r="AJ52" s="3"/>
      <c r="AK52" s="11"/>
      <c r="AL52" s="122"/>
    </row>
    <row r="53" ht="15.75" customHeight="1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60"/>
      <c r="M53" s="60"/>
      <c r="N53" s="60"/>
      <c r="O53" s="60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607"/>
      <c r="AH53" s="3"/>
      <c r="AI53" s="3"/>
      <c r="AJ53" s="3"/>
      <c r="AK53" s="11"/>
      <c r="AL53" s="122"/>
    </row>
    <row r="54" ht="15.75" customHeight="1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60"/>
      <c r="M54" s="60"/>
      <c r="N54" s="60"/>
      <c r="O54" s="60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607"/>
      <c r="AH54" s="3"/>
      <c r="AI54" s="3"/>
      <c r="AJ54" s="3"/>
      <c r="AK54" s="11"/>
      <c r="AL54" s="122"/>
    </row>
    <row r="55" ht="15.75" customHeight="1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60"/>
      <c r="M55" s="60"/>
      <c r="N55" s="60"/>
      <c r="O55" s="60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607"/>
      <c r="AH55" s="3"/>
      <c r="AI55" s="3"/>
      <c r="AJ55" s="3"/>
      <c r="AK55" s="11"/>
      <c r="AL55" s="122"/>
    </row>
    <row r="56" ht="15.75" customHeight="1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60"/>
      <c r="M56" s="60"/>
      <c r="N56" s="60"/>
      <c r="O56" s="60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607"/>
      <c r="AH56" s="3"/>
      <c r="AI56" s="3"/>
      <c r="AJ56" s="3"/>
      <c r="AK56" s="11"/>
      <c r="AL56" s="122"/>
    </row>
    <row r="57" ht="15.75" customHeight="1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60"/>
      <c r="M57" s="60"/>
      <c r="N57" s="60"/>
      <c r="O57" s="60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607"/>
      <c r="AH57" s="3"/>
      <c r="AI57" s="3"/>
      <c r="AJ57" s="3"/>
      <c r="AK57" s="11"/>
      <c r="AL57" s="122"/>
    </row>
    <row r="58" ht="15.75" customHeight="1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60"/>
      <c r="M58" s="60"/>
      <c r="N58" s="60"/>
      <c r="O58" s="60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607"/>
      <c r="AH58" s="3"/>
      <c r="AI58" s="3"/>
      <c r="AJ58" s="3"/>
      <c r="AK58" s="11"/>
      <c r="AL58" s="122"/>
    </row>
    <row r="59" ht="15.75" customHeight="1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60"/>
      <c r="M59" s="60"/>
      <c r="N59" s="60"/>
      <c r="O59" s="60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607"/>
      <c r="AH59" s="3"/>
      <c r="AI59" s="3"/>
      <c r="AJ59" s="3"/>
      <c r="AK59" s="11"/>
      <c r="AL59" s="122"/>
    </row>
    <row r="60" ht="15.75" customHeight="1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60"/>
      <c r="M60" s="60"/>
      <c r="N60" s="60"/>
      <c r="O60" s="60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607"/>
      <c r="AH60" s="3"/>
      <c r="AI60" s="3"/>
      <c r="AJ60" s="3"/>
      <c r="AK60" s="11"/>
      <c r="AL60" s="122"/>
    </row>
    <row r="61" ht="15.75" customHeight="1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60"/>
      <c r="M61" s="60"/>
      <c r="N61" s="60"/>
      <c r="O61" s="60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607"/>
      <c r="AH61" s="3"/>
      <c r="AI61" s="3"/>
      <c r="AJ61" s="3"/>
      <c r="AK61" s="11"/>
      <c r="AL61" s="122"/>
    </row>
    <row r="62" ht="15.75" customHeight="1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60"/>
      <c r="M62" s="60"/>
      <c r="N62" s="60"/>
      <c r="O62" s="60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607"/>
      <c r="AH62" s="3"/>
      <c r="AI62" s="3"/>
      <c r="AJ62" s="3"/>
      <c r="AK62" s="11"/>
      <c r="AL62" s="122"/>
    </row>
    <row r="63" ht="15.75" customHeight="1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60"/>
      <c r="M63" s="60"/>
      <c r="N63" s="60"/>
      <c r="O63" s="60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607"/>
      <c r="AH63" s="3"/>
      <c r="AI63" s="3"/>
      <c r="AJ63" s="3"/>
      <c r="AK63" s="11"/>
      <c r="AL63" s="122"/>
    </row>
    <row r="64" ht="15.75" customHeight="1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60"/>
      <c r="M64" s="60"/>
      <c r="N64" s="60"/>
      <c r="O64" s="60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607"/>
      <c r="AH64" s="3"/>
      <c r="AI64" s="3"/>
      <c r="AJ64" s="3"/>
      <c r="AK64" s="11"/>
      <c r="AL64" s="122"/>
    </row>
    <row r="65" ht="15.75" customHeight="1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60"/>
      <c r="M65" s="60"/>
      <c r="N65" s="60"/>
      <c r="O65" s="60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607"/>
      <c r="AH65" s="3"/>
      <c r="AI65" s="3"/>
      <c r="AJ65" s="3"/>
      <c r="AK65" s="11"/>
      <c r="AL65" s="122"/>
    </row>
    <row r="66" ht="15.75" customHeight="1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60"/>
      <c r="M66" s="60"/>
      <c r="N66" s="60"/>
      <c r="O66" s="60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607"/>
      <c r="AH66" s="3"/>
      <c r="AI66" s="3"/>
      <c r="AJ66" s="3"/>
      <c r="AK66" s="11"/>
      <c r="AL66" s="122"/>
    </row>
    <row r="67" ht="15.75" customHeight="1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60"/>
      <c r="M67" s="60"/>
      <c r="N67" s="60"/>
      <c r="O67" s="60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607"/>
      <c r="AH67" s="3"/>
      <c r="AI67" s="3"/>
      <c r="AJ67" s="3"/>
      <c r="AK67" s="11"/>
      <c r="AL67" s="122"/>
    </row>
    <row r="68" ht="15.75" customHeight="1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60"/>
      <c r="M68" s="60"/>
      <c r="N68" s="60"/>
      <c r="O68" s="60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607"/>
      <c r="AH68" s="3"/>
      <c r="AI68" s="3"/>
      <c r="AJ68" s="3"/>
      <c r="AK68" s="11"/>
      <c r="AL68" s="122"/>
    </row>
    <row r="69" ht="15.75" customHeight="1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60"/>
      <c r="M69" s="60"/>
      <c r="N69" s="60"/>
      <c r="O69" s="60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607"/>
      <c r="AH69" s="3"/>
      <c r="AI69" s="3"/>
      <c r="AJ69" s="3"/>
      <c r="AK69" s="11"/>
      <c r="AL69" s="122"/>
    </row>
    <row r="70" ht="15.75" customHeight="1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60"/>
      <c r="M70" s="60"/>
      <c r="N70" s="60"/>
      <c r="O70" s="60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607"/>
      <c r="AH70" s="3"/>
      <c r="AI70" s="3"/>
      <c r="AJ70" s="3"/>
      <c r="AK70" s="11"/>
      <c r="AL70" s="122"/>
    </row>
    <row r="71" ht="15.75" customHeight="1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60"/>
      <c r="M71" s="60"/>
      <c r="N71" s="60"/>
      <c r="O71" s="60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607"/>
      <c r="AH71" s="3"/>
      <c r="AI71" s="3"/>
      <c r="AJ71" s="3"/>
      <c r="AK71" s="11"/>
      <c r="AL71" s="122"/>
    </row>
    <row r="72" ht="15.75" customHeight="1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60"/>
      <c r="M72" s="60"/>
      <c r="N72" s="60"/>
      <c r="O72" s="60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607"/>
      <c r="AH72" s="3"/>
      <c r="AI72" s="3"/>
      <c r="AJ72" s="3"/>
      <c r="AK72" s="11"/>
      <c r="AL72" s="122"/>
    </row>
    <row r="73" ht="15.75" customHeight="1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60"/>
      <c r="M73" s="60"/>
      <c r="N73" s="60"/>
      <c r="O73" s="60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607"/>
      <c r="AH73" s="3"/>
      <c r="AI73" s="3"/>
      <c r="AJ73" s="3"/>
      <c r="AK73" s="11"/>
      <c r="AL73" s="122"/>
    </row>
    <row r="74" ht="15.75" customHeight="1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60"/>
      <c r="M74" s="60"/>
      <c r="N74" s="60"/>
      <c r="O74" s="60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607"/>
      <c r="AH74" s="3"/>
      <c r="AI74" s="3"/>
      <c r="AJ74" s="3"/>
      <c r="AK74" s="11"/>
      <c r="AL74" s="122"/>
    </row>
    <row r="75" ht="15.75" customHeight="1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60"/>
      <c r="M75" s="60"/>
      <c r="N75" s="60"/>
      <c r="O75" s="60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607"/>
      <c r="AH75" s="3"/>
      <c r="AI75" s="3"/>
      <c r="AJ75" s="3"/>
      <c r="AK75" s="11"/>
      <c r="AL75" s="122"/>
    </row>
    <row r="76" ht="15.75" customHeight="1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60"/>
      <c r="M76" s="60"/>
      <c r="N76" s="60"/>
      <c r="O76" s="60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607"/>
      <c r="AH76" s="3"/>
      <c r="AI76" s="3"/>
      <c r="AJ76" s="3"/>
      <c r="AK76" s="11"/>
      <c r="AL76" s="122"/>
    </row>
    <row r="77" ht="15.75" customHeight="1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60"/>
      <c r="M77" s="60"/>
      <c r="N77" s="60"/>
      <c r="O77" s="60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607"/>
      <c r="AH77" s="3"/>
      <c r="AI77" s="3"/>
      <c r="AJ77" s="3"/>
      <c r="AK77" s="11"/>
      <c r="AL77" s="122"/>
    </row>
    <row r="78" ht="15.75" customHeight="1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60"/>
      <c r="M78" s="60"/>
      <c r="N78" s="60"/>
      <c r="O78" s="60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607"/>
      <c r="AH78" s="3"/>
      <c r="AI78" s="3"/>
      <c r="AJ78" s="3"/>
      <c r="AK78" s="11"/>
      <c r="AL78" s="122"/>
    </row>
    <row r="79" ht="15.75" customHeight="1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60"/>
      <c r="M79" s="60"/>
      <c r="N79" s="60"/>
      <c r="O79" s="60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607"/>
      <c r="AH79" s="3"/>
      <c r="AI79" s="3"/>
      <c r="AJ79" s="3"/>
      <c r="AK79" s="11"/>
      <c r="AL79" s="122"/>
    </row>
    <row r="80" ht="15.75" customHeight="1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60"/>
      <c r="M80" s="60"/>
      <c r="N80" s="60"/>
      <c r="O80" s="60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607"/>
      <c r="AH80" s="3"/>
      <c r="AI80" s="3"/>
      <c r="AJ80" s="3"/>
      <c r="AK80" s="11"/>
      <c r="AL80" s="122"/>
    </row>
    <row r="81" ht="15.75" customHeight="1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60"/>
      <c r="M81" s="60"/>
      <c r="N81" s="60"/>
      <c r="O81" s="60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607"/>
      <c r="AH81" s="3"/>
      <c r="AI81" s="3"/>
      <c r="AJ81" s="3"/>
      <c r="AK81" s="11"/>
      <c r="AL81" s="122"/>
    </row>
    <row r="82" ht="15.75" customHeight="1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60"/>
      <c r="M82" s="60"/>
      <c r="N82" s="60"/>
      <c r="O82" s="60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607"/>
      <c r="AH82" s="3"/>
      <c r="AI82" s="3"/>
      <c r="AJ82" s="3"/>
      <c r="AK82" s="11"/>
      <c r="AL82" s="122"/>
    </row>
    <row r="83" ht="15.75" customHeight="1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60"/>
      <c r="M83" s="60"/>
      <c r="N83" s="60"/>
      <c r="O83" s="60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607"/>
      <c r="AH83" s="3"/>
      <c r="AI83" s="3"/>
      <c r="AJ83" s="3"/>
      <c r="AK83" s="11"/>
      <c r="AL83" s="122"/>
    </row>
    <row r="84" ht="15.75" customHeight="1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60"/>
      <c r="M84" s="60"/>
      <c r="N84" s="60"/>
      <c r="O84" s="60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607"/>
      <c r="AH84" s="3"/>
      <c r="AI84" s="3"/>
      <c r="AJ84" s="3"/>
      <c r="AK84" s="11"/>
      <c r="AL84" s="122"/>
    </row>
    <row r="85" ht="15.75" customHeight="1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60"/>
      <c r="M85" s="60"/>
      <c r="N85" s="60"/>
      <c r="O85" s="60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607"/>
      <c r="AH85" s="3"/>
      <c r="AI85" s="3"/>
      <c r="AJ85" s="3"/>
      <c r="AK85" s="11"/>
      <c r="AL85" s="122"/>
    </row>
    <row r="86" ht="15.75" customHeight="1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60"/>
      <c r="M86" s="60"/>
      <c r="N86" s="60"/>
      <c r="O86" s="60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607"/>
      <c r="AH86" s="3"/>
      <c r="AI86" s="3"/>
      <c r="AJ86" s="3"/>
      <c r="AK86" s="11"/>
      <c r="AL86" s="122"/>
    </row>
    <row r="87" ht="15.75" customHeight="1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60"/>
      <c r="M87" s="60"/>
      <c r="N87" s="60"/>
      <c r="O87" s="60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607"/>
      <c r="AH87" s="3"/>
      <c r="AI87" s="3"/>
      <c r="AJ87" s="3"/>
      <c r="AK87" s="11"/>
      <c r="AL87" s="122"/>
    </row>
    <row r="88" ht="15.75" customHeight="1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60"/>
      <c r="M88" s="60"/>
      <c r="N88" s="60"/>
      <c r="O88" s="60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607"/>
      <c r="AH88" s="3"/>
      <c r="AI88" s="3"/>
      <c r="AJ88" s="3"/>
      <c r="AK88" s="11"/>
      <c r="AL88" s="122"/>
    </row>
    <row r="89" ht="15.75" customHeight="1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60"/>
      <c r="M89" s="60"/>
      <c r="N89" s="60"/>
      <c r="O89" s="60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607"/>
      <c r="AH89" s="3"/>
      <c r="AI89" s="3"/>
      <c r="AJ89" s="3"/>
      <c r="AK89" s="11"/>
      <c r="AL89" s="122"/>
    </row>
    <row r="90" ht="15.75" customHeight="1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60"/>
      <c r="M90" s="60"/>
      <c r="N90" s="60"/>
      <c r="O90" s="60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607"/>
      <c r="AH90" s="3"/>
      <c r="AI90" s="3"/>
      <c r="AJ90" s="3"/>
      <c r="AK90" s="11"/>
      <c r="AL90" s="122"/>
    </row>
    <row r="91" ht="15.75" customHeight="1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60"/>
      <c r="M91" s="60"/>
      <c r="N91" s="60"/>
      <c r="O91" s="60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607"/>
      <c r="AH91" s="3"/>
      <c r="AI91" s="3"/>
      <c r="AJ91" s="3"/>
      <c r="AK91" s="11"/>
      <c r="AL91" s="122"/>
    </row>
    <row r="92" ht="15.75" customHeight="1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60"/>
      <c r="M92" s="60"/>
      <c r="N92" s="60"/>
      <c r="O92" s="60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607"/>
      <c r="AH92" s="3"/>
      <c r="AI92" s="3"/>
      <c r="AJ92" s="3"/>
      <c r="AK92" s="11"/>
      <c r="AL92" s="122"/>
    </row>
    <row r="93" ht="15.75" customHeight="1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60"/>
      <c r="M93" s="60"/>
      <c r="N93" s="60"/>
      <c r="O93" s="60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607"/>
      <c r="AH93" s="3"/>
      <c r="AI93" s="3"/>
      <c r="AJ93" s="3"/>
      <c r="AK93" s="11"/>
      <c r="AL93" s="122"/>
    </row>
    <row r="94" ht="15.75" customHeight="1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60"/>
      <c r="M94" s="60"/>
      <c r="N94" s="60"/>
      <c r="O94" s="60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607"/>
      <c r="AH94" s="3"/>
      <c r="AI94" s="3"/>
      <c r="AJ94" s="3"/>
      <c r="AK94" s="11"/>
      <c r="AL94" s="122"/>
    </row>
    <row r="95" ht="15.75" customHeight="1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60"/>
      <c r="M95" s="60"/>
      <c r="N95" s="60"/>
      <c r="O95" s="60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607"/>
      <c r="AH95" s="3"/>
      <c r="AI95" s="3"/>
      <c r="AJ95" s="3"/>
      <c r="AK95" s="11"/>
      <c r="AL95" s="122"/>
    </row>
    <row r="96" ht="15.75" customHeight="1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60"/>
      <c r="M96" s="60"/>
      <c r="N96" s="60"/>
      <c r="O96" s="60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607"/>
      <c r="AH96" s="3"/>
      <c r="AI96" s="3"/>
      <c r="AJ96" s="3"/>
      <c r="AK96" s="11"/>
      <c r="AL96" s="122"/>
    </row>
    <row r="97" ht="15.75" customHeight="1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60"/>
      <c r="M97" s="60"/>
      <c r="N97" s="60"/>
      <c r="O97" s="60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607"/>
      <c r="AH97" s="3"/>
      <c r="AI97" s="3"/>
      <c r="AJ97" s="3"/>
      <c r="AK97" s="11"/>
      <c r="AL97" s="122"/>
    </row>
    <row r="98" ht="15.75" customHeight="1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60"/>
      <c r="M98" s="60"/>
      <c r="N98" s="60"/>
      <c r="O98" s="60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607"/>
      <c r="AH98" s="3"/>
      <c r="AI98" s="3"/>
      <c r="AJ98" s="3"/>
      <c r="AK98" s="11"/>
      <c r="AL98" s="122"/>
    </row>
    <row r="99" ht="15.75" customHeight="1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60"/>
      <c r="M99" s="60"/>
      <c r="N99" s="60"/>
      <c r="O99" s="60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607"/>
      <c r="AH99" s="3"/>
      <c r="AI99" s="3"/>
      <c r="AJ99" s="3"/>
      <c r="AK99" s="11"/>
      <c r="AL99" s="122"/>
    </row>
    <row r="100" ht="15.75" customHeight="1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60"/>
      <c r="M100" s="60"/>
      <c r="N100" s="60"/>
      <c r="O100" s="60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607"/>
      <c r="AH100" s="3"/>
      <c r="AI100" s="3"/>
      <c r="AJ100" s="3"/>
      <c r="AK100" s="11"/>
      <c r="AL100" s="122"/>
    </row>
    <row r="101" ht="15.75" customHeight="1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60"/>
      <c r="M101" s="60"/>
      <c r="N101" s="60"/>
      <c r="O101" s="60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607"/>
      <c r="AH101" s="3"/>
      <c r="AI101" s="3"/>
      <c r="AJ101" s="3"/>
      <c r="AK101" s="11"/>
      <c r="AL101" s="122"/>
    </row>
    <row r="102" ht="15.75" customHeight="1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60"/>
      <c r="M102" s="60"/>
      <c r="N102" s="60"/>
      <c r="O102" s="60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607"/>
      <c r="AH102" s="3"/>
      <c r="AI102" s="3"/>
      <c r="AJ102" s="3"/>
      <c r="AK102" s="11"/>
      <c r="AL102" s="122"/>
    </row>
    <row r="103" ht="15.75" customHeight="1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60"/>
      <c r="M103" s="60"/>
      <c r="N103" s="60"/>
      <c r="O103" s="60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607"/>
      <c r="AH103" s="3"/>
      <c r="AI103" s="3"/>
      <c r="AJ103" s="3"/>
      <c r="AK103" s="11"/>
      <c r="AL103" s="122"/>
    </row>
    <row r="104" ht="15.75" customHeight="1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60"/>
      <c r="M104" s="60"/>
      <c r="N104" s="60"/>
      <c r="O104" s="60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607"/>
      <c r="AH104" s="3"/>
      <c r="AI104" s="3"/>
      <c r="AJ104" s="3"/>
      <c r="AK104" s="11"/>
      <c r="AL104" s="122"/>
    </row>
    <row r="105" ht="15.75" customHeight="1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60"/>
      <c r="M105" s="60"/>
      <c r="N105" s="60"/>
      <c r="O105" s="60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607"/>
      <c r="AH105" s="3"/>
      <c r="AI105" s="3"/>
      <c r="AJ105" s="3"/>
      <c r="AK105" s="11"/>
      <c r="AL105" s="122"/>
    </row>
    <row r="106" ht="15.75" customHeight="1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60"/>
      <c r="M106" s="60"/>
      <c r="N106" s="60"/>
      <c r="O106" s="60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607"/>
      <c r="AH106" s="3"/>
      <c r="AI106" s="3"/>
      <c r="AJ106" s="3"/>
      <c r="AK106" s="11"/>
      <c r="AL106" s="122"/>
    </row>
    <row r="107" ht="15.75" customHeight="1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60"/>
      <c r="M107" s="60"/>
      <c r="N107" s="60"/>
      <c r="O107" s="60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607"/>
      <c r="AH107" s="3"/>
      <c r="AI107" s="3"/>
      <c r="AJ107" s="3"/>
      <c r="AK107" s="11"/>
      <c r="AL107" s="122"/>
    </row>
    <row r="108" ht="15.75" customHeight="1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60"/>
      <c r="M108" s="60"/>
      <c r="N108" s="60"/>
      <c r="O108" s="60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607"/>
      <c r="AH108" s="3"/>
      <c r="AI108" s="3"/>
      <c r="AJ108" s="3"/>
      <c r="AK108" s="11"/>
      <c r="AL108" s="122"/>
    </row>
    <row r="109" ht="15.75" customHeight="1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60"/>
      <c r="M109" s="60"/>
      <c r="N109" s="60"/>
      <c r="O109" s="60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607"/>
      <c r="AH109" s="3"/>
      <c r="AI109" s="3"/>
      <c r="AJ109" s="3"/>
      <c r="AK109" s="11"/>
      <c r="AL109" s="122"/>
    </row>
    <row r="110" ht="15.75" customHeight="1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60"/>
      <c r="M110" s="60"/>
      <c r="N110" s="60"/>
      <c r="O110" s="60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607"/>
      <c r="AH110" s="3"/>
      <c r="AI110" s="3"/>
      <c r="AJ110" s="3"/>
      <c r="AK110" s="11"/>
      <c r="AL110" s="122"/>
    </row>
    <row r="111" ht="15.75" customHeight="1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60"/>
      <c r="M111" s="60"/>
      <c r="N111" s="60"/>
      <c r="O111" s="60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607"/>
      <c r="AH111" s="3"/>
      <c r="AI111" s="3"/>
      <c r="AJ111" s="3"/>
      <c r="AK111" s="11"/>
      <c r="AL111" s="122"/>
    </row>
    <row r="112" ht="15.75" customHeight="1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60"/>
      <c r="M112" s="60"/>
      <c r="N112" s="60"/>
      <c r="O112" s="60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607"/>
      <c r="AH112" s="3"/>
      <c r="AI112" s="3"/>
      <c r="AJ112" s="3"/>
      <c r="AK112" s="11"/>
      <c r="AL112" s="122"/>
    </row>
    <row r="113" ht="15.75" customHeight="1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60"/>
      <c r="M113" s="60"/>
      <c r="N113" s="60"/>
      <c r="O113" s="60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607"/>
      <c r="AH113" s="3"/>
      <c r="AI113" s="3"/>
      <c r="AJ113" s="3"/>
      <c r="AK113" s="11"/>
      <c r="AL113" s="122"/>
    </row>
    <row r="114" ht="15.75" customHeight="1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60"/>
      <c r="M114" s="60"/>
      <c r="N114" s="60"/>
      <c r="O114" s="60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607"/>
      <c r="AH114" s="3"/>
      <c r="AI114" s="3"/>
      <c r="AJ114" s="3"/>
      <c r="AK114" s="11"/>
      <c r="AL114" s="122"/>
    </row>
    <row r="115" ht="15.75" customHeight="1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60"/>
      <c r="M115" s="60"/>
      <c r="N115" s="60"/>
      <c r="O115" s="60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607"/>
      <c r="AH115" s="3"/>
      <c r="AI115" s="3"/>
      <c r="AJ115" s="3"/>
      <c r="AK115" s="11"/>
      <c r="AL115" s="122"/>
    </row>
    <row r="116" ht="15.75" customHeight="1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60"/>
      <c r="M116" s="60"/>
      <c r="N116" s="60"/>
      <c r="O116" s="60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607"/>
      <c r="AH116" s="3"/>
      <c r="AI116" s="3"/>
      <c r="AJ116" s="3"/>
      <c r="AK116" s="11"/>
      <c r="AL116" s="122"/>
    </row>
    <row r="117" ht="15.75" customHeight="1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60"/>
      <c r="M117" s="60"/>
      <c r="N117" s="60"/>
      <c r="O117" s="60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607"/>
      <c r="AH117" s="3"/>
      <c r="AI117" s="3"/>
      <c r="AJ117" s="3"/>
      <c r="AK117" s="11"/>
      <c r="AL117" s="122"/>
    </row>
    <row r="118" ht="15.75" customHeight="1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60"/>
      <c r="M118" s="60"/>
      <c r="N118" s="60"/>
      <c r="O118" s="60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607"/>
      <c r="AH118" s="3"/>
      <c r="AI118" s="3"/>
      <c r="AJ118" s="3"/>
      <c r="AK118" s="11"/>
      <c r="AL118" s="122"/>
    </row>
    <row r="119" ht="15.75" customHeight="1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60"/>
      <c r="M119" s="60"/>
      <c r="N119" s="60"/>
      <c r="O119" s="60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607"/>
      <c r="AH119" s="3"/>
      <c r="AI119" s="3"/>
      <c r="AJ119" s="3"/>
      <c r="AK119" s="11"/>
      <c r="AL119" s="122"/>
    </row>
    <row r="120" ht="15.75" customHeight="1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60"/>
      <c r="M120" s="60"/>
      <c r="N120" s="60"/>
      <c r="O120" s="60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607"/>
      <c r="AH120" s="3"/>
      <c r="AI120" s="3"/>
      <c r="AJ120" s="3"/>
      <c r="AK120" s="11"/>
      <c r="AL120" s="122"/>
    </row>
    <row r="121" ht="15.75" customHeight="1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60"/>
      <c r="M121" s="60"/>
      <c r="N121" s="60"/>
      <c r="O121" s="60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607"/>
      <c r="AH121" s="3"/>
      <c r="AI121" s="3"/>
      <c r="AJ121" s="3"/>
      <c r="AK121" s="11"/>
      <c r="AL121" s="122"/>
    </row>
    <row r="122" ht="15.75" customHeight="1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60"/>
      <c r="M122" s="60"/>
      <c r="N122" s="60"/>
      <c r="O122" s="60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607"/>
      <c r="AH122" s="3"/>
      <c r="AI122" s="3"/>
      <c r="AJ122" s="3"/>
      <c r="AK122" s="11"/>
      <c r="AL122" s="122"/>
    </row>
    <row r="123" ht="15.75" customHeight="1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60"/>
      <c r="M123" s="60"/>
      <c r="N123" s="60"/>
      <c r="O123" s="60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607"/>
      <c r="AH123" s="3"/>
      <c r="AI123" s="3"/>
      <c r="AJ123" s="3"/>
      <c r="AK123" s="11"/>
      <c r="AL123" s="122"/>
    </row>
    <row r="124" ht="15.75" customHeight="1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60"/>
      <c r="M124" s="60"/>
      <c r="N124" s="60"/>
      <c r="O124" s="60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607"/>
      <c r="AH124" s="3"/>
      <c r="AI124" s="3"/>
      <c r="AJ124" s="3"/>
      <c r="AK124" s="11"/>
      <c r="AL124" s="122"/>
    </row>
    <row r="125" ht="15.75" customHeight="1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60"/>
      <c r="M125" s="60"/>
      <c r="N125" s="60"/>
      <c r="O125" s="60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607"/>
      <c r="AH125" s="3"/>
      <c r="AI125" s="3"/>
      <c r="AJ125" s="3"/>
      <c r="AK125" s="11"/>
      <c r="AL125" s="122"/>
    </row>
    <row r="126" ht="15.75" customHeight="1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60"/>
      <c r="M126" s="60"/>
      <c r="N126" s="60"/>
      <c r="O126" s="60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607"/>
      <c r="AH126" s="3"/>
      <c r="AI126" s="3"/>
      <c r="AJ126" s="3"/>
      <c r="AK126" s="11"/>
      <c r="AL126" s="122"/>
    </row>
    <row r="127" ht="15.75" customHeight="1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60"/>
      <c r="M127" s="60"/>
      <c r="N127" s="60"/>
      <c r="O127" s="60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607"/>
      <c r="AH127" s="3"/>
      <c r="AI127" s="3"/>
      <c r="AJ127" s="3"/>
      <c r="AK127" s="11"/>
      <c r="AL127" s="122"/>
    </row>
    <row r="128" ht="15.75" customHeight="1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60"/>
      <c r="M128" s="60"/>
      <c r="N128" s="60"/>
      <c r="O128" s="60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607"/>
      <c r="AH128" s="3"/>
      <c r="AI128" s="3"/>
      <c r="AJ128" s="3"/>
      <c r="AK128" s="11"/>
      <c r="AL128" s="122"/>
    </row>
    <row r="129" ht="15.75" customHeight="1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60"/>
      <c r="M129" s="60"/>
      <c r="N129" s="60"/>
      <c r="O129" s="60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607"/>
      <c r="AH129" s="3"/>
      <c r="AI129" s="3"/>
      <c r="AJ129" s="3"/>
      <c r="AK129" s="11"/>
      <c r="AL129" s="122"/>
    </row>
    <row r="130" ht="15.75" customHeight="1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60"/>
      <c r="M130" s="60"/>
      <c r="N130" s="60"/>
      <c r="O130" s="60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607"/>
      <c r="AH130" s="3"/>
      <c r="AI130" s="3"/>
      <c r="AJ130" s="3"/>
      <c r="AK130" s="11"/>
      <c r="AL130" s="122"/>
    </row>
    <row r="131" ht="15.75" customHeight="1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60"/>
      <c r="M131" s="60"/>
      <c r="N131" s="60"/>
      <c r="O131" s="60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607"/>
      <c r="AH131" s="3"/>
      <c r="AI131" s="3"/>
      <c r="AJ131" s="3"/>
      <c r="AK131" s="11"/>
      <c r="AL131" s="122"/>
    </row>
    <row r="132" ht="15.75" customHeight="1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60"/>
      <c r="M132" s="60"/>
      <c r="N132" s="60"/>
      <c r="O132" s="60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607"/>
      <c r="AH132" s="3"/>
      <c r="AI132" s="3"/>
      <c r="AJ132" s="3"/>
      <c r="AK132" s="11"/>
      <c r="AL132" s="122"/>
    </row>
    <row r="133" ht="15.75" customHeight="1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60"/>
      <c r="M133" s="60"/>
      <c r="N133" s="60"/>
      <c r="O133" s="60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607"/>
      <c r="AH133" s="3"/>
      <c r="AI133" s="3"/>
      <c r="AJ133" s="3"/>
      <c r="AK133" s="11"/>
      <c r="AL133" s="122"/>
    </row>
    <row r="134" ht="15.75" customHeight="1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60"/>
      <c r="M134" s="60"/>
      <c r="N134" s="60"/>
      <c r="O134" s="60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607"/>
      <c r="AH134" s="3"/>
      <c r="AI134" s="3"/>
      <c r="AJ134" s="3"/>
      <c r="AK134" s="11"/>
      <c r="AL134" s="122"/>
    </row>
    <row r="135" ht="15.75" customHeight="1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60"/>
      <c r="M135" s="60"/>
      <c r="N135" s="60"/>
      <c r="O135" s="60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607"/>
      <c r="AH135" s="3"/>
      <c r="AI135" s="3"/>
      <c r="AJ135" s="3"/>
      <c r="AK135" s="11"/>
      <c r="AL135" s="122"/>
    </row>
    <row r="136" ht="15.75" customHeight="1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60"/>
      <c r="M136" s="60"/>
      <c r="N136" s="60"/>
      <c r="O136" s="60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607"/>
      <c r="AH136" s="3"/>
      <c r="AI136" s="3"/>
      <c r="AJ136" s="3"/>
      <c r="AK136" s="11"/>
      <c r="AL136" s="122"/>
    </row>
    <row r="137" ht="15.75" customHeight="1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60"/>
      <c r="M137" s="60"/>
      <c r="N137" s="60"/>
      <c r="O137" s="60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607"/>
      <c r="AH137" s="3"/>
      <c r="AI137" s="3"/>
      <c r="AJ137" s="3"/>
      <c r="AK137" s="11"/>
      <c r="AL137" s="122"/>
    </row>
    <row r="138" ht="15.75" customHeight="1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60"/>
      <c r="M138" s="60"/>
      <c r="N138" s="60"/>
      <c r="O138" s="60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607"/>
      <c r="AH138" s="3"/>
      <c r="AI138" s="3"/>
      <c r="AJ138" s="3"/>
      <c r="AK138" s="11"/>
      <c r="AL138" s="122"/>
    </row>
    <row r="139" ht="15.75" customHeight="1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60"/>
      <c r="M139" s="60"/>
      <c r="N139" s="60"/>
      <c r="O139" s="60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607"/>
      <c r="AH139" s="3"/>
      <c r="AI139" s="3"/>
      <c r="AJ139" s="3"/>
      <c r="AK139" s="11"/>
      <c r="AL139" s="122"/>
    </row>
    <row r="140" ht="15.75" customHeight="1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60"/>
      <c r="M140" s="60"/>
      <c r="N140" s="60"/>
      <c r="O140" s="60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607"/>
      <c r="AH140" s="3"/>
      <c r="AI140" s="3"/>
      <c r="AJ140" s="3"/>
      <c r="AK140" s="11"/>
      <c r="AL140" s="122"/>
    </row>
    <row r="141" ht="15.75" customHeight="1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60"/>
      <c r="M141" s="60"/>
      <c r="N141" s="60"/>
      <c r="O141" s="60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607"/>
      <c r="AH141" s="3"/>
      <c r="AI141" s="3"/>
      <c r="AJ141" s="3"/>
      <c r="AK141" s="11"/>
      <c r="AL141" s="122"/>
    </row>
    <row r="142" ht="15.75" customHeight="1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60"/>
      <c r="M142" s="60"/>
      <c r="N142" s="60"/>
      <c r="O142" s="60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607"/>
      <c r="AH142" s="3"/>
      <c r="AI142" s="3"/>
      <c r="AJ142" s="3"/>
      <c r="AK142" s="11"/>
      <c r="AL142" s="122"/>
    </row>
    <row r="143" ht="15.75" customHeight="1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60"/>
      <c r="M143" s="60"/>
      <c r="N143" s="60"/>
      <c r="O143" s="60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607"/>
      <c r="AH143" s="3"/>
      <c r="AI143" s="3"/>
      <c r="AJ143" s="3"/>
      <c r="AK143" s="11"/>
      <c r="AL143" s="122"/>
    </row>
    <row r="144" ht="15.75" customHeight="1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60"/>
      <c r="M144" s="60"/>
      <c r="N144" s="60"/>
      <c r="O144" s="60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607"/>
      <c r="AH144" s="3"/>
      <c r="AI144" s="3"/>
      <c r="AJ144" s="3"/>
      <c r="AK144" s="11"/>
      <c r="AL144" s="122"/>
    </row>
    <row r="145" ht="15.75" customHeight="1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60"/>
      <c r="M145" s="60"/>
      <c r="N145" s="60"/>
      <c r="O145" s="60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607"/>
      <c r="AH145" s="3"/>
      <c r="AI145" s="3"/>
      <c r="AJ145" s="3"/>
      <c r="AK145" s="11"/>
      <c r="AL145" s="122"/>
    </row>
    <row r="146" ht="15.75" customHeight="1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60"/>
      <c r="M146" s="60"/>
      <c r="N146" s="60"/>
      <c r="O146" s="60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607"/>
      <c r="AH146" s="3"/>
      <c r="AI146" s="3"/>
      <c r="AJ146" s="3"/>
      <c r="AK146" s="11"/>
      <c r="AL146" s="122"/>
    </row>
    <row r="147" ht="15.75" customHeight="1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60"/>
      <c r="M147" s="60"/>
      <c r="N147" s="60"/>
      <c r="O147" s="60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607"/>
      <c r="AH147" s="3"/>
      <c r="AI147" s="3"/>
      <c r="AJ147" s="3"/>
      <c r="AK147" s="11"/>
      <c r="AL147" s="122"/>
    </row>
    <row r="148" ht="15.75" customHeight="1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60"/>
      <c r="M148" s="60"/>
      <c r="N148" s="60"/>
      <c r="O148" s="60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607"/>
      <c r="AH148" s="3"/>
      <c r="AI148" s="3"/>
      <c r="AJ148" s="3"/>
      <c r="AK148" s="11"/>
      <c r="AL148" s="122"/>
    </row>
    <row r="149" ht="15.75" customHeight="1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60"/>
      <c r="M149" s="60"/>
      <c r="N149" s="60"/>
      <c r="O149" s="60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607"/>
      <c r="AH149" s="3"/>
      <c r="AI149" s="3"/>
      <c r="AJ149" s="3"/>
      <c r="AK149" s="11"/>
      <c r="AL149" s="122"/>
    </row>
    <row r="150" ht="15.75" customHeight="1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60"/>
      <c r="M150" s="60"/>
      <c r="N150" s="60"/>
      <c r="O150" s="60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607"/>
      <c r="AH150" s="3"/>
      <c r="AI150" s="3"/>
      <c r="AJ150" s="3"/>
      <c r="AK150" s="11"/>
      <c r="AL150" s="122"/>
    </row>
    <row r="151" ht="15.75" customHeight="1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60"/>
      <c r="M151" s="60"/>
      <c r="N151" s="60"/>
      <c r="O151" s="60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607"/>
      <c r="AH151" s="3"/>
      <c r="AI151" s="3"/>
      <c r="AJ151" s="3"/>
      <c r="AK151" s="11"/>
      <c r="AL151" s="122"/>
    </row>
    <row r="152" ht="15.75" customHeight="1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60"/>
      <c r="M152" s="60"/>
      <c r="N152" s="60"/>
      <c r="O152" s="60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607"/>
      <c r="AH152" s="3"/>
      <c r="AI152" s="3"/>
      <c r="AJ152" s="3"/>
      <c r="AK152" s="11"/>
      <c r="AL152" s="122"/>
    </row>
    <row r="153" ht="15.75" customHeight="1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60"/>
      <c r="M153" s="60"/>
      <c r="N153" s="60"/>
      <c r="O153" s="60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607"/>
      <c r="AH153" s="3"/>
      <c r="AI153" s="3"/>
      <c r="AJ153" s="3"/>
      <c r="AK153" s="11"/>
      <c r="AL153" s="122"/>
    </row>
    <row r="154" ht="15.75" customHeight="1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60"/>
      <c r="M154" s="60"/>
      <c r="N154" s="60"/>
      <c r="O154" s="60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607"/>
      <c r="AH154" s="3"/>
      <c r="AI154" s="3"/>
      <c r="AJ154" s="3"/>
      <c r="AK154" s="11"/>
      <c r="AL154" s="122"/>
    </row>
    <row r="155" ht="15.75" customHeight="1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60"/>
      <c r="M155" s="60"/>
      <c r="N155" s="60"/>
      <c r="O155" s="60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607"/>
      <c r="AH155" s="3"/>
      <c r="AI155" s="3"/>
      <c r="AJ155" s="3"/>
      <c r="AK155" s="11"/>
      <c r="AL155" s="122"/>
    </row>
    <row r="156" ht="15.75" customHeight="1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60"/>
      <c r="M156" s="60"/>
      <c r="N156" s="60"/>
      <c r="O156" s="60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607"/>
      <c r="AH156" s="3"/>
      <c r="AI156" s="3"/>
      <c r="AJ156" s="3"/>
      <c r="AK156" s="11"/>
      <c r="AL156" s="122"/>
    </row>
    <row r="157" ht="15.75" customHeight="1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60"/>
      <c r="M157" s="60"/>
      <c r="N157" s="60"/>
      <c r="O157" s="6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607"/>
      <c r="AH157" s="3"/>
      <c r="AI157" s="3"/>
      <c r="AJ157" s="3"/>
      <c r="AK157" s="11"/>
      <c r="AL157" s="122"/>
    </row>
    <row r="158" ht="15.75" customHeight="1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60"/>
      <c r="M158" s="60"/>
      <c r="N158" s="60"/>
      <c r="O158" s="60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607"/>
      <c r="AH158" s="3"/>
      <c r="AI158" s="3"/>
      <c r="AJ158" s="3"/>
      <c r="AK158" s="11"/>
      <c r="AL158" s="122"/>
    </row>
    <row r="159" ht="15.75" customHeight="1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60"/>
      <c r="M159" s="60"/>
      <c r="N159" s="60"/>
      <c r="O159" s="60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607"/>
      <c r="AH159" s="3"/>
      <c r="AI159" s="3"/>
      <c r="AJ159" s="3"/>
      <c r="AK159" s="11"/>
      <c r="AL159" s="122"/>
    </row>
    <row r="160" ht="15.75" customHeight="1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60"/>
      <c r="M160" s="60"/>
      <c r="N160" s="60"/>
      <c r="O160" s="60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607"/>
      <c r="AH160" s="3"/>
      <c r="AI160" s="3"/>
      <c r="AJ160" s="3"/>
      <c r="AK160" s="11"/>
      <c r="AL160" s="122"/>
    </row>
    <row r="161" ht="15.75" customHeight="1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60"/>
      <c r="M161" s="60"/>
      <c r="N161" s="60"/>
      <c r="O161" s="60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607"/>
      <c r="AH161" s="3"/>
      <c r="AI161" s="3"/>
      <c r="AJ161" s="3"/>
      <c r="AK161" s="11"/>
      <c r="AL161" s="122"/>
    </row>
    <row r="162" ht="15.75" customHeight="1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60"/>
      <c r="M162" s="60"/>
      <c r="N162" s="60"/>
      <c r="O162" s="60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607"/>
      <c r="AH162" s="3"/>
      <c r="AI162" s="3"/>
      <c r="AJ162" s="3"/>
      <c r="AK162" s="11"/>
      <c r="AL162" s="122"/>
    </row>
    <row r="163" ht="15.75" customHeight="1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60"/>
      <c r="M163" s="60"/>
      <c r="N163" s="60"/>
      <c r="O163" s="60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607"/>
      <c r="AH163" s="3"/>
      <c r="AI163" s="3"/>
      <c r="AJ163" s="3"/>
      <c r="AK163" s="11"/>
      <c r="AL163" s="122"/>
    </row>
    <row r="164" ht="15.75" customHeight="1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60"/>
      <c r="M164" s="60"/>
      <c r="N164" s="60"/>
      <c r="O164" s="60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607"/>
      <c r="AH164" s="3"/>
      <c r="AI164" s="3"/>
      <c r="AJ164" s="3"/>
      <c r="AK164" s="11"/>
      <c r="AL164" s="122"/>
    </row>
    <row r="165" ht="15.75" customHeight="1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60"/>
      <c r="M165" s="60"/>
      <c r="N165" s="60"/>
      <c r="O165" s="60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607"/>
      <c r="AH165" s="3"/>
      <c r="AI165" s="3"/>
      <c r="AJ165" s="3"/>
      <c r="AK165" s="11"/>
      <c r="AL165" s="122"/>
    </row>
    <row r="166" ht="15.75" customHeight="1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60"/>
      <c r="M166" s="60"/>
      <c r="N166" s="60"/>
      <c r="O166" s="60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607"/>
      <c r="AH166" s="3"/>
      <c r="AI166" s="3"/>
      <c r="AJ166" s="3"/>
      <c r="AK166" s="11"/>
      <c r="AL166" s="122"/>
    </row>
    <row r="167" ht="15.75" customHeight="1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60"/>
      <c r="M167" s="60"/>
      <c r="N167" s="60"/>
      <c r="O167" s="60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607"/>
      <c r="AH167" s="3"/>
      <c r="AI167" s="3"/>
      <c r="AJ167" s="3"/>
      <c r="AK167" s="11"/>
      <c r="AL167" s="122"/>
    </row>
    <row r="168" ht="15.75" customHeight="1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60"/>
      <c r="M168" s="60"/>
      <c r="N168" s="60"/>
      <c r="O168" s="60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607"/>
      <c r="AH168" s="3"/>
      <c r="AI168" s="3"/>
      <c r="AJ168" s="3"/>
      <c r="AK168" s="11"/>
      <c r="AL168" s="122"/>
    </row>
    <row r="169" ht="15.75" customHeight="1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60"/>
      <c r="M169" s="60"/>
      <c r="N169" s="60"/>
      <c r="O169" s="60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607"/>
      <c r="AH169" s="3"/>
      <c r="AI169" s="3"/>
      <c r="AJ169" s="3"/>
      <c r="AK169" s="11"/>
      <c r="AL169" s="122"/>
    </row>
    <row r="170" ht="15.75" customHeight="1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60"/>
      <c r="M170" s="60"/>
      <c r="N170" s="60"/>
      <c r="O170" s="60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607"/>
      <c r="AH170" s="3"/>
      <c r="AI170" s="3"/>
      <c r="AJ170" s="3"/>
      <c r="AK170" s="11"/>
      <c r="AL170" s="122"/>
    </row>
    <row r="171" ht="15.75" customHeight="1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60"/>
      <c r="M171" s="60"/>
      <c r="N171" s="60"/>
      <c r="O171" s="60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607"/>
      <c r="AH171" s="3"/>
      <c r="AI171" s="3"/>
      <c r="AJ171" s="3"/>
      <c r="AK171" s="11"/>
      <c r="AL171" s="122"/>
    </row>
    <row r="172" ht="15.75" customHeight="1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60"/>
      <c r="M172" s="60"/>
      <c r="N172" s="60"/>
      <c r="O172" s="60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607"/>
      <c r="AH172" s="3"/>
      <c r="AI172" s="3"/>
      <c r="AJ172" s="3"/>
      <c r="AK172" s="11"/>
      <c r="AL172" s="122"/>
    </row>
    <row r="173" ht="15.75" customHeight="1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60"/>
      <c r="M173" s="60"/>
      <c r="N173" s="60"/>
      <c r="O173" s="60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607"/>
      <c r="AH173" s="3"/>
      <c r="AI173" s="3"/>
      <c r="AJ173" s="3"/>
      <c r="AK173" s="11"/>
      <c r="AL173" s="122"/>
    </row>
    <row r="174" ht="15.75" customHeight="1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60"/>
      <c r="M174" s="60"/>
      <c r="N174" s="60"/>
      <c r="O174" s="60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607"/>
      <c r="AH174" s="3"/>
      <c r="AI174" s="3"/>
      <c r="AJ174" s="3"/>
      <c r="AK174" s="11"/>
      <c r="AL174" s="122"/>
    </row>
    <row r="175" ht="15.75" customHeight="1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60"/>
      <c r="M175" s="60"/>
      <c r="N175" s="60"/>
      <c r="O175" s="60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607"/>
      <c r="AH175" s="3"/>
      <c r="AI175" s="3"/>
      <c r="AJ175" s="3"/>
      <c r="AK175" s="11"/>
      <c r="AL175" s="122"/>
    </row>
    <row r="176" ht="15.75" customHeight="1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60"/>
      <c r="M176" s="60"/>
      <c r="N176" s="60"/>
      <c r="O176" s="60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607"/>
      <c r="AH176" s="3"/>
      <c r="AI176" s="3"/>
      <c r="AJ176" s="3"/>
      <c r="AK176" s="11"/>
      <c r="AL176" s="122"/>
    </row>
    <row r="177" ht="15.75" customHeight="1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60"/>
      <c r="M177" s="60"/>
      <c r="N177" s="60"/>
      <c r="O177" s="60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607"/>
      <c r="AH177" s="3"/>
      <c r="AI177" s="3"/>
      <c r="AJ177" s="3"/>
      <c r="AK177" s="11"/>
      <c r="AL177" s="122"/>
    </row>
    <row r="178" ht="15.75" customHeight="1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60"/>
      <c r="M178" s="60"/>
      <c r="N178" s="60"/>
      <c r="O178" s="60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607"/>
      <c r="AH178" s="3"/>
      <c r="AI178" s="3"/>
      <c r="AJ178" s="3"/>
      <c r="AK178" s="11"/>
      <c r="AL178" s="122"/>
    </row>
    <row r="179" ht="15.75" customHeight="1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60"/>
      <c r="M179" s="60"/>
      <c r="N179" s="60"/>
      <c r="O179" s="60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607"/>
      <c r="AH179" s="3"/>
      <c r="AI179" s="3"/>
      <c r="AJ179" s="3"/>
      <c r="AK179" s="11"/>
      <c r="AL179" s="122"/>
    </row>
    <row r="180" ht="15.75" customHeight="1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60"/>
      <c r="M180" s="60"/>
      <c r="N180" s="60"/>
      <c r="O180" s="60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607"/>
      <c r="AH180" s="3"/>
      <c r="AI180" s="3"/>
      <c r="AJ180" s="3"/>
      <c r="AK180" s="11"/>
      <c r="AL180" s="122"/>
    </row>
    <row r="181" ht="15.75" customHeight="1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60"/>
      <c r="M181" s="60"/>
      <c r="N181" s="60"/>
      <c r="O181" s="60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607"/>
      <c r="AH181" s="3"/>
      <c r="AI181" s="3"/>
      <c r="AJ181" s="3"/>
      <c r="AK181" s="11"/>
      <c r="AL181" s="122"/>
    </row>
    <row r="182" ht="15.75" customHeight="1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60"/>
      <c r="M182" s="60"/>
      <c r="N182" s="60"/>
      <c r="O182" s="60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607"/>
      <c r="AH182" s="3"/>
      <c r="AI182" s="3"/>
      <c r="AJ182" s="3"/>
      <c r="AK182" s="11"/>
      <c r="AL182" s="122"/>
    </row>
    <row r="183" ht="15.75" customHeight="1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60"/>
      <c r="M183" s="60"/>
      <c r="N183" s="60"/>
      <c r="O183" s="60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607"/>
      <c r="AH183" s="3"/>
      <c r="AI183" s="3"/>
      <c r="AJ183" s="3"/>
      <c r="AK183" s="11"/>
      <c r="AL183" s="122"/>
    </row>
    <row r="184" ht="15.75" customHeight="1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60"/>
      <c r="M184" s="60"/>
      <c r="N184" s="60"/>
      <c r="O184" s="60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607"/>
      <c r="AH184" s="3"/>
      <c r="AI184" s="3"/>
      <c r="AJ184" s="3"/>
      <c r="AK184" s="11"/>
      <c r="AL184" s="122"/>
    </row>
    <row r="185" ht="15.75" customHeight="1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60"/>
      <c r="M185" s="60"/>
      <c r="N185" s="60"/>
      <c r="O185" s="60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607"/>
      <c r="AH185" s="3"/>
      <c r="AI185" s="3"/>
      <c r="AJ185" s="3"/>
      <c r="AK185" s="11"/>
      <c r="AL185" s="122"/>
    </row>
    <row r="186" ht="15.75" customHeight="1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60"/>
      <c r="M186" s="60"/>
      <c r="N186" s="60"/>
      <c r="O186" s="60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607"/>
      <c r="AH186" s="3"/>
      <c r="AI186" s="3"/>
      <c r="AJ186" s="3"/>
      <c r="AK186" s="11"/>
      <c r="AL186" s="122"/>
    </row>
    <row r="187" ht="15.75" customHeight="1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60"/>
      <c r="M187" s="60"/>
      <c r="N187" s="60"/>
      <c r="O187" s="60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607"/>
      <c r="AH187" s="3"/>
      <c r="AI187" s="3"/>
      <c r="AJ187" s="3"/>
      <c r="AK187" s="11"/>
      <c r="AL187" s="122"/>
    </row>
    <row r="188" ht="15.75" customHeight="1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60"/>
      <c r="M188" s="60"/>
      <c r="N188" s="60"/>
      <c r="O188" s="6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607"/>
      <c r="AH188" s="3"/>
      <c r="AI188" s="3"/>
      <c r="AJ188" s="3"/>
      <c r="AK188" s="11"/>
      <c r="AL188" s="122"/>
    </row>
    <row r="189" ht="15.75" customHeight="1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60"/>
      <c r="M189" s="60"/>
      <c r="N189" s="60"/>
      <c r="O189" s="6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607"/>
      <c r="AH189" s="3"/>
      <c r="AI189" s="3"/>
      <c r="AJ189" s="3"/>
      <c r="AK189" s="11"/>
      <c r="AL189" s="122"/>
    </row>
    <row r="190" ht="15.75" customHeight="1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60"/>
      <c r="M190" s="60"/>
      <c r="N190" s="60"/>
      <c r="O190" s="6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607"/>
      <c r="AH190" s="3"/>
      <c r="AI190" s="3"/>
      <c r="AJ190" s="3"/>
      <c r="AK190" s="11"/>
      <c r="AL190" s="122"/>
    </row>
    <row r="191" ht="15.75" customHeight="1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60"/>
      <c r="M191" s="60"/>
      <c r="N191" s="60"/>
      <c r="O191" s="6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607"/>
      <c r="AH191" s="3"/>
      <c r="AI191" s="3"/>
      <c r="AJ191" s="3"/>
      <c r="AK191" s="11"/>
      <c r="AL191" s="122"/>
    </row>
    <row r="192" ht="15.75" customHeight="1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60"/>
      <c r="M192" s="60"/>
      <c r="N192" s="60"/>
      <c r="O192" s="6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607"/>
      <c r="AH192" s="3"/>
      <c r="AI192" s="3"/>
      <c r="AJ192" s="3"/>
      <c r="AK192" s="11"/>
      <c r="AL192" s="122"/>
    </row>
    <row r="193" ht="15.75" customHeight="1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60"/>
      <c r="M193" s="60"/>
      <c r="N193" s="60"/>
      <c r="O193" s="6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607"/>
      <c r="AH193" s="3"/>
      <c r="AI193" s="3"/>
      <c r="AJ193" s="3"/>
      <c r="AK193" s="11"/>
      <c r="AL193" s="122"/>
    </row>
    <row r="194" ht="15.75" customHeight="1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60"/>
      <c r="M194" s="60"/>
      <c r="N194" s="60"/>
      <c r="O194" s="6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607"/>
      <c r="AH194" s="3"/>
      <c r="AI194" s="3"/>
      <c r="AJ194" s="3"/>
      <c r="AK194" s="11"/>
      <c r="AL194" s="122"/>
    </row>
    <row r="195" ht="15.75" customHeight="1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60"/>
      <c r="M195" s="60"/>
      <c r="N195" s="60"/>
      <c r="O195" s="6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607"/>
      <c r="AH195" s="3"/>
      <c r="AI195" s="3"/>
      <c r="AJ195" s="3"/>
      <c r="AK195" s="11"/>
      <c r="AL195" s="122"/>
    </row>
    <row r="196" ht="15.75" customHeight="1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60"/>
      <c r="M196" s="60"/>
      <c r="N196" s="60"/>
      <c r="O196" s="6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607"/>
      <c r="AH196" s="3"/>
      <c r="AI196" s="3"/>
      <c r="AJ196" s="3"/>
      <c r="AK196" s="11"/>
      <c r="AL196" s="122"/>
    </row>
    <row r="197" ht="15.75" customHeight="1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60"/>
      <c r="M197" s="60"/>
      <c r="N197" s="60"/>
      <c r="O197" s="6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607"/>
      <c r="AH197" s="3"/>
      <c r="AI197" s="3"/>
      <c r="AJ197" s="3"/>
      <c r="AK197" s="11"/>
      <c r="AL197" s="122"/>
    </row>
    <row r="198" ht="15.75" customHeight="1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60"/>
      <c r="M198" s="60"/>
      <c r="N198" s="60"/>
      <c r="O198" s="6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607"/>
      <c r="AH198" s="3"/>
      <c r="AI198" s="3"/>
      <c r="AJ198" s="3"/>
      <c r="AK198" s="11"/>
      <c r="AL198" s="122"/>
    </row>
    <row r="199" ht="15.75" customHeight="1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60"/>
      <c r="M199" s="60"/>
      <c r="N199" s="60"/>
      <c r="O199" s="6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607"/>
      <c r="AH199" s="3"/>
      <c r="AI199" s="3"/>
      <c r="AJ199" s="3"/>
      <c r="AK199" s="11"/>
      <c r="AL199" s="122"/>
    </row>
    <row r="200" ht="15.75" customHeight="1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60"/>
      <c r="M200" s="60"/>
      <c r="N200" s="60"/>
      <c r="O200" s="6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607"/>
      <c r="AH200" s="3"/>
      <c r="AI200" s="3"/>
      <c r="AJ200" s="3"/>
      <c r="AK200" s="11"/>
      <c r="AL200" s="122"/>
    </row>
    <row r="201" ht="15.75" customHeight="1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60"/>
      <c r="M201" s="60"/>
      <c r="N201" s="60"/>
      <c r="O201" s="6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607"/>
      <c r="AH201" s="3"/>
      <c r="AI201" s="3"/>
      <c r="AJ201" s="3"/>
      <c r="AK201" s="11"/>
      <c r="AL201" s="122"/>
    </row>
    <row r="202" ht="15.75" customHeight="1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60"/>
      <c r="M202" s="60"/>
      <c r="N202" s="60"/>
      <c r="O202" s="6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607"/>
      <c r="AH202" s="3"/>
      <c r="AI202" s="3"/>
      <c r="AJ202" s="3"/>
      <c r="AK202" s="11"/>
      <c r="AL202" s="122"/>
    </row>
    <row r="203" ht="15.75" customHeight="1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60"/>
      <c r="M203" s="60"/>
      <c r="N203" s="60"/>
      <c r="O203" s="6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607"/>
      <c r="AH203" s="3"/>
      <c r="AI203" s="3"/>
      <c r="AJ203" s="3"/>
      <c r="AK203" s="11"/>
      <c r="AL203" s="122"/>
    </row>
    <row r="204" ht="15.75" customHeight="1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60"/>
      <c r="M204" s="60"/>
      <c r="N204" s="60"/>
      <c r="O204" s="6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607"/>
      <c r="AH204" s="3"/>
      <c r="AI204" s="3"/>
      <c r="AJ204" s="3"/>
      <c r="AK204" s="11"/>
      <c r="AL204" s="122"/>
    </row>
    <row r="205" ht="15.75" customHeight="1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60"/>
      <c r="M205" s="60"/>
      <c r="N205" s="60"/>
      <c r="O205" s="6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607"/>
      <c r="AH205" s="3"/>
      <c r="AI205" s="3"/>
      <c r="AJ205" s="3"/>
      <c r="AK205" s="11"/>
      <c r="AL205" s="122"/>
    </row>
    <row r="206" ht="15.75" customHeight="1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60"/>
      <c r="M206" s="60"/>
      <c r="N206" s="60"/>
      <c r="O206" s="6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607"/>
      <c r="AH206" s="3"/>
      <c r="AI206" s="3"/>
      <c r="AJ206" s="3"/>
      <c r="AK206" s="11"/>
      <c r="AL206" s="122"/>
    </row>
    <row r="207" ht="15.75" customHeight="1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60"/>
      <c r="M207" s="60"/>
      <c r="N207" s="60"/>
      <c r="O207" s="6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607"/>
      <c r="AH207" s="3"/>
      <c r="AI207" s="3"/>
      <c r="AJ207" s="3"/>
      <c r="AK207" s="11"/>
      <c r="AL207" s="122"/>
    </row>
    <row r="208" ht="15.75" customHeight="1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60"/>
      <c r="M208" s="60"/>
      <c r="N208" s="60"/>
      <c r="O208" s="6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607"/>
      <c r="AH208" s="3"/>
      <c r="AI208" s="3"/>
      <c r="AJ208" s="3"/>
      <c r="AK208" s="11"/>
      <c r="AL208" s="122"/>
    </row>
    <row r="209" ht="15.75" customHeight="1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60"/>
      <c r="M209" s="60"/>
      <c r="N209" s="60"/>
      <c r="O209" s="6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607"/>
      <c r="AH209" s="3"/>
      <c r="AI209" s="3"/>
      <c r="AJ209" s="3"/>
      <c r="AK209" s="11"/>
      <c r="AL209" s="122"/>
    </row>
    <row r="210" ht="15.75" customHeight="1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60"/>
      <c r="M210" s="60"/>
      <c r="N210" s="60"/>
      <c r="O210" s="6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607"/>
      <c r="AH210" s="3"/>
      <c r="AI210" s="3"/>
      <c r="AJ210" s="3"/>
      <c r="AK210" s="11"/>
      <c r="AL210" s="122"/>
    </row>
    <row r="211" ht="15.75" customHeight="1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60"/>
      <c r="M211" s="60"/>
      <c r="N211" s="60"/>
      <c r="O211" s="6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607"/>
      <c r="AH211" s="3"/>
      <c r="AI211" s="3"/>
      <c r="AJ211" s="3"/>
      <c r="AK211" s="11"/>
      <c r="AL211" s="122"/>
    </row>
    <row r="212" ht="15.75" customHeight="1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60"/>
      <c r="M212" s="60"/>
      <c r="N212" s="60"/>
      <c r="O212" s="6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607"/>
      <c r="AH212" s="3"/>
      <c r="AI212" s="3"/>
      <c r="AJ212" s="3"/>
      <c r="AK212" s="11"/>
      <c r="AL212" s="122"/>
    </row>
    <row r="213" ht="15.75" customHeight="1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60"/>
      <c r="M213" s="60"/>
      <c r="N213" s="60"/>
      <c r="O213" s="6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607"/>
      <c r="AH213" s="3"/>
      <c r="AI213" s="3"/>
      <c r="AJ213" s="3"/>
      <c r="AK213" s="11"/>
      <c r="AL213" s="122"/>
    </row>
    <row r="214" ht="15.75" customHeight="1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60"/>
      <c r="M214" s="60"/>
      <c r="N214" s="60"/>
      <c r="O214" s="6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607"/>
      <c r="AH214" s="3"/>
      <c r="AI214" s="3"/>
      <c r="AJ214" s="3"/>
      <c r="AK214" s="11"/>
      <c r="AL214" s="122"/>
    </row>
    <row r="215" ht="15.75" customHeight="1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60"/>
      <c r="M215" s="60"/>
      <c r="N215" s="60"/>
      <c r="O215" s="6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607"/>
      <c r="AH215" s="3"/>
      <c r="AI215" s="3"/>
      <c r="AJ215" s="3"/>
      <c r="AK215" s="11"/>
      <c r="AL215" s="122"/>
    </row>
    <row r="216" ht="15.75" customHeight="1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60"/>
      <c r="M216" s="60"/>
      <c r="N216" s="60"/>
      <c r="O216" s="6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607"/>
      <c r="AH216" s="3"/>
      <c r="AI216" s="3"/>
      <c r="AJ216" s="3"/>
      <c r="AK216" s="11"/>
      <c r="AL216" s="122"/>
    </row>
    <row r="217" ht="15.75" customHeight="1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60"/>
      <c r="M217" s="60"/>
      <c r="N217" s="60"/>
      <c r="O217" s="6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607"/>
      <c r="AH217" s="3"/>
      <c r="AI217" s="3"/>
      <c r="AJ217" s="3"/>
      <c r="AK217" s="11"/>
      <c r="AL217" s="122"/>
    </row>
    <row r="218" ht="15.75" customHeight="1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60"/>
      <c r="M218" s="60"/>
      <c r="N218" s="60"/>
      <c r="O218" s="6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607"/>
      <c r="AH218" s="3"/>
      <c r="AI218" s="3"/>
      <c r="AJ218" s="3"/>
      <c r="AK218" s="11"/>
      <c r="AL218" s="122"/>
    </row>
    <row r="219" ht="15.75" customHeight="1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60"/>
      <c r="M219" s="60"/>
      <c r="N219" s="60"/>
      <c r="O219" s="6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607"/>
      <c r="AH219" s="3"/>
      <c r="AI219" s="3"/>
      <c r="AJ219" s="3"/>
      <c r="AK219" s="11"/>
      <c r="AL219" s="122"/>
    </row>
    <row r="220" ht="15.75" customHeight="1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60"/>
      <c r="M220" s="60"/>
      <c r="N220" s="60"/>
      <c r="O220" s="6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607"/>
      <c r="AH220" s="3"/>
      <c r="AI220" s="3"/>
      <c r="AJ220" s="3"/>
      <c r="AK220" s="11"/>
      <c r="AL220" s="122"/>
    </row>
    <row r="221" ht="15.75" customHeight="1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60"/>
      <c r="M221" s="60"/>
      <c r="N221" s="60"/>
      <c r="O221" s="6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607"/>
      <c r="AH221" s="3"/>
      <c r="AI221" s="3"/>
      <c r="AJ221" s="3"/>
      <c r="AK221" s="11"/>
      <c r="AL221" s="122"/>
    </row>
    <row r="222" ht="15.75" customHeight="1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60"/>
      <c r="M222" s="60"/>
      <c r="N222" s="60"/>
      <c r="O222" s="6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607"/>
      <c r="AH222" s="3"/>
      <c r="AI222" s="3"/>
      <c r="AJ222" s="3"/>
      <c r="AK222" s="11"/>
      <c r="AL222" s="122"/>
    </row>
    <row r="223" ht="15.75" customHeight="1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60"/>
      <c r="M223" s="60"/>
      <c r="N223" s="60"/>
      <c r="O223" s="6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607"/>
      <c r="AH223" s="3"/>
      <c r="AI223" s="3"/>
      <c r="AJ223" s="3"/>
      <c r="AK223" s="11"/>
      <c r="AL223" s="122"/>
    </row>
    <row r="224" ht="15.75" customHeight="1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60"/>
      <c r="M224" s="60"/>
      <c r="N224" s="60"/>
      <c r="O224" s="6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607"/>
      <c r="AH224" s="3"/>
      <c r="AI224" s="3"/>
      <c r="AJ224" s="3"/>
      <c r="AK224" s="11"/>
      <c r="AL224" s="122"/>
    </row>
    <row r="225" ht="15.75" customHeight="1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60"/>
      <c r="M225" s="60"/>
      <c r="N225" s="60"/>
      <c r="O225" s="6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607"/>
      <c r="AH225" s="3"/>
      <c r="AI225" s="3"/>
      <c r="AJ225" s="3"/>
      <c r="AK225" s="11"/>
      <c r="AL225" s="122"/>
    </row>
    <row r="226" ht="15.75" customHeight="1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60"/>
      <c r="M226" s="60"/>
      <c r="N226" s="60"/>
      <c r="O226" s="6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607"/>
      <c r="AH226" s="3"/>
      <c r="AI226" s="3"/>
      <c r="AJ226" s="3"/>
      <c r="AK226" s="11"/>
      <c r="AL226" s="122"/>
    </row>
    <row r="227" ht="15.75" customHeight="1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60"/>
      <c r="M227" s="60"/>
      <c r="N227" s="60"/>
      <c r="O227" s="6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607"/>
      <c r="AH227" s="3"/>
      <c r="AI227" s="3"/>
      <c r="AJ227" s="3"/>
      <c r="AK227" s="11"/>
      <c r="AL227" s="122"/>
    </row>
    <row r="228" ht="15.75" customHeight="1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60"/>
      <c r="M228" s="60"/>
      <c r="N228" s="60"/>
      <c r="O228" s="6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607"/>
      <c r="AH228" s="3"/>
      <c r="AI228" s="3"/>
      <c r="AJ228" s="3"/>
      <c r="AK228" s="11"/>
      <c r="AL228" s="122"/>
    </row>
    <row r="229" ht="15.75" customHeight="1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60"/>
      <c r="M229" s="60"/>
      <c r="N229" s="60"/>
      <c r="O229" s="6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607"/>
      <c r="AH229" s="3"/>
      <c r="AI229" s="3"/>
      <c r="AJ229" s="3"/>
      <c r="AK229" s="11"/>
      <c r="AL229" s="122"/>
    </row>
    <row r="230" ht="15.75" customHeight="1">
      <c r="AG230" s="607"/>
    </row>
    <row r="231" ht="15.75" customHeight="1">
      <c r="AG231" s="607"/>
    </row>
    <row r="232" ht="15.75" customHeight="1">
      <c r="AG232" s="607"/>
    </row>
    <row r="233" ht="15.75" customHeight="1">
      <c r="AG233" s="607"/>
    </row>
    <row r="234" ht="15.75" customHeight="1">
      <c r="AG234" s="607"/>
    </row>
    <row r="235" ht="15.75" customHeight="1">
      <c r="AG235" s="607"/>
    </row>
    <row r="236" ht="15.75" customHeight="1">
      <c r="AG236" s="607"/>
    </row>
    <row r="237" ht="15.75" customHeight="1">
      <c r="AG237" s="607"/>
    </row>
    <row r="238" ht="15.75" customHeight="1">
      <c r="AG238" s="607"/>
    </row>
    <row r="239" ht="15.75" customHeight="1">
      <c r="AG239" s="607"/>
    </row>
    <row r="240" ht="15.75" customHeight="1">
      <c r="AG240" s="607"/>
    </row>
    <row r="241" ht="15.75" customHeight="1">
      <c r="AG241" s="607"/>
    </row>
    <row r="242" ht="15.75" customHeight="1">
      <c r="AG242" s="607"/>
    </row>
    <row r="243" ht="15.75" customHeight="1">
      <c r="AG243" s="607"/>
    </row>
    <row r="244" ht="15.75" customHeight="1">
      <c r="AG244" s="607"/>
    </row>
    <row r="245" ht="15.75" customHeight="1">
      <c r="AG245" s="607"/>
    </row>
    <row r="246" ht="15.75" customHeight="1">
      <c r="AG246" s="607"/>
    </row>
    <row r="247" ht="15.75" customHeight="1">
      <c r="AG247" s="607"/>
    </row>
    <row r="248" ht="15.75" customHeight="1">
      <c r="AG248" s="607"/>
    </row>
    <row r="249" ht="15.75" customHeight="1">
      <c r="AG249" s="607"/>
    </row>
    <row r="250" ht="15.75" customHeight="1">
      <c r="AG250" s="607"/>
    </row>
    <row r="251" ht="15.75" customHeight="1">
      <c r="AG251" s="607"/>
    </row>
    <row r="252" ht="15.75" customHeight="1">
      <c r="AG252" s="607"/>
    </row>
    <row r="253" ht="15.75" customHeight="1">
      <c r="AG253" s="607"/>
    </row>
    <row r="254" ht="15.75" customHeight="1">
      <c r="AG254" s="607"/>
    </row>
    <row r="255" ht="15.75" customHeight="1">
      <c r="AG255" s="607"/>
    </row>
    <row r="256" ht="15.75" customHeight="1">
      <c r="AG256" s="607"/>
    </row>
    <row r="257" ht="15.75" customHeight="1">
      <c r="AG257" s="607"/>
    </row>
    <row r="258" ht="15.75" customHeight="1">
      <c r="AG258" s="607"/>
    </row>
    <row r="259" ht="15.75" customHeight="1">
      <c r="AG259" s="607"/>
    </row>
    <row r="260" ht="15.75" customHeight="1">
      <c r="AG260" s="607"/>
    </row>
    <row r="261" ht="15.75" customHeight="1">
      <c r="AG261" s="607"/>
    </row>
    <row r="262" ht="15.75" customHeight="1">
      <c r="AG262" s="607"/>
    </row>
    <row r="263" ht="15.75" customHeight="1">
      <c r="AG263" s="607"/>
    </row>
    <row r="264" ht="15.75" customHeight="1">
      <c r="AG264" s="607"/>
    </row>
    <row r="265" ht="15.75" customHeight="1">
      <c r="AG265" s="607"/>
    </row>
    <row r="266" ht="15.75" customHeight="1">
      <c r="AG266" s="607"/>
    </row>
    <row r="267" ht="15.75" customHeight="1">
      <c r="AG267" s="607"/>
    </row>
    <row r="268" ht="15.75" customHeight="1">
      <c r="AG268" s="607"/>
    </row>
    <row r="269" ht="15.75" customHeight="1">
      <c r="AG269" s="607"/>
    </row>
    <row r="270" ht="15.75" customHeight="1">
      <c r="AG270" s="607"/>
    </row>
    <row r="271" ht="15.75" customHeight="1">
      <c r="AG271" s="607"/>
    </row>
    <row r="272" ht="15.75" customHeight="1">
      <c r="AG272" s="607"/>
    </row>
    <row r="273" ht="15.75" customHeight="1">
      <c r="AG273" s="607"/>
    </row>
    <row r="274" ht="15.75" customHeight="1">
      <c r="AG274" s="607"/>
    </row>
    <row r="275" ht="15.75" customHeight="1">
      <c r="AG275" s="607"/>
    </row>
    <row r="276" ht="15.75" customHeight="1">
      <c r="AG276" s="607"/>
    </row>
    <row r="277" ht="15.75" customHeight="1">
      <c r="AG277" s="607"/>
    </row>
    <row r="278" ht="15.75" customHeight="1">
      <c r="AG278" s="607"/>
    </row>
    <row r="279" ht="15.75" customHeight="1">
      <c r="AG279" s="607"/>
    </row>
    <row r="280" ht="15.75" customHeight="1">
      <c r="AG280" s="607"/>
    </row>
    <row r="281" ht="15.75" customHeight="1">
      <c r="AG281" s="607"/>
    </row>
    <row r="282" ht="15.75" customHeight="1">
      <c r="AG282" s="607"/>
    </row>
    <row r="283" ht="15.75" customHeight="1">
      <c r="AG283" s="607"/>
    </row>
    <row r="284" ht="15.75" customHeight="1">
      <c r="AG284" s="607"/>
    </row>
    <row r="285" ht="15.75" customHeight="1">
      <c r="AG285" s="607"/>
    </row>
    <row r="286" ht="15.75" customHeight="1">
      <c r="AG286" s="607"/>
    </row>
    <row r="287" ht="15.75" customHeight="1">
      <c r="AG287" s="607"/>
    </row>
    <row r="288" ht="15.75" customHeight="1">
      <c r="AG288" s="607"/>
    </row>
    <row r="289" ht="15.75" customHeight="1">
      <c r="AG289" s="607"/>
    </row>
    <row r="290" ht="15.75" customHeight="1">
      <c r="AG290" s="607"/>
    </row>
    <row r="291" ht="15.75" customHeight="1">
      <c r="AG291" s="607"/>
    </row>
    <row r="292" ht="15.75" customHeight="1">
      <c r="AG292" s="607"/>
    </row>
    <row r="293" ht="15.75" customHeight="1">
      <c r="AG293" s="607"/>
    </row>
    <row r="294" ht="15.75" customHeight="1">
      <c r="AG294" s="607"/>
    </row>
    <row r="295" ht="15.75" customHeight="1">
      <c r="AG295" s="607"/>
    </row>
    <row r="296" ht="15.75" customHeight="1">
      <c r="AG296" s="607"/>
    </row>
    <row r="297" ht="15.75" customHeight="1">
      <c r="AG297" s="607"/>
    </row>
    <row r="298" ht="15.75" customHeight="1">
      <c r="AG298" s="607"/>
    </row>
    <row r="299" ht="15.75" customHeight="1">
      <c r="AG299" s="607"/>
    </row>
    <row r="300" ht="15.75" customHeight="1">
      <c r="AG300" s="607"/>
    </row>
    <row r="301" ht="15.75" customHeight="1">
      <c r="AG301" s="607"/>
    </row>
    <row r="302" ht="15.75" customHeight="1">
      <c r="AG302" s="607"/>
    </row>
    <row r="303" ht="15.75" customHeight="1">
      <c r="AG303" s="607"/>
    </row>
    <row r="304" ht="15.75" customHeight="1">
      <c r="AG304" s="607"/>
    </row>
    <row r="305" ht="15.75" customHeight="1">
      <c r="AG305" s="607"/>
    </row>
    <row r="306" ht="15.75" customHeight="1">
      <c r="AG306" s="607"/>
    </row>
    <row r="307" ht="15.75" customHeight="1">
      <c r="AG307" s="607"/>
    </row>
    <row r="308" ht="15.75" customHeight="1">
      <c r="AG308" s="607"/>
    </row>
    <row r="309" ht="15.75" customHeight="1">
      <c r="AG309" s="607"/>
    </row>
    <row r="310" ht="15.75" customHeight="1">
      <c r="AG310" s="607"/>
    </row>
    <row r="311" ht="15.75" customHeight="1">
      <c r="AG311" s="607"/>
    </row>
    <row r="312" ht="15.75" customHeight="1">
      <c r="AG312" s="607"/>
    </row>
    <row r="313" ht="15.75" customHeight="1">
      <c r="AG313" s="607"/>
    </row>
    <row r="314" ht="15.75" customHeight="1">
      <c r="AG314" s="607"/>
    </row>
    <row r="315" ht="15.75" customHeight="1">
      <c r="AG315" s="607"/>
    </row>
    <row r="316" ht="15.75" customHeight="1">
      <c r="AG316" s="607"/>
    </row>
    <row r="317" ht="15.75" customHeight="1">
      <c r="AG317" s="607"/>
    </row>
    <row r="318" ht="15.75" customHeight="1">
      <c r="AG318" s="607"/>
    </row>
    <row r="319" ht="15.75" customHeight="1">
      <c r="AG319" s="607"/>
    </row>
    <row r="320" ht="15.75" customHeight="1">
      <c r="AG320" s="607"/>
    </row>
    <row r="321" ht="15.75" customHeight="1">
      <c r="AG321" s="607"/>
    </row>
    <row r="322" ht="15.75" customHeight="1">
      <c r="AG322" s="607"/>
    </row>
    <row r="323" ht="15.75" customHeight="1">
      <c r="AG323" s="607"/>
    </row>
    <row r="324" ht="15.75" customHeight="1">
      <c r="AG324" s="607"/>
    </row>
    <row r="325" ht="15.75" customHeight="1">
      <c r="AG325" s="607"/>
    </row>
    <row r="326" ht="15.75" customHeight="1">
      <c r="AG326" s="607"/>
    </row>
    <row r="327" ht="15.75" customHeight="1">
      <c r="AG327" s="607"/>
    </row>
    <row r="328" ht="15.75" customHeight="1">
      <c r="AG328" s="607"/>
    </row>
    <row r="329" ht="15.75" customHeight="1">
      <c r="AG329" s="607"/>
    </row>
    <row r="330" ht="15.75" customHeight="1">
      <c r="AG330" s="607"/>
    </row>
    <row r="331" ht="15.75" customHeight="1">
      <c r="AG331" s="607"/>
    </row>
    <row r="332" ht="15.75" customHeight="1">
      <c r="AG332" s="607"/>
    </row>
    <row r="333" ht="15.75" customHeight="1">
      <c r="AG333" s="607"/>
    </row>
    <row r="334" ht="15.75" customHeight="1">
      <c r="AG334" s="607"/>
    </row>
    <row r="335" ht="15.75" customHeight="1">
      <c r="AG335" s="607"/>
    </row>
    <row r="336" ht="15.75" customHeight="1">
      <c r="AG336" s="607"/>
    </row>
    <row r="337" ht="15.75" customHeight="1">
      <c r="AG337" s="607"/>
    </row>
    <row r="338" ht="15.75" customHeight="1">
      <c r="AG338" s="607"/>
    </row>
    <row r="339" ht="15.75" customHeight="1">
      <c r="AG339" s="607"/>
    </row>
    <row r="340" ht="15.75" customHeight="1">
      <c r="AG340" s="607"/>
    </row>
    <row r="341" ht="15.75" customHeight="1">
      <c r="AG341" s="607"/>
    </row>
    <row r="342" ht="15.75" customHeight="1">
      <c r="AG342" s="607"/>
    </row>
    <row r="343" ht="15.75" customHeight="1">
      <c r="AG343" s="607"/>
    </row>
    <row r="344" ht="15.75" customHeight="1">
      <c r="AG344" s="607"/>
    </row>
    <row r="345" ht="15.75" customHeight="1">
      <c r="AG345" s="607"/>
    </row>
    <row r="346" ht="15.75" customHeight="1">
      <c r="AG346" s="607"/>
    </row>
    <row r="347" ht="15.75" customHeight="1">
      <c r="AG347" s="607"/>
    </row>
    <row r="348" ht="15.75" customHeight="1">
      <c r="AG348" s="607"/>
    </row>
    <row r="349" ht="15.75" customHeight="1">
      <c r="AG349" s="607"/>
    </row>
    <row r="350" ht="15.75" customHeight="1">
      <c r="AG350" s="607"/>
    </row>
    <row r="351" ht="15.75" customHeight="1">
      <c r="AG351" s="607"/>
    </row>
    <row r="352" ht="15.75" customHeight="1">
      <c r="AG352" s="607"/>
    </row>
    <row r="353" ht="15.75" customHeight="1">
      <c r="AG353" s="607"/>
    </row>
    <row r="354" ht="15.75" customHeight="1">
      <c r="AG354" s="607"/>
    </row>
    <row r="355" ht="15.75" customHeight="1">
      <c r="AG355" s="607"/>
    </row>
    <row r="356" ht="15.75" customHeight="1">
      <c r="AG356" s="607"/>
    </row>
    <row r="357" ht="15.75" customHeight="1">
      <c r="AG357" s="607"/>
    </row>
    <row r="358" ht="15.75" customHeight="1">
      <c r="AG358" s="607"/>
    </row>
    <row r="359" ht="15.75" customHeight="1">
      <c r="AG359" s="607"/>
    </row>
    <row r="360" ht="15.75" customHeight="1">
      <c r="AG360" s="607"/>
    </row>
    <row r="361" ht="15.75" customHeight="1">
      <c r="AG361" s="607"/>
    </row>
    <row r="362" ht="15.75" customHeight="1">
      <c r="AG362" s="607"/>
    </row>
    <row r="363" ht="15.75" customHeight="1">
      <c r="AG363" s="607"/>
    </row>
    <row r="364" ht="15.75" customHeight="1">
      <c r="AG364" s="607"/>
    </row>
    <row r="365" ht="15.75" customHeight="1">
      <c r="AG365" s="607"/>
    </row>
    <row r="366" ht="15.75" customHeight="1">
      <c r="AG366" s="607"/>
    </row>
    <row r="367" ht="15.75" customHeight="1">
      <c r="AG367" s="607"/>
    </row>
    <row r="368" ht="15.75" customHeight="1">
      <c r="AG368" s="607"/>
    </row>
    <row r="369" ht="15.75" customHeight="1">
      <c r="AG369" s="607"/>
    </row>
    <row r="370" ht="15.75" customHeight="1">
      <c r="AG370" s="607"/>
    </row>
    <row r="371" ht="15.75" customHeight="1">
      <c r="AG371" s="607"/>
    </row>
    <row r="372" ht="15.75" customHeight="1">
      <c r="AG372" s="607"/>
    </row>
    <row r="373" ht="15.75" customHeight="1">
      <c r="AG373" s="607"/>
    </row>
    <row r="374" ht="15.75" customHeight="1">
      <c r="AG374" s="607"/>
    </row>
    <row r="375" ht="15.75" customHeight="1">
      <c r="AG375" s="607"/>
    </row>
    <row r="376" ht="15.75" customHeight="1">
      <c r="AG376" s="607"/>
    </row>
    <row r="377" ht="15.75" customHeight="1">
      <c r="AG377" s="607"/>
    </row>
    <row r="378" ht="15.75" customHeight="1">
      <c r="AG378" s="607"/>
    </row>
    <row r="379" ht="15.75" customHeight="1">
      <c r="AG379" s="607"/>
    </row>
    <row r="380" ht="15.75" customHeight="1">
      <c r="AG380" s="607"/>
    </row>
    <row r="381" ht="15.75" customHeight="1">
      <c r="AG381" s="607"/>
    </row>
    <row r="382" ht="15.75" customHeight="1">
      <c r="AG382" s="607"/>
    </row>
    <row r="383" ht="15.75" customHeight="1">
      <c r="AG383" s="607"/>
    </row>
    <row r="384" ht="15.75" customHeight="1">
      <c r="AG384" s="607"/>
    </row>
    <row r="385" ht="15.75" customHeight="1">
      <c r="AG385" s="607"/>
    </row>
    <row r="386" ht="15.75" customHeight="1">
      <c r="AG386" s="607"/>
    </row>
    <row r="387" ht="15.75" customHeight="1">
      <c r="AG387" s="607"/>
    </row>
    <row r="388" ht="15.75" customHeight="1">
      <c r="AG388" s="607"/>
    </row>
    <row r="389" ht="15.75" customHeight="1">
      <c r="AG389" s="607"/>
    </row>
    <row r="390" ht="15.75" customHeight="1">
      <c r="AG390" s="607"/>
    </row>
    <row r="391" ht="15.75" customHeight="1">
      <c r="AG391" s="607"/>
    </row>
    <row r="392" ht="15.75" customHeight="1">
      <c r="AG392" s="607"/>
    </row>
    <row r="393" ht="15.75" customHeight="1">
      <c r="AG393" s="607"/>
    </row>
    <row r="394" ht="15.75" customHeight="1">
      <c r="AG394" s="607"/>
    </row>
    <row r="395" ht="15.75" customHeight="1">
      <c r="AG395" s="607"/>
    </row>
    <row r="396" ht="15.75" customHeight="1">
      <c r="AG396" s="607"/>
    </row>
    <row r="397" ht="15.75" customHeight="1">
      <c r="AG397" s="607"/>
    </row>
    <row r="398" ht="15.75" customHeight="1">
      <c r="AG398" s="607"/>
    </row>
    <row r="399" ht="15.75" customHeight="1">
      <c r="AG399" s="607"/>
    </row>
    <row r="400" ht="15.75" customHeight="1">
      <c r="AG400" s="607"/>
    </row>
    <row r="401" ht="15.75" customHeight="1">
      <c r="AG401" s="607"/>
    </row>
    <row r="402" ht="15.75" customHeight="1">
      <c r="AG402" s="607"/>
    </row>
    <row r="403" ht="15.75" customHeight="1">
      <c r="AG403" s="607"/>
    </row>
    <row r="404" ht="15.75" customHeight="1">
      <c r="AG404" s="607"/>
    </row>
    <row r="405" ht="15.75" customHeight="1">
      <c r="AG405" s="607"/>
    </row>
    <row r="406" ht="15.75" customHeight="1">
      <c r="AG406" s="607"/>
    </row>
    <row r="407" ht="15.75" customHeight="1">
      <c r="AG407" s="607"/>
    </row>
    <row r="408" ht="15.75" customHeight="1">
      <c r="AG408" s="607"/>
    </row>
    <row r="409" ht="15.75" customHeight="1">
      <c r="AG409" s="607"/>
    </row>
    <row r="410" ht="15.75" customHeight="1">
      <c r="AG410" s="607"/>
    </row>
    <row r="411" ht="15.75" customHeight="1">
      <c r="AG411" s="607"/>
    </row>
    <row r="412" ht="15.75" customHeight="1">
      <c r="AG412" s="607"/>
    </row>
    <row r="413" ht="15.75" customHeight="1">
      <c r="AG413" s="607"/>
    </row>
    <row r="414" ht="15.75" customHeight="1">
      <c r="AG414" s="607"/>
    </row>
    <row r="415" ht="15.75" customHeight="1">
      <c r="AG415" s="607"/>
    </row>
    <row r="416" ht="15.75" customHeight="1">
      <c r="AG416" s="607"/>
    </row>
    <row r="417" ht="15.75" customHeight="1">
      <c r="AG417" s="607"/>
    </row>
    <row r="418" ht="15.75" customHeight="1">
      <c r="AG418" s="607"/>
    </row>
    <row r="419" ht="15.75" customHeight="1">
      <c r="AG419" s="607"/>
    </row>
    <row r="420" ht="15.75" customHeight="1">
      <c r="AG420" s="607"/>
    </row>
    <row r="421" ht="15.75" customHeight="1">
      <c r="AG421" s="607"/>
    </row>
    <row r="422" ht="15.75" customHeight="1">
      <c r="AG422" s="607"/>
    </row>
    <row r="423" ht="15.75" customHeight="1">
      <c r="AG423" s="607"/>
    </row>
    <row r="424" ht="15.75" customHeight="1">
      <c r="AG424" s="607"/>
    </row>
    <row r="425" ht="15.75" customHeight="1">
      <c r="AG425" s="607"/>
    </row>
    <row r="426" ht="15.75" customHeight="1">
      <c r="AG426" s="607"/>
    </row>
    <row r="427" ht="15.75" customHeight="1">
      <c r="AG427" s="607"/>
    </row>
    <row r="428" ht="15.75" customHeight="1">
      <c r="AG428" s="607"/>
    </row>
    <row r="429" ht="15.75" customHeight="1">
      <c r="AG429" s="607"/>
    </row>
    <row r="430" ht="15.75" customHeight="1">
      <c r="AG430" s="607"/>
    </row>
    <row r="431" ht="15.75" customHeight="1">
      <c r="AG431" s="607"/>
    </row>
    <row r="432" ht="15.75" customHeight="1">
      <c r="AG432" s="607"/>
    </row>
    <row r="433" ht="15.75" customHeight="1">
      <c r="AG433" s="607"/>
    </row>
    <row r="434" ht="15.75" customHeight="1">
      <c r="AG434" s="607"/>
    </row>
    <row r="435" ht="15.75" customHeight="1">
      <c r="AG435" s="607"/>
    </row>
    <row r="436" ht="15.75" customHeight="1">
      <c r="AG436" s="607"/>
    </row>
    <row r="437" ht="15.75" customHeight="1">
      <c r="AG437" s="607"/>
    </row>
    <row r="438" ht="15.75" customHeight="1">
      <c r="AG438" s="607"/>
    </row>
    <row r="439" ht="15.75" customHeight="1">
      <c r="AG439" s="607"/>
    </row>
    <row r="440" ht="15.75" customHeight="1">
      <c r="AG440" s="607"/>
    </row>
    <row r="441" ht="15.75" customHeight="1">
      <c r="AG441" s="607"/>
    </row>
    <row r="442" ht="15.75" customHeight="1">
      <c r="AG442" s="607"/>
    </row>
    <row r="443" ht="15.75" customHeight="1">
      <c r="AG443" s="607"/>
    </row>
    <row r="444" ht="15.75" customHeight="1">
      <c r="AG444" s="607"/>
    </row>
    <row r="445" ht="15.75" customHeight="1">
      <c r="AG445" s="607"/>
    </row>
    <row r="446" ht="15.75" customHeight="1">
      <c r="AG446" s="607"/>
    </row>
    <row r="447" ht="15.75" customHeight="1">
      <c r="AG447" s="607"/>
    </row>
    <row r="448" ht="15.75" customHeight="1">
      <c r="AG448" s="607"/>
    </row>
    <row r="449" ht="15.75" customHeight="1">
      <c r="AG449" s="607"/>
    </row>
    <row r="450" ht="15.75" customHeight="1">
      <c r="AG450" s="607"/>
    </row>
    <row r="451" ht="15.75" customHeight="1">
      <c r="AG451" s="607"/>
    </row>
    <row r="452" ht="15.75" customHeight="1">
      <c r="AG452" s="607"/>
    </row>
    <row r="453" ht="15.75" customHeight="1">
      <c r="AG453" s="607"/>
    </row>
    <row r="454" ht="15.75" customHeight="1">
      <c r="AG454" s="607"/>
    </row>
    <row r="455" ht="15.75" customHeight="1">
      <c r="AG455" s="607"/>
    </row>
    <row r="456" ht="15.75" customHeight="1">
      <c r="AG456" s="607"/>
    </row>
    <row r="457" ht="15.75" customHeight="1">
      <c r="AG457" s="607"/>
    </row>
    <row r="458" ht="15.75" customHeight="1">
      <c r="AG458" s="607"/>
    </row>
    <row r="459" ht="15.75" customHeight="1">
      <c r="AG459" s="607"/>
    </row>
    <row r="460" ht="15.75" customHeight="1">
      <c r="AG460" s="607"/>
    </row>
    <row r="461" ht="15.75" customHeight="1">
      <c r="AG461" s="607"/>
    </row>
    <row r="462" ht="15.75" customHeight="1">
      <c r="AG462" s="607"/>
    </row>
    <row r="463" ht="15.75" customHeight="1">
      <c r="AG463" s="607"/>
    </row>
    <row r="464" ht="15.75" customHeight="1">
      <c r="AG464" s="607"/>
    </row>
    <row r="465" ht="15.75" customHeight="1">
      <c r="AG465" s="607"/>
    </row>
    <row r="466" ht="15.75" customHeight="1">
      <c r="AG466" s="607"/>
    </row>
    <row r="467" ht="15.75" customHeight="1">
      <c r="AG467" s="607"/>
    </row>
    <row r="468" ht="15.75" customHeight="1">
      <c r="AG468" s="607"/>
    </row>
    <row r="469" ht="15.75" customHeight="1">
      <c r="AG469" s="607"/>
    </row>
    <row r="470" ht="15.75" customHeight="1">
      <c r="AG470" s="607"/>
    </row>
    <row r="471" ht="15.75" customHeight="1">
      <c r="AG471" s="607"/>
    </row>
    <row r="472" ht="15.75" customHeight="1">
      <c r="AG472" s="607"/>
    </row>
    <row r="473" ht="15.75" customHeight="1">
      <c r="AG473" s="607"/>
    </row>
    <row r="474" ht="15.75" customHeight="1">
      <c r="AG474" s="607"/>
    </row>
    <row r="475" ht="15.75" customHeight="1">
      <c r="AG475" s="607"/>
    </row>
    <row r="476" ht="15.75" customHeight="1">
      <c r="AG476" s="607"/>
    </row>
    <row r="477" ht="15.75" customHeight="1">
      <c r="AG477" s="607"/>
    </row>
    <row r="478" ht="15.75" customHeight="1">
      <c r="AG478" s="607"/>
    </row>
    <row r="479" ht="15.75" customHeight="1">
      <c r="AG479" s="607"/>
    </row>
    <row r="480" ht="15.75" customHeight="1">
      <c r="AG480" s="607"/>
    </row>
    <row r="481" ht="15.75" customHeight="1">
      <c r="AG481" s="607"/>
    </row>
    <row r="482" ht="15.75" customHeight="1">
      <c r="AG482" s="607"/>
    </row>
    <row r="483" ht="15.75" customHeight="1">
      <c r="AG483" s="607"/>
    </row>
    <row r="484" ht="15.75" customHeight="1">
      <c r="AG484" s="607"/>
    </row>
    <row r="485" ht="15.75" customHeight="1">
      <c r="AG485" s="607"/>
    </row>
    <row r="486" ht="15.75" customHeight="1">
      <c r="AG486" s="607"/>
    </row>
    <row r="487" ht="15.75" customHeight="1">
      <c r="AG487" s="607"/>
    </row>
    <row r="488" ht="15.75" customHeight="1">
      <c r="AG488" s="607"/>
    </row>
    <row r="489" ht="15.75" customHeight="1">
      <c r="AG489" s="607"/>
    </row>
    <row r="490" ht="15.75" customHeight="1">
      <c r="AG490" s="607"/>
    </row>
    <row r="491" ht="15.75" customHeight="1">
      <c r="AG491" s="607"/>
    </row>
    <row r="492" ht="15.75" customHeight="1">
      <c r="AG492" s="607"/>
    </row>
    <row r="493" ht="15.75" customHeight="1">
      <c r="AG493" s="607"/>
    </row>
    <row r="494" ht="15.75" customHeight="1">
      <c r="AG494" s="607"/>
    </row>
    <row r="495" ht="15.75" customHeight="1">
      <c r="AG495" s="607"/>
    </row>
    <row r="496" ht="15.75" customHeight="1">
      <c r="AG496" s="607"/>
    </row>
    <row r="497" ht="15.75" customHeight="1">
      <c r="AG497" s="607"/>
    </row>
    <row r="498" ht="15.75" customHeight="1">
      <c r="AG498" s="607"/>
    </row>
    <row r="499" ht="15.75" customHeight="1">
      <c r="AG499" s="607"/>
    </row>
    <row r="500" ht="15.75" customHeight="1">
      <c r="AG500" s="607"/>
    </row>
    <row r="501" ht="15.75" customHeight="1">
      <c r="AG501" s="607"/>
    </row>
    <row r="502" ht="15.75" customHeight="1">
      <c r="AG502" s="607"/>
    </row>
    <row r="503" ht="15.75" customHeight="1">
      <c r="AG503" s="607"/>
    </row>
    <row r="504" ht="15.75" customHeight="1">
      <c r="AG504" s="607"/>
    </row>
    <row r="505" ht="15.75" customHeight="1">
      <c r="AG505" s="607"/>
    </row>
    <row r="506" ht="15.75" customHeight="1">
      <c r="AG506" s="607"/>
    </row>
    <row r="507" ht="15.75" customHeight="1">
      <c r="AG507" s="607"/>
    </row>
    <row r="508" ht="15.75" customHeight="1">
      <c r="AG508" s="607"/>
    </row>
    <row r="509" ht="15.75" customHeight="1">
      <c r="AG509" s="607"/>
    </row>
    <row r="510" ht="15.75" customHeight="1">
      <c r="AG510" s="607"/>
    </row>
    <row r="511" ht="15.75" customHeight="1">
      <c r="AG511" s="607"/>
    </row>
    <row r="512" ht="15.75" customHeight="1">
      <c r="AG512" s="607"/>
    </row>
    <row r="513" ht="15.75" customHeight="1">
      <c r="AG513" s="607"/>
    </row>
    <row r="514" ht="15.75" customHeight="1">
      <c r="AG514" s="607"/>
    </row>
    <row r="515" ht="15.75" customHeight="1">
      <c r="AG515" s="607"/>
    </row>
    <row r="516" ht="15.75" customHeight="1">
      <c r="AG516" s="607"/>
    </row>
    <row r="517" ht="15.75" customHeight="1">
      <c r="AG517" s="607"/>
    </row>
    <row r="518" ht="15.75" customHeight="1">
      <c r="AG518" s="607"/>
    </row>
    <row r="519" ht="15.75" customHeight="1">
      <c r="AG519" s="607"/>
    </row>
    <row r="520" ht="15.75" customHeight="1">
      <c r="AG520" s="607"/>
    </row>
    <row r="521" ht="15.75" customHeight="1">
      <c r="AG521" s="607"/>
    </row>
    <row r="522" ht="15.75" customHeight="1">
      <c r="AG522" s="607"/>
    </row>
    <row r="523" ht="15.75" customHeight="1">
      <c r="AG523" s="607"/>
    </row>
    <row r="524" ht="15.75" customHeight="1">
      <c r="AG524" s="607"/>
    </row>
    <row r="525" ht="15.75" customHeight="1">
      <c r="AG525" s="607"/>
    </row>
    <row r="526" ht="15.75" customHeight="1">
      <c r="AG526" s="607"/>
    </row>
    <row r="527" ht="15.75" customHeight="1">
      <c r="AG527" s="607"/>
    </row>
    <row r="528" ht="15.75" customHeight="1">
      <c r="AG528" s="607"/>
    </row>
    <row r="529" ht="15.75" customHeight="1">
      <c r="AG529" s="607"/>
    </row>
    <row r="530" ht="15.75" customHeight="1">
      <c r="AG530" s="607"/>
    </row>
    <row r="531" ht="15.75" customHeight="1">
      <c r="AG531" s="607"/>
    </row>
    <row r="532" ht="15.75" customHeight="1">
      <c r="AG532" s="607"/>
    </row>
    <row r="533" ht="15.75" customHeight="1">
      <c r="AG533" s="607"/>
    </row>
    <row r="534" ht="15.75" customHeight="1">
      <c r="AG534" s="607"/>
    </row>
    <row r="535" ht="15.75" customHeight="1">
      <c r="AG535" s="607"/>
    </row>
    <row r="536" ht="15.75" customHeight="1">
      <c r="AG536" s="607"/>
    </row>
    <row r="537" ht="15.75" customHeight="1">
      <c r="AG537" s="607"/>
    </row>
    <row r="538" ht="15.75" customHeight="1">
      <c r="AG538" s="607"/>
    </row>
    <row r="539" ht="15.75" customHeight="1">
      <c r="AG539" s="607"/>
    </row>
    <row r="540" ht="15.75" customHeight="1">
      <c r="AG540" s="607"/>
    </row>
    <row r="541" ht="15.75" customHeight="1">
      <c r="AG541" s="607"/>
    </row>
    <row r="542" ht="15.75" customHeight="1">
      <c r="AG542" s="607"/>
    </row>
    <row r="543" ht="15.75" customHeight="1">
      <c r="AG543" s="607"/>
    </row>
    <row r="544" ht="15.75" customHeight="1">
      <c r="AG544" s="607"/>
    </row>
    <row r="545" ht="15.75" customHeight="1">
      <c r="AG545" s="607"/>
    </row>
    <row r="546" ht="15.75" customHeight="1">
      <c r="AG546" s="607"/>
    </row>
    <row r="547" ht="15.75" customHeight="1">
      <c r="AG547" s="607"/>
    </row>
    <row r="548" ht="15.75" customHeight="1">
      <c r="AG548" s="607"/>
    </row>
    <row r="549" ht="15.75" customHeight="1">
      <c r="AG549" s="607"/>
    </row>
    <row r="550" ht="15.75" customHeight="1">
      <c r="AG550" s="607"/>
    </row>
    <row r="551" ht="15.75" customHeight="1">
      <c r="AG551" s="607"/>
    </row>
    <row r="552" ht="15.75" customHeight="1">
      <c r="AG552" s="607"/>
    </row>
    <row r="553" ht="15.75" customHeight="1">
      <c r="AG553" s="607"/>
    </row>
    <row r="554" ht="15.75" customHeight="1">
      <c r="AG554" s="607"/>
    </row>
    <row r="555" ht="15.75" customHeight="1">
      <c r="AG555" s="607"/>
    </row>
    <row r="556" ht="15.75" customHeight="1">
      <c r="AG556" s="607"/>
    </row>
    <row r="557" ht="15.75" customHeight="1">
      <c r="AG557" s="607"/>
    </row>
    <row r="558" ht="15.75" customHeight="1">
      <c r="AG558" s="607"/>
    </row>
    <row r="559" ht="15.75" customHeight="1">
      <c r="AG559" s="607"/>
    </row>
    <row r="560" ht="15.75" customHeight="1">
      <c r="AG560" s="607"/>
    </row>
    <row r="561" ht="15.75" customHeight="1">
      <c r="AG561" s="607"/>
    </row>
    <row r="562" ht="15.75" customHeight="1">
      <c r="AG562" s="607"/>
    </row>
    <row r="563" ht="15.75" customHeight="1">
      <c r="AG563" s="607"/>
    </row>
    <row r="564" ht="15.75" customHeight="1">
      <c r="AG564" s="607"/>
    </row>
    <row r="565" ht="15.75" customHeight="1">
      <c r="AG565" s="607"/>
    </row>
    <row r="566" ht="15.75" customHeight="1">
      <c r="AG566" s="607"/>
    </row>
    <row r="567" ht="15.75" customHeight="1">
      <c r="AG567" s="607"/>
    </row>
    <row r="568" ht="15.75" customHeight="1">
      <c r="AG568" s="607"/>
    </row>
    <row r="569" ht="15.75" customHeight="1">
      <c r="AG569" s="607"/>
    </row>
    <row r="570" ht="15.75" customHeight="1">
      <c r="AG570" s="607"/>
    </row>
    <row r="571" ht="15.75" customHeight="1">
      <c r="AG571" s="607"/>
    </row>
    <row r="572" ht="15.75" customHeight="1">
      <c r="AG572" s="607"/>
    </row>
    <row r="573" ht="15.75" customHeight="1">
      <c r="AG573" s="607"/>
    </row>
    <row r="574" ht="15.75" customHeight="1">
      <c r="AG574" s="607"/>
    </row>
    <row r="575" ht="15.75" customHeight="1">
      <c r="AG575" s="607"/>
    </row>
    <row r="576" ht="15.75" customHeight="1">
      <c r="AG576" s="607"/>
    </row>
    <row r="577" ht="15.75" customHeight="1">
      <c r="AG577" s="607"/>
    </row>
    <row r="578" ht="15.75" customHeight="1">
      <c r="AG578" s="607"/>
    </row>
    <row r="579" ht="15.75" customHeight="1">
      <c r="AG579" s="607"/>
    </row>
    <row r="580" ht="15.75" customHeight="1">
      <c r="AG580" s="607"/>
    </row>
    <row r="581" ht="15.75" customHeight="1">
      <c r="AG581" s="607"/>
    </row>
    <row r="582" ht="15.75" customHeight="1">
      <c r="AG582" s="607"/>
    </row>
    <row r="583" ht="15.75" customHeight="1">
      <c r="AG583" s="607"/>
    </row>
    <row r="584" ht="15.75" customHeight="1">
      <c r="AG584" s="607"/>
    </row>
    <row r="585" ht="15.75" customHeight="1">
      <c r="AG585" s="607"/>
    </row>
    <row r="586" ht="15.75" customHeight="1">
      <c r="AG586" s="607"/>
    </row>
    <row r="587" ht="15.75" customHeight="1">
      <c r="AG587" s="607"/>
    </row>
    <row r="588" ht="15.75" customHeight="1">
      <c r="AG588" s="607"/>
    </row>
    <row r="589" ht="15.75" customHeight="1">
      <c r="AG589" s="607"/>
    </row>
    <row r="590" ht="15.75" customHeight="1">
      <c r="AG590" s="607"/>
    </row>
    <row r="591" ht="15.75" customHeight="1">
      <c r="AG591" s="607"/>
    </row>
    <row r="592" ht="15.75" customHeight="1">
      <c r="AG592" s="607"/>
    </row>
    <row r="593" ht="15.75" customHeight="1">
      <c r="AG593" s="607"/>
    </row>
    <row r="594" ht="15.75" customHeight="1">
      <c r="AG594" s="607"/>
    </row>
    <row r="595" ht="15.75" customHeight="1">
      <c r="AG595" s="607"/>
    </row>
    <row r="596" ht="15.75" customHeight="1">
      <c r="AG596" s="607"/>
    </row>
    <row r="597" ht="15.75" customHeight="1">
      <c r="AG597" s="607"/>
    </row>
    <row r="598" ht="15.75" customHeight="1">
      <c r="AG598" s="607"/>
    </row>
    <row r="599" ht="15.75" customHeight="1">
      <c r="AG599" s="607"/>
    </row>
    <row r="600" ht="15.75" customHeight="1">
      <c r="AG600" s="607"/>
    </row>
    <row r="601" ht="15.75" customHeight="1">
      <c r="AG601" s="607"/>
    </row>
    <row r="602" ht="15.75" customHeight="1">
      <c r="AG602" s="607"/>
    </row>
    <row r="603" ht="15.75" customHeight="1">
      <c r="AG603" s="607"/>
    </row>
    <row r="604" ht="15.75" customHeight="1">
      <c r="AG604" s="607"/>
    </row>
    <row r="605" ht="15.75" customHeight="1">
      <c r="AG605" s="607"/>
    </row>
    <row r="606" ht="15.75" customHeight="1">
      <c r="AG606" s="607"/>
    </row>
    <row r="607" ht="15.75" customHeight="1">
      <c r="AG607" s="607"/>
    </row>
    <row r="608" ht="15.75" customHeight="1">
      <c r="AG608" s="607"/>
    </row>
    <row r="609" ht="15.75" customHeight="1">
      <c r="AG609" s="607"/>
    </row>
    <row r="610" ht="15.75" customHeight="1">
      <c r="AG610" s="607"/>
    </row>
    <row r="611" ht="15.75" customHeight="1">
      <c r="AG611" s="607"/>
    </row>
    <row r="612" ht="15.75" customHeight="1">
      <c r="AG612" s="607"/>
    </row>
    <row r="613" ht="15.75" customHeight="1">
      <c r="AG613" s="607"/>
    </row>
    <row r="614" ht="15.75" customHeight="1">
      <c r="AG614" s="607"/>
    </row>
    <row r="615" ht="15.75" customHeight="1">
      <c r="AG615" s="607"/>
    </row>
    <row r="616" ht="15.75" customHeight="1">
      <c r="AG616" s="607"/>
    </row>
    <row r="617" ht="15.75" customHeight="1">
      <c r="AG617" s="607"/>
    </row>
    <row r="618" ht="15.75" customHeight="1">
      <c r="AG618" s="607"/>
    </row>
    <row r="619" ht="15.75" customHeight="1">
      <c r="AG619" s="607"/>
    </row>
    <row r="620" ht="15.75" customHeight="1">
      <c r="AG620" s="607"/>
    </row>
    <row r="621" ht="15.75" customHeight="1">
      <c r="AG621" s="607"/>
    </row>
    <row r="622" ht="15.75" customHeight="1">
      <c r="AG622" s="607"/>
    </row>
    <row r="623" ht="15.75" customHeight="1">
      <c r="AG623" s="607"/>
    </row>
    <row r="624" ht="15.75" customHeight="1">
      <c r="AG624" s="607"/>
    </row>
    <row r="625" ht="15.75" customHeight="1">
      <c r="AG625" s="607"/>
    </row>
    <row r="626" ht="15.75" customHeight="1">
      <c r="AG626" s="607"/>
    </row>
    <row r="627" ht="15.75" customHeight="1">
      <c r="AG627" s="607"/>
    </row>
    <row r="628" ht="15.75" customHeight="1">
      <c r="AG628" s="607"/>
    </row>
    <row r="629" ht="15.75" customHeight="1">
      <c r="AG629" s="607"/>
    </row>
    <row r="630" ht="15.75" customHeight="1">
      <c r="AG630" s="607"/>
    </row>
    <row r="631" ht="15.75" customHeight="1">
      <c r="AG631" s="607"/>
    </row>
    <row r="632" ht="15.75" customHeight="1">
      <c r="AG632" s="607"/>
    </row>
    <row r="633" ht="15.75" customHeight="1">
      <c r="AG633" s="607"/>
    </row>
    <row r="634" ht="15.75" customHeight="1">
      <c r="AG634" s="607"/>
    </row>
    <row r="635" ht="15.75" customHeight="1">
      <c r="AG635" s="607"/>
    </row>
    <row r="636" ht="15.75" customHeight="1">
      <c r="AG636" s="607"/>
    </row>
    <row r="637" ht="15.75" customHeight="1">
      <c r="AG637" s="607"/>
    </row>
    <row r="638" ht="15.75" customHeight="1">
      <c r="AG638" s="607"/>
    </row>
    <row r="639" ht="15.75" customHeight="1">
      <c r="AG639" s="607"/>
    </row>
    <row r="640" ht="15.75" customHeight="1">
      <c r="AG640" s="607"/>
    </row>
    <row r="641" ht="15.75" customHeight="1">
      <c r="AG641" s="607"/>
    </row>
    <row r="642" ht="15.75" customHeight="1">
      <c r="AG642" s="607"/>
    </row>
    <row r="643" ht="15.75" customHeight="1">
      <c r="AG643" s="607"/>
    </row>
    <row r="644" ht="15.75" customHeight="1">
      <c r="AG644" s="607"/>
    </row>
    <row r="645" ht="15.75" customHeight="1">
      <c r="AG645" s="607"/>
    </row>
    <row r="646" ht="15.75" customHeight="1">
      <c r="AG646" s="607"/>
    </row>
    <row r="647" ht="15.75" customHeight="1">
      <c r="AG647" s="607"/>
    </row>
    <row r="648" ht="15.75" customHeight="1">
      <c r="AG648" s="607"/>
    </row>
    <row r="649" ht="15.75" customHeight="1">
      <c r="AG649" s="607"/>
    </row>
    <row r="650" ht="15.75" customHeight="1">
      <c r="AG650" s="607"/>
    </row>
    <row r="651" ht="15.75" customHeight="1">
      <c r="AG651" s="607"/>
    </row>
    <row r="652" ht="15.75" customHeight="1">
      <c r="AG652" s="607"/>
    </row>
    <row r="653" ht="15.75" customHeight="1">
      <c r="AG653" s="607"/>
    </row>
    <row r="654" ht="15.75" customHeight="1">
      <c r="AG654" s="607"/>
    </row>
    <row r="655" ht="15.75" customHeight="1">
      <c r="AG655" s="607"/>
    </row>
    <row r="656" ht="15.75" customHeight="1">
      <c r="AG656" s="607"/>
    </row>
    <row r="657" ht="15.75" customHeight="1">
      <c r="AG657" s="607"/>
    </row>
    <row r="658" ht="15.75" customHeight="1">
      <c r="AG658" s="607"/>
    </row>
    <row r="659" ht="15.75" customHeight="1">
      <c r="AG659" s="607"/>
    </row>
    <row r="660" ht="15.75" customHeight="1">
      <c r="AG660" s="607"/>
    </row>
    <row r="661" ht="15.75" customHeight="1">
      <c r="AG661" s="607"/>
    </row>
    <row r="662" ht="15.75" customHeight="1">
      <c r="AG662" s="607"/>
    </row>
    <row r="663" ht="15.75" customHeight="1">
      <c r="AG663" s="607"/>
    </row>
    <row r="664" ht="15.75" customHeight="1">
      <c r="AG664" s="607"/>
    </row>
    <row r="665" ht="15.75" customHeight="1">
      <c r="AG665" s="607"/>
    </row>
    <row r="666" ht="15.75" customHeight="1">
      <c r="AG666" s="607"/>
    </row>
    <row r="667" ht="15.75" customHeight="1">
      <c r="AG667" s="607"/>
    </row>
    <row r="668" ht="15.75" customHeight="1">
      <c r="AG668" s="607"/>
    </row>
    <row r="669" ht="15.75" customHeight="1">
      <c r="AG669" s="607"/>
    </row>
    <row r="670" ht="15.75" customHeight="1">
      <c r="AG670" s="607"/>
    </row>
    <row r="671" ht="15.75" customHeight="1">
      <c r="AG671" s="607"/>
    </row>
    <row r="672" ht="15.75" customHeight="1">
      <c r="AG672" s="607"/>
    </row>
    <row r="673" ht="15.75" customHeight="1">
      <c r="AG673" s="607"/>
    </row>
    <row r="674" ht="15.75" customHeight="1">
      <c r="AG674" s="607"/>
    </row>
    <row r="675" ht="15.75" customHeight="1">
      <c r="AG675" s="607"/>
    </row>
    <row r="676" ht="15.75" customHeight="1">
      <c r="AG676" s="607"/>
    </row>
    <row r="677" ht="15.75" customHeight="1">
      <c r="AG677" s="607"/>
    </row>
    <row r="678" ht="15.75" customHeight="1">
      <c r="AG678" s="607"/>
    </row>
    <row r="679" ht="15.75" customHeight="1">
      <c r="AG679" s="607"/>
    </row>
    <row r="680" ht="15.75" customHeight="1">
      <c r="AG680" s="607"/>
    </row>
    <row r="681" ht="15.75" customHeight="1">
      <c r="AG681" s="607"/>
    </row>
    <row r="682" ht="15.75" customHeight="1">
      <c r="AG682" s="607"/>
    </row>
    <row r="683" ht="15.75" customHeight="1">
      <c r="AG683" s="607"/>
    </row>
    <row r="684" ht="15.75" customHeight="1">
      <c r="AG684" s="607"/>
    </row>
    <row r="685" ht="15.75" customHeight="1">
      <c r="AG685" s="607"/>
    </row>
    <row r="686" ht="15.75" customHeight="1">
      <c r="AG686" s="607"/>
    </row>
    <row r="687" ht="15.75" customHeight="1">
      <c r="AG687" s="607"/>
    </row>
    <row r="688" ht="15.75" customHeight="1">
      <c r="AG688" s="607"/>
    </row>
    <row r="689" ht="15.75" customHeight="1">
      <c r="AG689" s="607"/>
    </row>
    <row r="690" ht="15.75" customHeight="1">
      <c r="AG690" s="607"/>
    </row>
    <row r="691" ht="15.75" customHeight="1">
      <c r="AG691" s="607"/>
    </row>
    <row r="692" ht="15.75" customHeight="1">
      <c r="AG692" s="607"/>
    </row>
    <row r="693" ht="15.75" customHeight="1">
      <c r="AG693" s="607"/>
    </row>
    <row r="694" ht="15.75" customHeight="1">
      <c r="AG694" s="607"/>
    </row>
    <row r="695" ht="15.75" customHeight="1">
      <c r="AG695" s="607"/>
    </row>
    <row r="696" ht="15.75" customHeight="1">
      <c r="AG696" s="607"/>
    </row>
    <row r="697" ht="15.75" customHeight="1">
      <c r="AG697" s="607"/>
    </row>
    <row r="698" ht="15.75" customHeight="1">
      <c r="AG698" s="607"/>
    </row>
    <row r="699" ht="15.75" customHeight="1">
      <c r="AG699" s="607"/>
    </row>
    <row r="700" ht="15.75" customHeight="1">
      <c r="AG700" s="607"/>
    </row>
    <row r="701" ht="15.75" customHeight="1">
      <c r="AG701" s="607"/>
    </row>
    <row r="702" ht="15.75" customHeight="1">
      <c r="AG702" s="607"/>
    </row>
    <row r="703" ht="15.75" customHeight="1">
      <c r="AG703" s="607"/>
    </row>
    <row r="704" ht="15.75" customHeight="1">
      <c r="AG704" s="607"/>
    </row>
    <row r="705" ht="15.75" customHeight="1">
      <c r="AG705" s="607"/>
    </row>
    <row r="706" ht="15.75" customHeight="1">
      <c r="AG706" s="607"/>
    </row>
    <row r="707" ht="15.75" customHeight="1">
      <c r="AG707" s="607"/>
    </row>
    <row r="708" ht="15.75" customHeight="1">
      <c r="AG708" s="607"/>
    </row>
    <row r="709" ht="15.75" customHeight="1">
      <c r="AG709" s="607"/>
    </row>
    <row r="710" ht="15.75" customHeight="1">
      <c r="AG710" s="607"/>
    </row>
    <row r="711" ht="15.75" customHeight="1">
      <c r="AG711" s="607"/>
    </row>
    <row r="712" ht="15.75" customHeight="1">
      <c r="AG712" s="607"/>
    </row>
    <row r="713" ht="15.75" customHeight="1">
      <c r="AG713" s="607"/>
    </row>
    <row r="714" ht="15.75" customHeight="1">
      <c r="AG714" s="607"/>
    </row>
    <row r="715" ht="15.75" customHeight="1">
      <c r="AG715" s="607"/>
    </row>
    <row r="716" ht="15.75" customHeight="1">
      <c r="AG716" s="607"/>
    </row>
    <row r="717" ht="15.75" customHeight="1">
      <c r="AG717" s="607"/>
    </row>
    <row r="718" ht="15.75" customHeight="1">
      <c r="AG718" s="607"/>
    </row>
    <row r="719" ht="15.75" customHeight="1">
      <c r="AG719" s="607"/>
    </row>
    <row r="720" ht="15.75" customHeight="1">
      <c r="AG720" s="607"/>
    </row>
    <row r="721" ht="15.75" customHeight="1">
      <c r="AG721" s="607"/>
    </row>
    <row r="722" ht="15.75" customHeight="1">
      <c r="AG722" s="607"/>
    </row>
    <row r="723" ht="15.75" customHeight="1">
      <c r="AG723" s="607"/>
    </row>
    <row r="724" ht="15.75" customHeight="1">
      <c r="AG724" s="607"/>
    </row>
    <row r="725" ht="15.75" customHeight="1">
      <c r="AG725" s="607"/>
    </row>
    <row r="726" ht="15.75" customHeight="1">
      <c r="AG726" s="607"/>
    </row>
    <row r="727" ht="15.75" customHeight="1">
      <c r="AG727" s="607"/>
    </row>
    <row r="728" ht="15.75" customHeight="1">
      <c r="AG728" s="607"/>
    </row>
    <row r="729" ht="15.75" customHeight="1">
      <c r="AG729" s="607"/>
    </row>
    <row r="730" ht="15.75" customHeight="1">
      <c r="AG730" s="607"/>
    </row>
    <row r="731" ht="15.75" customHeight="1">
      <c r="AG731" s="607"/>
    </row>
    <row r="732" ht="15.75" customHeight="1">
      <c r="AG732" s="607"/>
    </row>
    <row r="733" ht="15.75" customHeight="1">
      <c r="AG733" s="607"/>
    </row>
    <row r="734" ht="15.75" customHeight="1">
      <c r="AG734" s="607"/>
    </row>
    <row r="735" ht="15.75" customHeight="1">
      <c r="AG735" s="607"/>
    </row>
    <row r="736" ht="15.75" customHeight="1">
      <c r="AG736" s="607"/>
    </row>
    <row r="737" ht="15.75" customHeight="1">
      <c r="AG737" s="607"/>
    </row>
    <row r="738" ht="15.75" customHeight="1">
      <c r="AG738" s="607"/>
    </row>
    <row r="739" ht="15.75" customHeight="1">
      <c r="AG739" s="607"/>
    </row>
    <row r="740" ht="15.75" customHeight="1">
      <c r="AG740" s="607"/>
    </row>
    <row r="741" ht="15.75" customHeight="1">
      <c r="AG741" s="607"/>
    </row>
    <row r="742" ht="15.75" customHeight="1">
      <c r="AG742" s="607"/>
    </row>
    <row r="743" ht="15.75" customHeight="1">
      <c r="AG743" s="607"/>
    </row>
    <row r="744" ht="15.75" customHeight="1">
      <c r="AG744" s="607"/>
    </row>
    <row r="745" ht="15.75" customHeight="1">
      <c r="AG745" s="607"/>
    </row>
    <row r="746" ht="15.75" customHeight="1">
      <c r="AG746" s="607"/>
    </row>
    <row r="747" ht="15.75" customHeight="1">
      <c r="AG747" s="607"/>
    </row>
    <row r="748" ht="15.75" customHeight="1">
      <c r="AG748" s="607"/>
    </row>
    <row r="749" ht="15.75" customHeight="1">
      <c r="AG749" s="607"/>
    </row>
    <row r="750" ht="15.75" customHeight="1">
      <c r="AG750" s="607"/>
    </row>
    <row r="751" ht="15.75" customHeight="1">
      <c r="AG751" s="607"/>
    </row>
    <row r="752" ht="15.75" customHeight="1">
      <c r="AG752" s="607"/>
    </row>
    <row r="753" ht="15.75" customHeight="1">
      <c r="AG753" s="607"/>
    </row>
    <row r="754" ht="15.75" customHeight="1">
      <c r="AG754" s="607"/>
    </row>
    <row r="755" ht="15.75" customHeight="1">
      <c r="AG755" s="607"/>
    </row>
    <row r="756" ht="15.75" customHeight="1">
      <c r="AG756" s="607"/>
    </row>
    <row r="757" ht="15.75" customHeight="1">
      <c r="AG757" s="607"/>
    </row>
    <row r="758" ht="15.75" customHeight="1">
      <c r="AG758" s="607"/>
    </row>
    <row r="759" ht="15.75" customHeight="1">
      <c r="AG759" s="607"/>
    </row>
    <row r="760" ht="15.75" customHeight="1">
      <c r="AG760" s="607"/>
    </row>
    <row r="761" ht="15.75" customHeight="1">
      <c r="AG761" s="607"/>
    </row>
    <row r="762" ht="15.75" customHeight="1">
      <c r="AG762" s="607"/>
    </row>
    <row r="763" ht="15.75" customHeight="1">
      <c r="AG763" s="607"/>
    </row>
    <row r="764" ht="15.75" customHeight="1">
      <c r="AG764" s="607"/>
    </row>
    <row r="765" ht="15.75" customHeight="1">
      <c r="AG765" s="607"/>
    </row>
    <row r="766" ht="15.75" customHeight="1">
      <c r="AG766" s="607"/>
    </row>
    <row r="767" ht="15.75" customHeight="1">
      <c r="AG767" s="607"/>
    </row>
    <row r="768" ht="15.75" customHeight="1">
      <c r="AG768" s="607"/>
    </row>
    <row r="769" ht="15.75" customHeight="1">
      <c r="AG769" s="607"/>
    </row>
    <row r="770" ht="15.75" customHeight="1">
      <c r="AG770" s="607"/>
    </row>
    <row r="771" ht="15.75" customHeight="1">
      <c r="AG771" s="607"/>
    </row>
    <row r="772" ht="15.75" customHeight="1">
      <c r="AG772" s="607"/>
    </row>
    <row r="773" ht="15.75" customHeight="1">
      <c r="AG773" s="607"/>
    </row>
    <row r="774" ht="15.75" customHeight="1">
      <c r="AG774" s="607"/>
    </row>
    <row r="775" ht="15.75" customHeight="1">
      <c r="AG775" s="607"/>
    </row>
    <row r="776" ht="15.75" customHeight="1">
      <c r="AG776" s="607"/>
    </row>
    <row r="777" ht="15.75" customHeight="1">
      <c r="AG777" s="607"/>
    </row>
    <row r="778" ht="15.75" customHeight="1">
      <c r="AG778" s="607"/>
    </row>
    <row r="779" ht="15.75" customHeight="1">
      <c r="AG779" s="607"/>
    </row>
    <row r="780" ht="15.75" customHeight="1">
      <c r="AG780" s="607"/>
    </row>
    <row r="781" ht="15.75" customHeight="1">
      <c r="AG781" s="607"/>
    </row>
    <row r="782" ht="15.75" customHeight="1">
      <c r="AG782" s="607"/>
    </row>
    <row r="783" ht="15.75" customHeight="1">
      <c r="AG783" s="607"/>
    </row>
    <row r="784" ht="15.75" customHeight="1">
      <c r="AG784" s="607"/>
    </row>
    <row r="785" ht="15.75" customHeight="1">
      <c r="AG785" s="607"/>
    </row>
    <row r="786" ht="15.75" customHeight="1">
      <c r="AG786" s="607"/>
    </row>
    <row r="787" ht="15.75" customHeight="1">
      <c r="AG787" s="607"/>
    </row>
    <row r="788" ht="15.75" customHeight="1">
      <c r="AG788" s="607"/>
    </row>
    <row r="789" ht="15.75" customHeight="1">
      <c r="AG789" s="607"/>
    </row>
    <row r="790" ht="15.75" customHeight="1">
      <c r="AG790" s="607"/>
    </row>
    <row r="791" ht="15.75" customHeight="1">
      <c r="AG791" s="607"/>
    </row>
    <row r="792" ht="15.75" customHeight="1">
      <c r="AG792" s="607"/>
    </row>
    <row r="793" ht="15.75" customHeight="1">
      <c r="AG793" s="607"/>
    </row>
    <row r="794" ht="15.75" customHeight="1">
      <c r="AG794" s="607"/>
    </row>
    <row r="795" ht="15.75" customHeight="1">
      <c r="AG795" s="607"/>
    </row>
    <row r="796" ht="15.75" customHeight="1">
      <c r="AG796" s="607"/>
    </row>
    <row r="797" ht="15.75" customHeight="1">
      <c r="AG797" s="607"/>
    </row>
    <row r="798" ht="15.75" customHeight="1">
      <c r="AG798" s="607"/>
    </row>
    <row r="799" ht="15.75" customHeight="1">
      <c r="AG799" s="607"/>
    </row>
    <row r="800" ht="15.75" customHeight="1">
      <c r="AG800" s="607"/>
    </row>
    <row r="801" ht="15.75" customHeight="1">
      <c r="AG801" s="607"/>
    </row>
    <row r="802" ht="15.75" customHeight="1">
      <c r="AG802" s="607"/>
    </row>
    <row r="803" ht="15.75" customHeight="1">
      <c r="AG803" s="607"/>
    </row>
    <row r="804" ht="15.75" customHeight="1">
      <c r="AG804" s="607"/>
    </row>
    <row r="805" ht="15.75" customHeight="1">
      <c r="AG805" s="607"/>
    </row>
    <row r="806" ht="15.75" customHeight="1">
      <c r="AG806" s="607"/>
    </row>
    <row r="807" ht="15.75" customHeight="1">
      <c r="AG807" s="607"/>
    </row>
    <row r="808" ht="15.75" customHeight="1">
      <c r="AG808" s="607"/>
    </row>
    <row r="809" ht="15.75" customHeight="1">
      <c r="AG809" s="607"/>
    </row>
    <row r="810" ht="15.75" customHeight="1">
      <c r="AG810" s="607"/>
    </row>
    <row r="811" ht="15.75" customHeight="1">
      <c r="AG811" s="607"/>
    </row>
    <row r="812" ht="15.75" customHeight="1">
      <c r="AG812" s="607"/>
    </row>
    <row r="813" ht="15.75" customHeight="1">
      <c r="AG813" s="607"/>
    </row>
    <row r="814" ht="15.75" customHeight="1">
      <c r="AG814" s="607"/>
    </row>
    <row r="815" ht="15.75" customHeight="1">
      <c r="AG815" s="607"/>
    </row>
    <row r="816" ht="15.75" customHeight="1">
      <c r="AG816" s="607"/>
    </row>
    <row r="817" ht="15.75" customHeight="1">
      <c r="AG817" s="607"/>
    </row>
    <row r="818" ht="15.75" customHeight="1">
      <c r="AG818" s="607"/>
    </row>
    <row r="819" ht="15.75" customHeight="1">
      <c r="AG819" s="607"/>
    </row>
    <row r="820" ht="15.75" customHeight="1">
      <c r="AG820" s="607"/>
    </row>
    <row r="821" ht="15.75" customHeight="1">
      <c r="AG821" s="607"/>
    </row>
    <row r="822" ht="15.75" customHeight="1">
      <c r="AG822" s="607"/>
    </row>
    <row r="823" ht="15.75" customHeight="1">
      <c r="AG823" s="607"/>
    </row>
    <row r="824" ht="15.75" customHeight="1">
      <c r="AG824" s="607"/>
    </row>
    <row r="825" ht="15.75" customHeight="1">
      <c r="AG825" s="607"/>
    </row>
    <row r="826" ht="15.75" customHeight="1">
      <c r="AG826" s="607"/>
    </row>
    <row r="827" ht="15.75" customHeight="1">
      <c r="AG827" s="607"/>
    </row>
    <row r="828" ht="15.75" customHeight="1">
      <c r="AG828" s="607"/>
    </row>
    <row r="829" ht="15.75" customHeight="1">
      <c r="AG829" s="607"/>
    </row>
    <row r="830" ht="15.75" customHeight="1">
      <c r="AG830" s="607"/>
    </row>
    <row r="831" ht="15.75" customHeight="1">
      <c r="AG831" s="607"/>
    </row>
    <row r="832" ht="15.75" customHeight="1">
      <c r="AG832" s="607"/>
    </row>
    <row r="833" ht="15.75" customHeight="1">
      <c r="AG833" s="607"/>
    </row>
    <row r="834" ht="15.75" customHeight="1">
      <c r="AG834" s="607"/>
    </row>
    <row r="835" ht="15.75" customHeight="1">
      <c r="AG835" s="607"/>
    </row>
    <row r="836" ht="15.75" customHeight="1">
      <c r="AG836" s="607"/>
    </row>
    <row r="837" ht="15.75" customHeight="1">
      <c r="AG837" s="607"/>
    </row>
    <row r="838" ht="15.75" customHeight="1">
      <c r="AG838" s="607"/>
    </row>
    <row r="839" ht="15.75" customHeight="1">
      <c r="AG839" s="607"/>
    </row>
    <row r="840" ht="15.75" customHeight="1">
      <c r="AG840" s="607"/>
    </row>
    <row r="841" ht="15.75" customHeight="1">
      <c r="AG841" s="607"/>
    </row>
    <row r="842" ht="15.75" customHeight="1">
      <c r="AG842" s="607"/>
    </row>
    <row r="843" ht="15.75" customHeight="1">
      <c r="AG843" s="607"/>
    </row>
    <row r="844" ht="15.75" customHeight="1">
      <c r="AG844" s="607"/>
    </row>
    <row r="845" ht="15.75" customHeight="1">
      <c r="AG845" s="607"/>
    </row>
    <row r="846" ht="15.75" customHeight="1">
      <c r="AG846" s="607"/>
    </row>
    <row r="847" ht="15.75" customHeight="1">
      <c r="AG847" s="607"/>
    </row>
    <row r="848" ht="15.75" customHeight="1">
      <c r="AG848" s="607"/>
    </row>
    <row r="849" ht="15.75" customHeight="1">
      <c r="AG849" s="607"/>
    </row>
    <row r="850" ht="15.75" customHeight="1">
      <c r="AG850" s="607"/>
    </row>
    <row r="851" ht="15.75" customHeight="1">
      <c r="AG851" s="607"/>
    </row>
    <row r="852" ht="15.75" customHeight="1">
      <c r="AG852" s="607"/>
    </row>
    <row r="853" ht="15.75" customHeight="1">
      <c r="AG853" s="607"/>
    </row>
    <row r="854" ht="15.75" customHeight="1">
      <c r="AG854" s="607"/>
    </row>
    <row r="855" ht="15.75" customHeight="1">
      <c r="AG855" s="607"/>
    </row>
    <row r="856" ht="15.75" customHeight="1">
      <c r="AG856" s="607"/>
    </row>
    <row r="857" ht="15.75" customHeight="1">
      <c r="AG857" s="607"/>
    </row>
    <row r="858" ht="15.75" customHeight="1">
      <c r="AG858" s="607"/>
    </row>
    <row r="859" ht="15.75" customHeight="1">
      <c r="AG859" s="607"/>
    </row>
    <row r="860" ht="15.75" customHeight="1">
      <c r="AG860" s="607"/>
    </row>
    <row r="861" ht="15.75" customHeight="1">
      <c r="AG861" s="607"/>
    </row>
    <row r="862" ht="15.75" customHeight="1">
      <c r="AG862" s="607"/>
    </row>
    <row r="863" ht="15.75" customHeight="1">
      <c r="AG863" s="607"/>
    </row>
    <row r="864" ht="15.75" customHeight="1">
      <c r="AG864" s="607"/>
    </row>
    <row r="865" ht="15.75" customHeight="1">
      <c r="AG865" s="607"/>
    </row>
    <row r="866" ht="15.75" customHeight="1">
      <c r="AG866" s="607"/>
    </row>
    <row r="867" ht="15.75" customHeight="1">
      <c r="AG867" s="607"/>
    </row>
    <row r="868" ht="15.75" customHeight="1">
      <c r="AG868" s="607"/>
    </row>
    <row r="869" ht="15.75" customHeight="1">
      <c r="AG869" s="607"/>
    </row>
    <row r="870" ht="15.75" customHeight="1">
      <c r="AG870" s="607"/>
    </row>
    <row r="871" ht="15.75" customHeight="1">
      <c r="AG871" s="607"/>
    </row>
    <row r="872" ht="15.75" customHeight="1">
      <c r="AG872" s="607"/>
    </row>
    <row r="873" ht="15.75" customHeight="1">
      <c r="AG873" s="607"/>
    </row>
    <row r="874" ht="15.75" customHeight="1">
      <c r="AG874" s="607"/>
    </row>
    <row r="875" ht="15.75" customHeight="1">
      <c r="AG875" s="607"/>
    </row>
    <row r="876" ht="15.75" customHeight="1">
      <c r="AG876" s="607"/>
    </row>
    <row r="877" ht="15.75" customHeight="1">
      <c r="AG877" s="607"/>
    </row>
    <row r="878" ht="15.75" customHeight="1">
      <c r="AG878" s="607"/>
    </row>
    <row r="879" ht="15.75" customHeight="1">
      <c r="AG879" s="607"/>
    </row>
    <row r="880" ht="15.75" customHeight="1">
      <c r="AG880" s="607"/>
    </row>
    <row r="881" ht="15.75" customHeight="1">
      <c r="AG881" s="607"/>
    </row>
    <row r="882" ht="15.75" customHeight="1">
      <c r="AG882" s="607"/>
    </row>
    <row r="883" ht="15.75" customHeight="1">
      <c r="AG883" s="607"/>
    </row>
    <row r="884" ht="15.75" customHeight="1">
      <c r="AG884" s="607"/>
    </row>
    <row r="885" ht="15.75" customHeight="1">
      <c r="AG885" s="607"/>
    </row>
    <row r="886" ht="15.75" customHeight="1">
      <c r="AG886" s="607"/>
    </row>
    <row r="887" ht="15.75" customHeight="1">
      <c r="AG887" s="607"/>
    </row>
    <row r="888" ht="15.75" customHeight="1">
      <c r="AG888" s="607"/>
    </row>
    <row r="889" ht="15.75" customHeight="1">
      <c r="AG889" s="607"/>
    </row>
    <row r="890" ht="15.75" customHeight="1">
      <c r="AG890" s="607"/>
    </row>
    <row r="891" ht="15.75" customHeight="1">
      <c r="AG891" s="607"/>
    </row>
    <row r="892" ht="15.75" customHeight="1">
      <c r="AG892" s="607"/>
    </row>
    <row r="893" ht="15.75" customHeight="1">
      <c r="AG893" s="607"/>
    </row>
    <row r="894" ht="15.75" customHeight="1">
      <c r="AG894" s="607"/>
    </row>
    <row r="895" ht="15.75" customHeight="1">
      <c r="AG895" s="607"/>
    </row>
    <row r="896" ht="15.75" customHeight="1">
      <c r="AG896" s="607"/>
    </row>
    <row r="897" ht="15.75" customHeight="1">
      <c r="AG897" s="607"/>
    </row>
    <row r="898" ht="15.75" customHeight="1">
      <c r="AG898" s="607"/>
    </row>
    <row r="899" ht="15.75" customHeight="1">
      <c r="AG899" s="607"/>
    </row>
    <row r="900" ht="15.75" customHeight="1">
      <c r="AG900" s="607"/>
    </row>
    <row r="901" ht="15.75" customHeight="1">
      <c r="AG901" s="607"/>
    </row>
    <row r="902" ht="15.75" customHeight="1">
      <c r="AG902" s="607"/>
    </row>
    <row r="903" ht="15.75" customHeight="1">
      <c r="AG903" s="607"/>
    </row>
    <row r="904" ht="15.75" customHeight="1">
      <c r="AG904" s="607"/>
    </row>
    <row r="905" ht="15.75" customHeight="1">
      <c r="AG905" s="607"/>
    </row>
    <row r="906" ht="15.75" customHeight="1">
      <c r="AG906" s="607"/>
    </row>
    <row r="907" ht="15.75" customHeight="1">
      <c r="AG907" s="607"/>
    </row>
    <row r="908" ht="15.75" customHeight="1">
      <c r="AG908" s="607"/>
    </row>
    <row r="909" ht="15.75" customHeight="1">
      <c r="AG909" s="607"/>
    </row>
    <row r="910" ht="15.75" customHeight="1">
      <c r="AG910" s="607"/>
    </row>
    <row r="911" ht="15.75" customHeight="1">
      <c r="AG911" s="607"/>
    </row>
    <row r="912" ht="15.75" customHeight="1">
      <c r="AG912" s="607"/>
    </row>
    <row r="913" ht="15.75" customHeight="1">
      <c r="AG913" s="607"/>
    </row>
    <row r="914" ht="15.75" customHeight="1">
      <c r="AG914" s="607"/>
    </row>
    <row r="915" ht="15.75" customHeight="1">
      <c r="AG915" s="607"/>
    </row>
    <row r="916" ht="15.75" customHeight="1">
      <c r="AG916" s="607"/>
    </row>
    <row r="917" ht="15.75" customHeight="1">
      <c r="AG917" s="607"/>
    </row>
    <row r="918" ht="15.75" customHeight="1">
      <c r="AG918" s="607"/>
    </row>
    <row r="919" ht="15.75" customHeight="1">
      <c r="AG919" s="607"/>
    </row>
    <row r="920" ht="15.75" customHeight="1">
      <c r="AG920" s="607"/>
    </row>
    <row r="921" ht="15.75" customHeight="1">
      <c r="AG921" s="607"/>
    </row>
    <row r="922" ht="15.75" customHeight="1">
      <c r="AG922" s="607"/>
    </row>
    <row r="923" ht="15.75" customHeight="1">
      <c r="AG923" s="607"/>
    </row>
    <row r="924" ht="15.75" customHeight="1">
      <c r="AG924" s="607"/>
    </row>
    <row r="925" ht="15.75" customHeight="1">
      <c r="AG925" s="607"/>
    </row>
    <row r="926" ht="15.75" customHeight="1">
      <c r="AG926" s="607"/>
    </row>
    <row r="927" ht="15.75" customHeight="1">
      <c r="AG927" s="607"/>
    </row>
    <row r="928" ht="15.75" customHeight="1">
      <c r="AG928" s="607"/>
    </row>
    <row r="929" ht="15.75" customHeight="1">
      <c r="AG929" s="607"/>
    </row>
    <row r="930" ht="15.75" customHeight="1">
      <c r="AG930" s="607"/>
    </row>
    <row r="931" ht="15.75" customHeight="1">
      <c r="AG931" s="607"/>
    </row>
    <row r="932" ht="15.75" customHeight="1">
      <c r="AG932" s="607"/>
    </row>
    <row r="933" ht="15.75" customHeight="1">
      <c r="AG933" s="607"/>
    </row>
    <row r="934" ht="15.75" customHeight="1">
      <c r="AG934" s="607"/>
    </row>
    <row r="935" ht="15.75" customHeight="1">
      <c r="AG935" s="607"/>
    </row>
    <row r="936" ht="15.75" customHeight="1">
      <c r="AG936" s="607"/>
    </row>
    <row r="937" ht="15.75" customHeight="1">
      <c r="AG937" s="607"/>
    </row>
    <row r="938" ht="15.75" customHeight="1">
      <c r="AG938" s="607"/>
    </row>
    <row r="939" ht="15.75" customHeight="1">
      <c r="AG939" s="607"/>
    </row>
    <row r="940" ht="15.75" customHeight="1">
      <c r="AG940" s="607"/>
    </row>
    <row r="941" ht="15.75" customHeight="1">
      <c r="AG941" s="607"/>
    </row>
    <row r="942" ht="15.75" customHeight="1">
      <c r="AG942" s="607"/>
    </row>
    <row r="943" ht="15.75" customHeight="1">
      <c r="AG943" s="607"/>
    </row>
    <row r="944" ht="15.75" customHeight="1">
      <c r="AG944" s="607"/>
    </row>
    <row r="945" ht="15.75" customHeight="1">
      <c r="AG945" s="607"/>
    </row>
    <row r="946" ht="15.75" customHeight="1">
      <c r="AG946" s="607"/>
    </row>
    <row r="947" ht="15.75" customHeight="1">
      <c r="AG947" s="607"/>
    </row>
    <row r="948" ht="15.75" customHeight="1">
      <c r="AG948" s="607"/>
    </row>
    <row r="949" ht="15.75" customHeight="1">
      <c r="AG949" s="607"/>
    </row>
    <row r="950" ht="15.75" customHeight="1">
      <c r="AG950" s="607"/>
    </row>
    <row r="951" ht="15.75" customHeight="1">
      <c r="AG951" s="607"/>
    </row>
    <row r="952" ht="15.75" customHeight="1">
      <c r="AG952" s="607"/>
    </row>
    <row r="953" ht="15.75" customHeight="1">
      <c r="AG953" s="607"/>
    </row>
    <row r="954" ht="15.75" customHeight="1">
      <c r="AG954" s="607"/>
    </row>
    <row r="955" ht="15.75" customHeight="1">
      <c r="AG955" s="607"/>
    </row>
    <row r="956" ht="15.75" customHeight="1">
      <c r="AG956" s="607"/>
    </row>
    <row r="957" ht="15.75" customHeight="1">
      <c r="AG957" s="607"/>
    </row>
    <row r="958" ht="15.75" customHeight="1">
      <c r="AG958" s="607"/>
    </row>
    <row r="959" ht="15.75" customHeight="1">
      <c r="AG959" s="607"/>
    </row>
    <row r="960" ht="15.75" customHeight="1">
      <c r="AG960" s="607"/>
    </row>
    <row r="961" ht="15.75" customHeight="1">
      <c r="AG961" s="607"/>
    </row>
    <row r="962" ht="15.75" customHeight="1">
      <c r="AG962" s="607"/>
    </row>
    <row r="963" ht="15.75" customHeight="1">
      <c r="AG963" s="607"/>
    </row>
    <row r="964" ht="15.75" customHeight="1">
      <c r="AG964" s="607"/>
    </row>
    <row r="965" ht="15.75" customHeight="1">
      <c r="AG965" s="607"/>
    </row>
    <row r="966" ht="15.75" customHeight="1">
      <c r="AG966" s="607"/>
    </row>
    <row r="967" ht="15.75" customHeight="1">
      <c r="AG967" s="607"/>
    </row>
    <row r="968" ht="15.75" customHeight="1">
      <c r="AG968" s="607"/>
    </row>
    <row r="969" ht="15.75" customHeight="1">
      <c r="AG969" s="607"/>
    </row>
    <row r="970" ht="15.75" customHeight="1">
      <c r="AG970" s="607"/>
    </row>
    <row r="971" ht="15.75" customHeight="1">
      <c r="AG971" s="607"/>
    </row>
    <row r="972" ht="15.75" customHeight="1">
      <c r="AG972" s="607"/>
    </row>
    <row r="973" ht="15.75" customHeight="1">
      <c r="AG973" s="607"/>
    </row>
    <row r="974" ht="15.75" customHeight="1">
      <c r="AG974" s="607"/>
    </row>
    <row r="975" ht="15.75" customHeight="1">
      <c r="AG975" s="607"/>
    </row>
    <row r="976" ht="15.75" customHeight="1">
      <c r="AG976" s="607"/>
    </row>
    <row r="977" ht="15.75" customHeight="1">
      <c r="AG977" s="607"/>
    </row>
    <row r="978" ht="15.75" customHeight="1">
      <c r="AG978" s="607"/>
    </row>
    <row r="979" ht="15.75" customHeight="1">
      <c r="AG979" s="607"/>
    </row>
    <row r="980" ht="15.75" customHeight="1">
      <c r="AG980" s="607"/>
    </row>
    <row r="981" ht="15.75" customHeight="1">
      <c r="AG981" s="607"/>
    </row>
    <row r="982" ht="15.75" customHeight="1">
      <c r="AG982" s="607"/>
    </row>
    <row r="983" ht="15.75" customHeight="1">
      <c r="AG983" s="607"/>
    </row>
    <row r="984" ht="15.75" customHeight="1">
      <c r="AG984" s="607"/>
    </row>
    <row r="985" ht="15.75" customHeight="1">
      <c r="AG985" s="607"/>
    </row>
    <row r="986" ht="15.75" customHeight="1">
      <c r="AG986" s="607"/>
    </row>
    <row r="987" ht="15.75" customHeight="1">
      <c r="AG987" s="607"/>
    </row>
    <row r="988" ht="15.75" customHeight="1">
      <c r="AG988" s="607"/>
    </row>
    <row r="989" ht="15.75" customHeight="1">
      <c r="AG989" s="607"/>
    </row>
    <row r="990" ht="15.75" customHeight="1">
      <c r="AG990" s="607"/>
    </row>
    <row r="991" ht="15.75" customHeight="1">
      <c r="AG991" s="607"/>
    </row>
    <row r="992" ht="15.75" customHeight="1">
      <c r="AG992" s="607"/>
    </row>
    <row r="993" ht="15.75" customHeight="1">
      <c r="AG993" s="607"/>
    </row>
    <row r="994" ht="15.75" customHeight="1">
      <c r="AG994" s="607"/>
    </row>
    <row r="995" ht="15.75" customHeight="1">
      <c r="AG995" s="607"/>
    </row>
    <row r="996" ht="15.75" customHeight="1">
      <c r="AG996" s="607"/>
    </row>
    <row r="997" ht="15.75" customHeight="1">
      <c r="AG997" s="607"/>
    </row>
    <row r="998" ht="15.75" customHeight="1">
      <c r="AG998" s="607"/>
    </row>
    <row r="999" ht="15.75" customHeight="1">
      <c r="AG999" s="607"/>
    </row>
    <row r="1000" ht="15.75" customHeight="1">
      <c r="AG1000" s="607"/>
    </row>
  </sheetData>
  <autoFilter ref="$A$3:$AL$623"/>
  <printOptions/>
  <pageMargins bottom="0.75" footer="0.0" header="0.0" left="0.7" right="0.7" top="0.75"/>
  <pageSetup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36.86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6" max="36" width="17.57"/>
    <col customWidth="1" min="37" max="38" width="14.43"/>
    <col customWidth="1" min="39" max="39" width="17.71"/>
    <col customWidth="1" min="43" max="44" width="17.14"/>
  </cols>
  <sheetData>
    <row r="1" ht="15.0" customHeight="1">
      <c r="G1" s="3"/>
      <c r="H1" s="4"/>
      <c r="I1" s="4">
        <f>1089.38-'Analisis comercial'!I2</f>
        <v>-7294.36488</v>
      </c>
      <c r="AB1" s="7"/>
      <c r="AC1" s="7"/>
      <c r="AD1" s="7"/>
      <c r="AE1" s="7"/>
      <c r="AF1" s="7"/>
      <c r="AG1" s="910" t="s">
        <v>4782</v>
      </c>
      <c r="AH1" s="7" t="s">
        <v>4783</v>
      </c>
      <c r="AI1" s="3" t="s">
        <v>4784</v>
      </c>
      <c r="AJ1" s="125" t="s">
        <v>3</v>
      </c>
      <c r="AK1" s="11"/>
      <c r="AL1" s="65">
        <f>+AL3+'8'!AL3</f>
        <v>601334.3898</v>
      </c>
      <c r="AM1" s="65"/>
    </row>
    <row r="2" ht="15.0" customHeight="1">
      <c r="G2" s="13"/>
      <c r="H2" s="13"/>
      <c r="I2" s="4">
        <f>SUM(I4:I779)</f>
        <v>415.74</v>
      </c>
      <c r="J2" s="4"/>
      <c r="K2" s="4">
        <f>SUM(K4:K779)</f>
        <v>403.9267</v>
      </c>
      <c r="L2" s="405">
        <f>SUMPRODUCT(L4:L891,K4:K891)/K2</f>
        <v>0.3944157071</v>
      </c>
      <c r="Q2" s="58">
        <f>+SUMPRODUCT(Q4:Q779,AH4:AH779)/SUM(AH4:AH779)</f>
        <v>89.50790479</v>
      </c>
      <c r="R2" s="65">
        <f>+SUMPRODUCT(R4:R779,AH4:AH779)/SUM(AH4:AH779)</f>
        <v>2533.002788</v>
      </c>
      <c r="AB2" s="7"/>
      <c r="AC2" s="7"/>
      <c r="AD2" s="7"/>
      <c r="AE2" s="7"/>
      <c r="AF2" s="7"/>
      <c r="AG2" s="910">
        <f>SUMPRODUCT($AG4:$AG779,$K4:$K779)/SUM($K4:$K779)</f>
        <v>79.8170547</v>
      </c>
      <c r="AH2" s="7">
        <f>SUM(AH4:AH779)</f>
        <v>4888.941127</v>
      </c>
      <c r="AI2" s="606">
        <v>2657.0</v>
      </c>
      <c r="AJ2" s="125"/>
      <c r="AK2" s="11"/>
      <c r="AL2" s="65"/>
      <c r="AM2" s="65"/>
    </row>
    <row r="3" ht="15.0" customHeight="1">
      <c r="A3" s="880" t="s">
        <v>5</v>
      </c>
      <c r="B3" s="880" t="s">
        <v>6</v>
      </c>
      <c r="C3" s="880" t="s">
        <v>7</v>
      </c>
      <c r="D3" s="880" t="s">
        <v>8</v>
      </c>
      <c r="E3" s="880" t="s">
        <v>4749</v>
      </c>
      <c r="F3" s="880" t="s">
        <v>10</v>
      </c>
      <c r="G3" s="881" t="s">
        <v>11</v>
      </c>
      <c r="H3" s="881"/>
      <c r="I3" s="911" t="s">
        <v>12</v>
      </c>
      <c r="J3" s="911" t="s">
        <v>13</v>
      </c>
      <c r="K3" s="880" t="s">
        <v>14</v>
      </c>
      <c r="L3" s="892" t="s">
        <v>15</v>
      </c>
      <c r="M3" s="887" t="s">
        <v>16</v>
      </c>
      <c r="N3" s="887" t="s">
        <v>17</v>
      </c>
      <c r="O3" s="881" t="s">
        <v>18</v>
      </c>
      <c r="P3" s="892" t="s">
        <v>19</v>
      </c>
      <c r="Q3" s="892" t="s">
        <v>20</v>
      </c>
      <c r="R3" s="892" t="s">
        <v>21</v>
      </c>
      <c r="S3" s="892" t="s">
        <v>22</v>
      </c>
      <c r="T3" s="890" t="s">
        <v>23</v>
      </c>
      <c r="U3" s="890" t="s">
        <v>24</v>
      </c>
      <c r="V3" s="891" t="s">
        <v>25</v>
      </c>
      <c r="W3" s="892" t="s">
        <v>26</v>
      </c>
      <c r="X3" s="892" t="s">
        <v>27</v>
      </c>
      <c r="Y3" s="892" t="s">
        <v>28</v>
      </c>
      <c r="Z3" s="881" t="s">
        <v>29</v>
      </c>
      <c r="AA3" s="881" t="s">
        <v>30</v>
      </c>
      <c r="AB3" s="893" t="s">
        <v>31</v>
      </c>
      <c r="AC3" s="894" t="s">
        <v>32</v>
      </c>
      <c r="AD3" s="895" t="s">
        <v>33</v>
      </c>
      <c r="AE3" s="895" t="s">
        <v>34</v>
      </c>
      <c r="AF3" s="895" t="s">
        <v>35</v>
      </c>
      <c r="AG3" s="912" t="s">
        <v>36</v>
      </c>
      <c r="AH3" s="913" t="s">
        <v>4750</v>
      </c>
      <c r="AI3" s="65">
        <f>SUMPRODUCT(K4:K779,AI4:AI779)/K2</f>
        <v>94.55992863</v>
      </c>
      <c r="AJ3" s="70">
        <f t="shared" ref="AJ3:AK3" si="1">SUM(AJ4:AJ779)</f>
        <v>4730.156496</v>
      </c>
      <c r="AK3" s="11">
        <f t="shared" si="1"/>
        <v>89.712818</v>
      </c>
      <c r="AL3" s="65">
        <f>SUM(AL4:AL76)</f>
        <v>289649.3425</v>
      </c>
      <c r="AM3" s="65"/>
    </row>
    <row r="4" ht="15.0" customHeight="1">
      <c r="A4" s="899"/>
      <c r="B4" s="900"/>
      <c r="C4" s="900"/>
      <c r="D4" s="900"/>
      <c r="E4" s="900"/>
      <c r="F4" s="900"/>
      <c r="G4" s="901"/>
      <c r="H4" s="901"/>
      <c r="I4" s="900"/>
      <c r="J4" s="900"/>
      <c r="K4" s="900"/>
      <c r="L4" s="901"/>
      <c r="M4" s="902"/>
      <c r="N4" s="902"/>
      <c r="O4" s="901"/>
      <c r="P4" s="901"/>
      <c r="Q4" s="901"/>
      <c r="R4" s="901"/>
      <c r="S4" s="901"/>
      <c r="T4" s="903"/>
      <c r="U4" s="903"/>
      <c r="V4" s="903"/>
      <c r="W4" s="901"/>
      <c r="X4" s="901"/>
      <c r="Y4" s="901"/>
      <c r="Z4" s="901"/>
      <c r="AA4" s="901"/>
      <c r="AB4" s="904"/>
      <c r="AC4" s="905"/>
      <c r="AD4" s="906"/>
      <c r="AE4" s="906"/>
      <c r="AF4" s="906"/>
      <c r="AG4" s="914"/>
      <c r="AH4" s="876"/>
      <c r="AI4" s="70"/>
      <c r="AJ4" s="134"/>
      <c r="AK4" s="53"/>
      <c r="AL4" s="70"/>
      <c r="AM4" s="70"/>
      <c r="AN4" s="67"/>
      <c r="AO4" s="67"/>
      <c r="AP4" s="67"/>
      <c r="AQ4" s="67"/>
      <c r="AR4" s="67"/>
      <c r="AS4" s="67"/>
      <c r="AT4" s="67"/>
    </row>
    <row r="5" ht="15.75" customHeight="1">
      <c r="A5" s="116" t="s">
        <v>4785</v>
      </c>
      <c r="B5" s="841">
        <v>45544.0</v>
      </c>
      <c r="C5" s="841">
        <v>45492.0</v>
      </c>
      <c r="D5" s="67" t="s">
        <v>602</v>
      </c>
      <c r="E5" s="915">
        <v>2.0169040231E10</v>
      </c>
      <c r="F5" s="67" t="s">
        <v>4786</v>
      </c>
      <c r="G5" s="916">
        <v>65.0</v>
      </c>
      <c r="H5" s="2" t="s">
        <v>47</v>
      </c>
      <c r="I5" s="59">
        <v>5.57</v>
      </c>
      <c r="J5" s="69">
        <v>0.25</v>
      </c>
      <c r="K5" s="59">
        <f t="shared" ref="K5:K76" si="2">+I5-(I5*(J5/100))</f>
        <v>5.556075</v>
      </c>
      <c r="L5" s="405">
        <v>0.41900000000000004</v>
      </c>
      <c r="M5" s="106">
        <v>0.38757500000000006</v>
      </c>
      <c r="N5" s="917">
        <v>0.445</v>
      </c>
      <c r="O5" s="106">
        <f t="shared" ref="O5:O6" si="3">+ROUND((M5+N5)/2,3)</f>
        <v>0.416</v>
      </c>
      <c r="P5" s="67">
        <v>90.0</v>
      </c>
      <c r="Q5" s="69">
        <v>89.37282343033107</v>
      </c>
      <c r="R5" s="70">
        <v>2501.85</v>
      </c>
      <c r="S5" s="134">
        <v>120.0</v>
      </c>
      <c r="T5" s="67"/>
      <c r="U5" s="67">
        <v>130.0</v>
      </c>
      <c r="V5" s="67">
        <v>1.1023</v>
      </c>
      <c r="W5" s="69">
        <v>5.8</v>
      </c>
      <c r="X5" s="69">
        <v>7.5</v>
      </c>
      <c r="Y5" s="67">
        <v>50.0</v>
      </c>
      <c r="Z5" s="69">
        <f t="shared" ref="Z5:Z26" si="4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76" si="5">+Y5+Z5</f>
        <v>80</v>
      </c>
      <c r="AB5" s="71">
        <f t="shared" ref="AB5:AB8" si="6">+((O5*P5*(R5-U5)/100)-S5-AA5+T5)*V5</f>
        <v>758.4051515</v>
      </c>
      <c r="AC5" s="71">
        <f>+(S5-T5)*V5-'data 1'!$F$4</f>
        <v>52.276</v>
      </c>
      <c r="AD5" s="71">
        <f t="shared" ref="AD5:AD76" si="7">+(Q5-P5)*(R5-U5)*L5*V5/100</f>
        <v>-6.870540054</v>
      </c>
      <c r="AE5" s="918">
        <f t="shared" ref="AE5:AE76" si="8">+(Y5*V5-70)+V5*(Z5-IF(D5="UNTUCA",IF(+((W5-3)*2.5+(X5-3)*3.1)&gt;0,+((W5-3)*1.5+(X5-3)*3.1),0),IF(+((W5-3)*1.5+(X5-3)*3.1)&gt;0,+((W5-3)*1.5+(X5-3)*3.1),0)))</f>
        <v>-1.822745</v>
      </c>
      <c r="AF5" s="71">
        <f t="shared" ref="AF5:AF76" si="9">(L5-O5)*(R5-U5)*Q5*V5/100</f>
        <v>7.009931278</v>
      </c>
      <c r="AG5" s="71">
        <f t="shared" ref="AG5:AG6" si="10">+AC5+AD5+AE5+AF5</f>
        <v>50.59264622</v>
      </c>
      <c r="AH5" s="71">
        <f t="shared" ref="AH5:AH76" si="11">31.1035*L5*Q5*1.1023*K5/100</f>
        <v>71.3340152</v>
      </c>
      <c r="AI5" s="69">
        <f t="shared" ref="AI5:AI76" si="12">+((+$AI$2-R5+U5)*L5*Q5*V5)/100</f>
        <v>117.7043964</v>
      </c>
      <c r="AJ5" s="69">
        <f t="shared" ref="AJ5:AJ76" si="13">31.1035*1.1023*K5*P5*O5/100</f>
        <v>71.32027497</v>
      </c>
      <c r="AK5" s="53">
        <f t="shared" ref="AK5:AK32" si="14">+AH5-AJ5</f>
        <v>0.01374023445</v>
      </c>
      <c r="AL5" s="70">
        <f t="shared" ref="AL5:AL76" si="15">+AB5*K5</f>
        <v>4213.755902</v>
      </c>
      <c r="AM5" s="70"/>
      <c r="AN5" s="67"/>
      <c r="AO5" s="67"/>
      <c r="AP5" s="70"/>
      <c r="AQ5" s="67"/>
      <c r="AR5" s="67"/>
      <c r="AS5" s="67"/>
      <c r="AT5" s="67"/>
    </row>
    <row r="6" ht="15.75" customHeight="1">
      <c r="A6" s="116" t="s">
        <v>4787</v>
      </c>
      <c r="B6" s="841">
        <v>45544.0</v>
      </c>
      <c r="C6" s="841">
        <v>45492.0</v>
      </c>
      <c r="D6" s="67" t="s">
        <v>602</v>
      </c>
      <c r="E6" s="915">
        <v>2.0169040231E10</v>
      </c>
      <c r="F6" s="67" t="s">
        <v>4786</v>
      </c>
      <c r="G6" s="916">
        <v>17.0</v>
      </c>
      <c r="H6" s="2" t="s">
        <v>47</v>
      </c>
      <c r="I6" s="59">
        <v>1.57</v>
      </c>
      <c r="J6" s="69">
        <v>0.3</v>
      </c>
      <c r="K6" s="59">
        <f t="shared" si="2"/>
        <v>1.56529</v>
      </c>
      <c r="L6" s="405">
        <v>0.359</v>
      </c>
      <c r="M6" s="106">
        <v>0.34463999999999995</v>
      </c>
      <c r="N6" s="917">
        <v>0.347</v>
      </c>
      <c r="O6" s="106">
        <f t="shared" si="3"/>
        <v>0.346</v>
      </c>
      <c r="P6" s="67">
        <v>90.0</v>
      </c>
      <c r="Q6" s="69">
        <v>89.58424530960718</v>
      </c>
      <c r="R6" s="70">
        <v>2501.85</v>
      </c>
      <c r="S6" s="134">
        <v>110.0</v>
      </c>
      <c r="T6" s="67"/>
      <c r="U6" s="67">
        <v>130.0</v>
      </c>
      <c r="V6" s="67">
        <v>1.1023</v>
      </c>
      <c r="W6" s="69">
        <v>5.8</v>
      </c>
      <c r="X6" s="69">
        <v>7.5</v>
      </c>
      <c r="Y6" s="67">
        <v>50.0</v>
      </c>
      <c r="Z6" s="69">
        <f t="shared" si="4"/>
        <v>30</v>
      </c>
      <c r="AA6" s="70">
        <f t="shared" si="5"/>
        <v>80</v>
      </c>
      <c r="AB6" s="71">
        <f t="shared" si="6"/>
        <v>604.7152654</v>
      </c>
      <c r="AC6" s="71">
        <f>+(S6-T6)*V6-'data 1'!$F$4</f>
        <v>41.253</v>
      </c>
      <c r="AD6" s="71">
        <f t="shared" si="7"/>
        <v>-3.902281846</v>
      </c>
      <c r="AE6" s="918">
        <f t="shared" si="8"/>
        <v>-1.822745</v>
      </c>
      <c r="AF6" s="71">
        <f t="shared" si="9"/>
        <v>30.44822773</v>
      </c>
      <c r="AG6" s="71">
        <f t="shared" si="10"/>
        <v>65.97620088</v>
      </c>
      <c r="AH6" s="71">
        <f t="shared" si="11"/>
        <v>17.25956985</v>
      </c>
      <c r="AI6" s="69">
        <f t="shared" si="12"/>
        <v>101.0879225</v>
      </c>
      <c r="AJ6" s="69">
        <f t="shared" si="13"/>
        <v>16.71177147</v>
      </c>
      <c r="AK6" s="53">
        <f t="shared" si="14"/>
        <v>0.5477983804</v>
      </c>
      <c r="AL6" s="70">
        <f t="shared" si="15"/>
        <v>946.5547578</v>
      </c>
      <c r="AM6" s="70"/>
      <c r="AN6" s="67"/>
      <c r="AO6" s="67"/>
      <c r="AP6" s="70"/>
      <c r="AQ6" s="67"/>
      <c r="AR6" s="67"/>
      <c r="AS6" s="67"/>
      <c r="AT6" s="67"/>
    </row>
    <row r="7" ht="15.75" customHeight="1">
      <c r="A7" s="116" t="s">
        <v>4788</v>
      </c>
      <c r="B7" s="919">
        <v>45537.0</v>
      </c>
      <c r="C7" s="919">
        <v>45531.0</v>
      </c>
      <c r="D7" s="920" t="s">
        <v>3842</v>
      </c>
      <c r="E7" s="920"/>
      <c r="F7" s="921" t="s">
        <v>4634</v>
      </c>
      <c r="G7" s="922">
        <v>22.0</v>
      </c>
      <c r="H7" s="920" t="s">
        <v>47</v>
      </c>
      <c r="I7" s="923">
        <v>1.97</v>
      </c>
      <c r="J7" s="923">
        <v>0.6</v>
      </c>
      <c r="K7" s="924">
        <f t="shared" si="2"/>
        <v>1.95818</v>
      </c>
      <c r="L7" s="925">
        <v>1.656</v>
      </c>
      <c r="M7" s="926">
        <v>1.589</v>
      </c>
      <c r="N7" s="927">
        <v>1.819</v>
      </c>
      <c r="O7" s="123">
        <v>1.71</v>
      </c>
      <c r="P7" s="928">
        <v>90.0</v>
      </c>
      <c r="Q7" s="920">
        <v>89.51</v>
      </c>
      <c r="R7" s="929">
        <v>2517.955</v>
      </c>
      <c r="S7" s="925">
        <v>220.0</v>
      </c>
      <c r="T7" s="920"/>
      <c r="U7" s="920">
        <v>100.0</v>
      </c>
      <c r="V7" s="920">
        <v>1.1023</v>
      </c>
      <c r="W7" s="923">
        <v>5.5</v>
      </c>
      <c r="X7" s="923">
        <v>9.85</v>
      </c>
      <c r="Y7" s="920"/>
      <c r="Z7" s="923">
        <f t="shared" si="4"/>
        <v>30</v>
      </c>
      <c r="AA7" s="929">
        <f t="shared" si="5"/>
        <v>30</v>
      </c>
      <c r="AB7" s="918">
        <f t="shared" si="6"/>
        <v>3826.339855</v>
      </c>
      <c r="AC7" s="918">
        <f>+(S7-T7)*V7-'data 1'!$F$4</f>
        <v>162.506</v>
      </c>
      <c r="AD7" s="918">
        <f t="shared" si="7"/>
        <v>-21.62740604</v>
      </c>
      <c r="AE7" s="918">
        <f t="shared" si="8"/>
        <v>-64.4719655</v>
      </c>
      <c r="AF7" s="918">
        <f t="shared" si="9"/>
        <v>-128.8289118</v>
      </c>
      <c r="AG7" s="930">
        <f t="shared" ref="AG7:AG8" si="16">+IF(D7="RONALD WILLIAN GARIBAY ESCUDERO",AC7+AD7+AE7+AF7+80,AC7+AD7+AE7+AF7)+90-70-10</f>
        <v>-42.42228335</v>
      </c>
      <c r="AH7" s="918">
        <f t="shared" si="11"/>
        <v>99.51615077</v>
      </c>
      <c r="AI7" s="923">
        <f t="shared" si="12"/>
        <v>390.5812232</v>
      </c>
      <c r="AJ7" s="923">
        <f t="shared" si="13"/>
        <v>103.3237832</v>
      </c>
      <c r="AK7" s="931">
        <f t="shared" si="14"/>
        <v>-3.807632471</v>
      </c>
      <c r="AL7" s="70">
        <f t="shared" si="15"/>
        <v>7492.662177</v>
      </c>
      <c r="AM7" s="929"/>
      <c r="AN7" s="920"/>
      <c r="AO7" s="920"/>
      <c r="AP7" s="920"/>
      <c r="AQ7" s="920"/>
      <c r="AR7" s="920"/>
      <c r="AS7" s="920"/>
      <c r="AT7" s="920"/>
    </row>
    <row r="8" ht="15.75" customHeight="1">
      <c r="A8" s="116" t="s">
        <v>4789</v>
      </c>
      <c r="B8" s="919">
        <v>45537.0</v>
      </c>
      <c r="C8" s="919">
        <v>45531.0</v>
      </c>
      <c r="D8" s="920" t="s">
        <v>3842</v>
      </c>
      <c r="E8" s="920"/>
      <c r="F8" s="921" t="s">
        <v>4634</v>
      </c>
      <c r="G8" s="922">
        <v>28.0</v>
      </c>
      <c r="H8" s="920" t="s">
        <v>47</v>
      </c>
      <c r="I8" s="923">
        <v>3.02</v>
      </c>
      <c r="J8" s="923">
        <v>0.7</v>
      </c>
      <c r="K8" s="924">
        <f t="shared" si="2"/>
        <v>2.99886</v>
      </c>
      <c r="L8" s="925">
        <v>1.831</v>
      </c>
      <c r="M8" s="926">
        <v>1.757</v>
      </c>
      <c r="N8" s="927">
        <v>1.894</v>
      </c>
      <c r="O8" s="123">
        <v>1.912</v>
      </c>
      <c r="P8" s="928">
        <v>90.0</v>
      </c>
      <c r="Q8" s="920">
        <v>89.75</v>
      </c>
      <c r="R8" s="929">
        <v>2517.955</v>
      </c>
      <c r="S8" s="925">
        <v>240.0</v>
      </c>
      <c r="T8" s="920"/>
      <c r="U8" s="920">
        <v>100.0</v>
      </c>
      <c r="V8" s="920">
        <v>1.1023</v>
      </c>
      <c r="W8" s="923">
        <v>5.5</v>
      </c>
      <c r="X8" s="923">
        <v>9.8</v>
      </c>
      <c r="Y8" s="920"/>
      <c r="Z8" s="923">
        <f t="shared" si="4"/>
        <v>30</v>
      </c>
      <c r="AA8" s="929">
        <f t="shared" si="5"/>
        <v>30</v>
      </c>
      <c r="AB8" s="918">
        <f t="shared" si="6"/>
        <v>4288.847539</v>
      </c>
      <c r="AC8" s="918">
        <f>+(S8-T8)*V8-'data 1'!$F$4</f>
        <v>184.552</v>
      </c>
      <c r="AD8" s="918">
        <f t="shared" si="7"/>
        <v>-12.20046475</v>
      </c>
      <c r="AE8" s="918">
        <f t="shared" si="8"/>
        <v>-64.301109</v>
      </c>
      <c r="AF8" s="918">
        <f t="shared" si="9"/>
        <v>-193.7615043</v>
      </c>
      <c r="AG8" s="930">
        <f t="shared" si="16"/>
        <v>-75.71107807</v>
      </c>
      <c r="AH8" s="918">
        <f t="shared" si="11"/>
        <v>168.961619</v>
      </c>
      <c r="AI8" s="923">
        <f t="shared" si="12"/>
        <v>433.0143342</v>
      </c>
      <c r="AJ8" s="923">
        <f t="shared" si="13"/>
        <v>176.9276292</v>
      </c>
      <c r="AK8" s="931">
        <f t="shared" si="14"/>
        <v>-7.966010223</v>
      </c>
      <c r="AL8" s="70">
        <f t="shared" si="15"/>
        <v>12861.65333</v>
      </c>
      <c r="AM8" s="929"/>
      <c r="AN8" s="920"/>
      <c r="AO8" s="920"/>
      <c r="AP8" s="920"/>
      <c r="AQ8" s="920"/>
      <c r="AR8" s="920"/>
      <c r="AS8" s="920"/>
      <c r="AT8" s="920"/>
    </row>
    <row r="9" ht="15.75" customHeight="1">
      <c r="A9" s="202" t="s">
        <v>4790</v>
      </c>
      <c r="B9" s="932"/>
      <c r="C9" s="932">
        <v>45536.0</v>
      </c>
      <c r="D9" s="68" t="s">
        <v>4466</v>
      </c>
      <c r="E9" s="68">
        <v>2.0606534923E10</v>
      </c>
      <c r="F9" s="68" t="s">
        <v>4791</v>
      </c>
      <c r="G9" s="143">
        <v>15.0</v>
      </c>
      <c r="H9" s="68" t="s">
        <v>47</v>
      </c>
      <c r="I9" s="68">
        <v>1.24</v>
      </c>
      <c r="J9" s="130">
        <v>5.1</v>
      </c>
      <c r="K9" s="145">
        <f t="shared" si="2"/>
        <v>1.17676</v>
      </c>
      <c r="L9" s="61">
        <v>0.013000000000000001</v>
      </c>
      <c r="M9" s="61">
        <v>0.01248</v>
      </c>
      <c r="N9" s="114">
        <v>0.01248</v>
      </c>
      <c r="O9" s="61">
        <f t="shared" ref="O9:O19" si="17">+ROUND((M9+N9)/2,3)</f>
        <v>0.012</v>
      </c>
      <c r="P9" s="201">
        <v>90.0</v>
      </c>
      <c r="Q9" s="130">
        <v>81.23</v>
      </c>
      <c r="R9" s="433">
        <v>2499.42</v>
      </c>
      <c r="S9" s="143"/>
      <c r="T9" s="68"/>
      <c r="U9" s="68">
        <v>130.0</v>
      </c>
      <c r="V9" s="68">
        <v>1.1023</v>
      </c>
      <c r="W9" s="130">
        <v>5.0</v>
      </c>
      <c r="X9" s="130">
        <v>6.6</v>
      </c>
      <c r="Y9" s="68">
        <v>50.0</v>
      </c>
      <c r="Z9" s="130">
        <f t="shared" si="4"/>
        <v>30</v>
      </c>
      <c r="AA9" s="433">
        <f t="shared" si="5"/>
        <v>80</v>
      </c>
      <c r="AB9" s="108"/>
      <c r="AC9" s="108">
        <f>+(S9-T9)*V9-'data 1'!$F$4</f>
        <v>-80</v>
      </c>
      <c r="AD9" s="108">
        <f t="shared" si="7"/>
        <v>-2.97772648</v>
      </c>
      <c r="AE9" s="918">
        <f t="shared" si="8"/>
        <v>2.575432</v>
      </c>
      <c r="AF9" s="108">
        <f t="shared" si="9"/>
        <v>2.121574616</v>
      </c>
      <c r="AG9" s="108"/>
      <c r="AH9" s="108">
        <f t="shared" si="11"/>
        <v>0.4260462749</v>
      </c>
      <c r="AI9" s="130">
        <f t="shared" si="12"/>
        <v>3.347482323</v>
      </c>
      <c r="AJ9" s="130">
        <f t="shared" si="13"/>
        <v>0.435733271</v>
      </c>
      <c r="AK9" s="933">
        <f t="shared" si="14"/>
        <v>-0.009686996145</v>
      </c>
      <c r="AL9" s="70">
        <f t="shared" si="15"/>
        <v>0</v>
      </c>
      <c r="AM9" s="433"/>
      <c r="AN9" s="68"/>
      <c r="AO9" s="68"/>
      <c r="AP9" s="68"/>
      <c r="AQ9" s="68"/>
      <c r="AR9" s="68"/>
      <c r="AS9" s="68"/>
      <c r="AT9" s="68"/>
    </row>
    <row r="10" ht="15.75" customHeight="1">
      <c r="A10" s="202" t="s">
        <v>4792</v>
      </c>
      <c r="B10" s="932"/>
      <c r="C10" s="932">
        <v>45536.0</v>
      </c>
      <c r="D10" s="68" t="s">
        <v>4466</v>
      </c>
      <c r="E10" s="68"/>
      <c r="F10" s="68" t="s">
        <v>4791</v>
      </c>
      <c r="G10" s="143">
        <v>15.0</v>
      </c>
      <c r="H10" s="68" t="s">
        <v>47</v>
      </c>
      <c r="I10" s="68">
        <v>1.25</v>
      </c>
      <c r="J10" s="130">
        <v>4.85</v>
      </c>
      <c r="K10" s="145">
        <f t="shared" si="2"/>
        <v>1.189375</v>
      </c>
      <c r="L10" s="61">
        <v>0.0085</v>
      </c>
      <c r="M10" s="61">
        <v>0.00816</v>
      </c>
      <c r="N10" s="114">
        <v>0.00816</v>
      </c>
      <c r="O10" s="61">
        <f t="shared" si="17"/>
        <v>0.008</v>
      </c>
      <c r="P10" s="201">
        <v>90.0</v>
      </c>
      <c r="Q10" s="130">
        <v>81.11</v>
      </c>
      <c r="R10" s="433">
        <v>2499.42</v>
      </c>
      <c r="S10" s="143"/>
      <c r="T10" s="68"/>
      <c r="U10" s="68">
        <v>130.0</v>
      </c>
      <c r="V10" s="68">
        <v>1.1023</v>
      </c>
      <c r="W10" s="130">
        <v>5.0</v>
      </c>
      <c r="X10" s="130">
        <v>6.6</v>
      </c>
      <c r="Y10" s="68">
        <v>50.0</v>
      </c>
      <c r="Z10" s="130">
        <f t="shared" si="4"/>
        <v>30</v>
      </c>
      <c r="AA10" s="433">
        <f t="shared" si="5"/>
        <v>80</v>
      </c>
      <c r="AB10" s="108"/>
      <c r="AC10" s="108">
        <f>+(S10-T10)*V10-'data 1'!$F$4</f>
        <v>-80</v>
      </c>
      <c r="AD10" s="108">
        <f t="shared" si="7"/>
        <v>-1.973615485</v>
      </c>
      <c r="AE10" s="918">
        <f t="shared" si="8"/>
        <v>2.575432</v>
      </c>
      <c r="AF10" s="108">
        <f t="shared" si="9"/>
        <v>1.059220221</v>
      </c>
      <c r="AG10" s="108"/>
      <c r="AH10" s="108">
        <f t="shared" si="11"/>
        <v>0.2811390688</v>
      </c>
      <c r="AI10" s="130">
        <f t="shared" si="12"/>
        <v>2.185505048</v>
      </c>
      <c r="AJ10" s="130">
        <f t="shared" si="13"/>
        <v>0.2936029206</v>
      </c>
      <c r="AK10" s="933">
        <f t="shared" si="14"/>
        <v>-0.01246385176</v>
      </c>
      <c r="AL10" s="70">
        <f t="shared" si="15"/>
        <v>0</v>
      </c>
      <c r="AM10" s="433"/>
      <c r="AN10" s="68"/>
      <c r="AO10" s="68"/>
      <c r="AP10" s="68"/>
      <c r="AQ10" s="68"/>
      <c r="AR10" s="68"/>
      <c r="AS10" s="68"/>
      <c r="AT10" s="68"/>
    </row>
    <row r="11" ht="15.75" customHeight="1">
      <c r="A11" s="116" t="s">
        <v>4793</v>
      </c>
      <c r="B11" s="841">
        <v>45540.0</v>
      </c>
      <c r="C11" s="870">
        <v>45536.0</v>
      </c>
      <c r="D11" s="2" t="s">
        <v>4466</v>
      </c>
      <c r="F11" s="2" t="s">
        <v>4794</v>
      </c>
      <c r="G11" s="3">
        <v>20.0</v>
      </c>
      <c r="H11" s="2" t="s">
        <v>47</v>
      </c>
      <c r="I11" s="2">
        <v>1.79</v>
      </c>
      <c r="J11" s="58">
        <v>1.0</v>
      </c>
      <c r="K11" s="59">
        <f t="shared" si="2"/>
        <v>1.7721</v>
      </c>
      <c r="L11" s="60">
        <v>0.429</v>
      </c>
      <c r="M11" s="60">
        <v>0.41184</v>
      </c>
      <c r="N11" s="62">
        <v>0.41184</v>
      </c>
      <c r="O11" s="106">
        <f t="shared" si="17"/>
        <v>0.412</v>
      </c>
      <c r="P11" s="63">
        <v>90.0</v>
      </c>
      <c r="Q11" s="58">
        <v>89.16</v>
      </c>
      <c r="R11" s="65">
        <v>2499.42</v>
      </c>
      <c r="S11" s="3">
        <v>130.0</v>
      </c>
      <c r="U11" s="2">
        <v>130.0</v>
      </c>
      <c r="V11" s="67">
        <v>1.1023</v>
      </c>
      <c r="W11" s="58">
        <v>5.0</v>
      </c>
      <c r="X11" s="58">
        <v>6.6</v>
      </c>
      <c r="Y11" s="2">
        <v>30.0</v>
      </c>
      <c r="Z11" s="69">
        <f t="shared" si="4"/>
        <v>30</v>
      </c>
      <c r="AA11" s="70">
        <f t="shared" si="5"/>
        <v>60</v>
      </c>
      <c r="AB11" s="71">
        <f t="shared" ref="AB11:AB38" si="18">+((O11*P11*(R11-U11)/100)-S11-AA11+T11)*V11</f>
        <v>759.0227658</v>
      </c>
      <c r="AC11" s="71">
        <f>+(S11-T11)*V11-'data 1'!$F$4</f>
        <v>63.299</v>
      </c>
      <c r="AD11" s="71">
        <f t="shared" si="7"/>
        <v>-9.41192452</v>
      </c>
      <c r="AE11" s="918">
        <f t="shared" si="8"/>
        <v>-19.470568</v>
      </c>
      <c r="AF11" s="71">
        <f t="shared" si="9"/>
        <v>39.58775178</v>
      </c>
      <c r="AG11" s="71">
        <f t="shared" ref="AG11:AG32" si="19">+IF(D11="RONALD WILLIAN GARIBAY ESCUDERO",AC11+AD11+AE11+AF11+80,AC11+AD11+AE11+AF11)</f>
        <v>74.00425926</v>
      </c>
      <c r="AH11" s="71">
        <f t="shared" si="11"/>
        <v>23.23938586</v>
      </c>
      <c r="AI11" s="58">
        <f t="shared" si="12"/>
        <v>121.2511423</v>
      </c>
      <c r="AJ11" s="58">
        <f t="shared" si="13"/>
        <v>22.52874609</v>
      </c>
      <c r="AK11" s="11">
        <f t="shared" si="14"/>
        <v>0.7106397674</v>
      </c>
      <c r="AL11" s="70">
        <f t="shared" si="15"/>
        <v>1345.064243</v>
      </c>
      <c r="AM11" s="65"/>
    </row>
    <row r="12" ht="15.75" customHeight="1">
      <c r="A12" s="116" t="s">
        <v>4795</v>
      </c>
      <c r="B12" s="841">
        <v>45539.0</v>
      </c>
      <c r="C12" s="841">
        <v>45536.0</v>
      </c>
      <c r="D12" s="67" t="s">
        <v>602</v>
      </c>
      <c r="E12" s="67">
        <v>2.0169040231E10</v>
      </c>
      <c r="F12" s="67" t="s">
        <v>4796</v>
      </c>
      <c r="G12" s="134">
        <v>13.0</v>
      </c>
      <c r="H12" s="67" t="s">
        <v>47</v>
      </c>
      <c r="I12" s="67">
        <v>1.16</v>
      </c>
      <c r="J12" s="69">
        <v>0.2</v>
      </c>
      <c r="K12" s="59">
        <f t="shared" si="2"/>
        <v>1.15768</v>
      </c>
      <c r="L12" s="106">
        <v>0.387</v>
      </c>
      <c r="M12" s="106">
        <v>0.37152</v>
      </c>
      <c r="N12" s="135">
        <v>0.37152</v>
      </c>
      <c r="O12" s="106">
        <f t="shared" si="17"/>
        <v>0.372</v>
      </c>
      <c r="P12" s="136">
        <v>90.0</v>
      </c>
      <c r="Q12" s="69">
        <v>89.36</v>
      </c>
      <c r="R12" s="70">
        <v>2499.42</v>
      </c>
      <c r="S12" s="134">
        <v>120.0</v>
      </c>
      <c r="T12" s="67"/>
      <c r="U12" s="67">
        <v>130.0</v>
      </c>
      <c r="V12" s="67">
        <v>1.1023</v>
      </c>
      <c r="W12" s="69">
        <v>5.0</v>
      </c>
      <c r="X12" s="69">
        <v>6.6</v>
      </c>
      <c r="Y12" s="67">
        <v>30.0</v>
      </c>
      <c r="Z12" s="69">
        <f t="shared" si="4"/>
        <v>30</v>
      </c>
      <c r="AA12" s="70">
        <f t="shared" si="5"/>
        <v>60</v>
      </c>
      <c r="AB12" s="71">
        <f t="shared" si="18"/>
        <v>676.0205458</v>
      </c>
      <c r="AC12" s="71">
        <f>+(S12-T12)*V12-'data 1'!$F$4</f>
        <v>52.276</v>
      </c>
      <c r="AD12" s="71">
        <f t="shared" si="7"/>
        <v>-6.468935134</v>
      </c>
      <c r="AE12" s="918">
        <f t="shared" si="8"/>
        <v>-19.470568</v>
      </c>
      <c r="AF12" s="71">
        <f t="shared" si="9"/>
        <v>35.00872357</v>
      </c>
      <c r="AG12" s="71">
        <f t="shared" si="19"/>
        <v>61.34522044</v>
      </c>
      <c r="AH12" s="71">
        <f t="shared" si="11"/>
        <v>13.72624432</v>
      </c>
      <c r="AI12" s="69">
        <f t="shared" si="12"/>
        <v>109.6257587</v>
      </c>
      <c r="AJ12" s="69">
        <f t="shared" si="13"/>
        <v>13.28871689</v>
      </c>
      <c r="AK12" s="53">
        <f t="shared" si="14"/>
        <v>0.4375274314</v>
      </c>
      <c r="AL12" s="70">
        <f t="shared" si="15"/>
        <v>782.6154654</v>
      </c>
      <c r="AM12" s="70"/>
      <c r="AN12" s="67"/>
      <c r="AO12" s="67"/>
      <c r="AP12" s="67"/>
      <c r="AQ12" s="67"/>
      <c r="AR12" s="67"/>
      <c r="AS12" s="67"/>
      <c r="AT12" s="67"/>
    </row>
    <row r="13" ht="15.75" customHeight="1">
      <c r="A13" s="116" t="s">
        <v>4797</v>
      </c>
      <c r="B13" s="841">
        <v>45539.0</v>
      </c>
      <c r="C13" s="841">
        <v>45536.0</v>
      </c>
      <c r="D13" s="67" t="s">
        <v>602</v>
      </c>
      <c r="E13" s="67">
        <v>2.0169040231E10</v>
      </c>
      <c r="F13" s="67" t="s">
        <v>4796</v>
      </c>
      <c r="G13" s="134">
        <v>100.0</v>
      </c>
      <c r="H13" s="67" t="s">
        <v>47</v>
      </c>
      <c r="I13" s="67">
        <v>8.82</v>
      </c>
      <c r="J13" s="69">
        <v>0.3</v>
      </c>
      <c r="K13" s="59">
        <f t="shared" si="2"/>
        <v>8.79354</v>
      </c>
      <c r="L13" s="106">
        <v>0.4165</v>
      </c>
      <c r="M13" s="106">
        <v>0.37485</v>
      </c>
      <c r="N13" s="135">
        <v>0.37485</v>
      </c>
      <c r="O13" s="106">
        <f t="shared" si="17"/>
        <v>0.375</v>
      </c>
      <c r="P13" s="136">
        <v>90.0</v>
      </c>
      <c r="Q13" s="69">
        <v>89.3</v>
      </c>
      <c r="R13" s="70">
        <v>2499.42</v>
      </c>
      <c r="S13" s="134">
        <v>120.0</v>
      </c>
      <c r="T13" s="67"/>
      <c r="U13" s="67">
        <v>130.0</v>
      </c>
      <c r="V13" s="67">
        <v>1.1023</v>
      </c>
      <c r="W13" s="69">
        <v>5.0</v>
      </c>
      <c r="X13" s="69">
        <v>6.6</v>
      </c>
      <c r="Y13" s="67">
        <v>30.0</v>
      </c>
      <c r="Z13" s="69">
        <f t="shared" si="4"/>
        <v>30</v>
      </c>
      <c r="AA13" s="70">
        <f t="shared" si="5"/>
        <v>60</v>
      </c>
      <c r="AB13" s="71">
        <f t="shared" si="18"/>
        <v>683.0724373</v>
      </c>
      <c r="AC13" s="71">
        <f>+(S13-T13)*V13-'data 1'!$F$4</f>
        <v>52.276</v>
      </c>
      <c r="AD13" s="71">
        <f t="shared" si="7"/>
        <v>-7.614736912</v>
      </c>
      <c r="AE13" s="918">
        <f t="shared" si="8"/>
        <v>-19.470568</v>
      </c>
      <c r="AF13" s="71">
        <f t="shared" si="9"/>
        <v>96.79243444</v>
      </c>
      <c r="AG13" s="71">
        <f t="shared" si="19"/>
        <v>121.9831295</v>
      </c>
      <c r="AH13" s="71">
        <f t="shared" si="11"/>
        <v>112.1345068</v>
      </c>
      <c r="AI13" s="69">
        <f t="shared" si="12"/>
        <v>117.903026</v>
      </c>
      <c r="AJ13" s="69">
        <f t="shared" si="13"/>
        <v>101.7528518</v>
      </c>
      <c r="AK13" s="53">
        <f t="shared" si="14"/>
        <v>10.38165504</v>
      </c>
      <c r="AL13" s="70">
        <f t="shared" si="15"/>
        <v>6006.6248</v>
      </c>
      <c r="AM13" s="70"/>
      <c r="AN13" s="67"/>
      <c r="AO13" s="67"/>
      <c r="AP13" s="67"/>
      <c r="AQ13" s="67"/>
      <c r="AR13" s="67"/>
      <c r="AS13" s="67"/>
      <c r="AT13" s="67"/>
    </row>
    <row r="14" ht="15.75" customHeight="1">
      <c r="A14" s="116" t="s">
        <v>4798</v>
      </c>
      <c r="B14" s="841">
        <v>45544.0</v>
      </c>
      <c r="C14" s="841">
        <v>45536.0</v>
      </c>
      <c r="D14" s="67" t="s">
        <v>602</v>
      </c>
      <c r="E14" s="67">
        <v>2.0169040231E10</v>
      </c>
      <c r="F14" s="67" t="s">
        <v>4659</v>
      </c>
      <c r="G14" s="134">
        <v>47.0</v>
      </c>
      <c r="H14" s="67" t="s">
        <v>47</v>
      </c>
      <c r="I14" s="67">
        <v>4.37</v>
      </c>
      <c r="J14" s="69">
        <v>0.4</v>
      </c>
      <c r="K14" s="59">
        <f t="shared" si="2"/>
        <v>4.35252</v>
      </c>
      <c r="L14" s="106">
        <v>1.859</v>
      </c>
      <c r="M14" s="106">
        <v>1.785</v>
      </c>
      <c r="N14" s="111">
        <v>1.885</v>
      </c>
      <c r="O14" s="106">
        <f t="shared" si="17"/>
        <v>1.835</v>
      </c>
      <c r="P14" s="136">
        <v>90.0</v>
      </c>
      <c r="Q14" s="69">
        <v>89.25</v>
      </c>
      <c r="R14" s="70">
        <v>2499.42</v>
      </c>
      <c r="S14" s="134">
        <v>250.0</v>
      </c>
      <c r="T14" s="67"/>
      <c r="U14" s="67">
        <v>130.0</v>
      </c>
      <c r="V14" s="67">
        <v>1.1023</v>
      </c>
      <c r="W14" s="69">
        <v>5.0</v>
      </c>
      <c r="X14" s="69">
        <v>6.6</v>
      </c>
      <c r="Y14" s="67">
        <v>50.0</v>
      </c>
      <c r="Z14" s="69">
        <f t="shared" si="4"/>
        <v>30</v>
      </c>
      <c r="AA14" s="70">
        <f t="shared" si="5"/>
        <v>80</v>
      </c>
      <c r="AB14" s="71">
        <f t="shared" si="18"/>
        <v>3949.647966</v>
      </c>
      <c r="AC14" s="71">
        <f>+(S14-T14)*V14-'data 1'!$F$4</f>
        <v>195.575</v>
      </c>
      <c r="AD14" s="71">
        <f t="shared" si="7"/>
        <v>-36.41518415</v>
      </c>
      <c r="AE14" s="918">
        <f t="shared" si="8"/>
        <v>2.575432</v>
      </c>
      <c r="AF14" s="71">
        <f t="shared" si="9"/>
        <v>55.94500589</v>
      </c>
      <c r="AG14" s="71">
        <f t="shared" si="19"/>
        <v>217.6802537</v>
      </c>
      <c r="AH14" s="71">
        <f t="shared" si="11"/>
        <v>247.5924853</v>
      </c>
      <c r="AI14" s="69">
        <f t="shared" si="12"/>
        <v>525.9519884</v>
      </c>
      <c r="AJ14" s="69">
        <f t="shared" si="13"/>
        <v>246.4497731</v>
      </c>
      <c r="AK14" s="53">
        <f t="shared" si="14"/>
        <v>1.142712163</v>
      </c>
      <c r="AL14" s="70">
        <f t="shared" si="15"/>
        <v>17190.92177</v>
      </c>
      <c r="AM14" s="70"/>
      <c r="AN14" s="67"/>
      <c r="AO14" s="67"/>
      <c r="AP14" s="67"/>
      <c r="AQ14" s="67"/>
      <c r="AR14" s="67"/>
      <c r="AS14" s="67"/>
      <c r="AT14" s="67"/>
    </row>
    <row r="15" ht="15.75" customHeight="1">
      <c r="A15" s="116" t="s">
        <v>4799</v>
      </c>
      <c r="B15" s="841">
        <v>45544.0</v>
      </c>
      <c r="C15" s="841">
        <v>45536.0</v>
      </c>
      <c r="D15" s="67" t="s">
        <v>602</v>
      </c>
      <c r="E15" s="67">
        <v>2.0169040231E10</v>
      </c>
      <c r="F15" s="67" t="s">
        <v>4659</v>
      </c>
      <c r="G15" s="134">
        <v>47.0</v>
      </c>
      <c r="H15" s="67" t="s">
        <v>47</v>
      </c>
      <c r="I15" s="67">
        <v>4.46</v>
      </c>
      <c r="J15" s="69">
        <v>0.45</v>
      </c>
      <c r="K15" s="59">
        <f t="shared" si="2"/>
        <v>4.43993</v>
      </c>
      <c r="L15" s="106">
        <v>1.198</v>
      </c>
      <c r="M15" s="106">
        <v>1.138</v>
      </c>
      <c r="N15" s="111">
        <v>1.179</v>
      </c>
      <c r="O15" s="106">
        <f t="shared" si="17"/>
        <v>1.159</v>
      </c>
      <c r="P15" s="136">
        <v>90.0</v>
      </c>
      <c r="Q15" s="69">
        <v>89.27</v>
      </c>
      <c r="R15" s="70">
        <v>2499.42</v>
      </c>
      <c r="S15" s="134">
        <v>190.0</v>
      </c>
      <c r="T15" s="67"/>
      <c r="U15" s="67">
        <v>130.0</v>
      </c>
      <c r="V15" s="67">
        <v>1.1023</v>
      </c>
      <c r="W15" s="69">
        <v>5.0</v>
      </c>
      <c r="X15" s="69">
        <v>6.6</v>
      </c>
      <c r="Y15" s="67">
        <v>50.0</v>
      </c>
      <c r="Z15" s="69">
        <f t="shared" si="4"/>
        <v>30</v>
      </c>
      <c r="AA15" s="70">
        <f t="shared" si="5"/>
        <v>80</v>
      </c>
      <c r="AB15" s="71">
        <f t="shared" si="18"/>
        <v>2426.759749</v>
      </c>
      <c r="AC15" s="71">
        <f>+(S15-T15)*V15-'data 1'!$F$4</f>
        <v>129.437</v>
      </c>
      <c r="AD15" s="71">
        <f t="shared" si="7"/>
        <v>-22.84133774</v>
      </c>
      <c r="AE15" s="918">
        <f t="shared" si="8"/>
        <v>2.575432</v>
      </c>
      <c r="AF15" s="71">
        <f t="shared" si="9"/>
        <v>90.9310067</v>
      </c>
      <c r="AG15" s="71">
        <f t="shared" si="19"/>
        <v>200.102101</v>
      </c>
      <c r="AH15" s="71">
        <f t="shared" si="11"/>
        <v>162.7974302</v>
      </c>
      <c r="AI15" s="69">
        <f t="shared" si="12"/>
        <v>339.0165029</v>
      </c>
      <c r="AJ15" s="69">
        <f t="shared" si="13"/>
        <v>158.7856085</v>
      </c>
      <c r="AK15" s="53">
        <f t="shared" si="14"/>
        <v>4.011821684</v>
      </c>
      <c r="AL15" s="70">
        <f t="shared" si="15"/>
        <v>10774.64341</v>
      </c>
      <c r="AM15" s="70"/>
      <c r="AN15" s="67"/>
      <c r="AO15" s="67"/>
      <c r="AP15" s="67"/>
      <c r="AQ15" s="67"/>
      <c r="AR15" s="67"/>
      <c r="AS15" s="67"/>
      <c r="AT15" s="67"/>
    </row>
    <row r="16" ht="15.75" customHeight="1">
      <c r="A16" s="116" t="s">
        <v>4800</v>
      </c>
      <c r="B16" s="841">
        <v>45544.0</v>
      </c>
      <c r="C16" s="870">
        <v>45536.0</v>
      </c>
      <c r="D16" s="2" t="s">
        <v>602</v>
      </c>
      <c r="E16" s="2">
        <v>2.0169040231E10</v>
      </c>
      <c r="F16" s="2" t="s">
        <v>4670</v>
      </c>
      <c r="G16" s="3">
        <v>60.0</v>
      </c>
      <c r="H16" s="2" t="s">
        <v>47</v>
      </c>
      <c r="I16" s="2">
        <v>5.18</v>
      </c>
      <c r="J16" s="58">
        <v>0.3</v>
      </c>
      <c r="K16" s="59">
        <f t="shared" si="2"/>
        <v>5.16446</v>
      </c>
      <c r="L16" s="60">
        <v>0.196</v>
      </c>
      <c r="M16" s="60">
        <v>0.184</v>
      </c>
      <c r="N16" s="75">
        <v>0.202</v>
      </c>
      <c r="O16" s="106">
        <f t="shared" si="17"/>
        <v>0.193</v>
      </c>
      <c r="P16" s="63">
        <v>90.0</v>
      </c>
      <c r="Q16" s="58">
        <v>89.68</v>
      </c>
      <c r="R16" s="65">
        <v>2499.42</v>
      </c>
      <c r="S16" s="3">
        <v>110.0</v>
      </c>
      <c r="U16" s="2">
        <v>130.0</v>
      </c>
      <c r="V16" s="67">
        <v>1.1023</v>
      </c>
      <c r="W16" s="58">
        <v>5.0</v>
      </c>
      <c r="X16" s="58">
        <v>6.6</v>
      </c>
      <c r="Y16" s="2">
        <v>40.0</v>
      </c>
      <c r="Z16" s="69">
        <f t="shared" si="4"/>
        <v>30</v>
      </c>
      <c r="AA16" s="70">
        <f t="shared" si="5"/>
        <v>70</v>
      </c>
      <c r="AB16" s="71">
        <f t="shared" si="18"/>
        <v>255.2576864</v>
      </c>
      <c r="AC16" s="71">
        <f>+(S16-T16)*V16-'data 1'!$F$4</f>
        <v>41.253</v>
      </c>
      <c r="AD16" s="71">
        <f t="shared" si="7"/>
        <v>-1.638128277</v>
      </c>
      <c r="AE16" s="918">
        <f t="shared" si="8"/>
        <v>-8.447568</v>
      </c>
      <c r="AF16" s="71">
        <f t="shared" si="9"/>
        <v>7.026818106</v>
      </c>
      <c r="AG16" s="71">
        <f t="shared" si="19"/>
        <v>38.19412183</v>
      </c>
      <c r="AH16" s="71">
        <f t="shared" si="11"/>
        <v>31.12330138</v>
      </c>
      <c r="AI16" s="58">
        <f t="shared" si="12"/>
        <v>55.71987811</v>
      </c>
      <c r="AJ16" s="58">
        <f t="shared" si="13"/>
        <v>30.75627998</v>
      </c>
      <c r="AK16" s="11">
        <f t="shared" si="14"/>
        <v>0.3670213998</v>
      </c>
      <c r="AL16" s="70">
        <f t="shared" si="15"/>
        <v>1318.268111</v>
      </c>
      <c r="AM16" s="65"/>
    </row>
    <row r="17" ht="15.75" customHeight="1">
      <c r="A17" s="116" t="s">
        <v>4801</v>
      </c>
      <c r="B17" s="841">
        <v>45544.0</v>
      </c>
      <c r="C17" s="870">
        <v>45537.0</v>
      </c>
      <c r="D17" s="2" t="s">
        <v>602</v>
      </c>
      <c r="E17" s="2">
        <v>2.0169040231E10</v>
      </c>
      <c r="F17" s="67" t="s">
        <v>4802</v>
      </c>
      <c r="G17" s="134">
        <v>90.0</v>
      </c>
      <c r="H17" s="2" t="s">
        <v>47</v>
      </c>
      <c r="I17" s="58">
        <v>8.13</v>
      </c>
      <c r="J17" s="58">
        <v>0.5</v>
      </c>
      <c r="K17" s="59">
        <f t="shared" si="2"/>
        <v>8.08935</v>
      </c>
      <c r="L17" s="60">
        <v>0.411</v>
      </c>
      <c r="M17" s="60">
        <v>0.386</v>
      </c>
      <c r="N17" s="62">
        <v>0.386</v>
      </c>
      <c r="O17" s="106">
        <f t="shared" si="17"/>
        <v>0.386</v>
      </c>
      <c r="P17" s="934">
        <v>90.0</v>
      </c>
      <c r="Q17" s="69">
        <v>90.03690100256142</v>
      </c>
      <c r="R17" s="65">
        <v>2499.42</v>
      </c>
      <c r="S17" s="3">
        <v>120.0</v>
      </c>
      <c r="U17" s="2">
        <v>130.0</v>
      </c>
      <c r="V17" s="67">
        <v>1.1023</v>
      </c>
      <c r="W17" s="58">
        <v>5.0</v>
      </c>
      <c r="X17" s="58">
        <v>6.6</v>
      </c>
      <c r="Y17" s="2">
        <v>50.0</v>
      </c>
      <c r="Z17" s="69">
        <f t="shared" si="4"/>
        <v>30</v>
      </c>
      <c r="AA17" s="70">
        <f t="shared" si="5"/>
        <v>80</v>
      </c>
      <c r="AB17" s="71">
        <f t="shared" si="18"/>
        <v>686.8833728</v>
      </c>
      <c r="AC17" s="71">
        <f>+(S17-T17)*V17-'data 1'!$F$4</f>
        <v>52.276</v>
      </c>
      <c r="AD17" s="71">
        <f t="shared" si="7"/>
        <v>0.3961155075</v>
      </c>
      <c r="AE17" s="918">
        <f t="shared" si="8"/>
        <v>2.575432</v>
      </c>
      <c r="AF17" s="71">
        <f t="shared" si="9"/>
        <v>58.7898571</v>
      </c>
      <c r="AG17" s="71">
        <f t="shared" si="19"/>
        <v>114.0374046</v>
      </c>
      <c r="AH17" s="71">
        <f t="shared" si="11"/>
        <v>102.632535</v>
      </c>
      <c r="AI17" s="58">
        <f t="shared" si="12"/>
        <v>117.3061678</v>
      </c>
      <c r="AJ17" s="58">
        <f t="shared" si="13"/>
        <v>96.35017543</v>
      </c>
      <c r="AK17" s="11">
        <f t="shared" si="14"/>
        <v>6.282359572</v>
      </c>
      <c r="AL17" s="70">
        <f t="shared" si="15"/>
        <v>5556.440012</v>
      </c>
      <c r="AM17" s="65"/>
    </row>
    <row r="18" ht="15.75" customHeight="1">
      <c r="A18" s="116" t="s">
        <v>4803</v>
      </c>
      <c r="B18" s="841">
        <v>45544.0</v>
      </c>
      <c r="C18" s="870">
        <v>45537.0</v>
      </c>
      <c r="D18" s="2" t="s">
        <v>602</v>
      </c>
      <c r="E18" s="2">
        <v>2.0169040231E10</v>
      </c>
      <c r="F18" s="67" t="s">
        <v>4802</v>
      </c>
      <c r="G18" s="3">
        <v>90.0</v>
      </c>
      <c r="H18" s="2" t="s">
        <v>47</v>
      </c>
      <c r="I18" s="58">
        <v>7.97</v>
      </c>
      <c r="J18" s="58">
        <v>0.45</v>
      </c>
      <c r="K18" s="59">
        <f t="shared" si="2"/>
        <v>7.934135</v>
      </c>
      <c r="L18" s="60">
        <v>0.281</v>
      </c>
      <c r="M18" s="60">
        <v>0.264</v>
      </c>
      <c r="N18" s="62">
        <v>0.264</v>
      </c>
      <c r="O18" s="106">
        <f t="shared" si="17"/>
        <v>0.264</v>
      </c>
      <c r="P18" s="2">
        <v>90.0</v>
      </c>
      <c r="Q18" s="58">
        <v>90.11093733064965</v>
      </c>
      <c r="R18" s="65">
        <v>2499.42</v>
      </c>
      <c r="S18" s="3">
        <v>110.0</v>
      </c>
      <c r="U18" s="2">
        <v>130.0</v>
      </c>
      <c r="V18" s="67">
        <v>1.1023</v>
      </c>
      <c r="W18" s="58">
        <v>5.0</v>
      </c>
      <c r="X18" s="58">
        <v>6.6</v>
      </c>
      <c r="Y18" s="2">
        <v>50.0</v>
      </c>
      <c r="Z18" s="69">
        <f t="shared" si="4"/>
        <v>30</v>
      </c>
      <c r="AA18" s="70">
        <f t="shared" si="5"/>
        <v>80</v>
      </c>
      <c r="AB18" s="71">
        <f t="shared" si="18"/>
        <v>411.1294518</v>
      </c>
      <c r="AC18" s="71">
        <f>+(S18-T18)*V18-'data 1'!$F$4</f>
        <v>41.253</v>
      </c>
      <c r="AD18" s="71">
        <f t="shared" si="7"/>
        <v>0.8141902344</v>
      </c>
      <c r="AE18" s="918">
        <f t="shared" si="8"/>
        <v>2.575432</v>
      </c>
      <c r="AF18" s="71">
        <f t="shared" si="9"/>
        <v>40.00997555</v>
      </c>
      <c r="AG18" s="71">
        <f t="shared" si="19"/>
        <v>84.65259778</v>
      </c>
      <c r="AH18" s="71">
        <f t="shared" si="11"/>
        <v>68.87989591</v>
      </c>
      <c r="AI18" s="58">
        <f t="shared" si="12"/>
        <v>80.26797633</v>
      </c>
      <c r="AJ18" s="58">
        <f t="shared" si="13"/>
        <v>64.6331156</v>
      </c>
      <c r="AK18" s="11">
        <f t="shared" si="14"/>
        <v>4.246780311</v>
      </c>
      <c r="AL18" s="70">
        <f t="shared" si="15"/>
        <v>3261.956573</v>
      </c>
      <c r="AM18" s="65"/>
    </row>
    <row r="19" ht="15.75" customHeight="1">
      <c r="A19" s="116" t="s">
        <v>4804</v>
      </c>
      <c r="B19" s="841">
        <v>45544.0</v>
      </c>
      <c r="C19" s="870">
        <v>45537.0</v>
      </c>
      <c r="D19" s="2" t="s">
        <v>602</v>
      </c>
      <c r="E19" s="2">
        <v>2.0169040231E10</v>
      </c>
      <c r="F19" s="67" t="s">
        <v>4802</v>
      </c>
      <c r="G19" s="3">
        <v>90.0</v>
      </c>
      <c r="H19" s="2" t="s">
        <v>47</v>
      </c>
      <c r="I19" s="58">
        <v>8.04</v>
      </c>
      <c r="J19" s="58">
        <v>0.6</v>
      </c>
      <c r="K19" s="59">
        <f t="shared" si="2"/>
        <v>7.99176</v>
      </c>
      <c r="L19" s="60">
        <v>0.327</v>
      </c>
      <c r="M19" s="60">
        <v>0.307</v>
      </c>
      <c r="N19" s="62">
        <v>0.307</v>
      </c>
      <c r="O19" s="106">
        <f t="shared" si="17"/>
        <v>0.307</v>
      </c>
      <c r="P19" s="2">
        <v>90.0</v>
      </c>
      <c r="Q19" s="58">
        <v>90.42542409618245</v>
      </c>
      <c r="R19" s="65">
        <v>2499.42</v>
      </c>
      <c r="S19" s="3">
        <v>130.0</v>
      </c>
      <c r="U19" s="2">
        <v>130.0</v>
      </c>
      <c r="V19" s="67">
        <v>1.1023</v>
      </c>
      <c r="W19" s="58">
        <v>5.0</v>
      </c>
      <c r="X19" s="58">
        <v>6.6</v>
      </c>
      <c r="Y19" s="2">
        <v>50.0</v>
      </c>
      <c r="Z19" s="69">
        <f t="shared" si="4"/>
        <v>30</v>
      </c>
      <c r="AA19" s="70">
        <f t="shared" si="5"/>
        <v>80</v>
      </c>
      <c r="AB19" s="71">
        <f t="shared" si="18"/>
        <v>490.1605633</v>
      </c>
      <c r="AC19" s="71">
        <f>+(S19-T19)*V19-'data 1'!$F$4</f>
        <v>63.299</v>
      </c>
      <c r="AD19" s="71">
        <f t="shared" si="7"/>
        <v>3.633387309</v>
      </c>
      <c r="AE19" s="918">
        <f t="shared" si="8"/>
        <v>2.575432</v>
      </c>
      <c r="AF19" s="71">
        <f t="shared" si="9"/>
        <v>47.23483551</v>
      </c>
      <c r="AG19" s="71">
        <f t="shared" si="19"/>
        <v>116.7426548</v>
      </c>
      <c r="AH19" s="71">
        <f t="shared" si="11"/>
        <v>81.01954677</v>
      </c>
      <c r="AI19" s="58">
        <f t="shared" si="12"/>
        <v>93.733923</v>
      </c>
      <c r="AJ19" s="58">
        <f t="shared" si="13"/>
        <v>75.70636379</v>
      </c>
      <c r="AK19" s="11">
        <f t="shared" si="14"/>
        <v>5.313182977</v>
      </c>
      <c r="AL19" s="70">
        <f t="shared" si="15"/>
        <v>3917.245583</v>
      </c>
      <c r="AM19" s="65"/>
    </row>
    <row r="20" ht="15.75" customHeight="1">
      <c r="A20" s="116" t="s">
        <v>4805</v>
      </c>
      <c r="B20" s="841">
        <v>45544.0</v>
      </c>
      <c r="C20" s="870">
        <v>45537.0</v>
      </c>
      <c r="D20" s="2" t="s">
        <v>602</v>
      </c>
      <c r="E20" s="2">
        <v>2.0169040231E10</v>
      </c>
      <c r="F20" s="67" t="s">
        <v>4802</v>
      </c>
      <c r="G20" s="3">
        <v>90.0</v>
      </c>
      <c r="H20" s="2" t="s">
        <v>47</v>
      </c>
      <c r="I20" s="58">
        <v>8.06</v>
      </c>
      <c r="J20" s="58">
        <v>0.55</v>
      </c>
      <c r="K20" s="59">
        <f t="shared" si="2"/>
        <v>8.01567</v>
      </c>
      <c r="L20" s="60">
        <v>0.182</v>
      </c>
      <c r="M20" s="60">
        <v>0.182</v>
      </c>
      <c r="N20" s="62">
        <v>0.182</v>
      </c>
      <c r="O20" s="935">
        <v>0.182</v>
      </c>
      <c r="P20" s="2">
        <v>90.0</v>
      </c>
      <c r="Q20" s="58">
        <v>89.64070969355623</v>
      </c>
      <c r="R20" s="65">
        <v>2499.42</v>
      </c>
      <c r="S20" s="3">
        <v>95.0</v>
      </c>
      <c r="U20" s="2">
        <v>130.0</v>
      </c>
      <c r="V20" s="67">
        <v>1.1023</v>
      </c>
      <c r="W20" s="58">
        <v>5.0</v>
      </c>
      <c r="X20" s="58">
        <v>6.6</v>
      </c>
      <c r="Y20" s="2">
        <v>50.0</v>
      </c>
      <c r="Z20" s="69">
        <f t="shared" si="4"/>
        <v>30</v>
      </c>
      <c r="AA20" s="70">
        <f t="shared" si="5"/>
        <v>80</v>
      </c>
      <c r="AB20" s="71">
        <f t="shared" si="18"/>
        <v>234.9122509</v>
      </c>
      <c r="AC20" s="71">
        <f>+(S20-T20)*V20-'data 1'!$F$4</f>
        <v>24.7185</v>
      </c>
      <c r="AD20" s="71">
        <f t="shared" si="7"/>
        <v>-1.707885477</v>
      </c>
      <c r="AE20" s="918">
        <f t="shared" si="8"/>
        <v>2.575432</v>
      </c>
      <c r="AF20" s="71">
        <f t="shared" si="9"/>
        <v>0</v>
      </c>
      <c r="AG20" s="71">
        <f t="shared" si="19"/>
        <v>25.58604652</v>
      </c>
      <c r="AH20" s="71">
        <f t="shared" si="11"/>
        <v>44.83586706</v>
      </c>
      <c r="AI20" s="58">
        <f t="shared" si="12"/>
        <v>51.71721871</v>
      </c>
      <c r="AJ20" s="58">
        <f t="shared" si="13"/>
        <v>45.01557438</v>
      </c>
      <c r="AK20" s="11">
        <f t="shared" si="14"/>
        <v>-0.1797073279</v>
      </c>
      <c r="AL20" s="70">
        <f t="shared" si="15"/>
        <v>1882.979082</v>
      </c>
      <c r="AM20" s="65"/>
    </row>
    <row r="21" ht="15.75" customHeight="1">
      <c r="A21" s="116" t="s">
        <v>4806</v>
      </c>
      <c r="B21" s="841">
        <v>45544.0</v>
      </c>
      <c r="C21" s="870">
        <v>45537.0</v>
      </c>
      <c r="D21" s="2" t="s">
        <v>602</v>
      </c>
      <c r="E21" s="2">
        <v>2.0169040231E10</v>
      </c>
      <c r="F21" s="67" t="s">
        <v>4802</v>
      </c>
      <c r="G21" s="3">
        <v>90.0</v>
      </c>
      <c r="H21" s="2" t="s">
        <v>47</v>
      </c>
      <c r="I21" s="58">
        <v>8.07</v>
      </c>
      <c r="J21" s="58">
        <v>0.45</v>
      </c>
      <c r="K21" s="59">
        <f t="shared" si="2"/>
        <v>8.033685</v>
      </c>
      <c r="L21" s="60">
        <v>0.191</v>
      </c>
      <c r="M21" s="60">
        <v>0.191</v>
      </c>
      <c r="N21" s="62">
        <v>0.191</v>
      </c>
      <c r="O21" s="935">
        <v>0.191</v>
      </c>
      <c r="P21" s="2">
        <v>90.0</v>
      </c>
      <c r="Q21" s="58">
        <v>89.43825116454633</v>
      </c>
      <c r="R21" s="65">
        <v>2499.42</v>
      </c>
      <c r="S21" s="3">
        <v>95.0</v>
      </c>
      <c r="U21" s="2">
        <v>130.0</v>
      </c>
      <c r="V21" s="67">
        <v>1.1023</v>
      </c>
      <c r="W21" s="58">
        <v>5.0</v>
      </c>
      <c r="X21" s="58">
        <v>6.6</v>
      </c>
      <c r="Y21" s="2">
        <v>50.0</v>
      </c>
      <c r="Z21" s="69">
        <f t="shared" si="4"/>
        <v>30</v>
      </c>
      <c r="AA21" s="70">
        <f t="shared" si="5"/>
        <v>80</v>
      </c>
      <c r="AB21" s="71">
        <f t="shared" si="18"/>
        <v>256.0679254</v>
      </c>
      <c r="AC21" s="71">
        <f>+(S21-T21)*V21-'data 1'!$F$4</f>
        <v>24.7185</v>
      </c>
      <c r="AD21" s="71">
        <f t="shared" si="7"/>
        <v>-2.802317929</v>
      </c>
      <c r="AE21" s="918">
        <f t="shared" si="8"/>
        <v>2.575432</v>
      </c>
      <c r="AF21" s="71">
        <f t="shared" si="9"/>
        <v>0</v>
      </c>
      <c r="AG21" s="71">
        <f t="shared" si="19"/>
        <v>24.49161407</v>
      </c>
      <c r="AH21" s="71">
        <f t="shared" si="11"/>
        <v>47.05226499</v>
      </c>
      <c r="AI21" s="58">
        <f t="shared" si="12"/>
        <v>54.15208124</v>
      </c>
      <c r="AJ21" s="58">
        <f t="shared" si="13"/>
        <v>47.34779352</v>
      </c>
      <c r="AK21" s="11">
        <f t="shared" si="14"/>
        <v>-0.2955285319</v>
      </c>
      <c r="AL21" s="70">
        <f t="shared" si="15"/>
        <v>2057.169051</v>
      </c>
      <c r="AM21" s="65"/>
    </row>
    <row r="22" ht="15.75" customHeight="1">
      <c r="A22" s="116" t="s">
        <v>4807</v>
      </c>
      <c r="B22" s="841">
        <v>45544.0</v>
      </c>
      <c r="C22" s="870">
        <v>45537.0</v>
      </c>
      <c r="D22" s="2" t="s">
        <v>602</v>
      </c>
      <c r="E22" s="2">
        <v>2.0169040231E10</v>
      </c>
      <c r="F22" s="67" t="s">
        <v>4802</v>
      </c>
      <c r="G22" s="3">
        <v>90.0</v>
      </c>
      <c r="H22" s="2" t="s">
        <v>47</v>
      </c>
      <c r="I22" s="58">
        <v>8.0</v>
      </c>
      <c r="J22" s="58">
        <v>0.3</v>
      </c>
      <c r="K22" s="59">
        <f t="shared" si="2"/>
        <v>7.976</v>
      </c>
      <c r="L22" s="60">
        <v>0.19</v>
      </c>
      <c r="M22" s="60">
        <v>0.19</v>
      </c>
      <c r="N22" s="62">
        <v>0.19</v>
      </c>
      <c r="O22" s="935">
        <v>0.19</v>
      </c>
      <c r="P22" s="2">
        <v>90.0</v>
      </c>
      <c r="Q22" s="58">
        <v>89.57920820793615</v>
      </c>
      <c r="R22" s="65">
        <v>2499.42</v>
      </c>
      <c r="S22" s="3">
        <v>95.0</v>
      </c>
      <c r="U22" s="2">
        <v>130.0</v>
      </c>
      <c r="V22" s="67">
        <v>1.1023</v>
      </c>
      <c r="W22" s="58">
        <v>5.0</v>
      </c>
      <c r="X22" s="58">
        <v>6.6</v>
      </c>
      <c r="Y22" s="2">
        <v>50.0</v>
      </c>
      <c r="Z22" s="69">
        <f t="shared" si="4"/>
        <v>30</v>
      </c>
      <c r="AA22" s="70">
        <f t="shared" si="5"/>
        <v>80</v>
      </c>
      <c r="AB22" s="71">
        <f t="shared" si="18"/>
        <v>253.7172949</v>
      </c>
      <c r="AC22" s="71">
        <f>+(S22-T22)*V22-'data 1'!$F$4</f>
        <v>24.7185</v>
      </c>
      <c r="AD22" s="71">
        <f t="shared" si="7"/>
        <v>-2.088154932</v>
      </c>
      <c r="AE22" s="918">
        <f t="shared" si="8"/>
        <v>2.575432</v>
      </c>
      <c r="AF22" s="71">
        <f t="shared" si="9"/>
        <v>0</v>
      </c>
      <c r="AG22" s="71">
        <f t="shared" si="19"/>
        <v>25.20577707</v>
      </c>
      <c r="AH22" s="71">
        <f t="shared" si="11"/>
        <v>46.54307094</v>
      </c>
      <c r="AI22" s="58">
        <f t="shared" si="12"/>
        <v>53.95346077</v>
      </c>
      <c r="AJ22" s="58">
        <f t="shared" si="13"/>
        <v>46.76170362</v>
      </c>
      <c r="AK22" s="11">
        <f t="shared" si="14"/>
        <v>-0.2186326785</v>
      </c>
      <c r="AL22" s="70">
        <f t="shared" si="15"/>
        <v>2023.649144</v>
      </c>
      <c r="AM22" s="65"/>
    </row>
    <row r="23" ht="15.75" customHeight="1">
      <c r="A23" s="116" t="s">
        <v>4808</v>
      </c>
      <c r="B23" s="841">
        <v>45544.0</v>
      </c>
      <c r="C23" s="870">
        <v>45541.0</v>
      </c>
      <c r="D23" s="2" t="s">
        <v>4571</v>
      </c>
      <c r="E23" s="2">
        <v>1.0460498487E10</v>
      </c>
      <c r="F23" s="67" t="s">
        <v>4809</v>
      </c>
      <c r="G23" s="3">
        <v>72.0</v>
      </c>
      <c r="H23" s="2" t="s">
        <v>47</v>
      </c>
      <c r="I23" s="2">
        <v>5.92</v>
      </c>
      <c r="J23" s="58">
        <v>18.6</v>
      </c>
      <c r="K23" s="59">
        <f t="shared" si="2"/>
        <v>4.81888</v>
      </c>
      <c r="L23" s="60">
        <v>0.1785</v>
      </c>
      <c r="M23" s="60">
        <v>0.17135999999999998</v>
      </c>
      <c r="N23" s="936">
        <v>0.17135999999999998</v>
      </c>
      <c r="O23" s="106">
        <f t="shared" ref="O23:O76" si="20">+ROUND((M23+N23)/2,3)</f>
        <v>0.171</v>
      </c>
      <c r="P23" s="2">
        <v>89.0</v>
      </c>
      <c r="Q23" s="58">
        <v>90.24831224952194</v>
      </c>
      <c r="R23" s="65">
        <v>2497.56</v>
      </c>
      <c r="S23" s="3">
        <v>115.0</v>
      </c>
      <c r="U23" s="2">
        <v>130.0</v>
      </c>
      <c r="V23" s="67">
        <v>1.1023</v>
      </c>
      <c r="W23" s="58">
        <v>5.1</v>
      </c>
      <c r="X23" s="58">
        <v>9.3</v>
      </c>
      <c r="Y23" s="2">
        <v>50.0</v>
      </c>
      <c r="Z23" s="69">
        <f t="shared" si="4"/>
        <v>30</v>
      </c>
      <c r="AA23" s="70">
        <f t="shared" si="5"/>
        <v>80</v>
      </c>
      <c r="AB23" s="71">
        <f t="shared" si="18"/>
        <v>182.2310856</v>
      </c>
      <c r="AC23" s="71">
        <f>+(S23-T23)*V23-'data 1'!$F$4</f>
        <v>46.7645</v>
      </c>
      <c r="AD23" s="71">
        <f t="shared" si="7"/>
        <v>5.81516784</v>
      </c>
      <c r="AE23" s="918">
        <f t="shared" si="8"/>
        <v>-6.816164</v>
      </c>
      <c r="AF23" s="71">
        <f t="shared" si="9"/>
        <v>17.66449205</v>
      </c>
      <c r="AG23" s="71">
        <f t="shared" si="19"/>
        <v>63.42799589</v>
      </c>
      <c r="AH23" s="71">
        <f t="shared" si="11"/>
        <v>26.61536891</v>
      </c>
      <c r="AI23" s="58">
        <f t="shared" si="12"/>
        <v>51.39675099</v>
      </c>
      <c r="AJ23" s="58">
        <f t="shared" si="13"/>
        <v>25.14440122</v>
      </c>
      <c r="AK23" s="11">
        <f t="shared" si="14"/>
        <v>1.470967688</v>
      </c>
      <c r="AL23" s="70">
        <f t="shared" si="15"/>
        <v>878.149734</v>
      </c>
      <c r="AM23" s="65"/>
    </row>
    <row r="24" ht="15.75" customHeight="1">
      <c r="A24" s="116" t="s">
        <v>4810</v>
      </c>
      <c r="B24" s="841">
        <v>45544.0</v>
      </c>
      <c r="C24" s="870">
        <v>45541.0</v>
      </c>
      <c r="D24" s="2" t="s">
        <v>4571</v>
      </c>
      <c r="F24" s="67" t="s">
        <v>4811</v>
      </c>
      <c r="G24" s="3" t="s">
        <v>4100</v>
      </c>
      <c r="H24" s="2" t="s">
        <v>47</v>
      </c>
      <c r="I24" s="2">
        <v>13.17</v>
      </c>
      <c r="J24" s="58">
        <v>10.3</v>
      </c>
      <c r="K24" s="59">
        <f t="shared" si="2"/>
        <v>11.81349</v>
      </c>
      <c r="L24" s="60">
        <v>0.1615</v>
      </c>
      <c r="M24" s="60">
        <v>0.15504</v>
      </c>
      <c r="N24" s="936">
        <v>0.15504</v>
      </c>
      <c r="O24" s="106">
        <f t="shared" si="20"/>
        <v>0.155</v>
      </c>
      <c r="P24" s="2">
        <v>89.0</v>
      </c>
      <c r="Q24" s="58">
        <v>90.1707373861287</v>
      </c>
      <c r="R24" s="65">
        <v>2497.56</v>
      </c>
      <c r="S24" s="3">
        <v>115.0</v>
      </c>
      <c r="U24" s="2">
        <v>130.0</v>
      </c>
      <c r="V24" s="67">
        <v>1.1023</v>
      </c>
      <c r="W24" s="58">
        <v>5.2</v>
      </c>
      <c r="X24" s="58">
        <v>8.8</v>
      </c>
      <c r="Y24" s="2">
        <v>50.0</v>
      </c>
      <c r="Z24" s="69">
        <f t="shared" si="4"/>
        <v>30</v>
      </c>
      <c r="AA24" s="70">
        <f t="shared" si="5"/>
        <v>80</v>
      </c>
      <c r="AB24" s="71">
        <f t="shared" si="18"/>
        <v>145.0680835</v>
      </c>
      <c r="AC24" s="71">
        <f>+(S24-T24)*V24-'data 1'!$F$4</f>
        <v>46.7645</v>
      </c>
      <c r="AD24" s="71">
        <f t="shared" si="7"/>
        <v>4.93438254</v>
      </c>
      <c r="AE24" s="918">
        <f t="shared" si="8"/>
        <v>-5.272944</v>
      </c>
      <c r="AF24" s="71">
        <f t="shared" si="9"/>
        <v>15.29606707</v>
      </c>
      <c r="AG24" s="71">
        <f t="shared" si="19"/>
        <v>61.72200561</v>
      </c>
      <c r="AH24" s="71">
        <f t="shared" si="11"/>
        <v>58.98280677</v>
      </c>
      <c r="AI24" s="58">
        <f t="shared" si="12"/>
        <v>46.46185069</v>
      </c>
      <c r="AJ24" s="58">
        <f t="shared" si="13"/>
        <v>55.87390076</v>
      </c>
      <c r="AK24" s="11">
        <f t="shared" si="14"/>
        <v>3.10890601</v>
      </c>
      <c r="AL24" s="70">
        <f t="shared" si="15"/>
        <v>1713.760353</v>
      </c>
      <c r="AM24" s="65"/>
    </row>
    <row r="25" ht="15.75" customHeight="1">
      <c r="A25" s="116" t="s">
        <v>4812</v>
      </c>
      <c r="B25" s="841">
        <v>45544.0</v>
      </c>
      <c r="C25" s="870">
        <v>45541.0</v>
      </c>
      <c r="D25" s="2" t="s">
        <v>4571</v>
      </c>
      <c r="F25" s="67" t="s">
        <v>4813</v>
      </c>
      <c r="G25" s="3">
        <v>168.0</v>
      </c>
      <c r="H25" s="2" t="s">
        <v>47</v>
      </c>
      <c r="I25" s="2">
        <v>15.16</v>
      </c>
      <c r="J25" s="58">
        <v>10.4</v>
      </c>
      <c r="K25" s="59">
        <f t="shared" si="2"/>
        <v>13.58336</v>
      </c>
      <c r="L25" s="60">
        <v>0.2445</v>
      </c>
      <c r="M25" s="60">
        <v>0.23471999999999998</v>
      </c>
      <c r="N25" s="936">
        <v>0.23471999999999998</v>
      </c>
      <c r="O25" s="106">
        <f t="shared" si="20"/>
        <v>0.235</v>
      </c>
      <c r="P25" s="2">
        <v>89.0</v>
      </c>
      <c r="Q25" s="58">
        <v>90.26099606241796</v>
      </c>
      <c r="R25" s="65">
        <v>2497.56</v>
      </c>
      <c r="S25" s="3">
        <v>125.0</v>
      </c>
      <c r="U25" s="2">
        <v>130.0</v>
      </c>
      <c r="V25" s="67">
        <v>1.1023</v>
      </c>
      <c r="W25" s="58">
        <v>5.2</v>
      </c>
      <c r="X25" s="58">
        <v>9.0</v>
      </c>
      <c r="Y25" s="2">
        <v>50.0</v>
      </c>
      <c r="Z25" s="69">
        <f t="shared" si="4"/>
        <v>30</v>
      </c>
      <c r="AA25" s="70">
        <f t="shared" si="5"/>
        <v>80</v>
      </c>
      <c r="AB25" s="71">
        <f t="shared" si="18"/>
        <v>319.8600943</v>
      </c>
      <c r="AC25" s="71">
        <f>+(S25-T25)*V25-'data 1'!$F$4</f>
        <v>57.7875</v>
      </c>
      <c r="AD25" s="71">
        <f t="shared" si="7"/>
        <v>8.046247649</v>
      </c>
      <c r="AE25" s="918">
        <f t="shared" si="8"/>
        <v>-5.95637</v>
      </c>
      <c r="AF25" s="71">
        <f t="shared" si="9"/>
        <v>22.37816792</v>
      </c>
      <c r="AG25" s="71">
        <f t="shared" si="19"/>
        <v>82.25554557</v>
      </c>
      <c r="AH25" s="71">
        <f t="shared" si="11"/>
        <v>102.7768412</v>
      </c>
      <c r="AI25" s="58">
        <f t="shared" si="12"/>
        <v>70.41048603</v>
      </c>
      <c r="AJ25" s="58">
        <f t="shared" si="13"/>
        <v>97.40340726</v>
      </c>
      <c r="AK25" s="11">
        <f t="shared" si="14"/>
        <v>5.373433893</v>
      </c>
      <c r="AL25" s="70">
        <f t="shared" si="15"/>
        <v>4344.774811</v>
      </c>
      <c r="AM25" s="65"/>
    </row>
    <row r="26" ht="15.75" customHeight="1">
      <c r="A26" s="116" t="s">
        <v>4814</v>
      </c>
      <c r="B26" s="841">
        <v>45545.0</v>
      </c>
      <c r="C26" s="870">
        <v>45543.0</v>
      </c>
      <c r="D26" s="85" t="s">
        <v>51</v>
      </c>
      <c r="F26" s="67" t="s">
        <v>4815</v>
      </c>
      <c r="G26" s="3">
        <v>260.0</v>
      </c>
      <c r="H26" s="2" t="s">
        <v>47</v>
      </c>
      <c r="I26" s="2">
        <v>29.96</v>
      </c>
      <c r="J26" s="58">
        <v>1.95</v>
      </c>
      <c r="K26" s="59">
        <f t="shared" si="2"/>
        <v>29.37578</v>
      </c>
      <c r="L26" s="60">
        <v>0.59</v>
      </c>
      <c r="M26" s="60">
        <v>0.56</v>
      </c>
      <c r="N26" s="62">
        <v>0.56</v>
      </c>
      <c r="O26" s="106">
        <f t="shared" si="20"/>
        <v>0.56</v>
      </c>
      <c r="P26" s="2">
        <v>90.0</v>
      </c>
      <c r="Q26" s="58">
        <v>89.55</v>
      </c>
      <c r="R26" s="65">
        <v>2497.56</v>
      </c>
      <c r="S26" s="3">
        <v>130.0</v>
      </c>
      <c r="U26" s="2">
        <v>100.0</v>
      </c>
      <c r="V26" s="67">
        <v>1.1023</v>
      </c>
      <c r="W26" s="58">
        <v>5.0</v>
      </c>
      <c r="X26" s="58">
        <v>10.1</v>
      </c>
      <c r="Z26" s="69">
        <f t="shared" si="4"/>
        <v>30</v>
      </c>
      <c r="AA26" s="70">
        <f t="shared" si="5"/>
        <v>30</v>
      </c>
      <c r="AB26" s="71">
        <f t="shared" si="18"/>
        <v>1155.618516</v>
      </c>
      <c r="AC26" s="71">
        <f>+(S26-T26)*V26-'data 1'!$F$4</f>
        <v>63.299</v>
      </c>
      <c r="AD26" s="71">
        <f t="shared" si="7"/>
        <v>-7.01671468</v>
      </c>
      <c r="AE26" s="918">
        <f t="shared" si="8"/>
        <v>-64.499523</v>
      </c>
      <c r="AF26" s="71">
        <f t="shared" si="9"/>
        <v>70.99963837</v>
      </c>
      <c r="AG26" s="71">
        <f t="shared" si="19"/>
        <v>142.7824007</v>
      </c>
      <c r="AH26" s="71">
        <f t="shared" si="11"/>
        <v>532.127959</v>
      </c>
      <c r="AI26" s="58">
        <f t="shared" si="12"/>
        <v>151.0964793</v>
      </c>
      <c r="AJ26" s="58">
        <f t="shared" si="13"/>
        <v>507.6086484</v>
      </c>
      <c r="AK26" s="11">
        <f t="shared" si="14"/>
        <v>24.5193106</v>
      </c>
      <c r="AL26" s="70">
        <f t="shared" si="15"/>
        <v>33947.19528</v>
      </c>
      <c r="AM26" s="65"/>
    </row>
    <row r="27" ht="15.75" customHeight="1">
      <c r="A27" s="116" t="s">
        <v>4816</v>
      </c>
      <c r="B27" s="841">
        <v>45548.0</v>
      </c>
      <c r="C27" s="870">
        <v>45545.0</v>
      </c>
      <c r="D27" s="2" t="s">
        <v>4466</v>
      </c>
      <c r="F27" s="67" t="s">
        <v>4817</v>
      </c>
      <c r="G27" s="3">
        <v>71.0</v>
      </c>
      <c r="H27" s="2" t="s">
        <v>47</v>
      </c>
      <c r="I27" s="58">
        <v>6.83</v>
      </c>
      <c r="J27" s="58">
        <v>1.1</v>
      </c>
      <c r="K27" s="59">
        <f t="shared" si="2"/>
        <v>6.75487</v>
      </c>
      <c r="L27" s="60">
        <v>0.873</v>
      </c>
      <c r="M27" s="60">
        <v>0.829</v>
      </c>
      <c r="N27" s="62">
        <v>0.829</v>
      </c>
      <c r="O27" s="106">
        <f t="shared" si="20"/>
        <v>0.829</v>
      </c>
      <c r="P27" s="2">
        <v>90.0</v>
      </c>
      <c r="Q27" s="58">
        <v>89.17</v>
      </c>
      <c r="R27" s="65">
        <v>2497.56</v>
      </c>
      <c r="S27" s="3">
        <v>170.0</v>
      </c>
      <c r="U27" s="2">
        <v>130.0</v>
      </c>
      <c r="V27" s="67">
        <v>1.1023</v>
      </c>
      <c r="W27" s="58">
        <v>6.0</v>
      </c>
      <c r="X27" s="77">
        <v>9.0</v>
      </c>
      <c r="Y27" s="2">
        <v>50.0</v>
      </c>
      <c r="Z27" s="77">
        <v>30.0</v>
      </c>
      <c r="AA27" s="70">
        <f t="shared" si="5"/>
        <v>80</v>
      </c>
      <c r="AB27" s="71">
        <f t="shared" si="18"/>
        <v>1671.567972</v>
      </c>
      <c r="AC27" s="71">
        <f>+(S27-T27)*V27-'data 1'!$F$4</f>
        <v>107.391</v>
      </c>
      <c r="AD27" s="71">
        <f t="shared" si="7"/>
        <v>-18.91007004</v>
      </c>
      <c r="AE27" s="918">
        <f t="shared" si="8"/>
        <v>-7.27913</v>
      </c>
      <c r="AF27" s="71">
        <f t="shared" si="9"/>
        <v>102.3934661</v>
      </c>
      <c r="AG27" s="71">
        <f t="shared" si="19"/>
        <v>183.5952661</v>
      </c>
      <c r="AH27" s="71">
        <f t="shared" si="11"/>
        <v>180.2847844</v>
      </c>
      <c r="AI27" s="58">
        <f t="shared" si="12"/>
        <v>248.3655564</v>
      </c>
      <c r="AJ27" s="58">
        <f t="shared" si="13"/>
        <v>172.7917904</v>
      </c>
      <c r="AK27" s="11">
        <f t="shared" si="14"/>
        <v>7.492994055</v>
      </c>
      <c r="AL27" s="70">
        <f t="shared" si="15"/>
        <v>11291.22434</v>
      </c>
      <c r="AM27" s="65"/>
    </row>
    <row r="28" ht="15.75" customHeight="1">
      <c r="A28" s="116" t="s">
        <v>4818</v>
      </c>
      <c r="B28" s="841">
        <v>45551.0</v>
      </c>
      <c r="C28" s="870">
        <v>45545.0</v>
      </c>
      <c r="D28" s="2" t="s">
        <v>602</v>
      </c>
      <c r="E28" s="2">
        <v>2.0169040231E10</v>
      </c>
      <c r="F28" s="2" t="s">
        <v>4386</v>
      </c>
      <c r="G28" s="3">
        <v>20.0</v>
      </c>
      <c r="H28" s="2" t="s">
        <v>47</v>
      </c>
      <c r="I28" s="58">
        <v>1.82</v>
      </c>
      <c r="J28" s="58">
        <v>1.5</v>
      </c>
      <c r="K28" s="59">
        <f t="shared" si="2"/>
        <v>1.7927</v>
      </c>
      <c r="L28" s="60">
        <v>0.294</v>
      </c>
      <c r="M28" s="60">
        <v>0.276</v>
      </c>
      <c r="N28" s="62">
        <v>0.276</v>
      </c>
      <c r="O28" s="106">
        <f t="shared" si="20"/>
        <v>0.276</v>
      </c>
      <c r="P28" s="2">
        <v>90.0</v>
      </c>
      <c r="Q28" s="58">
        <v>89.48</v>
      </c>
      <c r="R28" s="65">
        <v>2497.56</v>
      </c>
      <c r="S28" s="3">
        <v>110.0</v>
      </c>
      <c r="U28" s="2">
        <v>130.0</v>
      </c>
      <c r="V28" s="67">
        <v>1.1023</v>
      </c>
      <c r="W28" s="58">
        <v>5.0</v>
      </c>
      <c r="X28" s="58">
        <v>9.39</v>
      </c>
      <c r="Y28" s="2">
        <v>50.0</v>
      </c>
      <c r="Z28" s="69">
        <f t="shared" ref="Z28:Z30" si="21">IF(IF(D28="UNTUCA",IF(+((W28-3)*1.5+(X28-3)*3.1)&gt;0,+((W28-3)*1.5+(X28-3)*3.1),0),IF(+((W28-3)*1.5+(X28-3)*3.1)&gt;0,+((W28-3)*1.5+(X28-3)*3.1),0))&lt;30,30,IF(D28="UNTUCA",IF(+((W28-3)*1.5+(X28-3)*3.1)&gt;0,+((W28-3)*1.5+(X28-3)*3.1),0),IF(+((W28-3)*1.5+(X28-3)*3.1)&gt;0,+((W28-3)*1.5+(X28-3)*3.1),0)))</f>
        <v>30</v>
      </c>
      <c r="AA28" s="70">
        <f t="shared" si="5"/>
        <v>80</v>
      </c>
      <c r="AB28" s="71">
        <f t="shared" si="18"/>
        <v>438.8277288</v>
      </c>
      <c r="AC28" s="71">
        <f>+(S28-T28)*V28-'data 1'!$F$4</f>
        <v>41.253</v>
      </c>
      <c r="AD28" s="71">
        <f t="shared" si="7"/>
        <v>-3.98980321</v>
      </c>
      <c r="AE28" s="918">
        <f t="shared" si="8"/>
        <v>-6.9583607</v>
      </c>
      <c r="AF28" s="71">
        <f t="shared" si="9"/>
        <v>42.03386082</v>
      </c>
      <c r="AG28" s="71">
        <f t="shared" si="19"/>
        <v>72.33869691</v>
      </c>
      <c r="AH28" s="71">
        <f t="shared" si="11"/>
        <v>16.16925438</v>
      </c>
      <c r="AI28" s="58">
        <f t="shared" si="12"/>
        <v>83.9327906</v>
      </c>
      <c r="AJ28" s="58">
        <f t="shared" si="13"/>
        <v>15.26751233</v>
      </c>
      <c r="AK28" s="11">
        <f t="shared" si="14"/>
        <v>0.9017420565</v>
      </c>
      <c r="AL28" s="70">
        <f t="shared" si="15"/>
        <v>786.6864694</v>
      </c>
      <c r="AM28" s="65"/>
    </row>
    <row r="29" ht="15.75" customHeight="1">
      <c r="A29" s="116" t="s">
        <v>4819</v>
      </c>
      <c r="B29" s="841">
        <v>45551.0</v>
      </c>
      <c r="C29" s="870">
        <v>45545.0</v>
      </c>
      <c r="D29" s="2" t="s">
        <v>602</v>
      </c>
      <c r="E29" s="2">
        <v>2.0169040231E10</v>
      </c>
      <c r="F29" s="2" t="s">
        <v>4386</v>
      </c>
      <c r="G29" s="3">
        <v>80.0</v>
      </c>
      <c r="H29" s="2" t="s">
        <v>47</v>
      </c>
      <c r="I29" s="58">
        <v>7.51</v>
      </c>
      <c r="J29" s="58">
        <v>1.28</v>
      </c>
      <c r="K29" s="59">
        <f t="shared" si="2"/>
        <v>7.413872</v>
      </c>
      <c r="L29" s="60">
        <v>0.593</v>
      </c>
      <c r="M29" s="60">
        <v>0.563</v>
      </c>
      <c r="N29" s="62">
        <v>0.563</v>
      </c>
      <c r="O29" s="106">
        <f t="shared" si="20"/>
        <v>0.563</v>
      </c>
      <c r="P29" s="2">
        <v>90.0</v>
      </c>
      <c r="Q29" s="58">
        <v>89.6</v>
      </c>
      <c r="R29" s="65">
        <v>2497.56</v>
      </c>
      <c r="S29" s="3">
        <v>130.0</v>
      </c>
      <c r="U29" s="2">
        <v>130.0</v>
      </c>
      <c r="V29" s="67">
        <v>1.1023</v>
      </c>
      <c r="W29" s="58">
        <v>5.0</v>
      </c>
      <c r="X29" s="58">
        <v>10.48</v>
      </c>
      <c r="Y29" s="2">
        <v>50.0</v>
      </c>
      <c r="Z29" s="69">
        <f t="shared" si="21"/>
        <v>30</v>
      </c>
      <c r="AA29" s="70">
        <f t="shared" si="5"/>
        <v>80</v>
      </c>
      <c r="AB29" s="71">
        <f t="shared" si="18"/>
        <v>1090.883095</v>
      </c>
      <c r="AC29" s="71">
        <f>+(S29-T29)*V29-'data 1'!$F$4</f>
        <v>63.299</v>
      </c>
      <c r="AD29" s="71">
        <f t="shared" si="7"/>
        <v>-6.190354012</v>
      </c>
      <c r="AE29" s="918">
        <f t="shared" si="8"/>
        <v>-10.6830324</v>
      </c>
      <c r="AF29" s="71">
        <f t="shared" si="9"/>
        <v>70.15038611</v>
      </c>
      <c r="AG29" s="71">
        <f t="shared" si="19"/>
        <v>116.5759997</v>
      </c>
      <c r="AH29" s="71">
        <f t="shared" si="11"/>
        <v>135.0569246</v>
      </c>
      <c r="AI29" s="58">
        <f t="shared" si="12"/>
        <v>169.5200454</v>
      </c>
      <c r="AJ29" s="58">
        <f t="shared" si="13"/>
        <v>128.7967953</v>
      </c>
      <c r="AK29" s="11">
        <f t="shared" si="14"/>
        <v>6.26012922</v>
      </c>
      <c r="AL29" s="70">
        <f t="shared" si="15"/>
        <v>8087.667636</v>
      </c>
      <c r="AM29" s="65"/>
    </row>
    <row r="30" ht="15.75" customHeight="1">
      <c r="A30" s="116" t="s">
        <v>4820</v>
      </c>
      <c r="B30" s="841">
        <v>45551.0</v>
      </c>
      <c r="C30" s="870">
        <v>45545.0</v>
      </c>
      <c r="D30" s="2" t="s">
        <v>602</v>
      </c>
      <c r="E30" s="2">
        <v>2.0169040231E10</v>
      </c>
      <c r="F30" s="2" t="s">
        <v>4386</v>
      </c>
      <c r="G30" s="3">
        <v>60.0</v>
      </c>
      <c r="H30" s="2" t="s">
        <v>47</v>
      </c>
      <c r="I30" s="58">
        <v>5.69</v>
      </c>
      <c r="J30" s="58">
        <v>1.38</v>
      </c>
      <c r="K30" s="59">
        <f t="shared" si="2"/>
        <v>5.611478</v>
      </c>
      <c r="L30" s="60">
        <v>0.279</v>
      </c>
      <c r="M30" s="60">
        <v>0.262</v>
      </c>
      <c r="N30" s="62">
        <v>0.262</v>
      </c>
      <c r="O30" s="106">
        <f t="shared" si="20"/>
        <v>0.262</v>
      </c>
      <c r="P30" s="2">
        <v>90.0</v>
      </c>
      <c r="Q30" s="58">
        <v>89.9</v>
      </c>
      <c r="R30" s="65">
        <v>2497.56</v>
      </c>
      <c r="S30" s="3">
        <v>110.0</v>
      </c>
      <c r="U30" s="2">
        <v>130.0</v>
      </c>
      <c r="V30" s="67">
        <v>1.1023</v>
      </c>
      <c r="W30" s="58">
        <v>5.0</v>
      </c>
      <c r="X30" s="58">
        <v>9.85</v>
      </c>
      <c r="Y30" s="2">
        <v>50.0</v>
      </c>
      <c r="Z30" s="69">
        <f t="shared" si="21"/>
        <v>30</v>
      </c>
      <c r="AA30" s="70">
        <f t="shared" si="5"/>
        <v>80</v>
      </c>
      <c r="AB30" s="71">
        <f t="shared" si="18"/>
        <v>405.9447353</v>
      </c>
      <c r="AC30" s="71">
        <f>+(S30-T30)*V30-'data 1'!$F$4</f>
        <v>41.253</v>
      </c>
      <c r="AD30" s="71">
        <f t="shared" si="7"/>
        <v>-0.7281234273</v>
      </c>
      <c r="AE30" s="918">
        <f t="shared" si="8"/>
        <v>-8.5302405</v>
      </c>
      <c r="AF30" s="71">
        <f t="shared" si="9"/>
        <v>39.88498329</v>
      </c>
      <c r="AG30" s="71">
        <f t="shared" si="19"/>
        <v>71.87961937</v>
      </c>
      <c r="AH30" s="71">
        <f t="shared" si="11"/>
        <v>48.25587878</v>
      </c>
      <c r="AI30" s="58">
        <f t="shared" si="12"/>
        <v>80.02436781</v>
      </c>
      <c r="AJ30" s="58">
        <f t="shared" si="13"/>
        <v>45.36596304</v>
      </c>
      <c r="AK30" s="11">
        <f t="shared" si="14"/>
        <v>2.889915737</v>
      </c>
      <c r="AL30" s="70">
        <f t="shared" si="15"/>
        <v>2277.949951</v>
      </c>
      <c r="AM30" s="65"/>
    </row>
    <row r="31" ht="15.75" customHeight="1">
      <c r="A31" s="116" t="s">
        <v>4821</v>
      </c>
      <c r="B31" s="841">
        <v>45551.0</v>
      </c>
      <c r="C31" s="870">
        <v>45545.0</v>
      </c>
      <c r="D31" s="2" t="s">
        <v>4466</v>
      </c>
      <c r="F31" s="2" t="s">
        <v>4822</v>
      </c>
      <c r="G31" s="3">
        <v>67.0</v>
      </c>
      <c r="H31" s="2" t="s">
        <v>47</v>
      </c>
      <c r="I31" s="58">
        <v>7.3</v>
      </c>
      <c r="J31" s="58">
        <v>1.02</v>
      </c>
      <c r="K31" s="59">
        <f t="shared" si="2"/>
        <v>7.22554</v>
      </c>
      <c r="L31" s="60">
        <v>1.139</v>
      </c>
      <c r="M31" s="60">
        <v>1.09</v>
      </c>
      <c r="N31" s="62">
        <v>1.09</v>
      </c>
      <c r="O31" s="106">
        <f t="shared" si="20"/>
        <v>1.09</v>
      </c>
      <c r="P31" s="2">
        <v>90.0</v>
      </c>
      <c r="Q31" s="58">
        <v>89.47</v>
      </c>
      <c r="R31" s="65">
        <v>2497.56</v>
      </c>
      <c r="S31" s="3">
        <v>180.0</v>
      </c>
      <c r="U31" s="2">
        <v>130.0</v>
      </c>
      <c r="V31" s="67">
        <v>1.1023</v>
      </c>
      <c r="W31" s="58">
        <v>6.0</v>
      </c>
      <c r="X31" s="77">
        <v>9.0</v>
      </c>
      <c r="Y31" s="2">
        <v>50.0</v>
      </c>
      <c r="Z31" s="77">
        <v>35.0</v>
      </c>
      <c r="AA31" s="70">
        <f t="shared" si="5"/>
        <v>85</v>
      </c>
      <c r="AB31" s="71">
        <f t="shared" si="18"/>
        <v>2268.066422</v>
      </c>
      <c r="AC31" s="71">
        <f>+(S31-T31)*V31-'data 1'!$F$4</f>
        <v>118.414</v>
      </c>
      <c r="AD31" s="71">
        <f t="shared" si="7"/>
        <v>-15.75434657</v>
      </c>
      <c r="AE31" s="918">
        <f t="shared" si="8"/>
        <v>-1.76763</v>
      </c>
      <c r="AF31" s="71">
        <f t="shared" si="9"/>
        <v>114.4127222</v>
      </c>
      <c r="AG31" s="71">
        <f t="shared" si="19"/>
        <v>215.3047456</v>
      </c>
      <c r="AH31" s="71">
        <f t="shared" si="11"/>
        <v>252.4530025</v>
      </c>
      <c r="AI31" s="58">
        <f t="shared" si="12"/>
        <v>325.1318524</v>
      </c>
      <c r="AJ31" s="58">
        <f t="shared" si="13"/>
        <v>243.0235644</v>
      </c>
      <c r="AK31" s="11">
        <f t="shared" si="14"/>
        <v>9.429438162</v>
      </c>
      <c r="AL31" s="70">
        <f t="shared" si="15"/>
        <v>16388.00465</v>
      </c>
      <c r="AM31" s="65"/>
    </row>
    <row r="32" ht="15.75" customHeight="1">
      <c r="A32" s="116" t="s">
        <v>4823</v>
      </c>
      <c r="B32" s="841">
        <v>45551.0</v>
      </c>
      <c r="C32" s="870">
        <v>45545.0</v>
      </c>
      <c r="D32" s="2" t="s">
        <v>4466</v>
      </c>
      <c r="F32" s="2" t="s">
        <v>4822</v>
      </c>
      <c r="G32" s="3">
        <v>40.0</v>
      </c>
      <c r="H32" s="2" t="s">
        <v>47</v>
      </c>
      <c r="I32" s="58">
        <v>4.6</v>
      </c>
      <c r="J32" s="58">
        <v>1.0</v>
      </c>
      <c r="K32" s="59">
        <f t="shared" si="2"/>
        <v>4.554</v>
      </c>
      <c r="L32" s="60">
        <v>1.104</v>
      </c>
      <c r="M32" s="60">
        <v>1.048</v>
      </c>
      <c r="N32" s="62">
        <v>1.048</v>
      </c>
      <c r="O32" s="106">
        <f t="shared" si="20"/>
        <v>1.048</v>
      </c>
      <c r="P32" s="2">
        <v>90.0</v>
      </c>
      <c r="Q32" s="58">
        <v>89.67</v>
      </c>
      <c r="R32" s="65">
        <v>2497.56</v>
      </c>
      <c r="S32" s="3">
        <v>180.0</v>
      </c>
      <c r="U32" s="2">
        <v>130.0</v>
      </c>
      <c r="V32" s="67">
        <v>1.1023</v>
      </c>
      <c r="W32" s="58">
        <v>6.0</v>
      </c>
      <c r="X32" s="77">
        <v>9.0</v>
      </c>
      <c r="Y32" s="2">
        <v>50.0</v>
      </c>
      <c r="Z32" s="77">
        <v>35.0</v>
      </c>
      <c r="AA32" s="70">
        <f t="shared" si="5"/>
        <v>85</v>
      </c>
      <c r="AB32" s="71">
        <f t="shared" si="18"/>
        <v>2169.417441</v>
      </c>
      <c r="AC32" s="71">
        <f>+(S32-T32)*V32-'data 1'!$F$4</f>
        <v>118.414</v>
      </c>
      <c r="AD32" s="71">
        <f t="shared" si="7"/>
        <v>-9.507882689</v>
      </c>
      <c r="AE32" s="918">
        <f t="shared" si="8"/>
        <v>-1.76763</v>
      </c>
      <c r="AF32" s="71">
        <f t="shared" si="9"/>
        <v>131.0496901</v>
      </c>
      <c r="AG32" s="71">
        <f t="shared" si="19"/>
        <v>238.1881774</v>
      </c>
      <c r="AH32" s="71">
        <f t="shared" si="11"/>
        <v>154.5675555</v>
      </c>
      <c r="AI32" s="58">
        <f t="shared" si="12"/>
        <v>315.8454319</v>
      </c>
      <c r="AJ32" s="58">
        <f t="shared" si="13"/>
        <v>147.2671519</v>
      </c>
      <c r="AK32" s="11">
        <f t="shared" si="14"/>
        <v>7.300403696</v>
      </c>
      <c r="AL32" s="70">
        <f t="shared" si="15"/>
        <v>9879.527027</v>
      </c>
      <c r="AM32" s="65"/>
    </row>
    <row r="33" ht="15.75" customHeight="1">
      <c r="A33" s="116" t="s">
        <v>4824</v>
      </c>
      <c r="B33" s="841">
        <v>45548.0</v>
      </c>
      <c r="C33" s="870">
        <v>45547.0</v>
      </c>
      <c r="D33" s="197" t="s">
        <v>74</v>
      </c>
      <c r="G33" s="3">
        <v>54.0</v>
      </c>
      <c r="H33" s="2" t="s">
        <v>47</v>
      </c>
      <c r="I33" s="58">
        <v>4.69</v>
      </c>
      <c r="J33" s="58">
        <v>1.0</v>
      </c>
      <c r="K33" s="59">
        <f t="shared" si="2"/>
        <v>4.6431</v>
      </c>
      <c r="L33" s="3">
        <v>0.212</v>
      </c>
      <c r="M33" s="60">
        <v>0.197</v>
      </c>
      <c r="N33" s="62">
        <v>0.197</v>
      </c>
      <c r="O33" s="106">
        <f t="shared" si="20"/>
        <v>0.197</v>
      </c>
      <c r="P33" s="2">
        <v>85.0</v>
      </c>
      <c r="Q33" s="58">
        <v>89.48</v>
      </c>
      <c r="R33" s="65">
        <v>2558.65</v>
      </c>
      <c r="S33" s="3">
        <v>95.0</v>
      </c>
      <c r="U33" s="2">
        <v>80.0</v>
      </c>
      <c r="V33" s="67">
        <v>1.1023</v>
      </c>
      <c r="W33" s="58">
        <v>5.5</v>
      </c>
      <c r="X33" s="58">
        <v>7.2</v>
      </c>
      <c r="Z33" s="77">
        <v>10.0</v>
      </c>
      <c r="AA33" s="70">
        <f t="shared" si="5"/>
        <v>10</v>
      </c>
      <c r="AB33" s="71">
        <f t="shared" si="18"/>
        <v>341.7680516</v>
      </c>
      <c r="AC33" s="71">
        <f>+(S33-T33)*V33-'data 1'!$F$4</f>
        <v>24.7185</v>
      </c>
      <c r="AD33" s="71">
        <f t="shared" si="7"/>
        <v>25.94949368</v>
      </c>
      <c r="AE33" s="918">
        <f t="shared" si="8"/>
        <v>-77.462571</v>
      </c>
      <c r="AF33" s="71">
        <f t="shared" si="9"/>
        <v>36.67180174</v>
      </c>
      <c r="AG33" s="71">
        <f t="shared" ref="AG33:AG39" si="22">+IF(D33="RONALD WILLIAN GARIBAY ESCUDERO",AC33+AD33+AE33+AF33+80,AC33+AD33+AE33+AF33)+90</f>
        <v>99.87722443</v>
      </c>
      <c r="AH33" s="71">
        <f t="shared" si="11"/>
        <v>30.198053</v>
      </c>
      <c r="AI33" s="58">
        <f t="shared" si="12"/>
        <v>37.29363856</v>
      </c>
      <c r="AJ33" s="58">
        <f t="shared" si="13"/>
        <v>26.65644676</v>
      </c>
      <c r="AK33" s="11"/>
      <c r="AL33" s="70">
        <f t="shared" si="15"/>
        <v>1586.86324</v>
      </c>
      <c r="AM33" s="65"/>
    </row>
    <row r="34" ht="15.75" customHeight="1">
      <c r="A34" s="116" t="s">
        <v>4825</v>
      </c>
      <c r="B34" s="841">
        <v>45548.0</v>
      </c>
      <c r="C34" s="870">
        <v>45547.0</v>
      </c>
      <c r="D34" s="197" t="s">
        <v>74</v>
      </c>
      <c r="G34" s="3">
        <v>40.0</v>
      </c>
      <c r="H34" s="2" t="s">
        <v>47</v>
      </c>
      <c r="I34" s="58">
        <v>3.36</v>
      </c>
      <c r="J34" s="58">
        <v>0.9</v>
      </c>
      <c r="K34" s="59">
        <f t="shared" si="2"/>
        <v>3.32976</v>
      </c>
      <c r="L34" s="3">
        <v>0.205</v>
      </c>
      <c r="M34" s="60">
        <v>0.201</v>
      </c>
      <c r="N34" s="62">
        <v>0.201</v>
      </c>
      <c r="O34" s="106">
        <f t="shared" si="20"/>
        <v>0.201</v>
      </c>
      <c r="P34" s="2">
        <v>85.0</v>
      </c>
      <c r="Q34" s="58">
        <v>89.97</v>
      </c>
      <c r="R34" s="65">
        <v>2558.65</v>
      </c>
      <c r="S34" s="3">
        <v>105.0</v>
      </c>
      <c r="U34" s="2">
        <v>80.0</v>
      </c>
      <c r="V34" s="67">
        <v>1.1023</v>
      </c>
      <c r="W34" s="58">
        <v>5.5</v>
      </c>
      <c r="X34" s="58">
        <v>7.2</v>
      </c>
      <c r="Z34" s="77">
        <v>10.0</v>
      </c>
      <c r="AA34" s="70">
        <f t="shared" si="5"/>
        <v>10</v>
      </c>
      <c r="AB34" s="71">
        <f t="shared" si="18"/>
        <v>340.0345857</v>
      </c>
      <c r="AC34" s="71">
        <f>+(S34-T34)*V34-'data 1'!$F$4</f>
        <v>35.7415</v>
      </c>
      <c r="AD34" s="71">
        <f t="shared" si="7"/>
        <v>27.83718165</v>
      </c>
      <c r="AE34" s="918">
        <f t="shared" si="8"/>
        <v>-77.462571</v>
      </c>
      <c r="AF34" s="71">
        <f t="shared" si="9"/>
        <v>9.832698563</v>
      </c>
      <c r="AG34" s="71">
        <f t="shared" si="22"/>
        <v>85.94880921</v>
      </c>
      <c r="AH34" s="71">
        <f t="shared" si="11"/>
        <v>21.05588901</v>
      </c>
      <c r="AI34" s="58">
        <f t="shared" si="12"/>
        <v>36.25972472</v>
      </c>
      <c r="AJ34" s="58">
        <f t="shared" si="13"/>
        <v>19.50459713</v>
      </c>
      <c r="AK34" s="11"/>
      <c r="AL34" s="70">
        <f t="shared" si="15"/>
        <v>1132.233562</v>
      </c>
      <c r="AM34" s="65"/>
    </row>
    <row r="35" ht="15.75" customHeight="1">
      <c r="A35" s="116" t="s">
        <v>4826</v>
      </c>
      <c r="B35" s="841">
        <v>45548.0</v>
      </c>
      <c r="C35" s="870">
        <v>45547.0</v>
      </c>
      <c r="D35" s="197" t="s">
        <v>74</v>
      </c>
      <c r="G35" s="3">
        <v>50.0</v>
      </c>
      <c r="H35" s="2" t="s">
        <v>47</v>
      </c>
      <c r="I35" s="58">
        <v>4.33</v>
      </c>
      <c r="J35" s="58">
        <v>0.9</v>
      </c>
      <c r="K35" s="59">
        <f t="shared" si="2"/>
        <v>4.29103</v>
      </c>
      <c r="L35" s="3">
        <v>0.414</v>
      </c>
      <c r="M35" s="60">
        <v>0.38</v>
      </c>
      <c r="N35" s="62">
        <v>0.38</v>
      </c>
      <c r="O35" s="106">
        <f t="shared" si="20"/>
        <v>0.38</v>
      </c>
      <c r="P35" s="2">
        <v>90.0</v>
      </c>
      <c r="Q35" s="58">
        <v>89.44</v>
      </c>
      <c r="R35" s="65">
        <v>2558.65</v>
      </c>
      <c r="S35" s="3">
        <v>110.0</v>
      </c>
      <c r="U35" s="2">
        <v>80.0</v>
      </c>
      <c r="V35" s="67">
        <v>1.1023</v>
      </c>
      <c r="W35" s="58">
        <v>5.5</v>
      </c>
      <c r="X35" s="58">
        <v>7.2</v>
      </c>
      <c r="Z35" s="77">
        <v>10.0</v>
      </c>
      <c r="AA35" s="70">
        <f t="shared" si="5"/>
        <v>10</v>
      </c>
      <c r="AB35" s="71">
        <f t="shared" si="18"/>
        <v>802.1418361</v>
      </c>
      <c r="AC35" s="71">
        <f>+(S35-T35)*V35-'data 1'!$F$4</f>
        <v>41.253</v>
      </c>
      <c r="AD35" s="71">
        <f t="shared" si="7"/>
        <v>-6.334369331</v>
      </c>
      <c r="AE35" s="918">
        <f t="shared" si="8"/>
        <v>-77.462571</v>
      </c>
      <c r="AF35" s="71">
        <f t="shared" si="9"/>
        <v>83.08559248</v>
      </c>
      <c r="AG35" s="71">
        <f t="shared" si="22"/>
        <v>130.5416521</v>
      </c>
      <c r="AH35" s="71">
        <f t="shared" si="11"/>
        <v>54.4756915</v>
      </c>
      <c r="AI35" s="58">
        <f t="shared" si="12"/>
        <v>72.79558706</v>
      </c>
      <c r="AJ35" s="58">
        <f t="shared" si="13"/>
        <v>50.31491301</v>
      </c>
      <c r="AK35" s="11"/>
      <c r="AL35" s="70">
        <f t="shared" si="15"/>
        <v>3442.014683</v>
      </c>
      <c r="AM35" s="65"/>
    </row>
    <row r="36" ht="15.75" customHeight="1">
      <c r="A36" s="116" t="s">
        <v>4827</v>
      </c>
      <c r="B36" s="841">
        <v>45548.0</v>
      </c>
      <c r="C36" s="870">
        <v>45547.0</v>
      </c>
      <c r="D36" s="197" t="s">
        <v>74</v>
      </c>
      <c r="G36" s="3">
        <v>45.0</v>
      </c>
      <c r="H36" s="2" t="s">
        <v>47</v>
      </c>
      <c r="I36" s="58">
        <v>3.97</v>
      </c>
      <c r="J36" s="58">
        <v>1.0</v>
      </c>
      <c r="K36" s="59">
        <f t="shared" si="2"/>
        <v>3.9303</v>
      </c>
      <c r="L36" s="3">
        <v>0.118</v>
      </c>
      <c r="M36" s="60">
        <v>0.115</v>
      </c>
      <c r="N36" s="62">
        <v>0.115</v>
      </c>
      <c r="O36" s="106">
        <f t="shared" si="20"/>
        <v>0.115</v>
      </c>
      <c r="P36" s="2">
        <v>85.0</v>
      </c>
      <c r="Q36" s="58">
        <v>89.48</v>
      </c>
      <c r="R36" s="65">
        <v>2558.65</v>
      </c>
      <c r="S36" s="3">
        <v>95.0</v>
      </c>
      <c r="U36" s="2">
        <v>80.0</v>
      </c>
      <c r="V36" s="67">
        <v>1.1023</v>
      </c>
      <c r="W36" s="58">
        <v>5.5</v>
      </c>
      <c r="X36" s="58">
        <v>7.2</v>
      </c>
      <c r="Z36" s="77">
        <v>10.0</v>
      </c>
      <c r="AA36" s="70">
        <f t="shared" si="5"/>
        <v>10</v>
      </c>
      <c r="AB36" s="71">
        <f t="shared" si="18"/>
        <v>151.3326037</v>
      </c>
      <c r="AC36" s="71">
        <f>+(S36-T36)*V36-'data 1'!$F$4</f>
        <v>24.7185</v>
      </c>
      <c r="AD36" s="71">
        <f t="shared" si="7"/>
        <v>14.44358611</v>
      </c>
      <c r="AE36" s="918">
        <f t="shared" si="8"/>
        <v>-77.462571</v>
      </c>
      <c r="AF36" s="71">
        <f t="shared" si="9"/>
        <v>7.334360349</v>
      </c>
      <c r="AG36" s="71">
        <f t="shared" si="22"/>
        <v>59.03387546</v>
      </c>
      <c r="AH36" s="71">
        <f t="shared" si="11"/>
        <v>14.22796386</v>
      </c>
      <c r="AI36" s="58">
        <f t="shared" si="12"/>
        <v>20.75777995</v>
      </c>
      <c r="AJ36" s="58">
        <f t="shared" si="13"/>
        <v>13.17199438</v>
      </c>
      <c r="AK36" s="11"/>
      <c r="AL36" s="70">
        <f t="shared" si="15"/>
        <v>594.7825325</v>
      </c>
      <c r="AM36" s="65"/>
    </row>
    <row r="37" ht="15.75" customHeight="1">
      <c r="A37" s="116" t="s">
        <v>4828</v>
      </c>
      <c r="B37" s="841">
        <v>45548.0</v>
      </c>
      <c r="C37" s="870">
        <v>45547.0</v>
      </c>
      <c r="D37" s="197" t="s">
        <v>74</v>
      </c>
      <c r="G37" s="3">
        <v>49.0</v>
      </c>
      <c r="H37" s="2" t="s">
        <v>47</v>
      </c>
      <c r="I37" s="58">
        <v>4.0</v>
      </c>
      <c r="J37" s="58">
        <v>1.0</v>
      </c>
      <c r="K37" s="59">
        <f t="shared" si="2"/>
        <v>3.96</v>
      </c>
      <c r="L37" s="3">
        <v>0.196</v>
      </c>
      <c r="M37" s="60">
        <v>0.186</v>
      </c>
      <c r="N37" s="62">
        <v>0.186</v>
      </c>
      <c r="O37" s="106">
        <f t="shared" si="20"/>
        <v>0.186</v>
      </c>
      <c r="P37" s="2">
        <v>85.0</v>
      </c>
      <c r="Q37" s="58">
        <v>89.21</v>
      </c>
      <c r="R37" s="65">
        <v>2558.65</v>
      </c>
      <c r="S37" s="3">
        <v>95.0</v>
      </c>
      <c r="U37" s="2">
        <v>80.0</v>
      </c>
      <c r="V37" s="67">
        <v>1.1023</v>
      </c>
      <c r="W37" s="58">
        <v>5.5</v>
      </c>
      <c r="X37" s="58">
        <v>7.2</v>
      </c>
      <c r="Z37" s="77">
        <v>10.0</v>
      </c>
      <c r="AA37" s="70">
        <f t="shared" si="5"/>
        <v>10</v>
      </c>
      <c r="AB37" s="71">
        <f t="shared" si="18"/>
        <v>316.221833</v>
      </c>
      <c r="AC37" s="71">
        <f>+(S37-T37)*V37-'data 1'!$F$4</f>
        <v>24.7185</v>
      </c>
      <c r="AD37" s="71">
        <f t="shared" si="7"/>
        <v>22.54515268</v>
      </c>
      <c r="AE37" s="918">
        <f t="shared" si="8"/>
        <v>-77.462571</v>
      </c>
      <c r="AF37" s="71">
        <f t="shared" si="9"/>
        <v>24.374098</v>
      </c>
      <c r="AG37" s="71">
        <f t="shared" si="22"/>
        <v>84.17517968</v>
      </c>
      <c r="AH37" s="71">
        <f t="shared" si="11"/>
        <v>23.73962563</v>
      </c>
      <c r="AI37" s="58">
        <f t="shared" si="12"/>
        <v>34.37498615</v>
      </c>
      <c r="AJ37" s="58">
        <f t="shared" si="13"/>
        <v>21.46525861</v>
      </c>
      <c r="AK37" s="11"/>
      <c r="AL37" s="70">
        <f t="shared" si="15"/>
        <v>1252.238459</v>
      </c>
      <c r="AM37" s="65"/>
    </row>
    <row r="38" ht="15.75" customHeight="1">
      <c r="A38" s="116" t="s">
        <v>4829</v>
      </c>
      <c r="B38" s="841">
        <v>45548.0</v>
      </c>
      <c r="C38" s="870">
        <v>45547.0</v>
      </c>
      <c r="D38" s="197" t="s">
        <v>74</v>
      </c>
      <c r="G38" s="3">
        <v>42.0</v>
      </c>
      <c r="H38" s="2" t="s">
        <v>47</v>
      </c>
      <c r="I38" s="58">
        <v>3.6</v>
      </c>
      <c r="J38" s="58">
        <v>0.8</v>
      </c>
      <c r="K38" s="59">
        <f t="shared" si="2"/>
        <v>3.5712</v>
      </c>
      <c r="L38" s="3">
        <v>0.186</v>
      </c>
      <c r="M38" s="60">
        <v>0.176</v>
      </c>
      <c r="N38" s="62">
        <v>0.176</v>
      </c>
      <c r="O38" s="106">
        <f t="shared" si="20"/>
        <v>0.176</v>
      </c>
      <c r="P38" s="2">
        <v>85.0</v>
      </c>
      <c r="Q38" s="58">
        <v>89.24</v>
      </c>
      <c r="R38" s="65">
        <v>2558.65</v>
      </c>
      <c r="S38" s="3">
        <v>95.0</v>
      </c>
      <c r="U38" s="2">
        <v>80.0</v>
      </c>
      <c r="V38" s="67">
        <v>1.1023</v>
      </c>
      <c r="W38" s="58">
        <v>5.5</v>
      </c>
      <c r="X38" s="58">
        <v>7.2</v>
      </c>
      <c r="Z38" s="77">
        <v>10.0</v>
      </c>
      <c r="AA38" s="70">
        <f t="shared" si="5"/>
        <v>10</v>
      </c>
      <c r="AB38" s="71">
        <f t="shared" si="18"/>
        <v>292.9979979</v>
      </c>
      <c r="AC38" s="71">
        <f>+(S38-T38)*V38-'data 1'!$F$4</f>
        <v>24.7185</v>
      </c>
      <c r="AD38" s="71">
        <f t="shared" si="7"/>
        <v>21.54734743</v>
      </c>
      <c r="AE38" s="918">
        <f t="shared" si="8"/>
        <v>-77.462571</v>
      </c>
      <c r="AF38" s="71">
        <f t="shared" si="9"/>
        <v>24.38229465</v>
      </c>
      <c r="AG38" s="71">
        <f t="shared" si="22"/>
        <v>83.18557108</v>
      </c>
      <c r="AH38" s="71">
        <f t="shared" si="11"/>
        <v>20.32337113</v>
      </c>
      <c r="AI38" s="58">
        <f t="shared" si="12"/>
        <v>32.63213034</v>
      </c>
      <c r="AJ38" s="58">
        <f t="shared" si="13"/>
        <v>18.31702068</v>
      </c>
      <c r="AK38" s="11"/>
      <c r="AL38" s="70">
        <f t="shared" si="15"/>
        <v>1046.35445</v>
      </c>
      <c r="AM38" s="65"/>
    </row>
    <row r="39" ht="15.75" customHeight="1">
      <c r="A39" s="116" t="s">
        <v>4830</v>
      </c>
      <c r="B39" s="932">
        <v>45548.0</v>
      </c>
      <c r="C39" s="932">
        <v>45547.0</v>
      </c>
      <c r="D39" s="628" t="s">
        <v>74</v>
      </c>
      <c r="E39" s="68"/>
      <c r="F39" s="68"/>
      <c r="G39" s="143">
        <v>20.0</v>
      </c>
      <c r="H39" s="68" t="s">
        <v>47</v>
      </c>
      <c r="I39" s="130">
        <v>1.65</v>
      </c>
      <c r="J39" s="130">
        <v>2.2</v>
      </c>
      <c r="K39" s="145">
        <f t="shared" si="2"/>
        <v>1.6137</v>
      </c>
      <c r="L39" s="143">
        <v>0.043</v>
      </c>
      <c r="M39" s="61">
        <v>0.035</v>
      </c>
      <c r="N39" s="114">
        <v>0.035</v>
      </c>
      <c r="O39" s="61">
        <f t="shared" si="20"/>
        <v>0.035</v>
      </c>
      <c r="P39" s="68">
        <v>85.0</v>
      </c>
      <c r="Q39" s="130">
        <v>71.63</v>
      </c>
      <c r="R39" s="433">
        <v>2558.65</v>
      </c>
      <c r="S39" s="143">
        <v>95.0</v>
      </c>
      <c r="T39" s="68"/>
      <c r="U39" s="68">
        <v>80.0</v>
      </c>
      <c r="V39" s="68">
        <v>1.1023</v>
      </c>
      <c r="W39" s="130">
        <v>5.5</v>
      </c>
      <c r="X39" s="130">
        <v>6.0</v>
      </c>
      <c r="Y39" s="68"/>
      <c r="Z39" s="77">
        <v>10.0</v>
      </c>
      <c r="AA39" s="433">
        <f t="shared" si="5"/>
        <v>10</v>
      </c>
      <c r="AB39" s="937">
        <v>0.0</v>
      </c>
      <c r="AC39" s="108">
        <f>+(S39-T39)*V39-'data 1'!$F$4</f>
        <v>24.7185</v>
      </c>
      <c r="AD39" s="108">
        <f t="shared" si="7"/>
        <v>-15.7077824</v>
      </c>
      <c r="AE39" s="918">
        <f t="shared" si="8"/>
        <v>-73.362015</v>
      </c>
      <c r="AF39" s="108">
        <f t="shared" si="9"/>
        <v>15.65668996</v>
      </c>
      <c r="AG39" s="108">
        <f t="shared" si="22"/>
        <v>41.30539256</v>
      </c>
      <c r="AH39" s="108">
        <f t="shared" si="11"/>
        <v>1.704100779</v>
      </c>
      <c r="AI39" s="130">
        <f t="shared" si="12"/>
        <v>6.05530925</v>
      </c>
      <c r="AJ39" s="130">
        <f t="shared" si="13"/>
        <v>1.645958338</v>
      </c>
      <c r="AK39" s="933"/>
      <c r="AL39" s="70">
        <f t="shared" si="15"/>
        <v>0</v>
      </c>
      <c r="AM39" s="433"/>
      <c r="AN39" s="68"/>
      <c r="AO39" s="68"/>
      <c r="AP39" s="68"/>
      <c r="AQ39" s="68"/>
      <c r="AR39" s="68"/>
      <c r="AS39" s="68"/>
      <c r="AT39" s="68"/>
    </row>
    <row r="40" ht="15.75" customHeight="1">
      <c r="A40" s="116" t="s">
        <v>4831</v>
      </c>
      <c r="B40" s="938">
        <v>45551.0</v>
      </c>
      <c r="C40" s="938">
        <v>45549.0</v>
      </c>
      <c r="D40" s="528" t="s">
        <v>4589</v>
      </c>
      <c r="E40" s="528"/>
      <c r="F40" s="528"/>
      <c r="G40" s="939" t="s">
        <v>4100</v>
      </c>
      <c r="H40" s="528" t="s">
        <v>71</v>
      </c>
      <c r="I40" s="528">
        <v>33.9</v>
      </c>
      <c r="J40" s="940">
        <v>1.0</v>
      </c>
      <c r="K40" s="941">
        <f t="shared" si="2"/>
        <v>33.561</v>
      </c>
      <c r="L40" s="942">
        <v>0.171</v>
      </c>
      <c r="M40" s="942">
        <v>0.16</v>
      </c>
      <c r="N40" s="943">
        <v>0.183</v>
      </c>
      <c r="O40" s="942">
        <f t="shared" si="20"/>
        <v>0.172</v>
      </c>
      <c r="P40" s="528">
        <v>88.0</v>
      </c>
      <c r="Q40" s="940">
        <v>89.4</v>
      </c>
      <c r="R40" s="944">
        <v>2556.79</v>
      </c>
      <c r="S40" s="939">
        <v>110.0</v>
      </c>
      <c r="T40" s="528"/>
      <c r="U40" s="528">
        <v>120.0</v>
      </c>
      <c r="V40" s="528">
        <v>1.1023</v>
      </c>
      <c r="W40" s="945">
        <v>3.0</v>
      </c>
      <c r="X40" s="945">
        <v>3.0</v>
      </c>
      <c r="Y40" s="528"/>
      <c r="Z40" s="946">
        <v>20.0</v>
      </c>
      <c r="AA40" s="944">
        <f t="shared" si="5"/>
        <v>20</v>
      </c>
      <c r="AB40" s="947">
        <f t="shared" ref="AB40:AB76" si="23">+((O40*P40*(R40-U40)/100)-S40-AA40+T40)*V40</f>
        <v>263.2651027</v>
      </c>
      <c r="AC40" s="947">
        <f>+(S40-T40)*V40-'data 1'!$F$4</f>
        <v>41.253</v>
      </c>
      <c r="AD40" s="947">
        <f t="shared" si="7"/>
        <v>6.430460239</v>
      </c>
      <c r="AE40" s="918">
        <f t="shared" si="8"/>
        <v>-47.954</v>
      </c>
      <c r="AF40" s="947">
        <f t="shared" si="9"/>
        <v>-2.401349814</v>
      </c>
      <c r="AG40" s="947">
        <f t="shared" ref="AG40:AG62" si="24">+IF(D40="RONALD WILLIAN GARIBAY ESCUDERO",AC40+AD40+AE40+AF40+80,AC40+AD40+AE40+AF40)</f>
        <v>-2.671889574</v>
      </c>
      <c r="AH40" s="947">
        <f t="shared" si="11"/>
        <v>175.9047598</v>
      </c>
      <c r="AI40" s="940">
        <f t="shared" si="12"/>
        <v>37.10824998</v>
      </c>
      <c r="AJ40" s="940">
        <f t="shared" si="13"/>
        <v>174.1626728</v>
      </c>
      <c r="AK40" s="948"/>
      <c r="AL40" s="70">
        <f t="shared" si="15"/>
        <v>8835.440111</v>
      </c>
      <c r="AM40" s="944"/>
      <c r="AN40" s="528"/>
      <c r="AO40" s="528"/>
      <c r="AP40" s="528"/>
      <c r="AQ40" s="528"/>
      <c r="AR40" s="528"/>
      <c r="AS40" s="528"/>
      <c r="AT40" s="528"/>
    </row>
    <row r="41" ht="15.75" customHeight="1">
      <c r="A41" s="116" t="s">
        <v>4832</v>
      </c>
      <c r="B41" s="938">
        <v>45551.0</v>
      </c>
      <c r="C41" s="938">
        <v>45549.0</v>
      </c>
      <c r="D41" s="528" t="s">
        <v>4589</v>
      </c>
      <c r="E41" s="528"/>
      <c r="F41" s="528"/>
      <c r="G41" s="939" t="s">
        <v>4100</v>
      </c>
      <c r="H41" s="528" t="s">
        <v>71</v>
      </c>
      <c r="I41" s="528">
        <v>26.42</v>
      </c>
      <c r="J41" s="940">
        <v>1.0</v>
      </c>
      <c r="K41" s="941">
        <f t="shared" si="2"/>
        <v>26.1558</v>
      </c>
      <c r="L41" s="942">
        <v>0.188</v>
      </c>
      <c r="M41" s="942">
        <v>0.177</v>
      </c>
      <c r="N41" s="943">
        <v>0.2</v>
      </c>
      <c r="O41" s="942">
        <f t="shared" si="20"/>
        <v>0.189</v>
      </c>
      <c r="P41" s="528">
        <v>88.0</v>
      </c>
      <c r="Q41" s="940">
        <v>89.77</v>
      </c>
      <c r="R41" s="944">
        <v>2556.79</v>
      </c>
      <c r="S41" s="939">
        <v>110.0</v>
      </c>
      <c r="T41" s="528"/>
      <c r="U41" s="528">
        <v>120.0</v>
      </c>
      <c r="V41" s="528">
        <v>1.1023</v>
      </c>
      <c r="W41" s="945">
        <v>3.0</v>
      </c>
      <c r="X41" s="945">
        <v>3.0</v>
      </c>
      <c r="Y41" s="528"/>
      <c r="Z41" s="946">
        <v>20.0</v>
      </c>
      <c r="AA41" s="944">
        <f t="shared" si="5"/>
        <v>20</v>
      </c>
      <c r="AB41" s="947">
        <f t="shared" si="23"/>
        <v>303.448764</v>
      </c>
      <c r="AC41" s="947">
        <f>+(S41-T41)*V41-'data 1'!$F$4</f>
        <v>41.253</v>
      </c>
      <c r="AD41" s="947">
        <f t="shared" si="7"/>
        <v>8.938178568</v>
      </c>
      <c r="AE41" s="918">
        <f t="shared" si="8"/>
        <v>-47.954</v>
      </c>
      <c r="AF41" s="947">
        <f t="shared" si="9"/>
        <v>-2.411288286</v>
      </c>
      <c r="AG41" s="947">
        <f t="shared" si="24"/>
        <v>-0.1741097181</v>
      </c>
      <c r="AH41" s="947">
        <f t="shared" si="11"/>
        <v>151.3443288</v>
      </c>
      <c r="AI41" s="940">
        <f t="shared" si="12"/>
        <v>40.96622244</v>
      </c>
      <c r="AJ41" s="940">
        <f t="shared" si="13"/>
        <v>149.1494147</v>
      </c>
      <c r="AK41" s="948"/>
      <c r="AL41" s="70">
        <f t="shared" si="15"/>
        <v>7936.945181</v>
      </c>
      <c r="AM41" s="944"/>
      <c r="AN41" s="528"/>
      <c r="AO41" s="528"/>
      <c r="AP41" s="528"/>
      <c r="AQ41" s="528"/>
      <c r="AR41" s="528"/>
      <c r="AS41" s="528"/>
      <c r="AT41" s="528"/>
    </row>
    <row r="42" ht="15.75" customHeight="1">
      <c r="A42" s="116" t="s">
        <v>4833</v>
      </c>
      <c r="B42" s="841">
        <v>45551.0</v>
      </c>
      <c r="C42" s="870">
        <v>45549.0</v>
      </c>
      <c r="D42" s="197" t="s">
        <v>51</v>
      </c>
      <c r="E42" s="2">
        <v>1.042310973E10</v>
      </c>
      <c r="G42" s="3" t="s">
        <v>4100</v>
      </c>
      <c r="H42" s="2" t="s">
        <v>47</v>
      </c>
      <c r="I42" s="2">
        <v>21.61</v>
      </c>
      <c r="J42" s="58">
        <v>0.9</v>
      </c>
      <c r="K42" s="59">
        <f t="shared" si="2"/>
        <v>21.41551</v>
      </c>
      <c r="L42" s="60">
        <v>0.206</v>
      </c>
      <c r="M42" s="60">
        <v>0.179</v>
      </c>
      <c r="N42" s="60">
        <v>0.243</v>
      </c>
      <c r="O42" s="106">
        <f t="shared" si="20"/>
        <v>0.211</v>
      </c>
      <c r="P42" s="2">
        <v>90.0</v>
      </c>
      <c r="Q42" s="58">
        <v>89.47</v>
      </c>
      <c r="R42" s="65">
        <v>2571.35</v>
      </c>
      <c r="S42" s="3">
        <v>110.0</v>
      </c>
      <c r="U42" s="2">
        <v>100.0</v>
      </c>
      <c r="V42" s="67">
        <v>1.1023</v>
      </c>
      <c r="W42" s="58">
        <v>5.0</v>
      </c>
      <c r="X42" s="58">
        <v>6.5</v>
      </c>
      <c r="Z42" s="69">
        <f t="shared" ref="Z42:Z64" si="25">IF(IF(D42="UNTUCA",IF(+((W42-3)*1.5+(X42-3)*3.1)&gt;0,+((W42-3)*1.5+(X42-3)*3.1),0),IF(+((W42-3)*1.5+(X42-3)*3.1)&gt;0,+((W42-3)*1.5+(X42-3)*3.1),0))&lt;30,30,IF(D42="UNTUCA",IF(+((W42-3)*1.5+(X42-3)*3.1)&gt;0,+((W42-3)*1.5+(X42-3)*3.1),0),IF(+((W42-3)*1.5+(X42-3)*3.1)&gt;0,+((W42-3)*1.5+(X42-3)*3.1),0)))</f>
        <v>30</v>
      </c>
      <c r="AA42" s="70">
        <f t="shared" si="5"/>
        <v>30</v>
      </c>
      <c r="AB42" s="71">
        <f t="shared" si="23"/>
        <v>362.997713</v>
      </c>
      <c r="AC42" s="71">
        <f>+(S42-T42)*V42-'data 1'!$F$4</f>
        <v>41.253</v>
      </c>
      <c r="AD42" s="71">
        <f t="shared" si="7"/>
        <v>-2.974247829</v>
      </c>
      <c r="AE42" s="918">
        <f t="shared" si="8"/>
        <v>-52.197855</v>
      </c>
      <c r="AF42" s="71">
        <f t="shared" si="9"/>
        <v>-12.18657049</v>
      </c>
      <c r="AG42" s="71">
        <f t="shared" si="24"/>
        <v>53.89432668</v>
      </c>
      <c r="AH42" s="71">
        <f t="shared" si="11"/>
        <v>135.3262815</v>
      </c>
      <c r="AI42" s="58">
        <f t="shared" si="12"/>
        <v>37.71719774</v>
      </c>
      <c r="AJ42" s="58">
        <f t="shared" si="13"/>
        <v>139.4319995</v>
      </c>
      <c r="AK42" s="11"/>
      <c r="AL42" s="70">
        <f t="shared" si="15"/>
        <v>7773.781154</v>
      </c>
      <c r="AM42" s="65"/>
    </row>
    <row r="43" ht="15.75" customHeight="1">
      <c r="A43" s="116" t="s">
        <v>4834</v>
      </c>
      <c r="B43" s="841">
        <v>45552.0</v>
      </c>
      <c r="C43" s="932">
        <v>45551.0</v>
      </c>
      <c r="D43" s="2" t="s">
        <v>602</v>
      </c>
      <c r="E43" s="2">
        <v>2.0169040231E10</v>
      </c>
      <c r="F43" s="2" t="s">
        <v>4835</v>
      </c>
      <c r="G43" s="3">
        <v>48.0</v>
      </c>
      <c r="H43" s="2" t="s">
        <v>47</v>
      </c>
      <c r="I43" s="58">
        <v>4.33</v>
      </c>
      <c r="J43" s="58">
        <v>0.9</v>
      </c>
      <c r="K43" s="59">
        <f t="shared" si="2"/>
        <v>4.29103</v>
      </c>
      <c r="L43" s="60">
        <v>0.293</v>
      </c>
      <c r="M43" s="60">
        <v>0.284</v>
      </c>
      <c r="N43" s="62">
        <v>0.284</v>
      </c>
      <c r="O43" s="106">
        <f t="shared" si="20"/>
        <v>0.284</v>
      </c>
      <c r="P43" s="2">
        <v>90.0</v>
      </c>
      <c r="Q43" s="58">
        <v>89.23</v>
      </c>
      <c r="R43" s="65">
        <v>2556.79</v>
      </c>
      <c r="S43" s="3">
        <v>110.0</v>
      </c>
      <c r="U43" s="2">
        <v>130.0</v>
      </c>
      <c r="V43" s="67">
        <v>1.1023</v>
      </c>
      <c r="W43" s="58">
        <v>5.5</v>
      </c>
      <c r="X43" s="58">
        <v>10.6</v>
      </c>
      <c r="Y43" s="2">
        <v>50.0</v>
      </c>
      <c r="Z43" s="69">
        <f t="shared" si="25"/>
        <v>30</v>
      </c>
      <c r="AA43" s="70">
        <f t="shared" si="5"/>
        <v>80</v>
      </c>
      <c r="AB43" s="71">
        <f t="shared" si="23"/>
        <v>474.3059377</v>
      </c>
      <c r="AC43" s="71">
        <f>+(S43-T43)*V43-'data 1'!$F$4</f>
        <v>41.253</v>
      </c>
      <c r="AD43" s="71">
        <f t="shared" si="7"/>
        <v>-6.035181697</v>
      </c>
      <c r="AE43" s="918">
        <f t="shared" si="8"/>
        <v>-11.919813</v>
      </c>
      <c r="AF43" s="71">
        <f t="shared" si="9"/>
        <v>21.48252899</v>
      </c>
      <c r="AG43" s="71">
        <f t="shared" si="24"/>
        <v>44.78053429</v>
      </c>
      <c r="AH43" s="71">
        <f t="shared" si="11"/>
        <v>38.46352949</v>
      </c>
      <c r="AI43" s="58">
        <f t="shared" si="12"/>
        <v>66.34413034</v>
      </c>
      <c r="AJ43" s="58">
        <f t="shared" si="13"/>
        <v>37.60377709</v>
      </c>
      <c r="AK43" s="11"/>
      <c r="AL43" s="70">
        <f t="shared" si="15"/>
        <v>2035.261008</v>
      </c>
      <c r="AM43" s="65"/>
    </row>
    <row r="44" ht="15.75" customHeight="1">
      <c r="A44" s="116" t="s">
        <v>4836</v>
      </c>
      <c r="B44" s="841">
        <v>45552.0</v>
      </c>
      <c r="C44" s="932">
        <v>45551.0</v>
      </c>
      <c r="D44" s="2" t="s">
        <v>602</v>
      </c>
      <c r="E44" s="2">
        <v>2.0169040231E10</v>
      </c>
      <c r="F44" s="2" t="s">
        <v>4835</v>
      </c>
      <c r="G44" s="3">
        <v>8.0</v>
      </c>
      <c r="H44" s="2" t="s">
        <v>47</v>
      </c>
      <c r="I44" s="58">
        <v>0.7</v>
      </c>
      <c r="J44" s="58">
        <v>1.0</v>
      </c>
      <c r="K44" s="59">
        <f t="shared" si="2"/>
        <v>0.693</v>
      </c>
      <c r="L44" s="60">
        <v>0.382</v>
      </c>
      <c r="M44" s="60">
        <v>0.367</v>
      </c>
      <c r="N44" s="62">
        <v>0.367</v>
      </c>
      <c r="O44" s="106">
        <f t="shared" si="20"/>
        <v>0.367</v>
      </c>
      <c r="P44" s="2">
        <v>90.0</v>
      </c>
      <c r="Q44" s="58">
        <v>89.28583837911421</v>
      </c>
      <c r="R44" s="65">
        <v>2556.79</v>
      </c>
      <c r="S44" s="3">
        <v>120.0</v>
      </c>
      <c r="U44" s="2">
        <v>130.0</v>
      </c>
      <c r="V44" s="67">
        <v>1.1023</v>
      </c>
      <c r="W44" s="58">
        <v>5.5</v>
      </c>
      <c r="X44" s="58">
        <v>10.7</v>
      </c>
      <c r="Y44" s="2">
        <v>50.0</v>
      </c>
      <c r="Z44" s="69">
        <f t="shared" si="25"/>
        <v>30</v>
      </c>
      <c r="AA44" s="70">
        <f t="shared" si="5"/>
        <v>80</v>
      </c>
      <c r="AB44" s="71">
        <f t="shared" si="23"/>
        <v>663.1092188</v>
      </c>
      <c r="AC44" s="71">
        <f>+(S44-T44)*V44-'data 1'!$F$4</f>
        <v>52.276</v>
      </c>
      <c r="AD44" s="71">
        <f t="shared" si="7"/>
        <v>-7.297798611</v>
      </c>
      <c r="AE44" s="918">
        <f t="shared" si="8"/>
        <v>-12.261526</v>
      </c>
      <c r="AF44" s="71">
        <f t="shared" si="9"/>
        <v>35.82662056</v>
      </c>
      <c r="AG44" s="71">
        <f t="shared" si="24"/>
        <v>68.54329595</v>
      </c>
      <c r="AH44" s="71">
        <f t="shared" si="11"/>
        <v>8.103791296</v>
      </c>
      <c r="AI44" s="58">
        <f t="shared" si="12"/>
        <v>86.55057074</v>
      </c>
      <c r="AJ44" s="58">
        <f t="shared" si="13"/>
        <v>7.847853325</v>
      </c>
      <c r="AK44" s="11"/>
      <c r="AL44" s="70">
        <f t="shared" si="15"/>
        <v>459.5346886</v>
      </c>
      <c r="AM44" s="65"/>
    </row>
    <row r="45" ht="15.75" customHeight="1">
      <c r="A45" s="116" t="s">
        <v>4837</v>
      </c>
      <c r="B45" s="841">
        <v>45552.0</v>
      </c>
      <c r="C45" s="932">
        <v>45551.0</v>
      </c>
      <c r="D45" s="2" t="s">
        <v>602</v>
      </c>
      <c r="E45" s="2">
        <v>2.0169040231E10</v>
      </c>
      <c r="F45" s="2" t="s">
        <v>4838</v>
      </c>
      <c r="G45" s="3">
        <v>21.0</v>
      </c>
      <c r="H45" s="2" t="s">
        <v>40</v>
      </c>
      <c r="I45" s="58">
        <v>1.79</v>
      </c>
      <c r="J45" s="58">
        <v>28.0</v>
      </c>
      <c r="K45" s="59">
        <f t="shared" si="2"/>
        <v>1.2888</v>
      </c>
      <c r="L45" s="60">
        <v>1.183</v>
      </c>
      <c r="M45" s="60">
        <v>1.135</v>
      </c>
      <c r="N45" s="75">
        <v>1.102</v>
      </c>
      <c r="O45" s="106">
        <f t="shared" si="20"/>
        <v>1.119</v>
      </c>
      <c r="P45" s="2">
        <v>90.0</v>
      </c>
      <c r="Q45" s="58">
        <v>89.1864210215435</v>
      </c>
      <c r="R45" s="65">
        <v>2556.79</v>
      </c>
      <c r="S45" s="3">
        <v>190.0</v>
      </c>
      <c r="U45" s="2">
        <v>130.0</v>
      </c>
      <c r="V45" s="67">
        <v>1.1023</v>
      </c>
      <c r="W45" s="58">
        <v>5.0</v>
      </c>
      <c r="X45" s="58">
        <v>6.5</v>
      </c>
      <c r="Y45" s="2">
        <v>50.0</v>
      </c>
      <c r="Z45" s="69">
        <f t="shared" si="25"/>
        <v>30</v>
      </c>
      <c r="AA45" s="70">
        <f t="shared" si="5"/>
        <v>80</v>
      </c>
      <c r="AB45" s="71">
        <f t="shared" si="23"/>
        <v>2396.422476</v>
      </c>
      <c r="AC45" s="71">
        <f>+(S45-T45)*V45-'data 1'!$F$4</f>
        <v>129.437</v>
      </c>
      <c r="AD45" s="71">
        <f t="shared" si="7"/>
        <v>-25.74639734</v>
      </c>
      <c r="AE45" s="918">
        <f t="shared" si="8"/>
        <v>2.917145</v>
      </c>
      <c r="AF45" s="71">
        <f t="shared" si="9"/>
        <v>152.690042</v>
      </c>
      <c r="AG45" s="71">
        <f t="shared" si="24"/>
        <v>259.2977896</v>
      </c>
      <c r="AH45" s="71">
        <f t="shared" si="11"/>
        <v>46.62062353</v>
      </c>
      <c r="AI45" s="58">
        <f t="shared" si="12"/>
        <v>267.7364331</v>
      </c>
      <c r="AJ45" s="58">
        <f t="shared" si="13"/>
        <v>44.50073588</v>
      </c>
      <c r="AK45" s="11"/>
      <c r="AL45" s="70">
        <f t="shared" si="15"/>
        <v>3088.509288</v>
      </c>
      <c r="AM45" s="65"/>
    </row>
    <row r="46" ht="15.75" customHeight="1">
      <c r="A46" s="116" t="s">
        <v>4839</v>
      </c>
      <c r="B46" s="841">
        <v>45552.0</v>
      </c>
      <c r="C46" s="932">
        <v>45551.0</v>
      </c>
      <c r="D46" s="2" t="s">
        <v>602</v>
      </c>
      <c r="E46" s="2">
        <v>2.0169040231E10</v>
      </c>
      <c r="F46" s="2" t="s">
        <v>4835</v>
      </c>
      <c r="G46" s="3">
        <v>22.0</v>
      </c>
      <c r="H46" s="2" t="s">
        <v>47</v>
      </c>
      <c r="I46" s="58">
        <v>1.84</v>
      </c>
      <c r="J46" s="58">
        <v>0.9</v>
      </c>
      <c r="K46" s="59">
        <f t="shared" si="2"/>
        <v>1.82344</v>
      </c>
      <c r="L46" s="60">
        <v>0.455</v>
      </c>
      <c r="M46" s="60">
        <v>0.431</v>
      </c>
      <c r="N46" s="62">
        <v>0.431</v>
      </c>
      <c r="O46" s="106">
        <f t="shared" si="20"/>
        <v>0.431</v>
      </c>
      <c r="P46" s="2">
        <v>90.0</v>
      </c>
      <c r="Q46" s="58">
        <v>89.48</v>
      </c>
      <c r="R46" s="65">
        <v>2556.79</v>
      </c>
      <c r="S46" s="3">
        <v>130.0</v>
      </c>
      <c r="U46" s="2">
        <v>130.0</v>
      </c>
      <c r="V46" s="67">
        <v>1.1023</v>
      </c>
      <c r="W46" s="58">
        <v>5.5</v>
      </c>
      <c r="X46" s="58">
        <v>10.6</v>
      </c>
      <c r="Y46" s="2">
        <v>50.0</v>
      </c>
      <c r="Z46" s="69">
        <f t="shared" si="25"/>
        <v>30</v>
      </c>
      <c r="AA46" s="70">
        <f t="shared" si="5"/>
        <v>80</v>
      </c>
      <c r="AB46" s="71">
        <f t="shared" si="23"/>
        <v>806.1691343</v>
      </c>
      <c r="AC46" s="71">
        <f>+(S46-T46)*V46-'data 1'!$F$4</f>
        <v>63.299</v>
      </c>
      <c r="AD46" s="71">
        <f t="shared" si="7"/>
        <v>-6.32916976</v>
      </c>
      <c r="AE46" s="918">
        <f t="shared" si="8"/>
        <v>-11.919813</v>
      </c>
      <c r="AF46" s="71">
        <f t="shared" si="9"/>
        <v>57.44724701</v>
      </c>
      <c r="AG46" s="71">
        <f t="shared" si="24"/>
        <v>102.4972643</v>
      </c>
      <c r="AH46" s="71">
        <f t="shared" si="11"/>
        <v>25.45293795</v>
      </c>
      <c r="AI46" s="58">
        <f t="shared" si="12"/>
        <v>103.3145205</v>
      </c>
      <c r="AJ46" s="58">
        <f t="shared" si="13"/>
        <v>24.25047928</v>
      </c>
      <c r="AK46" s="11"/>
      <c r="AL46" s="70">
        <f t="shared" si="15"/>
        <v>1470.001046</v>
      </c>
      <c r="AM46" s="65"/>
    </row>
    <row r="47" ht="15.75" customHeight="1">
      <c r="A47" s="116" t="s">
        <v>4840</v>
      </c>
      <c r="B47" s="841">
        <v>45552.0</v>
      </c>
      <c r="C47" s="932">
        <v>45551.0</v>
      </c>
      <c r="D47" s="2" t="s">
        <v>602</v>
      </c>
      <c r="E47" s="2">
        <v>2.0169040231E10</v>
      </c>
      <c r="F47" s="2" t="s">
        <v>4841</v>
      </c>
      <c r="G47" s="3">
        <v>35.0</v>
      </c>
      <c r="H47" s="2" t="s">
        <v>40</v>
      </c>
      <c r="I47" s="58">
        <v>2.29</v>
      </c>
      <c r="J47" s="58">
        <v>6.9</v>
      </c>
      <c r="K47" s="59">
        <f t="shared" si="2"/>
        <v>2.13199</v>
      </c>
      <c r="L47" s="60">
        <v>0.483</v>
      </c>
      <c r="M47" s="60">
        <v>0.464</v>
      </c>
      <c r="N47" s="62">
        <v>0.464</v>
      </c>
      <c r="O47" s="106">
        <f t="shared" si="20"/>
        <v>0.464</v>
      </c>
      <c r="P47" s="2">
        <v>90.0</v>
      </c>
      <c r="Q47" s="58">
        <v>89.1464375020008</v>
      </c>
      <c r="R47" s="65">
        <v>2556.79</v>
      </c>
      <c r="S47" s="3">
        <v>130.0</v>
      </c>
      <c r="U47" s="2">
        <v>130.0</v>
      </c>
      <c r="V47" s="67">
        <v>1.1023</v>
      </c>
      <c r="W47" s="58">
        <v>8.0</v>
      </c>
      <c r="X47" s="945">
        <v>10.0</v>
      </c>
      <c r="Y47" s="2">
        <v>50.0</v>
      </c>
      <c r="Z47" s="69">
        <f t="shared" si="25"/>
        <v>30</v>
      </c>
      <c r="AA47" s="70">
        <f t="shared" si="5"/>
        <v>80</v>
      </c>
      <c r="AB47" s="71">
        <f t="shared" si="23"/>
        <v>885.6181377</v>
      </c>
      <c r="AC47" s="71">
        <f>+(S47-T47)*V47-'data 1'!$F$4</f>
        <v>63.299</v>
      </c>
      <c r="AD47" s="71">
        <f t="shared" si="7"/>
        <v>-11.02844954</v>
      </c>
      <c r="AE47" s="918">
        <f t="shared" si="8"/>
        <v>-14.00316</v>
      </c>
      <c r="AF47" s="71">
        <f t="shared" si="9"/>
        <v>45.3095342</v>
      </c>
      <c r="AG47" s="71">
        <f t="shared" si="24"/>
        <v>83.57692466</v>
      </c>
      <c r="AH47" s="71">
        <f t="shared" si="11"/>
        <v>31.4735228</v>
      </c>
      <c r="AI47" s="58">
        <f t="shared" si="12"/>
        <v>109.2635019</v>
      </c>
      <c r="AJ47" s="58">
        <f t="shared" si="13"/>
        <v>30.52493323</v>
      </c>
      <c r="AK47" s="11"/>
      <c r="AL47" s="70">
        <f t="shared" si="15"/>
        <v>1888.129013</v>
      </c>
      <c r="AM47" s="65"/>
    </row>
    <row r="48" ht="15.75" customHeight="1">
      <c r="A48" s="116" t="s">
        <v>4842</v>
      </c>
      <c r="B48" s="841">
        <v>45557.0</v>
      </c>
      <c r="C48" s="932">
        <v>45551.0</v>
      </c>
      <c r="D48" s="2" t="s">
        <v>602</v>
      </c>
      <c r="E48" s="2">
        <v>2.0169040231E10</v>
      </c>
      <c r="F48" s="2" t="s">
        <v>4843</v>
      </c>
      <c r="G48" s="3">
        <v>30.0</v>
      </c>
      <c r="H48" s="2" t="s">
        <v>40</v>
      </c>
      <c r="I48" s="58">
        <v>2.0</v>
      </c>
      <c r="J48" s="58">
        <v>7.2</v>
      </c>
      <c r="K48" s="59">
        <f t="shared" si="2"/>
        <v>1.856</v>
      </c>
      <c r="L48" s="60">
        <v>0.354</v>
      </c>
      <c r="M48" s="60">
        <v>0.339</v>
      </c>
      <c r="N48" s="62">
        <v>0.339</v>
      </c>
      <c r="O48" s="106">
        <f t="shared" si="20"/>
        <v>0.339</v>
      </c>
      <c r="P48" s="2">
        <v>90.0</v>
      </c>
      <c r="Q48" s="58">
        <v>89.16</v>
      </c>
      <c r="R48" s="65">
        <v>2556.79</v>
      </c>
      <c r="S48" s="3">
        <v>120.0</v>
      </c>
      <c r="U48" s="2">
        <v>130.0</v>
      </c>
      <c r="V48" s="67">
        <v>1.1023</v>
      </c>
      <c r="W48" s="58">
        <v>8.0</v>
      </c>
      <c r="X48" s="945">
        <v>10.0</v>
      </c>
      <c r="Y48" s="2">
        <v>50.0</v>
      </c>
      <c r="Z48" s="69">
        <f t="shared" si="25"/>
        <v>30</v>
      </c>
      <c r="AA48" s="70">
        <f t="shared" si="5"/>
        <v>80</v>
      </c>
      <c r="AB48" s="71">
        <f t="shared" si="23"/>
        <v>595.6979432</v>
      </c>
      <c r="AC48" s="71">
        <f>+(S48-T48)*V48-'data 1'!$F$4</f>
        <v>52.276</v>
      </c>
      <c r="AD48" s="71">
        <f t="shared" si="7"/>
        <v>-7.954530515</v>
      </c>
      <c r="AE48" s="918">
        <f t="shared" si="8"/>
        <v>-14.00316</v>
      </c>
      <c r="AF48" s="71">
        <f t="shared" si="9"/>
        <v>35.77612695</v>
      </c>
      <c r="AG48" s="71">
        <f t="shared" si="24"/>
        <v>66.09443644</v>
      </c>
      <c r="AH48" s="71">
        <f t="shared" si="11"/>
        <v>20.08446941</v>
      </c>
      <c r="AI48" s="58">
        <f t="shared" si="12"/>
        <v>80.09350771</v>
      </c>
      <c r="AJ48" s="58">
        <f t="shared" si="13"/>
        <v>19.41463584</v>
      </c>
      <c r="AK48" s="11"/>
      <c r="AL48" s="70">
        <f t="shared" si="15"/>
        <v>1105.615383</v>
      </c>
      <c r="AM48" s="65"/>
    </row>
    <row r="49" ht="15.75" customHeight="1">
      <c r="A49" s="116" t="s">
        <v>4844</v>
      </c>
      <c r="B49" s="841">
        <v>45552.0</v>
      </c>
      <c r="C49" s="841">
        <v>45551.0</v>
      </c>
      <c r="D49" s="67" t="s">
        <v>4466</v>
      </c>
      <c r="E49" s="67">
        <v>2.0606534923E10</v>
      </c>
      <c r="F49" s="67" t="s">
        <v>4845</v>
      </c>
      <c r="G49" s="134">
        <v>53.0</v>
      </c>
      <c r="H49" s="67" t="s">
        <v>47</v>
      </c>
      <c r="I49" s="69">
        <v>4.95</v>
      </c>
      <c r="J49" s="69">
        <v>0.8</v>
      </c>
      <c r="K49" s="59">
        <f t="shared" si="2"/>
        <v>4.9104</v>
      </c>
      <c r="L49" s="106">
        <v>0.294</v>
      </c>
      <c r="M49" s="106">
        <v>0.282</v>
      </c>
      <c r="N49" s="135">
        <v>0.282</v>
      </c>
      <c r="O49" s="106">
        <f t="shared" si="20"/>
        <v>0.282</v>
      </c>
      <c r="P49" s="67">
        <v>90.0</v>
      </c>
      <c r="Q49" s="69">
        <v>89.33266261740816</v>
      </c>
      <c r="R49" s="70">
        <v>2556.79</v>
      </c>
      <c r="S49" s="134">
        <v>110.0</v>
      </c>
      <c r="T49" s="67"/>
      <c r="U49" s="67">
        <v>100.0</v>
      </c>
      <c r="V49" s="67">
        <v>1.1023</v>
      </c>
      <c r="W49" s="69">
        <v>5.2</v>
      </c>
      <c r="X49" s="69">
        <v>6.5</v>
      </c>
      <c r="Y49" s="67">
        <v>30.0</v>
      </c>
      <c r="Z49" s="69">
        <f t="shared" si="25"/>
        <v>30</v>
      </c>
      <c r="AA49" s="70">
        <f t="shared" si="5"/>
        <v>60</v>
      </c>
      <c r="AB49" s="71">
        <f t="shared" si="23"/>
        <v>499.9297588</v>
      </c>
      <c r="AC49" s="71">
        <f>+(S49-T49)*V49-'data 1'!$F$4</f>
        <v>41.253</v>
      </c>
      <c r="AD49" s="71">
        <f t="shared" si="7"/>
        <v>-5.313254603</v>
      </c>
      <c r="AE49" s="918">
        <f t="shared" si="8"/>
        <v>-19.459545</v>
      </c>
      <c r="AF49" s="71">
        <f t="shared" si="9"/>
        <v>29.03082433</v>
      </c>
      <c r="AG49" s="71">
        <f t="shared" si="24"/>
        <v>45.51102473</v>
      </c>
      <c r="AH49" s="71">
        <f t="shared" si="11"/>
        <v>44.2164172</v>
      </c>
      <c r="AI49" s="69">
        <f t="shared" si="12"/>
        <v>57.96197591</v>
      </c>
      <c r="AJ49" s="69">
        <f t="shared" si="13"/>
        <v>42.72849125</v>
      </c>
      <c r="AK49" s="53"/>
      <c r="AL49" s="70">
        <f t="shared" si="15"/>
        <v>2454.855088</v>
      </c>
      <c r="AM49" s="70"/>
      <c r="AN49" s="67"/>
      <c r="AO49" s="67"/>
      <c r="AP49" s="67"/>
      <c r="AQ49" s="67"/>
      <c r="AR49" s="67"/>
      <c r="AS49" s="67"/>
      <c r="AT49" s="67"/>
    </row>
    <row r="50" ht="15.75" customHeight="1">
      <c r="A50" s="116" t="s">
        <v>4846</v>
      </c>
      <c r="B50" s="841">
        <v>45555.0</v>
      </c>
      <c r="C50" s="932">
        <v>45551.0</v>
      </c>
      <c r="D50" s="2" t="s">
        <v>602</v>
      </c>
      <c r="E50" s="2">
        <v>2.0169040231E10</v>
      </c>
      <c r="F50" s="2" t="s">
        <v>4847</v>
      </c>
      <c r="G50" s="3">
        <v>16.0</v>
      </c>
      <c r="H50" s="2" t="s">
        <v>47</v>
      </c>
      <c r="I50" s="58">
        <v>1.41</v>
      </c>
      <c r="J50" s="58">
        <v>1.0</v>
      </c>
      <c r="K50" s="59">
        <f t="shared" si="2"/>
        <v>1.3959</v>
      </c>
      <c r="L50" s="60">
        <v>0.406</v>
      </c>
      <c r="M50" s="60">
        <v>0.39</v>
      </c>
      <c r="N50" s="62">
        <v>0.39</v>
      </c>
      <c r="O50" s="106">
        <f t="shared" si="20"/>
        <v>0.39</v>
      </c>
      <c r="P50" s="2">
        <v>90.0</v>
      </c>
      <c r="Q50" s="58">
        <v>89.77</v>
      </c>
      <c r="R50" s="65">
        <v>2556.79</v>
      </c>
      <c r="S50" s="3">
        <v>120.0</v>
      </c>
      <c r="U50" s="2">
        <v>130.0</v>
      </c>
      <c r="V50" s="67">
        <v>1.1023</v>
      </c>
      <c r="W50" s="58">
        <v>5.0</v>
      </c>
      <c r="X50" s="58">
        <v>6.6</v>
      </c>
      <c r="Y50" s="2">
        <v>30.0</v>
      </c>
      <c r="Z50" s="69">
        <f t="shared" si="25"/>
        <v>30</v>
      </c>
      <c r="AA50" s="70">
        <f t="shared" si="5"/>
        <v>60</v>
      </c>
      <c r="AB50" s="71">
        <f t="shared" si="23"/>
        <v>740.5287666</v>
      </c>
      <c r="AC50" s="71">
        <f>+(S50-T50)*V50-'data 1'!$F$4</f>
        <v>52.276</v>
      </c>
      <c r="AD50" s="71">
        <f t="shared" si="7"/>
        <v>-2.497962266</v>
      </c>
      <c r="AE50" s="918">
        <f t="shared" si="8"/>
        <v>-19.470568</v>
      </c>
      <c r="AF50" s="71">
        <f t="shared" si="9"/>
        <v>38.42228702</v>
      </c>
      <c r="AG50" s="71">
        <f t="shared" si="24"/>
        <v>68.72975676</v>
      </c>
      <c r="AH50" s="71">
        <f t="shared" si="11"/>
        <v>17.44297809</v>
      </c>
      <c r="AI50" s="58">
        <f t="shared" si="12"/>
        <v>92.48711895</v>
      </c>
      <c r="AJ50" s="58">
        <f t="shared" si="13"/>
        <v>16.79849959</v>
      </c>
      <c r="AK50" s="11"/>
      <c r="AL50" s="70">
        <f t="shared" si="15"/>
        <v>1033.704105</v>
      </c>
      <c r="AM50" s="65"/>
    </row>
    <row r="51" ht="15.75" customHeight="1">
      <c r="A51" s="116" t="s">
        <v>4848</v>
      </c>
      <c r="B51" s="841">
        <v>45555.0</v>
      </c>
      <c r="C51" s="932">
        <v>45551.0</v>
      </c>
      <c r="D51" s="2" t="s">
        <v>602</v>
      </c>
      <c r="E51" s="2">
        <v>2.0169040231E10</v>
      </c>
      <c r="F51" s="2" t="s">
        <v>4849</v>
      </c>
      <c r="G51" s="3">
        <v>25.0</v>
      </c>
      <c r="H51" s="2" t="s">
        <v>47</v>
      </c>
      <c r="I51" s="58">
        <v>2.39</v>
      </c>
      <c r="J51" s="58">
        <v>1.1</v>
      </c>
      <c r="K51" s="59">
        <f t="shared" si="2"/>
        <v>2.36371</v>
      </c>
      <c r="L51" s="60">
        <v>0.305</v>
      </c>
      <c r="M51" s="60">
        <v>0.293</v>
      </c>
      <c r="N51" s="62">
        <v>0.293</v>
      </c>
      <c r="O51" s="106">
        <f t="shared" si="20"/>
        <v>0.293</v>
      </c>
      <c r="P51" s="2">
        <v>90.0</v>
      </c>
      <c r="Q51" s="58">
        <v>89.63</v>
      </c>
      <c r="R51" s="65">
        <v>2556.79</v>
      </c>
      <c r="S51" s="3">
        <v>110.0</v>
      </c>
      <c r="U51" s="2">
        <v>130.0</v>
      </c>
      <c r="V51" s="67">
        <v>1.1023</v>
      </c>
      <c r="W51" s="58">
        <v>5.0</v>
      </c>
      <c r="X51" s="58">
        <v>6.5</v>
      </c>
      <c r="Y51" s="2">
        <v>30.0</v>
      </c>
      <c r="Z51" s="69">
        <f t="shared" si="25"/>
        <v>30</v>
      </c>
      <c r="AA51" s="70">
        <f t="shared" si="5"/>
        <v>60</v>
      </c>
      <c r="AB51" s="71">
        <f t="shared" si="23"/>
        <v>518.0198477</v>
      </c>
      <c r="AC51" s="71">
        <f>+(S51-T51)*V51-'data 1'!$F$4</f>
        <v>41.253</v>
      </c>
      <c r="AD51" s="71">
        <f t="shared" si="7"/>
        <v>-3.018794621</v>
      </c>
      <c r="AE51" s="918">
        <f t="shared" si="8"/>
        <v>-19.128855</v>
      </c>
      <c r="AF51" s="71">
        <f t="shared" si="9"/>
        <v>28.77177442</v>
      </c>
      <c r="AG51" s="71">
        <f t="shared" si="24"/>
        <v>47.87712479</v>
      </c>
      <c r="AH51" s="71">
        <f t="shared" si="11"/>
        <v>22.15422171</v>
      </c>
      <c r="AI51" s="58">
        <f t="shared" si="12"/>
        <v>69.37088388</v>
      </c>
      <c r="AJ51" s="58">
        <f t="shared" si="13"/>
        <v>21.37043644</v>
      </c>
      <c r="AK51" s="11"/>
      <c r="AL51" s="70">
        <f t="shared" si="15"/>
        <v>1224.448694</v>
      </c>
      <c r="AM51" s="65"/>
    </row>
    <row r="52" ht="15.75" customHeight="1">
      <c r="A52" s="116" t="s">
        <v>4850</v>
      </c>
      <c r="B52" s="841">
        <v>45555.0</v>
      </c>
      <c r="C52" s="932">
        <v>45551.0</v>
      </c>
      <c r="D52" s="2" t="s">
        <v>4466</v>
      </c>
      <c r="E52" s="2">
        <v>2.0606534923E10</v>
      </c>
      <c r="F52" s="2" t="s">
        <v>4851</v>
      </c>
      <c r="G52" s="3">
        <v>18.0</v>
      </c>
      <c r="H52" s="2" t="s">
        <v>47</v>
      </c>
      <c r="I52" s="58">
        <v>1.54</v>
      </c>
      <c r="J52" s="58">
        <v>1.0</v>
      </c>
      <c r="K52" s="59">
        <f t="shared" si="2"/>
        <v>1.5246</v>
      </c>
      <c r="L52" s="60">
        <v>0.781</v>
      </c>
      <c r="M52" s="60">
        <v>0.75</v>
      </c>
      <c r="N52" s="62">
        <v>0.75</v>
      </c>
      <c r="O52" s="106">
        <f t="shared" si="20"/>
        <v>0.75</v>
      </c>
      <c r="P52" s="2">
        <v>90.0</v>
      </c>
      <c r="Q52" s="58">
        <v>89.13568505251033</v>
      </c>
      <c r="R52" s="65">
        <v>2556.79</v>
      </c>
      <c r="S52" s="3">
        <v>150.0</v>
      </c>
      <c r="U52" s="2">
        <v>130.0</v>
      </c>
      <c r="V52" s="67">
        <v>1.1023</v>
      </c>
      <c r="W52" s="58">
        <v>5.2</v>
      </c>
      <c r="X52" s="58">
        <v>6.4</v>
      </c>
      <c r="Y52" s="2">
        <v>50.0</v>
      </c>
      <c r="Z52" s="69">
        <f t="shared" si="25"/>
        <v>30</v>
      </c>
      <c r="AA52" s="70">
        <f t="shared" si="5"/>
        <v>80</v>
      </c>
      <c r="AB52" s="71">
        <f t="shared" si="23"/>
        <v>1552.130166</v>
      </c>
      <c r="AC52" s="71">
        <f>+(S52-T52)*V52-'data 1'!$F$4</f>
        <v>85.345</v>
      </c>
      <c r="AD52" s="71">
        <f t="shared" si="7"/>
        <v>-18.05739348</v>
      </c>
      <c r="AE52" s="918">
        <f t="shared" si="8"/>
        <v>2.928168</v>
      </c>
      <c r="AF52" s="71">
        <f t="shared" si="9"/>
        <v>73.91716548</v>
      </c>
      <c r="AG52" s="71">
        <f t="shared" si="24"/>
        <v>144.13294</v>
      </c>
      <c r="AH52" s="71">
        <f t="shared" si="11"/>
        <v>36.38879088</v>
      </c>
      <c r="AI52" s="58">
        <f t="shared" si="12"/>
        <v>176.6552842</v>
      </c>
      <c r="AJ52" s="58">
        <f t="shared" si="13"/>
        <v>35.28326427</v>
      </c>
      <c r="AK52" s="11"/>
      <c r="AL52" s="70">
        <f t="shared" si="15"/>
        <v>2366.377652</v>
      </c>
      <c r="AM52" s="65"/>
    </row>
    <row r="53" ht="15.75" customHeight="1">
      <c r="A53" s="116" t="s">
        <v>4852</v>
      </c>
      <c r="B53" s="841">
        <v>45555.0</v>
      </c>
      <c r="C53" s="932">
        <v>45551.0</v>
      </c>
      <c r="D53" s="2" t="s">
        <v>602</v>
      </c>
      <c r="E53" s="2">
        <v>2.0169040231E10</v>
      </c>
      <c r="F53" s="2" t="s">
        <v>4670</v>
      </c>
      <c r="G53" s="3">
        <v>12.0</v>
      </c>
      <c r="H53" s="2" t="s">
        <v>47</v>
      </c>
      <c r="I53" s="58">
        <v>1.02</v>
      </c>
      <c r="J53" s="58">
        <v>1.1</v>
      </c>
      <c r="K53" s="59">
        <f t="shared" si="2"/>
        <v>1.00878</v>
      </c>
      <c r="L53" s="60">
        <v>0.33</v>
      </c>
      <c r="M53" s="60">
        <v>0.317</v>
      </c>
      <c r="N53" s="62">
        <v>0.317</v>
      </c>
      <c r="O53" s="106">
        <f t="shared" si="20"/>
        <v>0.317</v>
      </c>
      <c r="P53" s="2">
        <v>90.0</v>
      </c>
      <c r="Q53" s="58">
        <v>89.52085460113753</v>
      </c>
      <c r="R53" s="65">
        <v>2556.79</v>
      </c>
      <c r="S53" s="3">
        <v>120.0</v>
      </c>
      <c r="U53" s="2">
        <v>130.0</v>
      </c>
      <c r="V53" s="67">
        <v>1.1023</v>
      </c>
      <c r="W53" s="58">
        <v>5.0</v>
      </c>
      <c r="X53" s="58">
        <v>6.5</v>
      </c>
      <c r="Y53" s="2">
        <v>30.0</v>
      </c>
      <c r="Z53" s="69">
        <f t="shared" si="25"/>
        <v>30</v>
      </c>
      <c r="AA53" s="70">
        <f t="shared" si="5"/>
        <v>60</v>
      </c>
      <c r="AB53" s="71">
        <f t="shared" si="23"/>
        <v>564.777941</v>
      </c>
      <c r="AC53" s="71">
        <f>+(S53-T53)*V53-'data 1'!$F$4</f>
        <v>52.276</v>
      </c>
      <c r="AD53" s="71">
        <f t="shared" si="7"/>
        <v>-4.229736043</v>
      </c>
      <c r="AE53" s="918">
        <f t="shared" si="8"/>
        <v>-19.128855</v>
      </c>
      <c r="AF53" s="71">
        <f t="shared" si="9"/>
        <v>31.13146625</v>
      </c>
      <c r="AG53" s="71">
        <f t="shared" si="24"/>
        <v>60.04887521</v>
      </c>
      <c r="AH53" s="71">
        <f t="shared" si="11"/>
        <v>10.21747755</v>
      </c>
      <c r="AI53" s="58">
        <f t="shared" si="12"/>
        <v>74.9656225</v>
      </c>
      <c r="AJ53" s="58">
        <f t="shared" si="13"/>
        <v>9.867503845</v>
      </c>
      <c r="AK53" s="11"/>
      <c r="AL53" s="70">
        <f t="shared" si="15"/>
        <v>569.7366914</v>
      </c>
      <c r="AM53" s="65"/>
    </row>
    <row r="54" ht="15.75" customHeight="1">
      <c r="A54" s="116" t="s">
        <v>4853</v>
      </c>
      <c r="B54" s="841">
        <v>45552.0</v>
      </c>
      <c r="C54" s="932">
        <v>45551.0</v>
      </c>
      <c r="D54" s="2" t="s">
        <v>602</v>
      </c>
      <c r="E54" s="2">
        <v>2.0169040231E10</v>
      </c>
      <c r="F54" s="2" t="s">
        <v>4838</v>
      </c>
      <c r="G54" s="3">
        <v>40.0</v>
      </c>
      <c r="H54" s="2" t="s">
        <v>40</v>
      </c>
      <c r="I54" s="58">
        <v>3.26</v>
      </c>
      <c r="J54" s="58">
        <v>15.0</v>
      </c>
      <c r="K54" s="59">
        <f t="shared" si="2"/>
        <v>2.771</v>
      </c>
      <c r="L54" s="60">
        <v>1.425</v>
      </c>
      <c r="M54" s="60">
        <v>1.368</v>
      </c>
      <c r="N54" s="75">
        <v>1.385</v>
      </c>
      <c r="O54" s="106">
        <f t="shared" si="20"/>
        <v>1.377</v>
      </c>
      <c r="P54" s="2">
        <v>90.0</v>
      </c>
      <c r="Q54" s="58">
        <v>89.25</v>
      </c>
      <c r="R54" s="65">
        <v>2556.79</v>
      </c>
      <c r="S54" s="3">
        <v>210.0</v>
      </c>
      <c r="U54" s="2">
        <v>130.0</v>
      </c>
      <c r="V54" s="67">
        <v>1.1023</v>
      </c>
      <c r="W54" s="58">
        <v>5.0</v>
      </c>
      <c r="X54" s="58">
        <v>6.6</v>
      </c>
      <c r="Y54" s="2">
        <v>50.0</v>
      </c>
      <c r="Z54" s="69">
        <f t="shared" si="25"/>
        <v>30</v>
      </c>
      <c r="AA54" s="70">
        <f t="shared" si="5"/>
        <v>80</v>
      </c>
      <c r="AB54" s="71">
        <f t="shared" si="23"/>
        <v>2995.52323</v>
      </c>
      <c r="AC54" s="71">
        <f>+(S54-T54)*V54-'data 1'!$F$4</f>
        <v>151.483</v>
      </c>
      <c r="AD54" s="71">
        <f t="shared" si="7"/>
        <v>-28.58960347</v>
      </c>
      <c r="AE54" s="918">
        <f t="shared" si="8"/>
        <v>2.575432</v>
      </c>
      <c r="AF54" s="71">
        <f t="shared" si="9"/>
        <v>114.5991684</v>
      </c>
      <c r="AG54" s="71">
        <f t="shared" si="24"/>
        <v>240.067997</v>
      </c>
      <c r="AH54" s="71">
        <f t="shared" si="11"/>
        <v>120.8283053</v>
      </c>
      <c r="AI54" s="58">
        <f t="shared" si="12"/>
        <v>322.7357543</v>
      </c>
      <c r="AJ54" s="58">
        <f t="shared" si="13"/>
        <v>117.7394614</v>
      </c>
      <c r="AK54" s="11"/>
      <c r="AL54" s="70">
        <f t="shared" si="15"/>
        <v>8300.594869</v>
      </c>
      <c r="AM54" s="65"/>
    </row>
    <row r="55" ht="15.75" customHeight="1">
      <c r="A55" s="116" t="s">
        <v>4854</v>
      </c>
      <c r="B55" s="841">
        <v>45555.0</v>
      </c>
      <c r="C55" s="932">
        <v>45551.0</v>
      </c>
      <c r="D55" s="2" t="s">
        <v>602</v>
      </c>
      <c r="E55" s="2">
        <v>2.0169040231E10</v>
      </c>
      <c r="F55" s="2" t="s">
        <v>4670</v>
      </c>
      <c r="G55" s="3">
        <v>18.0</v>
      </c>
      <c r="H55" s="2" t="s">
        <v>47</v>
      </c>
      <c r="I55" s="58">
        <v>1.52</v>
      </c>
      <c r="J55" s="58">
        <v>1.0</v>
      </c>
      <c r="K55" s="59">
        <f t="shared" si="2"/>
        <v>1.5048</v>
      </c>
      <c r="L55" s="60">
        <v>0.564</v>
      </c>
      <c r="M55" s="60">
        <v>0.541</v>
      </c>
      <c r="N55" s="62">
        <v>0.541</v>
      </c>
      <c r="O55" s="106">
        <f t="shared" si="20"/>
        <v>0.541</v>
      </c>
      <c r="P55" s="2">
        <v>90.0</v>
      </c>
      <c r="Q55" s="58">
        <v>89.53</v>
      </c>
      <c r="R55" s="65">
        <v>2556.79</v>
      </c>
      <c r="S55" s="3">
        <v>140.0</v>
      </c>
      <c r="U55" s="2">
        <v>130.0</v>
      </c>
      <c r="V55" s="67">
        <v>1.1023</v>
      </c>
      <c r="W55" s="58">
        <v>5.0</v>
      </c>
      <c r="X55" s="58">
        <v>8.6</v>
      </c>
      <c r="Y55" s="2">
        <v>30.0</v>
      </c>
      <c r="Z55" s="69">
        <f t="shared" si="25"/>
        <v>30</v>
      </c>
      <c r="AA55" s="70">
        <f t="shared" si="5"/>
        <v>60</v>
      </c>
      <c r="AB55" s="71">
        <f t="shared" si="23"/>
        <v>1082.022145</v>
      </c>
      <c r="AC55" s="71">
        <f>+(S55-T55)*V55-'data 1'!$F$4</f>
        <v>74.322</v>
      </c>
      <c r="AD55" s="71">
        <f t="shared" si="7"/>
        <v>-7.091024176</v>
      </c>
      <c r="AE55" s="918">
        <f t="shared" si="8"/>
        <v>-26.304828</v>
      </c>
      <c r="AF55" s="71">
        <f t="shared" si="9"/>
        <v>55.0843748</v>
      </c>
      <c r="AG55" s="71">
        <f t="shared" si="24"/>
        <v>96.01052262</v>
      </c>
      <c r="AH55" s="71">
        <f t="shared" si="11"/>
        <v>26.05166832</v>
      </c>
      <c r="AI55" s="58">
        <f t="shared" si="12"/>
        <v>128.1361529</v>
      </c>
      <c r="AJ55" s="58">
        <f t="shared" si="13"/>
        <v>25.12046223</v>
      </c>
      <c r="AK55" s="11"/>
      <c r="AL55" s="70">
        <f t="shared" si="15"/>
        <v>1628.226924</v>
      </c>
      <c r="AM55" s="65"/>
    </row>
    <row r="56" ht="15.75" customHeight="1">
      <c r="A56" s="116" t="s">
        <v>4855</v>
      </c>
      <c r="B56" s="841">
        <v>45557.0</v>
      </c>
      <c r="C56" s="932">
        <v>45551.0</v>
      </c>
      <c r="D56" s="2" t="s">
        <v>4466</v>
      </c>
      <c r="E56" s="2">
        <v>2.0606534923E10</v>
      </c>
      <c r="F56" s="2" t="s">
        <v>4856</v>
      </c>
      <c r="G56" s="3">
        <v>12.0</v>
      </c>
      <c r="H56" s="2" t="s">
        <v>47</v>
      </c>
      <c r="I56" s="58">
        <v>1.05</v>
      </c>
      <c r="J56" s="58">
        <v>0.9</v>
      </c>
      <c r="K56" s="59">
        <f t="shared" si="2"/>
        <v>1.04055</v>
      </c>
      <c r="L56" s="60">
        <v>0.366</v>
      </c>
      <c r="M56" s="60">
        <v>0.351</v>
      </c>
      <c r="N56" s="62">
        <v>0.351</v>
      </c>
      <c r="O56" s="106">
        <f t="shared" si="20"/>
        <v>0.351</v>
      </c>
      <c r="P56" s="2">
        <v>90.0</v>
      </c>
      <c r="Q56" s="58">
        <v>89.50570392667242</v>
      </c>
      <c r="R56" s="65">
        <v>2556.79</v>
      </c>
      <c r="S56" s="3">
        <v>130.0</v>
      </c>
      <c r="U56" s="2">
        <v>130.0</v>
      </c>
      <c r="V56" s="67">
        <v>1.1023</v>
      </c>
      <c r="W56" s="58">
        <v>5.1</v>
      </c>
      <c r="X56" s="58">
        <v>6.6</v>
      </c>
      <c r="Y56" s="2">
        <v>50.0</v>
      </c>
      <c r="Z56" s="69">
        <f t="shared" si="25"/>
        <v>30</v>
      </c>
      <c r="AA56" s="70">
        <f t="shared" si="5"/>
        <v>80</v>
      </c>
      <c r="AB56" s="71">
        <f t="shared" si="23"/>
        <v>613.5654899</v>
      </c>
      <c r="AC56" s="71">
        <f>+(S56-T56)*V56-'data 1'!$F$4</f>
        <v>63.299</v>
      </c>
      <c r="AD56" s="71">
        <f t="shared" si="7"/>
        <v>-4.839497278</v>
      </c>
      <c r="AE56" s="918">
        <f t="shared" si="8"/>
        <v>2.410087</v>
      </c>
      <c r="AF56" s="71">
        <f t="shared" si="9"/>
        <v>35.91484328</v>
      </c>
      <c r="AG56" s="71">
        <f t="shared" si="24"/>
        <v>96.784433</v>
      </c>
      <c r="AH56" s="71">
        <f t="shared" si="11"/>
        <v>11.6870209</v>
      </c>
      <c r="AI56" s="58">
        <f t="shared" si="12"/>
        <v>83.12961901</v>
      </c>
      <c r="AJ56" s="58">
        <f t="shared" si="13"/>
        <v>11.26994116</v>
      </c>
      <c r="AK56" s="11"/>
      <c r="AL56" s="70">
        <f t="shared" si="15"/>
        <v>638.4455705</v>
      </c>
      <c r="AM56" s="65"/>
    </row>
    <row r="57" ht="15.75" customHeight="1">
      <c r="A57" s="116" t="s">
        <v>4857</v>
      </c>
      <c r="B57" s="841">
        <v>45555.0</v>
      </c>
      <c r="C57" s="932">
        <v>45551.0</v>
      </c>
      <c r="D57" s="2" t="s">
        <v>602</v>
      </c>
      <c r="E57" s="2">
        <v>2.0169040231E10</v>
      </c>
      <c r="F57" s="2" t="s">
        <v>4838</v>
      </c>
      <c r="G57" s="3">
        <v>30.0</v>
      </c>
      <c r="H57" s="2" t="s">
        <v>40</v>
      </c>
      <c r="I57" s="58">
        <v>2.47</v>
      </c>
      <c r="J57" s="58">
        <v>16.0</v>
      </c>
      <c r="K57" s="59">
        <f t="shared" si="2"/>
        <v>2.0748</v>
      </c>
      <c r="L57" s="60">
        <v>1.363</v>
      </c>
      <c r="M57" s="60">
        <v>1.308</v>
      </c>
      <c r="N57" s="75">
        <v>1.368</v>
      </c>
      <c r="O57" s="106">
        <f t="shared" si="20"/>
        <v>1.338</v>
      </c>
      <c r="P57" s="2">
        <v>90.0</v>
      </c>
      <c r="Q57" s="58">
        <v>89.14</v>
      </c>
      <c r="R57" s="65">
        <v>2556.79</v>
      </c>
      <c r="S57" s="3">
        <v>210.0</v>
      </c>
      <c r="U57" s="2">
        <v>130.0</v>
      </c>
      <c r="V57" s="67">
        <v>1.1023</v>
      </c>
      <c r="W57" s="58">
        <v>5.0</v>
      </c>
      <c r="X57" s="58">
        <v>6.5</v>
      </c>
      <c r="Y57" s="2">
        <v>50.0</v>
      </c>
      <c r="Z57" s="69">
        <f t="shared" si="25"/>
        <v>30</v>
      </c>
      <c r="AA57" s="70">
        <f t="shared" si="5"/>
        <v>80</v>
      </c>
      <c r="AB57" s="71">
        <f t="shared" si="23"/>
        <v>2901.628953</v>
      </c>
      <c r="AC57" s="71">
        <f>+(S57-T57)*V57-'data 1'!$F$4</f>
        <v>151.483</v>
      </c>
      <c r="AD57" s="71">
        <f t="shared" si="7"/>
        <v>-31.35640832</v>
      </c>
      <c r="AE57" s="918">
        <f t="shared" si="8"/>
        <v>2.917145</v>
      </c>
      <c r="AF57" s="71">
        <f t="shared" si="9"/>
        <v>59.613503</v>
      </c>
      <c r="AG57" s="71">
        <f t="shared" si="24"/>
        <v>182.6572397</v>
      </c>
      <c r="AH57" s="71">
        <f t="shared" si="11"/>
        <v>86.42786685</v>
      </c>
      <c r="AI57" s="58">
        <f t="shared" si="12"/>
        <v>308.3134549</v>
      </c>
      <c r="AJ57" s="58">
        <f t="shared" si="13"/>
        <v>85.66115611</v>
      </c>
      <c r="AK57" s="11"/>
      <c r="AL57" s="70">
        <f t="shared" si="15"/>
        <v>6020.299752</v>
      </c>
      <c r="AM57" s="65"/>
    </row>
    <row r="58" ht="15.75" customHeight="1">
      <c r="A58" s="116" t="s">
        <v>4858</v>
      </c>
      <c r="B58" s="841">
        <v>45555.0</v>
      </c>
      <c r="C58" s="870">
        <v>45552.0</v>
      </c>
      <c r="D58" s="2" t="s">
        <v>51</v>
      </c>
      <c r="E58" s="2">
        <v>1.042310973E10</v>
      </c>
      <c r="G58" s="3">
        <v>18.0</v>
      </c>
      <c r="H58" s="2" t="s">
        <v>47</v>
      </c>
      <c r="I58" s="58">
        <v>1.56</v>
      </c>
      <c r="J58" s="58">
        <v>0.9</v>
      </c>
      <c r="K58" s="59">
        <f t="shared" si="2"/>
        <v>1.54596</v>
      </c>
      <c r="L58" s="60">
        <v>0.4095</v>
      </c>
      <c r="M58" s="60">
        <v>0.38902499999999995</v>
      </c>
      <c r="N58" s="75">
        <v>0.427</v>
      </c>
      <c r="O58" s="106">
        <f t="shared" si="20"/>
        <v>0.408</v>
      </c>
      <c r="P58" s="2">
        <v>90.0</v>
      </c>
      <c r="Q58" s="2">
        <v>89.23</v>
      </c>
      <c r="R58" s="65">
        <v>2560.78</v>
      </c>
      <c r="S58" s="3">
        <v>110.0</v>
      </c>
      <c r="U58" s="2">
        <v>100.0</v>
      </c>
      <c r="V58" s="67">
        <v>1.1023</v>
      </c>
      <c r="W58" s="58">
        <v>5.5</v>
      </c>
      <c r="X58" s="58">
        <v>10.2</v>
      </c>
      <c r="Y58" s="2">
        <v>30.0</v>
      </c>
      <c r="Z58" s="69">
        <f t="shared" si="25"/>
        <v>30</v>
      </c>
      <c r="AA58" s="70">
        <f t="shared" si="5"/>
        <v>60</v>
      </c>
      <c r="AB58" s="71">
        <f t="shared" si="23"/>
        <v>808.645534</v>
      </c>
      <c r="AC58" s="71">
        <f>+(S58-T58)*V58-'data 1'!$F$4</f>
        <v>41.253</v>
      </c>
      <c r="AD58" s="71">
        <f t="shared" si="7"/>
        <v>-8.552975482</v>
      </c>
      <c r="AE58" s="918">
        <f t="shared" si="8"/>
        <v>-32.598961</v>
      </c>
      <c r="AF58" s="71">
        <f t="shared" si="9"/>
        <v>3.630569441</v>
      </c>
      <c r="AG58" s="71">
        <f t="shared" si="24"/>
        <v>83.73163296</v>
      </c>
      <c r="AH58" s="71">
        <f t="shared" si="11"/>
        <v>19.36743563</v>
      </c>
      <c r="AI58" s="58">
        <f t="shared" si="12"/>
        <v>79.03289269</v>
      </c>
      <c r="AJ58" s="58">
        <f t="shared" si="13"/>
        <v>19.4630095</v>
      </c>
      <c r="AK58" s="11"/>
      <c r="AL58" s="70">
        <f t="shared" si="15"/>
        <v>1250.13365</v>
      </c>
      <c r="AM58" s="65"/>
    </row>
    <row r="59" ht="15.75" customHeight="1">
      <c r="A59" s="116" t="s">
        <v>4859</v>
      </c>
      <c r="B59" s="841">
        <v>45555.0</v>
      </c>
      <c r="C59" s="870">
        <v>45552.0</v>
      </c>
      <c r="D59" s="2" t="s">
        <v>51</v>
      </c>
      <c r="E59" s="2">
        <v>1.042310973E10</v>
      </c>
      <c r="G59" s="3">
        <v>21.0</v>
      </c>
      <c r="H59" s="2" t="s">
        <v>47</v>
      </c>
      <c r="I59" s="58">
        <v>1.87</v>
      </c>
      <c r="J59" s="58">
        <v>0.9</v>
      </c>
      <c r="K59" s="59">
        <f t="shared" si="2"/>
        <v>1.85317</v>
      </c>
      <c r="L59" s="60">
        <v>0.191</v>
      </c>
      <c r="M59" s="60">
        <v>0.17954</v>
      </c>
      <c r="N59" s="62">
        <v>0.17954</v>
      </c>
      <c r="O59" s="106">
        <f t="shared" si="20"/>
        <v>0.18</v>
      </c>
      <c r="P59" s="2">
        <v>90.0</v>
      </c>
      <c r="Q59" s="2">
        <v>89.44</v>
      </c>
      <c r="R59" s="65">
        <v>2560.78</v>
      </c>
      <c r="S59" s="3">
        <v>110.0</v>
      </c>
      <c r="U59" s="2">
        <v>100.0</v>
      </c>
      <c r="V59" s="67">
        <v>1.1023</v>
      </c>
      <c r="W59" s="58">
        <v>5.5</v>
      </c>
      <c r="X59" s="58">
        <v>9.8</v>
      </c>
      <c r="Y59" s="2">
        <v>30.0</v>
      </c>
      <c r="Z59" s="69">
        <f t="shared" si="25"/>
        <v>30</v>
      </c>
      <c r="AA59" s="70">
        <f t="shared" si="5"/>
        <v>60</v>
      </c>
      <c r="AB59" s="71">
        <f t="shared" si="23"/>
        <v>252.0368826</v>
      </c>
      <c r="AC59" s="71">
        <f>+(S59-T59)*V59-'data 1'!$F$4</f>
        <v>41.253</v>
      </c>
      <c r="AD59" s="71">
        <f t="shared" si="7"/>
        <v>-2.901309032</v>
      </c>
      <c r="AE59" s="918">
        <f t="shared" si="8"/>
        <v>-31.232109</v>
      </c>
      <c r="AF59" s="71">
        <f t="shared" si="9"/>
        <v>26.68683506</v>
      </c>
      <c r="AG59" s="71">
        <f t="shared" si="24"/>
        <v>113.806417</v>
      </c>
      <c r="AH59" s="71">
        <f t="shared" si="11"/>
        <v>10.85399177</v>
      </c>
      <c r="AI59" s="58">
        <f t="shared" si="12"/>
        <v>36.94947198</v>
      </c>
      <c r="AJ59" s="58">
        <f t="shared" si="13"/>
        <v>10.29293772</v>
      </c>
      <c r="AK59" s="11"/>
      <c r="AL59" s="70">
        <f t="shared" si="15"/>
        <v>467.0671898</v>
      </c>
      <c r="AM59" s="65"/>
    </row>
    <row r="60" ht="15.75" customHeight="1">
      <c r="A60" s="116" t="s">
        <v>4860</v>
      </c>
      <c r="B60" s="841">
        <v>45555.0</v>
      </c>
      <c r="C60" s="870">
        <v>45552.0</v>
      </c>
      <c r="D60" s="2" t="s">
        <v>51</v>
      </c>
      <c r="E60" s="2">
        <v>1.042310973E10</v>
      </c>
      <c r="G60" s="3">
        <v>28.0</v>
      </c>
      <c r="H60" s="2" t="s">
        <v>47</v>
      </c>
      <c r="I60" s="58">
        <v>3.11</v>
      </c>
      <c r="J60" s="58">
        <v>1.7</v>
      </c>
      <c r="K60" s="59">
        <f t="shared" si="2"/>
        <v>3.05713</v>
      </c>
      <c r="L60" s="60">
        <v>0.1745</v>
      </c>
      <c r="M60" s="60">
        <v>0.16228499999999998</v>
      </c>
      <c r="N60" s="62">
        <v>0.16228499999999998</v>
      </c>
      <c r="O60" s="106">
        <f t="shared" si="20"/>
        <v>0.162</v>
      </c>
      <c r="P60" s="2">
        <v>90.0</v>
      </c>
      <c r="Q60" s="2">
        <v>89.35</v>
      </c>
      <c r="R60" s="65">
        <v>2560.78</v>
      </c>
      <c r="S60" s="3">
        <v>110.0</v>
      </c>
      <c r="U60" s="2">
        <v>100.0</v>
      </c>
      <c r="V60" s="67">
        <v>1.1023</v>
      </c>
      <c r="W60" s="58">
        <v>5.5</v>
      </c>
      <c r="X60" s="58">
        <v>9.7</v>
      </c>
      <c r="Y60" s="2">
        <v>30.0</v>
      </c>
      <c r="Z60" s="69">
        <f t="shared" si="25"/>
        <v>30</v>
      </c>
      <c r="AA60" s="70">
        <f t="shared" si="5"/>
        <v>60</v>
      </c>
      <c r="AB60" s="71">
        <f t="shared" si="23"/>
        <v>208.0940944</v>
      </c>
      <c r="AC60" s="71">
        <f>+(S60-T60)*V60-'data 1'!$F$4</f>
        <v>41.253</v>
      </c>
      <c r="AD60" s="71">
        <f t="shared" si="7"/>
        <v>-3.076673308</v>
      </c>
      <c r="AE60" s="918">
        <f t="shared" si="8"/>
        <v>-30.890396</v>
      </c>
      <c r="AF60" s="71">
        <f t="shared" si="9"/>
        <v>30.29543311</v>
      </c>
      <c r="AG60" s="71">
        <f t="shared" si="24"/>
        <v>117.5813638</v>
      </c>
      <c r="AH60" s="71">
        <f t="shared" si="11"/>
        <v>16.34229193</v>
      </c>
      <c r="AI60" s="58">
        <f t="shared" si="12"/>
        <v>33.72353302</v>
      </c>
      <c r="AJ60" s="58">
        <f t="shared" si="13"/>
        <v>15.28201072</v>
      </c>
      <c r="AK60" s="11"/>
      <c r="AL60" s="70">
        <f t="shared" si="15"/>
        <v>636.1706987</v>
      </c>
      <c r="AM60" s="65"/>
    </row>
    <row r="61" ht="15.75" customHeight="1">
      <c r="A61" s="116" t="s">
        <v>4861</v>
      </c>
      <c r="B61" s="841">
        <v>45559.0</v>
      </c>
      <c r="C61" s="870">
        <v>45555.0</v>
      </c>
      <c r="D61" s="2" t="s">
        <v>4571</v>
      </c>
      <c r="E61" s="2">
        <v>1.0460498487E10</v>
      </c>
      <c r="F61" s="2" t="s">
        <v>4862</v>
      </c>
      <c r="G61" s="3">
        <v>256.0</v>
      </c>
      <c r="H61" s="2" t="s">
        <v>47</v>
      </c>
      <c r="I61" s="58">
        <v>21.32</v>
      </c>
      <c r="J61" s="58">
        <v>6.0</v>
      </c>
      <c r="K61" s="59">
        <f t="shared" si="2"/>
        <v>20.0408</v>
      </c>
      <c r="L61" s="123">
        <v>0.432</v>
      </c>
      <c r="M61" s="949">
        <v>0.382</v>
      </c>
      <c r="N61" s="75">
        <v>0.431</v>
      </c>
      <c r="O61" s="106">
        <f t="shared" si="20"/>
        <v>0.407</v>
      </c>
      <c r="P61" s="2">
        <v>90.0</v>
      </c>
      <c r="Q61" s="2">
        <v>89.52</v>
      </c>
      <c r="R61" s="65">
        <v>2605.85</v>
      </c>
      <c r="S61" s="3">
        <v>140.0</v>
      </c>
      <c r="U61" s="2">
        <v>130.0</v>
      </c>
      <c r="V61" s="67">
        <v>1.1023</v>
      </c>
      <c r="W61" s="950">
        <v>3.0</v>
      </c>
      <c r="X61" s="950">
        <v>3.0</v>
      </c>
      <c r="Y61" s="2">
        <v>30.0</v>
      </c>
      <c r="Z61" s="69">
        <f t="shared" si="25"/>
        <v>30</v>
      </c>
      <c r="AA61" s="70">
        <f t="shared" si="5"/>
        <v>60</v>
      </c>
      <c r="AB61" s="71">
        <f t="shared" si="23"/>
        <v>779.2201194</v>
      </c>
      <c r="AC61" s="71">
        <f>+(S61-T61)*V61-'data 1'!$F$4</f>
        <v>74.322</v>
      </c>
      <c r="AD61" s="71">
        <f t="shared" si="7"/>
        <v>-5.659122838</v>
      </c>
      <c r="AE61" s="918">
        <f t="shared" si="8"/>
        <v>-3.862</v>
      </c>
      <c r="AF61" s="71">
        <f t="shared" si="9"/>
        <v>61.0779172</v>
      </c>
      <c r="AG61" s="71">
        <f t="shared" si="24"/>
        <v>125.8787944</v>
      </c>
      <c r="AH61" s="71">
        <f t="shared" si="11"/>
        <v>265.7222637</v>
      </c>
      <c r="AI61" s="58">
        <f t="shared" si="12"/>
        <v>77.22216372</v>
      </c>
      <c r="AJ61" s="58">
        <f t="shared" si="13"/>
        <v>251.6871494</v>
      </c>
      <c r="AK61" s="11"/>
      <c r="AL61" s="70">
        <f t="shared" si="15"/>
        <v>15616.19457</v>
      </c>
      <c r="AM61" s="65"/>
    </row>
    <row r="62" ht="15.75" customHeight="1">
      <c r="A62" s="116" t="s">
        <v>4863</v>
      </c>
      <c r="B62" s="841">
        <v>45559.0</v>
      </c>
      <c r="C62" s="870">
        <v>45555.0</v>
      </c>
      <c r="D62" s="2" t="s">
        <v>4571</v>
      </c>
      <c r="E62" s="2">
        <v>1.0460498487E10</v>
      </c>
      <c r="F62" s="2" t="s">
        <v>4862</v>
      </c>
      <c r="G62" s="3" t="s">
        <v>4100</v>
      </c>
      <c r="H62" s="2" t="s">
        <v>47</v>
      </c>
      <c r="I62" s="58">
        <v>13.75</v>
      </c>
      <c r="J62" s="58">
        <v>4.5</v>
      </c>
      <c r="K62" s="59">
        <f t="shared" si="2"/>
        <v>13.13125</v>
      </c>
      <c r="L62" s="60">
        <v>0.194</v>
      </c>
      <c r="M62" s="60">
        <v>0.178</v>
      </c>
      <c r="N62" s="75">
        <v>0.181</v>
      </c>
      <c r="O62" s="106">
        <f t="shared" si="20"/>
        <v>0.18</v>
      </c>
      <c r="P62" s="2">
        <v>88.0</v>
      </c>
      <c r="Q62" s="2">
        <v>89.42</v>
      </c>
      <c r="R62" s="65">
        <v>2605.85</v>
      </c>
      <c r="S62" s="3">
        <v>125.0</v>
      </c>
      <c r="U62" s="2">
        <v>130.0</v>
      </c>
      <c r="V62" s="67">
        <v>1.1023</v>
      </c>
      <c r="W62" s="58">
        <v>5.2</v>
      </c>
      <c r="X62" s="58">
        <v>9.4</v>
      </c>
      <c r="Y62" s="2">
        <v>30.0</v>
      </c>
      <c r="Z62" s="69">
        <f t="shared" si="25"/>
        <v>30</v>
      </c>
      <c r="AA62" s="70">
        <f t="shared" si="5"/>
        <v>60</v>
      </c>
      <c r="AB62" s="71">
        <f t="shared" si="23"/>
        <v>228.3686057</v>
      </c>
      <c r="AC62" s="71">
        <f>+(S62-T62)*V62-'data 1'!$F$4</f>
        <v>57.7875</v>
      </c>
      <c r="AD62" s="71">
        <f t="shared" si="7"/>
        <v>7.518205823</v>
      </c>
      <c r="AE62" s="918">
        <f t="shared" si="8"/>
        <v>-29.369222</v>
      </c>
      <c r="AF62" s="71">
        <f t="shared" si="9"/>
        <v>34.16542582</v>
      </c>
      <c r="AG62" s="71">
        <f t="shared" si="24"/>
        <v>70.10190964</v>
      </c>
      <c r="AH62" s="71">
        <f t="shared" si="11"/>
        <v>78.10009003</v>
      </c>
      <c r="AI62" s="58">
        <f t="shared" si="12"/>
        <v>34.63973343</v>
      </c>
      <c r="AJ62" s="58">
        <f t="shared" si="13"/>
        <v>71.31326429</v>
      </c>
      <c r="AK62" s="11"/>
      <c r="AL62" s="70">
        <f t="shared" si="15"/>
        <v>2998.765253</v>
      </c>
      <c r="AM62" s="65"/>
    </row>
    <row r="63" ht="15.75" customHeight="1">
      <c r="A63" s="951" t="s">
        <v>4864</v>
      </c>
      <c r="B63" s="952">
        <v>45559.0</v>
      </c>
      <c r="C63" s="952">
        <v>45556.0</v>
      </c>
      <c r="D63" s="953" t="s">
        <v>181</v>
      </c>
      <c r="E63" s="953">
        <v>2.0603329059E10</v>
      </c>
      <c r="F63" s="954" t="s">
        <v>4634</v>
      </c>
      <c r="G63" s="955">
        <v>65.0</v>
      </c>
      <c r="H63" s="953" t="s">
        <v>40</v>
      </c>
      <c r="I63" s="956">
        <v>1.95</v>
      </c>
      <c r="J63" s="956">
        <v>14.5</v>
      </c>
      <c r="K63" s="957">
        <f t="shared" si="2"/>
        <v>1.66725</v>
      </c>
      <c r="L63" s="958">
        <v>0.97</v>
      </c>
      <c r="M63" s="958">
        <v>0.931</v>
      </c>
      <c r="N63" s="959">
        <v>1.008</v>
      </c>
      <c r="O63" s="958">
        <f t="shared" si="20"/>
        <v>0.97</v>
      </c>
      <c r="P63" s="953">
        <v>90.0</v>
      </c>
      <c r="Q63" s="956">
        <v>89.33</v>
      </c>
      <c r="R63" s="960">
        <v>2622.35</v>
      </c>
      <c r="S63" s="955">
        <v>160.0</v>
      </c>
      <c r="T63" s="953"/>
      <c r="U63" s="953">
        <v>100.0</v>
      </c>
      <c r="V63" s="953">
        <v>1.1023</v>
      </c>
      <c r="W63" s="961">
        <v>3.0</v>
      </c>
      <c r="X63" s="961">
        <v>5.0</v>
      </c>
      <c r="Y63" s="953"/>
      <c r="Z63" s="956">
        <f t="shared" si="25"/>
        <v>30</v>
      </c>
      <c r="AA63" s="960">
        <f t="shared" si="5"/>
        <v>30</v>
      </c>
      <c r="AB63" s="962">
        <f t="shared" si="23"/>
        <v>2217.840332</v>
      </c>
      <c r="AC63" s="962">
        <f>+(S63-T63)*V63-'data 1'!$F$4</f>
        <v>96.368</v>
      </c>
      <c r="AD63" s="962">
        <f t="shared" si="7"/>
        <v>-18.06973125</v>
      </c>
      <c r="AE63" s="918">
        <f t="shared" si="8"/>
        <v>-43.76526</v>
      </c>
      <c r="AF63" s="962">
        <f t="shared" si="9"/>
        <v>0</v>
      </c>
      <c r="AG63" s="963">
        <f t="shared" ref="AG63:AG64" si="26">+IF(D63="RONALD WILLIAN GARIBAY ESCUDERO",AC63+AD63+AE63+AF63+80,AC63+AD63+AE63+AF63)+90-70-10</f>
        <v>44.53300875</v>
      </c>
      <c r="AH63" s="962">
        <f t="shared" si="11"/>
        <v>49.53120157</v>
      </c>
      <c r="AI63" s="956">
        <f t="shared" si="12"/>
        <v>128.6101466</v>
      </c>
      <c r="AJ63" s="956">
        <f t="shared" si="13"/>
        <v>49.90269945</v>
      </c>
      <c r="AK63" s="964"/>
      <c r="AL63" s="70">
        <f t="shared" si="15"/>
        <v>3697.694293</v>
      </c>
      <c r="AM63" s="960"/>
      <c r="AN63" s="953"/>
      <c r="AO63" s="953"/>
      <c r="AP63" s="953"/>
      <c r="AQ63" s="953"/>
      <c r="AR63" s="953"/>
      <c r="AS63" s="953"/>
      <c r="AT63" s="953"/>
    </row>
    <row r="64" ht="15.75" customHeight="1">
      <c r="A64" s="951" t="s">
        <v>4865</v>
      </c>
      <c r="B64" s="952">
        <v>45559.0</v>
      </c>
      <c r="C64" s="952">
        <v>45556.0</v>
      </c>
      <c r="D64" s="953" t="s">
        <v>181</v>
      </c>
      <c r="E64" s="953">
        <v>2.0603329059E10</v>
      </c>
      <c r="F64" s="954" t="s">
        <v>4634</v>
      </c>
      <c r="G64" s="955">
        <v>89.0</v>
      </c>
      <c r="H64" s="953" t="s">
        <v>40</v>
      </c>
      <c r="I64" s="956">
        <v>2.98</v>
      </c>
      <c r="J64" s="956">
        <v>9.0</v>
      </c>
      <c r="K64" s="957">
        <f t="shared" si="2"/>
        <v>2.7118</v>
      </c>
      <c r="L64" s="958">
        <v>0.75</v>
      </c>
      <c r="M64" s="958">
        <v>0.72</v>
      </c>
      <c r="N64" s="965">
        <v>0.72</v>
      </c>
      <c r="O64" s="958">
        <f t="shared" si="20"/>
        <v>0.72</v>
      </c>
      <c r="P64" s="953">
        <v>90.0</v>
      </c>
      <c r="Q64" s="956">
        <v>89.5</v>
      </c>
      <c r="R64" s="960">
        <v>2622.35</v>
      </c>
      <c r="S64" s="955">
        <v>140.0</v>
      </c>
      <c r="T64" s="953"/>
      <c r="U64" s="953">
        <v>100.0</v>
      </c>
      <c r="V64" s="953">
        <v>1.1023</v>
      </c>
      <c r="W64" s="961">
        <v>3.0</v>
      </c>
      <c r="X64" s="961">
        <v>5.0</v>
      </c>
      <c r="Y64" s="953"/>
      <c r="Z64" s="956">
        <f t="shared" si="25"/>
        <v>30</v>
      </c>
      <c r="AA64" s="960">
        <f t="shared" si="5"/>
        <v>30</v>
      </c>
      <c r="AB64" s="962">
        <f t="shared" si="23"/>
        <v>1614.29939</v>
      </c>
      <c r="AC64" s="962">
        <f>+(S64-T64)*V64-'data 1'!$F$4</f>
        <v>74.322</v>
      </c>
      <c r="AD64" s="962">
        <f t="shared" si="7"/>
        <v>-10.42644902</v>
      </c>
      <c r="AE64" s="918">
        <f t="shared" si="8"/>
        <v>-43.76526</v>
      </c>
      <c r="AF64" s="962">
        <f t="shared" si="9"/>
        <v>74.65337497</v>
      </c>
      <c r="AG64" s="963">
        <f t="shared" si="26"/>
        <v>104.783666</v>
      </c>
      <c r="AH64" s="962">
        <f t="shared" si="11"/>
        <v>62.40954615</v>
      </c>
      <c r="AI64" s="956">
        <f t="shared" si="12"/>
        <v>99.63007652</v>
      </c>
      <c r="AJ64" s="956">
        <f t="shared" si="13"/>
        <v>60.24787472</v>
      </c>
      <c r="AK64" s="964"/>
      <c r="AL64" s="70">
        <f t="shared" si="15"/>
        <v>4377.657087</v>
      </c>
      <c r="AM64" s="960"/>
      <c r="AN64" s="953"/>
      <c r="AO64" s="953"/>
      <c r="AP64" s="953"/>
      <c r="AQ64" s="953"/>
      <c r="AR64" s="953"/>
      <c r="AS64" s="953"/>
      <c r="AT64" s="953"/>
    </row>
    <row r="65" ht="15.75" customHeight="1">
      <c r="A65" s="116" t="s">
        <v>4866</v>
      </c>
      <c r="B65" s="841">
        <v>45558.0</v>
      </c>
      <c r="C65" s="870">
        <v>45556.0</v>
      </c>
      <c r="D65" s="197" t="s">
        <v>74</v>
      </c>
      <c r="E65" s="2">
        <v>1.0082235774E10</v>
      </c>
      <c r="G65" s="3">
        <v>41.0</v>
      </c>
      <c r="H65" s="2" t="s">
        <v>47</v>
      </c>
      <c r="I65" s="58">
        <v>3.41</v>
      </c>
      <c r="J65" s="58">
        <v>1.1</v>
      </c>
      <c r="K65" s="59">
        <f t="shared" si="2"/>
        <v>3.37249</v>
      </c>
      <c r="L65" s="60">
        <v>0.293</v>
      </c>
      <c r="M65" s="60">
        <v>0.27</v>
      </c>
      <c r="N65" s="62">
        <v>0.27</v>
      </c>
      <c r="O65" s="106">
        <f t="shared" si="20"/>
        <v>0.27</v>
      </c>
      <c r="P65" s="2">
        <v>90.0</v>
      </c>
      <c r="Q65" s="58">
        <v>89.58</v>
      </c>
      <c r="R65" s="65">
        <v>2605.85</v>
      </c>
      <c r="S65" s="3">
        <v>105.0</v>
      </c>
      <c r="U65" s="2">
        <v>80.0</v>
      </c>
      <c r="V65" s="67">
        <v>1.1023</v>
      </c>
      <c r="W65" s="58">
        <v>5.5</v>
      </c>
      <c r="X65" s="58">
        <v>6.5</v>
      </c>
      <c r="Y65" s="2">
        <v>0.0</v>
      </c>
      <c r="Z65" s="77">
        <v>10.0</v>
      </c>
      <c r="AA65" s="70">
        <f t="shared" si="5"/>
        <v>10</v>
      </c>
      <c r="AB65" s="71">
        <f t="shared" si="23"/>
        <v>549.8069026</v>
      </c>
      <c r="AC65" s="71">
        <f>+(S65-T65)*V65-'data 1'!$F$4</f>
        <v>35.7415</v>
      </c>
      <c r="AD65" s="71">
        <f t="shared" si="7"/>
        <v>-3.426291226</v>
      </c>
      <c r="AE65" s="918">
        <f t="shared" si="8"/>
        <v>-75.07058</v>
      </c>
      <c r="AF65" s="71">
        <f t="shared" si="9"/>
        <v>57.3649022</v>
      </c>
      <c r="AG65" s="71">
        <f t="shared" ref="AG65:AG69" si="27">+IF(D65="RONALD WILLIAN GARIBAY ESCUDERO",AC65+AD65+AE65+AF65+80,AC65+AD65+AE65+AF65)+90</f>
        <v>104.609531</v>
      </c>
      <c r="AH65" s="71">
        <f t="shared" si="11"/>
        <v>30.348583</v>
      </c>
      <c r="AI65" s="58">
        <f t="shared" si="12"/>
        <v>37.94432057</v>
      </c>
      <c r="AJ65" s="58">
        <f t="shared" si="13"/>
        <v>28.09739219</v>
      </c>
      <c r="AK65" s="11"/>
      <c r="AL65" s="70">
        <f t="shared" si="15"/>
        <v>1854.218281</v>
      </c>
      <c r="AM65" s="65"/>
    </row>
    <row r="66" ht="15.75" customHeight="1">
      <c r="A66" s="116" t="s">
        <v>4867</v>
      </c>
      <c r="B66" s="841">
        <v>45558.0</v>
      </c>
      <c r="C66" s="870">
        <v>45556.0</v>
      </c>
      <c r="D66" s="197" t="s">
        <v>74</v>
      </c>
      <c r="E66" s="2">
        <v>1.0082235774E10</v>
      </c>
      <c r="G66" s="3">
        <v>56.0</v>
      </c>
      <c r="H66" s="2" t="s">
        <v>47</v>
      </c>
      <c r="I66" s="58">
        <v>4.98</v>
      </c>
      <c r="J66" s="58">
        <v>1.0</v>
      </c>
      <c r="K66" s="59">
        <f t="shared" si="2"/>
        <v>4.9302</v>
      </c>
      <c r="L66" s="3">
        <v>0.201</v>
      </c>
      <c r="M66" s="60">
        <v>0.187</v>
      </c>
      <c r="N66" s="62">
        <v>0.187</v>
      </c>
      <c r="O66" s="106">
        <f t="shared" si="20"/>
        <v>0.187</v>
      </c>
      <c r="P66" s="2">
        <v>85.0</v>
      </c>
      <c r="Q66" s="58">
        <v>89.13</v>
      </c>
      <c r="R66" s="65">
        <v>2605.85</v>
      </c>
      <c r="S66" s="3">
        <v>95.0</v>
      </c>
      <c r="U66" s="2">
        <v>80.0</v>
      </c>
      <c r="V66" s="67">
        <v>1.1023</v>
      </c>
      <c r="W66" s="58">
        <v>5.5</v>
      </c>
      <c r="X66" s="58">
        <v>6.5</v>
      </c>
      <c r="Y66" s="2">
        <v>0.0</v>
      </c>
      <c r="Z66" s="77">
        <v>10.0</v>
      </c>
      <c r="AA66" s="70">
        <f t="shared" si="5"/>
        <v>10</v>
      </c>
      <c r="AB66" s="71">
        <f t="shared" si="23"/>
        <v>326.8141561</v>
      </c>
      <c r="AC66" s="71">
        <f>+(S66-T66)*V66-'data 1'!$F$4</f>
        <v>24.7185</v>
      </c>
      <c r="AD66" s="71">
        <f t="shared" si="7"/>
        <v>23.11284849</v>
      </c>
      <c r="AE66" s="918">
        <f t="shared" si="8"/>
        <v>-75.07058</v>
      </c>
      <c r="AF66" s="71">
        <f t="shared" si="9"/>
        <v>34.74235916</v>
      </c>
      <c r="AG66" s="71">
        <f t="shared" si="27"/>
        <v>97.50312765</v>
      </c>
      <c r="AH66" s="71">
        <f t="shared" si="11"/>
        <v>30.28262863</v>
      </c>
      <c r="AI66" s="58">
        <f t="shared" si="12"/>
        <v>25.89930239</v>
      </c>
      <c r="AJ66" s="58">
        <f t="shared" si="13"/>
        <v>26.86792572</v>
      </c>
      <c r="AK66" s="11"/>
      <c r="AL66" s="70">
        <f t="shared" si="15"/>
        <v>1611.259153</v>
      </c>
      <c r="AM66" s="65"/>
    </row>
    <row r="67" ht="15.75" customHeight="1">
      <c r="A67" s="116" t="s">
        <v>4868</v>
      </c>
      <c r="B67" s="841">
        <v>45558.0</v>
      </c>
      <c r="C67" s="870">
        <v>45556.0</v>
      </c>
      <c r="D67" s="197" t="s">
        <v>74</v>
      </c>
      <c r="E67" s="2">
        <v>1.0082235774E10</v>
      </c>
      <c r="G67" s="3">
        <v>42.0</v>
      </c>
      <c r="H67" s="2" t="s">
        <v>47</v>
      </c>
      <c r="I67" s="58">
        <v>3.29</v>
      </c>
      <c r="J67" s="58">
        <v>1.2</v>
      </c>
      <c r="K67" s="59">
        <f t="shared" si="2"/>
        <v>3.25052</v>
      </c>
      <c r="L67" s="3">
        <v>0.324</v>
      </c>
      <c r="M67" s="60">
        <v>0.301</v>
      </c>
      <c r="N67" s="62">
        <v>0.301</v>
      </c>
      <c r="O67" s="106">
        <f t="shared" si="20"/>
        <v>0.301</v>
      </c>
      <c r="P67" s="2">
        <v>90.0</v>
      </c>
      <c r="Q67" s="58">
        <v>89.23</v>
      </c>
      <c r="R67" s="65">
        <v>2605.85</v>
      </c>
      <c r="S67" s="3">
        <v>110.0</v>
      </c>
      <c r="U67" s="2">
        <v>80.0</v>
      </c>
      <c r="V67" s="67">
        <v>1.1023</v>
      </c>
      <c r="W67" s="58">
        <v>5.5</v>
      </c>
      <c r="X67" s="58">
        <v>6.5</v>
      </c>
      <c r="Y67" s="2">
        <v>0.0</v>
      </c>
      <c r="Z67" s="77">
        <v>10.0</v>
      </c>
      <c r="AA67" s="70">
        <f t="shared" si="5"/>
        <v>10</v>
      </c>
      <c r="AB67" s="71">
        <f t="shared" si="23"/>
        <v>621.9758229</v>
      </c>
      <c r="AC67" s="71">
        <f>+(S67-T67)*V67-'data 1'!$F$4</f>
        <v>41.253</v>
      </c>
      <c r="AD67" s="71">
        <f t="shared" si="7"/>
        <v>-6.946133066</v>
      </c>
      <c r="AE67" s="918">
        <f t="shared" si="8"/>
        <v>-75.07058</v>
      </c>
      <c r="AF67" s="71">
        <f t="shared" si="9"/>
        <v>57.14077053</v>
      </c>
      <c r="AG67" s="71">
        <f t="shared" si="27"/>
        <v>106.3770575</v>
      </c>
      <c r="AH67" s="71">
        <f t="shared" si="11"/>
        <v>32.21942718</v>
      </c>
      <c r="AI67" s="58">
        <f t="shared" si="12"/>
        <v>41.79496882</v>
      </c>
      <c r="AJ67" s="58">
        <f t="shared" si="13"/>
        <v>30.19054249</v>
      </c>
      <c r="AK67" s="11"/>
      <c r="AL67" s="70">
        <f t="shared" si="15"/>
        <v>2021.744852</v>
      </c>
      <c r="AM67" s="65"/>
    </row>
    <row r="68" ht="15.75" customHeight="1">
      <c r="A68" s="116" t="s">
        <v>4869</v>
      </c>
      <c r="B68" s="841">
        <v>45558.0</v>
      </c>
      <c r="C68" s="870">
        <v>45556.0</v>
      </c>
      <c r="D68" s="197" t="s">
        <v>74</v>
      </c>
      <c r="E68" s="2">
        <v>1.0082235774E10</v>
      </c>
      <c r="G68" s="3">
        <v>50.0</v>
      </c>
      <c r="H68" s="2" t="s">
        <v>47</v>
      </c>
      <c r="I68" s="58">
        <v>4.13</v>
      </c>
      <c r="J68" s="58">
        <v>1.0</v>
      </c>
      <c r="K68" s="59">
        <f t="shared" si="2"/>
        <v>4.0887</v>
      </c>
      <c r="L68" s="3">
        <v>0.143</v>
      </c>
      <c r="M68" s="60">
        <v>0.13</v>
      </c>
      <c r="N68" s="62">
        <v>0.13</v>
      </c>
      <c r="O68" s="106">
        <f t="shared" si="20"/>
        <v>0.13</v>
      </c>
      <c r="P68" s="2">
        <v>85.0</v>
      </c>
      <c r="Q68" s="58">
        <v>89.51</v>
      </c>
      <c r="R68" s="65">
        <v>2605.85</v>
      </c>
      <c r="S68" s="3">
        <v>95.0</v>
      </c>
      <c r="U68" s="2">
        <v>80.0</v>
      </c>
      <c r="V68" s="67">
        <v>1.1023</v>
      </c>
      <c r="W68" s="58">
        <v>5.5</v>
      </c>
      <c r="X68" s="58">
        <v>6.5</v>
      </c>
      <c r="Y68" s="2">
        <v>0.0</v>
      </c>
      <c r="Z68" s="77">
        <v>10.0</v>
      </c>
      <c r="AA68" s="70">
        <f t="shared" si="5"/>
        <v>10</v>
      </c>
      <c r="AB68" s="71">
        <f t="shared" si="23"/>
        <v>191.9175123</v>
      </c>
      <c r="AC68" s="71">
        <f>+(S68-T68)*V68-'data 1'!$F$4</f>
        <v>24.7185</v>
      </c>
      <c r="AD68" s="71">
        <f t="shared" si="7"/>
        <v>17.95642776</v>
      </c>
      <c r="AE68" s="918">
        <f t="shared" si="8"/>
        <v>-75.07058</v>
      </c>
      <c r="AF68" s="71">
        <f t="shared" si="9"/>
        <v>32.39830375</v>
      </c>
      <c r="AG68" s="71">
        <f t="shared" si="27"/>
        <v>90.00265152</v>
      </c>
      <c r="AH68" s="71">
        <f t="shared" si="11"/>
        <v>17.94328314</v>
      </c>
      <c r="AI68" s="58">
        <f t="shared" si="12"/>
        <v>18.50442936</v>
      </c>
      <c r="AJ68" s="58">
        <f t="shared" si="13"/>
        <v>15.49018461</v>
      </c>
      <c r="AK68" s="11"/>
      <c r="AL68" s="70">
        <f t="shared" si="15"/>
        <v>784.6931324</v>
      </c>
      <c r="AM68" s="65"/>
    </row>
    <row r="69" ht="15.75" customHeight="1">
      <c r="A69" s="116" t="s">
        <v>4870</v>
      </c>
      <c r="B69" s="841">
        <v>45558.0</v>
      </c>
      <c r="C69" s="870">
        <v>45556.0</v>
      </c>
      <c r="D69" s="197" t="s">
        <v>74</v>
      </c>
      <c r="E69" s="2">
        <v>1.0082235774E10</v>
      </c>
      <c r="G69" s="3">
        <v>42.0</v>
      </c>
      <c r="H69" s="2" t="s">
        <v>47</v>
      </c>
      <c r="I69" s="58">
        <v>3.33</v>
      </c>
      <c r="J69" s="58">
        <v>1.1</v>
      </c>
      <c r="K69" s="59">
        <f t="shared" si="2"/>
        <v>3.29337</v>
      </c>
      <c r="L69" s="60">
        <v>0.237</v>
      </c>
      <c r="M69" s="60">
        <v>0.218</v>
      </c>
      <c r="N69" s="62">
        <v>0.218</v>
      </c>
      <c r="O69" s="106">
        <f t="shared" si="20"/>
        <v>0.218</v>
      </c>
      <c r="P69" s="2">
        <v>85.0</v>
      </c>
      <c r="Q69" s="58">
        <v>89.16</v>
      </c>
      <c r="R69" s="65">
        <v>2605.85</v>
      </c>
      <c r="S69" s="3">
        <v>105.0</v>
      </c>
      <c r="U69" s="2">
        <v>80.0</v>
      </c>
      <c r="V69" s="67">
        <v>1.1023</v>
      </c>
      <c r="W69" s="58">
        <v>5.5</v>
      </c>
      <c r="X69" s="58">
        <v>6.5</v>
      </c>
      <c r="Y69" s="2">
        <v>0.0</v>
      </c>
      <c r="Z69" s="77">
        <v>10.0</v>
      </c>
      <c r="AA69" s="70">
        <f t="shared" si="5"/>
        <v>10</v>
      </c>
      <c r="AB69" s="71">
        <f t="shared" si="23"/>
        <v>389.1559975</v>
      </c>
      <c r="AC69" s="71">
        <f>+(S69-T69)*V69-'data 1'!$F$4</f>
        <v>35.7415</v>
      </c>
      <c r="AD69" s="71">
        <f t="shared" si="7"/>
        <v>27.45042293</v>
      </c>
      <c r="AE69" s="918">
        <f t="shared" si="8"/>
        <v>-75.07058</v>
      </c>
      <c r="AF69" s="71">
        <f t="shared" si="9"/>
        <v>47.16621477</v>
      </c>
      <c r="AG69" s="71">
        <f t="shared" si="27"/>
        <v>125.2875577</v>
      </c>
      <c r="AH69" s="71">
        <f t="shared" si="11"/>
        <v>23.85986599</v>
      </c>
      <c r="AI69" s="58">
        <f t="shared" si="12"/>
        <v>30.5482621</v>
      </c>
      <c r="AJ69" s="58">
        <f t="shared" si="13"/>
        <v>20.923051</v>
      </c>
      <c r="AK69" s="11"/>
      <c r="AL69" s="70">
        <f t="shared" si="15"/>
        <v>1281.634688</v>
      </c>
      <c r="AM69" s="65"/>
    </row>
    <row r="70" ht="15.75" customHeight="1">
      <c r="A70" s="116" t="s">
        <v>4871</v>
      </c>
      <c r="B70" s="841">
        <v>45558.0</v>
      </c>
      <c r="C70" s="870">
        <v>45556.0</v>
      </c>
      <c r="D70" s="197" t="s">
        <v>74</v>
      </c>
      <c r="E70" s="2">
        <v>1.0082235774E10</v>
      </c>
      <c r="G70" s="3">
        <v>33.0</v>
      </c>
      <c r="H70" s="2" t="s">
        <v>47</v>
      </c>
      <c r="I70" s="58">
        <v>2.91</v>
      </c>
      <c r="J70" s="58">
        <v>1.2</v>
      </c>
      <c r="K70" s="59">
        <f t="shared" si="2"/>
        <v>2.87508</v>
      </c>
      <c r="L70" s="3">
        <v>0.105</v>
      </c>
      <c r="M70" s="60">
        <v>0.097</v>
      </c>
      <c r="N70" s="62">
        <v>0.097</v>
      </c>
      <c r="O70" s="106">
        <f t="shared" si="20"/>
        <v>0.097</v>
      </c>
      <c r="P70" s="2">
        <v>85.0</v>
      </c>
      <c r="Q70" s="58">
        <v>89.26</v>
      </c>
      <c r="R70" s="65">
        <v>2605.85</v>
      </c>
      <c r="S70" s="3">
        <v>95.0</v>
      </c>
      <c r="U70" s="2">
        <v>80.0</v>
      </c>
      <c r="V70" s="67">
        <v>1.1023</v>
      </c>
      <c r="W70" s="58">
        <v>5.5</v>
      </c>
      <c r="X70" s="58">
        <v>6.5</v>
      </c>
      <c r="Y70" s="2">
        <v>0.0</v>
      </c>
      <c r="Z70" s="77">
        <v>10.0</v>
      </c>
      <c r="AA70" s="70">
        <f t="shared" si="5"/>
        <v>10</v>
      </c>
      <c r="AB70" s="71">
        <f t="shared" si="23"/>
        <v>113.8194553</v>
      </c>
      <c r="AC70" s="71">
        <f>+(S70-T70)*V70-'data 1'!$F$4</f>
        <v>24.7185</v>
      </c>
      <c r="AD70" s="71">
        <f t="shared" si="7"/>
        <v>12.45392545</v>
      </c>
      <c r="AE70" s="918">
        <f t="shared" si="8"/>
        <v>-75.07058</v>
      </c>
      <c r="AF70" s="71">
        <f t="shared" si="9"/>
        <v>19.8817328</v>
      </c>
      <c r="AG70" s="71">
        <v>90.0</v>
      </c>
      <c r="AH70" s="71">
        <f t="shared" si="11"/>
        <v>9.238579161</v>
      </c>
      <c r="AI70" s="58">
        <f t="shared" si="12"/>
        <v>13.54921967</v>
      </c>
      <c r="AJ70" s="58">
        <f t="shared" si="13"/>
        <v>8.1273631</v>
      </c>
      <c r="AK70" s="11"/>
      <c r="AL70" s="70">
        <f t="shared" si="15"/>
        <v>327.2400396</v>
      </c>
      <c r="AM70" s="65"/>
    </row>
    <row r="71" ht="15.75" customHeight="1">
      <c r="A71" s="116" t="s">
        <v>4872</v>
      </c>
      <c r="B71" s="841">
        <v>45558.0</v>
      </c>
      <c r="C71" s="870">
        <v>45556.0</v>
      </c>
      <c r="D71" s="197" t="s">
        <v>74</v>
      </c>
      <c r="E71" s="2">
        <v>1.0082235774E10</v>
      </c>
      <c r="G71" s="3">
        <v>39.0</v>
      </c>
      <c r="H71" s="2" t="s">
        <v>47</v>
      </c>
      <c r="I71" s="58">
        <v>3.3</v>
      </c>
      <c r="J71" s="58">
        <v>1.1</v>
      </c>
      <c r="K71" s="59">
        <f t="shared" si="2"/>
        <v>3.2637</v>
      </c>
      <c r="L71" s="60">
        <v>0.15</v>
      </c>
      <c r="M71" s="60">
        <v>0.137</v>
      </c>
      <c r="N71" s="62">
        <v>0.137</v>
      </c>
      <c r="O71" s="106">
        <f t="shared" si="20"/>
        <v>0.137</v>
      </c>
      <c r="P71" s="2">
        <v>85.0</v>
      </c>
      <c r="Q71" s="58">
        <v>89.65</v>
      </c>
      <c r="R71" s="65">
        <v>2605.85</v>
      </c>
      <c r="S71" s="3">
        <v>95.0</v>
      </c>
      <c r="U71" s="2">
        <v>80.0</v>
      </c>
      <c r="V71" s="67">
        <v>1.1023</v>
      </c>
      <c r="W71" s="58">
        <v>5.5</v>
      </c>
      <c r="X71" s="58">
        <v>6.5</v>
      </c>
      <c r="Y71" s="2">
        <v>0.0</v>
      </c>
      <c r="Z71" s="77">
        <v>10.0</v>
      </c>
      <c r="AA71" s="70">
        <f t="shared" si="5"/>
        <v>10</v>
      </c>
      <c r="AB71" s="71">
        <f t="shared" si="23"/>
        <v>208.4837668</v>
      </c>
      <c r="AC71" s="71">
        <f>+(S71-T71)*V71-'data 1'!$F$4</f>
        <v>24.7185</v>
      </c>
      <c r="AD71" s="71">
        <f t="shared" si="7"/>
        <v>19.42010507</v>
      </c>
      <c r="AE71" s="918">
        <f t="shared" si="8"/>
        <v>-75.07058</v>
      </c>
      <c r="AF71" s="71">
        <f t="shared" si="9"/>
        <v>32.448977</v>
      </c>
      <c r="AG71" s="71">
        <f t="shared" ref="AG71:AG72" si="28">+IF(D71="RONALD WILLIAN GARIBAY ESCUDERO",AC71+AD71+AE71+AF71+80,AC71+AD71+AE71+AF71)+90</f>
        <v>91.51700207</v>
      </c>
      <c r="AH71" s="71">
        <f t="shared" si="11"/>
        <v>15.04737879</v>
      </c>
      <c r="AI71" s="58">
        <f t="shared" si="12"/>
        <v>19.44059959</v>
      </c>
      <c r="AJ71" s="58">
        <f t="shared" si="13"/>
        <v>13.03043138</v>
      </c>
      <c r="AK71" s="11"/>
      <c r="AL71" s="70">
        <f t="shared" si="15"/>
        <v>680.4284697</v>
      </c>
      <c r="AM71" s="65"/>
    </row>
    <row r="72" ht="15.75" customHeight="1">
      <c r="A72" s="116" t="s">
        <v>4873</v>
      </c>
      <c r="B72" s="841">
        <v>45558.0</v>
      </c>
      <c r="C72" s="870">
        <v>45556.0</v>
      </c>
      <c r="D72" s="197" t="s">
        <v>74</v>
      </c>
      <c r="E72" s="2">
        <v>1.0082235774E10</v>
      </c>
      <c r="G72" s="3">
        <v>12.0</v>
      </c>
      <c r="H72" s="2" t="s">
        <v>47</v>
      </c>
      <c r="I72" s="58">
        <v>1.1</v>
      </c>
      <c r="J72" s="58">
        <v>1.2</v>
      </c>
      <c r="K72" s="59">
        <f t="shared" si="2"/>
        <v>1.0868</v>
      </c>
      <c r="L72" s="60">
        <v>0.063</v>
      </c>
      <c r="M72" s="60">
        <v>0.058</v>
      </c>
      <c r="N72" s="427">
        <v>0.058</v>
      </c>
      <c r="O72" s="106">
        <f t="shared" si="20"/>
        <v>0.058</v>
      </c>
      <c r="P72" s="2">
        <v>85.0</v>
      </c>
      <c r="Q72" s="966">
        <v>89.65</v>
      </c>
      <c r="R72" s="65">
        <v>2605.85</v>
      </c>
      <c r="S72" s="3">
        <v>95.0</v>
      </c>
      <c r="U72" s="2">
        <v>80.0</v>
      </c>
      <c r="V72" s="67">
        <v>1.1023</v>
      </c>
      <c r="W72" s="58">
        <v>5.5</v>
      </c>
      <c r="X72" s="58">
        <v>6.5</v>
      </c>
      <c r="Y72" s="2">
        <v>0.0</v>
      </c>
      <c r="Z72" s="77">
        <v>10.0</v>
      </c>
      <c r="AA72" s="70">
        <f t="shared" si="5"/>
        <v>10</v>
      </c>
      <c r="AB72" s="71">
        <f t="shared" si="23"/>
        <v>21.52175163</v>
      </c>
      <c r="AC72" s="71">
        <f>+(S72-T72)*V72-'data 1'!$F$4</f>
        <v>24.7185</v>
      </c>
      <c r="AD72" s="71">
        <f t="shared" si="7"/>
        <v>8.156444131</v>
      </c>
      <c r="AE72" s="918">
        <f t="shared" si="8"/>
        <v>-75.07058</v>
      </c>
      <c r="AF72" s="71">
        <f t="shared" si="9"/>
        <v>12.48037577</v>
      </c>
      <c r="AG72" s="71">
        <f t="shared" si="28"/>
        <v>60.2847399</v>
      </c>
      <c r="AH72" s="71">
        <f t="shared" si="11"/>
        <v>2.104502967</v>
      </c>
      <c r="AI72" s="58">
        <f t="shared" si="12"/>
        <v>8.165051826</v>
      </c>
      <c r="AJ72" s="58">
        <f t="shared" si="13"/>
        <v>1.836985035</v>
      </c>
      <c r="AK72" s="11"/>
      <c r="AL72" s="70">
        <f t="shared" si="15"/>
        <v>23.38983967</v>
      </c>
      <c r="AM72" s="65"/>
    </row>
    <row r="73" ht="15.75" customHeight="1">
      <c r="A73" s="116" t="s">
        <v>4874</v>
      </c>
      <c r="B73" s="841">
        <v>45560.0</v>
      </c>
      <c r="C73" s="870">
        <v>45557.0</v>
      </c>
      <c r="D73" s="2" t="s">
        <v>602</v>
      </c>
      <c r="E73" s="2">
        <v>2.0169040231E10</v>
      </c>
      <c r="F73" s="2" t="s">
        <v>4875</v>
      </c>
      <c r="G73" s="3">
        <v>51.0</v>
      </c>
      <c r="H73" s="2" t="s">
        <v>47</v>
      </c>
      <c r="I73" s="58">
        <v>5.35</v>
      </c>
      <c r="J73" s="58">
        <v>1.4</v>
      </c>
      <c r="K73" s="59">
        <f t="shared" si="2"/>
        <v>5.2751</v>
      </c>
      <c r="L73" s="60">
        <v>0.406</v>
      </c>
      <c r="M73" s="60">
        <v>0.396</v>
      </c>
      <c r="N73" s="75">
        <v>0.4</v>
      </c>
      <c r="O73" s="106">
        <f t="shared" si="20"/>
        <v>0.398</v>
      </c>
      <c r="P73" s="2">
        <v>90.0</v>
      </c>
      <c r="Q73" s="2">
        <v>89.53</v>
      </c>
      <c r="R73" s="65">
        <v>2605.85</v>
      </c>
      <c r="S73" s="3">
        <v>120.0</v>
      </c>
      <c r="U73" s="2">
        <v>130.0</v>
      </c>
      <c r="V73" s="67">
        <v>1.1023</v>
      </c>
      <c r="W73" s="58">
        <v>5.0</v>
      </c>
      <c r="X73" s="58">
        <v>10.1</v>
      </c>
      <c r="Y73" s="2">
        <v>30.0</v>
      </c>
      <c r="Z73" s="69">
        <f t="shared" ref="Z73:Z76" si="29">IF(IF(D73="UNTUCA",IF(+((W73-3)*1.5+(X73-3)*3.1)&gt;0,+((W73-3)*1.5+(X73-3)*3.1),0),IF(+((W73-3)*1.5+(X73-3)*3.1)&gt;0,+((W73-3)*1.5+(X73-3)*3.1),0))&lt;30,30,IF(D73="UNTUCA",IF(+((W73-3)*1.5+(X73-3)*3.1)&gt;0,+((W73-3)*1.5+(X73-3)*3.1),0),IF(+((W73-3)*1.5+(X73-3)*3.1)&gt;0,+((W73-3)*1.5+(X73-3)*3.1),0)))</f>
        <v>30</v>
      </c>
      <c r="AA73" s="70">
        <f t="shared" si="5"/>
        <v>60</v>
      </c>
      <c r="AB73" s="71">
        <f t="shared" si="23"/>
        <v>779.1601708</v>
      </c>
      <c r="AC73" s="71">
        <f>+(S73-T73)*V73-'data 1'!$F$4</f>
        <v>52.276</v>
      </c>
      <c r="AD73" s="71">
        <f t="shared" si="7"/>
        <v>-5.207724826</v>
      </c>
      <c r="AE73" s="918">
        <f t="shared" si="8"/>
        <v>-31.430523</v>
      </c>
      <c r="AF73" s="71">
        <f t="shared" si="9"/>
        <v>19.54711681</v>
      </c>
      <c r="AG73" s="71">
        <f t="shared" ref="AG73:AG76" si="30">+IF(D73="RONALD WILLIAN GARIBAY ESCUDERO",AC73+AD73+AE73+AF73+80,AC73+AD73+AE73+AF73)</f>
        <v>35.18486898</v>
      </c>
      <c r="AH73" s="71">
        <f t="shared" si="11"/>
        <v>65.74070912</v>
      </c>
      <c r="AI73" s="58">
        <f t="shared" si="12"/>
        <v>72.58264057</v>
      </c>
      <c r="AJ73" s="58">
        <f t="shared" si="13"/>
        <v>64.78364025</v>
      </c>
      <c r="AK73" s="11"/>
      <c r="AL73" s="70">
        <f t="shared" si="15"/>
        <v>4110.147817</v>
      </c>
      <c r="AM73" s="65"/>
    </row>
    <row r="74" ht="15.75" customHeight="1">
      <c r="A74" s="116" t="s">
        <v>4876</v>
      </c>
      <c r="B74" s="841">
        <v>45560.0</v>
      </c>
      <c r="C74" s="870">
        <v>45557.0</v>
      </c>
      <c r="D74" s="2" t="s">
        <v>602</v>
      </c>
      <c r="E74" s="2">
        <v>2.0169040231E10</v>
      </c>
      <c r="F74" s="2" t="s">
        <v>4875</v>
      </c>
      <c r="G74" s="3">
        <v>10.0</v>
      </c>
      <c r="H74" s="2" t="s">
        <v>47</v>
      </c>
      <c r="I74" s="58">
        <v>0.89</v>
      </c>
      <c r="J74" s="58">
        <v>1.0</v>
      </c>
      <c r="K74" s="59">
        <f t="shared" si="2"/>
        <v>0.8811</v>
      </c>
      <c r="L74" s="60">
        <v>1.117</v>
      </c>
      <c r="M74" s="60">
        <v>1.072</v>
      </c>
      <c r="N74" s="427">
        <v>1.072</v>
      </c>
      <c r="O74" s="106">
        <f t="shared" si="20"/>
        <v>1.072</v>
      </c>
      <c r="P74" s="2">
        <v>90.0</v>
      </c>
      <c r="Q74" s="2">
        <v>89.13</v>
      </c>
      <c r="R74" s="65">
        <v>2605.85</v>
      </c>
      <c r="S74" s="3">
        <v>170.0</v>
      </c>
      <c r="U74" s="2">
        <v>130.0</v>
      </c>
      <c r="V74" s="67">
        <v>1.1023</v>
      </c>
      <c r="W74" s="58">
        <v>5.0</v>
      </c>
      <c r="X74" s="58">
        <v>10.1</v>
      </c>
      <c r="Y74" s="2">
        <v>30.0</v>
      </c>
      <c r="Z74" s="69">
        <f t="shared" si="29"/>
        <v>30</v>
      </c>
      <c r="AA74" s="70">
        <f t="shared" si="5"/>
        <v>60</v>
      </c>
      <c r="AB74" s="71">
        <f t="shared" si="23"/>
        <v>2379.535098</v>
      </c>
      <c r="AC74" s="71">
        <f>+(S74-T74)*V74-'data 1'!$F$4</f>
        <v>107.391</v>
      </c>
      <c r="AD74" s="71">
        <f t="shared" si="7"/>
        <v>-26.52140713</v>
      </c>
      <c r="AE74" s="918">
        <f t="shared" si="8"/>
        <v>-31.430523</v>
      </c>
      <c r="AF74" s="71">
        <f t="shared" si="9"/>
        <v>109.4612887</v>
      </c>
      <c r="AG74" s="71">
        <f t="shared" si="30"/>
        <v>158.9003586</v>
      </c>
      <c r="AH74" s="71">
        <f t="shared" si="11"/>
        <v>30.07539571</v>
      </c>
      <c r="AI74" s="58">
        <f t="shared" si="12"/>
        <v>198.7994715</v>
      </c>
      <c r="AJ74" s="58">
        <f t="shared" si="13"/>
        <v>29.1455037</v>
      </c>
      <c r="AK74" s="11"/>
      <c r="AL74" s="70">
        <f t="shared" si="15"/>
        <v>2096.608375</v>
      </c>
      <c r="AM74" s="65"/>
    </row>
    <row r="75" ht="15.75" customHeight="1">
      <c r="A75" s="116" t="s">
        <v>4877</v>
      </c>
      <c r="B75" s="841">
        <v>45560.0</v>
      </c>
      <c r="C75" s="870">
        <v>45557.0</v>
      </c>
      <c r="D75" s="2" t="s">
        <v>602</v>
      </c>
      <c r="E75" s="2">
        <v>2.0169040231E10</v>
      </c>
      <c r="F75" s="2" t="s">
        <v>4878</v>
      </c>
      <c r="G75" s="3">
        <v>48.0</v>
      </c>
      <c r="H75" s="2" t="s">
        <v>47</v>
      </c>
      <c r="I75" s="58">
        <v>3.08</v>
      </c>
      <c r="J75" s="58">
        <v>4.5</v>
      </c>
      <c r="K75" s="59">
        <f t="shared" si="2"/>
        <v>2.9414</v>
      </c>
      <c r="L75" s="60">
        <v>0.158</v>
      </c>
      <c r="M75" s="60">
        <v>0.154</v>
      </c>
      <c r="N75" s="3">
        <v>0.154</v>
      </c>
      <c r="O75" s="106">
        <f t="shared" si="20"/>
        <v>0.154</v>
      </c>
      <c r="P75" s="2">
        <v>90.0</v>
      </c>
      <c r="Q75" s="2">
        <v>89.44</v>
      </c>
      <c r="R75" s="65">
        <v>2605.85</v>
      </c>
      <c r="S75" s="3">
        <v>120.0</v>
      </c>
      <c r="U75" s="2">
        <v>130.0</v>
      </c>
      <c r="V75" s="67">
        <v>1.1023</v>
      </c>
      <c r="W75" s="58">
        <v>5.0</v>
      </c>
      <c r="X75" s="58">
        <v>10.2</v>
      </c>
      <c r="Y75" s="2">
        <v>50.0</v>
      </c>
      <c r="Z75" s="69">
        <f t="shared" si="29"/>
        <v>30</v>
      </c>
      <c r="AA75" s="70">
        <f t="shared" si="5"/>
        <v>80</v>
      </c>
      <c r="AB75" s="71">
        <f t="shared" si="23"/>
        <v>157.7973425</v>
      </c>
      <c r="AC75" s="71">
        <f>+(S75-T75)*V75-'data 1'!$F$4</f>
        <v>52.276</v>
      </c>
      <c r="AD75" s="71">
        <f t="shared" si="7"/>
        <v>-2.414733742</v>
      </c>
      <c r="AE75" s="918">
        <f t="shared" si="8"/>
        <v>-9.726236</v>
      </c>
      <c r="AF75" s="71">
        <f t="shared" si="9"/>
        <v>9.763733538</v>
      </c>
      <c r="AG75" s="71">
        <f t="shared" si="30"/>
        <v>49.8987638</v>
      </c>
      <c r="AH75" s="71">
        <f t="shared" si="11"/>
        <v>14.25121968</v>
      </c>
      <c r="AI75" s="58">
        <f t="shared" si="12"/>
        <v>28.2180516</v>
      </c>
      <c r="AJ75" s="58">
        <f t="shared" si="13"/>
        <v>13.9773998</v>
      </c>
      <c r="AK75" s="11"/>
      <c r="AL75" s="70">
        <f t="shared" si="15"/>
        <v>464.1451031</v>
      </c>
      <c r="AM75" s="65"/>
    </row>
    <row r="76" ht="15.75" customHeight="1">
      <c r="A76" s="116" t="s">
        <v>4879</v>
      </c>
      <c r="B76" s="841">
        <v>45560.0</v>
      </c>
      <c r="C76" s="870">
        <v>45557.0</v>
      </c>
      <c r="D76" s="2" t="s">
        <v>602</v>
      </c>
      <c r="E76" s="2">
        <v>2.0169040231E10</v>
      </c>
      <c r="F76" s="2" t="s">
        <v>4878</v>
      </c>
      <c r="G76" s="3">
        <v>69.0</v>
      </c>
      <c r="H76" s="2" t="s">
        <v>47</v>
      </c>
      <c r="I76" s="58">
        <v>6.71</v>
      </c>
      <c r="J76" s="58">
        <v>4.6</v>
      </c>
      <c r="K76" s="59">
        <f t="shared" si="2"/>
        <v>6.40134</v>
      </c>
      <c r="L76" s="60">
        <v>0.484</v>
      </c>
      <c r="M76" s="60">
        <v>0.46</v>
      </c>
      <c r="N76" s="60">
        <v>0.54</v>
      </c>
      <c r="O76" s="106">
        <f t="shared" si="20"/>
        <v>0.5</v>
      </c>
      <c r="P76" s="2">
        <v>90.0</v>
      </c>
      <c r="Q76" s="2">
        <v>89.38</v>
      </c>
      <c r="R76" s="65">
        <v>2605.85</v>
      </c>
      <c r="S76" s="3">
        <v>150.0</v>
      </c>
      <c r="U76" s="2">
        <v>130.0</v>
      </c>
      <c r="V76" s="67">
        <v>1.1023</v>
      </c>
      <c r="W76" s="58">
        <v>5.0</v>
      </c>
      <c r="X76" s="58">
        <v>10.1</v>
      </c>
      <c r="Y76" s="2">
        <v>50.0</v>
      </c>
      <c r="Z76" s="69">
        <f t="shared" si="29"/>
        <v>30</v>
      </c>
      <c r="AA76" s="70">
        <f t="shared" si="5"/>
        <v>80</v>
      </c>
      <c r="AB76" s="71">
        <f t="shared" si="23"/>
        <v>974.5792548</v>
      </c>
      <c r="AC76" s="71">
        <f>+(S76-T76)*V76-'data 1'!$F$4</f>
        <v>85.345</v>
      </c>
      <c r="AD76" s="71">
        <f t="shared" si="7"/>
        <v>-8.189571669</v>
      </c>
      <c r="AE76" s="918">
        <f t="shared" si="8"/>
        <v>-9.384523</v>
      </c>
      <c r="AF76" s="71">
        <f t="shared" si="9"/>
        <v>-39.02873451</v>
      </c>
      <c r="AG76" s="71">
        <f t="shared" si="30"/>
        <v>28.74217082</v>
      </c>
      <c r="AH76" s="71">
        <f t="shared" si="11"/>
        <v>94.94359588</v>
      </c>
      <c r="AI76" s="58">
        <f t="shared" si="12"/>
        <v>86.38211988</v>
      </c>
      <c r="AJ76" s="58">
        <f t="shared" si="13"/>
        <v>98.76259167</v>
      </c>
      <c r="AK76" s="11"/>
      <c r="AL76" s="70">
        <f t="shared" si="15"/>
        <v>6238.613167</v>
      </c>
      <c r="AM76" s="65"/>
    </row>
    <row r="77" ht="15.75" customHeight="1">
      <c r="G77" s="3"/>
      <c r="M77" s="60"/>
      <c r="N77" s="3"/>
      <c r="S77" s="3"/>
      <c r="AK77" s="11"/>
      <c r="AL77" s="65"/>
      <c r="AM77" s="65"/>
    </row>
    <row r="78" ht="15.75" customHeight="1">
      <c r="G78" s="3"/>
      <c r="M78" s="60"/>
      <c r="N78" s="3"/>
      <c r="S78" s="3"/>
      <c r="AK78" s="11"/>
      <c r="AL78" s="65"/>
      <c r="AM78" s="65"/>
    </row>
    <row r="79" ht="15.75" customHeight="1">
      <c r="G79" s="3"/>
      <c r="N79" s="3"/>
      <c r="S79" s="3"/>
      <c r="AK79" s="11"/>
      <c r="AL79" s="65"/>
      <c r="AM79" s="65"/>
    </row>
    <row r="80" ht="15.75" customHeight="1">
      <c r="G80" s="3"/>
      <c r="N80" s="3"/>
      <c r="S80" s="3"/>
      <c r="AK80" s="11"/>
      <c r="AL80" s="65"/>
      <c r="AM80" s="65"/>
    </row>
    <row r="81" ht="15.75" customHeight="1">
      <c r="G81" s="3"/>
      <c r="N81" s="3"/>
      <c r="S81" s="3"/>
      <c r="AK81" s="11"/>
      <c r="AL81" s="65"/>
      <c r="AM81" s="65"/>
    </row>
    <row r="82" ht="15.75" customHeight="1">
      <c r="G82" s="3"/>
      <c r="N82" s="3"/>
      <c r="S82" s="3"/>
      <c r="AK82" s="11"/>
      <c r="AL82" s="65"/>
      <c r="AM82" s="65"/>
    </row>
    <row r="83" ht="15.75" customHeight="1">
      <c r="G83" s="3"/>
      <c r="N83" s="3"/>
      <c r="S83" s="3"/>
      <c r="AK83" s="11"/>
      <c r="AL83" s="65"/>
      <c r="AM83" s="65"/>
    </row>
    <row r="84" ht="15.75" customHeight="1">
      <c r="G84" s="3"/>
      <c r="N84" s="3"/>
      <c r="S84" s="3"/>
      <c r="AK84" s="11"/>
      <c r="AL84" s="65"/>
      <c r="AM84" s="65"/>
    </row>
    <row r="85" ht="15.75" customHeight="1">
      <c r="G85" s="3"/>
      <c r="S85" s="3"/>
      <c r="AK85" s="11"/>
      <c r="AL85" s="65"/>
      <c r="AM85" s="65"/>
    </row>
    <row r="86" ht="15.75" customHeight="1">
      <c r="G86" s="3"/>
      <c r="S86" s="3"/>
      <c r="AK86" s="11"/>
      <c r="AL86" s="65"/>
      <c r="AM86" s="65"/>
    </row>
    <row r="87" ht="15.75" customHeight="1">
      <c r="G87" s="3"/>
      <c r="S87" s="3"/>
      <c r="AK87" s="11"/>
      <c r="AL87" s="65"/>
      <c r="AM87" s="65"/>
    </row>
    <row r="88" ht="15.75" customHeight="1">
      <c r="G88" s="3"/>
      <c r="S88" s="3"/>
      <c r="AK88" s="11"/>
      <c r="AL88" s="65"/>
      <c r="AM88" s="65"/>
    </row>
    <row r="89" ht="15.75" customHeight="1">
      <c r="G89" s="3"/>
      <c r="S89" s="3"/>
      <c r="AK89" s="11"/>
      <c r="AL89" s="65"/>
      <c r="AM89" s="65"/>
    </row>
    <row r="90" ht="15.75" customHeight="1">
      <c r="G90" s="3"/>
      <c r="S90" s="3"/>
      <c r="AK90" s="11"/>
      <c r="AL90" s="65"/>
      <c r="AM90" s="65"/>
    </row>
    <row r="91" ht="15.75" customHeight="1">
      <c r="G91" s="3"/>
      <c r="S91" s="3"/>
      <c r="AK91" s="11"/>
      <c r="AL91" s="65"/>
      <c r="AM91" s="65"/>
    </row>
    <row r="92" ht="15.75" customHeight="1">
      <c r="G92" s="3"/>
      <c r="S92" s="3"/>
      <c r="AK92" s="11"/>
      <c r="AL92" s="65"/>
      <c r="AM92" s="65"/>
    </row>
    <row r="93" ht="15.75" customHeight="1">
      <c r="G93" s="3"/>
      <c r="S93" s="3"/>
      <c r="AK93" s="11"/>
      <c r="AL93" s="65"/>
      <c r="AM93" s="65"/>
    </row>
    <row r="94" ht="15.75" customHeight="1">
      <c r="G94" s="3"/>
      <c r="S94" s="3"/>
      <c r="AK94" s="11"/>
      <c r="AL94" s="65"/>
      <c r="AM94" s="65"/>
    </row>
    <row r="95" ht="15.75" customHeight="1">
      <c r="G95" s="3"/>
      <c r="S95" s="3"/>
      <c r="AK95" s="11"/>
      <c r="AL95" s="65"/>
      <c r="AM95" s="65"/>
    </row>
    <row r="96" ht="15.75" customHeight="1">
      <c r="G96" s="3"/>
      <c r="S96" s="3"/>
      <c r="AK96" s="11"/>
      <c r="AL96" s="65"/>
      <c r="AM96" s="65"/>
    </row>
    <row r="97" ht="15.75" customHeight="1">
      <c r="G97" s="3"/>
      <c r="S97" s="3"/>
      <c r="AK97" s="11"/>
      <c r="AL97" s="65"/>
      <c r="AM97" s="65"/>
    </row>
    <row r="98" ht="15.75" customHeight="1">
      <c r="G98" s="3"/>
      <c r="S98" s="3"/>
      <c r="AK98" s="11"/>
      <c r="AL98" s="65"/>
      <c r="AM98" s="65"/>
    </row>
    <row r="99" ht="15.75" customHeight="1">
      <c r="G99" s="3"/>
      <c r="S99" s="3"/>
      <c r="AK99" s="11"/>
      <c r="AL99" s="65"/>
      <c r="AM99" s="65"/>
    </row>
    <row r="100" ht="15.75" customHeight="1">
      <c r="G100" s="3"/>
      <c r="S100" s="3"/>
      <c r="AK100" s="11"/>
      <c r="AL100" s="65"/>
      <c r="AM100" s="65"/>
    </row>
    <row r="101" ht="15.75" customHeight="1">
      <c r="G101" s="3"/>
      <c r="S101" s="3"/>
      <c r="AK101" s="11"/>
      <c r="AL101" s="65"/>
      <c r="AM101" s="65"/>
    </row>
    <row r="102" ht="15.75" customHeight="1">
      <c r="G102" s="3"/>
      <c r="S102" s="3"/>
      <c r="AK102" s="11"/>
      <c r="AL102" s="65"/>
      <c r="AM102" s="65"/>
    </row>
    <row r="103" ht="15.75" customHeight="1">
      <c r="G103" s="3"/>
      <c r="S103" s="3"/>
      <c r="AK103" s="11"/>
      <c r="AL103" s="65"/>
      <c r="AM103" s="65"/>
    </row>
    <row r="104" ht="15.75" customHeight="1">
      <c r="G104" s="3"/>
      <c r="S104" s="3"/>
      <c r="AK104" s="11"/>
      <c r="AL104" s="65"/>
      <c r="AM104" s="65"/>
    </row>
    <row r="105" ht="15.75" customHeight="1">
      <c r="G105" s="3"/>
      <c r="S105" s="3"/>
      <c r="AK105" s="11"/>
      <c r="AL105" s="65"/>
      <c r="AM105" s="65"/>
    </row>
    <row r="106" ht="15.75" customHeight="1">
      <c r="G106" s="3"/>
      <c r="S106" s="3"/>
      <c r="AK106" s="11"/>
      <c r="AL106" s="65"/>
      <c r="AM106" s="65"/>
    </row>
    <row r="107" ht="15.75" customHeight="1">
      <c r="G107" s="3"/>
      <c r="S107" s="3"/>
      <c r="AK107" s="11"/>
      <c r="AL107" s="65"/>
      <c r="AM107" s="65"/>
    </row>
    <row r="108" ht="15.75" customHeight="1">
      <c r="G108" s="3"/>
      <c r="S108" s="3"/>
      <c r="AK108" s="11"/>
      <c r="AL108" s="65"/>
      <c r="AM108" s="65"/>
    </row>
    <row r="109" ht="15.75" customHeight="1">
      <c r="G109" s="3"/>
      <c r="S109" s="3"/>
      <c r="AK109" s="11"/>
      <c r="AL109" s="65"/>
      <c r="AM109" s="65"/>
    </row>
    <row r="110" ht="15.75" customHeight="1">
      <c r="G110" s="3"/>
      <c r="S110" s="3"/>
      <c r="AK110" s="11"/>
      <c r="AL110" s="65"/>
      <c r="AM110" s="65"/>
    </row>
    <row r="111" ht="15.75" customHeight="1">
      <c r="G111" s="3"/>
      <c r="S111" s="3"/>
      <c r="AK111" s="11"/>
      <c r="AL111" s="65"/>
      <c r="AM111" s="65"/>
    </row>
    <row r="112" ht="15.75" customHeight="1">
      <c r="G112" s="3"/>
      <c r="S112" s="3"/>
      <c r="AK112" s="11"/>
      <c r="AL112" s="65"/>
      <c r="AM112" s="65"/>
    </row>
    <row r="113" ht="15.75" customHeight="1">
      <c r="G113" s="3"/>
      <c r="S113" s="3"/>
      <c r="AK113" s="11"/>
      <c r="AL113" s="65"/>
      <c r="AM113" s="65"/>
    </row>
    <row r="114" ht="15.75" customHeight="1">
      <c r="G114" s="3"/>
      <c r="S114" s="3"/>
      <c r="AK114" s="11"/>
      <c r="AL114" s="65"/>
      <c r="AM114" s="65"/>
    </row>
    <row r="115" ht="15.75" customHeight="1">
      <c r="G115" s="3"/>
      <c r="S115" s="3"/>
      <c r="AK115" s="11"/>
      <c r="AL115" s="65"/>
      <c r="AM115" s="65"/>
    </row>
    <row r="116" ht="15.75" customHeight="1">
      <c r="G116" s="3"/>
      <c r="S116" s="3"/>
      <c r="AK116" s="11"/>
      <c r="AL116" s="65"/>
      <c r="AM116" s="65"/>
    </row>
    <row r="117" ht="15.75" customHeight="1">
      <c r="G117" s="3"/>
      <c r="S117" s="3"/>
      <c r="AK117" s="11"/>
      <c r="AL117" s="65"/>
      <c r="AM117" s="65"/>
    </row>
    <row r="118" ht="15.75" customHeight="1">
      <c r="G118" s="3"/>
      <c r="S118" s="3"/>
      <c r="AK118" s="11"/>
      <c r="AL118" s="65"/>
      <c r="AM118" s="65"/>
    </row>
    <row r="119" ht="15.75" customHeight="1">
      <c r="G119" s="3"/>
      <c r="S119" s="3"/>
      <c r="AK119" s="11"/>
      <c r="AL119" s="65"/>
      <c r="AM119" s="65"/>
    </row>
    <row r="120" ht="15.75" customHeight="1">
      <c r="G120" s="3"/>
      <c r="S120" s="3"/>
      <c r="AK120" s="11"/>
      <c r="AL120" s="65"/>
      <c r="AM120" s="65"/>
    </row>
    <row r="121" ht="15.75" customHeight="1">
      <c r="G121" s="3"/>
      <c r="S121" s="3"/>
      <c r="AK121" s="11"/>
      <c r="AL121" s="65"/>
      <c r="AM121" s="65"/>
    </row>
    <row r="122" ht="15.75" customHeight="1">
      <c r="G122" s="3"/>
      <c r="S122" s="3"/>
      <c r="AK122" s="11"/>
      <c r="AL122" s="65"/>
      <c r="AM122" s="65"/>
    </row>
    <row r="123" ht="15.75" customHeight="1">
      <c r="G123" s="3"/>
      <c r="S123" s="3"/>
      <c r="AK123" s="11"/>
      <c r="AL123" s="65"/>
      <c r="AM123" s="65"/>
    </row>
    <row r="124" ht="15.75" customHeight="1">
      <c r="G124" s="3"/>
      <c r="S124" s="3"/>
      <c r="AK124" s="11"/>
      <c r="AL124" s="65"/>
      <c r="AM124" s="65"/>
    </row>
    <row r="125" ht="15.75" customHeight="1">
      <c r="G125" s="3"/>
      <c r="S125" s="3"/>
      <c r="AK125" s="11"/>
      <c r="AL125" s="65"/>
      <c r="AM125" s="65"/>
    </row>
    <row r="126" ht="15.75" customHeight="1">
      <c r="G126" s="3"/>
      <c r="S126" s="3"/>
      <c r="AK126" s="11"/>
      <c r="AL126" s="65"/>
      <c r="AM126" s="65"/>
    </row>
    <row r="127" ht="15.75" customHeight="1">
      <c r="G127" s="3"/>
      <c r="S127" s="3"/>
      <c r="AK127" s="11"/>
      <c r="AL127" s="65"/>
      <c r="AM127" s="65"/>
    </row>
    <row r="128" ht="15.75" customHeight="1">
      <c r="G128" s="3"/>
      <c r="S128" s="3"/>
      <c r="AK128" s="11"/>
      <c r="AL128" s="65"/>
      <c r="AM128" s="65"/>
    </row>
    <row r="129" ht="15.75" customHeight="1">
      <c r="G129" s="3"/>
      <c r="S129" s="3"/>
      <c r="AK129" s="11"/>
      <c r="AL129" s="65"/>
      <c r="AM129" s="65"/>
    </row>
    <row r="130" ht="15.75" customHeight="1">
      <c r="G130" s="3"/>
      <c r="S130" s="3"/>
      <c r="AK130" s="11"/>
      <c r="AL130" s="65"/>
      <c r="AM130" s="65"/>
    </row>
    <row r="131" ht="15.75" customHeight="1">
      <c r="G131" s="3"/>
      <c r="S131" s="3"/>
      <c r="AK131" s="11"/>
      <c r="AL131" s="65"/>
      <c r="AM131" s="65"/>
    </row>
    <row r="132" ht="15.75" customHeight="1">
      <c r="G132" s="3"/>
      <c r="S132" s="3"/>
      <c r="AK132" s="11"/>
      <c r="AL132" s="65"/>
      <c r="AM132" s="65"/>
    </row>
    <row r="133" ht="15.75" customHeight="1">
      <c r="G133" s="3"/>
      <c r="S133" s="3"/>
      <c r="AK133" s="11"/>
      <c r="AL133" s="65"/>
      <c r="AM133" s="65"/>
    </row>
    <row r="134" ht="15.75" customHeight="1">
      <c r="G134" s="3"/>
      <c r="S134" s="3"/>
      <c r="AK134" s="11"/>
      <c r="AL134" s="65"/>
      <c r="AM134" s="65"/>
    </row>
    <row r="135" ht="15.75" customHeight="1">
      <c r="G135" s="3"/>
      <c r="S135" s="3"/>
      <c r="AK135" s="11"/>
      <c r="AL135" s="65"/>
      <c r="AM135" s="65"/>
    </row>
    <row r="136" ht="15.75" customHeight="1">
      <c r="G136" s="3"/>
      <c r="S136" s="3"/>
      <c r="AK136" s="11"/>
      <c r="AL136" s="65"/>
      <c r="AM136" s="65"/>
    </row>
    <row r="137" ht="15.75" customHeight="1">
      <c r="G137" s="3"/>
      <c r="S137" s="3"/>
      <c r="AK137" s="11"/>
      <c r="AL137" s="65"/>
      <c r="AM137" s="65"/>
    </row>
    <row r="138" ht="15.75" customHeight="1">
      <c r="G138" s="3"/>
      <c r="S138" s="3"/>
      <c r="AK138" s="11"/>
      <c r="AL138" s="65"/>
      <c r="AM138" s="65"/>
    </row>
    <row r="139" ht="15.75" customHeight="1">
      <c r="G139" s="3"/>
      <c r="S139" s="3"/>
      <c r="AK139" s="11"/>
      <c r="AL139" s="65"/>
      <c r="AM139" s="65"/>
    </row>
    <row r="140" ht="15.75" customHeight="1">
      <c r="G140" s="3"/>
      <c r="S140" s="3"/>
      <c r="AK140" s="11"/>
      <c r="AL140" s="65"/>
      <c r="AM140" s="65"/>
    </row>
    <row r="141" ht="15.75" customHeight="1">
      <c r="G141" s="3"/>
      <c r="S141" s="3"/>
      <c r="AK141" s="11"/>
      <c r="AL141" s="65"/>
      <c r="AM141" s="65"/>
    </row>
    <row r="142" ht="15.75" customHeight="1">
      <c r="G142" s="3"/>
      <c r="S142" s="3"/>
      <c r="AK142" s="11"/>
      <c r="AL142" s="65"/>
      <c r="AM142" s="65"/>
    </row>
    <row r="143" ht="15.75" customHeight="1">
      <c r="G143" s="3"/>
      <c r="S143" s="3"/>
      <c r="AK143" s="11"/>
      <c r="AL143" s="65"/>
      <c r="AM143" s="65"/>
    </row>
    <row r="144" ht="15.75" customHeight="1">
      <c r="G144" s="3"/>
      <c r="S144" s="3"/>
      <c r="AK144" s="11"/>
      <c r="AL144" s="65"/>
      <c r="AM144" s="65"/>
    </row>
    <row r="145" ht="15.75" customHeight="1">
      <c r="G145" s="3"/>
      <c r="S145" s="3"/>
      <c r="AK145" s="11"/>
      <c r="AL145" s="65"/>
      <c r="AM145" s="65"/>
    </row>
    <row r="146" ht="15.75" customHeight="1">
      <c r="G146" s="3"/>
      <c r="S146" s="3"/>
      <c r="AK146" s="11"/>
      <c r="AL146" s="65"/>
      <c r="AM146" s="65"/>
    </row>
    <row r="147" ht="15.75" customHeight="1">
      <c r="G147" s="3"/>
      <c r="S147" s="3"/>
      <c r="AK147" s="11"/>
      <c r="AL147" s="65"/>
      <c r="AM147" s="65"/>
    </row>
    <row r="148" ht="15.75" customHeight="1">
      <c r="G148" s="3"/>
      <c r="S148" s="3"/>
      <c r="AK148" s="11"/>
      <c r="AL148" s="65"/>
      <c r="AM148" s="65"/>
    </row>
    <row r="149" ht="15.75" customHeight="1">
      <c r="G149" s="3"/>
      <c r="S149" s="3"/>
      <c r="AK149" s="11"/>
      <c r="AL149" s="65"/>
      <c r="AM149" s="65"/>
    </row>
    <row r="150" ht="15.75" customHeight="1">
      <c r="G150" s="3"/>
      <c r="S150" s="3"/>
      <c r="AK150" s="11"/>
      <c r="AL150" s="65"/>
      <c r="AM150" s="65"/>
    </row>
    <row r="151" ht="15.75" customHeight="1">
      <c r="G151" s="3"/>
      <c r="S151" s="3"/>
      <c r="AK151" s="11"/>
      <c r="AL151" s="65"/>
      <c r="AM151" s="65"/>
    </row>
    <row r="152" ht="15.75" customHeight="1">
      <c r="G152" s="3"/>
      <c r="S152" s="3"/>
      <c r="AK152" s="11"/>
      <c r="AL152" s="65"/>
      <c r="AM152" s="65"/>
    </row>
    <row r="153" ht="15.75" customHeight="1">
      <c r="G153" s="3"/>
      <c r="S153" s="3"/>
      <c r="AK153" s="11"/>
      <c r="AL153" s="65"/>
      <c r="AM153" s="65"/>
    </row>
    <row r="154" ht="15.75" customHeight="1">
      <c r="G154" s="3"/>
      <c r="S154" s="3"/>
      <c r="AK154" s="11"/>
      <c r="AL154" s="65"/>
      <c r="AM154" s="65"/>
    </row>
    <row r="155" ht="15.75" customHeight="1">
      <c r="G155" s="3"/>
      <c r="S155" s="3"/>
      <c r="AK155" s="11"/>
      <c r="AL155" s="65"/>
      <c r="AM155" s="65"/>
    </row>
    <row r="156" ht="15.75" customHeight="1">
      <c r="G156" s="3"/>
      <c r="S156" s="3"/>
      <c r="AK156" s="11"/>
      <c r="AL156" s="65"/>
      <c r="AM156" s="65"/>
    </row>
    <row r="157" ht="15.75" customHeight="1">
      <c r="G157" s="3"/>
      <c r="S157" s="3"/>
      <c r="AK157" s="11"/>
      <c r="AL157" s="65"/>
      <c r="AM157" s="65"/>
    </row>
    <row r="158" ht="15.75" customHeight="1">
      <c r="G158" s="3"/>
      <c r="S158" s="3"/>
      <c r="AK158" s="11"/>
      <c r="AL158" s="65"/>
      <c r="AM158" s="65"/>
    </row>
    <row r="159" ht="15.75" customHeight="1">
      <c r="G159" s="3"/>
      <c r="S159" s="3"/>
      <c r="AK159" s="11"/>
      <c r="AL159" s="65"/>
      <c r="AM159" s="65"/>
    </row>
    <row r="160" ht="15.75" customHeight="1">
      <c r="G160" s="3"/>
      <c r="S160" s="3"/>
      <c r="AK160" s="11"/>
      <c r="AL160" s="65"/>
      <c r="AM160" s="65"/>
    </row>
    <row r="161" ht="15.75" customHeight="1">
      <c r="G161" s="3"/>
      <c r="S161" s="3"/>
      <c r="AK161" s="11"/>
      <c r="AL161" s="65"/>
      <c r="AM161" s="65"/>
    </row>
    <row r="162" ht="15.75" customHeight="1">
      <c r="G162" s="3"/>
      <c r="S162" s="3"/>
      <c r="AK162" s="11"/>
      <c r="AL162" s="65"/>
      <c r="AM162" s="65"/>
    </row>
    <row r="163" ht="15.75" customHeight="1">
      <c r="G163" s="3"/>
      <c r="S163" s="3"/>
      <c r="AK163" s="11"/>
      <c r="AL163" s="65"/>
      <c r="AM163" s="65"/>
    </row>
    <row r="164" ht="15.75" customHeight="1">
      <c r="G164" s="3"/>
      <c r="S164" s="3"/>
      <c r="AK164" s="11"/>
      <c r="AL164" s="65"/>
      <c r="AM164" s="65"/>
    </row>
    <row r="165" ht="15.75" customHeight="1">
      <c r="G165" s="3"/>
      <c r="S165" s="3"/>
      <c r="AK165" s="11"/>
      <c r="AL165" s="65"/>
      <c r="AM165" s="65"/>
    </row>
    <row r="166" ht="15.75" customHeight="1">
      <c r="G166" s="3"/>
      <c r="S166" s="3"/>
      <c r="AK166" s="11"/>
      <c r="AL166" s="65"/>
      <c r="AM166" s="65"/>
    </row>
    <row r="167" ht="15.75" customHeight="1">
      <c r="G167" s="3"/>
      <c r="S167" s="3"/>
      <c r="AK167" s="11"/>
      <c r="AL167" s="65"/>
      <c r="AM167" s="65"/>
    </row>
    <row r="168" ht="15.75" customHeight="1">
      <c r="G168" s="3"/>
      <c r="S168" s="3"/>
      <c r="AK168" s="11"/>
      <c r="AL168" s="65"/>
      <c r="AM168" s="65"/>
    </row>
    <row r="169" ht="15.75" customHeight="1">
      <c r="G169" s="3"/>
      <c r="S169" s="3"/>
      <c r="AK169" s="11"/>
      <c r="AL169" s="65"/>
      <c r="AM169" s="65"/>
    </row>
    <row r="170" ht="15.75" customHeight="1">
      <c r="G170" s="3"/>
      <c r="S170" s="3"/>
      <c r="AK170" s="11"/>
      <c r="AL170" s="65"/>
      <c r="AM170" s="65"/>
    </row>
    <row r="171" ht="15.75" customHeight="1">
      <c r="G171" s="3"/>
      <c r="S171" s="3"/>
      <c r="AK171" s="11"/>
      <c r="AL171" s="65"/>
      <c r="AM171" s="65"/>
    </row>
    <row r="172" ht="15.75" customHeight="1">
      <c r="G172" s="3"/>
      <c r="S172" s="3"/>
      <c r="AK172" s="11"/>
      <c r="AL172" s="65"/>
      <c r="AM172" s="65"/>
    </row>
    <row r="173" ht="15.75" customHeight="1">
      <c r="G173" s="3"/>
      <c r="S173" s="3"/>
      <c r="AK173" s="11"/>
      <c r="AL173" s="65"/>
      <c r="AM173" s="65"/>
    </row>
    <row r="174" ht="15.75" customHeight="1">
      <c r="G174" s="3"/>
      <c r="S174" s="3"/>
      <c r="AK174" s="11"/>
      <c r="AL174" s="65"/>
      <c r="AM174" s="65"/>
    </row>
    <row r="175" ht="15.75" customHeight="1">
      <c r="G175" s="3"/>
      <c r="S175" s="3"/>
      <c r="AK175" s="11"/>
      <c r="AL175" s="65"/>
      <c r="AM175" s="65"/>
    </row>
    <row r="176" ht="15.75" customHeight="1">
      <c r="G176" s="3"/>
      <c r="S176" s="3"/>
      <c r="AK176" s="11"/>
      <c r="AL176" s="65"/>
      <c r="AM176" s="65"/>
    </row>
    <row r="177" ht="15.75" customHeight="1">
      <c r="G177" s="3"/>
      <c r="S177" s="3"/>
      <c r="AK177" s="11"/>
      <c r="AL177" s="65"/>
      <c r="AM177" s="65"/>
    </row>
    <row r="178" ht="15.75" customHeight="1">
      <c r="G178" s="3"/>
      <c r="S178" s="3"/>
      <c r="AK178" s="11"/>
      <c r="AL178" s="65"/>
      <c r="AM178" s="65"/>
    </row>
    <row r="179" ht="15.75" customHeight="1">
      <c r="G179" s="3"/>
      <c r="S179" s="3"/>
      <c r="AK179" s="11"/>
      <c r="AL179" s="65"/>
      <c r="AM179" s="65"/>
    </row>
    <row r="180" ht="15.75" customHeight="1">
      <c r="G180" s="3"/>
      <c r="S180" s="3"/>
      <c r="AK180" s="11"/>
      <c r="AL180" s="65"/>
      <c r="AM180" s="65"/>
    </row>
    <row r="181" ht="15.75" customHeight="1">
      <c r="G181" s="3"/>
      <c r="S181" s="3"/>
      <c r="AK181" s="11"/>
      <c r="AL181" s="65"/>
      <c r="AM181" s="65"/>
    </row>
    <row r="182" ht="15.75" customHeight="1">
      <c r="G182" s="3"/>
      <c r="S182" s="3"/>
      <c r="AK182" s="11"/>
      <c r="AL182" s="65"/>
      <c r="AM182" s="65"/>
    </row>
    <row r="183" ht="15.75" customHeight="1">
      <c r="G183" s="3"/>
      <c r="S183" s="3"/>
      <c r="AK183" s="11"/>
      <c r="AL183" s="65"/>
      <c r="AM183" s="65"/>
    </row>
    <row r="184" ht="15.75" customHeight="1">
      <c r="G184" s="3"/>
      <c r="S184" s="3"/>
      <c r="AK184" s="11"/>
      <c r="AL184" s="65"/>
      <c r="AM184" s="65"/>
    </row>
    <row r="185" ht="15.75" customHeight="1">
      <c r="G185" s="3"/>
      <c r="S185" s="3"/>
      <c r="AK185" s="11"/>
      <c r="AL185" s="65"/>
      <c r="AM185" s="65"/>
    </row>
    <row r="186" ht="15.75" customHeight="1">
      <c r="G186" s="3"/>
      <c r="S186" s="3"/>
      <c r="AK186" s="11"/>
      <c r="AL186" s="65"/>
      <c r="AM186" s="65"/>
    </row>
    <row r="187" ht="15.75" customHeight="1">
      <c r="G187" s="3"/>
      <c r="S187" s="3"/>
      <c r="AK187" s="11"/>
      <c r="AL187" s="65"/>
      <c r="AM187" s="65"/>
    </row>
    <row r="188" ht="15.75" customHeight="1">
      <c r="G188" s="3"/>
      <c r="S188" s="3"/>
      <c r="AK188" s="11"/>
      <c r="AL188" s="65"/>
      <c r="AM188" s="65"/>
    </row>
    <row r="189" ht="15.75" customHeight="1">
      <c r="G189" s="3"/>
      <c r="S189" s="3"/>
      <c r="AK189" s="11"/>
      <c r="AL189" s="65"/>
      <c r="AM189" s="65"/>
    </row>
    <row r="190" ht="15.75" customHeight="1">
      <c r="G190" s="3"/>
      <c r="S190" s="3"/>
      <c r="AK190" s="11"/>
      <c r="AL190" s="65"/>
      <c r="AM190" s="65"/>
    </row>
    <row r="191" ht="15.75" customHeight="1">
      <c r="G191" s="3"/>
      <c r="S191" s="3"/>
      <c r="AK191" s="11"/>
      <c r="AL191" s="65"/>
      <c r="AM191" s="65"/>
    </row>
    <row r="192" ht="15.75" customHeight="1">
      <c r="G192" s="3"/>
      <c r="AK192" s="11"/>
      <c r="AL192" s="65"/>
      <c r="AM192" s="65"/>
    </row>
    <row r="193" ht="15.75" customHeight="1">
      <c r="G193" s="3"/>
      <c r="AK193" s="11"/>
      <c r="AL193" s="65"/>
      <c r="AM193" s="65"/>
    </row>
    <row r="194" ht="15.75" customHeight="1">
      <c r="G194" s="3"/>
      <c r="AK194" s="11"/>
      <c r="AL194" s="65"/>
      <c r="AM194" s="65"/>
    </row>
    <row r="195" ht="15.75" customHeight="1">
      <c r="G195" s="3"/>
      <c r="AK195" s="11"/>
      <c r="AL195" s="65"/>
      <c r="AM195" s="65"/>
    </row>
    <row r="196" ht="15.75" customHeight="1">
      <c r="G196" s="3"/>
      <c r="AK196" s="11"/>
      <c r="AL196" s="65"/>
      <c r="AM196" s="65"/>
    </row>
    <row r="197" ht="15.75" customHeight="1">
      <c r="G197" s="3"/>
      <c r="AK197" s="11"/>
      <c r="AL197" s="65"/>
      <c r="AM197" s="65"/>
    </row>
    <row r="198" ht="15.75" customHeight="1">
      <c r="G198" s="3"/>
      <c r="AK198" s="11"/>
      <c r="AL198" s="65"/>
      <c r="AM198" s="65"/>
    </row>
    <row r="199" ht="15.75" customHeight="1">
      <c r="G199" s="3"/>
      <c r="AK199" s="11"/>
      <c r="AL199" s="65"/>
      <c r="AM199" s="65"/>
    </row>
    <row r="200" ht="15.75" customHeight="1">
      <c r="G200" s="3"/>
      <c r="AK200" s="11"/>
      <c r="AL200" s="65"/>
      <c r="AM200" s="65"/>
    </row>
    <row r="201" ht="15.75" customHeight="1">
      <c r="G201" s="3"/>
      <c r="AK201" s="11"/>
      <c r="AL201" s="65"/>
      <c r="AM201" s="65"/>
    </row>
    <row r="202" ht="15.75" customHeight="1">
      <c r="G202" s="3"/>
      <c r="AK202" s="11"/>
      <c r="AL202" s="65"/>
      <c r="AM202" s="65"/>
    </row>
    <row r="203" ht="15.75" customHeight="1">
      <c r="G203" s="3"/>
      <c r="AK203" s="11"/>
      <c r="AL203" s="65"/>
      <c r="AM203" s="65"/>
    </row>
    <row r="204" ht="15.75" customHeight="1">
      <c r="G204" s="3"/>
      <c r="AK204" s="11"/>
      <c r="AL204" s="65"/>
      <c r="AM204" s="65"/>
    </row>
    <row r="205" ht="15.75" customHeight="1">
      <c r="G205" s="3"/>
      <c r="AK205" s="11"/>
      <c r="AL205" s="65"/>
      <c r="AM205" s="65"/>
    </row>
    <row r="206" ht="15.75" customHeight="1">
      <c r="G206" s="3"/>
      <c r="AK206" s="11"/>
      <c r="AL206" s="65"/>
      <c r="AM206" s="65"/>
    </row>
    <row r="207" ht="15.75" customHeight="1">
      <c r="G207" s="3"/>
      <c r="AK207" s="11"/>
      <c r="AL207" s="65"/>
      <c r="AM207" s="65"/>
    </row>
    <row r="208" ht="15.75" customHeight="1">
      <c r="G208" s="3"/>
      <c r="AK208" s="11"/>
      <c r="AL208" s="65"/>
      <c r="AM208" s="65"/>
    </row>
    <row r="209" ht="15.75" customHeight="1">
      <c r="G209" s="3"/>
      <c r="AK209" s="11"/>
      <c r="AL209" s="65"/>
      <c r="AM209" s="65"/>
    </row>
    <row r="210" ht="15.75" customHeight="1">
      <c r="G210" s="3"/>
      <c r="AK210" s="11"/>
      <c r="AL210" s="65"/>
      <c r="AM210" s="65"/>
    </row>
    <row r="211" ht="15.75" customHeight="1">
      <c r="G211" s="3"/>
      <c r="AK211" s="11"/>
      <c r="AL211" s="65"/>
      <c r="AM211" s="65"/>
    </row>
    <row r="212" ht="15.75" customHeight="1">
      <c r="G212" s="3"/>
      <c r="AK212" s="11"/>
      <c r="AL212" s="65"/>
      <c r="AM212" s="65"/>
    </row>
    <row r="213" ht="15.75" customHeight="1">
      <c r="G213" s="3"/>
      <c r="AK213" s="11"/>
      <c r="AL213" s="65"/>
      <c r="AM213" s="65"/>
    </row>
    <row r="214" ht="15.75" customHeight="1">
      <c r="G214" s="3"/>
      <c r="AK214" s="11"/>
      <c r="AL214" s="65"/>
      <c r="AM214" s="65"/>
    </row>
    <row r="215" ht="15.75" customHeight="1">
      <c r="G215" s="3"/>
      <c r="AK215" s="11"/>
      <c r="AL215" s="65"/>
      <c r="AM215" s="65"/>
    </row>
    <row r="216" ht="15.75" customHeight="1">
      <c r="G216" s="3"/>
      <c r="AK216" s="11"/>
      <c r="AL216" s="65"/>
      <c r="AM216" s="65"/>
    </row>
    <row r="217" ht="15.75" customHeight="1">
      <c r="G217" s="3"/>
      <c r="AK217" s="11"/>
      <c r="AL217" s="65"/>
      <c r="AM217" s="65"/>
    </row>
    <row r="218" ht="15.75" customHeight="1">
      <c r="G218" s="3"/>
      <c r="AK218" s="11"/>
      <c r="AL218" s="65"/>
      <c r="AM218" s="65"/>
    </row>
    <row r="219" ht="15.75" customHeight="1">
      <c r="G219" s="3"/>
      <c r="AK219" s="11"/>
      <c r="AL219" s="65"/>
      <c r="AM219" s="65"/>
    </row>
    <row r="220" ht="15.75" customHeight="1">
      <c r="G220" s="3"/>
      <c r="AK220" s="11"/>
      <c r="AL220" s="65"/>
      <c r="AM220" s="65"/>
    </row>
    <row r="221" ht="15.75" customHeight="1">
      <c r="G221" s="3"/>
      <c r="AK221" s="11"/>
      <c r="AL221" s="65"/>
      <c r="AM221" s="65"/>
    </row>
    <row r="222" ht="15.75" customHeight="1">
      <c r="G222" s="3"/>
      <c r="AK222" s="11"/>
      <c r="AL222" s="65"/>
      <c r="AM222" s="65"/>
    </row>
    <row r="223" ht="15.75" customHeight="1">
      <c r="G223" s="3"/>
      <c r="AK223" s="11"/>
      <c r="AL223" s="65"/>
      <c r="AM223" s="65"/>
    </row>
    <row r="224" ht="15.75" customHeight="1">
      <c r="G224" s="3"/>
      <c r="AK224" s="11"/>
      <c r="AL224" s="65"/>
      <c r="AM224" s="65"/>
    </row>
    <row r="225" ht="15.75" customHeight="1">
      <c r="G225" s="3"/>
      <c r="AK225" s="11"/>
      <c r="AL225" s="65"/>
      <c r="AM225" s="65"/>
    </row>
    <row r="226" ht="15.75" customHeight="1">
      <c r="G226" s="3"/>
      <c r="AK226" s="11"/>
      <c r="AL226" s="65"/>
      <c r="AM226" s="65"/>
    </row>
    <row r="227" ht="15.75" customHeight="1">
      <c r="G227" s="3"/>
      <c r="AK227" s="11"/>
      <c r="AL227" s="65"/>
      <c r="AM227" s="65"/>
    </row>
    <row r="228" ht="15.75" customHeight="1">
      <c r="G228" s="3"/>
      <c r="AK228" s="11"/>
      <c r="AL228" s="65"/>
      <c r="AM228" s="65"/>
    </row>
    <row r="229" ht="15.75" customHeight="1">
      <c r="G229" s="3"/>
      <c r="AK229" s="11"/>
      <c r="AL229" s="65"/>
      <c r="AM229" s="65"/>
    </row>
    <row r="230" ht="15.75" customHeight="1">
      <c r="G230" s="3"/>
      <c r="AK230" s="11"/>
      <c r="AL230" s="65"/>
      <c r="AM230" s="65"/>
    </row>
    <row r="231" ht="15.75" customHeight="1">
      <c r="G231" s="3"/>
      <c r="AK231" s="11"/>
      <c r="AL231" s="65"/>
      <c r="AM231" s="65"/>
    </row>
    <row r="232" ht="15.75" customHeight="1">
      <c r="G232" s="3"/>
      <c r="AK232" s="11"/>
      <c r="AL232" s="65"/>
      <c r="AM232" s="65"/>
    </row>
    <row r="233" ht="15.75" customHeight="1">
      <c r="G233" s="3"/>
      <c r="AK233" s="11"/>
      <c r="AL233" s="65"/>
      <c r="AM233" s="65"/>
    </row>
    <row r="234" ht="15.75" customHeight="1">
      <c r="G234" s="3"/>
      <c r="AK234" s="11"/>
      <c r="AL234" s="65"/>
      <c r="AM234" s="65"/>
    </row>
    <row r="235" ht="15.75" customHeight="1">
      <c r="G235" s="3"/>
      <c r="AK235" s="11"/>
      <c r="AL235" s="65"/>
      <c r="AM235" s="65"/>
    </row>
    <row r="236" ht="15.75" customHeight="1">
      <c r="G236" s="3"/>
      <c r="AK236" s="11"/>
      <c r="AL236" s="65"/>
      <c r="AM236" s="65"/>
    </row>
    <row r="237" ht="15.75" customHeight="1">
      <c r="G237" s="3"/>
      <c r="AK237" s="11"/>
      <c r="AL237" s="65"/>
      <c r="AM237" s="65"/>
    </row>
    <row r="238" ht="15.75" customHeight="1">
      <c r="G238" s="3"/>
      <c r="AK238" s="11"/>
      <c r="AL238" s="65"/>
      <c r="AM238" s="65"/>
    </row>
    <row r="239" ht="15.75" customHeight="1">
      <c r="G239" s="3"/>
      <c r="AK239" s="11"/>
      <c r="AL239" s="65"/>
      <c r="AM239" s="65"/>
    </row>
    <row r="240" ht="15.75" customHeight="1">
      <c r="G240" s="3"/>
      <c r="AK240" s="11"/>
      <c r="AL240" s="65"/>
      <c r="AM240" s="65"/>
    </row>
    <row r="241" ht="15.75" customHeight="1">
      <c r="G241" s="3"/>
      <c r="AK241" s="11"/>
      <c r="AL241" s="65"/>
      <c r="AM241" s="65"/>
    </row>
    <row r="242" ht="15.75" customHeight="1">
      <c r="G242" s="3"/>
      <c r="AK242" s="11"/>
      <c r="AL242" s="65"/>
      <c r="AM242" s="65"/>
    </row>
    <row r="243" ht="15.75" customHeight="1">
      <c r="G243" s="3"/>
      <c r="AK243" s="11"/>
      <c r="AL243" s="65"/>
      <c r="AM243" s="65"/>
    </row>
    <row r="244" ht="15.75" customHeight="1">
      <c r="G244" s="3"/>
      <c r="AK244" s="11"/>
      <c r="AL244" s="65"/>
      <c r="AM244" s="65"/>
    </row>
    <row r="245" ht="15.75" customHeight="1">
      <c r="G245" s="3"/>
      <c r="AK245" s="11"/>
      <c r="AL245" s="65"/>
      <c r="AM245" s="65"/>
    </row>
    <row r="246" ht="15.75" customHeight="1">
      <c r="G246" s="3"/>
      <c r="AK246" s="11"/>
      <c r="AL246" s="65"/>
      <c r="AM246" s="65"/>
    </row>
    <row r="247" ht="15.75" customHeight="1">
      <c r="G247" s="3"/>
      <c r="AK247" s="11"/>
      <c r="AL247" s="65"/>
      <c r="AM247" s="65"/>
    </row>
    <row r="248" ht="15.75" customHeight="1">
      <c r="G248" s="3"/>
      <c r="AK248" s="11"/>
      <c r="AL248" s="65"/>
      <c r="AM248" s="65"/>
    </row>
    <row r="249" ht="15.75" customHeight="1">
      <c r="G249" s="3"/>
      <c r="AK249" s="11"/>
      <c r="AL249" s="65"/>
      <c r="AM249" s="65"/>
    </row>
    <row r="250" ht="15.75" customHeight="1">
      <c r="G250" s="3"/>
      <c r="AK250" s="11"/>
      <c r="AL250" s="65"/>
      <c r="AM250" s="65"/>
    </row>
    <row r="251" ht="15.75" customHeight="1">
      <c r="G251" s="3"/>
      <c r="AK251" s="11"/>
      <c r="AL251" s="65"/>
      <c r="AM251" s="65"/>
    </row>
    <row r="252" ht="15.75" customHeight="1">
      <c r="G252" s="3"/>
      <c r="AK252" s="11"/>
      <c r="AL252" s="65"/>
      <c r="AM252" s="65"/>
    </row>
    <row r="253" ht="15.75" customHeight="1">
      <c r="G253" s="3"/>
      <c r="AK253" s="11"/>
      <c r="AL253" s="65"/>
      <c r="AM253" s="65"/>
    </row>
    <row r="254" ht="15.75" customHeight="1">
      <c r="G254" s="3"/>
      <c r="AK254" s="11"/>
      <c r="AL254" s="65"/>
      <c r="AM254" s="65"/>
    </row>
    <row r="255" ht="15.75" customHeight="1">
      <c r="G255" s="3"/>
      <c r="AK255" s="11"/>
      <c r="AL255" s="65"/>
      <c r="AM255" s="65"/>
    </row>
    <row r="256" ht="15.75" customHeight="1">
      <c r="G256" s="3"/>
      <c r="AK256" s="11"/>
      <c r="AL256" s="65"/>
      <c r="AM256" s="65"/>
    </row>
    <row r="257" ht="15.75" customHeight="1">
      <c r="G257" s="3"/>
      <c r="AK257" s="11"/>
      <c r="AL257" s="65"/>
      <c r="AM257" s="65"/>
    </row>
    <row r="258" ht="15.75" customHeight="1">
      <c r="G258" s="3"/>
      <c r="AK258" s="11"/>
      <c r="AL258" s="65"/>
      <c r="AM258" s="65"/>
    </row>
    <row r="259" ht="15.75" customHeight="1">
      <c r="G259" s="3"/>
      <c r="AK259" s="11"/>
      <c r="AL259" s="65"/>
      <c r="AM259" s="65"/>
    </row>
    <row r="260" ht="15.75" customHeight="1">
      <c r="G260" s="3"/>
      <c r="AK260" s="11"/>
      <c r="AL260" s="65"/>
      <c r="AM260" s="65"/>
    </row>
    <row r="261" ht="15.75" customHeight="1">
      <c r="G261" s="3"/>
      <c r="AK261" s="11"/>
      <c r="AL261" s="65"/>
      <c r="AM261" s="65"/>
    </row>
    <row r="262" ht="15.75" customHeight="1">
      <c r="G262" s="3"/>
      <c r="AK262" s="11"/>
      <c r="AL262" s="65"/>
      <c r="AM262" s="65"/>
    </row>
    <row r="263" ht="15.75" customHeight="1">
      <c r="G263" s="3"/>
      <c r="AK263" s="11"/>
      <c r="AL263" s="65"/>
      <c r="AM263" s="65"/>
    </row>
    <row r="264" ht="15.75" customHeight="1">
      <c r="G264" s="3"/>
      <c r="AK264" s="11"/>
      <c r="AL264" s="65"/>
      <c r="AM264" s="65"/>
    </row>
    <row r="265" ht="15.75" customHeight="1">
      <c r="G265" s="3"/>
      <c r="AK265" s="11"/>
      <c r="AL265" s="65"/>
      <c r="AM265" s="65"/>
    </row>
    <row r="266" ht="15.75" customHeight="1">
      <c r="G266" s="3"/>
      <c r="AK266" s="11"/>
      <c r="AL266" s="65"/>
      <c r="AM266" s="65"/>
    </row>
    <row r="267" ht="15.75" customHeight="1">
      <c r="G267" s="3"/>
      <c r="AK267" s="11"/>
      <c r="AL267" s="65"/>
      <c r="AM267" s="65"/>
    </row>
    <row r="268" ht="15.75" customHeight="1">
      <c r="G268" s="3"/>
      <c r="AK268" s="11"/>
      <c r="AL268" s="65"/>
      <c r="AM268" s="65"/>
    </row>
    <row r="269" ht="15.75" customHeight="1">
      <c r="G269" s="3"/>
      <c r="AK269" s="11"/>
      <c r="AL269" s="65"/>
      <c r="AM269" s="65"/>
    </row>
    <row r="270" ht="15.75" customHeight="1">
      <c r="G270" s="3"/>
      <c r="AK270" s="11"/>
      <c r="AL270" s="65"/>
      <c r="AM270" s="65"/>
    </row>
    <row r="271" ht="15.75" customHeight="1">
      <c r="G271" s="3"/>
      <c r="AK271" s="11"/>
      <c r="AL271" s="65"/>
      <c r="AM271" s="65"/>
    </row>
    <row r="272" ht="15.75" customHeight="1">
      <c r="G272" s="3"/>
      <c r="AK272" s="11"/>
      <c r="AL272" s="65"/>
      <c r="AM272" s="65"/>
    </row>
    <row r="273" ht="15.75" customHeight="1">
      <c r="G273" s="3"/>
      <c r="AK273" s="11"/>
      <c r="AL273" s="65"/>
      <c r="AM273" s="65"/>
    </row>
    <row r="274" ht="15.75" customHeight="1">
      <c r="G274" s="3"/>
      <c r="AK274" s="11"/>
      <c r="AL274" s="65"/>
      <c r="AM274" s="65"/>
    </row>
    <row r="275" ht="15.75" customHeight="1">
      <c r="G275" s="3"/>
      <c r="AK275" s="11"/>
      <c r="AL275" s="65"/>
      <c r="AM275" s="65"/>
    </row>
    <row r="276" ht="15.75" customHeight="1">
      <c r="G276" s="3"/>
      <c r="AK276" s="11"/>
      <c r="AL276" s="65"/>
      <c r="AM276" s="65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23.71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6" max="36" width="17.57"/>
    <col customWidth="1" min="37" max="38" width="14.43"/>
    <col customWidth="1" min="39" max="39" width="17.71"/>
    <col customWidth="1" min="43" max="44" width="17.14"/>
  </cols>
  <sheetData>
    <row r="1" ht="15.0" customHeight="1">
      <c r="H1" s="4"/>
      <c r="I1" s="6">
        <f>510.96-I2</f>
        <v>152.88</v>
      </c>
      <c r="AB1" s="7"/>
      <c r="AC1" s="7"/>
      <c r="AD1" s="7"/>
      <c r="AE1" s="7"/>
      <c r="AF1" s="7"/>
      <c r="AG1" s="910" t="s">
        <v>4782</v>
      </c>
      <c r="AH1" s="7" t="s">
        <v>4783</v>
      </c>
      <c r="AI1" s="3" t="s">
        <v>4784</v>
      </c>
      <c r="AJ1" s="125" t="s">
        <v>3</v>
      </c>
      <c r="AK1" s="11"/>
      <c r="AL1" s="65"/>
      <c r="AM1" s="65"/>
    </row>
    <row r="2" ht="15.0" customHeight="1">
      <c r="G2" s="13"/>
      <c r="H2" s="13"/>
      <c r="I2" s="4">
        <f>SUM(I4:I828)</f>
        <v>358.08</v>
      </c>
      <c r="J2" s="4"/>
      <c r="K2" s="4">
        <f>SUM(K4:K828)</f>
        <v>332.568594</v>
      </c>
      <c r="L2" s="405">
        <f>SUMPRODUCT(L4:L940,K4:K940)/K2</f>
        <v>0.562109932</v>
      </c>
      <c r="Q2" s="58">
        <f>+SUMPRODUCT(Q4:Q828,AH4:AH828)/SUM(AH4:AH828)</f>
        <v>89.58192515</v>
      </c>
      <c r="R2" s="65">
        <f>+SUMPRODUCT(R4:R828,AH4:AH828)/SUM(AH4:AH828)</f>
        <v>2482.930834</v>
      </c>
      <c r="AB2" s="7"/>
      <c r="AC2" s="7"/>
      <c r="AD2" s="7"/>
      <c r="AE2" s="7"/>
      <c r="AF2" s="7"/>
      <c r="AG2" s="910">
        <f>SUMPRODUCT($AG4:$AG828,$K4:$K828)/SUM($K4:$K828)</f>
        <v>80.73377663</v>
      </c>
      <c r="AH2" s="7">
        <f>SUM(AH4:AH828)</f>
        <v>5741.423386</v>
      </c>
      <c r="AI2" s="433">
        <v>2558.0</v>
      </c>
      <c r="AJ2" s="125"/>
      <c r="AK2" s="11"/>
      <c r="AL2" s="65"/>
      <c r="AM2" s="65"/>
    </row>
    <row r="3" ht="15.0" customHeight="1">
      <c r="A3" s="880" t="s">
        <v>5</v>
      </c>
      <c r="B3" s="880" t="s">
        <v>6</v>
      </c>
      <c r="C3" s="880" t="s">
        <v>7</v>
      </c>
      <c r="D3" s="880" t="s">
        <v>8</v>
      </c>
      <c r="E3" s="880" t="s">
        <v>4880</v>
      </c>
      <c r="F3" s="880" t="s">
        <v>10</v>
      </c>
      <c r="G3" s="880" t="s">
        <v>11</v>
      </c>
      <c r="H3" s="881"/>
      <c r="I3" s="911" t="s">
        <v>12</v>
      </c>
      <c r="J3" s="911" t="s">
        <v>13</v>
      </c>
      <c r="K3" s="880" t="s">
        <v>14</v>
      </c>
      <c r="L3" s="892" t="s">
        <v>15</v>
      </c>
      <c r="M3" s="887" t="s">
        <v>16</v>
      </c>
      <c r="N3" s="887" t="s">
        <v>17</v>
      </c>
      <c r="O3" s="881" t="s">
        <v>18</v>
      </c>
      <c r="P3" s="892" t="s">
        <v>19</v>
      </c>
      <c r="Q3" s="892" t="s">
        <v>20</v>
      </c>
      <c r="R3" s="892" t="s">
        <v>21</v>
      </c>
      <c r="S3" s="892" t="s">
        <v>22</v>
      </c>
      <c r="T3" s="890" t="s">
        <v>23</v>
      </c>
      <c r="U3" s="890" t="s">
        <v>24</v>
      </c>
      <c r="V3" s="891" t="s">
        <v>25</v>
      </c>
      <c r="W3" s="892" t="s">
        <v>26</v>
      </c>
      <c r="X3" s="892" t="s">
        <v>27</v>
      </c>
      <c r="Y3" s="892" t="s">
        <v>28</v>
      </c>
      <c r="Z3" s="881" t="s">
        <v>29</v>
      </c>
      <c r="AA3" s="881" t="s">
        <v>30</v>
      </c>
      <c r="AB3" s="893" t="s">
        <v>31</v>
      </c>
      <c r="AC3" s="894" t="s">
        <v>32</v>
      </c>
      <c r="AD3" s="895" t="s">
        <v>33</v>
      </c>
      <c r="AE3" s="895" t="s">
        <v>34</v>
      </c>
      <c r="AF3" s="895" t="s">
        <v>35</v>
      </c>
      <c r="AG3" s="912" t="s">
        <v>36</v>
      </c>
      <c r="AH3" s="913" t="s">
        <v>4750</v>
      </c>
      <c r="AI3" s="65">
        <f>SUMPRODUCT(K4:K828,AI4:AI828)/K2</f>
        <v>106.4588051</v>
      </c>
      <c r="AJ3" s="70">
        <f t="shared" ref="AJ3:AK3" si="1">SUM(AJ4:AJ828)</f>
        <v>5597.832125</v>
      </c>
      <c r="AK3" s="11">
        <f t="shared" si="1"/>
        <v>143.5912607</v>
      </c>
      <c r="AL3" s="65">
        <f>+AH2-AJ3</f>
        <v>143.5912607</v>
      </c>
      <c r="AM3" s="65"/>
    </row>
    <row r="4" ht="15.0" customHeight="1">
      <c r="A4" s="899"/>
      <c r="B4" s="900"/>
      <c r="C4" s="900"/>
      <c r="D4" s="900"/>
      <c r="E4" s="900"/>
      <c r="F4" s="900"/>
      <c r="G4" s="900"/>
      <c r="H4" s="901"/>
      <c r="I4" s="900"/>
      <c r="J4" s="900"/>
      <c r="K4" s="900"/>
      <c r="L4" s="901"/>
      <c r="M4" s="902"/>
      <c r="N4" s="902"/>
      <c r="O4" s="901"/>
      <c r="P4" s="901"/>
      <c r="Q4" s="901"/>
      <c r="R4" s="901"/>
      <c r="S4" s="901"/>
      <c r="T4" s="903"/>
      <c r="U4" s="903"/>
      <c r="V4" s="903"/>
      <c r="W4" s="901"/>
      <c r="X4" s="901"/>
      <c r="Y4" s="901"/>
      <c r="Z4" s="901"/>
      <c r="AA4" s="901"/>
      <c r="AB4" s="904"/>
      <c r="AC4" s="905"/>
      <c r="AD4" s="906"/>
      <c r="AE4" s="906"/>
      <c r="AF4" s="906"/>
      <c r="AG4" s="914"/>
      <c r="AH4" s="876"/>
      <c r="AI4" s="70"/>
      <c r="AJ4" s="134"/>
      <c r="AK4" s="53"/>
      <c r="AL4" s="70"/>
      <c r="AM4" s="70"/>
      <c r="AN4" s="67"/>
      <c r="AO4" s="67"/>
      <c r="AP4" s="67"/>
      <c r="AQ4" s="67"/>
      <c r="AR4" s="67"/>
      <c r="AS4" s="67"/>
      <c r="AT4" s="67"/>
    </row>
    <row r="5" ht="15.75" customHeight="1">
      <c r="A5" s="116" t="s">
        <v>4881</v>
      </c>
      <c r="B5" s="870">
        <v>45524.0</v>
      </c>
      <c r="C5" s="870">
        <v>45513.0</v>
      </c>
      <c r="D5" s="2" t="s">
        <v>4882</v>
      </c>
      <c r="E5" s="915"/>
      <c r="F5" s="2" t="s">
        <v>4688</v>
      </c>
      <c r="G5" s="13">
        <v>20.0</v>
      </c>
      <c r="H5" s="425" t="s">
        <v>47</v>
      </c>
      <c r="I5" s="58">
        <v>1.83</v>
      </c>
      <c r="J5" s="58">
        <v>2.05</v>
      </c>
      <c r="K5" s="59">
        <f t="shared" ref="K5:K51" si="2">+I5-(I5*(J5/100))</f>
        <v>1.792485</v>
      </c>
      <c r="L5" s="139">
        <v>0.286</v>
      </c>
      <c r="M5" s="139">
        <v>0.22275</v>
      </c>
      <c r="N5" s="271">
        <v>0.298</v>
      </c>
      <c r="O5" s="106">
        <f t="shared" ref="O5:O51" si="3">+ROUND((M5+N5)/2,3)</f>
        <v>0.26</v>
      </c>
      <c r="P5" s="85">
        <v>90.0</v>
      </c>
      <c r="Q5" s="69">
        <v>90.13333333333334</v>
      </c>
      <c r="R5" s="65">
        <v>2416.92</v>
      </c>
      <c r="S5" s="3">
        <v>120.0</v>
      </c>
      <c r="U5" s="67">
        <v>130.0</v>
      </c>
      <c r="V5" s="67">
        <v>1.1023</v>
      </c>
      <c r="W5" s="58">
        <v>5.5</v>
      </c>
      <c r="X5" s="58">
        <v>9.1</v>
      </c>
      <c r="Y5" s="2">
        <v>50.0</v>
      </c>
      <c r="Z5" s="77">
        <v>25.0</v>
      </c>
      <c r="AA5" s="70">
        <f t="shared" ref="AA5:AA51" si="4">+Y5+Z5</f>
        <v>75</v>
      </c>
      <c r="AB5" s="71">
        <f t="shared" ref="AB5:AB51" si="5">+((O5*P5*(R5-U5)/100)-S5-AA5+T5)*V5</f>
        <v>374.9355283</v>
      </c>
      <c r="AC5" s="71">
        <f>+(S5-T5)*V5-'data 1'!$F$4</f>
        <v>52.276</v>
      </c>
      <c r="AD5" s="71">
        <f t="shared" ref="AD5:AD51" si="6">+(Q5-P5)*(R5-U5)*L5*V5/100</f>
        <v>0.9612924906</v>
      </c>
      <c r="AE5" s="71">
        <f>+(Y5*V5-'data 2'!$B$2)+V5*(Z5-IF(D5="UNTUCA",IF(+((W5-3)*2.5+(X5-3)*3.1)&gt;0,+((W5-3)*1.5+(X5-3)*3.1),0),IF(+((W5-3)*1.5+(X5-3)*3.1)&gt;0,+((W5-3)*1.5+(X5-3)*3.1),0)))</f>
        <v>-32.305618</v>
      </c>
      <c r="AF5" s="71">
        <f t="shared" ref="AF5:AF51" si="7">(L5-O5)*(R5-U5)*Q5*V5/100</f>
        <v>59.07579306</v>
      </c>
      <c r="AG5" s="71">
        <f t="shared" ref="AG5:AG19" si="8">+AC5+AD5+AE5+AF5</f>
        <v>80.00746755</v>
      </c>
      <c r="AH5" s="71">
        <f t="shared" ref="AH5:AH51" si="9">31.1035*L5*Q5*1.1023*K5/100</f>
        <v>15.84222091</v>
      </c>
      <c r="AI5" s="58">
        <f t="shared" ref="AI5:AI51" si="10">+((+$AI$2-R5+U5)*L5*Q5*V5)/100</f>
        <v>77.02802276</v>
      </c>
      <c r="AJ5" s="58">
        <f t="shared" ref="AJ5:AJ51" si="11">31.1035*1.1023*K5*P5*O5/100</f>
        <v>14.38071425</v>
      </c>
      <c r="AK5" s="11">
        <f t="shared" ref="AK5:AK51" si="12">+AH5-AJ5</f>
        <v>1.461506663</v>
      </c>
      <c r="AL5" s="65"/>
      <c r="AM5" s="65"/>
    </row>
    <row r="6" ht="15.75" customHeight="1">
      <c r="A6" s="116" t="s">
        <v>4883</v>
      </c>
      <c r="B6" s="870">
        <v>45524.0</v>
      </c>
      <c r="C6" s="870">
        <v>45513.0</v>
      </c>
      <c r="D6" s="2" t="s">
        <v>4882</v>
      </c>
      <c r="E6" s="915"/>
      <c r="F6" s="2" t="s">
        <v>4688</v>
      </c>
      <c r="G6" s="13">
        <v>42.0</v>
      </c>
      <c r="H6" s="425" t="s">
        <v>47</v>
      </c>
      <c r="I6" s="58">
        <v>3.46</v>
      </c>
      <c r="J6" s="58">
        <v>2.7</v>
      </c>
      <c r="K6" s="59">
        <f t="shared" si="2"/>
        <v>3.36658</v>
      </c>
      <c r="L6" s="139">
        <v>0.183</v>
      </c>
      <c r="M6" s="139">
        <v>0.141</v>
      </c>
      <c r="N6" s="271">
        <v>0.287</v>
      </c>
      <c r="O6" s="106">
        <f t="shared" si="3"/>
        <v>0.214</v>
      </c>
      <c r="P6" s="85">
        <v>90.0</v>
      </c>
      <c r="Q6" s="69">
        <v>90.88</v>
      </c>
      <c r="R6" s="65">
        <v>2416.92</v>
      </c>
      <c r="S6" s="3">
        <v>120.0</v>
      </c>
      <c r="U6" s="67">
        <v>130.0</v>
      </c>
      <c r="V6" s="67">
        <v>1.1023</v>
      </c>
      <c r="W6" s="58">
        <v>5.5</v>
      </c>
      <c r="X6" s="58">
        <v>9.0</v>
      </c>
      <c r="Y6" s="2">
        <v>50.0</v>
      </c>
      <c r="Z6" s="77">
        <v>25.0</v>
      </c>
      <c r="AA6" s="70">
        <f t="shared" si="4"/>
        <v>75</v>
      </c>
      <c r="AB6" s="71">
        <f t="shared" si="5"/>
        <v>270.571431</v>
      </c>
      <c r="AC6" s="71">
        <f>+(S6-T6)*V6-'data 1'!$F$4</f>
        <v>52.276</v>
      </c>
      <c r="AD6" s="71">
        <f t="shared" si="6"/>
        <v>4.059612134</v>
      </c>
      <c r="AE6" s="71">
        <f>+(Y6*V6-'data 2'!$B$2)+V6*(Z6-IF(D6="UNTUCA",IF(+((W6-3)*2.5+(X6-3)*3.1)&gt;0,+((W6-3)*1.5+(X6-3)*3.1),0),IF(+((W6-3)*1.5+(X6-3)*3.1)&gt;0,+((W6-3)*1.5+(X6-3)*3.1),0)))</f>
        <v>-31.963905</v>
      </c>
      <c r="AF6" s="71">
        <f t="shared" si="7"/>
        <v>-71.02002032</v>
      </c>
      <c r="AG6" s="71">
        <f t="shared" si="8"/>
        <v>-46.64831318</v>
      </c>
      <c r="AH6" s="71">
        <f t="shared" si="9"/>
        <v>19.19629505</v>
      </c>
      <c r="AI6" s="58">
        <f t="shared" si="10"/>
        <v>49.69545743</v>
      </c>
      <c r="AJ6" s="58">
        <f t="shared" si="11"/>
        <v>22.23075903</v>
      </c>
      <c r="AK6" s="11">
        <f t="shared" si="12"/>
        <v>-3.03446398</v>
      </c>
      <c r="AL6" s="65" t="s">
        <v>4884</v>
      </c>
      <c r="AM6" s="65"/>
    </row>
    <row r="7" ht="15.75" customHeight="1">
      <c r="A7" s="116" t="s">
        <v>4885</v>
      </c>
      <c r="B7" s="870">
        <v>45524.0</v>
      </c>
      <c r="C7" s="870">
        <v>45513.0</v>
      </c>
      <c r="D7" s="2" t="s">
        <v>4882</v>
      </c>
      <c r="E7" s="915"/>
      <c r="F7" s="2" t="s">
        <v>4688</v>
      </c>
      <c r="G7" s="13">
        <v>157.0</v>
      </c>
      <c r="H7" s="425" t="s">
        <v>47</v>
      </c>
      <c r="I7" s="58">
        <v>15.08</v>
      </c>
      <c r="J7" s="58">
        <v>2.45</v>
      </c>
      <c r="K7" s="59">
        <f t="shared" si="2"/>
        <v>14.71054</v>
      </c>
      <c r="L7" s="139">
        <v>0.208</v>
      </c>
      <c r="M7" s="139">
        <v>0.1431</v>
      </c>
      <c r="N7" s="271">
        <v>0.235</v>
      </c>
      <c r="O7" s="106">
        <f t="shared" si="3"/>
        <v>0.189</v>
      </c>
      <c r="P7" s="85">
        <v>90.0</v>
      </c>
      <c r="Q7" s="69">
        <v>90.28930817610063</v>
      </c>
      <c r="R7" s="65">
        <v>2416.92</v>
      </c>
      <c r="S7" s="3">
        <v>110.0</v>
      </c>
      <c r="U7" s="67">
        <v>130.0</v>
      </c>
      <c r="V7" s="67">
        <v>1.1023</v>
      </c>
      <c r="W7" s="58">
        <v>5.5</v>
      </c>
      <c r="X7" s="58">
        <v>10.0</v>
      </c>
      <c r="Y7" s="2">
        <v>50.0</v>
      </c>
      <c r="Z7" s="77">
        <v>25.0</v>
      </c>
      <c r="AA7" s="70">
        <f t="shared" si="4"/>
        <v>75</v>
      </c>
      <c r="AB7" s="71">
        <f t="shared" si="5"/>
        <v>224.8748129</v>
      </c>
      <c r="AC7" s="71">
        <f>+(S7-T7)*V7-'data 1'!$F$4</f>
        <v>41.253</v>
      </c>
      <c r="AD7" s="71">
        <f t="shared" si="6"/>
        <v>1.516962421</v>
      </c>
      <c r="AE7" s="71">
        <f>+(Y7*V7-'data 2'!$B$2)+V7*(Z7-IF(D7="UNTUCA",IF(+((W7-3)*2.5+(X7-3)*3.1)&gt;0,+((W7-3)*1.5+(X7-3)*3.1),0),IF(+((W7-3)*1.5+(X7-3)*3.1)&gt;0,+((W7-3)*1.5+(X7-3)*3.1),0)))</f>
        <v>-35.381035</v>
      </c>
      <c r="AF7" s="71">
        <f t="shared" si="7"/>
        <v>43.24547845</v>
      </c>
      <c r="AG7" s="71">
        <f t="shared" si="8"/>
        <v>50.63440587</v>
      </c>
      <c r="AH7" s="71">
        <f t="shared" si="9"/>
        <v>94.71905246</v>
      </c>
      <c r="AI7" s="58">
        <f t="shared" si="10"/>
        <v>56.1173229</v>
      </c>
      <c r="AJ7" s="58">
        <f t="shared" si="11"/>
        <v>85.79105295</v>
      </c>
      <c r="AK7" s="11">
        <f t="shared" si="12"/>
        <v>8.927999505</v>
      </c>
      <c r="AL7" s="65"/>
      <c r="AM7" s="65"/>
    </row>
    <row r="8" ht="15.75" customHeight="1">
      <c r="A8" s="116" t="s">
        <v>4886</v>
      </c>
      <c r="B8" s="870">
        <v>45524.0</v>
      </c>
      <c r="C8" s="870">
        <v>45513.0</v>
      </c>
      <c r="D8" s="2" t="s">
        <v>4882</v>
      </c>
      <c r="F8" s="2" t="s">
        <v>4688</v>
      </c>
      <c r="G8" s="13">
        <v>46.0</v>
      </c>
      <c r="H8" s="425" t="s">
        <v>47</v>
      </c>
      <c r="I8" s="58">
        <v>3.78</v>
      </c>
      <c r="J8" s="58">
        <v>4.15</v>
      </c>
      <c r="K8" s="59">
        <f t="shared" si="2"/>
        <v>3.62313</v>
      </c>
      <c r="L8" s="139">
        <v>0.404</v>
      </c>
      <c r="M8" s="139">
        <v>0.37976</v>
      </c>
      <c r="N8" s="435">
        <v>0.37976</v>
      </c>
      <c r="O8" s="106">
        <f t="shared" si="3"/>
        <v>0.38</v>
      </c>
      <c r="P8" s="85">
        <v>90.0</v>
      </c>
      <c r="Q8" s="58">
        <v>90.66831683168317</v>
      </c>
      <c r="R8" s="65">
        <v>2416.92</v>
      </c>
      <c r="S8" s="3">
        <v>130.0</v>
      </c>
      <c r="U8" s="67">
        <v>130.0</v>
      </c>
      <c r="V8" s="67">
        <v>1.1023</v>
      </c>
      <c r="W8" s="58">
        <v>5.5</v>
      </c>
      <c r="X8" s="58">
        <v>10.0</v>
      </c>
      <c r="Y8" s="2">
        <v>50.0</v>
      </c>
      <c r="Z8" s="77">
        <v>25.0</v>
      </c>
      <c r="AA8" s="70">
        <f t="shared" si="4"/>
        <v>75</v>
      </c>
      <c r="AB8" s="71">
        <f t="shared" si="5"/>
        <v>636.1666953</v>
      </c>
      <c r="AC8" s="71">
        <f>+(S8-T8)*V8-'data 1'!$F$4</f>
        <v>63.299</v>
      </c>
      <c r="AD8" s="71">
        <f t="shared" si="6"/>
        <v>6.806354173</v>
      </c>
      <c r="AE8" s="71">
        <f>+(Y8*V8-'data 2'!$B$2)+V8*(Z8-IF(D8="UNTUCA",IF(+((W8-3)*2.5+(X8-3)*3.1)&gt;0,+((W8-3)*1.5+(X8-3)*3.1),0),IF(+((W8-3)*1.5+(X8-3)*3.1)&gt;0,+((W8-3)*1.5+(X8-3)*3.1),0)))</f>
        <v>-35.381035</v>
      </c>
      <c r="AF8" s="71">
        <f t="shared" si="7"/>
        <v>54.85517126</v>
      </c>
      <c r="AG8" s="71">
        <f t="shared" si="8"/>
        <v>89.57949043</v>
      </c>
      <c r="AH8" s="71">
        <f t="shared" si="9"/>
        <v>45.50193912</v>
      </c>
      <c r="AI8" s="58">
        <f t="shared" si="10"/>
        <v>109.4546466</v>
      </c>
      <c r="AJ8" s="58">
        <f t="shared" si="11"/>
        <v>42.48338296</v>
      </c>
      <c r="AK8" s="11">
        <f t="shared" si="12"/>
        <v>3.018556158</v>
      </c>
      <c r="AL8" s="65"/>
      <c r="AM8" s="65"/>
    </row>
    <row r="9" ht="15.75" customHeight="1">
      <c r="A9" s="116" t="s">
        <v>4887</v>
      </c>
      <c r="B9" s="870">
        <v>45524.0</v>
      </c>
      <c r="C9" s="870">
        <v>45513.0</v>
      </c>
      <c r="D9" s="2" t="s">
        <v>4882</v>
      </c>
      <c r="F9" s="2" t="s">
        <v>4688</v>
      </c>
      <c r="G9" s="13">
        <v>50.0</v>
      </c>
      <c r="H9" s="425" t="s">
        <v>47</v>
      </c>
      <c r="I9" s="58">
        <v>4.25</v>
      </c>
      <c r="J9" s="58">
        <v>5.55</v>
      </c>
      <c r="K9" s="59">
        <f t="shared" si="2"/>
        <v>4.014125</v>
      </c>
      <c r="L9" s="139">
        <v>0.377</v>
      </c>
      <c r="M9" s="139">
        <v>0.3573</v>
      </c>
      <c r="N9" s="271">
        <v>0.384</v>
      </c>
      <c r="O9" s="106">
        <f t="shared" si="3"/>
        <v>0.371</v>
      </c>
      <c r="P9" s="85">
        <v>90.0</v>
      </c>
      <c r="Q9" s="58">
        <v>90.18136020151134</v>
      </c>
      <c r="R9" s="65">
        <v>2416.92</v>
      </c>
      <c r="S9" s="3">
        <v>130.0</v>
      </c>
      <c r="U9" s="67">
        <v>130.0</v>
      </c>
      <c r="V9" s="67">
        <v>1.1023</v>
      </c>
      <c r="W9" s="58">
        <v>5.5</v>
      </c>
      <c r="X9" s="58">
        <v>9.1</v>
      </c>
      <c r="Y9" s="2">
        <v>50.0</v>
      </c>
      <c r="Z9" s="77">
        <v>25.0</v>
      </c>
      <c r="AA9" s="70">
        <f t="shared" si="4"/>
        <v>75</v>
      </c>
      <c r="AB9" s="71">
        <f t="shared" si="5"/>
        <v>615.7476328</v>
      </c>
      <c r="AC9" s="71">
        <f>+(S9-T9)*V9-'data 1'!$F$4</f>
        <v>63.299</v>
      </c>
      <c r="AD9" s="71">
        <f t="shared" si="6"/>
        <v>1.723590612</v>
      </c>
      <c r="AE9" s="71">
        <f>+(Y9*V9-'data 2'!$B$2)+V9*(Z9-IF(D9="UNTUCA",IF(+((W9-3)*2.5+(X9-3)*3.1)&gt;0,+((W9-3)*1.5+(X9-3)*3.1),0),IF(+((W9-3)*1.5+(X9-3)*3.1)&gt;0,+((W9-3)*1.5+(X9-3)*3.1),0)))</f>
        <v>-32.305618</v>
      </c>
      <c r="AF9" s="71">
        <f t="shared" si="7"/>
        <v>13.6401395</v>
      </c>
      <c r="AG9" s="71">
        <f t="shared" si="8"/>
        <v>46.35711211</v>
      </c>
      <c r="AH9" s="71">
        <f t="shared" si="9"/>
        <v>46.79054387</v>
      </c>
      <c r="AI9" s="58">
        <f t="shared" si="10"/>
        <v>101.5910423</v>
      </c>
      <c r="AJ9" s="58">
        <f t="shared" si="11"/>
        <v>45.95326574</v>
      </c>
      <c r="AK9" s="11">
        <f t="shared" si="12"/>
        <v>0.8372781301</v>
      </c>
      <c r="AL9" s="65"/>
      <c r="AM9" s="65"/>
    </row>
    <row r="10" ht="15.75" customHeight="1">
      <c r="A10" s="116" t="s">
        <v>4888</v>
      </c>
      <c r="B10" s="870">
        <v>45519.0</v>
      </c>
      <c r="C10" s="870">
        <v>45517.0</v>
      </c>
      <c r="D10" s="2" t="s">
        <v>602</v>
      </c>
      <c r="F10" s="2" t="s">
        <v>4199</v>
      </c>
      <c r="G10" s="13">
        <v>4.0</v>
      </c>
      <c r="H10" s="425" t="s">
        <v>40</v>
      </c>
      <c r="I10" s="58">
        <v>0.32</v>
      </c>
      <c r="J10" s="58">
        <v>17.18</v>
      </c>
      <c r="K10" s="59">
        <f t="shared" si="2"/>
        <v>0.265024</v>
      </c>
      <c r="L10" s="139">
        <v>3.5090000000000003</v>
      </c>
      <c r="M10" s="139">
        <v>3.4037300000000004</v>
      </c>
      <c r="N10" s="435">
        <v>3.4037300000000004</v>
      </c>
      <c r="O10" s="106">
        <f t="shared" si="3"/>
        <v>3.404</v>
      </c>
      <c r="P10" s="67">
        <v>90.0</v>
      </c>
      <c r="Q10" s="58">
        <v>89.07221609702313</v>
      </c>
      <c r="R10" s="65">
        <v>2423.89</v>
      </c>
      <c r="S10" s="3">
        <v>410.0</v>
      </c>
      <c r="U10" s="67">
        <v>130.0</v>
      </c>
      <c r="V10" s="67">
        <v>1.1023</v>
      </c>
      <c r="W10" s="58">
        <v>5.0</v>
      </c>
      <c r="X10" s="58">
        <v>7.1</v>
      </c>
      <c r="Y10" s="2">
        <v>50.0</v>
      </c>
      <c r="Z10" s="69">
        <f t="shared" ref="Z10:Z20" si="13">IF(IF(D10="UNTUCA",IF(+((W10-3)*1.5+(X10-3)*3.1)&gt;0,+((W10-3)*1.5+(X10-3)*3.1),0),IF(+((W10-3)*1.5+(X10-3)*3.1)&gt;0,+((W10-3)*1.5+(X10-3)*3.1),0))&lt;30,30,IF(D10="UNTUCA",IF(+((W10-3)*1.5+(X10-3)*3.1)&gt;0,+((W10-3)*1.5+(X10-3)*3.1),0),IF(+((W10-3)*1.5+(X10-3)*3.1)&gt;0,+((W10-3)*1.5+(X10-3)*3.1),0)))</f>
        <v>30</v>
      </c>
      <c r="AA10" s="70">
        <f t="shared" si="4"/>
        <v>80</v>
      </c>
      <c r="AB10" s="71">
        <f t="shared" si="5"/>
        <v>7206.353936</v>
      </c>
      <c r="AC10" s="71">
        <f>+(S10-T10)*V10-'data 1'!$F$4</f>
        <v>371.943</v>
      </c>
      <c r="AD10" s="71">
        <f t="shared" si="6"/>
        <v>-82.31947595</v>
      </c>
      <c r="AE10" s="71">
        <f>+(Y10*V10-'data 2'!$B$2)+V10*(Z10-IF(D10="UNTUCA",IF(+((W10-3)*2.5+(X10-3)*3.1)&gt;0,+((W10-3)*1.5+(X10-3)*3.1),0),IF(+((W10-3)*1.5+(X10-3)*3.1)&gt;0,+((W10-3)*1.5+(X10-3)*3.1),0)))</f>
        <v>-19.133133</v>
      </c>
      <c r="AF10" s="71">
        <f t="shared" si="7"/>
        <v>236.4851923</v>
      </c>
      <c r="AG10" s="71">
        <f t="shared" si="8"/>
        <v>506.9755833</v>
      </c>
      <c r="AH10" s="71">
        <f t="shared" si="9"/>
        <v>28.40010198</v>
      </c>
      <c r="AI10" s="58">
        <f t="shared" si="10"/>
        <v>909.9348078</v>
      </c>
      <c r="AJ10" s="58">
        <f t="shared" si="11"/>
        <v>27.83725031</v>
      </c>
      <c r="AK10" s="11">
        <f t="shared" si="12"/>
        <v>0.5628516721</v>
      </c>
      <c r="AL10" s="65"/>
      <c r="AM10" s="65"/>
    </row>
    <row r="11" ht="15.75" customHeight="1">
      <c r="A11" s="116" t="s">
        <v>4889</v>
      </c>
      <c r="B11" s="870">
        <v>45519.0</v>
      </c>
      <c r="C11" s="870">
        <v>45517.0</v>
      </c>
      <c r="D11" s="2" t="s">
        <v>602</v>
      </c>
      <c r="F11" s="2" t="s">
        <v>4199</v>
      </c>
      <c r="G11" s="13">
        <v>30.0</v>
      </c>
      <c r="H11" s="425" t="s">
        <v>40</v>
      </c>
      <c r="I11" s="58">
        <v>2.48</v>
      </c>
      <c r="J11" s="58">
        <v>23.95</v>
      </c>
      <c r="K11" s="59">
        <f t="shared" si="2"/>
        <v>1.88604</v>
      </c>
      <c r="L11" s="139">
        <v>3.5635</v>
      </c>
      <c r="M11" s="139">
        <v>3.4565949999999996</v>
      </c>
      <c r="N11" s="435">
        <v>3.4565949999999996</v>
      </c>
      <c r="O11" s="106">
        <f t="shared" si="3"/>
        <v>3.457</v>
      </c>
      <c r="P11" s="67">
        <v>90.0</v>
      </c>
      <c r="Q11" s="58">
        <v>89.02036775106082</v>
      </c>
      <c r="R11" s="65">
        <v>2423.89</v>
      </c>
      <c r="S11" s="3">
        <v>410.0</v>
      </c>
      <c r="U11" s="67">
        <v>130.0</v>
      </c>
      <c r="V11" s="67">
        <v>1.1023</v>
      </c>
      <c r="W11" s="58">
        <v>5.0</v>
      </c>
      <c r="X11" s="58">
        <v>7.2</v>
      </c>
      <c r="Y11" s="2">
        <v>50.0</v>
      </c>
      <c r="Z11" s="69">
        <f t="shared" si="13"/>
        <v>30</v>
      </c>
      <c r="AA11" s="70">
        <f t="shared" si="4"/>
        <v>80</v>
      </c>
      <c r="AB11" s="71">
        <f t="shared" si="5"/>
        <v>7326.966007</v>
      </c>
      <c r="AC11" s="71">
        <f>+(S11-T11)*V11-'data 1'!$F$4</f>
        <v>371.943</v>
      </c>
      <c r="AD11" s="71">
        <f t="shared" si="6"/>
        <v>-88.2698182</v>
      </c>
      <c r="AE11" s="71">
        <f>+(Y11*V11-'data 2'!$B$2)+V11*(Z11-IF(D11="UNTUCA",IF(+((W11-3)*2.5+(X11-3)*3.1)&gt;0,+((W11-3)*1.5+(X11-3)*3.1),0),IF(+((W11-3)*1.5+(X11-3)*3.1)&gt;0,+((W11-3)*1.5+(X11-3)*3.1),0)))</f>
        <v>-19.474846</v>
      </c>
      <c r="AF11" s="71">
        <f t="shared" si="7"/>
        <v>239.7239292</v>
      </c>
      <c r="AG11" s="71">
        <f t="shared" si="8"/>
        <v>503.922265</v>
      </c>
      <c r="AH11" s="71">
        <f t="shared" si="9"/>
        <v>205.1285526</v>
      </c>
      <c r="AI11" s="58">
        <f t="shared" si="10"/>
        <v>923.529558</v>
      </c>
      <c r="AJ11" s="58">
        <f t="shared" si="11"/>
        <v>201.1879</v>
      </c>
      <c r="AK11" s="11">
        <f t="shared" si="12"/>
        <v>3.940652635</v>
      </c>
      <c r="AL11" s="65"/>
      <c r="AM11" s="65"/>
    </row>
    <row r="12" ht="15.75" customHeight="1">
      <c r="A12" s="116" t="s">
        <v>4890</v>
      </c>
      <c r="B12" s="870">
        <v>45519.0</v>
      </c>
      <c r="C12" s="870">
        <v>45517.0</v>
      </c>
      <c r="D12" s="2" t="s">
        <v>602</v>
      </c>
      <c r="F12" s="2" t="s">
        <v>4199</v>
      </c>
      <c r="G12" s="13">
        <v>33.0</v>
      </c>
      <c r="H12" s="425" t="s">
        <v>40</v>
      </c>
      <c r="I12" s="58">
        <v>2.58</v>
      </c>
      <c r="J12" s="58">
        <v>24.85</v>
      </c>
      <c r="K12" s="59">
        <f t="shared" si="2"/>
        <v>1.93887</v>
      </c>
      <c r="L12" s="139">
        <v>1.7445</v>
      </c>
      <c r="M12" s="139">
        <v>1.6834425</v>
      </c>
      <c r="N12" s="271">
        <v>1.768</v>
      </c>
      <c r="O12" s="106">
        <f t="shared" si="3"/>
        <v>1.726</v>
      </c>
      <c r="P12" s="67">
        <v>90.0</v>
      </c>
      <c r="Q12" s="58">
        <v>89.33439675174013</v>
      </c>
      <c r="R12" s="65">
        <v>2423.89</v>
      </c>
      <c r="S12" s="3">
        <v>240.0</v>
      </c>
      <c r="U12" s="67">
        <v>130.0</v>
      </c>
      <c r="V12" s="67">
        <v>1.1023</v>
      </c>
      <c r="W12" s="58">
        <v>5.0</v>
      </c>
      <c r="X12" s="58">
        <v>8.5</v>
      </c>
      <c r="Y12" s="2">
        <v>50.0</v>
      </c>
      <c r="Z12" s="69">
        <f t="shared" si="13"/>
        <v>30</v>
      </c>
      <c r="AA12" s="70">
        <f t="shared" si="4"/>
        <v>80</v>
      </c>
      <c r="AB12" s="71">
        <f t="shared" si="5"/>
        <v>3575.121255</v>
      </c>
      <c r="AC12" s="71">
        <f>+(S12-T12)*V12-'data 1'!$F$4</f>
        <v>184.552</v>
      </c>
      <c r="AD12" s="71">
        <f t="shared" si="6"/>
        <v>-29.36018597</v>
      </c>
      <c r="AE12" s="71">
        <f>+(Y12*V12-'data 2'!$B$2)+V12*(Z12-IF(D12="UNTUCA",IF(+((W12-3)*2.5+(X12-3)*3.1)&gt;0,+((W12-3)*1.5+(X12-3)*3.1),0),IF(+((W12-3)*1.5+(X12-3)*3.1)&gt;0,+((W12-3)*1.5+(X12-3)*3.1),0)))</f>
        <v>-23.917115</v>
      </c>
      <c r="AF12" s="71">
        <f t="shared" si="7"/>
        <v>41.78908221</v>
      </c>
      <c r="AG12" s="71">
        <f t="shared" si="8"/>
        <v>173.0637812</v>
      </c>
      <c r="AH12" s="71">
        <f t="shared" si="9"/>
        <v>103.597063</v>
      </c>
      <c r="AI12" s="58">
        <f t="shared" si="10"/>
        <v>453.7058045</v>
      </c>
      <c r="AJ12" s="58">
        <f t="shared" si="11"/>
        <v>103.2621257</v>
      </c>
      <c r="AK12" s="11">
        <f t="shared" si="12"/>
        <v>0.3349372481</v>
      </c>
      <c r="AL12" s="65"/>
      <c r="AM12" s="65"/>
    </row>
    <row r="13" ht="15.75" customHeight="1">
      <c r="A13" s="116" t="s">
        <v>4891</v>
      </c>
      <c r="B13" s="870">
        <v>45519.0</v>
      </c>
      <c r="C13" s="870">
        <v>45517.0</v>
      </c>
      <c r="D13" s="2" t="s">
        <v>602</v>
      </c>
      <c r="F13" s="2" t="s">
        <v>4199</v>
      </c>
      <c r="G13" s="13">
        <v>46.0</v>
      </c>
      <c r="H13" s="425" t="s">
        <v>40</v>
      </c>
      <c r="I13" s="58">
        <v>4.0</v>
      </c>
      <c r="J13" s="58">
        <v>23.0</v>
      </c>
      <c r="K13" s="59">
        <f t="shared" si="2"/>
        <v>3.08</v>
      </c>
      <c r="L13" s="139">
        <v>1.9515</v>
      </c>
      <c r="M13" s="139">
        <v>1.87344</v>
      </c>
      <c r="N13" s="435">
        <v>1.87344</v>
      </c>
      <c r="O13" s="106">
        <f t="shared" si="3"/>
        <v>1.873</v>
      </c>
      <c r="P13" s="67">
        <v>90.0</v>
      </c>
      <c r="Q13" s="58">
        <v>89.43277310924368</v>
      </c>
      <c r="R13" s="65">
        <v>2423.89</v>
      </c>
      <c r="S13" s="3">
        <v>260.0</v>
      </c>
      <c r="U13" s="67">
        <v>130.0</v>
      </c>
      <c r="V13" s="67">
        <v>1.1023</v>
      </c>
      <c r="W13" s="58">
        <v>5.0</v>
      </c>
      <c r="X13" s="58">
        <v>8.1</v>
      </c>
      <c r="Y13" s="2">
        <v>50.0</v>
      </c>
      <c r="Z13" s="69">
        <f t="shared" si="13"/>
        <v>30</v>
      </c>
      <c r="AA13" s="70">
        <f t="shared" si="4"/>
        <v>80</v>
      </c>
      <c r="AB13" s="71">
        <f t="shared" si="5"/>
        <v>3887.603074</v>
      </c>
      <c r="AC13" s="71">
        <f>+(S13-T13)*V13-'data 1'!$F$4</f>
        <v>206.598</v>
      </c>
      <c r="AD13" s="71">
        <f t="shared" si="6"/>
        <v>-27.989669</v>
      </c>
      <c r="AE13" s="71">
        <f>+(Y13*V13-'data 2'!$B$2)+V13*(Z13-IF(D13="UNTUCA",IF(+((W13-3)*2.5+(X13-3)*3.1)&gt;0,+((W13-3)*1.5+(X13-3)*3.1),0),IF(+((W13-3)*1.5+(X13-3)*3.1)&gt;0,+((W13-3)*1.5+(X13-3)*3.1),0)))</f>
        <v>-22.550263</v>
      </c>
      <c r="AF13" s="71">
        <f t="shared" si="7"/>
        <v>177.5165095</v>
      </c>
      <c r="AG13" s="71">
        <f t="shared" si="8"/>
        <v>333.5745775</v>
      </c>
      <c r="AH13" s="71">
        <f t="shared" si="9"/>
        <v>184.2998742</v>
      </c>
      <c r="AI13" s="58">
        <f t="shared" si="10"/>
        <v>508.1008316</v>
      </c>
      <c r="AJ13" s="58">
        <f t="shared" si="11"/>
        <v>178.0082262</v>
      </c>
      <c r="AK13" s="11">
        <f t="shared" si="12"/>
        <v>6.291648032</v>
      </c>
      <c r="AL13" s="65"/>
      <c r="AM13" s="65"/>
    </row>
    <row r="14" ht="15.75" customHeight="1">
      <c r="A14" s="116" t="s">
        <v>4892</v>
      </c>
      <c r="B14" s="841">
        <v>45544.0</v>
      </c>
      <c r="C14" s="841">
        <v>45521.0</v>
      </c>
      <c r="D14" s="67" t="s">
        <v>4466</v>
      </c>
      <c r="E14" s="67"/>
      <c r="F14" s="67" t="s">
        <v>4333</v>
      </c>
      <c r="G14" s="916">
        <v>150.0</v>
      </c>
      <c r="H14" s="67" t="s">
        <v>40</v>
      </c>
      <c r="I14" s="67">
        <v>11.86</v>
      </c>
      <c r="J14" s="69">
        <v>7.1</v>
      </c>
      <c r="K14" s="59">
        <f t="shared" si="2"/>
        <v>11.01794</v>
      </c>
      <c r="L14" s="405">
        <v>0.263</v>
      </c>
      <c r="M14" s="134">
        <v>0.228</v>
      </c>
      <c r="N14" s="967">
        <v>0.228</v>
      </c>
      <c r="O14" s="106">
        <f t="shared" si="3"/>
        <v>0.228</v>
      </c>
      <c r="P14" s="67">
        <v>90.0</v>
      </c>
      <c r="Q14" s="67">
        <v>89.26</v>
      </c>
      <c r="R14" s="70">
        <v>2453.44</v>
      </c>
      <c r="S14" s="134">
        <v>110.0</v>
      </c>
      <c r="T14" s="67"/>
      <c r="U14" s="67">
        <v>130.0</v>
      </c>
      <c r="V14" s="67">
        <v>1.1023</v>
      </c>
      <c r="W14" s="69">
        <v>5.0</v>
      </c>
      <c r="X14" s="69">
        <v>6.0</v>
      </c>
      <c r="Y14" s="67">
        <v>30.0</v>
      </c>
      <c r="Z14" s="69">
        <f t="shared" si="13"/>
        <v>30</v>
      </c>
      <c r="AA14" s="70">
        <f t="shared" si="4"/>
        <v>60</v>
      </c>
      <c r="AB14" s="71">
        <f t="shared" si="5"/>
        <v>338.1524475</v>
      </c>
      <c r="AC14" s="71">
        <f>+(S14-T14)*V14-'data 1'!$F$4</f>
        <v>41.253</v>
      </c>
      <c r="AD14" s="71">
        <f t="shared" si="6"/>
        <v>-4.984467142</v>
      </c>
      <c r="AE14" s="71">
        <f>+(Y14*V14-'data 2'!$B$2)+V14*(Z14-IF(D14="UNTUCA",IF(+((W14-3)*2.5+(X14-3)*3.1)&gt;0,+((W14-3)*1.5+(X14-3)*3.1),0),IF(+((W14-3)*1.5+(X14-3)*3.1)&gt;0,+((W14-3)*1.5+(X14-3)*3.1),0)))</f>
        <v>-37.42029</v>
      </c>
      <c r="AF14" s="71">
        <f t="shared" si="7"/>
        <v>80.0121971</v>
      </c>
      <c r="AG14" s="71">
        <f t="shared" si="8"/>
        <v>78.86043996</v>
      </c>
      <c r="AH14" s="71">
        <f t="shared" si="9"/>
        <v>88.67926876</v>
      </c>
      <c r="AI14" s="69">
        <f t="shared" si="10"/>
        <v>60.69688332</v>
      </c>
      <c r="AJ14" s="69">
        <f t="shared" si="11"/>
        <v>77.51519229</v>
      </c>
      <c r="AK14" s="53">
        <f t="shared" si="12"/>
        <v>11.16407646</v>
      </c>
      <c r="AL14" s="70"/>
      <c r="AM14" s="70"/>
      <c r="AN14" s="67"/>
      <c r="AO14" s="67"/>
      <c r="AP14" s="67"/>
      <c r="AQ14" s="67"/>
      <c r="AR14" s="67"/>
      <c r="AS14" s="67"/>
      <c r="AT14" s="67"/>
    </row>
    <row r="15" ht="15.75" customHeight="1">
      <c r="A15" s="116" t="s">
        <v>4893</v>
      </c>
      <c r="B15" s="870">
        <v>45525.0</v>
      </c>
      <c r="C15" s="870">
        <v>45521.0</v>
      </c>
      <c r="D15" s="2" t="s">
        <v>4466</v>
      </c>
      <c r="F15" s="2" t="s">
        <v>4894</v>
      </c>
      <c r="G15" s="13">
        <v>10.0</v>
      </c>
      <c r="H15" s="2" t="s">
        <v>47</v>
      </c>
      <c r="I15" s="58">
        <v>0.8</v>
      </c>
      <c r="J15" s="58">
        <v>1.2</v>
      </c>
      <c r="K15" s="59">
        <f t="shared" si="2"/>
        <v>0.7904</v>
      </c>
      <c r="L15" s="139">
        <v>2.044</v>
      </c>
      <c r="M15" s="3">
        <v>1.981</v>
      </c>
      <c r="N15" s="427">
        <v>1.981</v>
      </c>
      <c r="O15" s="106">
        <f t="shared" si="3"/>
        <v>1.981</v>
      </c>
      <c r="P15" s="67">
        <v>90.0</v>
      </c>
      <c r="Q15" s="2">
        <v>89.66</v>
      </c>
      <c r="R15" s="433">
        <v>2453.44</v>
      </c>
      <c r="S15" s="3">
        <v>270.0</v>
      </c>
      <c r="U15" s="67">
        <v>130.0</v>
      </c>
      <c r="V15" s="67">
        <v>1.1023</v>
      </c>
      <c r="W15" s="58">
        <v>5.0</v>
      </c>
      <c r="X15" s="58">
        <v>6.0</v>
      </c>
      <c r="Y15" s="2">
        <v>50.0</v>
      </c>
      <c r="Z15" s="69">
        <f t="shared" si="13"/>
        <v>30</v>
      </c>
      <c r="AA15" s="70">
        <f t="shared" si="4"/>
        <v>80</v>
      </c>
      <c r="AB15" s="71">
        <f t="shared" si="5"/>
        <v>4180.429954</v>
      </c>
      <c r="AC15" s="71">
        <f>+(S15-T15)*V15-'data 1'!$F$4</f>
        <v>217.621</v>
      </c>
      <c r="AD15" s="71">
        <f t="shared" si="6"/>
        <v>-17.79881454</v>
      </c>
      <c r="AE15" s="71">
        <f>+(Y15*V15-'data 2'!$B$2)+V15*(Z15-IF(D15="UNTUCA",IF(+((W15-3)*2.5+(X15-3)*3.1)&gt;0,+((W15-3)*1.5+(X15-3)*3.1),0),IF(+((W15-3)*1.5+(X15-3)*3.1)&gt;0,+((W15-3)*1.5+(X15-3)*3.1),0)))</f>
        <v>-15.37429</v>
      </c>
      <c r="AF15" s="71">
        <f t="shared" si="7"/>
        <v>144.667359</v>
      </c>
      <c r="AG15" s="71">
        <f t="shared" si="8"/>
        <v>329.1152545</v>
      </c>
      <c r="AH15" s="71">
        <f t="shared" si="9"/>
        <v>49.66330605</v>
      </c>
      <c r="AI15" s="58">
        <f t="shared" si="10"/>
        <v>473.8418185</v>
      </c>
      <c r="AJ15" s="58">
        <f t="shared" si="11"/>
        <v>48.31511147</v>
      </c>
      <c r="AK15" s="11">
        <f t="shared" si="12"/>
        <v>1.348194583</v>
      </c>
      <c r="AL15" s="65"/>
      <c r="AM15" s="65"/>
    </row>
    <row r="16" ht="15.75" customHeight="1">
      <c r="A16" s="116" t="s">
        <v>4895</v>
      </c>
      <c r="B16" s="841">
        <v>45524.0</v>
      </c>
      <c r="C16" s="841">
        <v>45521.0</v>
      </c>
      <c r="D16" s="67" t="s">
        <v>602</v>
      </c>
      <c r="E16" s="67"/>
      <c r="F16" s="67" t="s">
        <v>4896</v>
      </c>
      <c r="G16" s="13">
        <v>51.0</v>
      </c>
      <c r="H16" s="67" t="s">
        <v>40</v>
      </c>
      <c r="I16" s="69">
        <v>4.7</v>
      </c>
      <c r="J16" s="69">
        <v>25.42</v>
      </c>
      <c r="K16" s="59">
        <f t="shared" si="2"/>
        <v>3.50526</v>
      </c>
      <c r="L16" s="405">
        <v>1.725</v>
      </c>
      <c r="M16" s="134">
        <v>1.67</v>
      </c>
      <c r="N16" s="111">
        <v>1.72</v>
      </c>
      <c r="O16" s="106">
        <f t="shared" si="3"/>
        <v>1.695</v>
      </c>
      <c r="P16" s="67">
        <v>90.0</v>
      </c>
      <c r="Q16" s="67">
        <v>89.61</v>
      </c>
      <c r="R16" s="70">
        <v>2453.44</v>
      </c>
      <c r="S16" s="134">
        <v>240.0</v>
      </c>
      <c r="T16" s="67"/>
      <c r="U16" s="67">
        <v>130.0</v>
      </c>
      <c r="V16" s="67">
        <v>1.1023</v>
      </c>
      <c r="W16" s="69">
        <v>5.0</v>
      </c>
      <c r="X16" s="69">
        <v>6.0</v>
      </c>
      <c r="Y16" s="67">
        <v>50.0</v>
      </c>
      <c r="Z16" s="69">
        <f t="shared" si="13"/>
        <v>30</v>
      </c>
      <c r="AA16" s="70">
        <f t="shared" si="4"/>
        <v>80</v>
      </c>
      <c r="AB16" s="71">
        <f t="shared" si="5"/>
        <v>3554.26463</v>
      </c>
      <c r="AC16" s="71">
        <f>+(S16-T16)*V16-'data 1'!$F$4</f>
        <v>184.552</v>
      </c>
      <c r="AD16" s="71">
        <f t="shared" si="6"/>
        <v>-17.22998803</v>
      </c>
      <c r="AE16" s="71">
        <f>+(Y16*V16-'data 2'!$B$2)+V16*(Z16-IF(D16="UNTUCA",IF(+((W16-3)*2.5+(X16-3)*3.1)&gt;0,+((W16-3)*1.5+(X16-3)*3.1),0),IF(+((W16-3)*1.5+(X16-3)*3.1)&gt;0,+((W16-3)*1.5+(X16-3)*3.1),0)))</f>
        <v>-15.37429</v>
      </c>
      <c r="AF16" s="71">
        <f t="shared" si="7"/>
        <v>68.85080166</v>
      </c>
      <c r="AG16" s="71">
        <f t="shared" si="8"/>
        <v>220.7985236</v>
      </c>
      <c r="AH16" s="71">
        <f t="shared" si="9"/>
        <v>185.7697014</v>
      </c>
      <c r="AI16" s="69">
        <f t="shared" si="10"/>
        <v>399.6679631</v>
      </c>
      <c r="AJ16" s="69">
        <f t="shared" si="11"/>
        <v>183.3333686</v>
      </c>
      <c r="AK16" s="53">
        <f t="shared" si="12"/>
        <v>2.436332818</v>
      </c>
      <c r="AL16" s="70"/>
      <c r="AM16" s="70"/>
      <c r="AN16" s="67"/>
      <c r="AO16" s="67"/>
      <c r="AP16" s="67"/>
      <c r="AQ16" s="67"/>
      <c r="AR16" s="67"/>
      <c r="AS16" s="67"/>
      <c r="AT16" s="67"/>
    </row>
    <row r="17" ht="15.75" customHeight="1">
      <c r="A17" s="116" t="s">
        <v>4897</v>
      </c>
      <c r="B17" s="841">
        <v>45524.0</v>
      </c>
      <c r="C17" s="841">
        <v>45521.0</v>
      </c>
      <c r="D17" s="67" t="s">
        <v>602</v>
      </c>
      <c r="E17" s="67"/>
      <c r="F17" s="67" t="s">
        <v>4898</v>
      </c>
      <c r="G17" s="13">
        <v>45.0</v>
      </c>
      <c r="H17" s="67" t="s">
        <v>40</v>
      </c>
      <c r="I17" s="69">
        <v>3.7</v>
      </c>
      <c r="J17" s="69">
        <v>26.12</v>
      </c>
      <c r="K17" s="59">
        <f t="shared" si="2"/>
        <v>2.73356</v>
      </c>
      <c r="L17" s="405">
        <v>0.807</v>
      </c>
      <c r="M17" s="134">
        <v>0.783</v>
      </c>
      <c r="N17" s="111">
        <v>0.863</v>
      </c>
      <c r="O17" s="106">
        <f t="shared" si="3"/>
        <v>0.823</v>
      </c>
      <c r="P17" s="67">
        <v>90.0</v>
      </c>
      <c r="Q17" s="67">
        <v>89.52</v>
      </c>
      <c r="R17" s="70">
        <v>2453.44</v>
      </c>
      <c r="S17" s="134">
        <v>150.0</v>
      </c>
      <c r="T17" s="67"/>
      <c r="U17" s="67">
        <v>130.0</v>
      </c>
      <c r="V17" s="67">
        <v>1.1023</v>
      </c>
      <c r="W17" s="69">
        <v>5.0</v>
      </c>
      <c r="X17" s="69">
        <v>6.0</v>
      </c>
      <c r="Y17" s="67">
        <v>50.0</v>
      </c>
      <c r="Z17" s="69">
        <f t="shared" si="13"/>
        <v>30</v>
      </c>
      <c r="AA17" s="70">
        <f t="shared" si="4"/>
        <v>80</v>
      </c>
      <c r="AB17" s="71">
        <f t="shared" si="5"/>
        <v>1643.498444</v>
      </c>
      <c r="AC17" s="71">
        <f>+(S17-T17)*V17-'data 1'!$F$4</f>
        <v>85.345</v>
      </c>
      <c r="AD17" s="71">
        <f t="shared" si="6"/>
        <v>-9.92078508</v>
      </c>
      <c r="AE17" s="71">
        <f>+(Y17*V17-'data 2'!$B$2)+V17*(Z17-IF(D17="UNTUCA",IF(+((W17-3)*2.5+(X17-3)*3.1)&gt;0,+((W17-3)*1.5+(X17-3)*3.1),0),IF(+((W17-3)*1.5+(X17-3)*3.1)&gt;0,+((W17-3)*1.5+(X17-3)*3.1),0)))</f>
        <v>-15.37429</v>
      </c>
      <c r="AF17" s="71">
        <f t="shared" si="7"/>
        <v>-36.68354731</v>
      </c>
      <c r="AG17" s="71">
        <f t="shared" si="8"/>
        <v>23.36637761</v>
      </c>
      <c r="AH17" s="71">
        <f t="shared" si="9"/>
        <v>67.70664409</v>
      </c>
      <c r="AI17" s="69">
        <f t="shared" si="10"/>
        <v>186.7873104</v>
      </c>
      <c r="AJ17" s="69">
        <f t="shared" si="11"/>
        <v>69.41926718</v>
      </c>
      <c r="AK17" s="53">
        <f t="shared" si="12"/>
        <v>-1.712623087</v>
      </c>
      <c r="AL17" s="70"/>
      <c r="AM17" s="70"/>
      <c r="AN17" s="67"/>
      <c r="AO17" s="67"/>
      <c r="AP17" s="67"/>
      <c r="AQ17" s="67"/>
      <c r="AR17" s="67"/>
      <c r="AS17" s="67"/>
      <c r="AT17" s="67"/>
    </row>
    <row r="18" ht="15.75" customHeight="1">
      <c r="A18" s="116" t="s">
        <v>4899</v>
      </c>
      <c r="B18" s="841">
        <v>45524.0</v>
      </c>
      <c r="C18" s="841">
        <v>45521.0</v>
      </c>
      <c r="D18" s="67" t="s">
        <v>602</v>
      </c>
      <c r="E18" s="67"/>
      <c r="F18" s="67" t="s">
        <v>4900</v>
      </c>
      <c r="G18" s="13">
        <v>20.0</v>
      </c>
      <c r="H18" s="67" t="s">
        <v>40</v>
      </c>
      <c r="I18" s="69">
        <v>1.5</v>
      </c>
      <c r="J18" s="69">
        <v>18.5</v>
      </c>
      <c r="K18" s="59">
        <f t="shared" si="2"/>
        <v>1.2225</v>
      </c>
      <c r="L18" s="405">
        <v>2.879</v>
      </c>
      <c r="M18" s="134">
        <v>2.795</v>
      </c>
      <c r="N18" s="111">
        <v>3.056</v>
      </c>
      <c r="O18" s="106">
        <f t="shared" si="3"/>
        <v>2.926</v>
      </c>
      <c r="P18" s="67">
        <v>90.0</v>
      </c>
      <c r="Q18" s="67">
        <v>89.14</v>
      </c>
      <c r="R18" s="70">
        <v>2453.44</v>
      </c>
      <c r="S18" s="134">
        <v>340.0</v>
      </c>
      <c r="T18" s="67"/>
      <c r="U18" s="67">
        <v>130.0</v>
      </c>
      <c r="V18" s="67">
        <v>1.1023</v>
      </c>
      <c r="W18" s="69">
        <v>5.0</v>
      </c>
      <c r="X18" s="69">
        <v>8.0</v>
      </c>
      <c r="Y18" s="67">
        <v>50.0</v>
      </c>
      <c r="Z18" s="69">
        <f t="shared" si="13"/>
        <v>30</v>
      </c>
      <c r="AA18" s="70">
        <f t="shared" si="4"/>
        <v>80</v>
      </c>
      <c r="AB18" s="71">
        <f t="shared" si="5"/>
        <v>6281.508243</v>
      </c>
      <c r="AC18" s="71">
        <f>+(S18-T18)*V18-'data 1'!$F$4</f>
        <v>294.782</v>
      </c>
      <c r="AD18" s="71">
        <f t="shared" si="6"/>
        <v>-63.41199042</v>
      </c>
      <c r="AE18" s="71">
        <f>+(Y18*V18-'data 2'!$B$2)+V18*(Z18-IF(D18="UNTUCA",IF(+((W18-3)*2.5+(X18-3)*3.1)&gt;0,+((W18-3)*1.5+(X18-3)*3.1),0),IF(+((W18-3)*1.5+(X18-3)*3.1)&gt;0,+((W18-3)*1.5+(X18-3)*3.1),0)))</f>
        <v>-22.20855</v>
      </c>
      <c r="AF18" s="71">
        <f t="shared" si="7"/>
        <v>-107.3005028</v>
      </c>
      <c r="AG18" s="71">
        <f t="shared" si="8"/>
        <v>101.8609568</v>
      </c>
      <c r="AH18" s="71">
        <f t="shared" si="9"/>
        <v>107.5653096</v>
      </c>
      <c r="AI18" s="69">
        <f t="shared" si="10"/>
        <v>663.5414462</v>
      </c>
      <c r="AJ18" s="69">
        <f t="shared" si="11"/>
        <v>110.3760297</v>
      </c>
      <c r="AK18" s="53">
        <f t="shared" si="12"/>
        <v>-2.810720107</v>
      </c>
      <c r="AL18" s="70"/>
      <c r="AM18" s="70"/>
      <c r="AN18" s="67"/>
      <c r="AO18" s="67"/>
      <c r="AP18" s="67"/>
      <c r="AQ18" s="67"/>
      <c r="AR18" s="67"/>
      <c r="AS18" s="67"/>
      <c r="AT18" s="67"/>
    </row>
    <row r="19" ht="15.75" customHeight="1">
      <c r="A19" s="116" t="s">
        <v>4901</v>
      </c>
      <c r="B19" s="841">
        <v>45544.0</v>
      </c>
      <c r="C19" s="841">
        <v>45521.0</v>
      </c>
      <c r="D19" s="67" t="s">
        <v>4466</v>
      </c>
      <c r="E19" s="67"/>
      <c r="F19" s="67" t="s">
        <v>4333</v>
      </c>
      <c r="G19" s="916">
        <v>150.0</v>
      </c>
      <c r="H19" s="67" t="s">
        <v>40</v>
      </c>
      <c r="I19" s="69">
        <v>12.06</v>
      </c>
      <c r="J19" s="69">
        <v>8.35</v>
      </c>
      <c r="K19" s="59">
        <f t="shared" si="2"/>
        <v>11.05299</v>
      </c>
      <c r="L19" s="405">
        <v>0.336</v>
      </c>
      <c r="M19" s="134">
        <v>0.245</v>
      </c>
      <c r="N19" s="135">
        <v>0.245</v>
      </c>
      <c r="O19" s="106">
        <f t="shared" si="3"/>
        <v>0.245</v>
      </c>
      <c r="P19" s="67">
        <v>90.0</v>
      </c>
      <c r="Q19" s="69">
        <v>89.13</v>
      </c>
      <c r="R19" s="70">
        <v>2453.44</v>
      </c>
      <c r="S19" s="134">
        <v>110.0</v>
      </c>
      <c r="T19" s="67"/>
      <c r="U19" s="67">
        <v>130.0</v>
      </c>
      <c r="V19" s="67">
        <v>1.1023</v>
      </c>
      <c r="W19" s="69">
        <v>5.0</v>
      </c>
      <c r="X19" s="69">
        <v>6.0</v>
      </c>
      <c r="Y19" s="67">
        <v>30.0</v>
      </c>
      <c r="Z19" s="69">
        <f t="shared" si="13"/>
        <v>30</v>
      </c>
      <c r="AA19" s="70">
        <f t="shared" si="4"/>
        <v>60</v>
      </c>
      <c r="AB19" s="71">
        <f t="shared" si="5"/>
        <v>377.3377046</v>
      </c>
      <c r="AC19" s="71">
        <f>+(S19-T19)*V19-'data 1'!$F$4</f>
        <v>41.253</v>
      </c>
      <c r="AD19" s="71">
        <f t="shared" si="6"/>
        <v>-7.486689112</v>
      </c>
      <c r="AE19" s="71">
        <f>+(Y19*V19-'data 2'!$B$2)+V19*(Z19-IF(D19="UNTUCA",IF(+((W19-3)*2.5+(X19-3)*3.1)&gt;0,+((W19-3)*1.5+(X19-3)*3.1),0),IF(+((W19-3)*1.5+(X19-3)*3.1)&gt;0,+((W19-3)*1.5+(X19-3)*3.1),0)))</f>
        <v>-37.42029</v>
      </c>
      <c r="AF19" s="71">
        <f t="shared" si="7"/>
        <v>207.728731</v>
      </c>
      <c r="AG19" s="71">
        <f t="shared" si="8"/>
        <v>204.0747519</v>
      </c>
      <c r="AH19" s="71">
        <f t="shared" si="9"/>
        <v>113.4885456</v>
      </c>
      <c r="AI19" s="69">
        <f t="shared" si="10"/>
        <v>77.43137017</v>
      </c>
      <c r="AJ19" s="69">
        <f t="shared" si="11"/>
        <v>83.5598093</v>
      </c>
      <c r="AK19" s="53">
        <f t="shared" si="12"/>
        <v>29.92873627</v>
      </c>
      <c r="AL19" s="70"/>
      <c r="AM19" s="70"/>
      <c r="AN19" s="67"/>
      <c r="AO19" s="67"/>
      <c r="AP19" s="67"/>
      <c r="AQ19" s="67"/>
      <c r="AR19" s="67"/>
      <c r="AS19" s="67"/>
      <c r="AT19" s="67"/>
    </row>
    <row r="20" ht="15.75" customHeight="1">
      <c r="A20" s="116" t="s">
        <v>4902</v>
      </c>
      <c r="B20" s="841">
        <v>45524.0</v>
      </c>
      <c r="C20" s="841">
        <v>45522.0</v>
      </c>
      <c r="D20" s="85" t="s">
        <v>51</v>
      </c>
      <c r="E20" s="67"/>
      <c r="F20" s="67"/>
      <c r="G20" s="13">
        <v>254.0</v>
      </c>
      <c r="H20" s="67" t="s">
        <v>47</v>
      </c>
      <c r="I20" s="67">
        <v>28.65</v>
      </c>
      <c r="J20" s="69">
        <v>1.1</v>
      </c>
      <c r="K20" s="59">
        <f t="shared" si="2"/>
        <v>28.33485</v>
      </c>
      <c r="L20" s="139">
        <v>0.677</v>
      </c>
      <c r="M20" s="134">
        <v>0.627</v>
      </c>
      <c r="N20" s="135">
        <v>0.627</v>
      </c>
      <c r="O20" s="106">
        <f t="shared" si="3"/>
        <v>0.627</v>
      </c>
      <c r="P20" s="67">
        <v>90.0</v>
      </c>
      <c r="Q20" s="58">
        <v>89.81</v>
      </c>
      <c r="R20" s="70">
        <v>2508.14</v>
      </c>
      <c r="S20" s="3">
        <v>140.0</v>
      </c>
      <c r="T20" s="67"/>
      <c r="U20" s="67">
        <v>100.0</v>
      </c>
      <c r="V20" s="67">
        <v>1.1023</v>
      </c>
      <c r="W20" s="58">
        <v>5.0</v>
      </c>
      <c r="X20" s="58">
        <v>11.0</v>
      </c>
      <c r="Z20" s="69">
        <f t="shared" si="13"/>
        <v>30</v>
      </c>
      <c r="AA20" s="70">
        <f t="shared" si="4"/>
        <v>30</v>
      </c>
      <c r="AB20" s="71">
        <f t="shared" si="5"/>
        <v>1310.539243</v>
      </c>
      <c r="AC20" s="71">
        <f>+(S20-T20)*V20-'data 1'!$F$4</f>
        <v>74.322</v>
      </c>
      <c r="AD20" s="71">
        <f t="shared" si="6"/>
        <v>-3.414473988</v>
      </c>
      <c r="AE20" s="71">
        <f>+(Y20*V20-'data 2'!$B$2)+V20*(Z20-IF(D20="UNTUCA",IF(+((W20-3)*2.5+(X20-3)*3.1)&gt;0,+((W20-3)*1.5+(X20-3)*3.1),0),IF(+((W20-3)*1.5+(X20-3)*3.1)&gt;0,+((W20-3)*1.5+(X20-3)*3.1),0)))</f>
        <v>-87.57494</v>
      </c>
      <c r="AF20" s="71">
        <f t="shared" si="7"/>
        <v>119.1999957</v>
      </c>
      <c r="AG20" s="71">
        <f>+IF(D20="RONALD WILLIAN GARIBAY ESCUDERO",AC20+AD20+AE20+AF20+80,AC20+AD20+AE20+AF20)</f>
        <v>182.5325817</v>
      </c>
      <c r="AH20" s="71">
        <f t="shared" si="9"/>
        <v>590.6678763</v>
      </c>
      <c r="AI20" s="58">
        <f t="shared" si="10"/>
        <v>100.4381953</v>
      </c>
      <c r="AJ20" s="58">
        <f t="shared" si="11"/>
        <v>548.2012702</v>
      </c>
      <c r="AK20" s="11">
        <f t="shared" si="12"/>
        <v>42.46660617</v>
      </c>
      <c r="AL20" s="70"/>
      <c r="AM20" s="70"/>
      <c r="AN20" s="67"/>
      <c r="AO20" s="67"/>
      <c r="AP20" s="67"/>
      <c r="AQ20" s="67"/>
      <c r="AR20" s="67"/>
      <c r="AS20" s="67"/>
      <c r="AT20" s="67"/>
    </row>
    <row r="21" ht="15.75" customHeight="1">
      <c r="A21" s="116" t="s">
        <v>4903</v>
      </c>
      <c r="B21" s="870">
        <v>45528.0</v>
      </c>
      <c r="C21" s="870">
        <v>45525.0</v>
      </c>
      <c r="D21" s="197" t="s">
        <v>4904</v>
      </c>
      <c r="G21" s="13" t="s">
        <v>4100</v>
      </c>
      <c r="H21" s="2" t="s">
        <v>47</v>
      </c>
      <c r="I21" s="58">
        <v>19.29</v>
      </c>
      <c r="J21" s="58">
        <v>1.2</v>
      </c>
      <c r="K21" s="59">
        <f t="shared" si="2"/>
        <v>19.05852</v>
      </c>
      <c r="L21" s="3">
        <v>1.378</v>
      </c>
      <c r="M21" s="3">
        <v>1.322</v>
      </c>
      <c r="N21" s="131">
        <v>1.455</v>
      </c>
      <c r="O21" s="106">
        <f t="shared" si="3"/>
        <v>1.389</v>
      </c>
      <c r="P21" s="2">
        <v>90.0</v>
      </c>
      <c r="Q21" s="58">
        <v>89.21</v>
      </c>
      <c r="R21" s="70">
        <v>2493.83</v>
      </c>
      <c r="S21" s="3">
        <v>210.0</v>
      </c>
      <c r="U21" s="2">
        <v>100.0</v>
      </c>
      <c r="V21" s="67">
        <v>1.1023</v>
      </c>
      <c r="W21" s="69">
        <v>5.0</v>
      </c>
      <c r="X21" s="69">
        <v>13.6</v>
      </c>
      <c r="Y21" s="67">
        <v>30.0</v>
      </c>
      <c r="Z21" s="77">
        <v>31.0</v>
      </c>
      <c r="AA21" s="70">
        <f t="shared" si="4"/>
        <v>61</v>
      </c>
      <c r="AB21" s="71">
        <f t="shared" si="5"/>
        <v>2999.939083</v>
      </c>
      <c r="AC21" s="71">
        <f>+(S21-T21)*V21-'data 1'!$F$4</f>
        <v>151.483</v>
      </c>
      <c r="AD21" s="71">
        <f t="shared" si="6"/>
        <v>-28.7256207</v>
      </c>
      <c r="AE21" s="71">
        <f>+(Y21*V21-'data 2'!$B$2)+V21*(Z21-IF(D21="UNTUCA",IF(+((W21-3)*2.5+(X21-3)*3.1)&gt;0,+((W21-3)*1.5+(X21-3)*3.1),0),IF(+((W21-3)*1.5+(X21-3)*3.1)&gt;0,+((W21-3)*1.5+(X21-3)*3.1),0)))</f>
        <v>-62.288178</v>
      </c>
      <c r="AF21" s="71">
        <f t="shared" si="7"/>
        <v>-25.89401154</v>
      </c>
      <c r="AG21" s="104">
        <f>+IF(D21="RONALD WILLIAN GARIBAY ESCUDERO",AC21+AD21+AE21+AF21+80,AC21+AD21+AE21+AF21)+90-10</f>
        <v>114.5751898</v>
      </c>
      <c r="AH21" s="71">
        <f t="shared" si="9"/>
        <v>803.2689844</v>
      </c>
      <c r="AI21" s="58">
        <f t="shared" si="10"/>
        <v>222.462269</v>
      </c>
      <c r="AJ21" s="58">
        <f t="shared" si="11"/>
        <v>816.8512852</v>
      </c>
      <c r="AK21" s="11">
        <f t="shared" si="12"/>
        <v>-13.58230076</v>
      </c>
      <c r="AL21" s="65"/>
      <c r="AM21" s="65"/>
    </row>
    <row r="22" ht="15.75" customHeight="1">
      <c r="A22" s="116" t="s">
        <v>4905</v>
      </c>
      <c r="B22" s="841">
        <v>45531.0</v>
      </c>
      <c r="C22" s="841">
        <v>45525.0</v>
      </c>
      <c r="D22" s="67" t="s">
        <v>4571</v>
      </c>
      <c r="E22" s="67"/>
      <c r="F22" s="67" t="s">
        <v>4906</v>
      </c>
      <c r="G22" s="13">
        <v>47.0</v>
      </c>
      <c r="H22" s="67" t="s">
        <v>47</v>
      </c>
      <c r="I22" s="69">
        <v>3.72</v>
      </c>
      <c r="J22" s="69">
        <v>14.3</v>
      </c>
      <c r="K22" s="59">
        <f t="shared" si="2"/>
        <v>3.18804</v>
      </c>
      <c r="L22" s="139">
        <v>0.127</v>
      </c>
      <c r="M22" s="134">
        <v>0.118</v>
      </c>
      <c r="N22" s="135">
        <v>0.128</v>
      </c>
      <c r="O22" s="106">
        <f t="shared" si="3"/>
        <v>0.123</v>
      </c>
      <c r="P22" s="934">
        <v>90.0</v>
      </c>
      <c r="Q22" s="58">
        <v>89.32</v>
      </c>
      <c r="R22" s="70">
        <v>2463.83</v>
      </c>
      <c r="S22" s="3">
        <v>100.0</v>
      </c>
      <c r="T22" s="67"/>
      <c r="U22" s="67">
        <v>100.0</v>
      </c>
      <c r="V22" s="67">
        <v>1.1023</v>
      </c>
      <c r="W22" s="69">
        <v>5.0</v>
      </c>
      <c r="X22" s="58">
        <v>14.35</v>
      </c>
      <c r="Y22" s="67">
        <v>20.0</v>
      </c>
      <c r="Z22" s="69">
        <f t="shared" ref="Z22:Z26" si="14">IF(IF(D22="UNTUCA",IF(+((W22-3)*1.5+(X22-3)*3.1)&gt;0,+((W22-3)*1.5+(X22-3)*3.1),0),IF(+((W22-3)*1.5+(X22-3)*3.1)&gt;0,+((W22-3)*1.5+(X22-3)*3.1),0))&lt;30,30,IF(D22="UNTUCA",IF(+((W22-3)*1.5+(X22-3)*3.1)&gt;0,+((W22-3)*1.5+(X22-3)*3.1),0),IF(+((W22-3)*1.5+(X22-3)*3.1)&gt;0,+((W22-3)*1.5+(X22-3)*3.1),0)))</f>
        <v>38.185</v>
      </c>
      <c r="AA22" s="70">
        <f t="shared" si="4"/>
        <v>58.185</v>
      </c>
      <c r="AB22" s="71">
        <f t="shared" si="5"/>
        <v>114.0781084</v>
      </c>
      <c r="AC22" s="71">
        <f>+(S22-T22)*V22-'data 1'!$F$4</f>
        <v>30.23</v>
      </c>
      <c r="AD22" s="71">
        <f t="shared" si="6"/>
        <v>-2.250239175</v>
      </c>
      <c r="AE22" s="71">
        <f>+(Y22*V22-'data 2'!$B$2)+V22*(Z22-IF(D22="UNTUCA",IF(+((W22-3)*2.5+(X22-3)*3.1)&gt;0,+((W22-3)*1.5+(X22-3)*3.1),0),IF(+((W22-3)*1.5+(X22-3)*3.1)&gt;0,+((W22-3)*1.5+(X22-3)*3.1),0)))</f>
        <v>-67.954</v>
      </c>
      <c r="AF22" s="71">
        <f t="shared" si="7"/>
        <v>9.309465638</v>
      </c>
      <c r="AG22" s="71">
        <f t="shared" ref="AG22:AG26" si="15">+IF(D22="RONALD WILLIAN GARIBAY ESCUDERO",AC22+AD22+AE22+AF22+80,AC22+AD22+AE22+AF22)</f>
        <v>-30.66477354</v>
      </c>
      <c r="AH22" s="71">
        <f t="shared" si="9"/>
        <v>12.39896021</v>
      </c>
      <c r="AI22" s="58">
        <f t="shared" si="10"/>
        <v>24.27920004</v>
      </c>
      <c r="AJ22" s="58">
        <f t="shared" si="11"/>
        <v>12.09986297</v>
      </c>
      <c r="AK22" s="11">
        <f t="shared" si="12"/>
        <v>0.2990972451</v>
      </c>
      <c r="AL22" s="70" t="s">
        <v>4907</v>
      </c>
      <c r="AM22" s="70"/>
      <c r="AN22" s="67"/>
      <c r="AO22" s="67"/>
      <c r="AP22" s="67"/>
      <c r="AQ22" s="67"/>
      <c r="AR22" s="67"/>
      <c r="AS22" s="67"/>
      <c r="AT22" s="67"/>
    </row>
    <row r="23" ht="15.75" customHeight="1">
      <c r="A23" s="116" t="s">
        <v>4908</v>
      </c>
      <c r="B23" s="841">
        <v>45531.0</v>
      </c>
      <c r="C23" s="870">
        <v>45525.0</v>
      </c>
      <c r="D23" s="2" t="s">
        <v>4571</v>
      </c>
      <c r="F23" s="67" t="s">
        <v>4906</v>
      </c>
      <c r="G23" s="13">
        <v>89.0</v>
      </c>
      <c r="H23" s="2" t="s">
        <v>47</v>
      </c>
      <c r="I23" s="58">
        <v>7.13</v>
      </c>
      <c r="J23" s="58">
        <v>11.3</v>
      </c>
      <c r="K23" s="59">
        <f t="shared" si="2"/>
        <v>6.32431</v>
      </c>
      <c r="L23" s="60">
        <v>0.11</v>
      </c>
      <c r="M23" s="3">
        <v>0.105</v>
      </c>
      <c r="N23" s="427">
        <v>0.109</v>
      </c>
      <c r="O23" s="106">
        <f t="shared" si="3"/>
        <v>0.107</v>
      </c>
      <c r="P23" s="934">
        <v>90.0</v>
      </c>
      <c r="Q23" s="58">
        <v>88.89</v>
      </c>
      <c r="R23" s="70">
        <v>2463.83</v>
      </c>
      <c r="S23" s="3">
        <v>100.0</v>
      </c>
      <c r="U23" s="2">
        <v>100.0</v>
      </c>
      <c r="V23" s="67">
        <v>1.1023</v>
      </c>
      <c r="W23" s="69">
        <v>5.0</v>
      </c>
      <c r="X23" s="58">
        <v>10.1</v>
      </c>
      <c r="Y23" s="67">
        <v>20.0</v>
      </c>
      <c r="Z23" s="69">
        <f t="shared" si="14"/>
        <v>30</v>
      </c>
      <c r="AA23" s="70">
        <f t="shared" si="4"/>
        <v>50</v>
      </c>
      <c r="AB23" s="71">
        <f t="shared" si="5"/>
        <v>85.57907661</v>
      </c>
      <c r="AC23" s="71">
        <f>+(S23-T23)*V23-'data 1'!$F$4</f>
        <v>30.23</v>
      </c>
      <c r="AD23" s="71">
        <f t="shared" si="6"/>
        <v>-3.181498417</v>
      </c>
      <c r="AE23" s="71">
        <f>+(Y23*V23-'data 2'!$B$2)+V23*(Z23-IF(D23="UNTUCA",IF(+((W23-3)*2.5+(X23-3)*3.1)&gt;0,+((W23-3)*1.5+(X23-3)*3.1),0),IF(+((W23-3)*1.5+(X23-3)*3.1)&gt;0,+((W23-3)*1.5+(X23-3)*3.1),0)))</f>
        <v>-62.453523</v>
      </c>
      <c r="AF23" s="71">
        <f t="shared" si="7"/>
        <v>6.948486346</v>
      </c>
      <c r="AG23" s="71">
        <f t="shared" si="15"/>
        <v>-28.45653507</v>
      </c>
      <c r="AH23" s="71">
        <f t="shared" si="9"/>
        <v>21.20155966</v>
      </c>
      <c r="AI23" s="58">
        <f t="shared" si="10"/>
        <v>20.92799049</v>
      </c>
      <c r="AJ23" s="58">
        <f t="shared" si="11"/>
        <v>20.88086599</v>
      </c>
      <c r="AK23" s="11">
        <f t="shared" si="12"/>
        <v>0.3206936739</v>
      </c>
      <c r="AL23" s="70" t="s">
        <v>4907</v>
      </c>
      <c r="AM23" s="65"/>
    </row>
    <row r="24" ht="15.75" customHeight="1">
      <c r="A24" s="116" t="s">
        <v>4909</v>
      </c>
      <c r="B24" s="841">
        <v>45531.0</v>
      </c>
      <c r="C24" s="870">
        <v>45525.0</v>
      </c>
      <c r="D24" s="2" t="s">
        <v>4571</v>
      </c>
      <c r="F24" s="2" t="s">
        <v>4168</v>
      </c>
      <c r="G24" s="13">
        <v>12.0</v>
      </c>
      <c r="H24" s="2" t="s">
        <v>47</v>
      </c>
      <c r="I24" s="58">
        <v>1.0</v>
      </c>
      <c r="J24" s="58">
        <v>2.0</v>
      </c>
      <c r="K24" s="59">
        <f t="shared" si="2"/>
        <v>0.98</v>
      </c>
      <c r="L24" s="3">
        <v>0.24</v>
      </c>
      <c r="M24" s="3">
        <v>0.223</v>
      </c>
      <c r="N24" s="427">
        <v>0.223</v>
      </c>
      <c r="O24" s="106">
        <f t="shared" si="3"/>
        <v>0.223</v>
      </c>
      <c r="P24" s="934">
        <v>90.0</v>
      </c>
      <c r="Q24" s="58">
        <v>89.43</v>
      </c>
      <c r="R24" s="70">
        <v>2463.83</v>
      </c>
      <c r="S24" s="3">
        <v>125.0</v>
      </c>
      <c r="U24" s="2">
        <v>130.0</v>
      </c>
      <c r="V24" s="67">
        <v>1.1023</v>
      </c>
      <c r="W24" s="69">
        <v>5.0</v>
      </c>
      <c r="X24" s="58">
        <v>5.0</v>
      </c>
      <c r="Y24" s="2">
        <v>50.0</v>
      </c>
      <c r="Z24" s="69">
        <f t="shared" si="14"/>
        <v>30</v>
      </c>
      <c r="AA24" s="70">
        <f t="shared" si="4"/>
        <v>80</v>
      </c>
      <c r="AB24" s="71">
        <f t="shared" si="5"/>
        <v>290.3454684</v>
      </c>
      <c r="AC24" s="71">
        <f>+(S24-T24)*V24-'data 1'!$F$4</f>
        <v>57.7875</v>
      </c>
      <c r="AD24" s="71">
        <f t="shared" si="6"/>
        <v>-3.519290547</v>
      </c>
      <c r="AE24" s="71">
        <f>+(Y24*V24-'data 2'!$B$2)+V24*(Z24-IF(D24="UNTUCA",IF(+((W24-3)*2.5+(X24-3)*3.1)&gt;0,+((W24-3)*1.5+(X24-3)*3.1),0),IF(+((W24-3)*1.5+(X24-3)*3.1)&gt;0,+((W24-3)*1.5+(X24-3)*3.1),0)))</f>
        <v>-11.95716</v>
      </c>
      <c r="AF24" s="71">
        <f t="shared" si="7"/>
        <v>39.1112033</v>
      </c>
      <c r="AG24" s="71">
        <f t="shared" si="15"/>
        <v>81.42225275</v>
      </c>
      <c r="AH24" s="71">
        <f t="shared" si="9"/>
        <v>7.21156658</v>
      </c>
      <c r="AI24" s="58">
        <f t="shared" si="10"/>
        <v>53.03612331</v>
      </c>
      <c r="AJ24" s="58">
        <f t="shared" si="11"/>
        <v>6.743455834</v>
      </c>
      <c r="AK24" s="11">
        <f t="shared" si="12"/>
        <v>0.4681107458</v>
      </c>
      <c r="AL24" s="65"/>
      <c r="AM24" s="65"/>
    </row>
    <row r="25" ht="15.75" customHeight="1">
      <c r="A25" s="116" t="s">
        <v>4910</v>
      </c>
      <c r="B25" s="841">
        <v>45531.0</v>
      </c>
      <c r="C25" s="870">
        <v>45525.0</v>
      </c>
      <c r="D25" s="2" t="s">
        <v>4571</v>
      </c>
      <c r="F25" s="2" t="s">
        <v>4168</v>
      </c>
      <c r="G25" s="13">
        <v>84.0</v>
      </c>
      <c r="H25" s="2" t="s">
        <v>47</v>
      </c>
      <c r="I25" s="58">
        <v>7.22</v>
      </c>
      <c r="J25" s="58">
        <v>7.2</v>
      </c>
      <c r="K25" s="59">
        <f t="shared" si="2"/>
        <v>6.70016</v>
      </c>
      <c r="L25" s="3">
        <v>1.354</v>
      </c>
      <c r="M25" s="3">
        <v>1.299</v>
      </c>
      <c r="N25" s="131">
        <v>1.349</v>
      </c>
      <c r="O25" s="106">
        <f t="shared" si="3"/>
        <v>1.324</v>
      </c>
      <c r="P25" s="934">
        <v>90.0</v>
      </c>
      <c r="Q25" s="58">
        <v>89.54</v>
      </c>
      <c r="R25" s="70">
        <v>2463.83</v>
      </c>
      <c r="S25" s="3">
        <v>215.0</v>
      </c>
      <c r="U25" s="2">
        <v>130.0</v>
      </c>
      <c r="V25" s="67">
        <v>1.1023</v>
      </c>
      <c r="W25" s="69">
        <v>5.0</v>
      </c>
      <c r="X25" s="58">
        <v>8.55</v>
      </c>
      <c r="Y25" s="2">
        <v>50.0</v>
      </c>
      <c r="Z25" s="69">
        <f t="shared" si="14"/>
        <v>30</v>
      </c>
      <c r="AA25" s="70">
        <f t="shared" si="4"/>
        <v>80</v>
      </c>
      <c r="AB25" s="71">
        <f t="shared" si="5"/>
        <v>2740.308792</v>
      </c>
      <c r="AC25" s="71">
        <f>+(S25-T25)*V25-'data 1'!$F$4</f>
        <v>156.9945</v>
      </c>
      <c r="AD25" s="71">
        <f t="shared" si="6"/>
        <v>-16.02306231</v>
      </c>
      <c r="AE25" s="71">
        <f>+(Y25*V25-'data 2'!$B$2)+V25*(Z25-IF(D25="UNTUCA",IF(+((W25-3)*2.5+(X25-3)*3.1)&gt;0,+((W25-3)*1.5+(X25-3)*3.1),0),IF(+((W25-3)*1.5+(X25-3)*3.1)&gt;0,+((W25-3)*1.5+(X25-3)*3.1),0)))</f>
        <v>-24.0879715</v>
      </c>
      <c r="AF25" s="71">
        <f t="shared" si="7"/>
        <v>69.10466569</v>
      </c>
      <c r="AG25" s="71">
        <f t="shared" si="15"/>
        <v>185.9881319</v>
      </c>
      <c r="AH25" s="71">
        <f t="shared" si="9"/>
        <v>278.5030768</v>
      </c>
      <c r="AI25" s="58">
        <f t="shared" si="10"/>
        <v>299.5801636</v>
      </c>
      <c r="AJ25" s="58">
        <f t="shared" si="11"/>
        <v>273.731475</v>
      </c>
      <c r="AK25" s="11">
        <f t="shared" si="12"/>
        <v>4.771601801</v>
      </c>
      <c r="AL25" s="65"/>
      <c r="AM25" s="65"/>
    </row>
    <row r="26" ht="15.75" customHeight="1">
      <c r="A26" s="116" t="s">
        <v>4911</v>
      </c>
      <c r="B26" s="841">
        <v>45531.0</v>
      </c>
      <c r="C26" s="870">
        <v>45525.0</v>
      </c>
      <c r="D26" s="2" t="s">
        <v>4571</v>
      </c>
      <c r="F26" s="2" t="s">
        <v>4168</v>
      </c>
      <c r="G26" s="13">
        <v>351.0</v>
      </c>
      <c r="H26" s="2" t="s">
        <v>47</v>
      </c>
      <c r="I26" s="58">
        <v>22.92</v>
      </c>
      <c r="J26" s="58">
        <v>8.1</v>
      </c>
      <c r="K26" s="59">
        <f t="shared" si="2"/>
        <v>21.06348</v>
      </c>
      <c r="L26" s="3">
        <v>0.464</v>
      </c>
      <c r="M26" s="3">
        <v>0.432</v>
      </c>
      <c r="N26" s="131">
        <v>0.526</v>
      </c>
      <c r="O26" s="106">
        <f t="shared" si="3"/>
        <v>0.479</v>
      </c>
      <c r="P26" s="934">
        <v>90.0</v>
      </c>
      <c r="Q26" s="58">
        <v>89.8</v>
      </c>
      <c r="R26" s="70">
        <v>2463.83</v>
      </c>
      <c r="S26" s="3">
        <v>155.0</v>
      </c>
      <c r="U26" s="2">
        <v>130.0</v>
      </c>
      <c r="V26" s="67">
        <v>1.1023</v>
      </c>
      <c r="W26" s="69">
        <v>5.0</v>
      </c>
      <c r="X26" s="58">
        <v>7.65</v>
      </c>
      <c r="Y26" s="2">
        <v>50.0</v>
      </c>
      <c r="Z26" s="69">
        <f t="shared" si="14"/>
        <v>30</v>
      </c>
      <c r="AA26" s="70">
        <f t="shared" si="4"/>
        <v>80</v>
      </c>
      <c r="AB26" s="71">
        <f t="shared" si="5"/>
        <v>849.9990868</v>
      </c>
      <c r="AC26" s="71">
        <f>+(S26-T26)*V26-'data 1'!$F$4</f>
        <v>90.8565</v>
      </c>
      <c r="AD26" s="71">
        <f t="shared" si="6"/>
        <v>-2.387354991</v>
      </c>
      <c r="AE26" s="71">
        <f>+(Y26*V26-'data 2'!$B$2)+V26*(Z26-IF(D26="UNTUCA",IF(+((W26-3)*2.5+(X26-3)*3.1)&gt;0,+((W26-3)*1.5+(X26-3)*3.1),0),IF(+((W26-3)*1.5+(X26-3)*3.1)&gt;0,+((W26-3)*1.5+(X26-3)*3.1),0)))</f>
        <v>-21.0125545</v>
      </c>
      <c r="AF26" s="71">
        <f t="shared" si="7"/>
        <v>-34.6526635</v>
      </c>
      <c r="AG26" s="71">
        <f t="shared" si="15"/>
        <v>32.80392701</v>
      </c>
      <c r="AH26" s="71">
        <f t="shared" si="9"/>
        <v>300.9078455</v>
      </c>
      <c r="AI26" s="58">
        <f t="shared" si="10"/>
        <v>102.9607308</v>
      </c>
      <c r="AJ26" s="58">
        <f t="shared" si="11"/>
        <v>311.3273083</v>
      </c>
      <c r="AK26" s="11">
        <f t="shared" si="12"/>
        <v>-10.41946278</v>
      </c>
      <c r="AL26" s="65"/>
      <c r="AM26" s="65"/>
    </row>
    <row r="27" ht="15.75" customHeight="1">
      <c r="A27" s="116" t="s">
        <v>4912</v>
      </c>
      <c r="B27" s="870">
        <v>45532.0</v>
      </c>
      <c r="C27" s="870">
        <v>45530.0</v>
      </c>
      <c r="D27" s="197" t="s">
        <v>74</v>
      </c>
      <c r="F27" s="2" t="s">
        <v>4913</v>
      </c>
      <c r="G27" s="13"/>
      <c r="H27" s="2" t="s">
        <v>47</v>
      </c>
      <c r="I27" s="2">
        <v>3.73</v>
      </c>
      <c r="J27" s="58">
        <v>2.35</v>
      </c>
      <c r="K27" s="59">
        <f t="shared" si="2"/>
        <v>3.642345</v>
      </c>
      <c r="L27" s="3">
        <v>0.091</v>
      </c>
      <c r="M27" s="60">
        <v>0.083</v>
      </c>
      <c r="N27" s="427">
        <v>0.083</v>
      </c>
      <c r="O27" s="106">
        <f t="shared" si="3"/>
        <v>0.083</v>
      </c>
      <c r="P27" s="934">
        <v>85.0</v>
      </c>
      <c r="Q27" s="69">
        <v>89.05</v>
      </c>
      <c r="R27" s="65">
        <v>2519.49</v>
      </c>
      <c r="S27" s="3">
        <v>95.0</v>
      </c>
      <c r="U27" s="2">
        <v>80.0</v>
      </c>
      <c r="V27" s="67">
        <v>1.1023</v>
      </c>
      <c r="W27" s="58">
        <v>5.0</v>
      </c>
      <c r="X27" s="58">
        <v>7.2</v>
      </c>
      <c r="Z27" s="140">
        <v>10.0</v>
      </c>
      <c r="AA27" s="70">
        <f t="shared" si="4"/>
        <v>10</v>
      </c>
      <c r="AB27" s="71">
        <f t="shared" si="5"/>
        <v>73.97096529</v>
      </c>
      <c r="AC27" s="71">
        <f>+(S27-T27)*V27-'data 1'!$F$4</f>
        <v>24.7185</v>
      </c>
      <c r="AD27" s="71">
        <f t="shared" si="6"/>
        <v>9.910493137</v>
      </c>
      <c r="AE27" s="71">
        <f>+(Y27*V27-'data 2'!$B$2)+V27*(Z27-IF(D27="UNTUCA",IF(+((W27-3)*2.5+(X27-3)*3.1)&gt;0,+((W27-3)*1.5+(X27-3)*3.1),0),IF(+((W27-3)*1.5+(X27-3)*3.1)&gt;0,+((W27-3)*1.5+(X27-3)*3.1),0)))</f>
        <v>-96.635846</v>
      </c>
      <c r="AF27" s="71">
        <f t="shared" si="7"/>
        <v>19.15679097</v>
      </c>
      <c r="AG27" s="104">
        <f t="shared" ref="AG27:AG33" si="16">+IF(D27="RONALD WILLIAN GARIBAY ESCUDERO",AC27+AD27+AE27+AF27+80,AC27+AD27+AE27+AF27)+90</f>
        <v>47.1499381</v>
      </c>
      <c r="AH27" s="71">
        <f t="shared" si="9"/>
        <v>10.11964936</v>
      </c>
      <c r="AI27" s="58">
        <f t="shared" si="10"/>
        <v>10.5859569</v>
      </c>
      <c r="AJ27" s="58">
        <f t="shared" si="11"/>
        <v>8.810228388</v>
      </c>
      <c r="AK27" s="11">
        <f t="shared" si="12"/>
        <v>1.309420975</v>
      </c>
      <c r="AL27" s="65"/>
      <c r="AM27" s="65"/>
    </row>
    <row r="28" ht="15.75" customHeight="1">
      <c r="A28" s="116" t="s">
        <v>4914</v>
      </c>
      <c r="B28" s="870">
        <v>45532.0</v>
      </c>
      <c r="C28" s="870">
        <v>45530.0</v>
      </c>
      <c r="D28" s="197" t="s">
        <v>74</v>
      </c>
      <c r="F28" s="2" t="s">
        <v>4913</v>
      </c>
      <c r="G28" s="13"/>
      <c r="H28" s="2" t="s">
        <v>47</v>
      </c>
      <c r="I28" s="2">
        <v>3.71</v>
      </c>
      <c r="J28" s="58">
        <v>1.2</v>
      </c>
      <c r="K28" s="59">
        <f t="shared" si="2"/>
        <v>3.66548</v>
      </c>
      <c r="L28" s="3">
        <v>0.165</v>
      </c>
      <c r="M28" s="60">
        <v>0.153</v>
      </c>
      <c r="N28" s="427">
        <v>0.153</v>
      </c>
      <c r="O28" s="106">
        <f t="shared" si="3"/>
        <v>0.153</v>
      </c>
      <c r="P28" s="934">
        <v>85.0</v>
      </c>
      <c r="Q28" s="69">
        <v>89.63</v>
      </c>
      <c r="R28" s="65">
        <v>2519.49</v>
      </c>
      <c r="S28" s="3">
        <v>95.0</v>
      </c>
      <c r="U28" s="2">
        <v>80.0</v>
      </c>
      <c r="V28" s="67">
        <v>1.1023</v>
      </c>
      <c r="W28" s="58">
        <v>5.0</v>
      </c>
      <c r="X28" s="58">
        <v>7.1</v>
      </c>
      <c r="Z28" s="140">
        <v>10.0</v>
      </c>
      <c r="AA28" s="70">
        <f t="shared" si="4"/>
        <v>10</v>
      </c>
      <c r="AB28" s="71">
        <f t="shared" si="5"/>
        <v>233.96943</v>
      </c>
      <c r="AC28" s="71">
        <f>+(S28-T28)*V28-'data 1'!$F$4</f>
        <v>24.7185</v>
      </c>
      <c r="AD28" s="71">
        <f t="shared" si="6"/>
        <v>20.54299615</v>
      </c>
      <c r="AE28" s="71">
        <f>+(Y28*V28-'data 2'!$B$2)+V28*(Z28-IF(D28="UNTUCA",IF(+((W28-3)*2.5+(X28-3)*3.1)&gt;0,+((W28-3)*1.5+(X28-3)*3.1),0),IF(+((W28-3)*1.5+(X28-3)*3.1)&gt;0,+((W28-3)*1.5+(X28-3)*3.1),0)))</f>
        <v>-96.294133</v>
      </c>
      <c r="AF28" s="71">
        <f t="shared" si="7"/>
        <v>28.92234432</v>
      </c>
      <c r="AG28" s="104">
        <f t="shared" si="16"/>
        <v>67.88970747</v>
      </c>
      <c r="AH28" s="71">
        <f t="shared" si="9"/>
        <v>18.58562902</v>
      </c>
      <c r="AI28" s="58">
        <f t="shared" si="10"/>
        <v>19.31933379</v>
      </c>
      <c r="AJ28" s="58">
        <f t="shared" si="11"/>
        <v>16.34369616</v>
      </c>
      <c r="AK28" s="11">
        <f t="shared" si="12"/>
        <v>2.241932855</v>
      </c>
      <c r="AL28" s="65"/>
      <c r="AM28" s="65"/>
    </row>
    <row r="29" ht="15.75" customHeight="1">
      <c r="A29" s="116" t="s">
        <v>4915</v>
      </c>
      <c r="B29" s="870">
        <v>45532.0</v>
      </c>
      <c r="C29" s="870">
        <v>45530.0</v>
      </c>
      <c r="D29" s="197" t="s">
        <v>74</v>
      </c>
      <c r="F29" s="2" t="s">
        <v>4913</v>
      </c>
      <c r="G29" s="13"/>
      <c r="H29" s="2" t="s">
        <v>47</v>
      </c>
      <c r="I29" s="2">
        <v>4.37</v>
      </c>
      <c r="J29" s="58">
        <v>0.8</v>
      </c>
      <c r="K29" s="59">
        <f t="shared" si="2"/>
        <v>4.33504</v>
      </c>
      <c r="L29" s="3">
        <v>0.146</v>
      </c>
      <c r="M29" s="60">
        <v>0.136</v>
      </c>
      <c r="N29" s="427">
        <v>0.136</v>
      </c>
      <c r="O29" s="106">
        <f t="shared" si="3"/>
        <v>0.136</v>
      </c>
      <c r="P29" s="934">
        <v>85.0</v>
      </c>
      <c r="Q29" s="69">
        <v>89.16</v>
      </c>
      <c r="R29" s="65">
        <v>2519.49</v>
      </c>
      <c r="S29" s="3">
        <v>95.0</v>
      </c>
      <c r="U29" s="2">
        <v>80.0</v>
      </c>
      <c r="V29" s="67">
        <v>1.1023</v>
      </c>
      <c r="W29" s="58">
        <v>5.0</v>
      </c>
      <c r="X29" s="58">
        <v>7.2</v>
      </c>
      <c r="Z29" s="140">
        <v>10.0</v>
      </c>
      <c r="AA29" s="70">
        <f t="shared" si="4"/>
        <v>10</v>
      </c>
      <c r="AB29" s="71">
        <f t="shared" si="5"/>
        <v>195.11266</v>
      </c>
      <c r="AC29" s="71">
        <f>+(S29-T29)*V29-'data 1'!$F$4</f>
        <v>24.7185</v>
      </c>
      <c r="AD29" s="71">
        <f t="shared" si="6"/>
        <v>16.33221303</v>
      </c>
      <c r="AE29" s="71">
        <f>+(Y29*V29-'data 2'!$B$2)+V29*(Z29-IF(D29="UNTUCA",IF(+((W29-3)*2.5+(X29-3)*3.1)&gt;0,+((W29-3)*1.5+(X29-3)*3.1),0),IF(+((W29-3)*1.5+(X29-3)*3.1)&gt;0,+((W29-3)*1.5+(X29-3)*3.1),0)))</f>
        <v>-96.635846</v>
      </c>
      <c r="AF29" s="71">
        <f t="shared" si="7"/>
        <v>23.97556826</v>
      </c>
      <c r="AG29" s="104">
        <f t="shared" si="16"/>
        <v>58.39043529</v>
      </c>
      <c r="AH29" s="71">
        <f t="shared" si="9"/>
        <v>19.34751063</v>
      </c>
      <c r="AI29" s="58">
        <f t="shared" si="10"/>
        <v>17.00504248</v>
      </c>
      <c r="AJ29" s="58">
        <f t="shared" si="11"/>
        <v>17.18145791</v>
      </c>
      <c r="AK29" s="11">
        <f t="shared" si="12"/>
        <v>2.166052725</v>
      </c>
      <c r="AL29" s="65"/>
      <c r="AM29" s="65"/>
    </row>
    <row r="30" ht="15.75" customHeight="1">
      <c r="A30" s="116" t="s">
        <v>4916</v>
      </c>
      <c r="B30" s="870">
        <v>45532.0</v>
      </c>
      <c r="C30" s="870">
        <v>45530.0</v>
      </c>
      <c r="D30" s="197" t="s">
        <v>74</v>
      </c>
      <c r="F30" s="2" t="s">
        <v>4913</v>
      </c>
      <c r="G30" s="13"/>
      <c r="H30" s="2" t="s">
        <v>47</v>
      </c>
      <c r="I30" s="2">
        <v>4.56</v>
      </c>
      <c r="J30" s="58">
        <v>1.25</v>
      </c>
      <c r="K30" s="59">
        <f t="shared" si="2"/>
        <v>4.503</v>
      </c>
      <c r="L30" s="3">
        <v>0.141</v>
      </c>
      <c r="M30" s="60">
        <v>0.131</v>
      </c>
      <c r="N30" s="427">
        <v>0.131</v>
      </c>
      <c r="O30" s="106">
        <f t="shared" si="3"/>
        <v>0.131</v>
      </c>
      <c r="P30" s="934">
        <v>85.0</v>
      </c>
      <c r="Q30" s="69">
        <v>89.5</v>
      </c>
      <c r="R30" s="65">
        <v>2519.49</v>
      </c>
      <c r="S30" s="3">
        <v>95.0</v>
      </c>
      <c r="U30" s="2">
        <v>80.0</v>
      </c>
      <c r="V30" s="67">
        <v>1.1023</v>
      </c>
      <c r="W30" s="58">
        <v>5.0</v>
      </c>
      <c r="X30" s="58">
        <v>7.2</v>
      </c>
      <c r="Z30" s="140">
        <v>10.0</v>
      </c>
      <c r="AA30" s="70">
        <f t="shared" si="4"/>
        <v>10</v>
      </c>
      <c r="AB30" s="71">
        <f t="shared" si="5"/>
        <v>183.6841982</v>
      </c>
      <c r="AC30" s="71">
        <f>+(S30-T30)*V30-'data 1'!$F$4</f>
        <v>24.7185</v>
      </c>
      <c r="AD30" s="71">
        <f t="shared" si="6"/>
        <v>17.06202115</v>
      </c>
      <c r="AE30" s="71">
        <f>+(Y30*V30-'data 2'!$B$2)+V30*(Z30-IF(D30="UNTUCA",IF(+((W30-3)*2.5+(X30-3)*3.1)&gt;0,+((W30-3)*1.5+(X30-3)*3.1),0),IF(+((W30-3)*1.5+(X30-3)*3.1)&gt;0,+((W30-3)*1.5+(X30-3)*3.1),0)))</f>
        <v>-96.635846</v>
      </c>
      <c r="AF30" s="71">
        <f t="shared" si="7"/>
        <v>24.06699595</v>
      </c>
      <c r="AG30" s="104">
        <f t="shared" si="16"/>
        <v>59.2116711</v>
      </c>
      <c r="AH30" s="71">
        <f t="shared" si="9"/>
        <v>19.48288039</v>
      </c>
      <c r="AI30" s="58">
        <f t="shared" si="10"/>
        <v>16.48530374</v>
      </c>
      <c r="AJ30" s="58">
        <f t="shared" si="11"/>
        <v>17.19100385</v>
      </c>
      <c r="AK30" s="11">
        <f t="shared" si="12"/>
        <v>2.291876535</v>
      </c>
      <c r="AL30" s="65"/>
      <c r="AM30" s="65"/>
    </row>
    <row r="31" ht="15.75" customHeight="1">
      <c r="A31" s="116" t="s">
        <v>4917</v>
      </c>
      <c r="B31" s="870">
        <v>45532.0</v>
      </c>
      <c r="C31" s="870">
        <v>45530.0</v>
      </c>
      <c r="D31" s="197" t="s">
        <v>74</v>
      </c>
      <c r="F31" s="2" t="s">
        <v>4913</v>
      </c>
      <c r="G31" s="13"/>
      <c r="H31" s="2" t="s">
        <v>47</v>
      </c>
      <c r="I31" s="2">
        <v>4.02</v>
      </c>
      <c r="J31" s="58">
        <v>1.25</v>
      </c>
      <c r="K31" s="59">
        <f t="shared" si="2"/>
        <v>3.96975</v>
      </c>
      <c r="L31" s="3">
        <v>0.101</v>
      </c>
      <c r="M31" s="60">
        <v>0.094</v>
      </c>
      <c r="N31" s="427">
        <v>0.094</v>
      </c>
      <c r="O31" s="106">
        <f t="shared" si="3"/>
        <v>0.094</v>
      </c>
      <c r="P31" s="934">
        <v>85.0</v>
      </c>
      <c r="Q31" s="69">
        <v>89.09</v>
      </c>
      <c r="R31" s="65">
        <v>2519.49</v>
      </c>
      <c r="S31" s="3">
        <v>95.0</v>
      </c>
      <c r="U31" s="2">
        <v>80.0</v>
      </c>
      <c r="V31" s="67">
        <v>1.1023</v>
      </c>
      <c r="W31" s="58">
        <v>5.0</v>
      </c>
      <c r="X31" s="58">
        <v>7.0</v>
      </c>
      <c r="Z31" s="140">
        <v>10.0</v>
      </c>
      <c r="AA31" s="70">
        <f t="shared" si="4"/>
        <v>10</v>
      </c>
      <c r="AB31" s="71">
        <f t="shared" si="5"/>
        <v>99.11358118</v>
      </c>
      <c r="AC31" s="71">
        <f>+(S31-T31)*V31-'data 1'!$F$4</f>
        <v>24.7185</v>
      </c>
      <c r="AD31" s="71">
        <f t="shared" si="6"/>
        <v>11.10819593</v>
      </c>
      <c r="AE31" s="71">
        <f>+(Y31*V31-'data 2'!$B$2)+V31*(Z31-IF(D31="UNTUCA",IF(+((W31-3)*2.5+(X31-3)*3.1)&gt;0,+((W31-3)*1.5+(X31-3)*3.1),0),IF(+((W31-3)*1.5+(X31-3)*3.1)&gt;0,+((W31-3)*1.5+(X31-3)*3.1),0)))</f>
        <v>-95.95242</v>
      </c>
      <c r="AF31" s="71">
        <f t="shared" si="7"/>
        <v>16.76972144</v>
      </c>
      <c r="AG31" s="104">
        <f t="shared" si="16"/>
        <v>46.64399737</v>
      </c>
      <c r="AH31" s="71">
        <f t="shared" si="9"/>
        <v>12.24679813</v>
      </c>
      <c r="AI31" s="58">
        <f t="shared" si="10"/>
        <v>11.75452647</v>
      </c>
      <c r="AJ31" s="58">
        <f t="shared" si="11"/>
        <v>10.87474309</v>
      </c>
      <c r="AK31" s="11">
        <f t="shared" si="12"/>
        <v>1.37205504</v>
      </c>
      <c r="AL31" s="65"/>
      <c r="AM31" s="65"/>
    </row>
    <row r="32" ht="15.75" customHeight="1">
      <c r="A32" s="116" t="s">
        <v>4918</v>
      </c>
      <c r="B32" s="870">
        <v>45532.0</v>
      </c>
      <c r="C32" s="870">
        <v>45530.0</v>
      </c>
      <c r="D32" s="197" t="s">
        <v>74</v>
      </c>
      <c r="F32" s="2" t="s">
        <v>4913</v>
      </c>
      <c r="G32" s="13"/>
      <c r="H32" s="2" t="s">
        <v>47</v>
      </c>
      <c r="I32" s="2">
        <v>3.09</v>
      </c>
      <c r="J32" s="58">
        <v>0.9</v>
      </c>
      <c r="K32" s="59">
        <f t="shared" si="2"/>
        <v>3.06219</v>
      </c>
      <c r="L32" s="3">
        <v>0.182</v>
      </c>
      <c r="M32" s="60">
        <v>0.167</v>
      </c>
      <c r="N32" s="427">
        <v>0.167</v>
      </c>
      <c r="O32" s="106">
        <f t="shared" si="3"/>
        <v>0.167</v>
      </c>
      <c r="P32" s="934">
        <v>85.0</v>
      </c>
      <c r="Q32" s="69">
        <v>89.37</v>
      </c>
      <c r="R32" s="65">
        <v>2519.49</v>
      </c>
      <c r="S32" s="3">
        <v>95.0</v>
      </c>
      <c r="U32" s="2">
        <v>80.0</v>
      </c>
      <c r="V32" s="67">
        <v>1.1023</v>
      </c>
      <c r="W32" s="58">
        <v>5.0</v>
      </c>
      <c r="X32" s="58">
        <v>7.0</v>
      </c>
      <c r="Z32" s="140">
        <v>10.0</v>
      </c>
      <c r="AA32" s="70">
        <f t="shared" si="4"/>
        <v>10</v>
      </c>
      <c r="AB32" s="71">
        <f t="shared" si="5"/>
        <v>265.9691229</v>
      </c>
      <c r="AC32" s="71">
        <f>+(S32-T32)*V32-'data 1'!$F$4</f>
        <v>24.7185</v>
      </c>
      <c r="AD32" s="71">
        <f t="shared" si="6"/>
        <v>21.38708889</v>
      </c>
      <c r="AE32" s="71">
        <f>+(Y32*V32-'data 2'!$B$2)+V32*(Z32-IF(D32="UNTUCA",IF(+((W32-3)*2.5+(X32-3)*3.1)&gt;0,+((W32-3)*1.5+(X32-3)*3.1),0),IF(+((W32-3)*1.5+(X32-3)*3.1)&gt;0,+((W32-3)*1.5+(X32-3)*3.1),0)))</f>
        <v>-95.95242</v>
      </c>
      <c r="AF32" s="71">
        <f t="shared" si="7"/>
        <v>36.04805746</v>
      </c>
      <c r="AG32" s="104">
        <f t="shared" si="16"/>
        <v>76.20122635</v>
      </c>
      <c r="AH32" s="71">
        <f t="shared" si="9"/>
        <v>17.07671574</v>
      </c>
      <c r="AI32" s="58">
        <f t="shared" si="10"/>
        <v>21.2479948</v>
      </c>
      <c r="AJ32" s="58">
        <f t="shared" si="11"/>
        <v>14.90309947</v>
      </c>
      <c r="AK32" s="11">
        <f t="shared" si="12"/>
        <v>2.17361627</v>
      </c>
      <c r="AL32" s="65"/>
      <c r="AM32" s="65"/>
    </row>
    <row r="33" ht="15.75" customHeight="1">
      <c r="A33" s="116" t="s">
        <v>4919</v>
      </c>
      <c r="B33" s="870">
        <v>45532.0</v>
      </c>
      <c r="C33" s="870">
        <v>45530.0</v>
      </c>
      <c r="D33" s="197" t="s">
        <v>74</v>
      </c>
      <c r="F33" s="2" t="s">
        <v>4913</v>
      </c>
      <c r="G33" s="13"/>
      <c r="H33" s="2" t="s">
        <v>47</v>
      </c>
      <c r="I33" s="2">
        <v>7.53</v>
      </c>
      <c r="J33" s="58">
        <v>1.2</v>
      </c>
      <c r="K33" s="59">
        <f t="shared" si="2"/>
        <v>7.43964</v>
      </c>
      <c r="L33" s="3">
        <v>0.162</v>
      </c>
      <c r="M33" s="60">
        <v>0.149</v>
      </c>
      <c r="N33" s="427">
        <v>0.149</v>
      </c>
      <c r="O33" s="106">
        <f t="shared" si="3"/>
        <v>0.149</v>
      </c>
      <c r="P33" s="934">
        <v>85.0</v>
      </c>
      <c r="Q33" s="69">
        <v>89.48</v>
      </c>
      <c r="R33" s="65">
        <v>2519.49</v>
      </c>
      <c r="S33" s="3">
        <v>95.0</v>
      </c>
      <c r="U33" s="2">
        <v>80.0</v>
      </c>
      <c r="V33" s="67">
        <v>1.1023</v>
      </c>
      <c r="W33" s="58">
        <v>5.0</v>
      </c>
      <c r="X33" s="58">
        <v>9.5</v>
      </c>
      <c r="Z33" s="140">
        <v>10.0</v>
      </c>
      <c r="AA33" s="70">
        <f t="shared" si="4"/>
        <v>10</v>
      </c>
      <c r="AB33" s="71">
        <f t="shared" si="5"/>
        <v>224.8266606</v>
      </c>
      <c r="AC33" s="71">
        <f>+(S33-T33)*V33-'data 1'!$F$4</f>
        <v>24.7185</v>
      </c>
      <c r="AD33" s="71">
        <f t="shared" si="6"/>
        <v>19.51604802</v>
      </c>
      <c r="AE33" s="71">
        <f>+(Y33*V33-'data 2'!$B$2)+V33*(Z33-IF(D33="UNTUCA",IF(+((W33-3)*2.5+(X33-3)*3.1)&gt;0,+((W33-3)*1.5+(X33-3)*3.1),0),IF(+((W33-3)*1.5+(X33-3)*3.1)&gt;0,+((W33-3)*1.5+(X33-3)*3.1),0)))</f>
        <v>-104.495245</v>
      </c>
      <c r="AF33" s="71">
        <f t="shared" si="7"/>
        <v>31.28010321</v>
      </c>
      <c r="AG33" s="104">
        <f t="shared" si="16"/>
        <v>61.01940623</v>
      </c>
      <c r="AH33" s="71">
        <f t="shared" si="9"/>
        <v>36.97447192</v>
      </c>
      <c r="AI33" s="58">
        <f t="shared" si="10"/>
        <v>18.93632922</v>
      </c>
      <c r="AJ33" s="58">
        <f t="shared" si="11"/>
        <v>32.3047351</v>
      </c>
      <c r="AK33" s="11">
        <f t="shared" si="12"/>
        <v>4.669736821</v>
      </c>
      <c r="AL33" s="65"/>
      <c r="AM33" s="65"/>
    </row>
    <row r="34" ht="15.75" customHeight="1">
      <c r="A34" s="116" t="s">
        <v>4920</v>
      </c>
      <c r="B34" s="870">
        <v>45535.0</v>
      </c>
      <c r="C34" s="870">
        <v>45530.0</v>
      </c>
      <c r="D34" s="2" t="s">
        <v>4571</v>
      </c>
      <c r="F34" s="2" t="s">
        <v>4921</v>
      </c>
      <c r="G34" s="13">
        <v>17.0</v>
      </c>
      <c r="H34" s="2" t="s">
        <v>47</v>
      </c>
      <c r="I34" s="2">
        <v>1.47</v>
      </c>
      <c r="J34" s="58">
        <v>2.2</v>
      </c>
      <c r="K34" s="59">
        <f t="shared" si="2"/>
        <v>1.43766</v>
      </c>
      <c r="L34" s="3">
        <v>0.804</v>
      </c>
      <c r="M34" s="60">
        <v>0.764</v>
      </c>
      <c r="N34" s="131">
        <v>0.867</v>
      </c>
      <c r="O34" s="106">
        <f t="shared" si="3"/>
        <v>0.816</v>
      </c>
      <c r="P34" s="934">
        <v>90.0</v>
      </c>
      <c r="Q34" s="69">
        <v>89.43</v>
      </c>
      <c r="R34" s="65">
        <v>2499.12</v>
      </c>
      <c r="S34" s="3">
        <v>170.0</v>
      </c>
      <c r="U34" s="2">
        <v>130.0</v>
      </c>
      <c r="V34" s="67">
        <v>1.1023</v>
      </c>
      <c r="W34" s="58">
        <v>5.0</v>
      </c>
      <c r="X34" s="203">
        <v>6.0</v>
      </c>
      <c r="Y34" s="2">
        <v>50.0</v>
      </c>
      <c r="Z34" s="69">
        <f t="shared" ref="Z34:Z45" si="17">IF(IF(D34="UNTUCA",IF(+((W34-3)*1.5+(X34-3)*3.1)&gt;0,+((W34-3)*1.5+(X34-3)*3.1),0),IF(+((W34-3)*1.5+(X34-3)*3.1)&gt;0,+((W34-3)*1.5+(X34-3)*3.1),0))&lt;30,30,IF(D34="UNTUCA",IF(+((W34-3)*1.5+(X34-3)*3.1)&gt;0,+((W34-3)*1.5+(X34-3)*3.1),0),IF(+((W34-3)*1.5+(X34-3)*3.1)&gt;0,+((W34-3)*1.5+(X34-3)*3.1),0)))</f>
        <v>30</v>
      </c>
      <c r="AA34" s="70">
        <f t="shared" si="4"/>
        <v>80</v>
      </c>
      <c r="AB34" s="71">
        <f t="shared" si="5"/>
        <v>1642.296629</v>
      </c>
      <c r="AC34" s="71">
        <f>+(S34-T34)*V34-'data 1'!$F$4</f>
        <v>107.391</v>
      </c>
      <c r="AD34" s="71">
        <f t="shared" si="6"/>
        <v>-11.96789502</v>
      </c>
      <c r="AE34" s="71">
        <f>+(Y34*V34-'data 2'!$B$2)+V34*(Z34-IF(D34="UNTUCA",IF(+((W34-3)*2.5+(X34-3)*3.1)&gt;0,+((W34-3)*1.5+(X34-3)*3.1),0),IF(+((W34-3)*1.5+(X34-3)*3.1)&gt;0,+((W34-3)*1.5+(X34-3)*3.1),0)))</f>
        <v>-15.37429</v>
      </c>
      <c r="AF34" s="71">
        <f t="shared" si="7"/>
        <v>-28.02536924</v>
      </c>
      <c r="AG34" s="71">
        <f t="shared" ref="AG34:AG36" si="18">+IF(D34="RONALD WILLIAN GARIBAY ESCUDERO",AC34+AD34+AE34+AF34+80,AC34+AD34+AE34+AF34)</f>
        <v>52.02344574</v>
      </c>
      <c r="AH34" s="71">
        <f t="shared" si="9"/>
        <v>35.44088338</v>
      </c>
      <c r="AI34" s="58">
        <f t="shared" si="10"/>
        <v>149.7011239</v>
      </c>
      <c r="AJ34" s="58">
        <f t="shared" si="11"/>
        <v>36.19911283</v>
      </c>
      <c r="AK34" s="11">
        <f t="shared" si="12"/>
        <v>-0.7582294566</v>
      </c>
      <c r="AL34" s="65"/>
      <c r="AM34" s="65"/>
    </row>
    <row r="35" ht="15.75" customHeight="1">
      <c r="A35" s="116" t="s">
        <v>4922</v>
      </c>
      <c r="B35" s="870">
        <v>45535.0</v>
      </c>
      <c r="C35" s="870">
        <v>45530.0</v>
      </c>
      <c r="D35" s="2" t="s">
        <v>4571</v>
      </c>
      <c r="F35" s="2" t="s">
        <v>4921</v>
      </c>
      <c r="G35" s="13">
        <v>67.0</v>
      </c>
      <c r="H35" s="2" t="s">
        <v>47</v>
      </c>
      <c r="I35" s="2">
        <v>5.28</v>
      </c>
      <c r="J35" s="58">
        <v>2.25</v>
      </c>
      <c r="K35" s="59">
        <f t="shared" si="2"/>
        <v>5.1612</v>
      </c>
      <c r="L35" s="3">
        <v>0.717</v>
      </c>
      <c r="M35" s="60">
        <v>0.652</v>
      </c>
      <c r="N35" s="131">
        <v>0.843</v>
      </c>
      <c r="O35" s="106">
        <f t="shared" si="3"/>
        <v>0.748</v>
      </c>
      <c r="P35" s="934">
        <v>90.0</v>
      </c>
      <c r="Q35" s="69">
        <v>89.47</v>
      </c>
      <c r="R35" s="65">
        <v>2499.12</v>
      </c>
      <c r="S35" s="3">
        <v>160.0</v>
      </c>
      <c r="U35" s="2">
        <v>130.0</v>
      </c>
      <c r="V35" s="67">
        <v>1.1023</v>
      </c>
      <c r="W35" s="58">
        <v>5.0</v>
      </c>
      <c r="X35" s="203">
        <v>6.0</v>
      </c>
      <c r="Y35" s="2">
        <v>50.0</v>
      </c>
      <c r="Z35" s="69">
        <f t="shared" si="17"/>
        <v>30</v>
      </c>
      <c r="AA35" s="70">
        <f t="shared" si="4"/>
        <v>80</v>
      </c>
      <c r="AB35" s="71">
        <f t="shared" si="5"/>
        <v>1493.496993</v>
      </c>
      <c r="AC35" s="71">
        <f>+(S35-T35)*V35-'data 1'!$F$4</f>
        <v>96.368</v>
      </c>
      <c r="AD35" s="71">
        <f t="shared" si="6"/>
        <v>-9.923888857</v>
      </c>
      <c r="AE35" s="71">
        <f>+(Y35*V35-'data 2'!$B$2)+V35*(Z35-IF(D35="UNTUCA",IF(+((W35-3)*2.5+(X35-3)*3.1)&gt;0,+((W35-3)*1.5+(X35-3)*3.1),0),IF(+((W35-3)*1.5+(X35-3)*3.1)&gt;0,+((W35-3)*1.5+(X35-3)*3.1),0)))</f>
        <v>-15.37429</v>
      </c>
      <c r="AF35" s="71">
        <f t="shared" si="7"/>
        <v>-72.43125291</v>
      </c>
      <c r="AG35" s="71">
        <f t="shared" si="18"/>
        <v>-1.361431763</v>
      </c>
      <c r="AH35" s="71">
        <f t="shared" si="9"/>
        <v>113.5158096</v>
      </c>
      <c r="AI35" s="58">
        <f t="shared" si="10"/>
        <v>133.5618342</v>
      </c>
      <c r="AJ35" s="58">
        <f t="shared" si="11"/>
        <v>119.125261</v>
      </c>
      <c r="AK35" s="11">
        <f t="shared" si="12"/>
        <v>-5.609451406</v>
      </c>
      <c r="AL35" s="65" t="s">
        <v>4923</v>
      </c>
      <c r="AM35" s="65"/>
    </row>
    <row r="36" ht="15.75" customHeight="1">
      <c r="A36" s="116" t="s">
        <v>4924</v>
      </c>
      <c r="B36" s="870">
        <v>45535.0</v>
      </c>
      <c r="C36" s="870">
        <v>45530.0</v>
      </c>
      <c r="D36" s="2" t="s">
        <v>4571</v>
      </c>
      <c r="F36" s="2" t="s">
        <v>4921</v>
      </c>
      <c r="G36" s="13">
        <v>104.0</v>
      </c>
      <c r="H36" s="2" t="s">
        <v>47</v>
      </c>
      <c r="I36" s="2">
        <v>9.09</v>
      </c>
      <c r="J36" s="58">
        <v>2.45</v>
      </c>
      <c r="K36" s="59">
        <f t="shared" si="2"/>
        <v>8.867295</v>
      </c>
      <c r="L36" s="3">
        <v>0.325</v>
      </c>
      <c r="M36" s="60">
        <v>0.302</v>
      </c>
      <c r="N36" s="131">
        <v>0.341</v>
      </c>
      <c r="O36" s="106">
        <f t="shared" si="3"/>
        <v>0.322</v>
      </c>
      <c r="P36" s="934">
        <v>90.0</v>
      </c>
      <c r="Q36" s="69">
        <v>89.38</v>
      </c>
      <c r="R36" s="65">
        <v>2499.12</v>
      </c>
      <c r="S36" s="3">
        <v>130.0</v>
      </c>
      <c r="U36" s="2">
        <v>130.0</v>
      </c>
      <c r="V36" s="67">
        <v>1.1023</v>
      </c>
      <c r="W36" s="58">
        <v>5.0</v>
      </c>
      <c r="X36" s="203">
        <v>6.0</v>
      </c>
      <c r="Y36" s="2">
        <v>50.0</v>
      </c>
      <c r="Z36" s="69">
        <f t="shared" si="17"/>
        <v>30</v>
      </c>
      <c r="AA36" s="70">
        <f t="shared" si="4"/>
        <v>80</v>
      </c>
      <c r="AB36" s="71">
        <f t="shared" si="5"/>
        <v>525.3241868</v>
      </c>
      <c r="AC36" s="71">
        <f>+(S36-T36)*V36-'data 1'!$F$4</f>
        <v>63.299</v>
      </c>
      <c r="AD36" s="71">
        <f t="shared" si="6"/>
        <v>-5.262134167</v>
      </c>
      <c r="AE36" s="71">
        <f>+(Y36*V36-'data 2'!$B$2)+V36*(Z36-IF(D36="UNTUCA",IF(+((W36-3)*2.5+(X36-3)*3.1)&gt;0,+((W36-3)*1.5+(X36-3)*3.1),0),IF(+((W36-3)*1.5+(X36-3)*3.1)&gt;0,+((W36-3)*1.5+(X36-3)*3.1),0)))</f>
        <v>-15.37429</v>
      </c>
      <c r="AF36" s="71">
        <f t="shared" si="7"/>
        <v>7.002425089</v>
      </c>
      <c r="AG36" s="71">
        <f t="shared" si="18"/>
        <v>49.66500092</v>
      </c>
      <c r="AH36" s="71">
        <f t="shared" si="9"/>
        <v>88.31285755</v>
      </c>
      <c r="AI36" s="58">
        <f t="shared" si="10"/>
        <v>60.47968114</v>
      </c>
      <c r="AJ36" s="58">
        <f t="shared" si="11"/>
        <v>88.10460478</v>
      </c>
      <c r="AK36" s="11">
        <f t="shared" si="12"/>
        <v>0.2082527753</v>
      </c>
      <c r="AL36" s="65"/>
      <c r="AM36" s="65"/>
    </row>
    <row r="37" ht="15.75" customHeight="1">
      <c r="A37" s="116" t="s">
        <v>4925</v>
      </c>
      <c r="B37" s="870">
        <v>45533.0</v>
      </c>
      <c r="C37" s="870">
        <v>45530.0</v>
      </c>
      <c r="D37" s="197" t="s">
        <v>4904</v>
      </c>
      <c r="G37" s="13" t="s">
        <v>4100</v>
      </c>
      <c r="H37" s="2" t="s">
        <v>40</v>
      </c>
      <c r="I37" s="2">
        <v>8.27</v>
      </c>
      <c r="J37" s="58">
        <v>8.8</v>
      </c>
      <c r="K37" s="59">
        <f t="shared" si="2"/>
        <v>7.54224</v>
      </c>
      <c r="L37" s="3">
        <v>1.229</v>
      </c>
      <c r="M37" s="60">
        <v>1.18</v>
      </c>
      <c r="N37" s="111">
        <v>1.317</v>
      </c>
      <c r="O37" s="106">
        <f t="shared" si="3"/>
        <v>1.249</v>
      </c>
      <c r="P37" s="934">
        <v>90.0</v>
      </c>
      <c r="Q37" s="69">
        <v>89.85</v>
      </c>
      <c r="R37" s="65">
        <v>2512.49</v>
      </c>
      <c r="S37" s="3">
        <v>170.0</v>
      </c>
      <c r="U37" s="2">
        <v>130.0</v>
      </c>
      <c r="V37" s="67">
        <v>1.1023</v>
      </c>
      <c r="W37" s="58">
        <v>5.0</v>
      </c>
      <c r="X37" s="58">
        <v>8.55</v>
      </c>
      <c r="Y37" s="2">
        <v>50.0</v>
      </c>
      <c r="Z37" s="69">
        <f t="shared" si="17"/>
        <v>30</v>
      </c>
      <c r="AA37" s="70">
        <f t="shared" si="4"/>
        <v>80</v>
      </c>
      <c r="AB37" s="71">
        <f t="shared" si="5"/>
        <v>2676.557471</v>
      </c>
      <c r="AC37" s="71">
        <f>+(S37-T37)*V37-'data 1'!$F$4</f>
        <v>107.391</v>
      </c>
      <c r="AD37" s="71">
        <f t="shared" si="6"/>
        <v>-4.841434223</v>
      </c>
      <c r="AE37" s="71">
        <f>+(Y37*V37-'data 2'!$B$2)+V37*(Z37-IF(D37="UNTUCA",IF(+((W37-3)*2.5+(X37-3)*3.1)&gt;0,+((W37-3)*1.5+(X37-3)*3.1),0),IF(+((W37-3)*1.5+(X37-3)*3.1)&gt;0,+((W37-3)*1.5+(X37-3)*3.1),0)))</f>
        <v>-24.0879715</v>
      </c>
      <c r="AF37" s="71">
        <f t="shared" si="7"/>
        <v>-47.19315052</v>
      </c>
      <c r="AG37" s="71">
        <f>+IF(D37="RONALD WILLIAN GARIBAY ESCUDERO",AC37+AD37+AE37+AF37+80,AC37+AD37+AE37+AF37)+90-10</f>
        <v>111.2684438</v>
      </c>
      <c r="AH37" s="71">
        <f t="shared" si="9"/>
        <v>285.5481702</v>
      </c>
      <c r="AI37" s="58">
        <f t="shared" si="10"/>
        <v>213.6346227</v>
      </c>
      <c r="AJ37" s="58">
        <f t="shared" si="11"/>
        <v>290.6794735</v>
      </c>
      <c r="AK37" s="11">
        <f t="shared" si="12"/>
        <v>-5.131303383</v>
      </c>
      <c r="AL37" s="65"/>
      <c r="AM37" s="65"/>
    </row>
    <row r="38" ht="15.75" customHeight="1">
      <c r="A38" s="116" t="s">
        <v>4926</v>
      </c>
      <c r="B38" s="841"/>
      <c r="C38" s="870">
        <v>45532.0</v>
      </c>
      <c r="D38" s="2" t="s">
        <v>4717</v>
      </c>
      <c r="F38" s="2" t="s">
        <v>4927</v>
      </c>
      <c r="G38" s="13">
        <v>207.0</v>
      </c>
      <c r="H38" s="2" t="s">
        <v>47</v>
      </c>
      <c r="I38" s="58">
        <v>16.59</v>
      </c>
      <c r="J38" s="58">
        <v>10.8</v>
      </c>
      <c r="K38" s="59">
        <f t="shared" si="2"/>
        <v>14.79828</v>
      </c>
      <c r="L38" s="3">
        <v>0.169</v>
      </c>
      <c r="M38" s="60">
        <v>0.162</v>
      </c>
      <c r="N38" s="131">
        <v>0.172</v>
      </c>
      <c r="O38" s="106">
        <f t="shared" si="3"/>
        <v>0.167</v>
      </c>
      <c r="P38" s="63">
        <v>90.0</v>
      </c>
      <c r="Q38" s="69">
        <v>89.14</v>
      </c>
      <c r="R38" s="65">
        <v>2504.67</v>
      </c>
      <c r="S38" s="3">
        <v>110.0</v>
      </c>
      <c r="U38" s="2">
        <v>110.0</v>
      </c>
      <c r="V38" s="67">
        <v>1.1023</v>
      </c>
      <c r="W38" s="58">
        <v>5.0</v>
      </c>
      <c r="X38" s="58">
        <v>7.0</v>
      </c>
      <c r="Z38" s="69">
        <f t="shared" si="17"/>
        <v>30</v>
      </c>
      <c r="AA38" s="70">
        <f t="shared" si="4"/>
        <v>30</v>
      </c>
      <c r="AB38" s="71">
        <f t="shared" si="5"/>
        <v>242.4166046</v>
      </c>
      <c r="AC38" s="71">
        <f>+(S38-T38)*V38-'data 1'!$F$4</f>
        <v>41.253</v>
      </c>
      <c r="AD38" s="71">
        <f t="shared" si="6"/>
        <v>-3.836459667</v>
      </c>
      <c r="AE38" s="71">
        <f>+(Y38*V38-'data 2'!$B$2)+V38*(Z38-IF(D38="UNTUCA",IF(+((W38-3)*2.5+(X38-3)*3.1)&gt;0,+((W38-3)*1.5+(X38-3)*3.1),0),IF(+((W38-3)*1.5+(X38-3)*3.1)&gt;0,+((W38-3)*1.5+(X38-3)*3.1),0)))</f>
        <v>-73.90642</v>
      </c>
      <c r="AF38" s="71">
        <f t="shared" si="7"/>
        <v>4.705958644</v>
      </c>
      <c r="AG38" s="71">
        <f t="shared" ref="AG38:AG45" si="19">+IF(D38="RONALD WILLIAN GARIBAY ESCUDERO",AC38+AD38+AE38+AF38+80,AC38+AD38+AE38+AF38)</f>
        <v>-31.78392102</v>
      </c>
      <c r="AH38" s="71">
        <f t="shared" si="9"/>
        <v>76.4327779</v>
      </c>
      <c r="AI38" s="58">
        <f t="shared" si="10"/>
        <v>27.12221185</v>
      </c>
      <c r="AJ38" s="58">
        <f t="shared" si="11"/>
        <v>76.25692527</v>
      </c>
      <c r="AK38" s="11">
        <f t="shared" si="12"/>
        <v>0.1758526301</v>
      </c>
      <c r="AL38" s="65"/>
      <c r="AM38" s="65"/>
    </row>
    <row r="39" ht="15.75" customHeight="1">
      <c r="A39" s="116" t="s">
        <v>4928</v>
      </c>
      <c r="B39" s="841"/>
      <c r="C39" s="870">
        <v>45532.0</v>
      </c>
      <c r="D39" s="2" t="s">
        <v>4717</v>
      </c>
      <c r="F39" s="2" t="s">
        <v>4927</v>
      </c>
      <c r="G39" s="2" t="s">
        <v>4100</v>
      </c>
      <c r="H39" s="2" t="s">
        <v>47</v>
      </c>
      <c r="I39" s="58">
        <v>20.95</v>
      </c>
      <c r="J39" s="58">
        <v>14.75</v>
      </c>
      <c r="K39" s="59">
        <f t="shared" si="2"/>
        <v>17.859875</v>
      </c>
      <c r="L39" s="3">
        <v>0.697</v>
      </c>
      <c r="M39" s="60">
        <v>0.669</v>
      </c>
      <c r="N39" s="131">
        <v>0.671</v>
      </c>
      <c r="O39" s="106">
        <f t="shared" si="3"/>
        <v>0.67</v>
      </c>
      <c r="P39" s="63">
        <v>90.0</v>
      </c>
      <c r="Q39" s="58">
        <v>89.45</v>
      </c>
      <c r="R39" s="65">
        <v>2504.67</v>
      </c>
      <c r="S39" s="3">
        <v>150.0</v>
      </c>
      <c r="U39" s="2">
        <v>110.0</v>
      </c>
      <c r="V39" s="67">
        <v>1.1023</v>
      </c>
      <c r="W39" s="58">
        <v>5.0</v>
      </c>
      <c r="X39" s="58">
        <v>7.0</v>
      </c>
      <c r="Z39" s="69">
        <f t="shared" si="17"/>
        <v>30</v>
      </c>
      <c r="AA39" s="70">
        <f t="shared" si="4"/>
        <v>30</v>
      </c>
      <c r="AB39" s="71">
        <f t="shared" si="5"/>
        <v>1393.291779</v>
      </c>
      <c r="AC39" s="71">
        <f>+(S39-T39)*V39-'data 1'!$F$4</f>
        <v>85.345</v>
      </c>
      <c r="AD39" s="71">
        <f t="shared" si="6"/>
        <v>-10.11907811</v>
      </c>
      <c r="AE39" s="71">
        <f>+(Y39*V39-'data 2'!$B$2)+V39*(Z39-IF(D39="UNTUCA",IF(+((W39-3)*2.5+(X39-3)*3.1)&gt;0,+((W39-3)*1.5+(X39-3)*3.1),0),IF(+((W39-3)*1.5+(X39-3)*3.1)&gt;0,+((W39-3)*1.5+(X39-3)*3.1),0)))</f>
        <v>-73.90642</v>
      </c>
      <c r="AF39" s="71">
        <f t="shared" si="7"/>
        <v>63.75137996</v>
      </c>
      <c r="AG39" s="71">
        <f t="shared" si="19"/>
        <v>65.07088185</v>
      </c>
      <c r="AH39" s="71">
        <f t="shared" si="9"/>
        <v>381.7689533</v>
      </c>
      <c r="AI39" s="58">
        <f t="shared" si="10"/>
        <v>112.2480726</v>
      </c>
      <c r="AJ39" s="58">
        <f t="shared" si="11"/>
        <v>369.2366452</v>
      </c>
      <c r="AK39" s="11">
        <f t="shared" si="12"/>
        <v>12.53230812</v>
      </c>
      <c r="AL39" s="65"/>
      <c r="AM39" s="65"/>
    </row>
    <row r="40" ht="15.75" customHeight="1">
      <c r="A40" s="116" t="s">
        <v>4929</v>
      </c>
      <c r="B40" s="841"/>
      <c r="C40" s="870">
        <v>45532.0</v>
      </c>
      <c r="D40" s="2" t="s">
        <v>4717</v>
      </c>
      <c r="F40" s="2" t="s">
        <v>4927</v>
      </c>
      <c r="G40" s="2">
        <v>53.0</v>
      </c>
      <c r="H40" s="2" t="s">
        <v>47</v>
      </c>
      <c r="I40" s="58">
        <v>34.07</v>
      </c>
      <c r="J40" s="58">
        <v>13.0</v>
      </c>
      <c r="K40" s="59">
        <f t="shared" si="2"/>
        <v>29.6409</v>
      </c>
      <c r="L40" s="3">
        <v>0.656</v>
      </c>
      <c r="M40" s="60">
        <v>0.629</v>
      </c>
      <c r="N40" s="131">
        <v>0.677</v>
      </c>
      <c r="O40" s="106">
        <f t="shared" si="3"/>
        <v>0.653</v>
      </c>
      <c r="P40" s="63">
        <v>90.0</v>
      </c>
      <c r="Q40" s="58">
        <v>89.54</v>
      </c>
      <c r="R40" s="65">
        <v>2504.67</v>
      </c>
      <c r="S40" s="3">
        <v>150.0</v>
      </c>
      <c r="U40" s="2">
        <v>110.0</v>
      </c>
      <c r="V40" s="67">
        <v>1.1023</v>
      </c>
      <c r="W40" s="58">
        <v>5.0</v>
      </c>
      <c r="X40" s="58">
        <v>7.0</v>
      </c>
      <c r="Z40" s="69">
        <f t="shared" si="17"/>
        <v>30</v>
      </c>
      <c r="AA40" s="70">
        <f t="shared" si="4"/>
        <v>30</v>
      </c>
      <c r="AB40" s="71">
        <f t="shared" si="5"/>
        <v>1352.905214</v>
      </c>
      <c r="AC40" s="71">
        <f>+(S40-T40)*V40-'data 1'!$F$4</f>
        <v>85.345</v>
      </c>
      <c r="AD40" s="71">
        <f t="shared" si="6"/>
        <v>-7.96539197</v>
      </c>
      <c r="AE40" s="71">
        <f>+(Y40*V40-'data 2'!$B$2)+V40*(Z40-IF(D40="UNTUCA",IF(+((W40-3)*2.5+(X40-3)*3.1)&gt;0,+((W40-3)*1.5+(X40-3)*3.1),0),IF(+((W40-3)*1.5+(X40-3)*3.1)&gt;0,+((W40-3)*1.5+(X40-3)*3.1),0)))</f>
        <v>-73.90642</v>
      </c>
      <c r="AF40" s="71">
        <f t="shared" si="7"/>
        <v>7.090613703</v>
      </c>
      <c r="AG40" s="71">
        <f t="shared" si="19"/>
        <v>10.56380173</v>
      </c>
      <c r="AH40" s="71">
        <f t="shared" si="9"/>
        <v>596.9272222</v>
      </c>
      <c r="AI40" s="58">
        <f t="shared" si="10"/>
        <v>105.7515396</v>
      </c>
      <c r="AJ40" s="58">
        <f t="shared" si="11"/>
        <v>597.2499832</v>
      </c>
      <c r="AK40" s="11">
        <f t="shared" si="12"/>
        <v>-0.3227609233</v>
      </c>
      <c r="AL40" s="65"/>
      <c r="AM40" s="65"/>
    </row>
    <row r="41" ht="15.75" customHeight="1">
      <c r="A41" s="116" t="s">
        <v>4930</v>
      </c>
      <c r="B41" s="841">
        <v>45535.0</v>
      </c>
      <c r="C41" s="870">
        <v>45532.0</v>
      </c>
      <c r="D41" s="2" t="s">
        <v>4571</v>
      </c>
      <c r="F41" s="2" t="s">
        <v>4921</v>
      </c>
      <c r="G41" s="2">
        <v>21.0</v>
      </c>
      <c r="H41" s="2" t="s">
        <v>47</v>
      </c>
      <c r="I41" s="58">
        <v>1.9</v>
      </c>
      <c r="J41" s="58">
        <v>2.25</v>
      </c>
      <c r="K41" s="59">
        <f t="shared" si="2"/>
        <v>1.85725</v>
      </c>
      <c r="L41" s="3">
        <v>0.764</v>
      </c>
      <c r="M41" s="60">
        <v>0.733</v>
      </c>
      <c r="N41" s="131">
        <v>0.836</v>
      </c>
      <c r="O41" s="106">
        <f t="shared" si="3"/>
        <v>0.785</v>
      </c>
      <c r="P41" s="63">
        <v>90.0</v>
      </c>
      <c r="Q41" s="58">
        <v>89.64</v>
      </c>
      <c r="R41" s="65">
        <v>2501.67</v>
      </c>
      <c r="S41" s="3">
        <v>160.0</v>
      </c>
      <c r="U41" s="2">
        <v>130.0</v>
      </c>
      <c r="V41" s="67">
        <v>1.1023</v>
      </c>
      <c r="W41" s="58">
        <v>5.0</v>
      </c>
      <c r="X41" s="58">
        <v>15.7</v>
      </c>
      <c r="Y41" s="2">
        <v>50.0</v>
      </c>
      <c r="Z41" s="69">
        <f t="shared" si="17"/>
        <v>42.37</v>
      </c>
      <c r="AA41" s="70">
        <f t="shared" si="4"/>
        <v>92.37</v>
      </c>
      <c r="AB41" s="71">
        <f t="shared" si="5"/>
        <v>1568.809735</v>
      </c>
      <c r="AC41" s="71">
        <f>+(S41-T41)*V41-'data 1'!$F$4</f>
        <v>96.368</v>
      </c>
      <c r="AD41" s="71">
        <f t="shared" si="6"/>
        <v>-7.190348279</v>
      </c>
      <c r="AE41" s="71">
        <f>+(Y41*V41-'data 2'!$B$2)+V41*(Z41-IF(D41="UNTUCA",IF(+((W41-3)*2.5+(X41-3)*3.1)&gt;0,+((W41-3)*1.5+(X41-3)*3.1),0),IF(+((W41-3)*1.5+(X41-3)*3.1)&gt;0,+((W41-3)*1.5+(X41-3)*3.1),0)))</f>
        <v>-34.885</v>
      </c>
      <c r="AF41" s="71">
        <f t="shared" si="7"/>
        <v>-49.21247533</v>
      </c>
      <c r="AG41" s="71">
        <f t="shared" si="19"/>
        <v>5.080176389</v>
      </c>
      <c r="AH41" s="71">
        <f t="shared" si="9"/>
        <v>43.60885086</v>
      </c>
      <c r="AI41" s="58">
        <f t="shared" si="10"/>
        <v>140.662327</v>
      </c>
      <c r="AJ41" s="58">
        <f t="shared" si="11"/>
        <v>44.98747336</v>
      </c>
      <c r="AK41" s="11">
        <f t="shared" si="12"/>
        <v>-1.378622496</v>
      </c>
      <c r="AL41" s="65"/>
      <c r="AM41" s="65"/>
    </row>
    <row r="42" ht="15.75" customHeight="1">
      <c r="A42" s="116" t="s">
        <v>4931</v>
      </c>
      <c r="B42" s="841">
        <v>45537.0</v>
      </c>
      <c r="C42" s="870">
        <v>45532.0</v>
      </c>
      <c r="D42" s="2" t="s">
        <v>53</v>
      </c>
      <c r="F42" s="2" t="s">
        <v>4932</v>
      </c>
      <c r="G42" s="2" t="s">
        <v>4100</v>
      </c>
      <c r="H42" s="2" t="s">
        <v>47</v>
      </c>
      <c r="I42" s="58">
        <v>17.62</v>
      </c>
      <c r="J42" s="58">
        <v>3.4</v>
      </c>
      <c r="K42" s="59">
        <f t="shared" si="2"/>
        <v>17.02092</v>
      </c>
      <c r="L42" s="3">
        <v>0.284</v>
      </c>
      <c r="M42" s="60">
        <v>0.239</v>
      </c>
      <c r="N42" s="131">
        <v>0.313</v>
      </c>
      <c r="O42" s="106">
        <f t="shared" si="3"/>
        <v>0.276</v>
      </c>
      <c r="P42" s="63">
        <v>90.0</v>
      </c>
      <c r="Q42" s="58">
        <v>90.51</v>
      </c>
      <c r="R42" s="65">
        <v>2501.67</v>
      </c>
      <c r="S42" s="3">
        <v>125.0</v>
      </c>
      <c r="U42" s="2">
        <v>130.0</v>
      </c>
      <c r="V42" s="67">
        <v>1.1023</v>
      </c>
      <c r="W42" s="58">
        <v>5.0</v>
      </c>
      <c r="X42" s="58">
        <v>6.5</v>
      </c>
      <c r="Y42" s="2">
        <v>50.0</v>
      </c>
      <c r="Z42" s="69">
        <f t="shared" si="17"/>
        <v>30</v>
      </c>
      <c r="AA42" s="70">
        <f t="shared" si="4"/>
        <v>80</v>
      </c>
      <c r="AB42" s="71">
        <f t="shared" si="5"/>
        <v>423.4185933</v>
      </c>
      <c r="AC42" s="71">
        <f>+(S42-T42)*V42-'data 1'!$F$4</f>
        <v>57.7875</v>
      </c>
      <c r="AD42" s="71">
        <f t="shared" si="6"/>
        <v>3.786540303</v>
      </c>
      <c r="AE42" s="71">
        <f>+(Y42*V42-'data 2'!$B$2)+V42*(Z42-IF(D42="UNTUCA",IF(+((W42-3)*2.5+(X42-3)*3.1)&gt;0,+((W42-3)*1.5+(X42-3)*3.1),0),IF(+((W42-3)*1.5+(X42-3)*3.1)&gt;0,+((W42-3)*1.5+(X42-3)*3.1),0)))</f>
        <v>-17.082855</v>
      </c>
      <c r="AF42" s="71">
        <f t="shared" si="7"/>
        <v>18.92956436</v>
      </c>
      <c r="AG42" s="71">
        <f t="shared" si="19"/>
        <v>63.42074966</v>
      </c>
      <c r="AH42" s="71">
        <f t="shared" si="9"/>
        <v>150.0054385</v>
      </c>
      <c r="AI42" s="58">
        <f t="shared" si="10"/>
        <v>52.79557161</v>
      </c>
      <c r="AJ42" s="58">
        <f t="shared" si="11"/>
        <v>144.9585016</v>
      </c>
      <c r="AK42" s="11">
        <f t="shared" si="12"/>
        <v>5.046936818</v>
      </c>
      <c r="AL42" s="65"/>
      <c r="AM42" s="65"/>
    </row>
    <row r="43" ht="15.75" customHeight="1">
      <c r="A43" s="116" t="s">
        <v>4933</v>
      </c>
      <c r="B43" s="841">
        <v>45537.0</v>
      </c>
      <c r="C43" s="870">
        <v>45532.0</v>
      </c>
      <c r="D43" s="2" t="s">
        <v>53</v>
      </c>
      <c r="F43" s="2" t="s">
        <v>4932</v>
      </c>
      <c r="G43" s="2" t="s">
        <v>4100</v>
      </c>
      <c r="H43" s="2" t="s">
        <v>47</v>
      </c>
      <c r="I43" s="58">
        <v>19.86</v>
      </c>
      <c r="J43" s="58">
        <v>2.1</v>
      </c>
      <c r="K43" s="59">
        <f t="shared" si="2"/>
        <v>19.44294</v>
      </c>
      <c r="L43" s="3">
        <v>0.223</v>
      </c>
      <c r="M43" s="60">
        <v>0.207</v>
      </c>
      <c r="N43" s="427">
        <v>0.207</v>
      </c>
      <c r="O43" s="106">
        <f t="shared" si="3"/>
        <v>0.207</v>
      </c>
      <c r="P43" s="63">
        <v>90.0</v>
      </c>
      <c r="Q43" s="58">
        <v>90.4</v>
      </c>
      <c r="R43" s="65">
        <v>2501.67</v>
      </c>
      <c r="S43" s="3">
        <v>120.0</v>
      </c>
      <c r="U43" s="2">
        <v>130.0</v>
      </c>
      <c r="V43" s="67">
        <v>1.1023</v>
      </c>
      <c r="W43" s="58">
        <v>5.0</v>
      </c>
      <c r="X43" s="58">
        <v>6.6</v>
      </c>
      <c r="Y43" s="2">
        <v>50.0</v>
      </c>
      <c r="Z43" s="69">
        <f t="shared" si="17"/>
        <v>30</v>
      </c>
      <c r="AA43" s="70">
        <f t="shared" si="4"/>
        <v>80</v>
      </c>
      <c r="AB43" s="71">
        <f t="shared" si="5"/>
        <v>266.58257</v>
      </c>
      <c r="AC43" s="71">
        <f>+(S43-T43)*V43-'data 1'!$F$4</f>
        <v>52.276</v>
      </c>
      <c r="AD43" s="71">
        <f t="shared" si="6"/>
        <v>2.331948322</v>
      </c>
      <c r="AE43" s="71">
        <f>+(Y43*V43-'data 2'!$B$2)+V43*(Z43-IF(D43="UNTUCA",IF(+((W43-3)*2.5+(X43-3)*3.1)&gt;0,+((W43-3)*1.5+(X43-3)*3.1),0),IF(+((W43-3)*1.5+(X43-3)*3.1)&gt;0,+((W43-3)*1.5+(X43-3)*3.1),0)))</f>
        <v>-17.424568</v>
      </c>
      <c r="AF43" s="71">
        <f t="shared" si="7"/>
        <v>37.81311719</v>
      </c>
      <c r="AG43" s="71">
        <f t="shared" si="19"/>
        <v>74.99649751</v>
      </c>
      <c r="AH43" s="71">
        <f t="shared" si="9"/>
        <v>134.3829897</v>
      </c>
      <c r="AI43" s="58">
        <f t="shared" si="10"/>
        <v>41.40529516</v>
      </c>
      <c r="AJ43" s="58">
        <f t="shared" si="11"/>
        <v>124.1892088</v>
      </c>
      <c r="AK43" s="11">
        <f t="shared" si="12"/>
        <v>10.19378089</v>
      </c>
      <c r="AL43" s="65"/>
      <c r="AM43" s="65"/>
    </row>
    <row r="44" ht="15.75" customHeight="1">
      <c r="A44" s="116" t="s">
        <v>4934</v>
      </c>
      <c r="B44" s="841">
        <v>45539.0</v>
      </c>
      <c r="C44" s="841">
        <v>45536.0</v>
      </c>
      <c r="D44" s="67" t="s">
        <v>602</v>
      </c>
      <c r="E44" s="67"/>
      <c r="F44" s="67" t="s">
        <v>4796</v>
      </c>
      <c r="G44" s="67">
        <v>80.0</v>
      </c>
      <c r="H44" s="67" t="s">
        <v>40</v>
      </c>
      <c r="I44" s="67">
        <v>7.13</v>
      </c>
      <c r="J44" s="69">
        <v>23.9</v>
      </c>
      <c r="K44" s="59">
        <f t="shared" si="2"/>
        <v>5.42593</v>
      </c>
      <c r="L44" s="106">
        <v>0.988</v>
      </c>
      <c r="M44" s="106">
        <v>0.9386</v>
      </c>
      <c r="N44" s="135">
        <v>0.9386</v>
      </c>
      <c r="O44" s="106">
        <f t="shared" si="3"/>
        <v>0.939</v>
      </c>
      <c r="P44" s="136">
        <v>90.0</v>
      </c>
      <c r="Q44" s="69">
        <v>90.14</v>
      </c>
      <c r="R44" s="70">
        <v>2499.42</v>
      </c>
      <c r="S44" s="134">
        <v>170.0</v>
      </c>
      <c r="T44" s="67"/>
      <c r="U44" s="67">
        <v>130.0</v>
      </c>
      <c r="V44" s="67">
        <v>1.1023</v>
      </c>
      <c r="W44" s="69">
        <v>5.0</v>
      </c>
      <c r="X44" s="69">
        <v>6.6</v>
      </c>
      <c r="Y44" s="67">
        <v>30.0</v>
      </c>
      <c r="Z44" s="69">
        <f t="shared" si="17"/>
        <v>30</v>
      </c>
      <c r="AA44" s="70">
        <f t="shared" si="4"/>
        <v>60</v>
      </c>
      <c r="AB44" s="71">
        <f t="shared" si="5"/>
        <v>1953.713039</v>
      </c>
      <c r="AC44" s="71">
        <f>+(S44-T44)*V44-'data 1'!$F$4</f>
        <v>107.391</v>
      </c>
      <c r="AD44" s="71">
        <f t="shared" si="6"/>
        <v>3.612657896</v>
      </c>
      <c r="AE44" s="71">
        <f>+(Y44*V44-'data 2'!$B$2)+V44*(Z44-IF(D44="UNTUCA",IF(+((W44-3)*2.5+(X44-3)*3.1)&gt;0,+((W44-3)*1.5+(X44-3)*3.1),0),IF(+((W44-3)*1.5+(X44-3)*3.1)&gt;0,+((W44-3)*1.5+(X44-3)*3.1),0)))</f>
        <v>-39.470568</v>
      </c>
      <c r="AF44" s="71">
        <f t="shared" si="7"/>
        <v>115.3600648</v>
      </c>
      <c r="AG44" s="71">
        <f t="shared" si="19"/>
        <v>186.8931546</v>
      </c>
      <c r="AH44" s="71">
        <f t="shared" si="9"/>
        <v>165.6752956</v>
      </c>
      <c r="AI44" s="69">
        <f t="shared" si="10"/>
        <v>185.1270741</v>
      </c>
      <c r="AJ44" s="69">
        <f t="shared" si="11"/>
        <v>157.2140507</v>
      </c>
      <c r="AK44" s="53">
        <f t="shared" si="12"/>
        <v>8.461244953</v>
      </c>
      <c r="AL44" s="70"/>
      <c r="AM44" s="70"/>
      <c r="AN44" s="67"/>
      <c r="AO44" s="67"/>
      <c r="AP44" s="67"/>
      <c r="AQ44" s="67"/>
      <c r="AR44" s="67"/>
      <c r="AS44" s="67"/>
      <c r="AT44" s="67"/>
    </row>
    <row r="45" ht="15.75" customHeight="1">
      <c r="A45" s="116" t="s">
        <v>4935</v>
      </c>
      <c r="B45" s="841">
        <v>45540.0</v>
      </c>
      <c r="C45" s="870">
        <v>45536.0</v>
      </c>
      <c r="D45" s="2" t="s">
        <v>602</v>
      </c>
      <c r="F45" s="2" t="s">
        <v>4936</v>
      </c>
      <c r="G45" s="2">
        <v>15.0</v>
      </c>
      <c r="H45" s="2" t="s">
        <v>40</v>
      </c>
      <c r="I45" s="2">
        <v>0.85</v>
      </c>
      <c r="J45" s="58">
        <v>1.25</v>
      </c>
      <c r="K45" s="59">
        <f t="shared" si="2"/>
        <v>0.839375</v>
      </c>
      <c r="L45" s="60">
        <v>2.115</v>
      </c>
      <c r="M45" s="60">
        <v>2.03</v>
      </c>
      <c r="N45" s="62">
        <v>2.03</v>
      </c>
      <c r="O45" s="106">
        <f t="shared" si="3"/>
        <v>2.03</v>
      </c>
      <c r="P45" s="63">
        <v>90.0</v>
      </c>
      <c r="Q45" s="58">
        <v>89.36</v>
      </c>
      <c r="R45" s="65">
        <v>2499.42</v>
      </c>
      <c r="S45" s="3">
        <v>280.0</v>
      </c>
      <c r="U45" s="2">
        <v>130.0</v>
      </c>
      <c r="V45" s="67">
        <v>1.1023</v>
      </c>
      <c r="W45" s="58">
        <v>5.0</v>
      </c>
      <c r="X45" s="58">
        <v>6.6</v>
      </c>
      <c r="Y45" s="2">
        <v>50.0</v>
      </c>
      <c r="Z45" s="69">
        <f t="shared" si="17"/>
        <v>30</v>
      </c>
      <c r="AA45" s="70">
        <f t="shared" si="4"/>
        <v>80</v>
      </c>
      <c r="AB45" s="71">
        <f t="shared" si="5"/>
        <v>4374.951914</v>
      </c>
      <c r="AC45" s="71">
        <f>+(S45-T45)*V45-'data 1'!$F$4</f>
        <v>228.644</v>
      </c>
      <c r="AD45" s="71">
        <f t="shared" si="6"/>
        <v>-35.35348271</v>
      </c>
      <c r="AE45" s="71">
        <f>+(Y45*V45-'data 2'!$B$2)+V45*(Z45-IF(D45="UNTUCA",IF(+((W45-3)*2.5+(X45-3)*3.1)&gt;0,+((W45-3)*1.5+(X45-3)*3.1),0),IF(+((W45-3)*1.5+(X45-3)*3.1)&gt;0,+((W45-3)*1.5+(X45-3)*3.1),0)))</f>
        <v>-17.424568</v>
      </c>
      <c r="AF45" s="71">
        <f t="shared" si="7"/>
        <v>198.3827669</v>
      </c>
      <c r="AG45" s="71">
        <f t="shared" si="19"/>
        <v>374.2487162</v>
      </c>
      <c r="AH45" s="71">
        <f t="shared" si="9"/>
        <v>54.38994643</v>
      </c>
      <c r="AI45" s="58">
        <f t="shared" si="10"/>
        <v>392.8700939</v>
      </c>
      <c r="AJ45" s="58">
        <f t="shared" si="11"/>
        <v>52.57794971</v>
      </c>
      <c r="AK45" s="11">
        <f t="shared" si="12"/>
        <v>1.81199673</v>
      </c>
      <c r="AL45" s="65"/>
      <c r="AM45" s="65"/>
    </row>
    <row r="46" ht="15.75" customHeight="1">
      <c r="A46" s="116" t="s">
        <v>4937</v>
      </c>
      <c r="B46" s="841">
        <v>45538.0</v>
      </c>
      <c r="C46" s="841">
        <v>45537.0</v>
      </c>
      <c r="D46" s="85" t="s">
        <v>74</v>
      </c>
      <c r="E46" s="67"/>
      <c r="F46" s="67" t="s">
        <v>4913</v>
      </c>
      <c r="G46" s="67">
        <v>49.0</v>
      </c>
      <c r="H46" s="67" t="s">
        <v>47</v>
      </c>
      <c r="I46" s="69">
        <v>4.77</v>
      </c>
      <c r="J46" s="69">
        <v>1.3</v>
      </c>
      <c r="K46" s="59">
        <f t="shared" si="2"/>
        <v>4.70799</v>
      </c>
      <c r="L46" s="106">
        <v>0.119</v>
      </c>
      <c r="M46" s="106">
        <v>0.107</v>
      </c>
      <c r="N46" s="135">
        <v>0.107</v>
      </c>
      <c r="O46" s="106">
        <f t="shared" si="3"/>
        <v>0.107</v>
      </c>
      <c r="P46" s="934">
        <v>85.0</v>
      </c>
      <c r="Q46" s="69">
        <v>89.65</v>
      </c>
      <c r="R46" s="70">
        <v>2499.42</v>
      </c>
      <c r="S46" s="134">
        <v>95.0</v>
      </c>
      <c r="T46" s="67"/>
      <c r="U46" s="67">
        <v>80.0</v>
      </c>
      <c r="V46" s="67">
        <v>1.1023</v>
      </c>
      <c r="W46" s="69">
        <v>5.0</v>
      </c>
      <c r="X46" s="69">
        <v>7.2</v>
      </c>
      <c r="Y46" s="67"/>
      <c r="Z46" s="69">
        <v>10.0</v>
      </c>
      <c r="AA46" s="70">
        <f t="shared" si="4"/>
        <v>10</v>
      </c>
      <c r="AB46" s="71">
        <f t="shared" si="5"/>
        <v>126.8154803</v>
      </c>
      <c r="AC46" s="71">
        <f>+(S46-T46)*V46-'data 1'!$F$4</f>
        <v>24.7185</v>
      </c>
      <c r="AD46" s="71">
        <f t="shared" si="6"/>
        <v>14.75743871</v>
      </c>
      <c r="AE46" s="71">
        <f>+(Y46*V46-'data 2'!$B$2)+V46*(Z46-IF(D46="UNTUCA",IF(+((W46-3)*2.5+(X46-3)*3.1)&gt;0,+((W46-3)*1.5+(X46-3)*3.1),0),IF(+((W46-3)*1.5+(X46-3)*3.1)&gt;0,+((W46-3)*1.5+(X46-3)*3.1),0)))</f>
        <v>-96.635846</v>
      </c>
      <c r="AF46" s="71">
        <f t="shared" si="7"/>
        <v>28.69079707</v>
      </c>
      <c r="AG46" s="104">
        <f t="shared" ref="AG46:AG51" si="20">+IF(D46="RONALD WILLIAN GARIBAY ESCUDERO",AC46+AD46+AE46+AF46+80,AC46+AD46+AE46+AF46)+90</f>
        <v>61.53088978</v>
      </c>
      <c r="AH46" s="71">
        <f t="shared" si="9"/>
        <v>17.22034533</v>
      </c>
      <c r="AI46" s="69">
        <f t="shared" si="10"/>
        <v>16.29662303</v>
      </c>
      <c r="AJ46" s="69">
        <f t="shared" si="11"/>
        <v>14.68071827</v>
      </c>
      <c r="AK46" s="53">
        <f t="shared" si="12"/>
        <v>2.539627057</v>
      </c>
      <c r="AL46" s="70"/>
      <c r="AM46" s="70"/>
      <c r="AN46" s="67"/>
      <c r="AO46" s="67"/>
      <c r="AP46" s="67"/>
      <c r="AQ46" s="67"/>
      <c r="AR46" s="67"/>
      <c r="AS46" s="67"/>
      <c r="AT46" s="67"/>
    </row>
    <row r="47" ht="15.75" customHeight="1">
      <c r="A47" s="116" t="s">
        <v>4938</v>
      </c>
      <c r="B47" s="841">
        <v>45538.0</v>
      </c>
      <c r="C47" s="841">
        <v>45537.0</v>
      </c>
      <c r="D47" s="85" t="s">
        <v>74</v>
      </c>
      <c r="E47" s="67"/>
      <c r="F47" s="67" t="s">
        <v>4913</v>
      </c>
      <c r="G47" s="67">
        <v>33.0</v>
      </c>
      <c r="H47" s="67" t="s">
        <v>47</v>
      </c>
      <c r="I47" s="69">
        <v>3.15</v>
      </c>
      <c r="J47" s="69">
        <v>1.2</v>
      </c>
      <c r="K47" s="59">
        <f t="shared" si="2"/>
        <v>3.1122</v>
      </c>
      <c r="L47" s="106">
        <v>0.072</v>
      </c>
      <c r="M47" s="106">
        <v>0.067</v>
      </c>
      <c r="N47" s="135">
        <v>0.067</v>
      </c>
      <c r="O47" s="106">
        <f t="shared" si="3"/>
        <v>0.067</v>
      </c>
      <c r="P47" s="934">
        <v>85.0</v>
      </c>
      <c r="Q47" s="69">
        <v>81.36</v>
      </c>
      <c r="R47" s="70">
        <v>2499.42</v>
      </c>
      <c r="S47" s="134">
        <v>95.0</v>
      </c>
      <c r="T47" s="67"/>
      <c r="U47" s="67">
        <v>80.0</v>
      </c>
      <c r="V47" s="67">
        <v>1.1023</v>
      </c>
      <c r="W47" s="69">
        <v>5.0</v>
      </c>
      <c r="X47" s="69">
        <v>7.2</v>
      </c>
      <c r="Y47" s="67"/>
      <c r="Z47" s="69">
        <v>10.0</v>
      </c>
      <c r="AA47" s="70">
        <f t="shared" si="4"/>
        <v>10</v>
      </c>
      <c r="AB47" s="71">
        <f t="shared" si="5"/>
        <v>36.13997363</v>
      </c>
      <c r="AC47" s="71">
        <f>+(S47-T47)*V47-'data 1'!$F$4</f>
        <v>24.7185</v>
      </c>
      <c r="AD47" s="71">
        <f t="shared" si="6"/>
        <v>-6.989481406</v>
      </c>
      <c r="AE47" s="71">
        <f>+(Y47*V47-'data 2'!$B$2)+V47*(Z47-IF(D47="UNTUCA",IF(+((W47-3)*2.5+(X47-3)*3.1)&gt;0,+((W47-3)*1.5+(X47-3)*3.1),0),IF(+((W47-3)*1.5+(X47-3)*3.1)&gt;0,+((W47-3)*1.5+(X47-3)*3.1),0)))</f>
        <v>-96.635846</v>
      </c>
      <c r="AF47" s="71">
        <f t="shared" si="7"/>
        <v>10.84905768</v>
      </c>
      <c r="AG47" s="104">
        <f t="shared" si="20"/>
        <v>21.94223027</v>
      </c>
      <c r="AH47" s="71">
        <f t="shared" si="9"/>
        <v>6.250575481</v>
      </c>
      <c r="AI47" s="69">
        <f t="shared" si="10"/>
        <v>8.948367272</v>
      </c>
      <c r="AJ47" s="69">
        <f t="shared" si="11"/>
        <v>6.076734978</v>
      </c>
      <c r="AK47" s="53">
        <f t="shared" si="12"/>
        <v>0.1738405027</v>
      </c>
      <c r="AL47" s="70"/>
      <c r="AM47" s="70"/>
      <c r="AN47" s="67"/>
      <c r="AO47" s="67"/>
      <c r="AP47" s="67"/>
      <c r="AQ47" s="67"/>
      <c r="AR47" s="67"/>
      <c r="AS47" s="67"/>
      <c r="AT47" s="67"/>
    </row>
    <row r="48" ht="15.75" customHeight="1">
      <c r="A48" s="116" t="s">
        <v>4939</v>
      </c>
      <c r="B48" s="841">
        <v>45538.0</v>
      </c>
      <c r="C48" s="841">
        <v>45537.0</v>
      </c>
      <c r="D48" s="85" t="s">
        <v>74</v>
      </c>
      <c r="E48" s="67"/>
      <c r="F48" s="67" t="s">
        <v>4913</v>
      </c>
      <c r="G48" s="67">
        <v>33.0</v>
      </c>
      <c r="H48" s="67" t="s">
        <v>47</v>
      </c>
      <c r="I48" s="69">
        <v>3.02</v>
      </c>
      <c r="J48" s="69">
        <v>1.15</v>
      </c>
      <c r="K48" s="59">
        <f t="shared" si="2"/>
        <v>2.98527</v>
      </c>
      <c r="L48" s="106">
        <v>0.216</v>
      </c>
      <c r="M48" s="106">
        <v>0.2</v>
      </c>
      <c r="N48" s="135">
        <v>0.2</v>
      </c>
      <c r="O48" s="106">
        <f t="shared" si="3"/>
        <v>0.2</v>
      </c>
      <c r="P48" s="934">
        <v>85.0</v>
      </c>
      <c r="Q48" s="69">
        <v>90.42</v>
      </c>
      <c r="R48" s="70">
        <v>2499.42</v>
      </c>
      <c r="S48" s="134">
        <v>105.0</v>
      </c>
      <c r="T48" s="67"/>
      <c r="U48" s="67">
        <v>80.0</v>
      </c>
      <c r="V48" s="67">
        <v>1.1023</v>
      </c>
      <c r="W48" s="69">
        <v>5.0</v>
      </c>
      <c r="X48" s="69">
        <v>7.2</v>
      </c>
      <c r="Y48" s="67"/>
      <c r="Z48" s="69">
        <v>10.0</v>
      </c>
      <c r="AA48" s="70">
        <f t="shared" si="4"/>
        <v>10</v>
      </c>
      <c r="AB48" s="71">
        <f t="shared" si="5"/>
        <v>326.6130332</v>
      </c>
      <c r="AC48" s="71">
        <f>+(S48-T48)*V48-'data 1'!$F$4</f>
        <v>35.7415</v>
      </c>
      <c r="AD48" s="71">
        <f t="shared" si="6"/>
        <v>31.22224386</v>
      </c>
      <c r="AE48" s="71">
        <f>+(Y48*V48-'data 2'!$B$2)+V48*(Z48-IF(D48="UNTUCA",IF(+((W48-3)*2.5+(X48-3)*3.1)&gt;0,+((W48-3)*1.5+(X48-3)*3.1),0),IF(+((W48-3)*1.5+(X48-3)*3.1)&gt;0,+((W48-3)*1.5+(X48-3)*3.1),0)))</f>
        <v>-96.635846</v>
      </c>
      <c r="AF48" s="71">
        <f t="shared" si="7"/>
        <v>38.58296146</v>
      </c>
      <c r="AG48" s="104">
        <f t="shared" si="20"/>
        <v>98.91085933</v>
      </c>
      <c r="AH48" s="71">
        <f t="shared" si="9"/>
        <v>19.98991465</v>
      </c>
      <c r="AI48" s="69">
        <f t="shared" si="10"/>
        <v>29.83449</v>
      </c>
      <c r="AJ48" s="69">
        <f t="shared" si="11"/>
        <v>17.39969387</v>
      </c>
      <c r="AK48" s="53">
        <f t="shared" si="12"/>
        <v>2.59022078</v>
      </c>
      <c r="AL48" s="70"/>
      <c r="AM48" s="70"/>
      <c r="AN48" s="67"/>
      <c r="AO48" s="67"/>
      <c r="AP48" s="67"/>
      <c r="AQ48" s="67"/>
      <c r="AR48" s="67"/>
      <c r="AS48" s="67"/>
      <c r="AT48" s="67"/>
    </row>
    <row r="49" ht="15.75" customHeight="1">
      <c r="A49" s="116" t="s">
        <v>4940</v>
      </c>
      <c r="B49" s="841">
        <v>45538.0</v>
      </c>
      <c r="C49" s="841">
        <v>45537.0</v>
      </c>
      <c r="D49" s="85" t="s">
        <v>74</v>
      </c>
      <c r="E49" s="67"/>
      <c r="F49" s="67" t="s">
        <v>4913</v>
      </c>
      <c r="G49" s="67">
        <v>46.0</v>
      </c>
      <c r="H49" s="67" t="s">
        <v>47</v>
      </c>
      <c r="I49" s="69">
        <v>4.18</v>
      </c>
      <c r="J49" s="69">
        <v>1.1</v>
      </c>
      <c r="K49" s="59">
        <f t="shared" si="2"/>
        <v>4.13402</v>
      </c>
      <c r="L49" s="106">
        <v>0.192</v>
      </c>
      <c r="M49" s="106">
        <v>0.173</v>
      </c>
      <c r="N49" s="135">
        <v>0.173</v>
      </c>
      <c r="O49" s="106">
        <f t="shared" si="3"/>
        <v>0.173</v>
      </c>
      <c r="P49" s="934">
        <v>85.0</v>
      </c>
      <c r="Q49" s="69">
        <v>90.55</v>
      </c>
      <c r="R49" s="70">
        <v>2499.42</v>
      </c>
      <c r="S49" s="134">
        <v>95.0</v>
      </c>
      <c r="T49" s="67"/>
      <c r="U49" s="67">
        <v>80.0</v>
      </c>
      <c r="V49" s="67">
        <v>1.1023</v>
      </c>
      <c r="W49" s="69">
        <v>5.0</v>
      </c>
      <c r="X49" s="69">
        <v>7.2</v>
      </c>
      <c r="Y49" s="67"/>
      <c r="Z49" s="69">
        <v>10.0</v>
      </c>
      <c r="AA49" s="70">
        <f t="shared" si="4"/>
        <v>10</v>
      </c>
      <c r="AB49" s="71">
        <f t="shared" si="5"/>
        <v>276.4300662</v>
      </c>
      <c r="AC49" s="71">
        <f>+(S49-T49)*V49-'data 1'!$F$4</f>
        <v>24.7185</v>
      </c>
      <c r="AD49" s="71">
        <f t="shared" si="6"/>
        <v>28.41877055</v>
      </c>
      <c r="AE49" s="71">
        <f>+(Y49*V49-'data 2'!$B$2)+V49*(Z49-IF(D49="UNTUCA",IF(+((W49-3)*2.5+(X49-3)*3.1)&gt;0,+((W49-3)*1.5+(X49-3)*3.1),0),IF(+((W49-3)*1.5+(X49-3)*3.1)&gt;0,+((W49-3)*1.5+(X49-3)*3.1),0)))</f>
        <v>-96.635846</v>
      </c>
      <c r="AF49" s="71">
        <f t="shared" si="7"/>
        <v>45.88313983</v>
      </c>
      <c r="AG49" s="104">
        <f t="shared" si="20"/>
        <v>92.38456438</v>
      </c>
      <c r="AH49" s="71">
        <f t="shared" si="9"/>
        <v>24.64173745</v>
      </c>
      <c r="AI49" s="69">
        <f t="shared" si="10"/>
        <v>26.55767475</v>
      </c>
      <c r="AJ49" s="69">
        <f t="shared" si="11"/>
        <v>20.84234937</v>
      </c>
      <c r="AK49" s="53">
        <f t="shared" si="12"/>
        <v>3.79938808</v>
      </c>
      <c r="AL49" s="70"/>
      <c r="AM49" s="70"/>
      <c r="AN49" s="67"/>
      <c r="AO49" s="67"/>
      <c r="AP49" s="67"/>
      <c r="AQ49" s="67"/>
      <c r="AR49" s="67"/>
      <c r="AS49" s="67"/>
      <c r="AT49" s="67"/>
    </row>
    <row r="50" ht="15.75" customHeight="1">
      <c r="A50" s="116" t="s">
        <v>4941</v>
      </c>
      <c r="B50" s="841">
        <v>45538.0</v>
      </c>
      <c r="C50" s="841">
        <v>45537.0</v>
      </c>
      <c r="D50" s="85" t="s">
        <v>74</v>
      </c>
      <c r="E50" s="67"/>
      <c r="F50" s="67" t="s">
        <v>4913</v>
      </c>
      <c r="G50" s="67">
        <v>43.0</v>
      </c>
      <c r="H50" s="67" t="s">
        <v>47</v>
      </c>
      <c r="I50" s="69">
        <v>3.74</v>
      </c>
      <c r="J50" s="69">
        <v>1.0</v>
      </c>
      <c r="K50" s="59">
        <f t="shared" si="2"/>
        <v>3.7026</v>
      </c>
      <c r="L50" s="106">
        <v>0.227</v>
      </c>
      <c r="M50" s="106">
        <v>0.208</v>
      </c>
      <c r="N50" s="135">
        <v>0.208</v>
      </c>
      <c r="O50" s="106">
        <f t="shared" si="3"/>
        <v>0.208</v>
      </c>
      <c r="P50" s="934">
        <v>85.0</v>
      </c>
      <c r="Q50" s="69">
        <v>90.39</v>
      </c>
      <c r="R50" s="70">
        <v>2499.42</v>
      </c>
      <c r="S50" s="134">
        <v>105.0</v>
      </c>
      <c r="T50" s="67"/>
      <c r="U50" s="67">
        <v>80.0</v>
      </c>
      <c r="V50" s="67">
        <v>1.1023</v>
      </c>
      <c r="W50" s="69">
        <v>5.0</v>
      </c>
      <c r="X50" s="69">
        <v>7.2</v>
      </c>
      <c r="Y50" s="67"/>
      <c r="Z50" s="69">
        <v>10.0</v>
      </c>
      <c r="AA50" s="70">
        <f t="shared" si="4"/>
        <v>10</v>
      </c>
      <c r="AB50" s="71">
        <f t="shared" si="5"/>
        <v>344.7481345</v>
      </c>
      <c r="AC50" s="71">
        <f>+(S50-T50)*V50-'data 1'!$F$4</f>
        <v>35.7415</v>
      </c>
      <c r="AD50" s="71">
        <f t="shared" si="6"/>
        <v>32.63064784</v>
      </c>
      <c r="AE50" s="71">
        <f>+(Y50*V50-'data 2'!$B$2)+V50*(Z50-IF(D50="UNTUCA",IF(+((W50-3)*2.5+(X50-3)*3.1)&gt;0,+((W50-3)*1.5+(X50-3)*3.1),0),IF(+((W50-3)*1.5+(X50-3)*3.1)&gt;0,+((W50-3)*1.5+(X50-3)*3.1),0)))</f>
        <v>-96.635846</v>
      </c>
      <c r="AF50" s="71">
        <f t="shared" si="7"/>
        <v>45.80206525</v>
      </c>
      <c r="AG50" s="104">
        <f t="shared" si="20"/>
        <v>107.5383671</v>
      </c>
      <c r="AH50" s="71">
        <f t="shared" si="9"/>
        <v>26.04726387</v>
      </c>
      <c r="AI50" s="69">
        <f t="shared" si="10"/>
        <v>31.34343629</v>
      </c>
      <c r="AJ50" s="69">
        <f t="shared" si="11"/>
        <v>22.44388975</v>
      </c>
      <c r="AK50" s="53">
        <f t="shared" si="12"/>
        <v>3.603374117</v>
      </c>
      <c r="AL50" s="70"/>
      <c r="AM50" s="70"/>
      <c r="AN50" s="67"/>
      <c r="AO50" s="67"/>
      <c r="AP50" s="67"/>
      <c r="AQ50" s="67"/>
      <c r="AR50" s="67"/>
      <c r="AS50" s="67"/>
      <c r="AT50" s="67"/>
    </row>
    <row r="51" ht="15.75" customHeight="1">
      <c r="A51" s="116" t="s">
        <v>4942</v>
      </c>
      <c r="B51" s="841">
        <v>45538.0</v>
      </c>
      <c r="C51" s="841">
        <v>45537.0</v>
      </c>
      <c r="D51" s="85" t="s">
        <v>74</v>
      </c>
      <c r="E51" s="67"/>
      <c r="F51" s="67" t="s">
        <v>4913</v>
      </c>
      <c r="G51" s="67">
        <v>34.0</v>
      </c>
      <c r="H51" s="67" t="s">
        <v>47</v>
      </c>
      <c r="I51" s="69">
        <v>2.8</v>
      </c>
      <c r="J51" s="69">
        <v>1.2</v>
      </c>
      <c r="K51" s="59">
        <f t="shared" si="2"/>
        <v>2.7664</v>
      </c>
      <c r="L51" s="106">
        <v>0.198</v>
      </c>
      <c r="M51" s="106">
        <v>0.18</v>
      </c>
      <c r="N51" s="135">
        <v>0.18</v>
      </c>
      <c r="O51" s="106">
        <f t="shared" si="3"/>
        <v>0.18</v>
      </c>
      <c r="P51" s="934">
        <v>85.0</v>
      </c>
      <c r="Q51" s="69">
        <v>90.11</v>
      </c>
      <c r="R51" s="70">
        <v>2499.42</v>
      </c>
      <c r="S51" s="134">
        <v>95.0</v>
      </c>
      <c r="T51" s="67"/>
      <c r="U51" s="67">
        <v>80.0</v>
      </c>
      <c r="V51" s="67">
        <v>1.1023</v>
      </c>
      <c r="W51" s="69">
        <v>5.0</v>
      </c>
      <c r="X51" s="69">
        <v>7.2</v>
      </c>
      <c r="Y51" s="67"/>
      <c r="Z51" s="69">
        <v>10.0</v>
      </c>
      <c r="AA51" s="70">
        <f t="shared" si="4"/>
        <v>10</v>
      </c>
      <c r="AB51" s="71">
        <f t="shared" si="5"/>
        <v>292.2982799</v>
      </c>
      <c r="AC51" s="71">
        <f>+(S51-T51)*V51-'data 1'!$F$4</f>
        <v>24.7185</v>
      </c>
      <c r="AD51" s="71">
        <f t="shared" si="6"/>
        <v>26.98343062</v>
      </c>
      <c r="AE51" s="71">
        <f>+(Y51*V51-'data 2'!$B$2)+V51*(Z51-IF(D51="UNTUCA",IF(+((W51-3)*2.5+(X51-3)*3.1)&gt;0,+((W51-3)*1.5+(X51-3)*3.1),0),IF(+((W51-3)*1.5+(X51-3)*3.1)&gt;0,+((W51-3)*1.5+(X51-3)*3.1),0)))</f>
        <v>-96.635846</v>
      </c>
      <c r="AF51" s="71">
        <f t="shared" si="7"/>
        <v>43.25701714</v>
      </c>
      <c r="AG51" s="104">
        <f t="shared" si="20"/>
        <v>88.32310176</v>
      </c>
      <c r="AH51" s="71">
        <f t="shared" si="9"/>
        <v>16.92241047</v>
      </c>
      <c r="AI51" s="69">
        <f t="shared" si="10"/>
        <v>27.25452042</v>
      </c>
      <c r="AJ51" s="69">
        <f t="shared" si="11"/>
        <v>14.51160592</v>
      </c>
      <c r="AK51" s="53">
        <f t="shared" si="12"/>
        <v>2.410804555</v>
      </c>
      <c r="AL51" s="70"/>
      <c r="AM51" s="70"/>
      <c r="AN51" s="67"/>
      <c r="AO51" s="67"/>
      <c r="AP51" s="67"/>
      <c r="AQ51" s="67"/>
      <c r="AR51" s="67"/>
      <c r="AS51" s="67"/>
      <c r="AT51" s="67"/>
    </row>
    <row r="52" ht="15.75" customHeight="1">
      <c r="B52" s="841"/>
      <c r="C52" s="870"/>
      <c r="J52" s="58"/>
      <c r="K52" s="59"/>
      <c r="L52" s="3"/>
      <c r="M52" s="60"/>
      <c r="N52" s="3"/>
      <c r="O52" s="106"/>
      <c r="S52" s="3"/>
      <c r="V52" s="67"/>
      <c r="AB52" s="7"/>
      <c r="AC52" s="7"/>
      <c r="AD52" s="7"/>
      <c r="AE52" s="7"/>
      <c r="AF52" s="7"/>
      <c r="AG52" s="7"/>
      <c r="AH52" s="7"/>
      <c r="AK52" s="11"/>
      <c r="AL52" s="65"/>
      <c r="AM52" s="65"/>
    </row>
    <row r="53" ht="15.75" customHeight="1">
      <c r="B53" s="841"/>
      <c r="C53" s="870"/>
      <c r="J53" s="58"/>
      <c r="K53" s="59"/>
      <c r="L53" s="3"/>
      <c r="M53" s="60"/>
      <c r="N53" s="3"/>
      <c r="O53" s="106"/>
      <c r="S53" s="3"/>
      <c r="AB53" s="7"/>
      <c r="AC53" s="7"/>
      <c r="AD53" s="7"/>
      <c r="AE53" s="7"/>
      <c r="AF53" s="7"/>
      <c r="AG53" s="7"/>
      <c r="AH53" s="7"/>
      <c r="AK53" s="11"/>
      <c r="AL53" s="65"/>
      <c r="AM53" s="65"/>
    </row>
    <row r="54" ht="15.75" customHeight="1">
      <c r="B54" s="841"/>
      <c r="C54" s="870"/>
      <c r="J54" s="58"/>
      <c r="K54" s="59"/>
      <c r="L54" s="3"/>
      <c r="M54" s="60"/>
      <c r="N54" s="3"/>
      <c r="O54" s="106"/>
      <c r="S54" s="3"/>
      <c r="AB54" s="7"/>
      <c r="AC54" s="7"/>
      <c r="AD54" s="7"/>
      <c r="AE54" s="7"/>
      <c r="AF54" s="7"/>
      <c r="AG54" s="7"/>
      <c r="AH54" s="7"/>
      <c r="AK54" s="11"/>
      <c r="AL54" s="65"/>
      <c r="AM54" s="65"/>
    </row>
    <row r="55" ht="15.75" customHeight="1">
      <c r="B55" s="841"/>
      <c r="C55" s="870"/>
      <c r="J55" s="58"/>
      <c r="K55" s="59"/>
      <c r="L55" s="3"/>
      <c r="M55" s="60"/>
      <c r="N55" s="3"/>
      <c r="O55" s="106"/>
      <c r="S55" s="3"/>
      <c r="AB55" s="7"/>
      <c r="AC55" s="7"/>
      <c r="AD55" s="7"/>
      <c r="AE55" s="7"/>
      <c r="AF55" s="7"/>
      <c r="AG55" s="7"/>
      <c r="AH55" s="7"/>
      <c r="AK55" s="11"/>
      <c r="AL55" s="65"/>
      <c r="AM55" s="65"/>
    </row>
    <row r="56" ht="15.75" customHeight="1">
      <c r="B56" s="841"/>
      <c r="C56" s="870"/>
      <c r="J56" s="58"/>
      <c r="K56" s="59"/>
      <c r="L56" s="3"/>
      <c r="M56" s="60"/>
      <c r="N56" s="3"/>
      <c r="O56" s="106"/>
      <c r="S56" s="3"/>
      <c r="AB56" s="7"/>
      <c r="AC56" s="7"/>
      <c r="AD56" s="7"/>
      <c r="AE56" s="7"/>
      <c r="AF56" s="7"/>
      <c r="AG56" s="7"/>
      <c r="AH56" s="7"/>
      <c r="AK56" s="11"/>
      <c r="AL56" s="65"/>
      <c r="AM56" s="65"/>
    </row>
    <row r="57" ht="15.75" customHeight="1">
      <c r="B57" s="841"/>
      <c r="C57" s="870"/>
      <c r="J57" s="58"/>
      <c r="K57" s="59"/>
      <c r="L57" s="3"/>
      <c r="M57" s="60"/>
      <c r="N57" s="3"/>
      <c r="O57" s="106"/>
      <c r="S57" s="3"/>
      <c r="AB57" s="7"/>
      <c r="AC57" s="7"/>
      <c r="AD57" s="7"/>
      <c r="AE57" s="7"/>
      <c r="AF57" s="7"/>
      <c r="AG57" s="7"/>
      <c r="AH57" s="7"/>
      <c r="AK57" s="11"/>
      <c r="AL57" s="65"/>
      <c r="AM57" s="65"/>
    </row>
    <row r="58" ht="15.75" customHeight="1">
      <c r="B58" s="841"/>
      <c r="C58" s="870"/>
      <c r="J58" s="58"/>
      <c r="K58" s="59"/>
      <c r="L58" s="3"/>
      <c r="M58" s="60"/>
      <c r="N58" s="3"/>
      <c r="O58" s="106"/>
      <c r="S58" s="3"/>
      <c r="AB58" s="7"/>
      <c r="AC58" s="7"/>
      <c r="AD58" s="7"/>
      <c r="AE58" s="7"/>
      <c r="AF58" s="7"/>
      <c r="AG58" s="7"/>
      <c r="AH58" s="7"/>
      <c r="AK58" s="11"/>
      <c r="AL58" s="65"/>
      <c r="AM58" s="65"/>
    </row>
    <row r="59" ht="15.75" customHeight="1">
      <c r="B59" s="841"/>
      <c r="C59" s="870"/>
      <c r="J59" s="58"/>
      <c r="K59" s="59"/>
      <c r="L59" s="3"/>
      <c r="M59" s="60"/>
      <c r="N59" s="3"/>
      <c r="O59" s="106"/>
      <c r="S59" s="3"/>
      <c r="AB59" s="7"/>
      <c r="AC59" s="7"/>
      <c r="AD59" s="7"/>
      <c r="AE59" s="7"/>
      <c r="AF59" s="7"/>
      <c r="AG59" s="7"/>
      <c r="AH59" s="7"/>
      <c r="AK59" s="11"/>
      <c r="AL59" s="65"/>
      <c r="AM59" s="65"/>
    </row>
    <row r="60" ht="15.75" customHeight="1">
      <c r="B60" s="841"/>
      <c r="C60" s="870"/>
      <c r="J60" s="58"/>
      <c r="K60" s="59"/>
      <c r="L60" s="3"/>
      <c r="M60" s="60"/>
      <c r="N60" s="3"/>
      <c r="O60" s="106"/>
      <c r="S60" s="3"/>
      <c r="AB60" s="7"/>
      <c r="AC60" s="7"/>
      <c r="AD60" s="7"/>
      <c r="AE60" s="7"/>
      <c r="AF60" s="7"/>
      <c r="AG60" s="7"/>
      <c r="AH60" s="7"/>
      <c r="AK60" s="11"/>
      <c r="AL60" s="65"/>
      <c r="AM60" s="65"/>
    </row>
    <row r="61" ht="15.75" customHeight="1">
      <c r="B61" s="841"/>
      <c r="C61" s="870"/>
      <c r="J61" s="58"/>
      <c r="K61" s="59"/>
      <c r="L61" s="3"/>
      <c r="M61" s="60"/>
      <c r="N61" s="3"/>
      <c r="O61" s="106"/>
      <c r="S61" s="3"/>
      <c r="AB61" s="7"/>
      <c r="AC61" s="7"/>
      <c r="AD61" s="7"/>
      <c r="AE61" s="7"/>
      <c r="AF61" s="7"/>
      <c r="AG61" s="7"/>
      <c r="AH61" s="7"/>
      <c r="AK61" s="11"/>
      <c r="AL61" s="65"/>
      <c r="AM61" s="65"/>
    </row>
    <row r="62" ht="15.75" customHeight="1">
      <c r="B62" s="841"/>
      <c r="C62" s="870"/>
      <c r="J62" s="58"/>
      <c r="K62" s="59"/>
      <c r="L62" s="3"/>
      <c r="M62" s="60"/>
      <c r="N62" s="3"/>
      <c r="O62" s="106"/>
      <c r="S62" s="3"/>
      <c r="AB62" s="7"/>
      <c r="AC62" s="7"/>
      <c r="AD62" s="7"/>
      <c r="AE62" s="7"/>
      <c r="AF62" s="7"/>
      <c r="AG62" s="7"/>
      <c r="AH62" s="7"/>
      <c r="AK62" s="11"/>
      <c r="AL62" s="65"/>
      <c r="AM62" s="65"/>
    </row>
    <row r="63" ht="15.75" customHeight="1">
      <c r="B63" s="841"/>
      <c r="C63" s="870"/>
      <c r="J63" s="58"/>
      <c r="K63" s="59"/>
      <c r="L63" s="3"/>
      <c r="M63" s="60"/>
      <c r="N63" s="3"/>
      <c r="O63" s="106"/>
      <c r="S63" s="3"/>
      <c r="AB63" s="7"/>
      <c r="AC63" s="7"/>
      <c r="AD63" s="7"/>
      <c r="AE63" s="7"/>
      <c r="AF63" s="7"/>
      <c r="AG63" s="7"/>
      <c r="AH63" s="7"/>
      <c r="AK63" s="11"/>
      <c r="AL63" s="65"/>
      <c r="AM63" s="65"/>
    </row>
    <row r="64" ht="15.75" customHeight="1">
      <c r="B64" s="841"/>
      <c r="C64" s="870"/>
      <c r="J64" s="58"/>
      <c r="K64" s="59"/>
      <c r="L64" s="3"/>
      <c r="M64" s="60"/>
      <c r="N64" s="3"/>
      <c r="O64" s="106"/>
      <c r="S64" s="3"/>
      <c r="AB64" s="7"/>
      <c r="AC64" s="7"/>
      <c r="AD64" s="7"/>
      <c r="AE64" s="7"/>
      <c r="AF64" s="7"/>
      <c r="AG64" s="7"/>
      <c r="AH64" s="7"/>
      <c r="AK64" s="11"/>
      <c r="AL64" s="65"/>
      <c r="AM64" s="65"/>
    </row>
    <row r="65" ht="15.75" customHeight="1">
      <c r="B65" s="841"/>
      <c r="C65" s="870"/>
      <c r="J65" s="58"/>
      <c r="K65" s="59"/>
      <c r="L65" s="3"/>
      <c r="M65" s="60"/>
      <c r="N65" s="3"/>
      <c r="O65" s="106"/>
      <c r="S65" s="3"/>
      <c r="AB65" s="7"/>
      <c r="AC65" s="7"/>
      <c r="AD65" s="7"/>
      <c r="AE65" s="7"/>
      <c r="AF65" s="7"/>
      <c r="AG65" s="7"/>
      <c r="AH65" s="7"/>
      <c r="AK65" s="11"/>
      <c r="AL65" s="65"/>
      <c r="AM65" s="65"/>
    </row>
    <row r="66" ht="15.75" customHeight="1">
      <c r="B66" s="841"/>
      <c r="C66" s="870"/>
      <c r="J66" s="58"/>
      <c r="K66" s="59"/>
      <c r="L66" s="3"/>
      <c r="M66" s="60"/>
      <c r="N66" s="3"/>
      <c r="O66" s="106"/>
      <c r="S66" s="3"/>
      <c r="AB66" s="7"/>
      <c r="AC66" s="7"/>
      <c r="AD66" s="7"/>
      <c r="AE66" s="7"/>
      <c r="AF66" s="7"/>
      <c r="AG66" s="7"/>
      <c r="AH66" s="7"/>
      <c r="AK66" s="11"/>
      <c r="AL66" s="65"/>
      <c r="AM66" s="65"/>
    </row>
    <row r="67" ht="15.75" customHeight="1">
      <c r="B67" s="841"/>
      <c r="C67" s="870"/>
      <c r="J67" s="58"/>
      <c r="K67" s="59"/>
      <c r="L67" s="3"/>
      <c r="M67" s="60"/>
      <c r="N67" s="3"/>
      <c r="O67" s="106"/>
      <c r="S67" s="3"/>
      <c r="AB67" s="7"/>
      <c r="AC67" s="7"/>
      <c r="AD67" s="7"/>
      <c r="AE67" s="7"/>
      <c r="AF67" s="7"/>
      <c r="AG67" s="7"/>
      <c r="AH67" s="7"/>
      <c r="AK67" s="11"/>
      <c r="AL67" s="65"/>
      <c r="AM67" s="65"/>
    </row>
    <row r="68" ht="15.75" customHeight="1">
      <c r="B68" s="841"/>
      <c r="C68" s="870"/>
      <c r="J68" s="58"/>
      <c r="K68" s="59"/>
      <c r="L68" s="3"/>
      <c r="M68" s="60"/>
      <c r="N68" s="3"/>
      <c r="O68" s="106"/>
      <c r="S68" s="3"/>
      <c r="AB68" s="7"/>
      <c r="AC68" s="7"/>
      <c r="AD68" s="7"/>
      <c r="AE68" s="7"/>
      <c r="AF68" s="7"/>
      <c r="AG68" s="7"/>
      <c r="AH68" s="7"/>
      <c r="AK68" s="11"/>
      <c r="AL68" s="65"/>
      <c r="AM68" s="65"/>
    </row>
    <row r="69" ht="15.75" customHeight="1">
      <c r="B69" s="841"/>
      <c r="C69" s="870"/>
      <c r="J69" s="58"/>
      <c r="K69" s="59"/>
      <c r="L69" s="3"/>
      <c r="M69" s="60"/>
      <c r="N69" s="3"/>
      <c r="O69" s="106"/>
      <c r="S69" s="3"/>
      <c r="AB69" s="7"/>
      <c r="AC69" s="7"/>
      <c r="AD69" s="7"/>
      <c r="AE69" s="7"/>
      <c r="AF69" s="7"/>
      <c r="AG69" s="7"/>
      <c r="AH69" s="7"/>
      <c r="AK69" s="11"/>
      <c r="AL69" s="65"/>
      <c r="AM69" s="65"/>
    </row>
    <row r="70" ht="15.75" customHeight="1">
      <c r="B70" s="841"/>
      <c r="C70" s="870"/>
      <c r="J70" s="58"/>
      <c r="K70" s="59"/>
      <c r="M70" s="60"/>
      <c r="N70" s="3"/>
      <c r="O70" s="106"/>
      <c r="S70" s="3"/>
      <c r="AB70" s="7"/>
      <c r="AC70" s="7"/>
      <c r="AD70" s="7"/>
      <c r="AE70" s="7"/>
      <c r="AF70" s="7"/>
      <c r="AG70" s="7"/>
      <c r="AH70" s="7"/>
      <c r="AK70" s="11"/>
      <c r="AL70" s="65"/>
      <c r="AM70" s="65"/>
    </row>
    <row r="71" ht="15.75" customHeight="1">
      <c r="B71" s="841"/>
      <c r="C71" s="870"/>
      <c r="J71" s="58"/>
      <c r="K71" s="59"/>
      <c r="M71" s="60"/>
      <c r="N71" s="3"/>
      <c r="O71" s="106"/>
      <c r="S71" s="3"/>
      <c r="AB71" s="7"/>
      <c r="AC71" s="7"/>
      <c r="AD71" s="7"/>
      <c r="AE71" s="7"/>
      <c r="AF71" s="7"/>
      <c r="AG71" s="7"/>
      <c r="AH71" s="7"/>
      <c r="AK71" s="11"/>
      <c r="AL71" s="65"/>
      <c r="AM71" s="65"/>
    </row>
    <row r="72" ht="15.75" customHeight="1">
      <c r="B72" s="841"/>
      <c r="C72" s="870"/>
      <c r="J72" s="58"/>
      <c r="K72" s="59"/>
      <c r="M72" s="60"/>
      <c r="N72" s="3"/>
      <c r="O72" s="106"/>
      <c r="S72" s="3"/>
      <c r="AB72" s="7"/>
      <c r="AC72" s="7"/>
      <c r="AD72" s="7"/>
      <c r="AE72" s="7"/>
      <c r="AF72" s="7"/>
      <c r="AG72" s="7"/>
      <c r="AH72" s="7"/>
      <c r="AK72" s="11"/>
      <c r="AL72" s="65"/>
      <c r="AM72" s="65"/>
    </row>
    <row r="73" ht="15.75" customHeight="1">
      <c r="B73" s="841"/>
      <c r="C73" s="870"/>
      <c r="J73" s="58"/>
      <c r="K73" s="59"/>
      <c r="M73" s="60"/>
      <c r="N73" s="3"/>
      <c r="O73" s="106"/>
      <c r="S73" s="3"/>
      <c r="AB73" s="7"/>
      <c r="AC73" s="7"/>
      <c r="AD73" s="7"/>
      <c r="AE73" s="7"/>
      <c r="AF73" s="7"/>
      <c r="AG73" s="7"/>
      <c r="AH73" s="7"/>
      <c r="AK73" s="11"/>
      <c r="AL73" s="65"/>
      <c r="AM73" s="65"/>
    </row>
    <row r="74" ht="15.75" customHeight="1">
      <c r="B74" s="841"/>
      <c r="C74" s="870"/>
      <c r="J74" s="58"/>
      <c r="K74" s="59"/>
      <c r="M74" s="60"/>
      <c r="N74" s="3"/>
      <c r="O74" s="106"/>
      <c r="S74" s="3"/>
      <c r="AB74" s="7"/>
      <c r="AC74" s="7"/>
      <c r="AD74" s="7"/>
      <c r="AE74" s="7"/>
      <c r="AF74" s="7"/>
      <c r="AG74" s="7"/>
      <c r="AH74" s="7"/>
      <c r="AK74" s="11"/>
      <c r="AL74" s="65"/>
      <c r="AM74" s="65"/>
    </row>
    <row r="75" ht="15.75" customHeight="1">
      <c r="B75" s="841"/>
      <c r="C75" s="870"/>
      <c r="J75" s="58"/>
      <c r="K75" s="59"/>
      <c r="N75" s="3"/>
      <c r="O75" s="106"/>
      <c r="S75" s="3"/>
      <c r="AB75" s="7"/>
      <c r="AC75" s="7"/>
      <c r="AD75" s="7"/>
      <c r="AE75" s="7"/>
      <c r="AF75" s="7"/>
      <c r="AG75" s="7"/>
      <c r="AH75" s="7"/>
      <c r="AK75" s="11"/>
      <c r="AL75" s="65"/>
      <c r="AM75" s="65"/>
    </row>
    <row r="76" ht="15.75" customHeight="1">
      <c r="B76" s="841"/>
      <c r="C76" s="870"/>
      <c r="J76" s="58"/>
      <c r="K76" s="59"/>
      <c r="N76" s="3"/>
      <c r="O76" s="106"/>
      <c r="S76" s="3"/>
      <c r="AB76" s="7"/>
      <c r="AC76" s="7"/>
      <c r="AD76" s="7"/>
      <c r="AE76" s="7"/>
      <c r="AF76" s="7"/>
      <c r="AG76" s="7"/>
      <c r="AH76" s="7"/>
      <c r="AK76" s="11"/>
      <c r="AL76" s="65"/>
      <c r="AM76" s="65"/>
    </row>
    <row r="77" ht="15.75" customHeight="1">
      <c r="B77" s="841"/>
      <c r="C77" s="870"/>
      <c r="J77" s="58"/>
      <c r="K77" s="59"/>
      <c r="N77" s="3"/>
      <c r="O77" s="106"/>
      <c r="S77" s="3"/>
      <c r="AB77" s="7"/>
      <c r="AC77" s="7"/>
      <c r="AD77" s="7"/>
      <c r="AE77" s="7"/>
      <c r="AF77" s="7"/>
      <c r="AG77" s="7"/>
      <c r="AH77" s="7"/>
      <c r="AK77" s="11"/>
      <c r="AL77" s="65"/>
      <c r="AM77" s="65"/>
    </row>
    <row r="78" ht="15.75" customHeight="1">
      <c r="B78" s="841"/>
      <c r="C78" s="870"/>
      <c r="J78" s="58"/>
      <c r="K78" s="59"/>
      <c r="N78" s="3"/>
      <c r="O78" s="106"/>
      <c r="S78" s="3"/>
      <c r="AB78" s="7"/>
      <c r="AC78" s="7"/>
      <c r="AD78" s="7"/>
      <c r="AE78" s="7"/>
      <c r="AF78" s="7"/>
      <c r="AG78" s="7"/>
      <c r="AH78" s="7"/>
      <c r="AK78" s="11"/>
      <c r="AL78" s="65"/>
      <c r="AM78" s="65"/>
    </row>
    <row r="79" ht="15.75" customHeight="1">
      <c r="B79" s="841"/>
      <c r="C79" s="870"/>
      <c r="J79" s="58"/>
      <c r="K79" s="59"/>
      <c r="N79" s="3"/>
      <c r="O79" s="106"/>
      <c r="S79" s="3"/>
      <c r="AB79" s="7"/>
      <c r="AC79" s="7"/>
      <c r="AD79" s="7"/>
      <c r="AE79" s="7"/>
      <c r="AF79" s="7"/>
      <c r="AG79" s="7"/>
      <c r="AH79" s="7"/>
      <c r="AK79" s="11"/>
      <c r="AL79" s="65"/>
      <c r="AM79" s="65"/>
    </row>
    <row r="80" ht="15.75" customHeight="1">
      <c r="B80" s="841"/>
      <c r="C80" s="870"/>
      <c r="J80" s="58"/>
      <c r="K80" s="59"/>
      <c r="N80" s="3"/>
      <c r="O80" s="106"/>
      <c r="S80" s="3"/>
      <c r="AB80" s="7"/>
      <c r="AC80" s="7"/>
      <c r="AD80" s="7"/>
      <c r="AE80" s="7"/>
      <c r="AF80" s="7"/>
      <c r="AG80" s="7"/>
      <c r="AH80" s="7"/>
      <c r="AK80" s="11"/>
      <c r="AL80" s="65"/>
      <c r="AM80" s="65"/>
    </row>
    <row r="81" ht="15.75" customHeight="1">
      <c r="B81" s="841"/>
      <c r="C81" s="870"/>
      <c r="J81" s="58"/>
      <c r="K81" s="59"/>
      <c r="N81" s="3"/>
      <c r="O81" s="106"/>
      <c r="S81" s="3"/>
      <c r="AB81" s="7"/>
      <c r="AC81" s="7"/>
      <c r="AD81" s="7"/>
      <c r="AE81" s="7"/>
      <c r="AF81" s="7"/>
      <c r="AG81" s="7"/>
      <c r="AH81" s="7"/>
      <c r="AK81" s="11"/>
      <c r="AL81" s="65"/>
      <c r="AM81" s="65"/>
    </row>
    <row r="82" ht="15.75" customHeight="1">
      <c r="B82" s="841"/>
      <c r="C82" s="870"/>
      <c r="J82" s="58"/>
      <c r="K82" s="59"/>
      <c r="N82" s="3"/>
      <c r="O82" s="106"/>
      <c r="S82" s="3"/>
      <c r="AB82" s="7"/>
      <c r="AC82" s="7"/>
      <c r="AD82" s="7"/>
      <c r="AE82" s="7"/>
      <c r="AF82" s="7"/>
      <c r="AG82" s="7"/>
      <c r="AH82" s="7"/>
      <c r="AK82" s="11"/>
      <c r="AL82" s="65"/>
      <c r="AM82" s="65"/>
    </row>
    <row r="83" ht="15.75" customHeight="1">
      <c r="B83" s="841"/>
      <c r="C83" s="870"/>
      <c r="J83" s="58"/>
      <c r="K83" s="59"/>
      <c r="N83" s="3"/>
      <c r="O83" s="106"/>
      <c r="S83" s="3"/>
      <c r="AB83" s="7"/>
      <c r="AC83" s="7"/>
      <c r="AD83" s="7"/>
      <c r="AE83" s="7"/>
      <c r="AF83" s="7"/>
      <c r="AG83" s="7"/>
      <c r="AH83" s="7"/>
      <c r="AK83" s="11"/>
      <c r="AL83" s="65"/>
      <c r="AM83" s="65"/>
    </row>
    <row r="84" ht="15.75" customHeight="1">
      <c r="B84" s="841"/>
      <c r="C84" s="870"/>
      <c r="J84" s="58"/>
      <c r="K84" s="59"/>
      <c r="N84" s="3"/>
      <c r="O84" s="106"/>
      <c r="S84" s="3"/>
      <c r="AB84" s="7"/>
      <c r="AC84" s="7"/>
      <c r="AD84" s="7"/>
      <c r="AE84" s="7"/>
      <c r="AF84" s="7"/>
      <c r="AG84" s="7"/>
      <c r="AH84" s="7"/>
      <c r="AK84" s="11"/>
      <c r="AL84" s="65"/>
      <c r="AM84" s="65"/>
    </row>
    <row r="85" ht="15.75" customHeight="1">
      <c r="B85" s="841"/>
      <c r="C85" s="870"/>
      <c r="J85" s="58"/>
      <c r="K85" s="59"/>
      <c r="N85" s="3"/>
      <c r="O85" s="106"/>
      <c r="S85" s="3"/>
      <c r="AB85" s="7"/>
      <c r="AC85" s="7"/>
      <c r="AD85" s="7"/>
      <c r="AE85" s="7"/>
      <c r="AF85" s="7"/>
      <c r="AG85" s="7"/>
      <c r="AH85" s="7"/>
      <c r="AK85" s="11"/>
      <c r="AL85" s="65"/>
      <c r="AM85" s="65"/>
    </row>
    <row r="86" ht="15.75" customHeight="1">
      <c r="B86" s="841"/>
      <c r="C86" s="870"/>
      <c r="J86" s="58"/>
      <c r="N86" s="3"/>
      <c r="O86" s="106"/>
      <c r="S86" s="3"/>
      <c r="AB86" s="7"/>
      <c r="AC86" s="7"/>
      <c r="AD86" s="7"/>
      <c r="AE86" s="7"/>
      <c r="AF86" s="7"/>
      <c r="AG86" s="7"/>
      <c r="AH86" s="7"/>
      <c r="AK86" s="11"/>
      <c r="AL86" s="65"/>
      <c r="AM86" s="65"/>
    </row>
    <row r="87" ht="15.75" customHeight="1">
      <c r="B87" s="841"/>
      <c r="C87" s="870"/>
      <c r="N87" s="3"/>
      <c r="O87" s="106"/>
      <c r="S87" s="3"/>
      <c r="AB87" s="7"/>
      <c r="AC87" s="7"/>
      <c r="AD87" s="7"/>
      <c r="AE87" s="7"/>
      <c r="AF87" s="7"/>
      <c r="AG87" s="7"/>
      <c r="AH87" s="7"/>
      <c r="AK87" s="11"/>
      <c r="AL87" s="65"/>
      <c r="AM87" s="65"/>
    </row>
    <row r="88" ht="15.75" customHeight="1">
      <c r="B88" s="841"/>
      <c r="C88" s="870"/>
      <c r="N88" s="3"/>
      <c r="O88" s="106"/>
      <c r="S88" s="3"/>
      <c r="AB88" s="7"/>
      <c r="AC88" s="7"/>
      <c r="AD88" s="7"/>
      <c r="AE88" s="7"/>
      <c r="AF88" s="7"/>
      <c r="AG88" s="7"/>
      <c r="AH88" s="7"/>
      <c r="AK88" s="11"/>
      <c r="AL88" s="65"/>
      <c r="AM88" s="65"/>
    </row>
    <row r="89" ht="15.75" customHeight="1">
      <c r="B89" s="841"/>
      <c r="C89" s="870"/>
      <c r="N89" s="3"/>
      <c r="O89" s="106"/>
      <c r="S89" s="3"/>
      <c r="AB89" s="7"/>
      <c r="AC89" s="7"/>
      <c r="AD89" s="7"/>
      <c r="AE89" s="7"/>
      <c r="AF89" s="7"/>
      <c r="AG89" s="7"/>
      <c r="AH89" s="7"/>
      <c r="AK89" s="11"/>
      <c r="AL89" s="65"/>
      <c r="AM89" s="65"/>
    </row>
    <row r="90" ht="15.75" customHeight="1">
      <c r="B90" s="841"/>
      <c r="C90" s="870"/>
      <c r="N90" s="3"/>
      <c r="O90" s="106"/>
      <c r="S90" s="3"/>
      <c r="AB90" s="7"/>
      <c r="AC90" s="7"/>
      <c r="AD90" s="7"/>
      <c r="AE90" s="7"/>
      <c r="AF90" s="7"/>
      <c r="AG90" s="7"/>
      <c r="AH90" s="7"/>
      <c r="AK90" s="11"/>
      <c r="AL90" s="65"/>
      <c r="AM90" s="65"/>
    </row>
    <row r="91" ht="15.75" customHeight="1">
      <c r="B91" s="841"/>
      <c r="C91" s="870"/>
      <c r="N91" s="3"/>
      <c r="O91" s="106"/>
      <c r="S91" s="3"/>
      <c r="AB91" s="7"/>
      <c r="AC91" s="7"/>
      <c r="AD91" s="7"/>
      <c r="AE91" s="7"/>
      <c r="AF91" s="7"/>
      <c r="AG91" s="7"/>
      <c r="AH91" s="7"/>
      <c r="AK91" s="11"/>
      <c r="AL91" s="65"/>
      <c r="AM91" s="65"/>
    </row>
    <row r="92" ht="15.75" customHeight="1">
      <c r="B92" s="841"/>
      <c r="C92" s="870"/>
      <c r="N92" s="3"/>
      <c r="O92" s="106"/>
      <c r="S92" s="3"/>
      <c r="AB92" s="7"/>
      <c r="AC92" s="7"/>
      <c r="AD92" s="7"/>
      <c r="AE92" s="7"/>
      <c r="AF92" s="7"/>
      <c r="AG92" s="7"/>
      <c r="AH92" s="7"/>
      <c r="AK92" s="11"/>
      <c r="AL92" s="65"/>
      <c r="AM92" s="65"/>
    </row>
    <row r="93" ht="15.75" customHeight="1">
      <c r="B93" s="841"/>
      <c r="C93" s="870"/>
      <c r="N93" s="3"/>
      <c r="O93" s="106"/>
      <c r="S93" s="3"/>
      <c r="AB93" s="7"/>
      <c r="AC93" s="7"/>
      <c r="AD93" s="7"/>
      <c r="AE93" s="7"/>
      <c r="AF93" s="7"/>
      <c r="AG93" s="7"/>
      <c r="AH93" s="7"/>
      <c r="AK93" s="11"/>
      <c r="AL93" s="65"/>
      <c r="AM93" s="65"/>
    </row>
    <row r="94" ht="15.75" customHeight="1">
      <c r="B94" s="841"/>
      <c r="C94" s="870"/>
      <c r="N94" s="3"/>
      <c r="O94" s="106"/>
      <c r="S94" s="3"/>
      <c r="AB94" s="7"/>
      <c r="AC94" s="7"/>
      <c r="AD94" s="7"/>
      <c r="AE94" s="7"/>
      <c r="AF94" s="7"/>
      <c r="AG94" s="7"/>
      <c r="AH94" s="7"/>
      <c r="AK94" s="11"/>
      <c r="AL94" s="65"/>
      <c r="AM94" s="65"/>
    </row>
    <row r="95" ht="15.75" customHeight="1">
      <c r="B95" s="841"/>
      <c r="C95" s="870"/>
      <c r="N95" s="3"/>
      <c r="O95" s="106"/>
      <c r="S95" s="3"/>
      <c r="AB95" s="7"/>
      <c r="AC95" s="7"/>
      <c r="AD95" s="7"/>
      <c r="AE95" s="7"/>
      <c r="AF95" s="7"/>
      <c r="AG95" s="7"/>
      <c r="AH95" s="7"/>
      <c r="AK95" s="11"/>
      <c r="AL95" s="65"/>
      <c r="AM95" s="65"/>
    </row>
    <row r="96" ht="15.75" customHeight="1">
      <c r="B96" s="841"/>
      <c r="C96" s="870"/>
      <c r="N96" s="3"/>
      <c r="O96" s="106"/>
      <c r="S96" s="3"/>
      <c r="AB96" s="7"/>
      <c r="AC96" s="7"/>
      <c r="AD96" s="7"/>
      <c r="AE96" s="7"/>
      <c r="AF96" s="7"/>
      <c r="AG96" s="7"/>
      <c r="AH96" s="7"/>
      <c r="AK96" s="11"/>
      <c r="AL96" s="65"/>
      <c r="AM96" s="65"/>
    </row>
    <row r="97" ht="15.75" customHeight="1">
      <c r="B97" s="841"/>
      <c r="C97" s="870"/>
      <c r="N97" s="3"/>
      <c r="O97" s="106"/>
      <c r="S97" s="3"/>
      <c r="AB97" s="7"/>
      <c r="AC97" s="7"/>
      <c r="AD97" s="7"/>
      <c r="AE97" s="7"/>
      <c r="AF97" s="7"/>
      <c r="AG97" s="7"/>
      <c r="AH97" s="7"/>
      <c r="AK97" s="11"/>
      <c r="AL97" s="65"/>
      <c r="AM97" s="65"/>
    </row>
    <row r="98" ht="15.75" customHeight="1">
      <c r="B98" s="841"/>
      <c r="C98" s="870"/>
      <c r="N98" s="3"/>
      <c r="O98" s="106"/>
      <c r="S98" s="3"/>
      <c r="AB98" s="7"/>
      <c r="AC98" s="7"/>
      <c r="AD98" s="7"/>
      <c r="AE98" s="7"/>
      <c r="AF98" s="7"/>
      <c r="AG98" s="7"/>
      <c r="AH98" s="7"/>
      <c r="AK98" s="11"/>
      <c r="AL98" s="65"/>
      <c r="AM98" s="65"/>
    </row>
    <row r="99" ht="15.75" customHeight="1">
      <c r="B99" s="841"/>
      <c r="C99" s="870"/>
      <c r="N99" s="3"/>
      <c r="O99" s="106"/>
      <c r="S99" s="3"/>
      <c r="AB99" s="7"/>
      <c r="AC99" s="7"/>
      <c r="AD99" s="7"/>
      <c r="AE99" s="7"/>
      <c r="AF99" s="7"/>
      <c r="AG99" s="7"/>
      <c r="AH99" s="7"/>
      <c r="AK99" s="11"/>
      <c r="AL99" s="65"/>
      <c r="AM99" s="65"/>
    </row>
    <row r="100" ht="15.75" customHeight="1">
      <c r="B100" s="841"/>
      <c r="N100" s="3"/>
      <c r="O100" s="106"/>
      <c r="S100" s="3"/>
      <c r="AB100" s="7"/>
      <c r="AC100" s="7"/>
      <c r="AD100" s="7"/>
      <c r="AE100" s="7"/>
      <c r="AF100" s="7"/>
      <c r="AG100" s="7"/>
      <c r="AH100" s="7"/>
      <c r="AK100" s="11"/>
      <c r="AL100" s="65"/>
      <c r="AM100" s="65"/>
    </row>
    <row r="101" ht="15.75" customHeight="1">
      <c r="B101" s="841"/>
      <c r="N101" s="3"/>
      <c r="O101" s="106"/>
      <c r="S101" s="3"/>
      <c r="AB101" s="7"/>
      <c r="AC101" s="7"/>
      <c r="AD101" s="7"/>
      <c r="AE101" s="7"/>
      <c r="AF101" s="7"/>
      <c r="AG101" s="7"/>
      <c r="AH101" s="7"/>
      <c r="AK101" s="11"/>
      <c r="AL101" s="65"/>
      <c r="AM101" s="65"/>
    </row>
    <row r="102" ht="15.75" customHeight="1">
      <c r="B102" s="841"/>
      <c r="N102" s="3"/>
      <c r="O102" s="106"/>
      <c r="S102" s="3"/>
      <c r="AB102" s="7"/>
      <c r="AC102" s="7"/>
      <c r="AD102" s="7"/>
      <c r="AE102" s="7"/>
      <c r="AF102" s="7"/>
      <c r="AG102" s="7"/>
      <c r="AH102" s="7"/>
      <c r="AK102" s="11"/>
      <c r="AL102" s="65"/>
      <c r="AM102" s="65"/>
    </row>
    <row r="103" ht="15.75" customHeight="1">
      <c r="B103" s="841"/>
      <c r="N103" s="3"/>
      <c r="O103" s="106"/>
      <c r="S103" s="3"/>
      <c r="AB103" s="7"/>
      <c r="AC103" s="7"/>
      <c r="AD103" s="7"/>
      <c r="AE103" s="7"/>
      <c r="AF103" s="7"/>
      <c r="AG103" s="7"/>
      <c r="AH103" s="7"/>
      <c r="AK103" s="11"/>
      <c r="AL103" s="65"/>
      <c r="AM103" s="65"/>
    </row>
    <row r="104" ht="15.75" customHeight="1">
      <c r="B104" s="841"/>
      <c r="N104" s="3"/>
      <c r="O104" s="106"/>
      <c r="S104" s="3"/>
      <c r="AB104" s="7"/>
      <c r="AC104" s="7"/>
      <c r="AD104" s="7"/>
      <c r="AE104" s="7"/>
      <c r="AF104" s="7"/>
      <c r="AG104" s="7"/>
      <c r="AH104" s="7"/>
      <c r="AK104" s="11"/>
      <c r="AL104" s="65"/>
      <c r="AM104" s="65"/>
    </row>
    <row r="105" ht="15.75" customHeight="1">
      <c r="B105" s="841"/>
      <c r="N105" s="3"/>
      <c r="S105" s="3"/>
      <c r="AB105" s="7"/>
      <c r="AC105" s="7"/>
      <c r="AD105" s="7"/>
      <c r="AE105" s="7"/>
      <c r="AF105" s="7"/>
      <c r="AG105" s="7"/>
      <c r="AH105" s="7"/>
      <c r="AK105" s="11"/>
      <c r="AL105" s="65"/>
      <c r="AM105" s="65"/>
    </row>
    <row r="106" ht="15.75" customHeight="1">
      <c r="B106" s="841"/>
      <c r="N106" s="3"/>
      <c r="S106" s="3"/>
      <c r="AB106" s="7"/>
      <c r="AC106" s="7"/>
      <c r="AD106" s="7"/>
      <c r="AE106" s="7"/>
      <c r="AF106" s="7"/>
      <c r="AG106" s="7"/>
      <c r="AH106" s="7"/>
      <c r="AK106" s="11"/>
      <c r="AL106" s="65"/>
      <c r="AM106" s="65"/>
    </row>
    <row r="107" ht="15.75" customHeight="1">
      <c r="B107" s="841"/>
      <c r="N107" s="3"/>
      <c r="S107" s="3"/>
      <c r="AB107" s="7"/>
      <c r="AC107" s="7"/>
      <c r="AD107" s="7"/>
      <c r="AE107" s="7"/>
      <c r="AF107" s="7"/>
      <c r="AG107" s="7"/>
      <c r="AH107" s="7"/>
      <c r="AK107" s="11"/>
      <c r="AL107" s="65"/>
      <c r="AM107" s="65"/>
    </row>
    <row r="108" ht="15.75" customHeight="1">
      <c r="B108" s="841"/>
      <c r="N108" s="3"/>
      <c r="S108" s="3"/>
      <c r="AB108" s="7"/>
      <c r="AC108" s="7"/>
      <c r="AD108" s="7"/>
      <c r="AE108" s="7"/>
      <c r="AF108" s="7"/>
      <c r="AG108" s="7"/>
      <c r="AH108" s="7"/>
      <c r="AK108" s="11"/>
      <c r="AL108" s="65"/>
      <c r="AM108" s="65"/>
    </row>
    <row r="109" ht="15.75" customHeight="1">
      <c r="B109" s="841"/>
      <c r="N109" s="3"/>
      <c r="S109" s="3"/>
      <c r="AB109" s="7"/>
      <c r="AC109" s="7"/>
      <c r="AD109" s="7"/>
      <c r="AE109" s="7"/>
      <c r="AF109" s="7"/>
      <c r="AG109" s="7"/>
      <c r="AH109" s="7"/>
      <c r="AK109" s="11"/>
      <c r="AL109" s="65"/>
      <c r="AM109" s="65"/>
    </row>
    <row r="110" ht="15.75" customHeight="1">
      <c r="B110" s="841"/>
      <c r="N110" s="3"/>
      <c r="S110" s="3"/>
      <c r="AB110" s="7"/>
      <c r="AC110" s="7"/>
      <c r="AD110" s="7"/>
      <c r="AE110" s="7"/>
      <c r="AF110" s="7"/>
      <c r="AG110" s="7"/>
      <c r="AH110" s="7"/>
      <c r="AK110" s="11"/>
      <c r="AL110" s="65"/>
      <c r="AM110" s="65"/>
    </row>
    <row r="111" ht="15.75" customHeight="1">
      <c r="B111" s="841"/>
      <c r="N111" s="3"/>
      <c r="S111" s="3"/>
      <c r="AB111" s="7"/>
      <c r="AC111" s="7"/>
      <c r="AD111" s="7"/>
      <c r="AE111" s="7"/>
      <c r="AF111" s="7"/>
      <c r="AG111" s="7"/>
      <c r="AH111" s="7"/>
      <c r="AK111" s="11"/>
      <c r="AL111" s="65"/>
      <c r="AM111" s="65"/>
    </row>
    <row r="112" ht="15.75" customHeight="1">
      <c r="B112" s="841"/>
      <c r="N112" s="3"/>
      <c r="S112" s="3"/>
      <c r="AB112" s="7"/>
      <c r="AC112" s="7"/>
      <c r="AD112" s="7"/>
      <c r="AE112" s="7"/>
      <c r="AF112" s="7"/>
      <c r="AG112" s="7"/>
      <c r="AH112" s="7"/>
      <c r="AK112" s="11"/>
      <c r="AL112" s="65"/>
      <c r="AM112" s="65"/>
    </row>
    <row r="113" ht="15.75" customHeight="1">
      <c r="B113" s="841"/>
      <c r="N113" s="3"/>
      <c r="S113" s="3"/>
      <c r="AB113" s="7"/>
      <c r="AC113" s="7"/>
      <c r="AD113" s="7"/>
      <c r="AE113" s="7"/>
      <c r="AF113" s="7"/>
      <c r="AG113" s="7"/>
      <c r="AH113" s="7"/>
      <c r="AK113" s="11"/>
      <c r="AL113" s="65"/>
      <c r="AM113" s="65"/>
    </row>
    <row r="114" ht="15.75" customHeight="1">
      <c r="B114" s="841"/>
      <c r="N114" s="3"/>
      <c r="S114" s="3"/>
      <c r="AB114" s="7"/>
      <c r="AC114" s="7"/>
      <c r="AD114" s="7"/>
      <c r="AE114" s="7"/>
      <c r="AF114" s="7"/>
      <c r="AG114" s="7"/>
      <c r="AH114" s="7"/>
      <c r="AK114" s="11"/>
      <c r="AL114" s="65"/>
      <c r="AM114" s="65"/>
    </row>
    <row r="115" ht="15.75" customHeight="1">
      <c r="B115" s="841"/>
      <c r="N115" s="3"/>
      <c r="S115" s="3"/>
      <c r="AB115" s="7"/>
      <c r="AC115" s="7"/>
      <c r="AD115" s="7"/>
      <c r="AE115" s="7"/>
      <c r="AF115" s="7"/>
      <c r="AG115" s="7"/>
      <c r="AH115" s="7"/>
      <c r="AK115" s="11"/>
      <c r="AL115" s="65"/>
      <c r="AM115" s="65"/>
    </row>
    <row r="116" ht="15.75" customHeight="1">
      <c r="B116" s="841"/>
      <c r="N116" s="3"/>
      <c r="S116" s="3"/>
      <c r="AB116" s="7"/>
      <c r="AC116" s="7"/>
      <c r="AD116" s="7"/>
      <c r="AE116" s="7"/>
      <c r="AF116" s="7"/>
      <c r="AG116" s="7"/>
      <c r="AH116" s="7"/>
      <c r="AK116" s="11"/>
      <c r="AL116" s="65"/>
      <c r="AM116" s="65"/>
    </row>
    <row r="117" ht="15.75" customHeight="1">
      <c r="B117" s="841"/>
      <c r="N117" s="3"/>
      <c r="S117" s="3"/>
      <c r="AB117" s="7"/>
      <c r="AC117" s="7"/>
      <c r="AD117" s="7"/>
      <c r="AE117" s="7"/>
      <c r="AF117" s="7"/>
      <c r="AG117" s="7"/>
      <c r="AH117" s="7"/>
      <c r="AK117" s="11"/>
      <c r="AL117" s="65"/>
      <c r="AM117" s="65"/>
    </row>
    <row r="118" ht="15.75" customHeight="1">
      <c r="B118" s="841"/>
      <c r="N118" s="3"/>
      <c r="S118" s="3"/>
      <c r="AB118" s="7"/>
      <c r="AC118" s="7"/>
      <c r="AD118" s="7"/>
      <c r="AE118" s="7"/>
      <c r="AF118" s="7"/>
      <c r="AG118" s="7"/>
      <c r="AH118" s="7"/>
      <c r="AK118" s="11"/>
      <c r="AL118" s="65"/>
      <c r="AM118" s="65"/>
    </row>
    <row r="119" ht="15.75" customHeight="1">
      <c r="B119" s="841"/>
      <c r="N119" s="3"/>
      <c r="S119" s="3"/>
      <c r="AB119" s="7"/>
      <c r="AC119" s="7"/>
      <c r="AD119" s="7"/>
      <c r="AE119" s="7"/>
      <c r="AF119" s="7"/>
      <c r="AG119" s="7"/>
      <c r="AH119" s="7"/>
      <c r="AK119" s="11"/>
      <c r="AL119" s="65"/>
      <c r="AM119" s="65"/>
    </row>
    <row r="120" ht="15.75" customHeight="1">
      <c r="B120" s="841"/>
      <c r="N120" s="3"/>
      <c r="S120" s="3"/>
      <c r="AB120" s="7"/>
      <c r="AC120" s="7"/>
      <c r="AD120" s="7"/>
      <c r="AE120" s="7"/>
      <c r="AF120" s="7"/>
      <c r="AG120" s="7"/>
      <c r="AH120" s="7"/>
      <c r="AK120" s="11"/>
      <c r="AL120" s="65"/>
      <c r="AM120" s="65"/>
    </row>
    <row r="121" ht="15.75" customHeight="1">
      <c r="B121" s="841"/>
      <c r="N121" s="3"/>
      <c r="S121" s="3"/>
      <c r="AB121" s="7"/>
      <c r="AC121" s="7"/>
      <c r="AD121" s="7"/>
      <c r="AE121" s="7"/>
      <c r="AF121" s="7"/>
      <c r="AG121" s="7"/>
      <c r="AH121" s="7"/>
      <c r="AK121" s="11"/>
      <c r="AL121" s="65"/>
      <c r="AM121" s="65"/>
    </row>
    <row r="122" ht="15.75" customHeight="1">
      <c r="N122" s="3"/>
      <c r="S122" s="3"/>
      <c r="AK122" s="11"/>
      <c r="AL122" s="65"/>
      <c r="AM122" s="65"/>
    </row>
    <row r="123" ht="15.75" customHeight="1">
      <c r="N123" s="3"/>
      <c r="S123" s="3"/>
      <c r="AK123" s="11"/>
      <c r="AL123" s="65"/>
      <c r="AM123" s="65"/>
    </row>
    <row r="124" ht="15.75" customHeight="1">
      <c r="N124" s="3"/>
      <c r="S124" s="3"/>
      <c r="AK124" s="11"/>
      <c r="AL124" s="65"/>
      <c r="AM124" s="65"/>
    </row>
    <row r="125" ht="15.75" customHeight="1">
      <c r="N125" s="3"/>
      <c r="S125" s="3"/>
      <c r="AK125" s="11"/>
      <c r="AL125" s="65"/>
      <c r="AM125" s="65"/>
    </row>
    <row r="126" ht="15.75" customHeight="1">
      <c r="N126" s="3"/>
      <c r="S126" s="3"/>
      <c r="AK126" s="11"/>
      <c r="AL126" s="65"/>
      <c r="AM126" s="65"/>
    </row>
    <row r="127" ht="15.75" customHeight="1">
      <c r="N127" s="3"/>
      <c r="S127" s="3"/>
      <c r="AK127" s="11"/>
      <c r="AL127" s="65"/>
      <c r="AM127" s="65"/>
    </row>
    <row r="128" ht="15.75" customHeight="1">
      <c r="N128" s="3"/>
      <c r="S128" s="3"/>
      <c r="AK128" s="11"/>
      <c r="AL128" s="65"/>
      <c r="AM128" s="65"/>
    </row>
    <row r="129" ht="15.75" customHeight="1">
      <c r="N129" s="3"/>
      <c r="S129" s="3"/>
      <c r="AK129" s="11"/>
      <c r="AL129" s="65"/>
      <c r="AM129" s="65"/>
    </row>
    <row r="130" ht="15.75" customHeight="1">
      <c r="N130" s="3"/>
      <c r="S130" s="3"/>
      <c r="AK130" s="11"/>
      <c r="AL130" s="65"/>
      <c r="AM130" s="65"/>
    </row>
    <row r="131" ht="15.75" customHeight="1">
      <c r="N131" s="3"/>
      <c r="S131" s="3"/>
      <c r="AK131" s="11"/>
      <c r="AL131" s="65"/>
      <c r="AM131" s="65"/>
    </row>
    <row r="132" ht="15.75" customHeight="1">
      <c r="N132" s="3"/>
      <c r="S132" s="3"/>
      <c r="AK132" s="11"/>
      <c r="AL132" s="65"/>
      <c r="AM132" s="65"/>
    </row>
    <row r="133" ht="15.75" customHeight="1">
      <c r="N133" s="3"/>
      <c r="S133" s="3"/>
      <c r="AK133" s="11"/>
      <c r="AL133" s="65"/>
      <c r="AM133" s="65"/>
    </row>
    <row r="134" ht="15.75" customHeight="1">
      <c r="S134" s="3"/>
      <c r="AK134" s="11"/>
      <c r="AL134" s="65"/>
      <c r="AM134" s="65"/>
    </row>
    <row r="135" ht="15.75" customHeight="1">
      <c r="S135" s="3"/>
      <c r="AK135" s="11"/>
      <c r="AL135" s="65"/>
      <c r="AM135" s="65"/>
    </row>
    <row r="136" ht="15.75" customHeight="1">
      <c r="S136" s="3"/>
      <c r="AK136" s="11"/>
      <c r="AL136" s="65"/>
      <c r="AM136" s="65"/>
    </row>
    <row r="137" ht="15.75" customHeight="1">
      <c r="S137" s="3"/>
      <c r="AK137" s="11"/>
      <c r="AL137" s="65"/>
      <c r="AM137" s="65"/>
    </row>
    <row r="138" ht="15.75" customHeight="1">
      <c r="S138" s="3"/>
      <c r="AK138" s="11"/>
      <c r="AL138" s="65"/>
      <c r="AM138" s="65"/>
    </row>
    <row r="139" ht="15.75" customHeight="1">
      <c r="S139" s="3"/>
      <c r="AK139" s="11"/>
      <c r="AL139" s="65"/>
      <c r="AM139" s="65"/>
    </row>
    <row r="140" ht="15.75" customHeight="1">
      <c r="S140" s="3"/>
      <c r="AK140" s="11"/>
      <c r="AL140" s="65"/>
      <c r="AM140" s="65"/>
    </row>
    <row r="141" ht="15.75" customHeight="1">
      <c r="S141" s="3"/>
      <c r="AK141" s="11"/>
      <c r="AL141" s="65"/>
      <c r="AM141" s="65"/>
    </row>
    <row r="142" ht="15.75" customHeight="1">
      <c r="S142" s="3"/>
      <c r="AK142" s="11"/>
      <c r="AL142" s="65"/>
      <c r="AM142" s="65"/>
    </row>
    <row r="143" ht="15.75" customHeight="1">
      <c r="S143" s="3"/>
      <c r="AK143" s="11"/>
      <c r="AL143" s="65"/>
      <c r="AM143" s="65"/>
    </row>
    <row r="144" ht="15.75" customHeight="1">
      <c r="S144" s="3"/>
      <c r="AK144" s="11"/>
      <c r="AL144" s="65"/>
      <c r="AM144" s="65"/>
    </row>
    <row r="145" ht="15.75" customHeight="1">
      <c r="S145" s="3"/>
      <c r="AK145" s="11"/>
      <c r="AL145" s="65"/>
      <c r="AM145" s="65"/>
    </row>
    <row r="146" ht="15.75" customHeight="1">
      <c r="S146" s="3"/>
      <c r="AK146" s="11"/>
      <c r="AL146" s="65"/>
      <c r="AM146" s="65"/>
    </row>
    <row r="147" ht="15.75" customHeight="1">
      <c r="S147" s="3"/>
      <c r="AK147" s="11"/>
      <c r="AL147" s="65"/>
      <c r="AM147" s="65"/>
    </row>
    <row r="148" ht="15.75" customHeight="1">
      <c r="S148" s="3"/>
      <c r="AK148" s="11"/>
      <c r="AL148" s="65"/>
      <c r="AM148" s="65"/>
    </row>
    <row r="149" ht="15.75" customHeight="1">
      <c r="S149" s="3"/>
      <c r="AK149" s="11"/>
      <c r="AL149" s="65"/>
      <c r="AM149" s="65"/>
    </row>
    <row r="150" ht="15.75" customHeight="1">
      <c r="S150" s="3"/>
      <c r="AK150" s="11"/>
      <c r="AL150" s="65"/>
      <c r="AM150" s="65"/>
    </row>
    <row r="151" ht="15.75" customHeight="1">
      <c r="S151" s="3"/>
      <c r="AK151" s="11"/>
      <c r="AL151" s="65"/>
      <c r="AM151" s="65"/>
    </row>
    <row r="152" ht="15.75" customHeight="1">
      <c r="S152" s="3"/>
      <c r="AK152" s="11"/>
      <c r="AL152" s="65"/>
      <c r="AM152" s="65"/>
    </row>
    <row r="153" ht="15.75" customHeight="1">
      <c r="S153" s="3"/>
      <c r="AK153" s="11"/>
      <c r="AL153" s="65"/>
      <c r="AM153" s="65"/>
    </row>
    <row r="154" ht="15.75" customHeight="1">
      <c r="S154" s="3"/>
      <c r="AK154" s="11"/>
      <c r="AL154" s="65"/>
      <c r="AM154" s="65"/>
    </row>
    <row r="155" ht="15.75" customHeight="1">
      <c r="S155" s="3"/>
      <c r="AK155" s="11"/>
      <c r="AL155" s="65"/>
      <c r="AM155" s="65"/>
    </row>
    <row r="156" ht="15.75" customHeight="1">
      <c r="S156" s="3"/>
      <c r="AK156" s="11"/>
      <c r="AL156" s="65"/>
      <c r="AM156" s="65"/>
    </row>
    <row r="157" ht="15.75" customHeight="1">
      <c r="S157" s="3"/>
      <c r="AK157" s="11"/>
      <c r="AL157" s="65"/>
      <c r="AM157" s="65"/>
    </row>
    <row r="158" ht="15.75" customHeight="1">
      <c r="S158" s="3"/>
      <c r="AK158" s="11"/>
      <c r="AL158" s="65"/>
      <c r="AM158" s="65"/>
    </row>
    <row r="159" ht="15.75" customHeight="1">
      <c r="S159" s="3"/>
      <c r="AK159" s="11"/>
      <c r="AL159" s="65"/>
      <c r="AM159" s="65"/>
    </row>
    <row r="160" ht="15.75" customHeight="1">
      <c r="S160" s="3"/>
      <c r="AK160" s="11"/>
      <c r="AL160" s="65"/>
      <c r="AM160" s="65"/>
    </row>
    <row r="161" ht="15.75" customHeight="1">
      <c r="S161" s="3"/>
      <c r="AK161" s="11"/>
      <c r="AL161" s="65"/>
      <c r="AM161" s="65"/>
    </row>
    <row r="162" ht="15.75" customHeight="1">
      <c r="S162" s="3"/>
      <c r="AK162" s="11"/>
      <c r="AL162" s="65"/>
      <c r="AM162" s="65"/>
    </row>
    <row r="163" ht="15.75" customHeight="1">
      <c r="S163" s="3"/>
      <c r="AK163" s="11"/>
      <c r="AL163" s="65"/>
      <c r="AM163" s="65"/>
    </row>
    <row r="164" ht="15.75" customHeight="1">
      <c r="S164" s="3"/>
      <c r="AK164" s="11"/>
      <c r="AL164" s="65"/>
      <c r="AM164" s="65"/>
    </row>
    <row r="165" ht="15.75" customHeight="1">
      <c r="S165" s="3"/>
      <c r="AK165" s="11"/>
      <c r="AL165" s="65"/>
      <c r="AM165" s="65"/>
    </row>
    <row r="166" ht="15.75" customHeight="1">
      <c r="S166" s="3"/>
      <c r="AK166" s="11"/>
      <c r="AL166" s="65"/>
      <c r="AM166" s="65"/>
    </row>
    <row r="167" ht="15.75" customHeight="1">
      <c r="S167" s="3"/>
      <c r="AK167" s="11"/>
      <c r="AL167" s="65"/>
      <c r="AM167" s="65"/>
    </row>
    <row r="168" ht="15.75" customHeight="1">
      <c r="S168" s="3"/>
      <c r="AK168" s="11"/>
      <c r="AL168" s="65"/>
      <c r="AM168" s="65"/>
    </row>
    <row r="169" ht="15.75" customHeight="1">
      <c r="S169" s="3"/>
      <c r="AK169" s="11"/>
      <c r="AL169" s="65"/>
      <c r="AM169" s="65"/>
    </row>
    <row r="170" ht="15.75" customHeight="1">
      <c r="S170" s="3"/>
      <c r="AK170" s="11"/>
      <c r="AL170" s="65"/>
      <c r="AM170" s="65"/>
    </row>
    <row r="171" ht="15.75" customHeight="1">
      <c r="S171" s="3"/>
      <c r="AK171" s="11"/>
      <c r="AL171" s="65"/>
      <c r="AM171" s="65"/>
    </row>
    <row r="172" ht="15.75" customHeight="1">
      <c r="S172" s="3"/>
      <c r="AK172" s="11"/>
      <c r="AL172" s="65"/>
      <c r="AM172" s="65"/>
    </row>
    <row r="173" ht="15.75" customHeight="1">
      <c r="S173" s="3"/>
      <c r="AK173" s="11"/>
      <c r="AL173" s="65"/>
      <c r="AM173" s="65"/>
    </row>
    <row r="174" ht="15.75" customHeight="1">
      <c r="S174" s="3"/>
      <c r="AK174" s="11"/>
      <c r="AL174" s="65"/>
      <c r="AM174" s="65"/>
    </row>
    <row r="175" ht="15.75" customHeight="1">
      <c r="S175" s="3"/>
      <c r="AK175" s="11"/>
      <c r="AL175" s="65"/>
      <c r="AM175" s="65"/>
    </row>
    <row r="176" ht="15.75" customHeight="1">
      <c r="S176" s="3"/>
      <c r="AK176" s="11"/>
      <c r="AL176" s="65"/>
      <c r="AM176" s="65"/>
    </row>
    <row r="177" ht="15.75" customHeight="1">
      <c r="S177" s="3"/>
      <c r="AK177" s="11"/>
      <c r="AL177" s="65"/>
      <c r="AM177" s="65"/>
    </row>
    <row r="178" ht="15.75" customHeight="1">
      <c r="S178" s="3"/>
      <c r="AK178" s="11"/>
      <c r="AL178" s="65"/>
      <c r="AM178" s="65"/>
    </row>
    <row r="179" ht="15.75" customHeight="1">
      <c r="S179" s="3"/>
      <c r="AK179" s="11"/>
      <c r="AL179" s="65"/>
      <c r="AM179" s="65"/>
    </row>
    <row r="180" ht="15.75" customHeight="1">
      <c r="S180" s="3"/>
      <c r="AK180" s="11"/>
      <c r="AL180" s="65"/>
      <c r="AM180" s="65"/>
    </row>
    <row r="181" ht="15.75" customHeight="1">
      <c r="S181" s="3"/>
      <c r="AK181" s="11"/>
      <c r="AL181" s="65"/>
      <c r="AM181" s="65"/>
    </row>
    <row r="182" ht="15.75" customHeight="1">
      <c r="S182" s="3"/>
      <c r="AK182" s="11"/>
      <c r="AL182" s="65"/>
      <c r="AM182" s="65"/>
    </row>
    <row r="183" ht="15.75" customHeight="1">
      <c r="S183" s="3"/>
      <c r="AK183" s="11"/>
      <c r="AL183" s="65"/>
      <c r="AM183" s="65"/>
    </row>
    <row r="184" ht="15.75" customHeight="1">
      <c r="S184" s="3"/>
      <c r="AK184" s="11"/>
      <c r="AL184" s="65"/>
      <c r="AM184" s="65"/>
    </row>
    <row r="185" ht="15.75" customHeight="1">
      <c r="S185" s="3"/>
      <c r="AK185" s="11"/>
      <c r="AL185" s="65"/>
      <c r="AM185" s="65"/>
    </row>
    <row r="186" ht="15.75" customHeight="1">
      <c r="S186" s="3"/>
      <c r="AK186" s="11"/>
      <c r="AL186" s="65"/>
      <c r="AM186" s="65"/>
    </row>
    <row r="187" ht="15.75" customHeight="1">
      <c r="S187" s="3"/>
      <c r="AK187" s="11"/>
      <c r="AL187" s="65"/>
      <c r="AM187" s="65"/>
    </row>
    <row r="188" ht="15.75" customHeight="1">
      <c r="S188" s="3"/>
      <c r="AK188" s="11"/>
      <c r="AL188" s="65"/>
      <c r="AM188" s="65"/>
    </row>
    <row r="189" ht="15.75" customHeight="1">
      <c r="S189" s="3"/>
      <c r="AK189" s="11"/>
      <c r="AL189" s="65"/>
      <c r="AM189" s="65"/>
    </row>
    <row r="190" ht="15.75" customHeight="1">
      <c r="S190" s="3"/>
      <c r="AK190" s="11"/>
      <c r="AL190" s="65"/>
      <c r="AM190" s="65"/>
    </row>
    <row r="191" ht="15.75" customHeight="1">
      <c r="S191" s="3"/>
      <c r="AK191" s="11"/>
      <c r="AL191" s="65"/>
      <c r="AM191" s="65"/>
    </row>
    <row r="192" ht="15.75" customHeight="1">
      <c r="S192" s="3"/>
      <c r="AK192" s="11"/>
      <c r="AL192" s="65"/>
      <c r="AM192" s="65"/>
    </row>
    <row r="193" ht="15.75" customHeight="1">
      <c r="S193" s="3"/>
      <c r="AK193" s="11"/>
      <c r="AL193" s="65"/>
      <c r="AM193" s="65"/>
    </row>
    <row r="194" ht="15.75" customHeight="1">
      <c r="S194" s="3"/>
      <c r="AK194" s="11"/>
      <c r="AL194" s="65"/>
      <c r="AM194" s="65"/>
    </row>
    <row r="195" ht="15.75" customHeight="1">
      <c r="S195" s="3"/>
      <c r="AK195" s="11"/>
      <c r="AL195" s="65"/>
      <c r="AM195" s="65"/>
    </row>
    <row r="196" ht="15.75" customHeight="1">
      <c r="S196" s="3"/>
      <c r="AK196" s="11"/>
      <c r="AL196" s="65"/>
      <c r="AM196" s="65"/>
    </row>
    <row r="197" ht="15.75" customHeight="1">
      <c r="S197" s="3"/>
      <c r="AK197" s="11"/>
      <c r="AL197" s="65"/>
      <c r="AM197" s="65"/>
    </row>
    <row r="198" ht="15.75" customHeight="1">
      <c r="S198" s="3"/>
      <c r="AK198" s="11"/>
      <c r="AL198" s="65"/>
      <c r="AM198" s="65"/>
    </row>
    <row r="199" ht="15.75" customHeight="1">
      <c r="S199" s="3"/>
      <c r="AK199" s="11"/>
      <c r="AL199" s="65"/>
      <c r="AM199" s="65"/>
    </row>
    <row r="200" ht="15.75" customHeight="1">
      <c r="S200" s="3"/>
      <c r="AK200" s="11"/>
      <c r="AL200" s="65"/>
      <c r="AM200" s="65"/>
    </row>
    <row r="201" ht="15.75" customHeight="1">
      <c r="S201" s="3"/>
      <c r="AK201" s="11"/>
      <c r="AL201" s="65"/>
      <c r="AM201" s="65"/>
    </row>
    <row r="202" ht="15.75" customHeight="1">
      <c r="S202" s="3"/>
      <c r="AK202" s="11"/>
      <c r="AL202" s="65"/>
      <c r="AM202" s="65"/>
    </row>
    <row r="203" ht="15.75" customHeight="1">
      <c r="S203" s="3"/>
      <c r="AK203" s="11"/>
      <c r="AL203" s="65"/>
      <c r="AM203" s="65"/>
    </row>
    <row r="204" ht="15.75" customHeight="1">
      <c r="S204" s="3"/>
      <c r="AK204" s="11"/>
      <c r="AL204" s="65"/>
      <c r="AM204" s="65"/>
    </row>
    <row r="205" ht="15.75" customHeight="1">
      <c r="S205" s="3"/>
      <c r="AK205" s="11"/>
      <c r="AL205" s="65"/>
      <c r="AM205" s="65"/>
    </row>
    <row r="206" ht="15.75" customHeight="1">
      <c r="S206" s="3"/>
      <c r="AK206" s="11"/>
      <c r="AL206" s="65"/>
      <c r="AM206" s="65"/>
    </row>
    <row r="207" ht="15.75" customHeight="1">
      <c r="S207" s="3"/>
      <c r="AK207" s="11"/>
      <c r="AL207" s="65"/>
      <c r="AM207" s="65"/>
    </row>
    <row r="208" ht="15.75" customHeight="1">
      <c r="S208" s="3"/>
      <c r="AK208" s="11"/>
      <c r="AL208" s="65"/>
      <c r="AM208" s="65"/>
    </row>
    <row r="209" ht="15.75" customHeight="1">
      <c r="S209" s="3"/>
      <c r="AK209" s="11"/>
      <c r="AL209" s="65"/>
      <c r="AM209" s="65"/>
    </row>
    <row r="210" ht="15.75" customHeight="1">
      <c r="S210" s="3"/>
      <c r="AK210" s="11"/>
      <c r="AL210" s="65"/>
      <c r="AM210" s="65"/>
    </row>
    <row r="211" ht="15.75" customHeight="1">
      <c r="S211" s="3"/>
      <c r="AK211" s="11"/>
      <c r="AL211" s="65"/>
      <c r="AM211" s="65"/>
    </row>
    <row r="212" ht="15.75" customHeight="1">
      <c r="S212" s="3"/>
      <c r="AK212" s="11"/>
      <c r="AL212" s="65"/>
      <c r="AM212" s="65"/>
    </row>
    <row r="213" ht="15.75" customHeight="1">
      <c r="S213" s="3"/>
      <c r="AK213" s="11"/>
      <c r="AL213" s="65"/>
      <c r="AM213" s="65"/>
    </row>
    <row r="214" ht="15.75" customHeight="1">
      <c r="S214" s="3"/>
      <c r="AK214" s="11"/>
      <c r="AL214" s="65"/>
      <c r="AM214" s="65"/>
    </row>
    <row r="215" ht="15.75" customHeight="1">
      <c r="S215" s="3"/>
      <c r="AK215" s="11"/>
      <c r="AL215" s="65"/>
      <c r="AM215" s="65"/>
    </row>
    <row r="216" ht="15.75" customHeight="1">
      <c r="S216" s="3"/>
      <c r="AK216" s="11"/>
      <c r="AL216" s="65"/>
      <c r="AM216" s="65"/>
    </row>
    <row r="217" ht="15.75" customHeight="1">
      <c r="S217" s="3"/>
      <c r="AK217" s="11"/>
      <c r="AL217" s="65"/>
      <c r="AM217" s="65"/>
    </row>
    <row r="218" ht="15.75" customHeight="1">
      <c r="S218" s="3"/>
      <c r="AK218" s="11"/>
      <c r="AL218" s="65"/>
      <c r="AM218" s="65"/>
    </row>
    <row r="219" ht="15.75" customHeight="1">
      <c r="S219" s="3"/>
      <c r="AK219" s="11"/>
      <c r="AL219" s="65"/>
      <c r="AM219" s="65"/>
    </row>
    <row r="220" ht="15.75" customHeight="1">
      <c r="S220" s="3"/>
      <c r="AK220" s="11"/>
      <c r="AL220" s="65"/>
      <c r="AM220" s="65"/>
    </row>
    <row r="221" ht="15.75" customHeight="1">
      <c r="S221" s="3"/>
      <c r="AK221" s="11"/>
      <c r="AL221" s="65"/>
      <c r="AM221" s="65"/>
    </row>
    <row r="222" ht="15.75" customHeight="1">
      <c r="S222" s="3"/>
      <c r="AK222" s="11"/>
      <c r="AL222" s="65"/>
      <c r="AM222" s="65"/>
    </row>
    <row r="223" ht="15.75" customHeight="1">
      <c r="S223" s="3"/>
      <c r="AK223" s="11"/>
      <c r="AL223" s="65"/>
      <c r="AM223" s="65"/>
    </row>
    <row r="224" ht="15.75" customHeight="1">
      <c r="S224" s="3"/>
      <c r="AK224" s="11"/>
      <c r="AL224" s="65"/>
      <c r="AM224" s="65"/>
    </row>
    <row r="225" ht="15.75" customHeight="1">
      <c r="S225" s="3"/>
      <c r="AK225" s="11"/>
      <c r="AL225" s="65"/>
      <c r="AM225" s="65"/>
    </row>
    <row r="226" ht="15.75" customHeight="1">
      <c r="S226" s="3"/>
      <c r="AK226" s="11"/>
      <c r="AL226" s="65"/>
      <c r="AM226" s="65"/>
    </row>
    <row r="227" ht="15.75" customHeight="1">
      <c r="S227" s="3"/>
      <c r="AK227" s="11"/>
      <c r="AL227" s="65"/>
      <c r="AM227" s="65"/>
    </row>
    <row r="228" ht="15.75" customHeight="1">
      <c r="S228" s="3"/>
      <c r="AK228" s="11"/>
      <c r="AL228" s="65"/>
      <c r="AM228" s="65"/>
    </row>
    <row r="229" ht="15.75" customHeight="1">
      <c r="S229" s="3"/>
      <c r="AK229" s="11"/>
      <c r="AL229" s="65"/>
      <c r="AM229" s="65"/>
    </row>
    <row r="230" ht="15.75" customHeight="1">
      <c r="S230" s="3"/>
      <c r="AK230" s="11"/>
      <c r="AL230" s="65"/>
      <c r="AM230" s="65"/>
    </row>
    <row r="231" ht="15.75" customHeight="1">
      <c r="S231" s="3"/>
      <c r="AK231" s="11"/>
      <c r="AL231" s="65"/>
      <c r="AM231" s="65"/>
    </row>
    <row r="232" ht="15.75" customHeight="1">
      <c r="S232" s="3"/>
      <c r="AK232" s="11"/>
      <c r="AL232" s="65"/>
      <c r="AM232" s="65"/>
    </row>
    <row r="233" ht="15.75" customHeight="1">
      <c r="S233" s="3"/>
      <c r="AK233" s="11"/>
      <c r="AL233" s="65"/>
      <c r="AM233" s="65"/>
    </row>
    <row r="234" ht="15.75" customHeight="1">
      <c r="S234" s="3"/>
      <c r="AK234" s="11"/>
      <c r="AL234" s="65"/>
      <c r="AM234" s="65"/>
    </row>
    <row r="235" ht="15.75" customHeight="1">
      <c r="S235" s="3"/>
      <c r="AK235" s="11"/>
      <c r="AL235" s="65"/>
      <c r="AM235" s="65"/>
    </row>
    <row r="236" ht="15.75" customHeight="1">
      <c r="S236" s="3"/>
      <c r="AK236" s="11"/>
      <c r="AL236" s="65"/>
      <c r="AM236" s="65"/>
    </row>
    <row r="237" ht="15.75" customHeight="1">
      <c r="S237" s="3"/>
      <c r="AK237" s="11"/>
      <c r="AL237" s="65"/>
      <c r="AM237" s="65"/>
    </row>
    <row r="238" ht="15.75" customHeight="1">
      <c r="S238" s="3"/>
      <c r="AK238" s="11"/>
      <c r="AL238" s="65"/>
      <c r="AM238" s="65"/>
    </row>
    <row r="239" ht="15.75" customHeight="1">
      <c r="S239" s="3"/>
      <c r="AK239" s="11"/>
      <c r="AL239" s="65"/>
      <c r="AM239" s="65"/>
    </row>
    <row r="240" ht="15.75" customHeight="1">
      <c r="S240" s="3"/>
      <c r="AK240" s="11"/>
      <c r="AL240" s="65"/>
      <c r="AM240" s="65"/>
    </row>
    <row r="241" ht="15.75" customHeight="1">
      <c r="AK241" s="11"/>
      <c r="AL241" s="65"/>
      <c r="AM241" s="65"/>
    </row>
    <row r="242" ht="15.75" customHeight="1">
      <c r="AK242" s="11"/>
      <c r="AL242" s="65"/>
      <c r="AM242" s="65"/>
    </row>
    <row r="243" ht="15.75" customHeight="1">
      <c r="AK243" s="11"/>
      <c r="AL243" s="65"/>
      <c r="AM243" s="65"/>
    </row>
    <row r="244" ht="15.75" customHeight="1">
      <c r="AK244" s="11"/>
      <c r="AL244" s="65"/>
      <c r="AM244" s="65"/>
    </row>
    <row r="245" ht="15.75" customHeight="1">
      <c r="AK245" s="11"/>
      <c r="AL245" s="65"/>
      <c r="AM245" s="65"/>
    </row>
    <row r="246" ht="15.75" customHeight="1">
      <c r="AK246" s="11"/>
      <c r="AL246" s="65"/>
      <c r="AM246" s="65"/>
    </row>
    <row r="247" ht="15.75" customHeight="1">
      <c r="AK247" s="11"/>
      <c r="AL247" s="65"/>
      <c r="AM247" s="65"/>
    </row>
    <row r="248" ht="15.75" customHeight="1">
      <c r="AK248" s="11"/>
      <c r="AL248" s="65"/>
      <c r="AM248" s="65"/>
    </row>
    <row r="249" ht="15.75" customHeight="1">
      <c r="AK249" s="11"/>
      <c r="AL249" s="65"/>
      <c r="AM249" s="65"/>
    </row>
    <row r="250" ht="15.75" customHeight="1">
      <c r="AK250" s="11"/>
      <c r="AL250" s="65"/>
      <c r="AM250" s="65"/>
    </row>
    <row r="251" ht="15.75" customHeight="1">
      <c r="AK251" s="11"/>
      <c r="AL251" s="65"/>
      <c r="AM251" s="65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23.71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20.29"/>
    <col customWidth="1" min="36" max="36" width="17.57"/>
    <col customWidth="1" min="37" max="38" width="14.43"/>
    <col customWidth="1" min="39" max="39" width="17.71"/>
    <col customWidth="1" min="43" max="44" width="17.14"/>
  </cols>
  <sheetData>
    <row r="1" ht="15.0" customHeight="1">
      <c r="AB1" s="7"/>
      <c r="AC1" s="7"/>
      <c r="AD1" s="7"/>
      <c r="AE1" s="7"/>
      <c r="AF1" s="7"/>
      <c r="AG1" s="910" t="s">
        <v>4782</v>
      </c>
      <c r="AH1" s="7" t="s">
        <v>4783</v>
      </c>
      <c r="AI1" s="3" t="s">
        <v>4784</v>
      </c>
      <c r="AJ1" s="125" t="s">
        <v>3</v>
      </c>
      <c r="AK1" s="11"/>
      <c r="AL1" s="65"/>
      <c r="AM1" s="65"/>
    </row>
    <row r="2" ht="15.0" customHeight="1">
      <c r="G2" s="13"/>
      <c r="H2" s="13"/>
      <c r="I2" s="4">
        <f>SUM(I4:I874)</f>
        <v>454.18</v>
      </c>
      <c r="J2" s="4"/>
      <c r="K2" s="4">
        <f>SUM(K4:K874)</f>
        <v>430.888058</v>
      </c>
      <c r="N2" s="405">
        <f>SUMPRODUCT(N4:N986,K4:K986)/K2</f>
        <v>0.4459821113</v>
      </c>
      <c r="Q2" s="58">
        <f>+SUMPRODUCT(Q4:Q874,AH4:AH874)/SUM(AH4:AH874)</f>
        <v>89.61842716</v>
      </c>
      <c r="R2" s="65">
        <f>+SUMPRODUCT(R4:R874,AH4:AH874)/SUM(AH4:AH874)</f>
        <v>2399.277431</v>
      </c>
      <c r="AB2" s="7"/>
      <c r="AC2" s="7"/>
      <c r="AD2" s="7"/>
      <c r="AE2" s="7"/>
      <c r="AF2" s="7"/>
      <c r="AG2" s="910">
        <f>SUMPRODUCT($AG4:$AG874,$K4:$K874)/SUM($K4:$K874)</f>
        <v>41.8144224</v>
      </c>
      <c r="AH2" s="7">
        <f>SUM(AH4:AH874)</f>
        <v>5877.008165</v>
      </c>
      <c r="AI2" s="606">
        <v>2516.6</v>
      </c>
      <c r="AJ2" s="125"/>
      <c r="AK2" s="11"/>
      <c r="AL2" s="65"/>
      <c r="AM2" s="65"/>
    </row>
    <row r="3" ht="15.0" customHeight="1">
      <c r="A3" s="880" t="s">
        <v>5</v>
      </c>
      <c r="B3" s="880" t="s">
        <v>6</v>
      </c>
      <c r="C3" s="880" t="s">
        <v>7</v>
      </c>
      <c r="D3" s="880" t="s">
        <v>8</v>
      </c>
      <c r="E3" s="880" t="s">
        <v>4880</v>
      </c>
      <c r="F3" s="880" t="s">
        <v>10</v>
      </c>
      <c r="G3" s="880" t="s">
        <v>11</v>
      </c>
      <c r="H3" s="881"/>
      <c r="I3" s="911" t="s">
        <v>12</v>
      </c>
      <c r="J3" s="911" t="s">
        <v>13</v>
      </c>
      <c r="K3" s="880" t="s">
        <v>14</v>
      </c>
      <c r="L3" s="892" t="s">
        <v>15</v>
      </c>
      <c r="M3" s="887" t="s">
        <v>16</v>
      </c>
      <c r="N3" s="887" t="s">
        <v>17</v>
      </c>
      <c r="O3" s="881" t="s">
        <v>18</v>
      </c>
      <c r="P3" s="892" t="s">
        <v>19</v>
      </c>
      <c r="Q3" s="892" t="s">
        <v>20</v>
      </c>
      <c r="R3" s="892" t="s">
        <v>21</v>
      </c>
      <c r="S3" s="892" t="s">
        <v>22</v>
      </c>
      <c r="T3" s="890" t="s">
        <v>23</v>
      </c>
      <c r="U3" s="890" t="s">
        <v>24</v>
      </c>
      <c r="V3" s="891" t="s">
        <v>25</v>
      </c>
      <c r="W3" s="892" t="s">
        <v>26</v>
      </c>
      <c r="X3" s="892" t="s">
        <v>27</v>
      </c>
      <c r="Y3" s="892" t="s">
        <v>28</v>
      </c>
      <c r="Z3" s="881" t="s">
        <v>29</v>
      </c>
      <c r="AA3" s="881" t="s">
        <v>30</v>
      </c>
      <c r="AB3" s="893" t="s">
        <v>31</v>
      </c>
      <c r="AC3" s="894" t="s">
        <v>32</v>
      </c>
      <c r="AD3" s="895" t="s">
        <v>33</v>
      </c>
      <c r="AE3" s="895" t="s">
        <v>34</v>
      </c>
      <c r="AF3" s="895" t="s">
        <v>35</v>
      </c>
      <c r="AG3" s="912" t="s">
        <v>36</v>
      </c>
      <c r="AH3" s="913" t="s">
        <v>4750</v>
      </c>
      <c r="AI3" s="65">
        <f>SUMPRODUCT(K4:K874,AI4:AI874)/K2</f>
        <v>106.7955075</v>
      </c>
      <c r="AJ3" s="70">
        <f t="shared" ref="AJ3:AK3" si="1">SUM(AJ4:AJ874)</f>
        <v>5730.100892</v>
      </c>
      <c r="AK3" s="11">
        <f t="shared" si="1"/>
        <v>146.9072723</v>
      </c>
      <c r="AL3" s="65">
        <f>+AH2-AJ3</f>
        <v>146.9072723</v>
      </c>
      <c r="AM3" s="65"/>
    </row>
    <row r="4" ht="15.0" customHeight="1">
      <c r="A4" s="899"/>
      <c r="B4" s="900"/>
      <c r="C4" s="900"/>
      <c r="D4" s="900"/>
      <c r="E4" s="900"/>
      <c r="F4" s="900"/>
      <c r="G4" s="900"/>
      <c r="H4" s="901"/>
      <c r="I4" s="900"/>
      <c r="J4" s="900"/>
      <c r="K4" s="900"/>
      <c r="L4" s="901"/>
      <c r="M4" s="902"/>
      <c r="N4" s="902"/>
      <c r="O4" s="901"/>
      <c r="P4" s="901"/>
      <c r="Q4" s="901"/>
      <c r="R4" s="901"/>
      <c r="S4" s="901"/>
      <c r="T4" s="903"/>
      <c r="U4" s="903"/>
      <c r="V4" s="903"/>
      <c r="W4" s="901"/>
      <c r="X4" s="901"/>
      <c r="Y4" s="901"/>
      <c r="Z4" s="901"/>
      <c r="AA4" s="901"/>
      <c r="AB4" s="904"/>
      <c r="AC4" s="905"/>
      <c r="AD4" s="906"/>
      <c r="AE4" s="906"/>
      <c r="AF4" s="906"/>
      <c r="AG4" s="914"/>
      <c r="AH4" s="876"/>
      <c r="AI4" s="70"/>
      <c r="AJ4" s="134"/>
      <c r="AK4" s="53"/>
      <c r="AL4" s="70"/>
      <c r="AM4" s="70"/>
      <c r="AN4" s="67"/>
      <c r="AO4" s="67"/>
      <c r="AP4" s="67"/>
      <c r="AQ4" s="67"/>
      <c r="AR4" s="67"/>
      <c r="AS4" s="67"/>
      <c r="AT4" s="67"/>
    </row>
    <row r="5" ht="15.75" customHeight="1">
      <c r="A5" s="116" t="s">
        <v>4943</v>
      </c>
      <c r="B5" s="870">
        <v>45488.0</v>
      </c>
      <c r="C5" s="870">
        <v>45484.0</v>
      </c>
      <c r="D5" s="2" t="s">
        <v>602</v>
      </c>
      <c r="E5" s="915"/>
      <c r="F5" s="67" t="s">
        <v>4944</v>
      </c>
      <c r="G5" s="13">
        <v>82.0</v>
      </c>
      <c r="H5" s="13" t="s">
        <v>47</v>
      </c>
      <c r="I5" s="6">
        <v>7.19</v>
      </c>
      <c r="J5" s="58">
        <v>1.25</v>
      </c>
      <c r="K5" s="59">
        <f t="shared" ref="K5:K62" si="2">+I5-(I5*(J5/100))</f>
        <v>7.100125</v>
      </c>
      <c r="L5" s="139">
        <v>0.319</v>
      </c>
      <c r="M5" s="60">
        <v>0.303</v>
      </c>
      <c r="N5" s="968">
        <v>0.303</v>
      </c>
      <c r="O5" s="106">
        <f t="shared" ref="O5:O62" si="3">+ROUND((M5+N5)/2,3)</f>
        <v>0.303</v>
      </c>
      <c r="P5" s="67">
        <v>90.0</v>
      </c>
      <c r="Q5" s="69">
        <v>90.31</v>
      </c>
      <c r="R5" s="65">
        <v>2401.375</v>
      </c>
      <c r="S5" s="3">
        <v>110.0</v>
      </c>
      <c r="U5" s="67">
        <v>130.0</v>
      </c>
      <c r="V5" s="67">
        <v>1.1023</v>
      </c>
      <c r="W5" s="58">
        <v>5.8</v>
      </c>
      <c r="X5" s="58">
        <v>7.8</v>
      </c>
      <c r="Y5" s="67">
        <v>30.0</v>
      </c>
      <c r="Z5" s="69">
        <f t="shared" ref="Z5:Z15" si="4">IF(IF(D5="UNTUCA",IF(+((W5-3)*1.5+(X5-3)*3.1)&gt;0,+((W5-3)*1.5+(X5-3)*3.1),0),IF(+((W5-3)*1.5+(X5-3)*3.1)&gt;0,+((W5-3)*1.5+(X5-3)*3.1),0))&lt;30,30,IF(D5="UNTUCA",IF(+((W5-3)*1.5+(X5-3)*3.1)&gt;0,+((W5-3)*1.5+(X5-3)*3.1),0),IF(+((W5-3)*1.5+(X5-3)*3.1)&gt;0,+((W5-3)*1.5+(X5-3)*3.1),0)))</f>
        <v>30</v>
      </c>
      <c r="AA5" s="70">
        <f t="shared" ref="AA5:AA62" si="5">+Y5+Z5</f>
        <v>60</v>
      </c>
      <c r="AB5" s="71">
        <f t="shared" ref="AB5:AB62" si="6">+((O5*P5*(R5-U5)/100)-S5-AA5+T5)*V5</f>
        <v>495.3779879</v>
      </c>
      <c r="AC5" s="71">
        <f>+(S5-T5)*V5-'data 1'!$F$4</f>
        <v>41.253</v>
      </c>
      <c r="AD5" s="71">
        <f t="shared" ref="AD5:AD62" si="7">+(Q5-P5)*(R5-U5)*L5*V5/100</f>
        <v>2.475945186</v>
      </c>
      <c r="AE5" s="71">
        <f>+(Y5*V5-'data 2'!$B$2)+V5*(Z5-IF(D5="UNTUCA",IF(+((W5-3)*2.5+(X5-3)*3.1)&gt;0,+((W5-3)*1.5+(X5-3)*3.1),0),IF(+((W5-3)*1.5+(X5-3)*3.1)&gt;0,+((W5-3)*1.5+(X5-3)*3.1),0)))</f>
        <v>-44.893884</v>
      </c>
      <c r="AF5" s="71">
        <f t="shared" ref="AF5:AF62" si="8">(L5-O5)*(R5-U5)*Q5*V5/100</f>
        <v>36.17799328</v>
      </c>
      <c r="AG5" s="71">
        <f t="shared" ref="AG5:AG15" si="9">+AC5+AD5+AE5+AF5</f>
        <v>35.01305446</v>
      </c>
      <c r="AH5" s="71">
        <f t="shared" ref="AH5:AH62" si="10">31.1035*L5*Q5*1.1023*K5/100</f>
        <v>70.12963673</v>
      </c>
      <c r="AI5" s="58">
        <f t="shared" ref="AI5:AI62" si="11">+((+$AI$2-R5+U5)*L5*Q5*V5)/100</f>
        <v>77.87374773</v>
      </c>
      <c r="AJ5" s="58">
        <f t="shared" ref="AJ5:AJ62" si="12">31.1035*1.1023*K5*P5*O5/100</f>
        <v>66.38350848</v>
      </c>
      <c r="AK5" s="11">
        <f t="shared" ref="AK5:AK62" si="13">+AH5-AJ5</f>
        <v>3.74612825</v>
      </c>
      <c r="AL5" s="65"/>
      <c r="AM5" s="65"/>
      <c r="AP5" s="65">
        <f t="shared" ref="AP5:AP28" si="14">+AB5*K5</f>
        <v>3517.245636</v>
      </c>
    </row>
    <row r="6" ht="15.75" customHeight="1">
      <c r="A6" s="116" t="s">
        <v>4945</v>
      </c>
      <c r="B6" s="870">
        <v>45488.0</v>
      </c>
      <c r="C6" s="870">
        <v>45484.0</v>
      </c>
      <c r="D6" s="2" t="s">
        <v>602</v>
      </c>
      <c r="E6" s="915"/>
      <c r="F6" s="67" t="s">
        <v>4944</v>
      </c>
      <c r="G6" s="13">
        <v>81.0</v>
      </c>
      <c r="H6" s="13" t="s">
        <v>47</v>
      </c>
      <c r="I6" s="6">
        <v>6.83</v>
      </c>
      <c r="J6" s="58">
        <v>1.15</v>
      </c>
      <c r="K6" s="59">
        <f t="shared" si="2"/>
        <v>6.751455</v>
      </c>
      <c r="L6" s="139">
        <v>0.312</v>
      </c>
      <c r="M6" s="60">
        <v>0.3</v>
      </c>
      <c r="N6" s="968">
        <v>0.3</v>
      </c>
      <c r="O6" s="106">
        <f t="shared" si="3"/>
        <v>0.3</v>
      </c>
      <c r="P6" s="67">
        <v>90.0</v>
      </c>
      <c r="Q6" s="69">
        <v>90.15</v>
      </c>
      <c r="R6" s="65">
        <v>2401.375</v>
      </c>
      <c r="S6" s="3">
        <v>110.0</v>
      </c>
      <c r="U6" s="67">
        <v>130.0</v>
      </c>
      <c r="V6" s="67">
        <v>1.1023</v>
      </c>
      <c r="W6" s="58">
        <v>5.8</v>
      </c>
      <c r="X6" s="58">
        <v>7.8</v>
      </c>
      <c r="Y6" s="67">
        <v>30.0</v>
      </c>
      <c r="Z6" s="69">
        <f t="shared" si="4"/>
        <v>30</v>
      </c>
      <c r="AA6" s="70">
        <f t="shared" si="5"/>
        <v>60</v>
      </c>
      <c r="AB6" s="71">
        <f t="shared" si="6"/>
        <v>488.6178989</v>
      </c>
      <c r="AC6" s="71">
        <f>+(S6-T6)*V6-'data 1'!$F$4</f>
        <v>41.253</v>
      </c>
      <c r="AD6" s="71">
        <f t="shared" si="7"/>
        <v>1.171748758</v>
      </c>
      <c r="AE6" s="71">
        <f>+(Y6*V6-'data 2'!$B$2)+V6*(Z6-IF(D6="UNTUCA",IF(+((W6-3)*2.5+(X6-3)*3.1)&gt;0,+((W6-3)*1.5+(X6-3)*3.1),0),IF(+((W6-3)*1.5+(X6-3)*3.1)&gt;0,+((W6-3)*1.5+(X6-3)*3.1),0)))</f>
        <v>-44.893884</v>
      </c>
      <c r="AF6" s="71">
        <f t="shared" si="8"/>
        <v>27.08542321</v>
      </c>
      <c r="AG6" s="71">
        <f t="shared" si="9"/>
        <v>24.61628797</v>
      </c>
      <c r="AH6" s="71">
        <f t="shared" si="10"/>
        <v>65.10686317</v>
      </c>
      <c r="AI6" s="58">
        <f t="shared" si="11"/>
        <v>76.0299799</v>
      </c>
      <c r="AJ6" s="58">
        <f t="shared" si="12"/>
        <v>62.49858874</v>
      </c>
      <c r="AK6" s="11">
        <f t="shared" si="13"/>
        <v>2.608274437</v>
      </c>
      <c r="AL6" s="65"/>
      <c r="AM6" s="65"/>
      <c r="AP6" s="65">
        <f t="shared" si="14"/>
        <v>3298.881756</v>
      </c>
    </row>
    <row r="7" ht="15.75" customHeight="1">
      <c r="A7" s="116" t="s">
        <v>4946</v>
      </c>
      <c r="B7" s="841">
        <v>45488.0</v>
      </c>
      <c r="C7" s="841">
        <v>45484.0</v>
      </c>
      <c r="D7" s="67" t="s">
        <v>602</v>
      </c>
      <c r="E7" s="915"/>
      <c r="F7" s="67" t="s">
        <v>4802</v>
      </c>
      <c r="G7" s="916">
        <v>90.0</v>
      </c>
      <c r="H7" s="916" t="s">
        <v>47</v>
      </c>
      <c r="I7" s="59">
        <v>8.42</v>
      </c>
      <c r="J7" s="69">
        <v>1.15</v>
      </c>
      <c r="K7" s="59">
        <f t="shared" si="2"/>
        <v>8.32317</v>
      </c>
      <c r="L7" s="405">
        <v>0.232</v>
      </c>
      <c r="M7" s="106">
        <v>0.218</v>
      </c>
      <c r="N7" s="968">
        <v>0.218</v>
      </c>
      <c r="O7" s="106">
        <f t="shared" si="3"/>
        <v>0.218</v>
      </c>
      <c r="P7" s="67">
        <v>90.0</v>
      </c>
      <c r="Q7" s="69">
        <v>90.46</v>
      </c>
      <c r="R7" s="70">
        <v>2401.375</v>
      </c>
      <c r="S7" s="134">
        <v>95.0</v>
      </c>
      <c r="T7" s="67"/>
      <c r="U7" s="67">
        <v>130.0</v>
      </c>
      <c r="V7" s="67">
        <v>1.1023</v>
      </c>
      <c r="W7" s="69">
        <v>5.8</v>
      </c>
      <c r="X7" s="69">
        <v>7.9</v>
      </c>
      <c r="Y7" s="67">
        <v>30.0</v>
      </c>
      <c r="Z7" s="69">
        <f t="shared" si="4"/>
        <v>30</v>
      </c>
      <c r="AA7" s="70">
        <f t="shared" si="5"/>
        <v>60</v>
      </c>
      <c r="AB7" s="71">
        <f t="shared" si="6"/>
        <v>320.3766332</v>
      </c>
      <c r="AC7" s="71">
        <f>+(S7-T7)*V7-'data 1'!$F$4</f>
        <v>24.7185</v>
      </c>
      <c r="AD7" s="71">
        <f t="shared" si="7"/>
        <v>2.671987766</v>
      </c>
      <c r="AE7" s="71">
        <f>+(Y7*V7-'data 2'!$B$2)+V7*(Z7-IF(D7="UNTUCA",IF(+((W7-3)*2.5+(X7-3)*3.1)&gt;0,+((W7-3)*1.5+(X7-3)*3.1),0),IF(+((W7-3)*1.5+(X7-3)*3.1)&gt;0,+((W7-3)*1.5+(X7-3)*3.1),0)))</f>
        <v>-45.235597</v>
      </c>
      <c r="AF7" s="71">
        <f t="shared" si="8"/>
        <v>31.70832259</v>
      </c>
      <c r="AG7" s="71">
        <f t="shared" si="9"/>
        <v>13.86321335</v>
      </c>
      <c r="AH7" s="71">
        <f t="shared" si="10"/>
        <v>59.88835756</v>
      </c>
      <c r="AI7" s="69">
        <f t="shared" si="11"/>
        <v>56.72952131</v>
      </c>
      <c r="AJ7" s="69">
        <f t="shared" si="12"/>
        <v>55.98824282</v>
      </c>
      <c r="AK7" s="53">
        <f t="shared" si="13"/>
        <v>3.900114741</v>
      </c>
      <c r="AL7" s="70"/>
      <c r="AM7" s="70"/>
      <c r="AN7" s="67"/>
      <c r="AO7" s="67"/>
      <c r="AP7" s="65">
        <f t="shared" si="14"/>
        <v>2666.549182</v>
      </c>
      <c r="AQ7" s="67"/>
      <c r="AR7" s="67"/>
      <c r="AS7" s="67"/>
      <c r="AT7" s="67"/>
    </row>
    <row r="8" ht="15.75" customHeight="1">
      <c r="A8" s="116" t="s">
        <v>4947</v>
      </c>
      <c r="B8" s="841">
        <v>45488.0</v>
      </c>
      <c r="C8" s="841">
        <v>45484.0</v>
      </c>
      <c r="D8" s="67" t="s">
        <v>602</v>
      </c>
      <c r="E8" s="915"/>
      <c r="F8" s="67" t="s">
        <v>4802</v>
      </c>
      <c r="G8" s="916">
        <v>90.0</v>
      </c>
      <c r="H8" s="916" t="s">
        <v>47</v>
      </c>
      <c r="I8" s="59">
        <v>8.51</v>
      </c>
      <c r="J8" s="69">
        <v>1.1</v>
      </c>
      <c r="K8" s="59">
        <f t="shared" si="2"/>
        <v>8.41639</v>
      </c>
      <c r="L8" s="405">
        <v>0.429</v>
      </c>
      <c r="M8" s="106">
        <v>0.386</v>
      </c>
      <c r="N8" s="968">
        <v>0.386</v>
      </c>
      <c r="O8" s="106">
        <f t="shared" si="3"/>
        <v>0.386</v>
      </c>
      <c r="P8" s="67">
        <v>90.0</v>
      </c>
      <c r="Q8" s="69">
        <v>89.15</v>
      </c>
      <c r="R8" s="70">
        <v>2401.375</v>
      </c>
      <c r="S8" s="134">
        <v>110.0</v>
      </c>
      <c r="T8" s="67"/>
      <c r="U8" s="67">
        <v>130.0</v>
      </c>
      <c r="V8" s="67">
        <v>1.1023</v>
      </c>
      <c r="W8" s="69">
        <v>6.0</v>
      </c>
      <c r="X8" s="69">
        <v>8.0</v>
      </c>
      <c r="Y8" s="67">
        <v>30.0</v>
      </c>
      <c r="Z8" s="69">
        <f t="shared" si="4"/>
        <v>30</v>
      </c>
      <c r="AA8" s="70">
        <f t="shared" si="5"/>
        <v>60</v>
      </c>
      <c r="AB8" s="71">
        <f t="shared" si="6"/>
        <v>682.4071166</v>
      </c>
      <c r="AC8" s="71">
        <f>+(S8-T8)*V8-'data 1'!$F$4</f>
        <v>41.253</v>
      </c>
      <c r="AD8" s="71">
        <f t="shared" si="7"/>
        <v>-9.12987574</v>
      </c>
      <c r="AE8" s="71">
        <f>+(Y8*V8-'data 2'!$B$2)+V8*(Z8-IF(D8="UNTUCA",IF(+((W8-3)*2.5+(X8-3)*3.1)&gt;0,+((W8-3)*1.5+(X8-3)*3.1),0),IF(+((W8-3)*1.5+(X8-3)*3.1)&gt;0,+((W8-3)*1.5+(X8-3)*3.1),0)))</f>
        <v>-45.908</v>
      </c>
      <c r="AF8" s="71">
        <f t="shared" si="8"/>
        <v>95.97949309</v>
      </c>
      <c r="AG8" s="71">
        <f t="shared" si="9"/>
        <v>82.19461735</v>
      </c>
      <c r="AH8" s="71">
        <f t="shared" si="10"/>
        <v>110.3604749</v>
      </c>
      <c r="AI8" s="69">
        <f t="shared" si="11"/>
        <v>103.381586</v>
      </c>
      <c r="AJ8" s="69">
        <f t="shared" si="12"/>
        <v>100.2454651</v>
      </c>
      <c r="AK8" s="53">
        <f t="shared" si="13"/>
        <v>10.11500982</v>
      </c>
      <c r="AL8" s="70"/>
      <c r="AM8" s="70"/>
      <c r="AN8" s="67"/>
      <c r="AO8" s="67"/>
      <c r="AP8" s="65">
        <f t="shared" si="14"/>
        <v>5743.404432</v>
      </c>
      <c r="AQ8" s="67"/>
      <c r="AR8" s="67"/>
      <c r="AS8" s="67"/>
      <c r="AT8" s="67"/>
    </row>
    <row r="9" ht="15.75" customHeight="1">
      <c r="A9" s="116" t="s">
        <v>4948</v>
      </c>
      <c r="B9" s="841">
        <v>45488.0</v>
      </c>
      <c r="C9" s="841">
        <v>45484.0</v>
      </c>
      <c r="D9" s="67" t="s">
        <v>602</v>
      </c>
      <c r="E9" s="915"/>
      <c r="F9" s="67" t="s">
        <v>4802</v>
      </c>
      <c r="G9" s="916">
        <v>90.0</v>
      </c>
      <c r="H9" s="916" t="s">
        <v>47</v>
      </c>
      <c r="I9" s="59">
        <v>8.37</v>
      </c>
      <c r="J9" s="69">
        <v>0.78</v>
      </c>
      <c r="K9" s="59">
        <f t="shared" si="2"/>
        <v>8.304714</v>
      </c>
      <c r="L9" s="405">
        <v>0.551</v>
      </c>
      <c r="M9" s="106">
        <v>0.496</v>
      </c>
      <c r="N9" s="968">
        <v>0.496</v>
      </c>
      <c r="O9" s="106">
        <f t="shared" si="3"/>
        <v>0.496</v>
      </c>
      <c r="P9" s="67">
        <v>90.0</v>
      </c>
      <c r="Q9" s="69">
        <v>89.1</v>
      </c>
      <c r="R9" s="70">
        <v>2401.375</v>
      </c>
      <c r="S9" s="134">
        <v>120.0</v>
      </c>
      <c r="T9" s="67"/>
      <c r="U9" s="67">
        <v>130.0</v>
      </c>
      <c r="V9" s="67">
        <v>1.1023</v>
      </c>
      <c r="W9" s="69">
        <v>6.0</v>
      </c>
      <c r="X9" s="69">
        <v>8.0</v>
      </c>
      <c r="Y9" s="67">
        <v>30.0</v>
      </c>
      <c r="Z9" s="69">
        <f t="shared" si="4"/>
        <v>30</v>
      </c>
      <c r="AA9" s="70">
        <f t="shared" si="5"/>
        <v>60</v>
      </c>
      <c r="AB9" s="71">
        <f t="shared" si="6"/>
        <v>919.2540461</v>
      </c>
      <c r="AC9" s="71">
        <f>+(S9-T9)*V9-'data 1'!$F$4</f>
        <v>52.276</v>
      </c>
      <c r="AD9" s="71">
        <f t="shared" si="7"/>
        <v>-12.41603011</v>
      </c>
      <c r="AE9" s="71">
        <f>+(Y9*V9-'data 2'!$B$2)+V9*(Z9-IF(D9="UNTUCA",IF(+((W9-3)*2.5+(X9-3)*3.1)&gt;0,+((W9-3)*1.5+(X9-3)*3.1),0),IF(+((W9-3)*1.5+(X9-3)*3.1)&gt;0,+((W9-3)*1.5+(X9-3)*3.1),0)))</f>
        <v>-45.908</v>
      </c>
      <c r="AF9" s="71">
        <f t="shared" si="8"/>
        <v>122.6956151</v>
      </c>
      <c r="AG9" s="71">
        <f t="shared" si="9"/>
        <v>116.647585</v>
      </c>
      <c r="AH9" s="71">
        <f t="shared" si="10"/>
        <v>139.7857989</v>
      </c>
      <c r="AI9" s="69">
        <f t="shared" si="11"/>
        <v>132.7070067</v>
      </c>
      <c r="AJ9" s="69">
        <f t="shared" si="12"/>
        <v>127.1036247</v>
      </c>
      <c r="AK9" s="53">
        <f t="shared" si="13"/>
        <v>12.68217417</v>
      </c>
      <c r="AL9" s="70"/>
      <c r="AM9" s="70"/>
      <c r="AN9" s="67"/>
      <c r="AO9" s="67"/>
      <c r="AP9" s="65">
        <f t="shared" si="14"/>
        <v>7634.141947</v>
      </c>
      <c r="AQ9" s="67"/>
      <c r="AR9" s="67"/>
      <c r="AS9" s="67"/>
      <c r="AT9" s="67"/>
    </row>
    <row r="10" ht="15.75" customHeight="1">
      <c r="A10" s="116" t="s">
        <v>4949</v>
      </c>
      <c r="B10" s="870">
        <v>45489.0</v>
      </c>
      <c r="C10" s="870">
        <v>45486.0</v>
      </c>
      <c r="D10" s="2" t="s">
        <v>602</v>
      </c>
      <c r="E10" s="915"/>
      <c r="F10" s="67" t="s">
        <v>4747</v>
      </c>
      <c r="G10" s="13">
        <v>106.0</v>
      </c>
      <c r="H10" s="13" t="s">
        <v>47</v>
      </c>
      <c r="I10" s="6">
        <v>9.28</v>
      </c>
      <c r="J10" s="58">
        <v>0.5</v>
      </c>
      <c r="K10" s="59">
        <f t="shared" si="2"/>
        <v>9.2336</v>
      </c>
      <c r="L10" s="139">
        <v>0.92</v>
      </c>
      <c r="M10" s="60">
        <v>0.874</v>
      </c>
      <c r="N10" s="969">
        <v>0.967</v>
      </c>
      <c r="O10" s="106">
        <f t="shared" si="3"/>
        <v>0.921</v>
      </c>
      <c r="P10" s="67">
        <v>90.0</v>
      </c>
      <c r="Q10" s="67">
        <v>89.37</v>
      </c>
      <c r="R10" s="65">
        <v>2410.92</v>
      </c>
      <c r="S10" s="3">
        <v>150.0</v>
      </c>
      <c r="U10" s="67">
        <v>130.0</v>
      </c>
      <c r="V10" s="67">
        <v>1.1023</v>
      </c>
      <c r="W10" s="58">
        <v>6.0</v>
      </c>
      <c r="X10" s="58">
        <v>7.0</v>
      </c>
      <c r="Y10" s="67">
        <v>30.0</v>
      </c>
      <c r="Z10" s="69">
        <f t="shared" si="4"/>
        <v>30</v>
      </c>
      <c r="AA10" s="70">
        <f t="shared" si="5"/>
        <v>60</v>
      </c>
      <c r="AB10" s="71">
        <f t="shared" si="6"/>
        <v>1852.585552</v>
      </c>
      <c r="AC10" s="71">
        <f>+(S10-T10)*V10-'data 1'!$F$4</f>
        <v>85.345</v>
      </c>
      <c r="AD10" s="71">
        <f t="shared" si="7"/>
        <v>-14.57264004</v>
      </c>
      <c r="AE10" s="71">
        <f>+(Y10*V10-'data 2'!$B$2)+V10*(Z10-IF(D10="UNTUCA",IF(+((W10-3)*2.5+(X10-3)*3.1)&gt;0,+((W10-3)*1.5+(X10-3)*3.1),0),IF(+((W10-3)*1.5+(X10-3)*3.1)&gt;0,+((W10-3)*1.5+(X10-3)*3.1),0)))</f>
        <v>-42.49087</v>
      </c>
      <c r="AF10" s="71">
        <f t="shared" si="8"/>
        <v>-2.246992478</v>
      </c>
      <c r="AG10" s="71">
        <f t="shared" si="9"/>
        <v>26.03449748</v>
      </c>
      <c r="AH10" s="71">
        <f t="shared" si="10"/>
        <v>260.2913354</v>
      </c>
      <c r="AI10" s="58">
        <f t="shared" si="11"/>
        <v>213.6004298</v>
      </c>
      <c r="AJ10" s="58">
        <f t="shared" si="12"/>
        <v>262.4111387</v>
      </c>
      <c r="AK10" s="11">
        <f t="shared" si="13"/>
        <v>-2.119803336</v>
      </c>
      <c r="AL10" s="65"/>
      <c r="AM10" s="65"/>
      <c r="AP10" s="65">
        <f t="shared" si="14"/>
        <v>17106.03396</v>
      </c>
    </row>
    <row r="11" ht="15.75" customHeight="1">
      <c r="A11" s="116" t="s">
        <v>4950</v>
      </c>
      <c r="B11" s="870">
        <v>45489.0</v>
      </c>
      <c r="C11" s="870">
        <v>45486.0</v>
      </c>
      <c r="D11" s="2" t="s">
        <v>602</v>
      </c>
      <c r="E11" s="915"/>
      <c r="F11" s="67" t="s">
        <v>4747</v>
      </c>
      <c r="G11" s="13">
        <v>105.0</v>
      </c>
      <c r="H11" s="13" t="s">
        <v>47</v>
      </c>
      <c r="I11" s="6">
        <v>8.88</v>
      </c>
      <c r="J11" s="58">
        <v>0.78</v>
      </c>
      <c r="K11" s="59">
        <f t="shared" si="2"/>
        <v>8.810736</v>
      </c>
      <c r="L11" s="139">
        <v>0.679</v>
      </c>
      <c r="M11" s="60">
        <v>0.645</v>
      </c>
      <c r="N11" s="969">
        <v>0.713</v>
      </c>
      <c r="O11" s="106">
        <f t="shared" si="3"/>
        <v>0.679</v>
      </c>
      <c r="P11" s="67">
        <v>90.0</v>
      </c>
      <c r="Q11" s="67">
        <v>89.43</v>
      </c>
      <c r="R11" s="65">
        <v>2410.92</v>
      </c>
      <c r="S11" s="3">
        <v>135.0</v>
      </c>
      <c r="U11" s="67">
        <v>130.0</v>
      </c>
      <c r="V11" s="67">
        <v>1.1023</v>
      </c>
      <c r="W11" s="58">
        <v>5.8</v>
      </c>
      <c r="X11" s="58">
        <v>6.8</v>
      </c>
      <c r="Y11" s="67">
        <v>30.0</v>
      </c>
      <c r="Z11" s="69">
        <f t="shared" si="4"/>
        <v>30</v>
      </c>
      <c r="AA11" s="70">
        <f t="shared" si="5"/>
        <v>60</v>
      </c>
      <c r="AB11" s="71">
        <f t="shared" si="6"/>
        <v>1321.514635</v>
      </c>
      <c r="AC11" s="71">
        <f>+(S11-T11)*V11-'data 1'!$F$4</f>
        <v>68.8105</v>
      </c>
      <c r="AD11" s="71">
        <f t="shared" si="7"/>
        <v>-9.730933186</v>
      </c>
      <c r="AE11" s="71">
        <f>+(Y11*V11-'data 2'!$B$2)+V11*(Z11-IF(D11="UNTUCA",IF(+((W11-3)*2.5+(X11-3)*3.1)&gt;0,+((W11-3)*1.5+(X11-3)*3.1),0),IF(+((W11-3)*1.5+(X11-3)*3.1)&gt;0,+((W11-3)*1.5+(X11-3)*3.1),0)))</f>
        <v>-41.476754</v>
      </c>
      <c r="AF11" s="71">
        <f t="shared" si="8"/>
        <v>0</v>
      </c>
      <c r="AG11" s="71">
        <f t="shared" si="9"/>
        <v>17.60281281</v>
      </c>
      <c r="AH11" s="71">
        <f t="shared" si="10"/>
        <v>183.4316458</v>
      </c>
      <c r="AI11" s="58">
        <f t="shared" si="11"/>
        <v>157.7522426</v>
      </c>
      <c r="AJ11" s="58">
        <f t="shared" si="12"/>
        <v>184.6007841</v>
      </c>
      <c r="AK11" s="11">
        <f t="shared" si="13"/>
        <v>-1.1691383</v>
      </c>
      <c r="AL11" s="65"/>
      <c r="AM11" s="65"/>
      <c r="AP11" s="65">
        <f t="shared" si="14"/>
        <v>11643.51657</v>
      </c>
    </row>
    <row r="12" ht="15.75" customHeight="1">
      <c r="A12" s="116" t="s">
        <v>4951</v>
      </c>
      <c r="B12" s="841">
        <v>45496.0</v>
      </c>
      <c r="C12" s="841">
        <v>45486.0</v>
      </c>
      <c r="D12" s="67" t="s">
        <v>602</v>
      </c>
      <c r="E12" s="915"/>
      <c r="F12" s="67" t="s">
        <v>4952</v>
      </c>
      <c r="G12" s="916">
        <v>27.0</v>
      </c>
      <c r="H12" s="916" t="s">
        <v>47</v>
      </c>
      <c r="I12" s="59">
        <v>2.37</v>
      </c>
      <c r="J12" s="69">
        <v>0.4</v>
      </c>
      <c r="K12" s="59">
        <f t="shared" si="2"/>
        <v>2.36052</v>
      </c>
      <c r="L12" s="405">
        <v>0.329</v>
      </c>
      <c r="M12" s="106">
        <v>0.362</v>
      </c>
      <c r="N12" s="135">
        <v>0.362</v>
      </c>
      <c r="O12" s="106">
        <f t="shared" si="3"/>
        <v>0.362</v>
      </c>
      <c r="P12" s="67">
        <v>90.0</v>
      </c>
      <c r="Q12" s="67">
        <v>90.43</v>
      </c>
      <c r="R12" s="70">
        <v>2410.92</v>
      </c>
      <c r="S12" s="134">
        <v>120.0</v>
      </c>
      <c r="T12" s="67"/>
      <c r="U12" s="67">
        <v>130.0</v>
      </c>
      <c r="V12" s="67">
        <v>1.1023</v>
      </c>
      <c r="W12" s="69">
        <v>5.8</v>
      </c>
      <c r="X12" s="69">
        <v>7.0</v>
      </c>
      <c r="Y12" s="67">
        <v>30.0</v>
      </c>
      <c r="Z12" s="69">
        <f t="shared" si="4"/>
        <v>30</v>
      </c>
      <c r="AA12" s="70">
        <f t="shared" si="5"/>
        <v>60</v>
      </c>
      <c r="AB12" s="71">
        <f t="shared" si="6"/>
        <v>620.7312942</v>
      </c>
      <c r="AC12" s="71">
        <f>+(S12-T12)*V12-'data 1'!$F$4</f>
        <v>52.276</v>
      </c>
      <c r="AD12" s="71">
        <f t="shared" si="7"/>
        <v>3.556920957</v>
      </c>
      <c r="AE12" s="71">
        <f>+(Y12*V12-'data 2'!$B$2)+V12*(Z12-IF(D12="UNTUCA",IF(+((W12-3)*2.5+(X12-3)*3.1)&gt;0,+((W12-3)*1.5+(X12-3)*3.1),0),IF(+((W12-3)*1.5+(X12-3)*3.1)&gt;0,+((W12-3)*1.5+(X12-3)*3.1),0)))</f>
        <v>-42.16018</v>
      </c>
      <c r="AF12" s="71">
        <f t="shared" si="8"/>
        <v>-75.03023927</v>
      </c>
      <c r="AG12" s="71">
        <f t="shared" si="9"/>
        <v>-61.35749832</v>
      </c>
      <c r="AH12" s="71">
        <f t="shared" si="10"/>
        <v>24.07826459</v>
      </c>
      <c r="AI12" s="69">
        <f t="shared" si="11"/>
        <v>77.29136295</v>
      </c>
      <c r="AJ12" s="69">
        <f t="shared" si="12"/>
        <v>26.36743194</v>
      </c>
      <c r="AK12" s="53">
        <f t="shared" si="13"/>
        <v>-2.28916735</v>
      </c>
      <c r="AL12" s="70" t="s">
        <v>4953</v>
      </c>
      <c r="AM12" s="70"/>
      <c r="AN12" s="67"/>
      <c r="AO12" s="67"/>
      <c r="AP12" s="65">
        <f t="shared" si="14"/>
        <v>1465.248635</v>
      </c>
      <c r="AQ12" s="67"/>
      <c r="AR12" s="67"/>
      <c r="AS12" s="67"/>
      <c r="AT12" s="67"/>
    </row>
    <row r="13" ht="15.75" customHeight="1">
      <c r="A13" s="116" t="s">
        <v>4954</v>
      </c>
      <c r="B13" s="841">
        <v>45496.0</v>
      </c>
      <c r="C13" s="841">
        <v>45486.0</v>
      </c>
      <c r="D13" s="67" t="s">
        <v>602</v>
      </c>
      <c r="E13" s="915"/>
      <c r="F13" s="67" t="s">
        <v>4952</v>
      </c>
      <c r="G13" s="916">
        <v>77.0</v>
      </c>
      <c r="H13" s="916" t="s">
        <v>47</v>
      </c>
      <c r="I13" s="59">
        <v>7.46</v>
      </c>
      <c r="J13" s="69">
        <v>0.75</v>
      </c>
      <c r="K13" s="59">
        <f t="shared" si="2"/>
        <v>7.40405</v>
      </c>
      <c r="L13" s="405">
        <v>0.076</v>
      </c>
      <c r="M13" s="106">
        <v>0.092</v>
      </c>
      <c r="N13" s="135">
        <v>0.092</v>
      </c>
      <c r="O13" s="106">
        <f t="shared" si="3"/>
        <v>0.092</v>
      </c>
      <c r="P13" s="67">
        <v>85.0</v>
      </c>
      <c r="Q13" s="67">
        <v>85.26</v>
      </c>
      <c r="R13" s="70">
        <v>2410.92</v>
      </c>
      <c r="S13" s="134">
        <v>95.0</v>
      </c>
      <c r="T13" s="67"/>
      <c r="U13" s="67">
        <v>130.0</v>
      </c>
      <c r="V13" s="67">
        <v>1.1023</v>
      </c>
      <c r="W13" s="69">
        <v>5.0</v>
      </c>
      <c r="X13" s="69">
        <v>6.5</v>
      </c>
      <c r="Y13" s="67">
        <v>30.0</v>
      </c>
      <c r="Z13" s="69">
        <f t="shared" si="4"/>
        <v>30</v>
      </c>
      <c r="AA13" s="70">
        <f t="shared" si="5"/>
        <v>60</v>
      </c>
      <c r="AB13" s="71">
        <f t="shared" si="6"/>
        <v>25.75848467</v>
      </c>
      <c r="AC13" s="71">
        <f>+(S13-T13)*V13-'data 1'!$F$4</f>
        <v>24.7185</v>
      </c>
      <c r="AD13" s="71">
        <f t="shared" si="7"/>
        <v>0.4968174037</v>
      </c>
      <c r="AE13" s="71">
        <f>+(Y13*V13-'data 2'!$B$2)+V13*(Z13-IF(D13="UNTUCA",IF(+((W13-3)*2.5+(X13-3)*3.1)&gt;0,+((W13-3)*1.5+(X13-3)*3.1),0),IF(+((W13-3)*1.5+(X13-3)*3.1)&gt;0,+((W13-3)*1.5+(X13-3)*3.1),0)))</f>
        <v>-39.128855</v>
      </c>
      <c r="AF13" s="71">
        <f t="shared" si="8"/>
        <v>-34.29850352</v>
      </c>
      <c r="AG13" s="71">
        <f t="shared" si="9"/>
        <v>-48.21204111</v>
      </c>
      <c r="AH13" s="71">
        <f t="shared" si="10"/>
        <v>16.44891789</v>
      </c>
      <c r="AI13" s="69">
        <f t="shared" si="11"/>
        <v>16.83377265</v>
      </c>
      <c r="AJ13" s="69">
        <f t="shared" si="12"/>
        <v>19.85112688</v>
      </c>
      <c r="AK13" s="53">
        <f t="shared" si="13"/>
        <v>-3.402208989</v>
      </c>
      <c r="AL13" s="70"/>
      <c r="AM13" s="70"/>
      <c r="AN13" s="67"/>
      <c r="AO13" s="67"/>
      <c r="AP13" s="65">
        <f t="shared" si="14"/>
        <v>190.7171084</v>
      </c>
      <c r="AQ13" s="67"/>
      <c r="AR13" s="67"/>
      <c r="AS13" s="67"/>
      <c r="AT13" s="67"/>
    </row>
    <row r="14" ht="15.75" customHeight="1">
      <c r="A14" s="116" t="s">
        <v>4955</v>
      </c>
      <c r="B14" s="841">
        <v>45496.0</v>
      </c>
      <c r="C14" s="841">
        <v>45486.0</v>
      </c>
      <c r="D14" s="67" t="s">
        <v>602</v>
      </c>
      <c r="E14" s="915"/>
      <c r="F14" s="67" t="s">
        <v>4952</v>
      </c>
      <c r="G14" s="916">
        <v>108.0</v>
      </c>
      <c r="H14" s="916" t="s">
        <v>47</v>
      </c>
      <c r="I14" s="59">
        <v>10.78</v>
      </c>
      <c r="J14" s="69">
        <v>0.7</v>
      </c>
      <c r="K14" s="59">
        <f t="shared" si="2"/>
        <v>10.70454</v>
      </c>
      <c r="L14" s="405">
        <v>0.097</v>
      </c>
      <c r="M14" s="106">
        <v>0.096</v>
      </c>
      <c r="N14" s="135">
        <v>0.096</v>
      </c>
      <c r="O14" s="106">
        <f t="shared" si="3"/>
        <v>0.096</v>
      </c>
      <c r="P14" s="67">
        <v>85.0</v>
      </c>
      <c r="Q14" s="67">
        <v>85.05</v>
      </c>
      <c r="R14" s="70">
        <v>2410.92</v>
      </c>
      <c r="S14" s="134">
        <v>95.0</v>
      </c>
      <c r="T14" s="67"/>
      <c r="U14" s="67">
        <v>130.0</v>
      </c>
      <c r="V14" s="67">
        <v>1.1023</v>
      </c>
      <c r="W14" s="69">
        <v>5.0</v>
      </c>
      <c r="X14" s="69">
        <v>6.5</v>
      </c>
      <c r="Y14" s="67">
        <v>30.0</v>
      </c>
      <c r="Z14" s="69">
        <f t="shared" si="4"/>
        <v>30</v>
      </c>
      <c r="AA14" s="70">
        <f t="shared" si="5"/>
        <v>60</v>
      </c>
      <c r="AB14" s="71">
        <f t="shared" si="6"/>
        <v>34.30696227</v>
      </c>
      <c r="AC14" s="71">
        <f>+(S14-T14)*V14-'data 1'!$F$4</f>
        <v>24.7185</v>
      </c>
      <c r="AD14" s="71">
        <f t="shared" si="7"/>
        <v>0.1219415186</v>
      </c>
      <c r="AE14" s="71">
        <f>+(Y14*V14-'data 2'!$B$2)+V14*(Z14-IF(D14="UNTUCA",IF(+((W14-3)*2.5+(X14-3)*3.1)&gt;0,+((W14-3)*1.5+(X14-3)*3.1),0),IF(+((W14-3)*1.5+(X14-3)*3.1)&gt;0,+((W14-3)*1.5+(X14-3)*3.1),0)))</f>
        <v>-39.128855</v>
      </c>
      <c r="AF14" s="71">
        <f t="shared" si="8"/>
        <v>2.138376528</v>
      </c>
      <c r="AG14" s="71">
        <f t="shared" si="9"/>
        <v>-12.15003695</v>
      </c>
      <c r="AH14" s="71">
        <f t="shared" si="10"/>
        <v>30.27771738</v>
      </c>
      <c r="AI14" s="69">
        <f t="shared" si="11"/>
        <v>21.43229059</v>
      </c>
      <c r="AJ14" s="69">
        <f t="shared" si="12"/>
        <v>29.94795952</v>
      </c>
      <c r="AK14" s="53">
        <f t="shared" si="13"/>
        <v>0.3297578631</v>
      </c>
      <c r="AL14" s="70"/>
      <c r="AM14" s="70"/>
      <c r="AN14" s="67"/>
      <c r="AO14" s="67"/>
      <c r="AP14" s="65">
        <f t="shared" si="14"/>
        <v>367.2402499</v>
      </c>
      <c r="AQ14" s="67"/>
      <c r="AR14" s="67"/>
      <c r="AS14" s="67"/>
      <c r="AT14" s="67"/>
    </row>
    <row r="15" ht="15.75" customHeight="1">
      <c r="A15" s="116" t="s">
        <v>4956</v>
      </c>
      <c r="B15" s="841">
        <v>45496.0</v>
      </c>
      <c r="C15" s="841">
        <v>45486.0</v>
      </c>
      <c r="D15" s="67" t="s">
        <v>602</v>
      </c>
      <c r="E15" s="915"/>
      <c r="F15" s="67" t="s">
        <v>4952</v>
      </c>
      <c r="G15" s="916">
        <v>108.0</v>
      </c>
      <c r="H15" s="916" t="s">
        <v>47</v>
      </c>
      <c r="I15" s="59">
        <v>10.83</v>
      </c>
      <c r="J15" s="69">
        <v>1.35</v>
      </c>
      <c r="K15" s="59">
        <f t="shared" si="2"/>
        <v>10.683795</v>
      </c>
      <c r="L15" s="405">
        <v>0.536</v>
      </c>
      <c r="M15" s="106">
        <v>0.525</v>
      </c>
      <c r="N15" s="135">
        <v>0.525</v>
      </c>
      <c r="O15" s="106">
        <f t="shared" si="3"/>
        <v>0.525</v>
      </c>
      <c r="P15" s="67">
        <v>90.0</v>
      </c>
      <c r="Q15" s="67">
        <v>89.89</v>
      </c>
      <c r="R15" s="70">
        <v>2410.92</v>
      </c>
      <c r="S15" s="134">
        <v>150.0</v>
      </c>
      <c r="T15" s="67"/>
      <c r="U15" s="67">
        <v>130.0</v>
      </c>
      <c r="V15" s="67">
        <v>1.1023</v>
      </c>
      <c r="W15" s="69">
        <v>5.8</v>
      </c>
      <c r="X15" s="69">
        <v>6.9</v>
      </c>
      <c r="Y15" s="67">
        <v>30.0</v>
      </c>
      <c r="Z15" s="69">
        <f t="shared" si="4"/>
        <v>30</v>
      </c>
      <c r="AA15" s="70">
        <f t="shared" si="5"/>
        <v>60</v>
      </c>
      <c r="AB15" s="71">
        <f t="shared" si="6"/>
        <v>956.5039598</v>
      </c>
      <c r="AC15" s="71">
        <f>+(S15-T15)*V15-'data 1'!$F$4</f>
        <v>85.345</v>
      </c>
      <c r="AD15" s="71">
        <f t="shared" si="7"/>
        <v>-1.482406585</v>
      </c>
      <c r="AE15" s="71">
        <f>+(Y15*V15-'data 2'!$B$2)+V15*(Z15-IF(D15="UNTUCA",IF(+((W15-3)*2.5+(X15-3)*3.1)&gt;0,+((W15-3)*1.5+(X15-3)*3.1),0),IF(+((W15-3)*1.5+(X15-3)*3.1)&gt;0,+((W15-3)*1.5+(X15-3)*3.1),0)))</f>
        <v>-41.818467</v>
      </c>
      <c r="AF15" s="71">
        <f t="shared" si="8"/>
        <v>24.86073283</v>
      </c>
      <c r="AG15" s="71">
        <f t="shared" si="9"/>
        <v>66.90485924</v>
      </c>
      <c r="AH15" s="71">
        <f t="shared" si="10"/>
        <v>176.4862136</v>
      </c>
      <c r="AI15" s="69">
        <f t="shared" si="11"/>
        <v>125.1695547</v>
      </c>
      <c r="AJ15" s="69">
        <f t="shared" si="12"/>
        <v>173.0758321</v>
      </c>
      <c r="AK15" s="53">
        <f t="shared" si="13"/>
        <v>3.410381434</v>
      </c>
      <c r="AL15" s="70"/>
      <c r="AM15" s="70"/>
      <c r="AN15" s="67"/>
      <c r="AO15" s="67"/>
      <c r="AP15" s="65">
        <f t="shared" si="14"/>
        <v>10219.09222</v>
      </c>
      <c r="AQ15" s="67"/>
      <c r="AR15" s="67"/>
      <c r="AS15" s="67"/>
      <c r="AT15" s="67"/>
    </row>
    <row r="16" ht="15.75" customHeight="1">
      <c r="A16" s="116" t="s">
        <v>4957</v>
      </c>
      <c r="B16" s="870">
        <v>45490.0</v>
      </c>
      <c r="C16" s="870">
        <v>45487.0</v>
      </c>
      <c r="D16" s="197" t="s">
        <v>4958</v>
      </c>
      <c r="E16" s="915"/>
      <c r="F16" s="2" t="s">
        <v>4958</v>
      </c>
      <c r="G16" s="13" t="s">
        <v>4100</v>
      </c>
      <c r="H16" s="13" t="s">
        <v>47</v>
      </c>
      <c r="I16" s="6">
        <v>27.48</v>
      </c>
      <c r="J16" s="58">
        <v>3.7</v>
      </c>
      <c r="K16" s="59">
        <f t="shared" si="2"/>
        <v>26.46324</v>
      </c>
      <c r="L16" s="139">
        <v>0.259</v>
      </c>
      <c r="M16" s="3">
        <v>0.213</v>
      </c>
      <c r="N16" s="970">
        <v>0.213</v>
      </c>
      <c r="O16" s="106">
        <f t="shared" si="3"/>
        <v>0.213</v>
      </c>
      <c r="P16" s="67">
        <v>90.0</v>
      </c>
      <c r="Q16" s="69">
        <v>91.21572221943813</v>
      </c>
      <c r="R16" s="65">
        <v>2422.395</v>
      </c>
      <c r="S16" s="3">
        <v>110.0</v>
      </c>
      <c r="U16" s="67">
        <v>100.0</v>
      </c>
      <c r="V16" s="67">
        <v>1.1023</v>
      </c>
      <c r="W16" s="58">
        <v>5.7</v>
      </c>
      <c r="X16" s="58">
        <v>14.8</v>
      </c>
      <c r="Y16" s="67"/>
      <c r="Z16" s="140">
        <v>30.0</v>
      </c>
      <c r="AA16" s="70">
        <f t="shared" si="5"/>
        <v>30</v>
      </c>
      <c r="AB16" s="71">
        <f t="shared" si="6"/>
        <v>336.4254008</v>
      </c>
      <c r="AC16" s="71">
        <f>+(S16-T16)*V16-'data 1'!$F$4</f>
        <v>41.253</v>
      </c>
      <c r="AD16" s="71">
        <f t="shared" si="7"/>
        <v>8.060649061</v>
      </c>
      <c r="AE16" s="71">
        <f>+(Y16*V16-'data 2'!$B$2)+V16*(Z16-IF(D16="UNTUCA",IF(+((W16-3)*2.5+(X16-3)*3.1)&gt;0,+((W16-3)*1.5+(X16-3)*3.1),0),IF(+((W16-3)*1.5+(X16-3)*3.1)&gt;0,+((W16-3)*1.5+(X16-3)*3.1),0)))</f>
        <v>-101.717449</v>
      </c>
      <c r="AF16" s="71">
        <f t="shared" si="8"/>
        <v>107.4146278</v>
      </c>
      <c r="AG16" s="71">
        <f>+AC16+AD16+AE16+AF16+90</f>
        <v>145.0108279</v>
      </c>
      <c r="AH16" s="71">
        <f t="shared" si="10"/>
        <v>214.3490435</v>
      </c>
      <c r="AI16" s="58">
        <f t="shared" si="11"/>
        <v>50.57427662</v>
      </c>
      <c r="AJ16" s="58">
        <f t="shared" si="12"/>
        <v>173.9298801</v>
      </c>
      <c r="AK16" s="971">
        <f t="shared" si="13"/>
        <v>40.41916341</v>
      </c>
      <c r="AL16" s="65"/>
      <c r="AM16" s="65"/>
      <c r="AP16" s="65">
        <f t="shared" si="14"/>
        <v>8902.906124</v>
      </c>
    </row>
    <row r="17" ht="15.75" customHeight="1">
      <c r="A17" s="116" t="s">
        <v>4959</v>
      </c>
      <c r="B17" s="870">
        <v>45489.0</v>
      </c>
      <c r="C17" s="870">
        <v>45488.0</v>
      </c>
      <c r="D17" s="2" t="s">
        <v>602</v>
      </c>
      <c r="E17" s="915"/>
      <c r="F17" s="2" t="s">
        <v>4802</v>
      </c>
      <c r="G17" s="13">
        <v>90.0</v>
      </c>
      <c r="H17" s="13" t="s">
        <v>47</v>
      </c>
      <c r="I17" s="6">
        <v>8.37</v>
      </c>
      <c r="J17" s="58">
        <v>1.2</v>
      </c>
      <c r="K17" s="59">
        <f t="shared" si="2"/>
        <v>8.26956</v>
      </c>
      <c r="L17" s="139">
        <v>0.47</v>
      </c>
      <c r="M17" s="3">
        <v>0.451</v>
      </c>
      <c r="N17" s="427">
        <v>0.451</v>
      </c>
      <c r="O17" s="106">
        <f t="shared" si="3"/>
        <v>0.451</v>
      </c>
      <c r="P17" s="67">
        <v>90.0</v>
      </c>
      <c r="Q17" s="69">
        <v>89.38093049497454</v>
      </c>
      <c r="R17" s="65">
        <v>2422.395</v>
      </c>
      <c r="S17" s="3">
        <v>120.0</v>
      </c>
      <c r="U17" s="67">
        <v>130.0</v>
      </c>
      <c r="V17" s="67">
        <v>1.1023</v>
      </c>
      <c r="W17" s="58">
        <v>5.8</v>
      </c>
      <c r="X17" s="58">
        <v>8.0</v>
      </c>
      <c r="Y17" s="67">
        <v>30.0</v>
      </c>
      <c r="Z17" s="69">
        <f t="shared" ref="Z17:Z19" si="15">IF(IF(D17="UNTUCA",IF(+((W17-3)*1.5+(X17-3)*3.1)&gt;0,+((W17-3)*1.5+(X17-3)*3.1),0),IF(+((W17-3)*1.5+(X17-3)*3.1)&gt;0,+((W17-3)*1.5+(X17-3)*3.1),0))&lt;30,30,IF(D17="UNTUCA",IF(+((W17-3)*1.5+(X17-3)*3.1)&gt;0,+((W17-3)*1.5+(X17-3)*3.1),0),IF(+((W17-3)*1.5+(X17-3)*3.1)&gt;0,+((W17-3)*1.5+(X17-3)*3.1),0)))</f>
        <v>30</v>
      </c>
      <c r="AA17" s="70">
        <f t="shared" si="5"/>
        <v>60</v>
      </c>
      <c r="AB17" s="71">
        <f t="shared" si="6"/>
        <v>827.2575548</v>
      </c>
      <c r="AC17" s="71">
        <f>+(S17-T17)*V17-'data 1'!$F$4</f>
        <v>52.276</v>
      </c>
      <c r="AD17" s="71">
        <f t="shared" si="7"/>
        <v>-7.352356034</v>
      </c>
      <c r="AE17" s="71">
        <f>+(Y17*V17-'data 2'!$B$2)+V17*(Z17-IF(D17="UNTUCA",IF(+((W17-3)*2.5+(X17-3)*3.1)&gt;0,+((W17-3)*1.5+(X17-3)*3.1),0),IF(+((W17-3)*1.5+(X17-3)*3.1)&gt;0,+((W17-3)*1.5+(X17-3)*3.1),0)))</f>
        <v>-45.57731</v>
      </c>
      <c r="AF17" s="71">
        <f t="shared" si="8"/>
        <v>42.91288694</v>
      </c>
      <c r="AG17" s="71">
        <f t="shared" ref="AG17:AG19" si="16">+AC17+AD17+AE17+AF17</f>
        <v>42.25922091</v>
      </c>
      <c r="AH17" s="71">
        <f t="shared" si="10"/>
        <v>119.106154</v>
      </c>
      <c r="AI17" s="58">
        <f t="shared" si="11"/>
        <v>103.821627</v>
      </c>
      <c r="AJ17" s="58">
        <f t="shared" si="12"/>
        <v>115.0828274</v>
      </c>
      <c r="AK17" s="11">
        <f t="shared" si="13"/>
        <v>4.023326642</v>
      </c>
      <c r="AL17" s="65"/>
      <c r="AM17" s="65"/>
      <c r="AP17" s="65">
        <f t="shared" si="14"/>
        <v>6841.055984</v>
      </c>
    </row>
    <row r="18" ht="15.75" customHeight="1">
      <c r="A18" s="116" t="s">
        <v>4960</v>
      </c>
      <c r="B18" s="870">
        <v>45489.0</v>
      </c>
      <c r="C18" s="870">
        <v>45488.0</v>
      </c>
      <c r="D18" s="2" t="s">
        <v>602</v>
      </c>
      <c r="E18" s="915"/>
      <c r="F18" s="2" t="s">
        <v>4802</v>
      </c>
      <c r="G18" s="13">
        <v>90.0</v>
      </c>
      <c r="H18" s="13" t="s">
        <v>47</v>
      </c>
      <c r="I18" s="6">
        <v>8.59</v>
      </c>
      <c r="J18" s="58">
        <v>1.3</v>
      </c>
      <c r="K18" s="59">
        <f t="shared" si="2"/>
        <v>8.47833</v>
      </c>
      <c r="L18" s="139">
        <v>0.387</v>
      </c>
      <c r="M18" s="3">
        <v>0.367</v>
      </c>
      <c r="N18" s="427">
        <v>0.367</v>
      </c>
      <c r="O18" s="106">
        <f t="shared" si="3"/>
        <v>0.367</v>
      </c>
      <c r="P18" s="67">
        <v>90.0</v>
      </c>
      <c r="Q18" s="69">
        <v>89.38986483368193</v>
      </c>
      <c r="R18" s="65">
        <v>2422.395</v>
      </c>
      <c r="S18" s="3">
        <v>110.0</v>
      </c>
      <c r="U18" s="67">
        <v>130.0</v>
      </c>
      <c r="V18" s="67">
        <v>1.1023</v>
      </c>
      <c r="W18" s="58">
        <v>5.8</v>
      </c>
      <c r="X18" s="58">
        <v>7.9</v>
      </c>
      <c r="Y18" s="67">
        <v>30.0</v>
      </c>
      <c r="Z18" s="69">
        <f t="shared" si="15"/>
        <v>30</v>
      </c>
      <c r="AA18" s="70">
        <f t="shared" si="5"/>
        <v>60</v>
      </c>
      <c r="AB18" s="71">
        <f t="shared" si="6"/>
        <v>647.2463849</v>
      </c>
      <c r="AC18" s="71">
        <f>+(S18-T18)*V18-'data 1'!$F$4</f>
        <v>41.253</v>
      </c>
      <c r="AD18" s="71">
        <f t="shared" si="7"/>
        <v>-5.966591184</v>
      </c>
      <c r="AE18" s="71">
        <f>+(Y18*V18-'data 2'!$B$2)+V18*(Z18-IF(D18="UNTUCA",IF(+((W18-3)*2.5+(X18-3)*3.1)&gt;0,+((W18-3)*1.5+(X18-3)*3.1),0),IF(+((W18-3)*1.5+(X18-3)*3.1)&gt;0,+((W18-3)*1.5+(X18-3)*3.1),0)))</f>
        <v>-45.235597</v>
      </c>
      <c r="AF18" s="71">
        <f t="shared" si="8"/>
        <v>45.17597519</v>
      </c>
      <c r="AG18" s="71">
        <f t="shared" si="16"/>
        <v>35.226787</v>
      </c>
      <c r="AH18" s="71">
        <f t="shared" si="10"/>
        <v>100.5584641</v>
      </c>
      <c r="AI18" s="58">
        <f t="shared" si="11"/>
        <v>85.49571459</v>
      </c>
      <c r="AJ18" s="58">
        <f t="shared" si="12"/>
        <v>96.01254009</v>
      </c>
      <c r="AK18" s="11">
        <f t="shared" si="13"/>
        <v>4.545923992</v>
      </c>
      <c r="AL18" s="65"/>
      <c r="AM18" s="65"/>
      <c r="AP18" s="65">
        <f t="shared" si="14"/>
        <v>5487.568443</v>
      </c>
    </row>
    <row r="19" ht="15.75" customHeight="1">
      <c r="A19" s="116" t="s">
        <v>4961</v>
      </c>
      <c r="B19" s="870">
        <v>45489.0</v>
      </c>
      <c r="C19" s="870">
        <v>45488.0</v>
      </c>
      <c r="D19" s="2" t="s">
        <v>602</v>
      </c>
      <c r="E19" s="915"/>
      <c r="F19" s="2" t="s">
        <v>4802</v>
      </c>
      <c r="G19" s="13">
        <v>90.0</v>
      </c>
      <c r="H19" s="13" t="s">
        <v>47</v>
      </c>
      <c r="I19" s="6">
        <v>8.73</v>
      </c>
      <c r="J19" s="58">
        <v>1.2</v>
      </c>
      <c r="K19" s="59">
        <f t="shared" si="2"/>
        <v>8.62524</v>
      </c>
      <c r="L19" s="139">
        <v>0.324</v>
      </c>
      <c r="M19" s="3">
        <v>0.311</v>
      </c>
      <c r="N19" s="427">
        <v>0.311</v>
      </c>
      <c r="O19" s="106">
        <f t="shared" si="3"/>
        <v>0.311</v>
      </c>
      <c r="P19" s="67">
        <v>90.0</v>
      </c>
      <c r="Q19" s="69">
        <v>89.25946312607003</v>
      </c>
      <c r="R19" s="65">
        <v>2422.395</v>
      </c>
      <c r="S19" s="3">
        <v>110.0</v>
      </c>
      <c r="U19" s="67">
        <v>130.0</v>
      </c>
      <c r="V19" s="67">
        <v>1.1023</v>
      </c>
      <c r="W19" s="58">
        <v>5.8</v>
      </c>
      <c r="X19" s="58">
        <v>7.9</v>
      </c>
      <c r="Y19" s="67">
        <v>30.0</v>
      </c>
      <c r="Z19" s="69">
        <f t="shared" si="15"/>
        <v>30</v>
      </c>
      <c r="AA19" s="70">
        <f t="shared" si="5"/>
        <v>60</v>
      </c>
      <c r="AB19" s="71">
        <f t="shared" si="6"/>
        <v>519.8902717</v>
      </c>
      <c r="AC19" s="71">
        <f>+(S19-T19)*V19-'data 1'!$F$4</f>
        <v>41.253</v>
      </c>
      <c r="AD19" s="71">
        <f t="shared" si="7"/>
        <v>-6.062907726</v>
      </c>
      <c r="AE19" s="71">
        <f>+(Y19*V19-'data 2'!$B$2)+V19*(Z19-IF(D19="UNTUCA",IF(+((W19-3)*2.5+(X19-3)*3.1)&gt;0,+((W19-3)*1.5+(X19-3)*3.1),0),IF(+((W19-3)*1.5+(X19-3)*3.1)&gt;0,+((W19-3)*1.5+(X19-3)*3.1),0)))</f>
        <v>-45.235597</v>
      </c>
      <c r="AF19" s="71">
        <f t="shared" si="8"/>
        <v>29.32154718</v>
      </c>
      <c r="AG19" s="71">
        <f t="shared" si="16"/>
        <v>19.27604246</v>
      </c>
      <c r="AH19" s="71">
        <f t="shared" si="10"/>
        <v>85.52233269</v>
      </c>
      <c r="AI19" s="58">
        <f t="shared" si="11"/>
        <v>71.47339004</v>
      </c>
      <c r="AJ19" s="58">
        <f t="shared" si="12"/>
        <v>82.77194415</v>
      </c>
      <c r="AK19" s="11">
        <f t="shared" si="13"/>
        <v>2.750388545</v>
      </c>
      <c r="AL19" s="65"/>
      <c r="AM19" s="65"/>
      <c r="AP19" s="65">
        <f t="shared" si="14"/>
        <v>4484.178367</v>
      </c>
    </row>
    <row r="20" ht="15.75" customHeight="1">
      <c r="A20" s="116" t="s">
        <v>4962</v>
      </c>
      <c r="B20" s="870">
        <v>45493.0</v>
      </c>
      <c r="C20" s="870">
        <v>45491.0</v>
      </c>
      <c r="D20" s="197" t="s">
        <v>4958</v>
      </c>
      <c r="F20" s="2" t="s">
        <v>4958</v>
      </c>
      <c r="G20" s="13"/>
      <c r="H20" s="13" t="s">
        <v>47</v>
      </c>
      <c r="I20" s="6">
        <v>3.77</v>
      </c>
      <c r="J20" s="58">
        <v>1.0</v>
      </c>
      <c r="K20" s="59">
        <f t="shared" si="2"/>
        <v>3.7323</v>
      </c>
      <c r="L20" s="139">
        <v>0.489</v>
      </c>
      <c r="M20" s="3">
        <v>0.445</v>
      </c>
      <c r="N20" s="917">
        <v>0.516</v>
      </c>
      <c r="O20" s="106">
        <f t="shared" si="3"/>
        <v>0.481</v>
      </c>
      <c r="P20" s="67">
        <v>90.0</v>
      </c>
      <c r="Q20" s="69">
        <v>89.55970823316883</v>
      </c>
      <c r="R20" s="65">
        <v>2430.41</v>
      </c>
      <c r="S20" s="3">
        <v>130.0</v>
      </c>
      <c r="U20" s="67">
        <v>100.0</v>
      </c>
      <c r="V20" s="67">
        <v>1.1023</v>
      </c>
      <c r="W20" s="58">
        <v>5.0</v>
      </c>
      <c r="X20" s="58">
        <v>12.0</v>
      </c>
      <c r="Z20" s="140">
        <v>30.0</v>
      </c>
      <c r="AA20" s="70">
        <f t="shared" si="5"/>
        <v>30</v>
      </c>
      <c r="AB20" s="71">
        <f t="shared" si="6"/>
        <v>935.6702572</v>
      </c>
      <c r="AC20" s="71">
        <f>+(S20-T20)*V20-'data 1'!$F$4</f>
        <v>63.299</v>
      </c>
      <c r="AD20" s="71">
        <f t="shared" si="7"/>
        <v>-5.53071865</v>
      </c>
      <c r="AE20" s="71">
        <f>+(Y20*V20-'data 2'!$B$2)+V20*(Z20-IF(D20="UNTUCA",IF(+((W20-3)*2.5+(X20-3)*3.1)&gt;0,+((W20-3)*1.5+(X20-3)*3.1),0),IF(+((W20-3)*1.5+(X20-3)*3.1)&gt;0,+((W20-3)*1.5+(X20-3)*3.1),0)))</f>
        <v>-90.99207</v>
      </c>
      <c r="AF20" s="71">
        <f t="shared" si="8"/>
        <v>18.40495668</v>
      </c>
      <c r="AG20" s="71">
        <f t="shared" ref="AG20:AG21" si="17">+AC20+AD20+AE20+AF20+90</f>
        <v>75.18116804</v>
      </c>
      <c r="AH20" s="71">
        <f t="shared" si="10"/>
        <v>56.04116349</v>
      </c>
      <c r="AI20" s="58">
        <f t="shared" si="11"/>
        <v>89.88302674</v>
      </c>
      <c r="AJ20" s="58">
        <f t="shared" si="12"/>
        <v>55.39533587</v>
      </c>
      <c r="AK20" s="11">
        <f t="shared" si="13"/>
        <v>0.645827625</v>
      </c>
      <c r="AL20" s="65"/>
      <c r="AM20" s="65"/>
      <c r="AP20" s="65">
        <f t="shared" si="14"/>
        <v>3492.202101</v>
      </c>
    </row>
    <row r="21" ht="15.75" customHeight="1">
      <c r="A21" s="116" t="s">
        <v>4963</v>
      </c>
      <c r="B21" s="870">
        <v>45493.0</v>
      </c>
      <c r="C21" s="870">
        <v>45491.0</v>
      </c>
      <c r="D21" s="197" t="s">
        <v>4958</v>
      </c>
      <c r="F21" s="2" t="s">
        <v>4958</v>
      </c>
      <c r="G21" s="13"/>
      <c r="H21" s="13" t="s">
        <v>47</v>
      </c>
      <c r="I21" s="6">
        <v>5.74</v>
      </c>
      <c r="J21" s="58">
        <v>2.0</v>
      </c>
      <c r="K21" s="59">
        <f t="shared" si="2"/>
        <v>5.6252</v>
      </c>
      <c r="L21" s="139">
        <v>0.187</v>
      </c>
      <c r="M21" s="3">
        <v>0.175</v>
      </c>
      <c r="N21" s="917">
        <v>0.229</v>
      </c>
      <c r="O21" s="106">
        <f t="shared" si="3"/>
        <v>0.202</v>
      </c>
      <c r="P21" s="67">
        <v>90.0</v>
      </c>
      <c r="Q21" s="69">
        <v>89.76856485056555</v>
      </c>
      <c r="R21" s="65">
        <v>2430.41</v>
      </c>
      <c r="S21" s="3">
        <v>110.0</v>
      </c>
      <c r="U21" s="67">
        <v>100.0</v>
      </c>
      <c r="V21" s="67">
        <v>1.1023</v>
      </c>
      <c r="W21" s="58">
        <v>5.0</v>
      </c>
      <c r="X21" s="58">
        <v>9.0</v>
      </c>
      <c r="Z21" s="69">
        <f t="shared" ref="Z21:Z32" si="18">IF(IF(D21="UNTUCA",IF(+((W21-3)*1.5+(X21-3)*3.1)&gt;0,+((W21-3)*1.5+(X21-3)*3.1),0),IF(+((W21-3)*1.5+(X21-3)*3.1)&gt;0,+((W21-3)*1.5+(X21-3)*3.1),0))&lt;30,30,IF(D21="UNTUCA",IF(+((W21-3)*1.5+(X21-3)*3.1)&gt;0,+((W21-3)*1.5+(X21-3)*3.1),0),IF(+((W21-3)*1.5+(X21-3)*3.1)&gt;0,+((W21-3)*1.5+(X21-3)*3.1),0)))</f>
        <v>30</v>
      </c>
      <c r="AA21" s="70">
        <f t="shared" si="5"/>
        <v>30</v>
      </c>
      <c r="AB21" s="71">
        <f t="shared" si="6"/>
        <v>312.6878294</v>
      </c>
      <c r="AC21" s="71">
        <f>+(S21-T21)*V21-'data 1'!$F$4</f>
        <v>41.253</v>
      </c>
      <c r="AD21" s="71">
        <f t="shared" si="7"/>
        <v>-1.11173958</v>
      </c>
      <c r="AE21" s="71">
        <f>+(Y21*V21-'data 2'!$B$2)+V21*(Z21-IF(D21="UNTUCA",IF(+((W21-3)*2.5+(X21-3)*3.1)&gt;0,+((W21-3)*1.5+(X21-3)*3.1),0),IF(+((W21-3)*1.5+(X21-3)*3.1)&gt;0,+((W21-3)*1.5+(X21-3)*3.1),0)))</f>
        <v>-80.74068</v>
      </c>
      <c r="AF21" s="71">
        <f t="shared" si="8"/>
        <v>-34.58977076</v>
      </c>
      <c r="AG21" s="71">
        <f t="shared" si="17"/>
        <v>14.81080966</v>
      </c>
      <c r="AH21" s="71">
        <f t="shared" si="10"/>
        <v>32.37523474</v>
      </c>
      <c r="AI21" s="58">
        <f t="shared" si="11"/>
        <v>34.45260365</v>
      </c>
      <c r="AJ21" s="58">
        <f t="shared" si="12"/>
        <v>35.06234157</v>
      </c>
      <c r="AK21" s="11">
        <f t="shared" si="13"/>
        <v>-2.687106833</v>
      </c>
      <c r="AL21" s="65"/>
      <c r="AM21" s="65"/>
      <c r="AP21" s="65">
        <f t="shared" si="14"/>
        <v>1758.931578</v>
      </c>
    </row>
    <row r="22" ht="15.75" customHeight="1">
      <c r="A22" s="116" t="s">
        <v>4964</v>
      </c>
      <c r="B22" s="870">
        <v>45495.0</v>
      </c>
      <c r="C22" s="870">
        <v>45492.0</v>
      </c>
      <c r="D22" s="2" t="s">
        <v>602</v>
      </c>
      <c r="E22" s="915"/>
      <c r="F22" s="2" t="s">
        <v>4802</v>
      </c>
      <c r="G22" s="13">
        <v>89.0</v>
      </c>
      <c r="H22" s="13" t="s">
        <v>47</v>
      </c>
      <c r="I22" s="6">
        <v>8.15</v>
      </c>
      <c r="J22" s="58">
        <v>1.3</v>
      </c>
      <c r="K22" s="59">
        <f t="shared" si="2"/>
        <v>8.04405</v>
      </c>
      <c r="L22" s="139">
        <v>0.514</v>
      </c>
      <c r="M22" s="60">
        <v>0.4883</v>
      </c>
      <c r="N22" s="968">
        <v>0.4883</v>
      </c>
      <c r="O22" s="106">
        <f t="shared" si="3"/>
        <v>0.488</v>
      </c>
      <c r="P22" s="67">
        <v>90.0</v>
      </c>
      <c r="Q22" s="69">
        <v>89.3438146368646</v>
      </c>
      <c r="R22" s="65">
        <v>2400.31</v>
      </c>
      <c r="S22" s="3">
        <v>120.0</v>
      </c>
      <c r="U22" s="67">
        <v>130.0</v>
      </c>
      <c r="V22" s="67">
        <v>1.1023</v>
      </c>
      <c r="W22" s="58">
        <v>5.6</v>
      </c>
      <c r="X22" s="58">
        <v>7.0</v>
      </c>
      <c r="Y22" s="2">
        <v>30.0</v>
      </c>
      <c r="Z22" s="69">
        <f t="shared" si="18"/>
        <v>30</v>
      </c>
      <c r="AA22" s="70">
        <f t="shared" si="5"/>
        <v>60</v>
      </c>
      <c r="AB22" s="71">
        <f t="shared" si="6"/>
        <v>900.7115435</v>
      </c>
      <c r="AC22" s="71">
        <f>+(S22-T22)*V22-'data 1'!$F$4</f>
        <v>52.276</v>
      </c>
      <c r="AD22" s="71">
        <f t="shared" si="7"/>
        <v>-8.440625416</v>
      </c>
      <c r="AE22" s="71">
        <f>+(Y22*V22-'data 2'!$B$2)+V22*(Z22-IF(D22="UNTUCA",IF(+((W22-3)*2.5+(X22-3)*3.1)&gt;0,+((W22-3)*1.5+(X22-3)*3.1),0),IF(+((W22-3)*1.5+(X22-3)*3.1)&gt;0,+((W22-3)*1.5+(X22-3)*3.1),0)))</f>
        <v>-41.82949</v>
      </c>
      <c r="AF22" s="71">
        <f t="shared" si="8"/>
        <v>58.13300978</v>
      </c>
      <c r="AG22" s="71">
        <f t="shared" ref="AG22:AG61" si="19">+AC22+AD22+AE22+AF22</f>
        <v>60.13889436</v>
      </c>
      <c r="AH22" s="71">
        <f t="shared" si="10"/>
        <v>126.6518217</v>
      </c>
      <c r="AI22" s="58">
        <f t="shared" si="11"/>
        <v>124.6735128</v>
      </c>
      <c r="AJ22" s="58">
        <f t="shared" si="12"/>
        <v>121.1284506</v>
      </c>
      <c r="AK22" s="11">
        <f t="shared" si="13"/>
        <v>5.52337109</v>
      </c>
      <c r="AL22" s="65"/>
      <c r="AM22" s="65"/>
      <c r="AP22" s="65">
        <f t="shared" si="14"/>
        <v>7245.368692</v>
      </c>
    </row>
    <row r="23" ht="15.75" customHeight="1">
      <c r="A23" s="116" t="s">
        <v>4965</v>
      </c>
      <c r="B23" s="870">
        <v>45495.0</v>
      </c>
      <c r="C23" s="870">
        <v>45492.0</v>
      </c>
      <c r="D23" s="2" t="s">
        <v>602</v>
      </c>
      <c r="E23" s="915"/>
      <c r="F23" s="2" t="s">
        <v>4802</v>
      </c>
      <c r="G23" s="13">
        <v>90.0</v>
      </c>
      <c r="H23" s="13" t="s">
        <v>47</v>
      </c>
      <c r="I23" s="6">
        <v>8.16</v>
      </c>
      <c r="J23" s="58">
        <v>1.2</v>
      </c>
      <c r="K23" s="59">
        <f t="shared" si="2"/>
        <v>8.06208</v>
      </c>
      <c r="L23" s="139">
        <v>0.7000000000000001</v>
      </c>
      <c r="M23" s="60">
        <v>0.665</v>
      </c>
      <c r="N23" s="968">
        <v>0.665</v>
      </c>
      <c r="O23" s="106">
        <f t="shared" si="3"/>
        <v>0.665</v>
      </c>
      <c r="P23" s="67">
        <v>90.0</v>
      </c>
      <c r="Q23" s="69">
        <v>89.88679826663056</v>
      </c>
      <c r="R23" s="65">
        <v>2400.31</v>
      </c>
      <c r="S23" s="3">
        <v>140.0</v>
      </c>
      <c r="U23" s="67">
        <v>130.0</v>
      </c>
      <c r="V23" s="67">
        <v>1.1023</v>
      </c>
      <c r="W23" s="58">
        <v>5.6</v>
      </c>
      <c r="X23" s="58">
        <v>7.5</v>
      </c>
      <c r="Y23" s="2">
        <v>30.0</v>
      </c>
      <c r="Z23" s="69">
        <f t="shared" si="18"/>
        <v>30</v>
      </c>
      <c r="AA23" s="70">
        <f t="shared" si="5"/>
        <v>60</v>
      </c>
      <c r="AB23" s="71">
        <f t="shared" si="6"/>
        <v>1277.323784</v>
      </c>
      <c r="AC23" s="71">
        <f>+(S23-T23)*V23-'data 1'!$F$4</f>
        <v>74.322</v>
      </c>
      <c r="AD23" s="71">
        <f t="shared" si="7"/>
        <v>-1.983061059</v>
      </c>
      <c r="AE23" s="71">
        <f>+(Y23*V23-'data 2'!$B$2)+V23*(Z23-IF(D23="UNTUCA",IF(+((W23-3)*2.5+(X23-3)*3.1)&gt;0,+((W23-3)*1.5+(X23-3)*3.1),0),IF(+((W23-3)*1.5+(X23-3)*3.1)&gt;0,+((W23-3)*1.5+(X23-3)*3.1),0)))</f>
        <v>-43.538055</v>
      </c>
      <c r="AF23" s="71">
        <f t="shared" si="8"/>
        <v>78.73157241</v>
      </c>
      <c r="AG23" s="71">
        <f t="shared" si="19"/>
        <v>107.5324563</v>
      </c>
      <c r="AH23" s="71">
        <f t="shared" si="10"/>
        <v>173.9202392</v>
      </c>
      <c r="AI23" s="58">
        <f t="shared" si="11"/>
        <v>170.8207158</v>
      </c>
      <c r="AJ23" s="58">
        <f t="shared" si="12"/>
        <v>165.4323075</v>
      </c>
      <c r="AK23" s="11">
        <f t="shared" si="13"/>
        <v>8.487931691</v>
      </c>
      <c r="AL23" s="65"/>
      <c r="AM23" s="65"/>
      <c r="AP23" s="65">
        <f t="shared" si="14"/>
        <v>10297.88653</v>
      </c>
    </row>
    <row r="24" ht="15.75" customHeight="1">
      <c r="A24" s="116" t="s">
        <v>4966</v>
      </c>
      <c r="B24" s="870">
        <v>45495.0</v>
      </c>
      <c r="C24" s="870">
        <v>45492.0</v>
      </c>
      <c r="D24" s="2" t="s">
        <v>602</v>
      </c>
      <c r="E24" s="915"/>
      <c r="F24" s="2" t="s">
        <v>4802</v>
      </c>
      <c r="G24" s="13">
        <v>90.0</v>
      </c>
      <c r="H24" s="13" t="s">
        <v>47</v>
      </c>
      <c r="I24" s="6">
        <v>8.1</v>
      </c>
      <c r="J24" s="58">
        <v>1.0</v>
      </c>
      <c r="K24" s="59">
        <f t="shared" si="2"/>
        <v>8.019</v>
      </c>
      <c r="L24" s="139">
        <v>0.8819999999999999</v>
      </c>
      <c r="M24" s="60">
        <v>0.7938</v>
      </c>
      <c r="N24" s="968">
        <v>0.7938</v>
      </c>
      <c r="O24" s="106">
        <f t="shared" si="3"/>
        <v>0.794</v>
      </c>
      <c r="P24" s="67">
        <v>90.0</v>
      </c>
      <c r="Q24" s="69">
        <v>89.39282795904808</v>
      </c>
      <c r="R24" s="65">
        <v>2400.31</v>
      </c>
      <c r="S24" s="3">
        <v>140.0</v>
      </c>
      <c r="U24" s="67">
        <v>130.0</v>
      </c>
      <c r="V24" s="67">
        <v>1.1023</v>
      </c>
      <c r="W24" s="58">
        <v>5.6</v>
      </c>
      <c r="X24" s="58">
        <v>8.0</v>
      </c>
      <c r="Y24" s="2">
        <v>30.0</v>
      </c>
      <c r="Z24" s="69">
        <f t="shared" si="18"/>
        <v>30</v>
      </c>
      <c r="AA24" s="70">
        <f t="shared" si="5"/>
        <v>60</v>
      </c>
      <c r="AB24" s="71">
        <f t="shared" si="6"/>
        <v>1567.871315</v>
      </c>
      <c r="AC24" s="71">
        <f>+(S24-T24)*V24-'data 1'!$F$4</f>
        <v>74.322</v>
      </c>
      <c r="AD24" s="71">
        <f t="shared" si="7"/>
        <v>-13.40186749</v>
      </c>
      <c r="AE24" s="71">
        <f>+(Y24*V24-'data 2'!$B$2)+V24*(Z24-IF(D24="UNTUCA",IF(+((W24-3)*2.5+(X24-3)*3.1)&gt;0,+((W24-3)*1.5+(X24-3)*3.1),0),IF(+((W24-3)*1.5+(X24-3)*3.1)&gt;0,+((W24-3)*1.5+(X24-3)*3.1),0)))</f>
        <v>-45.24662</v>
      </c>
      <c r="AF24" s="71">
        <f t="shared" si="8"/>
        <v>196.8658191</v>
      </c>
      <c r="AG24" s="71">
        <f t="shared" si="19"/>
        <v>212.5393316</v>
      </c>
      <c r="AH24" s="71">
        <f t="shared" si="10"/>
        <v>216.7706822</v>
      </c>
      <c r="AI24" s="58">
        <f t="shared" si="11"/>
        <v>214.0512891</v>
      </c>
      <c r="AJ24" s="58">
        <f t="shared" si="12"/>
        <v>196.4682128</v>
      </c>
      <c r="AK24" s="11">
        <f t="shared" si="13"/>
        <v>20.30246936</v>
      </c>
      <c r="AL24" s="65"/>
      <c r="AM24" s="65"/>
      <c r="AP24" s="65">
        <f t="shared" si="14"/>
        <v>12572.76007</v>
      </c>
    </row>
    <row r="25" ht="15.75" customHeight="1">
      <c r="A25" s="116" t="s">
        <v>4967</v>
      </c>
      <c r="B25" s="870">
        <v>45495.0</v>
      </c>
      <c r="C25" s="870">
        <v>45492.0</v>
      </c>
      <c r="D25" s="2" t="s">
        <v>602</v>
      </c>
      <c r="E25" s="915"/>
      <c r="F25" s="2" t="s">
        <v>4968</v>
      </c>
      <c r="G25" s="13">
        <v>100.0</v>
      </c>
      <c r="H25" s="13" t="s">
        <v>47</v>
      </c>
      <c r="I25" s="6">
        <v>9.51</v>
      </c>
      <c r="J25" s="58">
        <v>1.5</v>
      </c>
      <c r="K25" s="59">
        <f t="shared" si="2"/>
        <v>9.36735</v>
      </c>
      <c r="L25" s="139">
        <v>0.26</v>
      </c>
      <c r="M25" s="60">
        <v>0.2444</v>
      </c>
      <c r="N25" s="968">
        <v>0.2444</v>
      </c>
      <c r="O25" s="106">
        <f t="shared" si="3"/>
        <v>0.244</v>
      </c>
      <c r="P25" s="67">
        <v>90.0</v>
      </c>
      <c r="Q25" s="69">
        <v>89.59944357815147</v>
      </c>
      <c r="R25" s="65">
        <v>2400.31</v>
      </c>
      <c r="S25" s="3">
        <v>110.0</v>
      </c>
      <c r="U25" s="67">
        <v>130.0</v>
      </c>
      <c r="V25" s="67">
        <v>1.1023</v>
      </c>
      <c r="W25" s="58">
        <v>5.5</v>
      </c>
      <c r="X25" s="58">
        <v>13.8</v>
      </c>
      <c r="Y25" s="2">
        <v>30.0</v>
      </c>
      <c r="Z25" s="69">
        <f t="shared" si="18"/>
        <v>37.23</v>
      </c>
      <c r="AA25" s="70">
        <f t="shared" si="5"/>
        <v>67.23</v>
      </c>
      <c r="AB25" s="71">
        <f t="shared" si="6"/>
        <v>354.2021428</v>
      </c>
      <c r="AC25" s="71">
        <f>+(S25-T25)*V25-'data 1'!$F$4</f>
        <v>41.253</v>
      </c>
      <c r="AD25" s="71">
        <f t="shared" si="7"/>
        <v>-2.606285671</v>
      </c>
      <c r="AE25" s="71">
        <f>+(Y25*V25-'data 2'!$B$2)+V25*(Z25-IF(D25="UNTUCA",IF(+((W25-3)*2.5+(X25-3)*3.1)&gt;0,+((W25-3)*1.5+(X25-3)*3.1),0),IF(+((W25-3)*1.5+(X25-3)*3.1)&gt;0,+((W25-3)*1.5+(X25-3)*3.1),0)))</f>
        <v>-56.931</v>
      </c>
      <c r="AF25" s="71">
        <f t="shared" si="8"/>
        <v>35.87651626</v>
      </c>
      <c r="AG25" s="71">
        <f t="shared" si="19"/>
        <v>17.59223059</v>
      </c>
      <c r="AH25" s="71">
        <f t="shared" si="10"/>
        <v>74.81772138</v>
      </c>
      <c r="AI25" s="58">
        <f t="shared" si="11"/>
        <v>63.24486164</v>
      </c>
      <c r="AJ25" s="58">
        <f t="shared" si="12"/>
        <v>70.52744525</v>
      </c>
      <c r="AK25" s="11">
        <f t="shared" si="13"/>
        <v>4.290276124</v>
      </c>
      <c r="AL25" s="65"/>
      <c r="AM25" s="65"/>
      <c r="AP25" s="65">
        <f t="shared" si="14"/>
        <v>3317.935442</v>
      </c>
    </row>
    <row r="26" ht="15.75" customHeight="1">
      <c r="A26" s="116" t="s">
        <v>4969</v>
      </c>
      <c r="B26" s="870"/>
      <c r="C26" s="870">
        <v>45494.0</v>
      </c>
      <c r="D26" s="2" t="s">
        <v>602</v>
      </c>
      <c r="E26" s="915"/>
      <c r="F26" s="2" t="s">
        <v>4779</v>
      </c>
      <c r="G26" s="13">
        <v>89.0</v>
      </c>
      <c r="H26" s="13"/>
      <c r="I26" s="6">
        <v>7.76</v>
      </c>
      <c r="J26" s="58">
        <v>1.0</v>
      </c>
      <c r="K26" s="59">
        <f t="shared" si="2"/>
        <v>7.6824</v>
      </c>
      <c r="L26" s="139">
        <v>0.92</v>
      </c>
      <c r="M26" s="60">
        <v>0.883</v>
      </c>
      <c r="N26" s="970">
        <v>0.883</v>
      </c>
      <c r="O26" s="106">
        <f t="shared" si="3"/>
        <v>0.883</v>
      </c>
      <c r="P26" s="67">
        <v>90.0</v>
      </c>
      <c r="Q26" s="67">
        <v>89.42</v>
      </c>
      <c r="R26" s="65">
        <v>2400.82</v>
      </c>
      <c r="S26" s="3">
        <v>160.0</v>
      </c>
      <c r="U26" s="67">
        <v>130.0</v>
      </c>
      <c r="V26" s="67">
        <v>1.1023</v>
      </c>
      <c r="W26" s="58">
        <v>5.0</v>
      </c>
      <c r="X26" s="58">
        <v>6.8</v>
      </c>
      <c r="Y26" s="2">
        <v>30.0</v>
      </c>
      <c r="Z26" s="69">
        <f t="shared" si="18"/>
        <v>30</v>
      </c>
      <c r="AA26" s="70">
        <f t="shared" si="5"/>
        <v>60</v>
      </c>
      <c r="AB26" s="71">
        <f t="shared" si="6"/>
        <v>1746.727347</v>
      </c>
      <c r="AC26" s="71">
        <f>+(S26-T26)*V26-'data 1'!$F$4</f>
        <v>96.368</v>
      </c>
      <c r="AD26" s="71">
        <f t="shared" si="7"/>
        <v>-13.35667439</v>
      </c>
      <c r="AE26" s="71">
        <f>+(Y26*V26-'data 2'!$B$2)+V26*(Z26-IF(D26="UNTUCA",IF(+((W26-3)*2.5+(X26-3)*3.1)&gt;0,+((W26-3)*1.5+(X26-3)*3.1),0),IF(+((W26-3)*1.5+(X26-3)*3.1)&gt;0,+((W26-3)*1.5+(X26-3)*3.1),0)))</f>
        <v>-40.153994</v>
      </c>
      <c r="AF26" s="71">
        <f t="shared" si="8"/>
        <v>82.8168881</v>
      </c>
      <c r="AG26" s="71">
        <f t="shared" si="19"/>
        <v>125.6742197</v>
      </c>
      <c r="AH26" s="71">
        <f t="shared" si="10"/>
        <v>216.6848152</v>
      </c>
      <c r="AI26" s="58">
        <f t="shared" si="11"/>
        <v>222.8788407</v>
      </c>
      <c r="AJ26" s="58">
        <f t="shared" si="12"/>
        <v>209.3192636</v>
      </c>
      <c r="AK26" s="11">
        <f t="shared" si="13"/>
        <v>7.365551638</v>
      </c>
      <c r="AL26" s="65"/>
      <c r="AM26" s="65"/>
      <c r="AP26" s="65">
        <f t="shared" si="14"/>
        <v>13419.05817</v>
      </c>
    </row>
    <row r="27" ht="15.75" customHeight="1">
      <c r="A27" s="116" t="s">
        <v>4970</v>
      </c>
      <c r="B27" s="870"/>
      <c r="C27" s="870">
        <v>45494.0</v>
      </c>
      <c r="D27" s="2" t="s">
        <v>602</v>
      </c>
      <c r="E27" s="915"/>
      <c r="F27" s="2" t="s">
        <v>4779</v>
      </c>
      <c r="G27" s="13">
        <v>90.0</v>
      </c>
      <c r="H27" s="13"/>
      <c r="I27" s="6">
        <v>8.65</v>
      </c>
      <c r="J27" s="58">
        <v>1.2</v>
      </c>
      <c r="K27" s="59">
        <f t="shared" si="2"/>
        <v>8.5462</v>
      </c>
      <c r="L27" s="139">
        <v>0.908</v>
      </c>
      <c r="M27" s="60">
        <v>0.872</v>
      </c>
      <c r="N27" s="970">
        <v>0.872</v>
      </c>
      <c r="O27" s="106">
        <f t="shared" si="3"/>
        <v>0.872</v>
      </c>
      <c r="P27" s="67">
        <v>90.0</v>
      </c>
      <c r="Q27" s="67">
        <v>89.45</v>
      </c>
      <c r="R27" s="65">
        <v>2400.82</v>
      </c>
      <c r="S27" s="3">
        <v>160.0</v>
      </c>
      <c r="U27" s="67">
        <v>130.0</v>
      </c>
      <c r="V27" s="67">
        <v>1.1023</v>
      </c>
      <c r="W27" s="58">
        <v>5.0</v>
      </c>
      <c r="X27" s="58">
        <v>6.8</v>
      </c>
      <c r="Y27" s="2">
        <v>30.0</v>
      </c>
      <c r="Z27" s="69">
        <f t="shared" si="18"/>
        <v>30</v>
      </c>
      <c r="AA27" s="70">
        <f t="shared" si="5"/>
        <v>60</v>
      </c>
      <c r="AB27" s="71">
        <f t="shared" si="6"/>
        <v>1721.946411</v>
      </c>
      <c r="AC27" s="71">
        <f>+(S27-T27)*V27-'data 1'!$F$4</f>
        <v>96.368</v>
      </c>
      <c r="AD27" s="71">
        <f t="shared" si="7"/>
        <v>-12.50060568</v>
      </c>
      <c r="AE27" s="71">
        <f>+(Y27*V27-'data 2'!$B$2)+V27*(Z27-IF(D27="UNTUCA",IF(+((W27-3)*2.5+(X27-3)*3.1)&gt;0,+((W27-3)*1.5+(X27-3)*3.1),0),IF(+((W27-3)*1.5+(X27-3)*3.1)&gt;0,+((W27-3)*1.5+(X27-3)*3.1),0)))</f>
        <v>-40.153994</v>
      </c>
      <c r="AF27" s="71">
        <f t="shared" si="8"/>
        <v>80.60562758</v>
      </c>
      <c r="AG27" s="71">
        <f t="shared" si="19"/>
        <v>124.3190279</v>
      </c>
      <c r="AH27" s="71">
        <f t="shared" si="10"/>
        <v>237.9843041</v>
      </c>
      <c r="AI27" s="58">
        <f t="shared" si="11"/>
        <v>220.0455249</v>
      </c>
      <c r="AJ27" s="58">
        <f t="shared" si="12"/>
        <v>229.954078</v>
      </c>
      <c r="AK27" s="11">
        <f t="shared" si="13"/>
        <v>8.030226123</v>
      </c>
      <c r="AL27" s="65"/>
      <c r="AM27" s="65"/>
      <c r="AP27" s="65">
        <f t="shared" si="14"/>
        <v>14716.09841</v>
      </c>
    </row>
    <row r="28" ht="15.75" customHeight="1">
      <c r="A28" s="116" t="s">
        <v>4971</v>
      </c>
      <c r="B28" s="870"/>
      <c r="C28" s="870">
        <v>45494.0</v>
      </c>
      <c r="D28" s="2" t="s">
        <v>602</v>
      </c>
      <c r="E28" s="915"/>
      <c r="F28" s="2" t="s">
        <v>4779</v>
      </c>
      <c r="G28" s="13">
        <v>90.0</v>
      </c>
      <c r="H28" s="13"/>
      <c r="I28" s="6">
        <v>8.4</v>
      </c>
      <c r="J28" s="58">
        <v>1.0</v>
      </c>
      <c r="K28" s="59">
        <f t="shared" si="2"/>
        <v>8.316</v>
      </c>
      <c r="L28" s="139">
        <v>1.01</v>
      </c>
      <c r="M28" s="60">
        <v>0.96</v>
      </c>
      <c r="N28" s="62">
        <v>0.96</v>
      </c>
      <c r="O28" s="106">
        <f t="shared" si="3"/>
        <v>0.96</v>
      </c>
      <c r="P28" s="67">
        <v>90.0</v>
      </c>
      <c r="Q28" s="67">
        <v>89.36</v>
      </c>
      <c r="R28" s="65">
        <v>2400.82</v>
      </c>
      <c r="S28" s="3">
        <v>160.0</v>
      </c>
      <c r="U28" s="67">
        <v>130.0</v>
      </c>
      <c r="V28" s="67">
        <v>1.1023</v>
      </c>
      <c r="W28" s="58">
        <v>5.0</v>
      </c>
      <c r="X28" s="58">
        <v>6.8</v>
      </c>
      <c r="Y28" s="2">
        <v>30.0</v>
      </c>
      <c r="Z28" s="69">
        <f t="shared" si="18"/>
        <v>30</v>
      </c>
      <c r="AA28" s="70">
        <f t="shared" si="5"/>
        <v>60</v>
      </c>
      <c r="AB28" s="71">
        <f t="shared" si="6"/>
        <v>1920.193902</v>
      </c>
      <c r="AC28" s="71">
        <f>+(S28-T28)*V28-'data 1'!$F$4</f>
        <v>96.368</v>
      </c>
      <c r="AD28" s="71">
        <f t="shared" si="7"/>
        <v>-16.18019926</v>
      </c>
      <c r="AE28" s="71">
        <f>+(Y28*V28-'data 2'!$B$2)+V28*(Z28-IF(D28="UNTUCA",IF(+((W28-3)*2.5+(X28-3)*3.1)&gt;0,+((W28-3)*1.5+(X28-3)*3.1),0),IF(+((W28-3)*1.5+(X28-3)*3.1)&gt;0,+((W28-3)*1.5+(X28-3)*3.1),0)))</f>
        <v>-40.153994</v>
      </c>
      <c r="AF28" s="71">
        <f t="shared" si="8"/>
        <v>111.8396199</v>
      </c>
      <c r="AG28" s="71">
        <f t="shared" si="19"/>
        <v>151.8734266</v>
      </c>
      <c r="AH28" s="71">
        <f t="shared" si="10"/>
        <v>257.3286158</v>
      </c>
      <c r="AI28" s="58">
        <f t="shared" si="11"/>
        <v>244.5180261</v>
      </c>
      <c r="AJ28" s="58">
        <f t="shared" si="12"/>
        <v>246.341336</v>
      </c>
      <c r="AK28" s="11">
        <f t="shared" si="13"/>
        <v>10.98727977</v>
      </c>
      <c r="AL28" s="65"/>
      <c r="AM28" s="65"/>
      <c r="AP28" s="65">
        <f t="shared" si="14"/>
        <v>15968.33248</v>
      </c>
    </row>
    <row r="29" ht="15.75" customHeight="1">
      <c r="A29" s="116" t="s">
        <v>4972</v>
      </c>
      <c r="B29" s="870">
        <v>45498.0</v>
      </c>
      <c r="C29" s="870">
        <v>45494.0</v>
      </c>
      <c r="D29" s="2" t="s">
        <v>4466</v>
      </c>
      <c r="E29" s="915"/>
      <c r="F29" s="2" t="s">
        <v>4973</v>
      </c>
      <c r="G29" s="13">
        <v>78.0</v>
      </c>
      <c r="H29" s="13"/>
      <c r="I29" s="6">
        <v>6.65</v>
      </c>
      <c r="J29" s="58">
        <v>24.0</v>
      </c>
      <c r="K29" s="59">
        <f t="shared" si="2"/>
        <v>5.054</v>
      </c>
      <c r="L29" s="139">
        <v>1.135</v>
      </c>
      <c r="M29" s="60">
        <v>1.09</v>
      </c>
      <c r="N29" s="969">
        <v>1.172</v>
      </c>
      <c r="O29" s="106">
        <f t="shared" si="3"/>
        <v>1.131</v>
      </c>
      <c r="P29" s="67">
        <v>90.0</v>
      </c>
      <c r="Q29" s="67">
        <v>89.61</v>
      </c>
      <c r="R29" s="65">
        <v>2400.82</v>
      </c>
      <c r="S29" s="3">
        <v>190.0</v>
      </c>
      <c r="U29" s="67">
        <v>130.0</v>
      </c>
      <c r="V29" s="67">
        <v>1.1023</v>
      </c>
      <c r="W29" s="58">
        <v>5.0</v>
      </c>
      <c r="X29" s="58">
        <v>7.0</v>
      </c>
      <c r="Z29" s="69">
        <f t="shared" si="18"/>
        <v>30</v>
      </c>
      <c r="AA29" s="70">
        <f t="shared" si="5"/>
        <v>30</v>
      </c>
      <c r="AB29" s="71">
        <f t="shared" si="6"/>
        <v>2305.424821</v>
      </c>
      <c r="AC29" s="71">
        <f>+(S29-T29)*V29-'data 1'!$F$4</f>
        <v>129.437</v>
      </c>
      <c r="AD29" s="71">
        <f t="shared" si="7"/>
        <v>-11.08008231</v>
      </c>
      <c r="AE29" s="71">
        <f>+(Y29*V29-'data 2'!$B$2)+V29*(Z29-IF(D29="UNTUCA",IF(+((W29-3)*2.5+(X29-3)*3.1)&gt;0,+((W29-3)*1.5+(X29-3)*3.1),0),IF(+((W29-3)*1.5+(X29-3)*3.1)&gt;0,+((W29-3)*1.5+(X29-3)*3.1),0)))</f>
        <v>-73.90642</v>
      </c>
      <c r="AF29" s="71">
        <f t="shared" si="8"/>
        <v>8.972200841</v>
      </c>
      <c r="AG29" s="71">
        <f t="shared" si="19"/>
        <v>53.42269853</v>
      </c>
      <c r="AH29" s="71">
        <f t="shared" si="10"/>
        <v>176.2368191</v>
      </c>
      <c r="AI29" s="58">
        <f t="shared" si="11"/>
        <v>275.5489029</v>
      </c>
      <c r="AJ29" s="58">
        <f t="shared" si="12"/>
        <v>176.3800337</v>
      </c>
      <c r="AK29" s="11">
        <f t="shared" si="13"/>
        <v>-0.1432145573</v>
      </c>
      <c r="AL29" s="65"/>
      <c r="AM29" s="65"/>
      <c r="AP29" s="65"/>
    </row>
    <row r="30" ht="15.75" customHeight="1">
      <c r="A30" s="116" t="s">
        <v>4974</v>
      </c>
      <c r="B30" s="870"/>
      <c r="C30" s="870">
        <v>45494.0</v>
      </c>
      <c r="D30" s="2" t="s">
        <v>602</v>
      </c>
      <c r="E30" s="915"/>
      <c r="F30" s="2" t="s">
        <v>4779</v>
      </c>
      <c r="G30" s="13">
        <v>73.0</v>
      </c>
      <c r="H30" s="13"/>
      <c r="I30" s="6">
        <v>5.45</v>
      </c>
      <c r="J30" s="58">
        <v>19.0</v>
      </c>
      <c r="K30" s="59">
        <f t="shared" si="2"/>
        <v>4.4145</v>
      </c>
      <c r="L30" s="139">
        <v>1.232</v>
      </c>
      <c r="M30" s="60">
        <v>1.182</v>
      </c>
      <c r="N30" s="970">
        <v>1.182</v>
      </c>
      <c r="O30" s="106">
        <f t="shared" si="3"/>
        <v>1.182</v>
      </c>
      <c r="P30" s="67">
        <v>90.0</v>
      </c>
      <c r="Q30" s="67">
        <v>89.04</v>
      </c>
      <c r="R30" s="65">
        <v>2400.82</v>
      </c>
      <c r="S30" s="3">
        <v>190.0</v>
      </c>
      <c r="U30" s="67">
        <v>130.0</v>
      </c>
      <c r="V30" s="67">
        <v>1.1023</v>
      </c>
      <c r="W30" s="58">
        <v>5.0</v>
      </c>
      <c r="X30" s="58">
        <v>6.0</v>
      </c>
      <c r="Y30" s="2">
        <v>30.0</v>
      </c>
      <c r="Z30" s="69">
        <f t="shared" si="18"/>
        <v>30</v>
      </c>
      <c r="AA30" s="70">
        <f t="shared" si="5"/>
        <v>60</v>
      </c>
      <c r="AB30" s="71">
        <f t="shared" si="6"/>
        <v>2387.249254</v>
      </c>
      <c r="AC30" s="71">
        <f>+(S30-T30)*V30-'data 1'!$F$4</f>
        <v>129.437</v>
      </c>
      <c r="AD30" s="71">
        <f t="shared" si="7"/>
        <v>-29.60495865</v>
      </c>
      <c r="AE30" s="71">
        <f>+(Y30*V30-'data 2'!$B$2)+V30*(Z30-IF(D30="UNTUCA",IF(+((W30-3)*2.5+(X30-3)*3.1)&gt;0,+((W30-3)*1.5+(X30-3)*3.1),0),IF(+((W30-3)*1.5+(X30-3)*3.1)&gt;0,+((W30-3)*1.5+(X30-3)*3.1),0)))</f>
        <v>-37.42029</v>
      </c>
      <c r="AF30" s="71">
        <f t="shared" si="8"/>
        <v>111.4391199</v>
      </c>
      <c r="AG30" s="71">
        <f t="shared" si="19"/>
        <v>173.8508713</v>
      </c>
      <c r="AH30" s="71">
        <f t="shared" si="10"/>
        <v>166.0299548</v>
      </c>
      <c r="AI30" s="58">
        <f t="shared" si="11"/>
        <v>297.1954844</v>
      </c>
      <c r="AJ30" s="58">
        <f t="shared" si="12"/>
        <v>161.0091571</v>
      </c>
      <c r="AK30" s="11">
        <f t="shared" si="13"/>
        <v>5.020797675</v>
      </c>
      <c r="AL30" s="65"/>
      <c r="AM30" s="65"/>
      <c r="AP30" s="65">
        <f t="shared" ref="AP30:AP40" si="20">+AB30*K30</f>
        <v>10538.51183</v>
      </c>
    </row>
    <row r="31" ht="15.75" customHeight="1">
      <c r="A31" s="116" t="s">
        <v>4975</v>
      </c>
      <c r="B31" s="870"/>
      <c r="C31" s="870">
        <v>45494.0</v>
      </c>
      <c r="D31" s="2" t="s">
        <v>602</v>
      </c>
      <c r="E31" s="915"/>
      <c r="F31" s="2" t="s">
        <v>4744</v>
      </c>
      <c r="G31" s="13">
        <v>17.0</v>
      </c>
      <c r="H31" s="13"/>
      <c r="I31" s="6">
        <v>1.45</v>
      </c>
      <c r="J31" s="58">
        <v>1.1</v>
      </c>
      <c r="K31" s="59">
        <f t="shared" si="2"/>
        <v>1.43405</v>
      </c>
      <c r="L31" s="139">
        <v>0.279</v>
      </c>
      <c r="M31" s="60">
        <v>0.279</v>
      </c>
      <c r="N31" s="970">
        <v>0.279</v>
      </c>
      <c r="O31" s="106">
        <f t="shared" si="3"/>
        <v>0.279</v>
      </c>
      <c r="P31" s="67">
        <v>90.0</v>
      </c>
      <c r="Q31" s="67">
        <v>89.65</v>
      </c>
      <c r="R31" s="65">
        <v>2400.82</v>
      </c>
      <c r="S31" s="3">
        <v>110.0</v>
      </c>
      <c r="U31" s="67">
        <v>130.0</v>
      </c>
      <c r="V31" s="67">
        <v>1.1023</v>
      </c>
      <c r="W31" s="58">
        <v>5.0</v>
      </c>
      <c r="X31" s="58">
        <v>6.6</v>
      </c>
      <c r="Y31" s="2">
        <v>30.0</v>
      </c>
      <c r="Z31" s="69">
        <f t="shared" si="18"/>
        <v>30</v>
      </c>
      <c r="AA31" s="70">
        <f t="shared" si="5"/>
        <v>60</v>
      </c>
      <c r="AB31" s="71">
        <f t="shared" si="6"/>
        <v>441.1436589</v>
      </c>
      <c r="AC31" s="71">
        <f>+(S31-T31)*V31-'data 1'!$F$4</f>
        <v>41.253</v>
      </c>
      <c r="AD31" s="71">
        <f t="shared" si="7"/>
        <v>-2.444301451</v>
      </c>
      <c r="AE31" s="71">
        <f>+(Y31*V31-'data 2'!$B$2)+V31*(Z31-IF(D31="UNTUCA",IF(+((W31-3)*2.5+(X31-3)*3.1)&gt;0,+((W31-3)*1.5+(X31-3)*3.1),0),IF(+((W31-3)*1.5+(X31-3)*3.1)&gt;0,+((W31-3)*1.5+(X31-3)*3.1),0)))</f>
        <v>-39.470568</v>
      </c>
      <c r="AF31" s="71">
        <f t="shared" si="8"/>
        <v>0</v>
      </c>
      <c r="AG31" s="71">
        <f t="shared" si="19"/>
        <v>-0.6618694512</v>
      </c>
      <c r="AH31" s="71">
        <f t="shared" si="10"/>
        <v>12.2978123</v>
      </c>
      <c r="AI31" s="58">
        <f t="shared" si="11"/>
        <v>67.76428253</v>
      </c>
      <c r="AJ31" s="58">
        <f t="shared" si="12"/>
        <v>12.34582384</v>
      </c>
      <c r="AK31" s="11">
        <f t="shared" si="13"/>
        <v>-0.04801153716</v>
      </c>
      <c r="AL31" s="65"/>
      <c r="AM31" s="65"/>
      <c r="AP31" s="65">
        <f t="shared" si="20"/>
        <v>632.622064</v>
      </c>
    </row>
    <row r="32" ht="15.75" customHeight="1">
      <c r="A32" s="116" t="s">
        <v>4976</v>
      </c>
      <c r="B32" s="870"/>
      <c r="C32" s="870">
        <v>45494.0</v>
      </c>
      <c r="D32" s="2" t="s">
        <v>602</v>
      </c>
      <c r="E32" s="915"/>
      <c r="F32" s="2" t="s">
        <v>4744</v>
      </c>
      <c r="G32" s="13">
        <v>17.0</v>
      </c>
      <c r="H32" s="13"/>
      <c r="I32" s="6">
        <v>1.49</v>
      </c>
      <c r="J32" s="58">
        <v>1.2</v>
      </c>
      <c r="K32" s="59">
        <f t="shared" si="2"/>
        <v>1.47212</v>
      </c>
      <c r="L32" s="139">
        <v>0.336</v>
      </c>
      <c r="M32" s="3">
        <v>0.299</v>
      </c>
      <c r="N32" s="970">
        <v>0.299</v>
      </c>
      <c r="O32" s="106">
        <f t="shared" si="3"/>
        <v>0.299</v>
      </c>
      <c r="P32" s="67">
        <v>90.0</v>
      </c>
      <c r="Q32" s="67">
        <v>89.03</v>
      </c>
      <c r="R32" s="65">
        <v>2400.82</v>
      </c>
      <c r="S32" s="3">
        <v>110.0</v>
      </c>
      <c r="U32" s="67">
        <v>130.0</v>
      </c>
      <c r="V32" s="67">
        <v>1.1023</v>
      </c>
      <c r="W32" s="58">
        <v>5.0</v>
      </c>
      <c r="X32" s="58">
        <v>6.6</v>
      </c>
      <c r="Y32" s="2">
        <v>30.0</v>
      </c>
      <c r="Z32" s="69">
        <f t="shared" si="18"/>
        <v>30</v>
      </c>
      <c r="AA32" s="70">
        <f t="shared" si="5"/>
        <v>60</v>
      </c>
      <c r="AB32" s="71">
        <f t="shared" si="6"/>
        <v>486.1999068</v>
      </c>
      <c r="AC32" s="71">
        <f>+(S32-T32)*V32-'data 1'!$F$4</f>
        <v>41.253</v>
      </c>
      <c r="AD32" s="71">
        <f t="shared" si="7"/>
        <v>-8.158184628</v>
      </c>
      <c r="AE32" s="71">
        <f>+(Y32*V32-'data 2'!$B$2)+V32*(Z32-IF(D32="UNTUCA",IF(+((W32-3)*2.5+(X32-3)*3.1)&gt;0,+((W32-3)*1.5+(X32-3)*3.1),0),IF(+((W32-3)*1.5+(X32-3)*3.1)&gt;0,+((W32-3)*1.5+(X32-3)*3.1),0)))</f>
        <v>-39.470568</v>
      </c>
      <c r="AF32" s="71">
        <f t="shared" si="8"/>
        <v>82.45568718</v>
      </c>
      <c r="AG32" s="71">
        <f t="shared" si="19"/>
        <v>76.07993455</v>
      </c>
      <c r="AH32" s="71">
        <f t="shared" si="10"/>
        <v>15.09829592</v>
      </c>
      <c r="AI32" s="58">
        <f t="shared" si="11"/>
        <v>81.04421091</v>
      </c>
      <c r="AJ32" s="58">
        <f t="shared" si="12"/>
        <v>13.58207049</v>
      </c>
      <c r="AK32" s="11">
        <f t="shared" si="13"/>
        <v>1.51622543</v>
      </c>
      <c r="AL32" s="65"/>
      <c r="AM32" s="65"/>
      <c r="AP32" s="65">
        <f t="shared" si="20"/>
        <v>715.7446068</v>
      </c>
    </row>
    <row r="33" ht="15.75" customHeight="1">
      <c r="A33" s="116" t="s">
        <v>4977</v>
      </c>
      <c r="B33" s="841">
        <v>45497.0</v>
      </c>
      <c r="C33" s="841">
        <v>45495.0</v>
      </c>
      <c r="D33" s="67" t="s">
        <v>4978</v>
      </c>
      <c r="E33" s="915"/>
      <c r="F33" s="67" t="s">
        <v>4979</v>
      </c>
      <c r="G33" s="916">
        <v>150.0</v>
      </c>
      <c r="H33" s="916" t="s">
        <v>47</v>
      </c>
      <c r="I33" s="59">
        <v>11.62</v>
      </c>
      <c r="J33" s="69">
        <v>13.5</v>
      </c>
      <c r="K33" s="59">
        <f t="shared" si="2"/>
        <v>10.0513</v>
      </c>
      <c r="L33" s="405">
        <v>0.21</v>
      </c>
      <c r="M33" s="134">
        <v>0.197</v>
      </c>
      <c r="N33" s="917">
        <v>0.217</v>
      </c>
      <c r="O33" s="106">
        <f t="shared" si="3"/>
        <v>0.207</v>
      </c>
      <c r="P33" s="67">
        <v>90.0</v>
      </c>
      <c r="Q33" s="67">
        <v>89.88</v>
      </c>
      <c r="R33" s="70">
        <v>2400.82</v>
      </c>
      <c r="S33" s="134">
        <v>110.0</v>
      </c>
      <c r="T33" s="67"/>
      <c r="U33" s="67">
        <v>110.0</v>
      </c>
      <c r="V33" s="67">
        <v>1.1023</v>
      </c>
      <c r="W33" s="69">
        <v>5.0</v>
      </c>
      <c r="X33" s="69">
        <v>10.5</v>
      </c>
      <c r="Y33" s="67"/>
      <c r="Z33" s="69">
        <f t="shared" ref="Z33:Z36" si="21">IF(IF(D33="UNTUCA",IF(+((W33-3)*1.5+(X33-3)*3.1)&gt;0,+((W33-3)*1.5+(X33-3)*3.1),0),IF(+((W33-3)*1.5+(X33-3)*3.1)&gt;0,+((W33-3)*1.5+(X33-3)*3.1),0))&lt;30,30,IF(D33="UNTUCA",IF(+((W33-3)*1.5+(X33-3)*3.1)&gt;0,+((W33-3)*1.5+(X33-3)*3.1),0),IF(+((W33-3)*1.5+(X33-3)*3.1)&gt;0,+((W33-3)*1.5+(X33-3)*3.1),0)))+1</f>
        <v>31</v>
      </c>
      <c r="AA33" s="70">
        <f t="shared" si="5"/>
        <v>31</v>
      </c>
      <c r="AB33" s="71">
        <f t="shared" si="6"/>
        <v>315.0150361</v>
      </c>
      <c r="AC33" s="71">
        <f>+(S33-T33)*V33-'data 1'!$F$4</f>
        <v>41.253</v>
      </c>
      <c r="AD33" s="71">
        <f t="shared" si="7"/>
        <v>-0.6363430633</v>
      </c>
      <c r="AE33" s="71">
        <f>+(Y33*V33-'data 2'!$B$2)+V33*(Z33-IF(D33="UNTUCA",IF(+((W33-3)*2.5+(X33-3)*3.1)&gt;0,+((W33-3)*1.5+(X33-3)*3.1),0),IF(+((W33-3)*1.5+(X33-3)*3.1)&gt;0,+((W33-3)*1.5+(X33-3)*3.1),0)))</f>
        <v>-84.764075</v>
      </c>
      <c r="AF33" s="71">
        <f t="shared" si="8"/>
        <v>6.808870777</v>
      </c>
      <c r="AG33" s="71">
        <f t="shared" si="19"/>
        <v>-37.33854729</v>
      </c>
      <c r="AH33" s="71">
        <f t="shared" si="10"/>
        <v>65.04496185</v>
      </c>
      <c r="AI33" s="69">
        <f t="shared" si="11"/>
        <v>46.97509149</v>
      </c>
      <c r="AJ33" s="69">
        <f t="shared" si="12"/>
        <v>64.2013499</v>
      </c>
      <c r="AK33" s="53">
        <f t="shared" si="13"/>
        <v>0.8436119408</v>
      </c>
      <c r="AL33" s="70"/>
      <c r="AM33" s="70"/>
      <c r="AN33" s="67"/>
      <c r="AO33" s="67"/>
      <c r="AP33" s="65">
        <f t="shared" si="20"/>
        <v>3166.310632</v>
      </c>
      <c r="AQ33" s="67"/>
      <c r="AR33" s="67"/>
      <c r="AS33" s="67"/>
      <c r="AT33" s="67"/>
    </row>
    <row r="34" ht="15.75" customHeight="1">
      <c r="A34" s="116" t="s">
        <v>4980</v>
      </c>
      <c r="B34" s="841">
        <v>45497.0</v>
      </c>
      <c r="C34" s="841">
        <v>45495.0</v>
      </c>
      <c r="D34" s="67" t="s">
        <v>4978</v>
      </c>
      <c r="E34" s="915"/>
      <c r="F34" s="67" t="s">
        <v>4979</v>
      </c>
      <c r="G34" s="916" t="s">
        <v>4100</v>
      </c>
      <c r="H34" s="916" t="s">
        <v>47</v>
      </c>
      <c r="I34" s="59">
        <v>17.15</v>
      </c>
      <c r="J34" s="69">
        <v>15.5</v>
      </c>
      <c r="K34" s="59">
        <f t="shared" si="2"/>
        <v>14.49175</v>
      </c>
      <c r="L34" s="405">
        <v>0.289</v>
      </c>
      <c r="M34" s="134">
        <v>0.266</v>
      </c>
      <c r="N34" s="917">
        <v>0.321</v>
      </c>
      <c r="O34" s="106">
        <f t="shared" si="3"/>
        <v>0.294</v>
      </c>
      <c r="P34" s="67">
        <v>90.0</v>
      </c>
      <c r="Q34" s="67">
        <v>89.86</v>
      </c>
      <c r="R34" s="70">
        <v>2400.82</v>
      </c>
      <c r="S34" s="134">
        <v>110.0</v>
      </c>
      <c r="T34" s="67"/>
      <c r="U34" s="67">
        <v>110.0</v>
      </c>
      <c r="V34" s="67">
        <v>1.1023</v>
      </c>
      <c r="W34" s="69">
        <v>5.0</v>
      </c>
      <c r="X34" s="69">
        <v>9.5</v>
      </c>
      <c r="Y34" s="67"/>
      <c r="Z34" s="69">
        <f t="shared" si="21"/>
        <v>31</v>
      </c>
      <c r="AA34" s="70">
        <f t="shared" si="5"/>
        <v>31</v>
      </c>
      <c r="AB34" s="71">
        <f t="shared" si="6"/>
        <v>512.7359164</v>
      </c>
      <c r="AC34" s="71">
        <f>+(S34-T34)*V34-'data 1'!$F$4</f>
        <v>41.253</v>
      </c>
      <c r="AD34" s="71">
        <f t="shared" si="7"/>
        <v>-1.02168414</v>
      </c>
      <c r="AE34" s="71">
        <f>+(Y34*V34-'data 2'!$B$2)+V34*(Z34-IF(D34="UNTUCA",IF(+((W34-3)*2.5+(X34-3)*3.1)&gt;0,+((W34-3)*1.5+(X34-3)*3.1),0),IF(+((W34-3)*1.5+(X34-3)*3.1)&gt;0,+((W34-3)*1.5+(X34-3)*3.1),0)))</f>
        <v>-81.346945</v>
      </c>
      <c r="AF34" s="71">
        <f t="shared" si="8"/>
        <v>-11.34559279</v>
      </c>
      <c r="AG34" s="71">
        <f t="shared" si="19"/>
        <v>-52.46122193</v>
      </c>
      <c r="AH34" s="71">
        <f t="shared" si="10"/>
        <v>129.0310287</v>
      </c>
      <c r="AI34" s="69">
        <f t="shared" si="11"/>
        <v>64.63228842</v>
      </c>
      <c r="AJ34" s="69">
        <f t="shared" si="12"/>
        <v>131.467905</v>
      </c>
      <c r="AK34" s="53">
        <f t="shared" si="13"/>
        <v>-2.436876368</v>
      </c>
      <c r="AL34" s="70"/>
      <c r="AM34" s="70"/>
      <c r="AN34" s="67"/>
      <c r="AO34" s="67"/>
      <c r="AP34" s="65">
        <f t="shared" si="20"/>
        <v>7430.440717</v>
      </c>
      <c r="AQ34" s="67"/>
      <c r="AR34" s="67"/>
      <c r="AS34" s="67"/>
      <c r="AT34" s="67"/>
    </row>
    <row r="35" ht="15.75" customHeight="1">
      <c r="A35" s="116" t="s">
        <v>4981</v>
      </c>
      <c r="B35" s="841">
        <v>45497.0</v>
      </c>
      <c r="C35" s="841">
        <v>45495.0</v>
      </c>
      <c r="D35" s="67" t="s">
        <v>4978</v>
      </c>
      <c r="E35" s="915"/>
      <c r="F35" s="67" t="s">
        <v>4979</v>
      </c>
      <c r="G35" s="916">
        <v>200.0</v>
      </c>
      <c r="H35" s="916" t="s">
        <v>47</v>
      </c>
      <c r="I35" s="59">
        <v>15.13</v>
      </c>
      <c r="J35" s="69">
        <v>16.5</v>
      </c>
      <c r="K35" s="59">
        <f t="shared" si="2"/>
        <v>12.63355</v>
      </c>
      <c r="L35" s="405">
        <v>0.391</v>
      </c>
      <c r="M35" s="134">
        <v>0.313</v>
      </c>
      <c r="N35" s="917">
        <v>0.364</v>
      </c>
      <c r="O35" s="106">
        <f t="shared" si="3"/>
        <v>0.339</v>
      </c>
      <c r="P35" s="67">
        <v>90.0</v>
      </c>
      <c r="Q35" s="67">
        <v>89.53</v>
      </c>
      <c r="R35" s="70">
        <v>2400.82</v>
      </c>
      <c r="S35" s="134">
        <v>120.0</v>
      </c>
      <c r="T35" s="67"/>
      <c r="U35" s="67">
        <v>110.0</v>
      </c>
      <c r="V35" s="67">
        <v>1.1023</v>
      </c>
      <c r="W35" s="69">
        <v>5.0</v>
      </c>
      <c r="X35" s="69">
        <v>9.5</v>
      </c>
      <c r="Y35" s="67"/>
      <c r="Z35" s="69">
        <f t="shared" si="21"/>
        <v>31</v>
      </c>
      <c r="AA35" s="70">
        <f t="shared" si="5"/>
        <v>31</v>
      </c>
      <c r="AB35" s="71">
        <f t="shared" si="6"/>
        <v>603.9823373</v>
      </c>
      <c r="AC35" s="71">
        <f>+(S35-T35)*V35-'data 1'!$F$4</f>
        <v>52.276</v>
      </c>
      <c r="AD35" s="71">
        <f t="shared" si="7"/>
        <v>-4.640506537</v>
      </c>
      <c r="AE35" s="71">
        <f>+(Y35*V35-'data 2'!$B$2)+V35*(Z35-IF(D35="UNTUCA",IF(+((W35-3)*2.5+(X35-3)*3.1)&gt;0,+((W35-3)*1.5+(X35-3)*3.1),0),IF(+((W35-3)*1.5+(X35-3)*3.1)&gt;0,+((W35-3)*1.5+(X35-3)*3.1),0)))</f>
        <v>-81.346945</v>
      </c>
      <c r="AF35" s="71">
        <f t="shared" si="8"/>
        <v>117.5608457</v>
      </c>
      <c r="AG35" s="71">
        <f t="shared" si="19"/>
        <v>83.84939416</v>
      </c>
      <c r="AH35" s="71">
        <f t="shared" si="10"/>
        <v>151.6281425</v>
      </c>
      <c r="AI35" s="69">
        <f t="shared" si="11"/>
        <v>87.12255796</v>
      </c>
      <c r="AJ35" s="69">
        <f t="shared" si="12"/>
        <v>132.1528947</v>
      </c>
      <c r="AK35" s="53">
        <f t="shared" si="13"/>
        <v>19.47524778</v>
      </c>
      <c r="AL35" s="70"/>
      <c r="AM35" s="70"/>
      <c r="AN35" s="67"/>
      <c r="AO35" s="67"/>
      <c r="AP35" s="65">
        <f t="shared" si="20"/>
        <v>7630.441058</v>
      </c>
      <c r="AQ35" s="67"/>
      <c r="AR35" s="67"/>
      <c r="AS35" s="67"/>
      <c r="AT35" s="67"/>
    </row>
    <row r="36" ht="15.75" customHeight="1">
      <c r="A36" s="116" t="s">
        <v>4982</v>
      </c>
      <c r="B36" s="841">
        <v>45497.0</v>
      </c>
      <c r="C36" s="841">
        <v>45495.0</v>
      </c>
      <c r="D36" s="67" t="s">
        <v>4978</v>
      </c>
      <c r="E36" s="915"/>
      <c r="F36" s="67" t="s">
        <v>4979</v>
      </c>
      <c r="G36" s="916" t="s">
        <v>4100</v>
      </c>
      <c r="H36" s="916" t="s">
        <v>47</v>
      </c>
      <c r="I36" s="59">
        <v>13.32</v>
      </c>
      <c r="J36" s="69">
        <v>8.0</v>
      </c>
      <c r="K36" s="59">
        <f t="shared" si="2"/>
        <v>12.2544</v>
      </c>
      <c r="L36" s="405">
        <v>0.303</v>
      </c>
      <c r="M36" s="134">
        <v>0.279</v>
      </c>
      <c r="N36" s="917">
        <v>0.309</v>
      </c>
      <c r="O36" s="106">
        <f t="shared" si="3"/>
        <v>0.294</v>
      </c>
      <c r="P36" s="67">
        <v>90.0</v>
      </c>
      <c r="Q36" s="67">
        <v>89.38</v>
      </c>
      <c r="R36" s="70">
        <v>2400.82</v>
      </c>
      <c r="S36" s="134">
        <v>110.0</v>
      </c>
      <c r="T36" s="67"/>
      <c r="U36" s="67">
        <v>110.0</v>
      </c>
      <c r="V36" s="67">
        <v>1.1023</v>
      </c>
      <c r="W36" s="69">
        <v>5.0</v>
      </c>
      <c r="X36" s="69">
        <v>9.5</v>
      </c>
      <c r="Y36" s="67"/>
      <c r="Z36" s="69">
        <f t="shared" si="21"/>
        <v>31</v>
      </c>
      <c r="AA36" s="70">
        <f t="shared" si="5"/>
        <v>31</v>
      </c>
      <c r="AB36" s="71">
        <f t="shared" si="6"/>
        <v>512.7359164</v>
      </c>
      <c r="AC36" s="71">
        <f>+(S36-T36)*V36-'data 1'!$F$4</f>
        <v>41.253</v>
      </c>
      <c r="AD36" s="71">
        <f t="shared" si="7"/>
        <v>-4.743786026</v>
      </c>
      <c r="AE36" s="71">
        <f>+(Y36*V36-'data 2'!$B$2)+V36*(Z36-IF(D36="UNTUCA",IF(+((W36-3)*2.5+(X36-3)*3.1)&gt;0,+((W36-3)*1.5+(X36-3)*3.1),0),IF(+((W36-3)*1.5+(X36-3)*3.1)&gt;0,+((W36-3)*1.5+(X36-3)*3.1),0)))</f>
        <v>-81.346945</v>
      </c>
      <c r="AF36" s="71">
        <f t="shared" si="8"/>
        <v>20.31297964</v>
      </c>
      <c r="AG36" s="71">
        <f t="shared" si="19"/>
        <v>-24.52475139</v>
      </c>
      <c r="AH36" s="71">
        <f t="shared" si="10"/>
        <v>113.7847606</v>
      </c>
      <c r="AI36" s="69">
        <f t="shared" si="11"/>
        <v>67.40129719</v>
      </c>
      <c r="AJ36" s="69">
        <f t="shared" si="12"/>
        <v>111.170859</v>
      </c>
      <c r="AK36" s="53">
        <f t="shared" si="13"/>
        <v>2.613901671</v>
      </c>
      <c r="AL36" s="70"/>
      <c r="AM36" s="70"/>
      <c r="AN36" s="67"/>
      <c r="AO36" s="67"/>
      <c r="AP36" s="65">
        <f t="shared" si="20"/>
        <v>6283.271014</v>
      </c>
      <c r="AQ36" s="67"/>
      <c r="AR36" s="67"/>
      <c r="AS36" s="67"/>
      <c r="AT36" s="67"/>
    </row>
    <row r="37" ht="15.75" customHeight="1">
      <c r="A37" s="116" t="s">
        <v>4983</v>
      </c>
      <c r="B37" s="841">
        <v>45498.0</v>
      </c>
      <c r="C37" s="841">
        <v>45496.0</v>
      </c>
      <c r="D37" s="67" t="s">
        <v>602</v>
      </c>
      <c r="E37" s="915"/>
      <c r="F37" s="67" t="s">
        <v>4394</v>
      </c>
      <c r="G37" s="916">
        <v>11.0</v>
      </c>
      <c r="H37" s="916" t="s">
        <v>47</v>
      </c>
      <c r="I37" s="59">
        <v>0.95</v>
      </c>
      <c r="J37" s="69">
        <v>1.0</v>
      </c>
      <c r="K37" s="59">
        <f t="shared" si="2"/>
        <v>0.9405</v>
      </c>
      <c r="L37" s="405">
        <v>0.316</v>
      </c>
      <c r="M37" s="134">
        <v>0.294</v>
      </c>
      <c r="N37" s="917">
        <v>0.201</v>
      </c>
      <c r="O37" s="106">
        <f t="shared" si="3"/>
        <v>0.248</v>
      </c>
      <c r="P37" s="67">
        <v>90.0</v>
      </c>
      <c r="Q37" s="69">
        <v>89.5</v>
      </c>
      <c r="R37" s="70">
        <v>2388.31</v>
      </c>
      <c r="S37" s="134">
        <v>110.0</v>
      </c>
      <c r="T37" s="67"/>
      <c r="U37" s="67">
        <v>130.0</v>
      </c>
      <c r="V37" s="67">
        <v>1.1023</v>
      </c>
      <c r="W37" s="69">
        <v>5.5</v>
      </c>
      <c r="X37" s="69">
        <v>7.1</v>
      </c>
      <c r="Y37" s="67">
        <v>30.0</v>
      </c>
      <c r="Z37" s="69">
        <f t="shared" ref="Z37:Z59" si="22">IF(IF(D37="UNTUCA",IF(+((W37-3)*1.5+(X37-3)*3.1)&gt;0,+((W37-3)*1.5+(X37-3)*3.1),0),IF(+((W37-3)*1.5+(X37-3)*3.1)&gt;0,+((W37-3)*1.5+(X37-3)*3.1),0))&lt;30,30,IF(D37="UNTUCA",IF(+((W37-3)*1.5+(X37-3)*3.1)&gt;0,+((W37-3)*1.5+(X37-3)*3.1),0),IF(+((W37-3)*1.5+(X37-3)*3.1)&gt;0,+((W37-3)*1.5+(X37-3)*3.1),0)))</f>
        <v>30</v>
      </c>
      <c r="AA37" s="70">
        <f t="shared" si="5"/>
        <v>60</v>
      </c>
      <c r="AB37" s="71">
        <f t="shared" si="6"/>
        <v>368.2285972</v>
      </c>
      <c r="AC37" s="71">
        <f>+(S37-T37)*V37-'data 1'!$F$4</f>
        <v>41.253</v>
      </c>
      <c r="AD37" s="71">
        <f t="shared" si="7"/>
        <v>-3.933149479</v>
      </c>
      <c r="AE37" s="71">
        <f>+(Y37*V37-'data 2'!$B$2)+V37*(Z37-IF(D37="UNTUCA",IF(+((W37-3)*2.5+(X37-3)*3.1)&gt;0,+((W37-3)*1.5+(X37-3)*3.1),0),IF(+((W37-3)*1.5+(X37-3)*3.1)&gt;0,+((W37-3)*1.5+(X37-3)*3.1),0)))</f>
        <v>-42.005858</v>
      </c>
      <c r="AF37" s="71">
        <f t="shared" si="8"/>
        <v>151.500935</v>
      </c>
      <c r="AG37" s="71">
        <f t="shared" si="19"/>
        <v>146.8149275</v>
      </c>
      <c r="AH37" s="71">
        <f t="shared" si="10"/>
        <v>9.119646138</v>
      </c>
      <c r="AI37" s="69">
        <f t="shared" si="11"/>
        <v>80.52254961</v>
      </c>
      <c r="AJ37" s="69">
        <f t="shared" si="12"/>
        <v>7.197174945</v>
      </c>
      <c r="AK37" s="53">
        <f t="shared" si="13"/>
        <v>1.922471193</v>
      </c>
      <c r="AL37" s="70"/>
      <c r="AM37" s="70"/>
      <c r="AN37" s="67"/>
      <c r="AO37" s="67"/>
      <c r="AP37" s="70">
        <f t="shared" si="20"/>
        <v>346.3189957</v>
      </c>
      <c r="AQ37" s="67"/>
      <c r="AR37" s="67"/>
      <c r="AS37" s="67"/>
      <c r="AT37" s="67"/>
    </row>
    <row r="38" ht="15.75" customHeight="1">
      <c r="A38" s="116" t="s">
        <v>4984</v>
      </c>
      <c r="B38" s="841">
        <v>45498.0</v>
      </c>
      <c r="C38" s="841">
        <v>45496.0</v>
      </c>
      <c r="D38" s="67" t="s">
        <v>602</v>
      </c>
      <c r="E38" s="915"/>
      <c r="F38" s="67" t="s">
        <v>4394</v>
      </c>
      <c r="G38" s="916">
        <v>41.0</v>
      </c>
      <c r="H38" s="916" t="s">
        <v>47</v>
      </c>
      <c r="I38" s="59">
        <v>4.07</v>
      </c>
      <c r="J38" s="69">
        <v>3.0</v>
      </c>
      <c r="K38" s="59">
        <f t="shared" si="2"/>
        <v>3.9479</v>
      </c>
      <c r="L38" s="405">
        <v>0.297</v>
      </c>
      <c r="M38" s="134">
        <v>0.279</v>
      </c>
      <c r="N38" s="917">
        <v>0.374</v>
      </c>
      <c r="O38" s="106">
        <f t="shared" si="3"/>
        <v>0.327</v>
      </c>
      <c r="P38" s="67">
        <v>90.0</v>
      </c>
      <c r="Q38" s="69">
        <v>89.04</v>
      </c>
      <c r="R38" s="70">
        <v>2388.31</v>
      </c>
      <c r="S38" s="134">
        <v>110.0</v>
      </c>
      <c r="T38" s="67"/>
      <c r="U38" s="67">
        <v>130.0</v>
      </c>
      <c r="V38" s="67">
        <v>1.1023</v>
      </c>
      <c r="W38" s="69">
        <v>5.5</v>
      </c>
      <c r="X38" s="69">
        <v>13.75</v>
      </c>
      <c r="Y38" s="67">
        <v>50.0</v>
      </c>
      <c r="Z38" s="69">
        <f t="shared" si="22"/>
        <v>37.075</v>
      </c>
      <c r="AA38" s="70">
        <f t="shared" si="5"/>
        <v>87.075</v>
      </c>
      <c r="AB38" s="71">
        <f t="shared" si="6"/>
        <v>515.3755513</v>
      </c>
      <c r="AC38" s="71">
        <f>+(S38-T38)*V38-'data 1'!$F$4</f>
        <v>41.253</v>
      </c>
      <c r="AD38" s="71">
        <f t="shared" si="7"/>
        <v>-7.097592274</v>
      </c>
      <c r="AE38" s="71">
        <f>+(Y38*V38-'data 2'!$B$2)+V38*(Z38-IF(D38="UNTUCA",IF(+((W38-3)*2.5+(X38-3)*3.1)&gt;0,+((W38-3)*1.5+(X38-3)*3.1),0),IF(+((W38-3)*1.5+(X38-3)*3.1)&gt;0,+((W38-3)*1.5+(X38-3)*3.1),0)))</f>
        <v>-34.885</v>
      </c>
      <c r="AF38" s="71">
        <f t="shared" si="8"/>
        <v>-66.49511954</v>
      </c>
      <c r="AG38" s="71">
        <f t="shared" si="19"/>
        <v>-67.22471181</v>
      </c>
      <c r="AH38" s="71">
        <f t="shared" si="10"/>
        <v>35.79454229</v>
      </c>
      <c r="AI38" s="69">
        <f t="shared" si="11"/>
        <v>75.29202891</v>
      </c>
      <c r="AJ38" s="69">
        <f t="shared" si="12"/>
        <v>39.83505993</v>
      </c>
      <c r="AK38" s="53">
        <f t="shared" si="13"/>
        <v>-4.040517638</v>
      </c>
      <c r="AL38" s="70" t="s">
        <v>4985</v>
      </c>
      <c r="AM38" s="70"/>
      <c r="AN38" s="67"/>
      <c r="AO38" s="67"/>
      <c r="AP38" s="70">
        <f t="shared" si="20"/>
        <v>2034.651139</v>
      </c>
      <c r="AQ38" s="67"/>
      <c r="AR38" s="67"/>
      <c r="AS38" s="67"/>
      <c r="AT38" s="67"/>
    </row>
    <row r="39" ht="15.75" customHeight="1">
      <c r="A39" s="116" t="s">
        <v>4986</v>
      </c>
      <c r="B39" s="841">
        <v>45498.0</v>
      </c>
      <c r="C39" s="841">
        <v>45496.0</v>
      </c>
      <c r="D39" s="67" t="s">
        <v>602</v>
      </c>
      <c r="E39" s="915"/>
      <c r="F39" s="67" t="s">
        <v>4394</v>
      </c>
      <c r="G39" s="916">
        <v>50.0</v>
      </c>
      <c r="H39" s="916" t="s">
        <v>4987</v>
      </c>
      <c r="I39" s="59">
        <v>3.98</v>
      </c>
      <c r="J39" s="69">
        <v>23.7</v>
      </c>
      <c r="K39" s="59">
        <f t="shared" si="2"/>
        <v>3.03674</v>
      </c>
      <c r="L39" s="405">
        <v>1.778</v>
      </c>
      <c r="M39" s="134">
        <v>1.707</v>
      </c>
      <c r="N39" s="969">
        <v>1.81</v>
      </c>
      <c r="O39" s="106">
        <f t="shared" si="3"/>
        <v>1.759</v>
      </c>
      <c r="P39" s="67">
        <v>90.0</v>
      </c>
      <c r="Q39" s="69">
        <v>89.58</v>
      </c>
      <c r="R39" s="70">
        <v>2388.31</v>
      </c>
      <c r="S39" s="134">
        <v>250.0</v>
      </c>
      <c r="T39" s="67"/>
      <c r="U39" s="67">
        <v>130.0</v>
      </c>
      <c r="V39" s="67">
        <v>1.1023</v>
      </c>
      <c r="W39" s="69">
        <v>5.5</v>
      </c>
      <c r="X39" s="69">
        <v>7.5</v>
      </c>
      <c r="Y39" s="67">
        <v>30.0</v>
      </c>
      <c r="Z39" s="69">
        <f t="shared" si="22"/>
        <v>30</v>
      </c>
      <c r="AA39" s="70">
        <f t="shared" si="5"/>
        <v>60</v>
      </c>
      <c r="AB39" s="71">
        <f t="shared" si="6"/>
        <v>3599.153417</v>
      </c>
      <c r="AC39" s="71">
        <f>+(S39-T39)*V39-'data 1'!$F$4</f>
        <v>195.575</v>
      </c>
      <c r="AD39" s="71">
        <f t="shared" si="7"/>
        <v>-18.58935889</v>
      </c>
      <c r="AE39" s="71">
        <f>+(Y39*V39-'data 2'!$B$2)+V39*(Z39-IF(D39="UNTUCA",IF(+((W39-3)*2.5+(X39-3)*3.1)&gt;0,+((W39-3)*1.5+(X39-3)*3.1),0),IF(+((W39-3)*1.5+(X39-3)*3.1)&gt;0,+((W39-3)*1.5+(X39-3)*3.1),0)))</f>
        <v>-43.37271</v>
      </c>
      <c r="AF39" s="71">
        <f t="shared" si="8"/>
        <v>42.36898149</v>
      </c>
      <c r="AG39" s="71">
        <f t="shared" si="19"/>
        <v>175.9819126</v>
      </c>
      <c r="AH39" s="71">
        <f t="shared" si="10"/>
        <v>165.8286228</v>
      </c>
      <c r="AI39" s="69">
        <f t="shared" si="11"/>
        <v>453.4717265</v>
      </c>
      <c r="AJ39" s="69">
        <f t="shared" si="12"/>
        <v>164.8257377</v>
      </c>
      <c r="AK39" s="53">
        <f t="shared" si="13"/>
        <v>1.002885122</v>
      </c>
      <c r="AL39" s="70"/>
      <c r="AM39" s="70"/>
      <c r="AN39" s="67"/>
      <c r="AO39" s="67"/>
      <c r="AP39" s="70">
        <f t="shared" si="20"/>
        <v>10929.69315</v>
      </c>
      <c r="AQ39" s="67"/>
      <c r="AR39" s="67"/>
      <c r="AS39" s="67"/>
      <c r="AT39" s="67"/>
    </row>
    <row r="40" ht="15.75" customHeight="1">
      <c r="A40" s="116" t="s">
        <v>4988</v>
      </c>
      <c r="B40" s="841">
        <v>45498.0</v>
      </c>
      <c r="C40" s="841">
        <v>45496.0</v>
      </c>
      <c r="D40" s="67" t="s">
        <v>602</v>
      </c>
      <c r="E40" s="915"/>
      <c r="F40" s="67" t="s">
        <v>4394</v>
      </c>
      <c r="G40" s="916">
        <v>50.0</v>
      </c>
      <c r="H40" s="916" t="s">
        <v>47</v>
      </c>
      <c r="I40" s="59">
        <v>5.06</v>
      </c>
      <c r="J40" s="69">
        <v>3.0</v>
      </c>
      <c r="K40" s="59">
        <f t="shared" si="2"/>
        <v>4.9082</v>
      </c>
      <c r="L40" s="405">
        <v>0.227</v>
      </c>
      <c r="M40" s="134">
        <v>0.218</v>
      </c>
      <c r="N40" s="970">
        <v>0.218</v>
      </c>
      <c r="O40" s="106">
        <f t="shared" si="3"/>
        <v>0.218</v>
      </c>
      <c r="P40" s="67">
        <v>90.0</v>
      </c>
      <c r="Q40" s="69">
        <v>89.82</v>
      </c>
      <c r="R40" s="70">
        <v>2388.31</v>
      </c>
      <c r="S40" s="134">
        <v>110.0</v>
      </c>
      <c r="T40" s="67"/>
      <c r="U40" s="67">
        <v>130.0</v>
      </c>
      <c r="V40" s="67">
        <v>1.1023</v>
      </c>
      <c r="W40" s="69">
        <v>5.5</v>
      </c>
      <c r="X40" s="69">
        <v>13.0</v>
      </c>
      <c r="Y40" s="67">
        <v>30.0</v>
      </c>
      <c r="Z40" s="69">
        <f t="shared" si="22"/>
        <v>34.75</v>
      </c>
      <c r="AA40" s="70">
        <f t="shared" si="5"/>
        <v>64.75</v>
      </c>
      <c r="AB40" s="71">
        <f t="shared" si="6"/>
        <v>295.7806242</v>
      </c>
      <c r="AC40" s="71">
        <f>+(S40-T40)*V40-'data 1'!$F$4</f>
        <v>41.253</v>
      </c>
      <c r="AD40" s="71">
        <f t="shared" si="7"/>
        <v>-1.017142327</v>
      </c>
      <c r="AE40" s="71">
        <f>+(Y40*V40-'data 2'!$B$2)+V40*(Z40-IF(D40="UNTUCA",IF(+((W40-3)*2.5+(X40-3)*3.1)&gt;0,+((W40-3)*1.5+(X40-3)*3.1),0),IF(+((W40-3)*1.5+(X40-3)*3.1)&gt;0,+((W40-3)*1.5+(X40-3)*3.1),0)))</f>
        <v>-56.931</v>
      </c>
      <c r="AF40" s="71">
        <f t="shared" si="8"/>
        <v>20.12328719</v>
      </c>
      <c r="AG40" s="71">
        <f t="shared" si="19"/>
        <v>3.428144859</v>
      </c>
      <c r="AH40" s="71">
        <f t="shared" si="10"/>
        <v>34.31075133</v>
      </c>
      <c r="AI40" s="69">
        <f t="shared" si="11"/>
        <v>58.05054583</v>
      </c>
      <c r="AJ40" s="69">
        <f t="shared" si="12"/>
        <v>33.01644607</v>
      </c>
      <c r="AK40" s="53">
        <f t="shared" si="13"/>
        <v>1.294305266</v>
      </c>
      <c r="AL40" s="70"/>
      <c r="AM40" s="70"/>
      <c r="AN40" s="67"/>
      <c r="AO40" s="67"/>
      <c r="AP40" s="65">
        <f t="shared" si="20"/>
        <v>1451.75046</v>
      </c>
      <c r="AQ40" s="67"/>
      <c r="AR40" s="67"/>
      <c r="AS40" s="67"/>
      <c r="AT40" s="67"/>
    </row>
    <row r="41" ht="15.75" customHeight="1">
      <c r="A41" s="116" t="s">
        <v>4989</v>
      </c>
      <c r="B41" s="870">
        <v>45498.0</v>
      </c>
      <c r="C41" s="870">
        <v>45496.0</v>
      </c>
      <c r="D41" s="2" t="s">
        <v>602</v>
      </c>
      <c r="E41" s="915"/>
      <c r="F41" s="2" t="s">
        <v>4990</v>
      </c>
      <c r="G41" s="13">
        <v>60.0</v>
      </c>
      <c r="H41" s="13" t="s">
        <v>47</v>
      </c>
      <c r="I41" s="6">
        <v>5.62</v>
      </c>
      <c r="J41" s="58">
        <v>3.0</v>
      </c>
      <c r="K41" s="59">
        <f t="shared" si="2"/>
        <v>5.4514</v>
      </c>
      <c r="L41" s="139">
        <v>0.258</v>
      </c>
      <c r="M41" s="3">
        <v>0.243</v>
      </c>
      <c r="N41" s="970">
        <v>0.243</v>
      </c>
      <c r="O41" s="106">
        <f t="shared" si="3"/>
        <v>0.243</v>
      </c>
      <c r="P41" s="67">
        <v>90.0</v>
      </c>
      <c r="Q41" s="69">
        <v>89.5</v>
      </c>
      <c r="R41" s="65">
        <v>2388.31</v>
      </c>
      <c r="S41" s="3">
        <v>120.0</v>
      </c>
      <c r="U41" s="67">
        <v>130.0</v>
      </c>
      <c r="V41" s="67">
        <v>1.1023</v>
      </c>
      <c r="W41" s="58">
        <v>5.5</v>
      </c>
      <c r="X41" s="58">
        <v>13.5</v>
      </c>
      <c r="Y41" s="2">
        <v>30.0</v>
      </c>
      <c r="Z41" s="69">
        <f t="shared" si="22"/>
        <v>36.3</v>
      </c>
      <c r="AA41" s="70">
        <f t="shared" si="5"/>
        <v>66.3</v>
      </c>
      <c r="AB41" s="71">
        <f t="shared" si="6"/>
        <v>339.0590992</v>
      </c>
      <c r="AC41" s="71">
        <f>+(S41-T41)*V41-'data 1'!$F$4</f>
        <v>52.276</v>
      </c>
      <c r="AD41" s="71">
        <f t="shared" si="7"/>
        <v>-3.211242296</v>
      </c>
      <c r="AE41" s="71">
        <f>+(Y41*V41-'data 2'!$B$2)+V41*(Z41-IF(D41="UNTUCA",IF(+((W41-3)*2.5+(X41-3)*3.1)&gt;0,+((W41-3)*1.5+(X41-3)*3.1),0),IF(+((W41-3)*1.5+(X41-3)*3.1)&gt;0,+((W41-3)*1.5+(X41-3)*3.1),0)))</f>
        <v>-56.931</v>
      </c>
      <c r="AF41" s="71">
        <f t="shared" si="8"/>
        <v>33.41932389</v>
      </c>
      <c r="AG41" s="71">
        <f t="shared" si="19"/>
        <v>25.5530816</v>
      </c>
      <c r="AH41" s="71">
        <f t="shared" si="10"/>
        <v>43.15785588</v>
      </c>
      <c r="AI41" s="58">
        <f t="shared" si="11"/>
        <v>65.7430943</v>
      </c>
      <c r="AJ41" s="58">
        <f t="shared" si="12"/>
        <v>40.8757658</v>
      </c>
      <c r="AK41" s="11">
        <f t="shared" si="13"/>
        <v>2.28209008</v>
      </c>
      <c r="AL41" s="65"/>
      <c r="AM41" s="65"/>
      <c r="AP41" s="65">
        <f>SUM(AP4:AP40)</f>
        <v>223516.1098</v>
      </c>
    </row>
    <row r="42" ht="15.75" customHeight="1">
      <c r="A42" s="116" t="s">
        <v>4991</v>
      </c>
      <c r="B42" s="870">
        <v>45498.0</v>
      </c>
      <c r="C42" s="870">
        <v>45496.0</v>
      </c>
      <c r="D42" s="2" t="s">
        <v>602</v>
      </c>
      <c r="E42" s="915"/>
      <c r="F42" s="2" t="s">
        <v>4992</v>
      </c>
      <c r="G42" s="13">
        <v>69.0</v>
      </c>
      <c r="H42" s="13" t="s">
        <v>47</v>
      </c>
      <c r="I42" s="6">
        <v>5.8</v>
      </c>
      <c r="J42" s="58">
        <v>1.0</v>
      </c>
      <c r="K42" s="59">
        <f t="shared" si="2"/>
        <v>5.742</v>
      </c>
      <c r="L42" s="139">
        <v>0.943</v>
      </c>
      <c r="M42" s="3">
        <v>0.896</v>
      </c>
      <c r="N42" s="970">
        <v>0.896</v>
      </c>
      <c r="O42" s="106">
        <f t="shared" si="3"/>
        <v>0.896</v>
      </c>
      <c r="P42" s="67">
        <v>90.0</v>
      </c>
      <c r="Q42" s="69">
        <v>89.5</v>
      </c>
      <c r="R42" s="65">
        <v>2388.31</v>
      </c>
      <c r="S42" s="3">
        <v>160.0</v>
      </c>
      <c r="U42" s="67">
        <v>130.0</v>
      </c>
      <c r="V42" s="67">
        <v>1.1023</v>
      </c>
      <c r="W42" s="58">
        <v>5.5</v>
      </c>
      <c r="X42" s="58">
        <v>8.5</v>
      </c>
      <c r="Y42" s="2">
        <v>30.0</v>
      </c>
      <c r="Z42" s="69">
        <f t="shared" si="22"/>
        <v>30</v>
      </c>
      <c r="AA42" s="70">
        <f t="shared" si="5"/>
        <v>60</v>
      </c>
      <c r="AB42" s="71">
        <f t="shared" si="6"/>
        <v>1764.893835</v>
      </c>
      <c r="AC42" s="71">
        <f>+(S42-T42)*V42-'data 1'!$F$4</f>
        <v>96.368</v>
      </c>
      <c r="AD42" s="71">
        <f t="shared" si="7"/>
        <v>-11.73721506</v>
      </c>
      <c r="AE42" s="71">
        <f>+(Y42*V42-'data 2'!$B$2)+V42*(Z42-IF(D42="UNTUCA",IF(+((W42-3)*2.5+(X42-3)*3.1)&gt;0,+((W42-3)*1.5+(X42-3)*3.1),0),IF(+((W42-3)*1.5+(X42-3)*3.1)&gt;0,+((W42-3)*1.5+(X42-3)*3.1),0)))</f>
        <v>-46.78984</v>
      </c>
      <c r="AF42" s="71">
        <f t="shared" si="8"/>
        <v>104.7138815</v>
      </c>
      <c r="AG42" s="71">
        <f t="shared" si="19"/>
        <v>142.5548265</v>
      </c>
      <c r="AH42" s="71">
        <f t="shared" si="10"/>
        <v>166.1525403</v>
      </c>
      <c r="AI42" s="58">
        <f t="shared" si="11"/>
        <v>240.2935579</v>
      </c>
      <c r="AJ42" s="58">
        <f t="shared" si="12"/>
        <v>158.7533054</v>
      </c>
      <c r="AK42" s="11">
        <f t="shared" si="13"/>
        <v>7.399234851</v>
      </c>
      <c r="AL42" s="65"/>
      <c r="AM42" s="65"/>
      <c r="AP42" s="65">
        <f>+AP41-55000</f>
        <v>168516.1098</v>
      </c>
    </row>
    <row r="43" ht="15.75" customHeight="1">
      <c r="A43" s="116" t="s">
        <v>4993</v>
      </c>
      <c r="B43" s="870">
        <v>45498.0</v>
      </c>
      <c r="C43" s="870">
        <v>45496.0</v>
      </c>
      <c r="D43" s="2" t="s">
        <v>602</v>
      </c>
      <c r="E43" s="915"/>
      <c r="F43" s="2" t="s">
        <v>4992</v>
      </c>
      <c r="G43" s="13">
        <v>11.0</v>
      </c>
      <c r="H43" s="13" t="s">
        <v>47</v>
      </c>
      <c r="I43" s="6">
        <v>0.82</v>
      </c>
      <c r="J43" s="58">
        <v>1.2</v>
      </c>
      <c r="K43" s="59">
        <f t="shared" si="2"/>
        <v>0.81016</v>
      </c>
      <c r="L43" s="139">
        <v>0.636</v>
      </c>
      <c r="M43" s="3">
        <v>0.604</v>
      </c>
      <c r="N43" s="970">
        <v>0.604</v>
      </c>
      <c r="O43" s="106">
        <f t="shared" si="3"/>
        <v>0.604</v>
      </c>
      <c r="P43" s="67">
        <v>90.0</v>
      </c>
      <c r="Q43" s="69">
        <v>89.88</v>
      </c>
      <c r="R43" s="65">
        <v>2388.31</v>
      </c>
      <c r="S43" s="3">
        <v>130.0</v>
      </c>
      <c r="U43" s="67">
        <v>130.0</v>
      </c>
      <c r="V43" s="67">
        <v>1.1023</v>
      </c>
      <c r="W43" s="58">
        <v>5.5</v>
      </c>
      <c r="X43" s="58">
        <v>8.0</v>
      </c>
      <c r="Y43" s="2">
        <v>30.0</v>
      </c>
      <c r="Z43" s="69">
        <f t="shared" si="22"/>
        <v>30</v>
      </c>
      <c r="AA43" s="70">
        <f t="shared" si="5"/>
        <v>60</v>
      </c>
      <c r="AB43" s="71">
        <f t="shared" si="6"/>
        <v>1143.765567</v>
      </c>
      <c r="AC43" s="71">
        <f>+(S43-T43)*V43-'data 1'!$F$4</f>
        <v>63.299</v>
      </c>
      <c r="AD43" s="71">
        <f t="shared" si="7"/>
        <v>-1.899860558</v>
      </c>
      <c r="AE43" s="71">
        <f>+(Y43*V43-'data 2'!$B$2)+V43*(Z43-IF(D43="UNTUCA",IF(+((W43-3)*2.5+(X43-3)*3.1)&gt;0,+((W43-3)*1.5+(X43-3)*3.1),0),IF(+((W43-3)*1.5+(X43-3)*3.1)&gt;0,+((W43-3)*1.5+(X43-3)*3.1),0)))</f>
        <v>-45.081275</v>
      </c>
      <c r="AF43" s="71">
        <f t="shared" si="8"/>
        <v>71.59726079</v>
      </c>
      <c r="AG43" s="71">
        <f t="shared" si="19"/>
        <v>87.91512523</v>
      </c>
      <c r="AH43" s="71">
        <f t="shared" si="10"/>
        <v>15.87815531</v>
      </c>
      <c r="AI43" s="58">
        <f t="shared" si="11"/>
        <v>162.7524665</v>
      </c>
      <c r="AJ43" s="58">
        <f t="shared" si="12"/>
        <v>15.09938693</v>
      </c>
      <c r="AK43" s="11">
        <f t="shared" si="13"/>
        <v>0.7787683802</v>
      </c>
      <c r="AL43" s="65"/>
      <c r="AM43" s="65"/>
    </row>
    <row r="44" ht="15.75" customHeight="1">
      <c r="A44" s="116" t="s">
        <v>4994</v>
      </c>
      <c r="B44" s="870">
        <v>45498.0</v>
      </c>
      <c r="C44" s="870">
        <v>45496.0</v>
      </c>
      <c r="D44" s="2" t="s">
        <v>602</v>
      </c>
      <c r="E44" s="915"/>
      <c r="F44" s="2" t="s">
        <v>4995</v>
      </c>
      <c r="G44" s="13">
        <v>22.0</v>
      </c>
      <c r="H44" s="13" t="s">
        <v>47</v>
      </c>
      <c r="I44" s="6">
        <v>1.86</v>
      </c>
      <c r="J44" s="58">
        <v>1.4</v>
      </c>
      <c r="K44" s="59">
        <f t="shared" si="2"/>
        <v>1.83396</v>
      </c>
      <c r="L44" s="139">
        <v>0.151</v>
      </c>
      <c r="M44" s="3">
        <v>0.143</v>
      </c>
      <c r="N44" s="970">
        <v>0.143</v>
      </c>
      <c r="O44" s="106">
        <f t="shared" si="3"/>
        <v>0.143</v>
      </c>
      <c r="P44" s="67">
        <v>90.0</v>
      </c>
      <c r="Q44" s="69">
        <v>82.75</v>
      </c>
      <c r="R44" s="65">
        <v>2388.31</v>
      </c>
      <c r="S44" s="3">
        <v>110.0</v>
      </c>
      <c r="U44" s="67">
        <v>130.0</v>
      </c>
      <c r="V44" s="67">
        <v>1.1023</v>
      </c>
      <c r="W44" s="58">
        <v>5.6</v>
      </c>
      <c r="X44" s="58">
        <v>7.5</v>
      </c>
      <c r="Y44" s="2">
        <v>30.0</v>
      </c>
      <c r="Z44" s="69">
        <f t="shared" si="22"/>
        <v>30</v>
      </c>
      <c r="AA44" s="70">
        <f t="shared" si="5"/>
        <v>60</v>
      </c>
      <c r="AB44" s="71">
        <f t="shared" si="6"/>
        <v>132.986429</v>
      </c>
      <c r="AC44" s="71">
        <f>+(S44-T44)*V44-'data 1'!$F$4</f>
        <v>41.253</v>
      </c>
      <c r="AD44" s="71">
        <f t="shared" si="7"/>
        <v>-27.25199615</v>
      </c>
      <c r="AE44" s="71">
        <f>+(Y44*V44-'data 2'!$B$2)+V44*(Z44-IF(D44="UNTUCA",IF(+((W44-3)*2.5+(X44-3)*3.1)&gt;0,+((W44-3)*1.5+(X44-3)*3.1),0),IF(+((W44-3)*1.5+(X44-3)*3.1)&gt;0,+((W44-3)*1.5+(X44-3)*3.1),0)))</f>
        <v>-43.538055</v>
      </c>
      <c r="AF44" s="71">
        <f t="shared" si="8"/>
        <v>16.47939845</v>
      </c>
      <c r="AG44" s="71">
        <f t="shared" si="19"/>
        <v>-13.0576527</v>
      </c>
      <c r="AH44" s="71">
        <f t="shared" si="10"/>
        <v>7.856767077</v>
      </c>
      <c r="AI44" s="58">
        <f t="shared" si="11"/>
        <v>35.5756095</v>
      </c>
      <c r="AJ44" s="58">
        <f t="shared" si="12"/>
        <v>8.092402496</v>
      </c>
      <c r="AK44" s="11">
        <f t="shared" si="13"/>
        <v>-0.2356354184</v>
      </c>
      <c r="AL44" s="65"/>
      <c r="AM44" s="65"/>
    </row>
    <row r="45" ht="15.75" customHeight="1">
      <c r="A45" s="116" t="s">
        <v>4996</v>
      </c>
      <c r="B45" s="870">
        <v>45498.0</v>
      </c>
      <c r="C45" s="870">
        <v>45496.0</v>
      </c>
      <c r="D45" s="2" t="s">
        <v>602</v>
      </c>
      <c r="E45" s="915"/>
      <c r="F45" s="2" t="s">
        <v>4997</v>
      </c>
      <c r="G45" s="13">
        <v>56.0</v>
      </c>
      <c r="H45" s="13" t="s">
        <v>47</v>
      </c>
      <c r="I45" s="6">
        <v>4.86</v>
      </c>
      <c r="J45" s="58">
        <v>1.2</v>
      </c>
      <c r="K45" s="59">
        <f t="shared" si="2"/>
        <v>4.80168</v>
      </c>
      <c r="L45" s="139">
        <v>0.724</v>
      </c>
      <c r="M45" s="3">
        <v>0.688</v>
      </c>
      <c r="N45" s="970">
        <v>0.688</v>
      </c>
      <c r="O45" s="106">
        <f t="shared" si="3"/>
        <v>0.688</v>
      </c>
      <c r="P45" s="67">
        <v>90.0</v>
      </c>
      <c r="Q45" s="69">
        <v>89.28</v>
      </c>
      <c r="R45" s="65">
        <v>2388.31</v>
      </c>
      <c r="S45" s="3">
        <v>140.0</v>
      </c>
      <c r="U45" s="67">
        <v>130.0</v>
      </c>
      <c r="V45" s="67">
        <v>1.1023</v>
      </c>
      <c r="W45" s="58">
        <v>5.6</v>
      </c>
      <c r="X45" s="58">
        <v>7.8</v>
      </c>
      <c r="Y45" s="2">
        <v>30.0</v>
      </c>
      <c r="Z45" s="69">
        <f t="shared" si="22"/>
        <v>30</v>
      </c>
      <c r="AA45" s="70">
        <f t="shared" si="5"/>
        <v>60</v>
      </c>
      <c r="AB45" s="71">
        <f t="shared" si="6"/>
        <v>1320.936302</v>
      </c>
      <c r="AC45" s="71">
        <f>+(S45-T45)*V45-'data 1'!$F$4</f>
        <v>74.322</v>
      </c>
      <c r="AD45" s="71">
        <f t="shared" si="7"/>
        <v>-12.97640608</v>
      </c>
      <c r="AE45" s="71">
        <f>+(Y45*V45-'data 2'!$B$2)+V45*(Z45-IF(D45="UNTUCA",IF(+((W45-3)*2.5+(X45-3)*3.1)&gt;0,+((W45-3)*1.5+(X45-3)*3.1),0),IF(+((W45-3)*1.5+(X45-3)*3.1)&gt;0,+((W45-3)*1.5+(X45-3)*3.1),0)))</f>
        <v>-44.563194</v>
      </c>
      <c r="AF45" s="71">
        <f t="shared" si="8"/>
        <v>80.009222</v>
      </c>
      <c r="AG45" s="71">
        <f t="shared" si="19"/>
        <v>96.79162192</v>
      </c>
      <c r="AH45" s="71">
        <f t="shared" si="10"/>
        <v>106.4130843</v>
      </c>
      <c r="AI45" s="58">
        <f t="shared" si="11"/>
        <v>184.0348822</v>
      </c>
      <c r="AJ45" s="58">
        <f t="shared" si="12"/>
        <v>101.9373245</v>
      </c>
      <c r="AK45" s="11">
        <f t="shared" si="13"/>
        <v>4.475759737</v>
      </c>
      <c r="AL45" s="65"/>
      <c r="AM45" s="65"/>
    </row>
    <row r="46" ht="15.75" customHeight="1">
      <c r="A46" s="116" t="s">
        <v>4998</v>
      </c>
      <c r="B46" s="870">
        <v>45505.0</v>
      </c>
      <c r="C46" s="870">
        <v>45496.0</v>
      </c>
      <c r="D46" s="2" t="s">
        <v>602</v>
      </c>
      <c r="E46" s="915"/>
      <c r="F46" s="2" t="s">
        <v>4999</v>
      </c>
      <c r="G46" s="13">
        <v>13.0</v>
      </c>
      <c r="H46" s="13" t="s">
        <v>4987</v>
      </c>
      <c r="I46" s="6">
        <v>1.06</v>
      </c>
      <c r="J46" s="58">
        <v>24.4</v>
      </c>
      <c r="K46" s="59">
        <f t="shared" si="2"/>
        <v>0.80136</v>
      </c>
      <c r="L46" s="139">
        <v>0.782</v>
      </c>
      <c r="M46" s="3">
        <v>0.735</v>
      </c>
      <c r="N46" s="917">
        <v>0.779</v>
      </c>
      <c r="O46" s="106">
        <f t="shared" si="3"/>
        <v>0.757</v>
      </c>
      <c r="P46" s="67">
        <v>90.0</v>
      </c>
      <c r="Q46" s="69">
        <v>89.2</v>
      </c>
      <c r="R46" s="65">
        <v>2388.31</v>
      </c>
      <c r="S46" s="3">
        <v>150.0</v>
      </c>
      <c r="U46" s="67">
        <v>130.0</v>
      </c>
      <c r="V46" s="67">
        <v>1.1023</v>
      </c>
      <c r="W46" s="58">
        <v>5.8</v>
      </c>
      <c r="X46" s="58">
        <v>8.0</v>
      </c>
      <c r="Y46" s="2">
        <v>30.0</v>
      </c>
      <c r="Z46" s="69">
        <f t="shared" si="22"/>
        <v>30</v>
      </c>
      <c r="AA46" s="70">
        <f t="shared" si="5"/>
        <v>60</v>
      </c>
      <c r="AB46" s="71">
        <f t="shared" si="6"/>
        <v>1464.501012</v>
      </c>
      <c r="AC46" s="71">
        <f>+(S46-T46)*V46-'data 1'!$F$4</f>
        <v>85.345</v>
      </c>
      <c r="AD46" s="71">
        <f t="shared" si="7"/>
        <v>-15.57328047</v>
      </c>
      <c r="AE46" s="71">
        <f>+(Y46*V46-'data 2'!$B$2)+V46*(Z46-IF(D46="UNTUCA",IF(+((W46-3)*2.5+(X46-3)*3.1)&gt;0,+((W46-3)*1.5+(X46-3)*3.1),0),IF(+((W46-3)*1.5+(X46-3)*3.1)&gt;0,+((W46-3)*1.5+(X46-3)*3.1),0)))</f>
        <v>-45.57731</v>
      </c>
      <c r="AF46" s="71">
        <f t="shared" si="8"/>
        <v>55.51217302</v>
      </c>
      <c r="AG46" s="71">
        <f t="shared" si="19"/>
        <v>79.70658255</v>
      </c>
      <c r="AH46" s="71">
        <f t="shared" si="10"/>
        <v>19.16497855</v>
      </c>
      <c r="AI46" s="58">
        <f t="shared" si="11"/>
        <v>198.5998916</v>
      </c>
      <c r="AJ46" s="58">
        <f t="shared" si="12"/>
        <v>18.71867565</v>
      </c>
      <c r="AK46" s="11">
        <f t="shared" si="13"/>
        <v>0.4463029021</v>
      </c>
      <c r="AL46" s="65"/>
      <c r="AM46" s="65"/>
    </row>
    <row r="47" ht="15.75" customHeight="1">
      <c r="A47" s="202" t="s">
        <v>5000</v>
      </c>
      <c r="B47" s="932">
        <v>45502.0</v>
      </c>
      <c r="C47" s="932">
        <v>45498.0</v>
      </c>
      <c r="D47" s="68" t="s">
        <v>4466</v>
      </c>
      <c r="E47" s="972"/>
      <c r="F47" s="68" t="s">
        <v>5001</v>
      </c>
      <c r="G47" s="19">
        <v>153.0</v>
      </c>
      <c r="H47" s="19" t="s">
        <v>5002</v>
      </c>
      <c r="I47" s="145">
        <v>11.9</v>
      </c>
      <c r="J47" s="130">
        <v>1.0</v>
      </c>
      <c r="K47" s="145">
        <f t="shared" si="2"/>
        <v>11.781</v>
      </c>
      <c r="L47" s="973">
        <v>0.247</v>
      </c>
      <c r="M47" s="61">
        <v>0.23</v>
      </c>
      <c r="N47" s="974">
        <v>0.357</v>
      </c>
      <c r="O47" s="61">
        <f t="shared" si="3"/>
        <v>0.294</v>
      </c>
      <c r="P47" s="68">
        <v>90.0</v>
      </c>
      <c r="Q47" s="68">
        <v>89.15</v>
      </c>
      <c r="R47" s="433">
        <v>2387.02</v>
      </c>
      <c r="S47" s="143">
        <v>110.0</v>
      </c>
      <c r="T47" s="68"/>
      <c r="U47" s="68">
        <v>130.0</v>
      </c>
      <c r="V47" s="68">
        <v>1.1023</v>
      </c>
      <c r="W47" s="130">
        <v>5.5</v>
      </c>
      <c r="X47" s="130">
        <v>6.8</v>
      </c>
      <c r="Y47" s="68">
        <v>60.0</v>
      </c>
      <c r="Z47" s="130">
        <f t="shared" si="22"/>
        <v>30</v>
      </c>
      <c r="AA47" s="433">
        <f t="shared" si="5"/>
        <v>90</v>
      </c>
      <c r="AB47" s="108">
        <f t="shared" si="6"/>
        <v>437.8418184</v>
      </c>
      <c r="AC47" s="108">
        <f>+(S47-T47)*V47-'data 1'!$F$4</f>
        <v>41.253</v>
      </c>
      <c r="AD47" s="108">
        <f t="shared" si="7"/>
        <v>-5.22337365</v>
      </c>
      <c r="AE47" s="108">
        <f>+(Y47*V47-'data 2'!$B$2)+V47*(Z47-IF(D47="UNTUCA",IF(+((W47-3)*2.5+(X47-3)*3.1)&gt;0,+((W47-3)*1.5+(X47-3)*3.1),0),IF(+((W47-3)*1.5+(X47-3)*3.1)&gt;0,+((W47-3)*1.5+(X47-3)*3.1),0)))</f>
        <v>-7.911719</v>
      </c>
      <c r="AF47" s="108">
        <f t="shared" si="8"/>
        <v>-104.2448048</v>
      </c>
      <c r="AG47" s="108">
        <f t="shared" si="19"/>
        <v>-76.12689742</v>
      </c>
      <c r="AH47" s="108">
        <f t="shared" si="10"/>
        <v>88.94253965</v>
      </c>
      <c r="AI47" s="130">
        <f t="shared" si="11"/>
        <v>63.00707755</v>
      </c>
      <c r="AJ47" s="130">
        <f t="shared" si="12"/>
        <v>106.876215</v>
      </c>
      <c r="AK47" s="933">
        <f t="shared" si="13"/>
        <v>-17.9336754</v>
      </c>
      <c r="AL47" s="433">
        <f>+AB47*K47</f>
        <v>5158.214463</v>
      </c>
      <c r="AM47" s="433"/>
      <c r="AN47" s="68"/>
      <c r="AO47" s="68"/>
      <c r="AP47" s="68"/>
      <c r="AQ47" s="68"/>
      <c r="AR47" s="68"/>
      <c r="AS47" s="68"/>
      <c r="AT47" s="68"/>
    </row>
    <row r="48" ht="15.75" customHeight="1">
      <c r="A48" s="116" t="s">
        <v>5003</v>
      </c>
      <c r="B48" s="841">
        <v>45502.0</v>
      </c>
      <c r="C48" s="841">
        <v>45498.0</v>
      </c>
      <c r="D48" s="67" t="s">
        <v>4466</v>
      </c>
      <c r="E48" s="915"/>
      <c r="F48" s="67" t="s">
        <v>4333</v>
      </c>
      <c r="G48" s="916">
        <v>150.0</v>
      </c>
      <c r="H48" s="916" t="s">
        <v>4987</v>
      </c>
      <c r="I48" s="59">
        <v>11.51</v>
      </c>
      <c r="J48" s="69">
        <v>9.2</v>
      </c>
      <c r="K48" s="59">
        <f t="shared" si="2"/>
        <v>10.45108</v>
      </c>
      <c r="L48" s="405">
        <v>0.247</v>
      </c>
      <c r="M48" s="134">
        <v>0.235</v>
      </c>
      <c r="N48" s="969">
        <v>0.2502</v>
      </c>
      <c r="O48" s="106">
        <f t="shared" si="3"/>
        <v>0.243</v>
      </c>
      <c r="P48" s="67">
        <v>90.0</v>
      </c>
      <c r="Q48" s="67">
        <v>89.23</v>
      </c>
      <c r="R48" s="70">
        <v>2387.02</v>
      </c>
      <c r="S48" s="134">
        <v>110.0</v>
      </c>
      <c r="T48" s="67"/>
      <c r="U48" s="67">
        <v>130.0</v>
      </c>
      <c r="V48" s="67">
        <v>1.1023</v>
      </c>
      <c r="W48" s="69">
        <v>5.0</v>
      </c>
      <c r="X48" s="69">
        <v>6.0</v>
      </c>
      <c r="Y48" s="67">
        <v>40.0</v>
      </c>
      <c r="Z48" s="69">
        <f t="shared" si="22"/>
        <v>30</v>
      </c>
      <c r="AA48" s="70">
        <f t="shared" si="5"/>
        <v>70</v>
      </c>
      <c r="AB48" s="71">
        <f t="shared" si="6"/>
        <v>345.692605</v>
      </c>
      <c r="AC48" s="71">
        <f>+(S48-T48)*V48-'data 1'!$F$4</f>
        <v>41.253</v>
      </c>
      <c r="AD48" s="71">
        <f t="shared" si="7"/>
        <v>-4.731762012</v>
      </c>
      <c r="AE48" s="71">
        <f>+(Y48*V48-'data 2'!$B$2)+V48*(Z48-IF(D48="UNTUCA",IF(+((W48-3)*2.5+(X48-3)*3.1)&gt;0,+((W48-3)*1.5+(X48-3)*3.1),0),IF(+((W48-3)*1.5+(X48-3)*3.1)&gt;0,+((W48-3)*1.5+(X48-3)*3.1),0)))</f>
        <v>-26.39729</v>
      </c>
      <c r="AF48" s="71">
        <f t="shared" si="8"/>
        <v>8.879859601</v>
      </c>
      <c r="AG48" s="71">
        <f t="shared" si="19"/>
        <v>19.00380759</v>
      </c>
      <c r="AH48" s="71">
        <f t="shared" si="10"/>
        <v>78.97290026</v>
      </c>
      <c r="AI48" s="69">
        <f t="shared" si="11"/>
        <v>63.06361784</v>
      </c>
      <c r="AJ48" s="69">
        <f t="shared" si="12"/>
        <v>78.3644382</v>
      </c>
      <c r="AK48" s="53">
        <f t="shared" si="13"/>
        <v>0.6084620599</v>
      </c>
      <c r="AL48" s="70"/>
      <c r="AM48" s="70"/>
      <c r="AN48" s="67"/>
      <c r="AO48" s="67"/>
      <c r="AP48" s="67"/>
      <c r="AQ48" s="67"/>
      <c r="AR48" s="67"/>
      <c r="AS48" s="67"/>
      <c r="AT48" s="67"/>
    </row>
    <row r="49" ht="15.75" customHeight="1">
      <c r="A49" s="116" t="s">
        <v>5004</v>
      </c>
      <c r="B49" s="841">
        <v>45502.0</v>
      </c>
      <c r="C49" s="841">
        <v>45498.0</v>
      </c>
      <c r="D49" s="67" t="s">
        <v>4466</v>
      </c>
      <c r="E49" s="915"/>
      <c r="F49" s="67" t="s">
        <v>4333</v>
      </c>
      <c r="G49" s="916">
        <v>150.0</v>
      </c>
      <c r="H49" s="916" t="s">
        <v>4987</v>
      </c>
      <c r="I49" s="59">
        <v>11.95</v>
      </c>
      <c r="J49" s="69">
        <v>9.45</v>
      </c>
      <c r="K49" s="59">
        <f t="shared" si="2"/>
        <v>10.820725</v>
      </c>
      <c r="L49" s="405">
        <v>0.273</v>
      </c>
      <c r="M49" s="134">
        <v>0.248</v>
      </c>
      <c r="N49" s="969">
        <v>0.2911</v>
      </c>
      <c r="O49" s="106">
        <f t="shared" si="3"/>
        <v>0.27</v>
      </c>
      <c r="P49" s="67">
        <v>90.0</v>
      </c>
      <c r="Q49" s="67">
        <v>89.78</v>
      </c>
      <c r="R49" s="70">
        <v>2387.02</v>
      </c>
      <c r="S49" s="134">
        <v>110.0</v>
      </c>
      <c r="T49" s="67"/>
      <c r="U49" s="67">
        <v>130.0</v>
      </c>
      <c r="V49" s="67">
        <v>1.1023</v>
      </c>
      <c r="W49" s="69">
        <v>5.0</v>
      </c>
      <c r="X49" s="69">
        <v>6.0</v>
      </c>
      <c r="Y49" s="67">
        <v>40.0</v>
      </c>
      <c r="Z49" s="69">
        <f t="shared" si="22"/>
        <v>30</v>
      </c>
      <c r="AA49" s="70">
        <f t="shared" si="5"/>
        <v>70</v>
      </c>
      <c r="AB49" s="71">
        <f t="shared" si="6"/>
        <v>406.1488945</v>
      </c>
      <c r="AC49" s="71">
        <f>+(S49-T49)*V49-'data 1'!$F$4</f>
        <v>41.253</v>
      </c>
      <c r="AD49" s="71">
        <f t="shared" si="7"/>
        <v>-1.494240635</v>
      </c>
      <c r="AE49" s="71">
        <f>+(Y49*V49-'data 2'!$B$2)+V49*(Z49-IF(D49="UNTUCA",IF(+((W49-3)*2.5+(X49-3)*3.1)&gt;0,+((W49-3)*1.5+(X49-3)*3.1),0),IF(+((W49-3)*1.5+(X49-3)*3.1)&gt;0,+((W49-3)*1.5+(X49-3)*3.1),0)))</f>
        <v>-26.39729</v>
      </c>
      <c r="AF49" s="71">
        <f t="shared" si="8"/>
        <v>6.700945267</v>
      </c>
      <c r="AG49" s="71">
        <f t="shared" si="19"/>
        <v>20.06241463</v>
      </c>
      <c r="AH49" s="71">
        <f t="shared" si="10"/>
        <v>90.9301018</v>
      </c>
      <c r="AI49" s="69">
        <f t="shared" si="11"/>
        <v>70.13152515</v>
      </c>
      <c r="AJ49" s="69">
        <f t="shared" si="12"/>
        <v>90.15123961</v>
      </c>
      <c r="AK49" s="53">
        <f t="shared" si="13"/>
        <v>0.7788621911</v>
      </c>
      <c r="AL49" s="70"/>
      <c r="AM49" s="70"/>
      <c r="AN49" s="67"/>
      <c r="AO49" s="67"/>
      <c r="AP49" s="67"/>
      <c r="AQ49" s="67"/>
      <c r="AR49" s="67"/>
      <c r="AS49" s="67"/>
      <c r="AT49" s="67"/>
    </row>
    <row r="50" ht="15.75" customHeight="1">
      <c r="A50" s="116" t="s">
        <v>5005</v>
      </c>
      <c r="B50" s="841">
        <v>45503.0</v>
      </c>
      <c r="C50" s="841">
        <v>45501.0</v>
      </c>
      <c r="D50" s="67" t="s">
        <v>4466</v>
      </c>
      <c r="E50" s="915"/>
      <c r="F50" s="67" t="s">
        <v>5006</v>
      </c>
      <c r="G50" s="916">
        <v>52.0</v>
      </c>
      <c r="H50" s="916" t="s">
        <v>71</v>
      </c>
      <c r="I50" s="59">
        <v>5.068</v>
      </c>
      <c r="J50" s="69">
        <v>5.15</v>
      </c>
      <c r="K50" s="59">
        <f t="shared" si="2"/>
        <v>4.806998</v>
      </c>
      <c r="L50" s="405">
        <v>0.19</v>
      </c>
      <c r="M50" s="106">
        <v>0.1805</v>
      </c>
      <c r="N50" s="968">
        <v>0.1805</v>
      </c>
      <c r="O50" s="106">
        <f t="shared" si="3"/>
        <v>0.181</v>
      </c>
      <c r="P50" s="67">
        <v>90.0</v>
      </c>
      <c r="Q50" s="69">
        <v>90.28157894736842</v>
      </c>
      <c r="R50" s="70">
        <v>2379.1</v>
      </c>
      <c r="S50" s="134">
        <v>110.0</v>
      </c>
      <c r="T50" s="67"/>
      <c r="U50" s="67">
        <v>130.0</v>
      </c>
      <c r="V50" s="67">
        <v>1.1023</v>
      </c>
      <c r="W50" s="69">
        <v>5.5</v>
      </c>
      <c r="X50" s="69">
        <v>15.0</v>
      </c>
      <c r="Y50" s="67">
        <v>50.0</v>
      </c>
      <c r="Z50" s="69">
        <f t="shared" si="22"/>
        <v>40.95</v>
      </c>
      <c r="AA50" s="70">
        <f t="shared" si="5"/>
        <v>90.95</v>
      </c>
      <c r="AB50" s="71">
        <f t="shared" si="6"/>
        <v>182.3517143</v>
      </c>
      <c r="AC50" s="71">
        <f>+(S50-T50)*V50-'data 1'!$F$4</f>
        <v>41.253</v>
      </c>
      <c r="AD50" s="71">
        <f t="shared" si="7"/>
        <v>1.326362868</v>
      </c>
      <c r="AE50" s="71">
        <f>+(Y50*V50-'data 2'!$B$2)+V50*(Z50-IF(D50="UNTUCA",IF(+((W50-3)*2.5+(X50-3)*3.1)&gt;0,+((W50-3)*1.5+(X50-3)*3.1),0),IF(+((W50-3)*1.5+(X50-3)*3.1)&gt;0,+((W50-3)*1.5+(X50-3)*3.1),0)))</f>
        <v>-34.885</v>
      </c>
      <c r="AF50" s="71">
        <f t="shared" si="8"/>
        <v>20.14420945</v>
      </c>
      <c r="AG50" s="71">
        <f t="shared" si="19"/>
        <v>27.83857232</v>
      </c>
      <c r="AH50" s="71">
        <f t="shared" si="10"/>
        <v>28.27064763</v>
      </c>
      <c r="AI50" s="69">
        <f t="shared" si="11"/>
        <v>50.57971066</v>
      </c>
      <c r="AJ50" s="69">
        <f t="shared" si="12"/>
        <v>26.84751508</v>
      </c>
      <c r="AK50" s="53">
        <f t="shared" si="13"/>
        <v>1.423132552</v>
      </c>
      <c r="AL50" s="70"/>
      <c r="AM50" s="70"/>
      <c r="AN50" s="67"/>
      <c r="AO50" s="67"/>
      <c r="AP50" s="67"/>
      <c r="AQ50" s="67"/>
      <c r="AR50" s="67"/>
      <c r="AS50" s="67"/>
      <c r="AT50" s="67"/>
    </row>
    <row r="51" ht="15.75" customHeight="1">
      <c r="A51" s="116" t="s">
        <v>5007</v>
      </c>
      <c r="B51" s="841">
        <v>45503.0</v>
      </c>
      <c r="C51" s="841">
        <v>45501.0</v>
      </c>
      <c r="D51" s="67" t="s">
        <v>4466</v>
      </c>
      <c r="E51" s="915"/>
      <c r="F51" s="67" t="s">
        <v>5006</v>
      </c>
      <c r="G51" s="916">
        <v>52.0</v>
      </c>
      <c r="H51" s="916" t="s">
        <v>71</v>
      </c>
      <c r="I51" s="59">
        <v>5.102</v>
      </c>
      <c r="J51" s="69">
        <v>5.5</v>
      </c>
      <c r="K51" s="59">
        <f t="shared" si="2"/>
        <v>4.82139</v>
      </c>
      <c r="L51" s="405">
        <v>0.198</v>
      </c>
      <c r="M51" s="106">
        <v>0.1881</v>
      </c>
      <c r="N51" s="968">
        <v>0.1881</v>
      </c>
      <c r="O51" s="106">
        <f t="shared" si="3"/>
        <v>0.188</v>
      </c>
      <c r="P51" s="67">
        <v>90.0</v>
      </c>
      <c r="Q51" s="69">
        <v>90.54545454545456</v>
      </c>
      <c r="R51" s="70">
        <v>2379.1</v>
      </c>
      <c r="S51" s="134">
        <v>110.0</v>
      </c>
      <c r="T51" s="67"/>
      <c r="U51" s="67">
        <v>130.0</v>
      </c>
      <c r="V51" s="67">
        <v>1.1023</v>
      </c>
      <c r="W51" s="69">
        <v>5.5</v>
      </c>
      <c r="X51" s="69">
        <v>15.1</v>
      </c>
      <c r="Y51" s="67">
        <v>50.0</v>
      </c>
      <c r="Z51" s="69">
        <f t="shared" si="22"/>
        <v>41.26</v>
      </c>
      <c r="AA51" s="70">
        <f t="shared" si="5"/>
        <v>91.26</v>
      </c>
      <c r="AB51" s="71">
        <f t="shared" si="6"/>
        <v>197.6288538</v>
      </c>
      <c r="AC51" s="71">
        <f>+(S51-T51)*V51-'data 1'!$F$4</f>
        <v>41.253</v>
      </c>
      <c r="AD51" s="71">
        <f t="shared" si="7"/>
        <v>2.677517564</v>
      </c>
      <c r="AE51" s="71">
        <f>+(Y51*V51-'data 2'!$B$2)+V51*(Z51-IF(D51="UNTUCA",IF(+((W51-3)*2.5+(X51-3)*3.1)&gt;0,+((W51-3)*1.5+(X51-3)*3.1),0),IF(+((W51-3)*1.5+(X51-3)*3.1)&gt;0,+((W51-3)*1.5+(X51-3)*3.1),0)))</f>
        <v>-34.885</v>
      </c>
      <c r="AF51" s="71">
        <f t="shared" si="8"/>
        <v>22.44787453</v>
      </c>
      <c r="AG51" s="71">
        <f t="shared" si="19"/>
        <v>31.49339209</v>
      </c>
      <c r="AH51" s="71">
        <f t="shared" si="10"/>
        <v>29.63556255</v>
      </c>
      <c r="AI51" s="69">
        <f t="shared" si="11"/>
        <v>52.86344202</v>
      </c>
      <c r="AJ51" s="69">
        <f t="shared" si="12"/>
        <v>27.96930602</v>
      </c>
      <c r="AK51" s="53">
        <f t="shared" si="13"/>
        <v>1.666256529</v>
      </c>
      <c r="AL51" s="70"/>
      <c r="AM51" s="70"/>
      <c r="AN51" s="67"/>
      <c r="AO51" s="67"/>
      <c r="AP51" s="67"/>
      <c r="AQ51" s="67"/>
      <c r="AR51" s="67"/>
      <c r="AS51" s="67"/>
      <c r="AT51" s="67"/>
    </row>
    <row r="52" ht="15.75" customHeight="1">
      <c r="A52" s="116" t="s">
        <v>5008</v>
      </c>
      <c r="B52" s="841">
        <v>45503.0</v>
      </c>
      <c r="C52" s="841">
        <v>45501.0</v>
      </c>
      <c r="D52" s="67" t="s">
        <v>4466</v>
      </c>
      <c r="E52" s="915"/>
      <c r="F52" s="67" t="s">
        <v>5006</v>
      </c>
      <c r="G52" s="916">
        <v>51.0</v>
      </c>
      <c r="H52" s="916" t="s">
        <v>71</v>
      </c>
      <c r="I52" s="59">
        <v>4.88</v>
      </c>
      <c r="J52" s="69">
        <v>5.85</v>
      </c>
      <c r="K52" s="59">
        <f t="shared" si="2"/>
        <v>4.59452</v>
      </c>
      <c r="L52" s="405">
        <v>0.191</v>
      </c>
      <c r="M52" s="106">
        <v>0.18336</v>
      </c>
      <c r="N52" s="968">
        <v>0.18336</v>
      </c>
      <c r="O52" s="106">
        <f t="shared" si="3"/>
        <v>0.183</v>
      </c>
      <c r="P52" s="67">
        <v>90.0</v>
      </c>
      <c r="Q52" s="69">
        <v>90.25130890052355</v>
      </c>
      <c r="R52" s="70">
        <v>2379.1</v>
      </c>
      <c r="S52" s="134">
        <v>110.0</v>
      </c>
      <c r="T52" s="67"/>
      <c r="U52" s="67">
        <v>130.0</v>
      </c>
      <c r="V52" s="67">
        <v>1.1023</v>
      </c>
      <c r="W52" s="69">
        <v>5.5</v>
      </c>
      <c r="X52" s="69">
        <v>15.1</v>
      </c>
      <c r="Y52" s="67">
        <v>50.0</v>
      </c>
      <c r="Z52" s="69">
        <f t="shared" si="22"/>
        <v>41.26</v>
      </c>
      <c r="AA52" s="70">
        <f t="shared" si="5"/>
        <v>91.26</v>
      </c>
      <c r="AB52" s="71">
        <f t="shared" si="6"/>
        <v>186.4725306</v>
      </c>
      <c r="AC52" s="71">
        <f>+(S52-T52)*V52-'data 1'!$F$4</f>
        <v>41.253</v>
      </c>
      <c r="AD52" s="71">
        <f t="shared" si="7"/>
        <v>1.190007806</v>
      </c>
      <c r="AE52" s="71">
        <f>+(Y52*V52-'data 2'!$B$2)+V52*(Z52-IF(D52="UNTUCA",IF(+((W52-3)*2.5+(X52-3)*3.1)&gt;0,+((W52-3)*1.5+(X52-3)*3.1),0),IF(+((W52-3)*1.5+(X52-3)*3.1)&gt;0,+((W52-3)*1.5+(X52-3)*3.1),0)))</f>
        <v>-34.885</v>
      </c>
      <c r="AF52" s="71">
        <f t="shared" si="8"/>
        <v>17.89996035</v>
      </c>
      <c r="AG52" s="71">
        <f t="shared" si="19"/>
        <v>25.45796816</v>
      </c>
      <c r="AH52" s="71">
        <f t="shared" si="10"/>
        <v>27.15414245</v>
      </c>
      <c r="AI52" s="69">
        <f t="shared" si="11"/>
        <v>50.8288718</v>
      </c>
      <c r="AJ52" s="69">
        <f t="shared" si="12"/>
        <v>25.94435121</v>
      </c>
      <c r="AK52" s="53">
        <f t="shared" si="13"/>
        <v>1.20979124</v>
      </c>
      <c r="AL52" s="70"/>
      <c r="AM52" s="70"/>
      <c r="AN52" s="67"/>
      <c r="AO52" s="67"/>
      <c r="AP52" s="67"/>
      <c r="AQ52" s="67"/>
      <c r="AR52" s="67"/>
      <c r="AS52" s="67"/>
      <c r="AT52" s="67"/>
    </row>
    <row r="53" ht="15.75" customHeight="1">
      <c r="A53" s="116" t="s">
        <v>5009</v>
      </c>
      <c r="B53" s="841">
        <v>45503.0</v>
      </c>
      <c r="C53" s="841">
        <v>45501.0</v>
      </c>
      <c r="D53" s="67" t="s">
        <v>4466</v>
      </c>
      <c r="E53" s="915"/>
      <c r="F53" s="67" t="s">
        <v>5010</v>
      </c>
      <c r="G53" s="916">
        <v>54.0</v>
      </c>
      <c r="H53" s="916" t="s">
        <v>71</v>
      </c>
      <c r="I53" s="59">
        <v>5.15</v>
      </c>
      <c r="J53" s="69">
        <v>6.55</v>
      </c>
      <c r="K53" s="59">
        <f t="shared" si="2"/>
        <v>4.812675</v>
      </c>
      <c r="L53" s="405">
        <v>0.306</v>
      </c>
      <c r="M53" s="106">
        <v>0.29375999999999997</v>
      </c>
      <c r="N53" s="969">
        <v>0.339</v>
      </c>
      <c r="O53" s="106">
        <f t="shared" si="3"/>
        <v>0.316</v>
      </c>
      <c r="P53" s="67">
        <v>90.0</v>
      </c>
      <c r="Q53" s="69">
        <v>90.19281045751633</v>
      </c>
      <c r="R53" s="70">
        <v>2379.1</v>
      </c>
      <c r="S53" s="134">
        <v>130.0</v>
      </c>
      <c r="T53" s="67"/>
      <c r="U53" s="67">
        <v>130.0</v>
      </c>
      <c r="V53" s="67">
        <v>1.1023</v>
      </c>
      <c r="W53" s="69">
        <v>5.4</v>
      </c>
      <c r="X53" s="69">
        <v>15.0</v>
      </c>
      <c r="Y53" s="67">
        <v>50.0</v>
      </c>
      <c r="Z53" s="69">
        <f t="shared" si="22"/>
        <v>40.8</v>
      </c>
      <c r="AA53" s="70">
        <f t="shared" si="5"/>
        <v>90.8</v>
      </c>
      <c r="AB53" s="71">
        <f t="shared" si="6"/>
        <v>461.6917853</v>
      </c>
      <c r="AC53" s="71">
        <f>+(S53-T53)*V53-'data 1'!$F$4</f>
        <v>63.299</v>
      </c>
      <c r="AD53" s="71">
        <f t="shared" si="7"/>
        <v>1.462717929</v>
      </c>
      <c r="AE53" s="71">
        <f>+(Y53*V53-'data 2'!$B$2)+V53*(Z53-IF(D53="UNTUCA",IF(+((W53-3)*2.5+(X53-3)*3.1)&gt;0,+((W53-3)*1.5+(X53-3)*3.1),0),IF(+((W53-3)*1.5+(X53-3)*3.1)&gt;0,+((W53-3)*1.5+(X53-3)*3.1),0)))</f>
        <v>-34.885</v>
      </c>
      <c r="AF53" s="71">
        <f t="shared" si="8"/>
        <v>-22.36044761</v>
      </c>
      <c r="AG53" s="71">
        <f t="shared" si="19"/>
        <v>7.516270319</v>
      </c>
      <c r="AH53" s="71">
        <f t="shared" si="10"/>
        <v>45.53957262</v>
      </c>
      <c r="AI53" s="69">
        <f t="shared" si="11"/>
        <v>81.37986035</v>
      </c>
      <c r="AJ53" s="69">
        <f t="shared" si="12"/>
        <v>46.92725987</v>
      </c>
      <c r="AK53" s="53">
        <f t="shared" si="13"/>
        <v>-1.387687256</v>
      </c>
      <c r="AL53" s="70"/>
      <c r="AM53" s="70"/>
      <c r="AN53" s="67"/>
      <c r="AO53" s="67"/>
      <c r="AP53" s="67"/>
      <c r="AQ53" s="67"/>
      <c r="AR53" s="67"/>
      <c r="AS53" s="67"/>
      <c r="AT53" s="67"/>
    </row>
    <row r="54" ht="15.75" customHeight="1">
      <c r="A54" s="116" t="s">
        <v>5011</v>
      </c>
      <c r="B54" s="841">
        <v>45503.0</v>
      </c>
      <c r="C54" s="841">
        <v>45501.0</v>
      </c>
      <c r="D54" s="67" t="s">
        <v>4466</v>
      </c>
      <c r="E54" s="915"/>
      <c r="F54" s="67" t="s">
        <v>5010</v>
      </c>
      <c r="G54" s="916">
        <v>53.0</v>
      </c>
      <c r="H54" s="916" t="s">
        <v>71</v>
      </c>
      <c r="I54" s="59">
        <v>4.98</v>
      </c>
      <c r="J54" s="69">
        <v>6.85</v>
      </c>
      <c r="K54" s="59">
        <f t="shared" si="2"/>
        <v>4.63887</v>
      </c>
      <c r="L54" s="405">
        <v>0.2</v>
      </c>
      <c r="M54" s="106">
        <v>0.19</v>
      </c>
      <c r="N54" s="968">
        <v>0.19</v>
      </c>
      <c r="O54" s="106">
        <f t="shared" si="3"/>
        <v>0.19</v>
      </c>
      <c r="P54" s="67">
        <v>90.0</v>
      </c>
      <c r="Q54" s="69">
        <v>90.395</v>
      </c>
      <c r="R54" s="70">
        <v>2379.1</v>
      </c>
      <c r="S54" s="134">
        <v>110.0</v>
      </c>
      <c r="T54" s="67"/>
      <c r="U54" s="67">
        <v>130.0</v>
      </c>
      <c r="V54" s="67">
        <v>1.1023</v>
      </c>
      <c r="W54" s="69">
        <v>5.4</v>
      </c>
      <c r="X54" s="69">
        <v>14.9</v>
      </c>
      <c r="Y54" s="67">
        <v>50.0</v>
      </c>
      <c r="Z54" s="69">
        <f t="shared" si="22"/>
        <v>40.49</v>
      </c>
      <c r="AA54" s="70">
        <f t="shared" si="5"/>
        <v>90.49</v>
      </c>
      <c r="AB54" s="71">
        <f t="shared" si="6"/>
        <v>202.940154</v>
      </c>
      <c r="AC54" s="71">
        <f>+(S54-T54)*V54-'data 1'!$F$4</f>
        <v>41.253</v>
      </c>
      <c r="AD54" s="71">
        <f t="shared" si="7"/>
        <v>1.958554515</v>
      </c>
      <c r="AE54" s="71">
        <f>+(Y54*V54-'data 2'!$B$2)+V54*(Z54-IF(D54="UNTUCA",IF(+((W54-3)*2.5+(X54-3)*3.1)&gt;0,+((W54-3)*1.5+(X54-3)*3.1),0),IF(+((W54-3)*1.5+(X54-3)*3.1)&gt;0,+((W54-3)*1.5+(X54-3)*3.1),0)))</f>
        <v>-34.885</v>
      </c>
      <c r="AF54" s="71">
        <f t="shared" si="8"/>
        <v>22.4105741</v>
      </c>
      <c r="AG54" s="71">
        <f t="shared" si="19"/>
        <v>30.73712861</v>
      </c>
      <c r="AH54" s="71">
        <f t="shared" si="10"/>
        <v>28.75382836</v>
      </c>
      <c r="AI54" s="69">
        <f t="shared" si="11"/>
        <v>53.30868855</v>
      </c>
      <c r="AJ54" s="69">
        <f t="shared" si="12"/>
        <v>27.19677333</v>
      </c>
      <c r="AK54" s="53">
        <f t="shared" si="13"/>
        <v>1.557055034</v>
      </c>
      <c r="AL54" s="70"/>
      <c r="AM54" s="70"/>
      <c r="AN54" s="67"/>
      <c r="AO54" s="67"/>
      <c r="AP54" s="67"/>
      <c r="AQ54" s="67"/>
      <c r="AR54" s="67"/>
      <c r="AS54" s="67"/>
      <c r="AT54" s="67"/>
    </row>
    <row r="55" ht="15.75" customHeight="1">
      <c r="A55" s="116" t="s">
        <v>5012</v>
      </c>
      <c r="B55" s="841">
        <v>45503.0</v>
      </c>
      <c r="C55" s="841">
        <v>45501.0</v>
      </c>
      <c r="D55" s="67" t="s">
        <v>4466</v>
      </c>
      <c r="E55" s="915"/>
      <c r="F55" s="67" t="s">
        <v>5010</v>
      </c>
      <c r="G55" s="916">
        <v>53.0</v>
      </c>
      <c r="H55" s="916" t="s">
        <v>71</v>
      </c>
      <c r="I55" s="59">
        <v>4.94</v>
      </c>
      <c r="J55" s="69">
        <v>7.75</v>
      </c>
      <c r="K55" s="59">
        <f t="shared" si="2"/>
        <v>4.55715</v>
      </c>
      <c r="L55" s="405">
        <v>0.199</v>
      </c>
      <c r="M55" s="106">
        <v>0.18706</v>
      </c>
      <c r="N55" s="968">
        <v>0.18706</v>
      </c>
      <c r="O55" s="106">
        <f t="shared" si="3"/>
        <v>0.187</v>
      </c>
      <c r="P55" s="67">
        <v>90.0</v>
      </c>
      <c r="Q55" s="69">
        <v>90.17587939698493</v>
      </c>
      <c r="R55" s="70">
        <v>2379.1</v>
      </c>
      <c r="S55" s="134">
        <v>110.0</v>
      </c>
      <c r="T55" s="67"/>
      <c r="U55" s="67">
        <v>130.0</v>
      </c>
      <c r="V55" s="67">
        <v>1.1023</v>
      </c>
      <c r="W55" s="69">
        <v>5.4</v>
      </c>
      <c r="X55" s="69">
        <v>14.8</v>
      </c>
      <c r="Y55" s="67">
        <v>50.0</v>
      </c>
      <c r="Z55" s="69">
        <f t="shared" si="22"/>
        <v>40.18</v>
      </c>
      <c r="AA55" s="70">
        <f t="shared" si="5"/>
        <v>90.18</v>
      </c>
      <c r="AB55" s="71">
        <f t="shared" si="6"/>
        <v>196.5880731</v>
      </c>
      <c r="AC55" s="71">
        <f>+(S55-T55)*V55-'data 1'!$F$4</f>
        <v>41.253</v>
      </c>
      <c r="AD55" s="71">
        <f t="shared" si="7"/>
        <v>0.8677140255</v>
      </c>
      <c r="AE55" s="71">
        <f>+(Y55*V55-'data 2'!$B$2)+V55*(Z55-IF(D55="UNTUCA",IF(+((W55-3)*2.5+(X55-3)*3.1)&gt;0,+((W55-3)*1.5+(X55-3)*3.1),0),IF(+((W55-3)*1.5+(X55-3)*3.1)&gt;0,+((W55-3)*1.5+(X55-3)*3.1),0)))</f>
        <v>-34.885</v>
      </c>
      <c r="AF55" s="71">
        <f t="shared" si="8"/>
        <v>26.82750011</v>
      </c>
      <c r="AG55" s="71">
        <f t="shared" si="19"/>
        <v>34.06321413</v>
      </c>
      <c r="AH55" s="71">
        <f t="shared" si="10"/>
        <v>28.0379241</v>
      </c>
      <c r="AI55" s="69">
        <f t="shared" si="11"/>
        <v>52.91356911</v>
      </c>
      <c r="AJ55" s="69">
        <f t="shared" si="12"/>
        <v>26.29580733</v>
      </c>
      <c r="AK55" s="53">
        <f t="shared" si="13"/>
        <v>1.742116766</v>
      </c>
      <c r="AL55" s="70"/>
      <c r="AM55" s="70"/>
      <c r="AN55" s="67"/>
      <c r="AO55" s="67"/>
      <c r="AP55" s="67"/>
      <c r="AQ55" s="67"/>
      <c r="AR55" s="67"/>
      <c r="AS55" s="67"/>
      <c r="AT55" s="67"/>
    </row>
    <row r="56" ht="15.75" customHeight="1">
      <c r="A56" s="116" t="s">
        <v>5013</v>
      </c>
      <c r="B56" s="841">
        <v>45505.0</v>
      </c>
      <c r="C56" s="841">
        <v>45501.0</v>
      </c>
      <c r="D56" s="67" t="s">
        <v>4466</v>
      </c>
      <c r="E56" s="915"/>
      <c r="F56" s="67" t="s">
        <v>5014</v>
      </c>
      <c r="G56" s="916">
        <v>20.0</v>
      </c>
      <c r="H56" s="916" t="s">
        <v>4987</v>
      </c>
      <c r="I56" s="59">
        <v>1.67</v>
      </c>
      <c r="J56" s="69">
        <v>24.8</v>
      </c>
      <c r="K56" s="59">
        <f t="shared" si="2"/>
        <v>1.25584</v>
      </c>
      <c r="L56" s="405">
        <v>1.306</v>
      </c>
      <c r="M56" s="106">
        <v>1.25376</v>
      </c>
      <c r="N56" s="969">
        <v>1.319</v>
      </c>
      <c r="O56" s="106">
        <f t="shared" si="3"/>
        <v>1.286</v>
      </c>
      <c r="P56" s="67">
        <v>90.0</v>
      </c>
      <c r="Q56" s="69">
        <v>89.48774885145484</v>
      </c>
      <c r="R56" s="70">
        <v>2379.1</v>
      </c>
      <c r="S56" s="134">
        <v>200.0</v>
      </c>
      <c r="T56" s="67"/>
      <c r="U56" s="67">
        <v>130.0</v>
      </c>
      <c r="V56" s="67">
        <v>1.1023</v>
      </c>
      <c r="W56" s="69">
        <v>5.5</v>
      </c>
      <c r="X56" s="69">
        <v>7.8</v>
      </c>
      <c r="Y56" s="67">
        <v>50.0</v>
      </c>
      <c r="Z56" s="69">
        <f t="shared" si="22"/>
        <v>30</v>
      </c>
      <c r="AA56" s="70">
        <f t="shared" si="5"/>
        <v>80</v>
      </c>
      <c r="AB56" s="71">
        <f t="shared" si="6"/>
        <v>2560.762323</v>
      </c>
      <c r="AC56" s="71">
        <f>+(S56-T56)*V56-'data 1'!$F$4</f>
        <v>140.46</v>
      </c>
      <c r="AD56" s="71">
        <f t="shared" si="7"/>
        <v>-16.5857338</v>
      </c>
      <c r="AE56" s="71">
        <f>+(Y56*V56-'data 2'!$B$2)+V56*(Z56-IF(D56="UNTUCA",IF(+((W56-3)*2.5+(X56-3)*3.1)&gt;0,+((W56-3)*1.5+(X56-3)*3.1),0),IF(+((W56-3)*1.5+(X56-3)*3.1)&gt;0,+((W56-3)*1.5+(X56-3)*3.1),0)))</f>
        <v>-22.351849</v>
      </c>
      <c r="AF56" s="71">
        <f t="shared" si="8"/>
        <v>44.37129988</v>
      </c>
      <c r="AG56" s="71">
        <f t="shared" si="19"/>
        <v>145.8937171</v>
      </c>
      <c r="AH56" s="71">
        <f t="shared" si="10"/>
        <v>50.32110174</v>
      </c>
      <c r="AI56" s="69">
        <f t="shared" si="11"/>
        <v>344.6119663</v>
      </c>
      <c r="AJ56" s="69">
        <f t="shared" si="12"/>
        <v>49.8341275</v>
      </c>
      <c r="AK56" s="53">
        <f t="shared" si="13"/>
        <v>0.4869742372</v>
      </c>
      <c r="AL56" s="70"/>
      <c r="AM56" s="70"/>
      <c r="AN56" s="67"/>
      <c r="AO56" s="67"/>
      <c r="AP56" s="67"/>
      <c r="AQ56" s="67"/>
      <c r="AR56" s="67"/>
      <c r="AS56" s="67"/>
      <c r="AT56" s="67"/>
    </row>
    <row r="57" ht="15.75" customHeight="1">
      <c r="A57" s="116" t="s">
        <v>5015</v>
      </c>
      <c r="B57" s="841">
        <v>45504.0</v>
      </c>
      <c r="C57" s="841">
        <v>45501.0</v>
      </c>
      <c r="D57" s="67" t="s">
        <v>4589</v>
      </c>
      <c r="E57" s="915"/>
      <c r="F57" s="67" t="s">
        <v>5016</v>
      </c>
      <c r="G57" s="916">
        <v>81.0</v>
      </c>
      <c r="H57" s="916" t="s">
        <v>47</v>
      </c>
      <c r="I57" s="59">
        <v>7.22</v>
      </c>
      <c r="J57" s="69">
        <v>8.7</v>
      </c>
      <c r="K57" s="59">
        <f t="shared" si="2"/>
        <v>6.59186</v>
      </c>
      <c r="L57" s="405">
        <v>0.9129999999999999</v>
      </c>
      <c r="M57" s="106">
        <v>0.8764799999999999</v>
      </c>
      <c r="N57" s="969">
        <v>1.035</v>
      </c>
      <c r="O57" s="106">
        <f t="shared" si="3"/>
        <v>0.956</v>
      </c>
      <c r="P57" s="67">
        <v>90.0</v>
      </c>
      <c r="Q57" s="69">
        <v>89.63855421686748</v>
      </c>
      <c r="R57" s="70">
        <v>2379.1</v>
      </c>
      <c r="S57" s="134">
        <v>170.0</v>
      </c>
      <c r="T57" s="67"/>
      <c r="U57" s="67">
        <v>130.0</v>
      </c>
      <c r="V57" s="67">
        <v>1.1023</v>
      </c>
      <c r="W57" s="69">
        <v>5.0</v>
      </c>
      <c r="X57" s="69">
        <v>7.9</v>
      </c>
      <c r="Y57" s="67"/>
      <c r="Z57" s="69">
        <f t="shared" si="22"/>
        <v>30</v>
      </c>
      <c r="AA57" s="70">
        <f t="shared" si="5"/>
        <v>30</v>
      </c>
      <c r="AB57" s="71">
        <f t="shared" si="6"/>
        <v>1912.628993</v>
      </c>
      <c r="AC57" s="71">
        <f>+(S57-T57)*V57-'data 1'!$F$4</f>
        <v>107.391</v>
      </c>
      <c r="AD57" s="71">
        <f t="shared" si="7"/>
        <v>-8.181303669</v>
      </c>
      <c r="AE57" s="71">
        <f>+(Y57*V57-'data 2'!$B$2)+V57*(Z57-IF(D57="UNTUCA",IF(+((W57-3)*2.5+(X57-3)*3.1)&gt;0,+((W57-3)*1.5+(X57-3)*3.1),0),IF(+((W57-3)*1.5+(X57-3)*3.1)&gt;0,+((W57-3)*1.5+(X57-3)*3.1),0)))</f>
        <v>-76.981837</v>
      </c>
      <c r="AF57" s="71">
        <f t="shared" si="8"/>
        <v>-95.5590606</v>
      </c>
      <c r="AG57" s="71">
        <f t="shared" si="19"/>
        <v>-73.33120127</v>
      </c>
      <c r="AH57" s="71">
        <f t="shared" si="10"/>
        <v>184.9620649</v>
      </c>
      <c r="AI57" s="69">
        <f t="shared" si="11"/>
        <v>241.3177206</v>
      </c>
      <c r="AJ57" s="69">
        <f t="shared" si="12"/>
        <v>194.4542529</v>
      </c>
      <c r="AK57" s="53">
        <f t="shared" si="13"/>
        <v>-9.492188079</v>
      </c>
      <c r="AL57" s="70" t="s">
        <v>5017</v>
      </c>
      <c r="AM57" s="70"/>
      <c r="AN57" s="67"/>
      <c r="AO57" s="67"/>
      <c r="AP57" s="67"/>
      <c r="AQ57" s="67"/>
      <c r="AR57" s="67"/>
      <c r="AS57" s="67"/>
      <c r="AT57" s="67"/>
    </row>
    <row r="58" ht="15.75" customHeight="1">
      <c r="A58" s="116" t="s">
        <v>5018</v>
      </c>
      <c r="B58" s="841">
        <v>45504.0</v>
      </c>
      <c r="C58" s="841">
        <v>45501.0</v>
      </c>
      <c r="D58" s="67" t="s">
        <v>4589</v>
      </c>
      <c r="E58" s="915"/>
      <c r="F58" s="67" t="s">
        <v>5016</v>
      </c>
      <c r="G58" s="916">
        <v>130.0</v>
      </c>
      <c r="H58" s="916" t="s">
        <v>47</v>
      </c>
      <c r="I58" s="59">
        <v>11.4</v>
      </c>
      <c r="J58" s="69">
        <v>7.6</v>
      </c>
      <c r="K58" s="59">
        <f t="shared" si="2"/>
        <v>10.5336</v>
      </c>
      <c r="L58" s="405">
        <v>0.5563333333333333</v>
      </c>
      <c r="M58" s="106">
        <v>0.5285166666666666</v>
      </c>
      <c r="N58" s="969">
        <v>0.602</v>
      </c>
      <c r="O58" s="106">
        <f t="shared" si="3"/>
        <v>0.565</v>
      </c>
      <c r="P58" s="67">
        <v>90.0</v>
      </c>
      <c r="Q58" s="69">
        <v>89.57459556620731</v>
      </c>
      <c r="R58" s="70">
        <v>2379.1</v>
      </c>
      <c r="S58" s="134">
        <v>130.0</v>
      </c>
      <c r="T58" s="67"/>
      <c r="U58" s="67">
        <v>130.0</v>
      </c>
      <c r="V58" s="67">
        <v>1.1023</v>
      </c>
      <c r="W58" s="69">
        <v>5.0</v>
      </c>
      <c r="X58" s="69">
        <v>14.6</v>
      </c>
      <c r="Y58" s="67"/>
      <c r="Z58" s="69">
        <f t="shared" si="22"/>
        <v>38.96</v>
      </c>
      <c r="AA58" s="70">
        <f t="shared" si="5"/>
        <v>38.96</v>
      </c>
      <c r="AB58" s="71">
        <f t="shared" si="6"/>
        <v>1074.419912</v>
      </c>
      <c r="AC58" s="71">
        <f>+(S58-T58)*V58-'data 1'!$F$4</f>
        <v>63.299</v>
      </c>
      <c r="AD58" s="71">
        <f t="shared" si="7"/>
        <v>-5.867399601</v>
      </c>
      <c r="AE58" s="71">
        <f>+(Y58*V58-'data 2'!$B$2)+V58*(Z58-IF(D58="UNTUCA",IF(+((W58-3)*2.5+(X58-3)*3.1)&gt;0,+((W58-3)*1.5+(X58-3)*3.1),0),IF(+((W58-3)*1.5+(X58-3)*3.1)&gt;0,+((W58-3)*1.5+(X58-3)*3.1),0)))</f>
        <v>-90</v>
      </c>
      <c r="AF58" s="71">
        <f t="shared" si="8"/>
        <v>-19.24622339</v>
      </c>
      <c r="AG58" s="71">
        <f t="shared" si="19"/>
        <v>-51.81462299</v>
      </c>
      <c r="AH58" s="71">
        <f t="shared" si="10"/>
        <v>179.9723675</v>
      </c>
      <c r="AI58" s="69">
        <f t="shared" si="11"/>
        <v>146.9411829</v>
      </c>
      <c r="AJ58" s="69">
        <f t="shared" si="12"/>
        <v>183.6440446</v>
      </c>
      <c r="AK58" s="53">
        <f t="shared" si="13"/>
        <v>-3.671677063</v>
      </c>
      <c r="AL58" s="70" t="s">
        <v>5017</v>
      </c>
      <c r="AM58" s="70"/>
      <c r="AN58" s="67"/>
      <c r="AO58" s="67"/>
      <c r="AP58" s="67"/>
      <c r="AQ58" s="67"/>
      <c r="AR58" s="67"/>
      <c r="AS58" s="67"/>
      <c r="AT58" s="67"/>
    </row>
    <row r="59" ht="15.75" customHeight="1">
      <c r="A59" s="116" t="s">
        <v>5019</v>
      </c>
      <c r="B59" s="870">
        <v>45504.0</v>
      </c>
      <c r="C59" s="870">
        <v>45501.0</v>
      </c>
      <c r="D59" s="67" t="s">
        <v>4571</v>
      </c>
      <c r="E59" s="915"/>
      <c r="F59" s="2" t="s">
        <v>5020</v>
      </c>
      <c r="G59" s="13">
        <v>38.0</v>
      </c>
      <c r="H59" s="13" t="s">
        <v>47</v>
      </c>
      <c r="I59" s="6">
        <v>2.6</v>
      </c>
      <c r="J59" s="58">
        <v>8.02</v>
      </c>
      <c r="K59" s="59">
        <f t="shared" si="2"/>
        <v>2.39148</v>
      </c>
      <c r="L59" s="139">
        <v>0.21966666666666665</v>
      </c>
      <c r="M59" s="60">
        <v>0.20429</v>
      </c>
      <c r="N59" s="968">
        <v>0.20429</v>
      </c>
      <c r="O59" s="106">
        <f t="shared" si="3"/>
        <v>0.204</v>
      </c>
      <c r="P59" s="67">
        <v>90.0</v>
      </c>
      <c r="Q59" s="69">
        <v>89.96965098634294</v>
      </c>
      <c r="R59" s="65">
        <v>2379.1</v>
      </c>
      <c r="S59" s="3">
        <v>115.0</v>
      </c>
      <c r="U59" s="67">
        <v>130.0</v>
      </c>
      <c r="V59" s="67">
        <v>1.1023</v>
      </c>
      <c r="W59" s="58">
        <v>5.0</v>
      </c>
      <c r="X59" s="58">
        <v>8.7</v>
      </c>
      <c r="Y59" s="2">
        <v>40.0</v>
      </c>
      <c r="Z59" s="69">
        <f t="shared" si="22"/>
        <v>30</v>
      </c>
      <c r="AA59" s="70">
        <f t="shared" si="5"/>
        <v>70</v>
      </c>
      <c r="AB59" s="71">
        <f t="shared" si="6"/>
        <v>251.2524859</v>
      </c>
      <c r="AC59" s="71">
        <f>+(S59-T59)*V59-'data 1'!$F$4</f>
        <v>46.7645</v>
      </c>
      <c r="AD59" s="71">
        <f t="shared" si="7"/>
        <v>-0.165278862</v>
      </c>
      <c r="AE59" s="71">
        <f>+(Y59*V59-'data 2'!$B$2)+V59*(Z59-IF(D59="UNTUCA",IF(+((W59-3)*2.5+(X59-3)*3.1)&gt;0,+((W59-3)*1.5+(X59-3)*3.1),0),IF(+((W59-3)*1.5+(X59-3)*3.1)&gt;0,+((W59-3)*1.5+(X59-3)*3.1),0)))</f>
        <v>-35.623541</v>
      </c>
      <c r="AF59" s="71">
        <f t="shared" si="8"/>
        <v>34.94469159</v>
      </c>
      <c r="AG59" s="71">
        <f t="shared" si="19"/>
        <v>45.92037173</v>
      </c>
      <c r="AH59" s="71">
        <f t="shared" si="10"/>
        <v>16.20451429</v>
      </c>
      <c r="AI59" s="58">
        <f t="shared" si="11"/>
        <v>58.27520224</v>
      </c>
      <c r="AJ59" s="58">
        <f t="shared" si="12"/>
        <v>15.05388172</v>
      </c>
      <c r="AK59" s="11">
        <f t="shared" si="13"/>
        <v>1.150632571</v>
      </c>
      <c r="AL59" s="65"/>
      <c r="AM59" s="65"/>
    </row>
    <row r="60" ht="15.75" customHeight="1">
      <c r="A60" s="116" t="s">
        <v>5021</v>
      </c>
      <c r="B60" s="870">
        <v>45504.0</v>
      </c>
      <c r="C60" s="870">
        <v>45502.0</v>
      </c>
      <c r="D60" s="2" t="s">
        <v>5022</v>
      </c>
      <c r="E60" s="915"/>
      <c r="F60" s="2" t="s">
        <v>5023</v>
      </c>
      <c r="G60" s="13" t="s">
        <v>4100</v>
      </c>
      <c r="H60" s="13" t="s">
        <v>47</v>
      </c>
      <c r="I60" s="6">
        <v>8.07</v>
      </c>
      <c r="J60" s="58">
        <v>3.95</v>
      </c>
      <c r="K60" s="59">
        <f t="shared" si="2"/>
        <v>7.751235</v>
      </c>
      <c r="L60" s="139">
        <v>0.25333333333333335</v>
      </c>
      <c r="M60" s="60">
        <v>0.23560000000000003</v>
      </c>
      <c r="N60" s="969">
        <v>0.299</v>
      </c>
      <c r="O60" s="106">
        <f t="shared" si="3"/>
        <v>0.267</v>
      </c>
      <c r="P60" s="67">
        <v>90.0</v>
      </c>
      <c r="Q60" s="69">
        <v>90.28947368421052</v>
      </c>
      <c r="R60" s="65">
        <v>2383.79</v>
      </c>
      <c r="S60" s="3">
        <v>120.0</v>
      </c>
      <c r="U60" s="67">
        <v>130.0</v>
      </c>
      <c r="V60" s="67">
        <v>1.1023</v>
      </c>
      <c r="W60" s="58">
        <v>5.5</v>
      </c>
      <c r="X60" s="58">
        <v>7.5</v>
      </c>
      <c r="Y60" s="2">
        <v>60.0</v>
      </c>
      <c r="Z60" s="846">
        <f t="shared" ref="Z60:Z61" si="23">-5+IF(IF(D60="UNTUCA",IF(+((W60-3)*1.5+(X60-3)*3.1)&gt;0,+((W60-3)*1.5+(X60-3)*3.1),0),IF(+((W60-3)*1.5+(X60-3)*3.1)&gt;0,+((W60-3)*1.5+(X60-3)*3.1),0))&lt;30,30,IF(D60="UNTUCA",IF(+((W60-3)*1.5+(X60-3)*3.1)&gt;0,+((W60-3)*1.5+(X60-3)*3.1),0),IF(+((W60-3)*1.5+(X60-3)*3.1)&gt;0,+((W60-3)*1.5+(X60-3)*3.1),0)))</f>
        <v>25</v>
      </c>
      <c r="AA60" s="70">
        <f t="shared" si="5"/>
        <v>85</v>
      </c>
      <c r="AB60" s="71">
        <f t="shared" si="6"/>
        <v>371.0184579</v>
      </c>
      <c r="AC60" s="71">
        <f>+(S60-T60)*V60-'data 1'!$F$4</f>
        <v>52.276</v>
      </c>
      <c r="AD60" s="71">
        <f t="shared" si="7"/>
        <v>1.821858659</v>
      </c>
      <c r="AE60" s="71">
        <f>+(Y60*V60-'data 2'!$B$2)+V60*(Z60-IF(D60="UNTUCA",IF(+((W60-3)*2.5+(X60-3)*3.1)&gt;0,+((W60-3)*1.5+(X60-3)*3.1),0),IF(+((W60-3)*1.5+(X60-3)*3.1)&gt;0,+((W60-3)*1.5+(X60-3)*3.1),0)))</f>
        <v>-15.81521</v>
      </c>
      <c r="AF60" s="71">
        <f t="shared" si="8"/>
        <v>-30.6558229</v>
      </c>
      <c r="AG60" s="71">
        <f t="shared" si="19"/>
        <v>7.62682576</v>
      </c>
      <c r="AH60" s="71">
        <f t="shared" si="10"/>
        <v>60.7868211</v>
      </c>
      <c r="AI60" s="58">
        <f t="shared" si="11"/>
        <v>66.2630089</v>
      </c>
      <c r="AJ60" s="58">
        <f t="shared" si="12"/>
        <v>63.86071019</v>
      </c>
      <c r="AK60" s="11">
        <f t="shared" si="13"/>
        <v>-3.073889088</v>
      </c>
      <c r="AL60" s="65"/>
      <c r="AM60" s="65"/>
    </row>
    <row r="61" ht="15.75" customHeight="1">
      <c r="A61" s="116" t="s">
        <v>5024</v>
      </c>
      <c r="B61" s="870">
        <v>45504.0</v>
      </c>
      <c r="C61" s="870">
        <v>45502.0</v>
      </c>
      <c r="D61" s="2" t="s">
        <v>5022</v>
      </c>
      <c r="E61" s="915"/>
      <c r="F61" s="2" t="s">
        <v>5023</v>
      </c>
      <c r="G61" s="13" t="s">
        <v>4100</v>
      </c>
      <c r="H61" s="13" t="s">
        <v>47</v>
      </c>
      <c r="I61" s="6">
        <v>19.59</v>
      </c>
      <c r="J61" s="58">
        <v>5.8</v>
      </c>
      <c r="K61" s="59">
        <f t="shared" si="2"/>
        <v>18.45378</v>
      </c>
      <c r="L61" s="139">
        <v>0.5696666666666667</v>
      </c>
      <c r="M61" s="60">
        <v>0.56397</v>
      </c>
      <c r="N61" s="969">
        <v>0.665</v>
      </c>
      <c r="O61" s="106">
        <f t="shared" si="3"/>
        <v>0.614</v>
      </c>
      <c r="P61" s="67">
        <v>90.0</v>
      </c>
      <c r="Q61" s="69">
        <v>90.28127559976595</v>
      </c>
      <c r="R61" s="65">
        <v>2383.79</v>
      </c>
      <c r="S61" s="3">
        <v>160.0</v>
      </c>
      <c r="U61" s="67">
        <v>130.0</v>
      </c>
      <c r="V61" s="67">
        <v>1.1023</v>
      </c>
      <c r="W61" s="58">
        <v>5.5</v>
      </c>
      <c r="X61" s="58">
        <v>7.6</v>
      </c>
      <c r="Y61" s="2">
        <v>60.0</v>
      </c>
      <c r="Z61" s="846">
        <f t="shared" si="23"/>
        <v>25</v>
      </c>
      <c r="AA61" s="70">
        <f t="shared" si="5"/>
        <v>85</v>
      </c>
      <c r="AB61" s="71">
        <f t="shared" si="6"/>
        <v>1102.789811</v>
      </c>
      <c r="AC61" s="71">
        <f>+(S61-T61)*V61-'data 1'!$F$4</f>
        <v>96.368</v>
      </c>
      <c r="AD61" s="71">
        <f t="shared" si="7"/>
        <v>3.98076117</v>
      </c>
      <c r="AE61" s="71">
        <f>+(Y61*V61-'data 2'!$B$2)+V61*(Z61-IF(D61="UNTUCA",IF(+((W61-3)*2.5+(X61-3)*3.1)&gt;0,+((W61-3)*1.5+(X61-3)*3.1),0),IF(+((W61-3)*1.5+(X61-3)*3.1)&gt;0,+((W61-3)*1.5+(X61-3)*3.1),0)))</f>
        <v>-16.156923</v>
      </c>
      <c r="AF61" s="71">
        <f t="shared" si="8"/>
        <v>-99.43546933</v>
      </c>
      <c r="AG61" s="71">
        <f t="shared" si="19"/>
        <v>-15.24363116</v>
      </c>
      <c r="AH61" s="71">
        <f t="shared" si="10"/>
        <v>325.3965191</v>
      </c>
      <c r="AI61" s="58">
        <f t="shared" si="11"/>
        <v>148.9910526</v>
      </c>
      <c r="AJ61" s="58">
        <f t="shared" si="12"/>
        <v>349.6272616</v>
      </c>
      <c r="AK61" s="11">
        <f t="shared" si="13"/>
        <v>-24.23074253</v>
      </c>
      <c r="AL61" s="65" t="s">
        <v>5025</v>
      </c>
      <c r="AM61" s="65"/>
    </row>
    <row r="62" ht="15.75" customHeight="1">
      <c r="A62" s="116" t="s">
        <v>5026</v>
      </c>
      <c r="B62" s="870">
        <v>45511.0</v>
      </c>
      <c r="C62" s="870">
        <v>45508.0</v>
      </c>
      <c r="D62" s="197" t="s">
        <v>4958</v>
      </c>
      <c r="E62" s="915"/>
      <c r="F62" s="2" t="s">
        <v>5027</v>
      </c>
      <c r="G62" s="13" t="s">
        <v>4100</v>
      </c>
      <c r="H62" s="13" t="s">
        <v>4987</v>
      </c>
      <c r="I62" s="6">
        <v>21.48</v>
      </c>
      <c r="J62" s="58">
        <v>1.2</v>
      </c>
      <c r="K62" s="59">
        <f t="shared" si="2"/>
        <v>21.22224</v>
      </c>
      <c r="L62" s="139">
        <v>0.201</v>
      </c>
      <c r="M62" s="3">
        <v>0.157</v>
      </c>
      <c r="N62" s="75">
        <v>0.21</v>
      </c>
      <c r="O62" s="106">
        <f t="shared" si="3"/>
        <v>0.184</v>
      </c>
      <c r="P62" s="67">
        <v>90.0</v>
      </c>
      <c r="Q62" s="67">
        <v>90.19</v>
      </c>
      <c r="R62" s="65">
        <v>2410.88</v>
      </c>
      <c r="S62" s="3">
        <v>110.0</v>
      </c>
      <c r="U62" s="67">
        <v>100.0</v>
      </c>
      <c r="V62" s="67">
        <v>1.1023</v>
      </c>
      <c r="W62" s="58">
        <v>5.5</v>
      </c>
      <c r="X62" s="58">
        <v>10.5</v>
      </c>
      <c r="Z62" s="69">
        <f>IF(IF(D62="UNTUCA",IF(+((W62-3)*1.5+(X62-3)*3.1)&gt;0,+((W62-3)*1.5+(X62-3)*3.1),0),IF(+((W62-3)*1.5+(X62-3)*3.1)&gt;0,+((W62-3)*1.5+(X62-3)*3.1),0))&lt;30,30,IF(D62="UNTUCA",IF(+((W62-3)*1.5+(X62-3)*3.1)&gt;0,+((W62-3)*1.5+(X62-3)*3.1),0),IF(+((W62-3)*1.5+(X62-3)*3.1)&gt;0,+((W62-3)*1.5+(X62-3)*3.1),0)))</f>
        <v>30</v>
      </c>
      <c r="AA62" s="70">
        <f t="shared" si="5"/>
        <v>30</v>
      </c>
      <c r="AB62" s="71">
        <f t="shared" si="6"/>
        <v>267.5080688</v>
      </c>
      <c r="AC62" s="71">
        <f>+(S62-T62)*V62-'data 1'!$F$4</f>
        <v>41.253</v>
      </c>
      <c r="AD62" s="71">
        <f t="shared" si="7"/>
        <v>0.9728073869</v>
      </c>
      <c r="AE62" s="71">
        <f>+(Y62*V62-'data 2'!$B$2)+V62*(Z62-IF(D62="UNTUCA",IF(+((W62-3)*2.5+(X62-3)*3.1)&gt;0,+((W62-3)*1.5+(X62-3)*3.1),0),IF(+((W62-3)*1.5+(X62-3)*3.1)&gt;0,+((W62-3)*1.5+(X62-3)*3.1),0)))</f>
        <v>-86.6931</v>
      </c>
      <c r="AF62" s="71">
        <f t="shared" si="8"/>
        <v>39.05570751</v>
      </c>
      <c r="AG62" s="71">
        <f>+AC62+AD62+AE62+AF62+90</f>
        <v>84.5884149</v>
      </c>
      <c r="AH62" s="71">
        <f t="shared" si="10"/>
        <v>131.9030188</v>
      </c>
      <c r="AI62" s="58">
        <f t="shared" si="11"/>
        <v>41.10841833</v>
      </c>
      <c r="AJ62" s="58">
        <f t="shared" si="12"/>
        <v>120.4926687</v>
      </c>
      <c r="AK62" s="11">
        <f t="shared" si="13"/>
        <v>11.41035013</v>
      </c>
      <c r="AL62" s="65" t="s">
        <v>5028</v>
      </c>
      <c r="AM62" s="65"/>
    </row>
    <row r="63" ht="15.75" customHeight="1">
      <c r="B63" s="870"/>
      <c r="C63" s="870"/>
      <c r="AB63" s="7"/>
      <c r="AC63" s="7"/>
      <c r="AD63" s="7"/>
      <c r="AE63" s="7"/>
      <c r="AF63" s="7"/>
      <c r="AG63" s="7"/>
      <c r="AH63" s="7"/>
      <c r="AK63" s="11"/>
      <c r="AL63" s="65"/>
      <c r="AM63" s="65"/>
    </row>
    <row r="64" ht="15.75" customHeight="1">
      <c r="B64" s="870"/>
      <c r="C64" s="870"/>
      <c r="AB64" s="7"/>
      <c r="AC64" s="7"/>
      <c r="AD64" s="7"/>
      <c r="AE64" s="7"/>
      <c r="AF64" s="7"/>
      <c r="AG64" s="7"/>
      <c r="AH64" s="7"/>
      <c r="AK64" s="11"/>
      <c r="AL64" s="65"/>
      <c r="AM64" s="65"/>
    </row>
    <row r="65" ht="15.75" customHeight="1">
      <c r="B65" s="870"/>
      <c r="C65" s="870"/>
      <c r="AB65" s="7"/>
      <c r="AC65" s="7"/>
      <c r="AD65" s="7"/>
      <c r="AE65" s="7"/>
      <c r="AF65" s="7"/>
      <c r="AG65" s="7"/>
      <c r="AH65" s="7"/>
      <c r="AK65" s="11"/>
      <c r="AL65" s="65"/>
      <c r="AM65" s="65"/>
    </row>
    <row r="66" ht="15.75" customHeight="1">
      <c r="B66" s="870"/>
      <c r="C66" s="870"/>
      <c r="AB66" s="7"/>
      <c r="AC66" s="7"/>
      <c r="AD66" s="7"/>
      <c r="AE66" s="7"/>
      <c r="AF66" s="7"/>
      <c r="AG66" s="7"/>
      <c r="AH66" s="7"/>
      <c r="AK66" s="11"/>
      <c r="AL66" s="65"/>
      <c r="AM66" s="65"/>
    </row>
    <row r="67" ht="15.75" customHeight="1">
      <c r="B67" s="870"/>
      <c r="C67" s="870"/>
      <c r="AB67" s="7"/>
      <c r="AC67" s="7"/>
      <c r="AD67" s="7"/>
      <c r="AE67" s="7"/>
      <c r="AF67" s="7"/>
      <c r="AG67" s="7"/>
      <c r="AH67" s="7"/>
      <c r="AK67" s="11"/>
      <c r="AL67" s="65"/>
      <c r="AM67" s="65"/>
    </row>
    <row r="68" ht="15.75" customHeight="1">
      <c r="B68" s="870"/>
      <c r="C68" s="870"/>
      <c r="AB68" s="7"/>
      <c r="AC68" s="7"/>
      <c r="AD68" s="7"/>
      <c r="AE68" s="7"/>
      <c r="AF68" s="7"/>
      <c r="AG68" s="7"/>
      <c r="AH68" s="7"/>
      <c r="AK68" s="11"/>
      <c r="AL68" s="65"/>
      <c r="AM68" s="65"/>
    </row>
    <row r="69" ht="15.75" customHeight="1">
      <c r="B69" s="870"/>
      <c r="C69" s="870"/>
      <c r="AB69" s="7"/>
      <c r="AC69" s="7"/>
      <c r="AD69" s="7"/>
      <c r="AE69" s="7"/>
      <c r="AF69" s="7"/>
      <c r="AG69" s="7"/>
      <c r="AH69" s="7"/>
      <c r="AK69" s="11"/>
      <c r="AL69" s="65"/>
      <c r="AM69" s="65"/>
    </row>
    <row r="70" ht="15.75" customHeight="1">
      <c r="B70" s="870"/>
      <c r="C70" s="870"/>
      <c r="AB70" s="7"/>
      <c r="AC70" s="7"/>
      <c r="AD70" s="7"/>
      <c r="AE70" s="7"/>
      <c r="AF70" s="7"/>
      <c r="AG70" s="7"/>
      <c r="AH70" s="7"/>
      <c r="AK70" s="11"/>
      <c r="AL70" s="65"/>
      <c r="AM70" s="65"/>
    </row>
    <row r="71" ht="15.75" customHeight="1">
      <c r="B71" s="870"/>
      <c r="C71" s="870"/>
      <c r="AB71" s="7"/>
      <c r="AC71" s="7"/>
      <c r="AD71" s="7"/>
      <c r="AE71" s="7"/>
      <c r="AF71" s="7"/>
      <c r="AG71" s="7"/>
      <c r="AH71" s="7"/>
      <c r="AK71" s="11"/>
      <c r="AL71" s="65"/>
      <c r="AM71" s="65"/>
    </row>
    <row r="72" ht="15.75" customHeight="1">
      <c r="B72" s="870"/>
      <c r="C72" s="870"/>
      <c r="AB72" s="7"/>
      <c r="AC72" s="7"/>
      <c r="AD72" s="7"/>
      <c r="AE72" s="7"/>
      <c r="AF72" s="7"/>
      <c r="AG72" s="7"/>
      <c r="AH72" s="7"/>
      <c r="AK72" s="11"/>
      <c r="AL72" s="65"/>
      <c r="AM72" s="65"/>
    </row>
    <row r="73" ht="15.75" customHeight="1">
      <c r="B73" s="870"/>
      <c r="C73" s="870"/>
      <c r="AB73" s="7"/>
      <c r="AC73" s="7"/>
      <c r="AD73" s="7"/>
      <c r="AE73" s="7"/>
      <c r="AF73" s="7"/>
      <c r="AG73" s="7"/>
      <c r="AH73" s="7"/>
      <c r="AK73" s="11"/>
      <c r="AL73" s="65"/>
      <c r="AM73" s="65"/>
    </row>
    <row r="74" ht="15.75" customHeight="1">
      <c r="B74" s="870"/>
      <c r="C74" s="870"/>
      <c r="AB74" s="7"/>
      <c r="AC74" s="7"/>
      <c r="AD74" s="7"/>
      <c r="AE74" s="7"/>
      <c r="AF74" s="7"/>
      <c r="AG74" s="7"/>
      <c r="AH74" s="7"/>
      <c r="AK74" s="11"/>
      <c r="AL74" s="65"/>
      <c r="AM74" s="65"/>
    </row>
    <row r="75" ht="15.75" customHeight="1">
      <c r="B75" s="870"/>
      <c r="C75" s="870"/>
      <c r="AB75" s="7"/>
      <c r="AC75" s="7"/>
      <c r="AD75" s="7"/>
      <c r="AE75" s="7"/>
      <c r="AF75" s="7"/>
      <c r="AG75" s="7"/>
      <c r="AH75" s="7"/>
      <c r="AK75" s="11"/>
      <c r="AL75" s="65"/>
      <c r="AM75" s="65"/>
    </row>
    <row r="76" ht="15.75" customHeight="1">
      <c r="B76" s="870"/>
      <c r="C76" s="870"/>
      <c r="AB76" s="7"/>
      <c r="AC76" s="7"/>
      <c r="AD76" s="7"/>
      <c r="AE76" s="7"/>
      <c r="AF76" s="7"/>
      <c r="AG76" s="7"/>
      <c r="AH76" s="7"/>
      <c r="AK76" s="11"/>
      <c r="AL76" s="65"/>
      <c r="AM76" s="65"/>
    </row>
    <row r="77" ht="15.75" customHeight="1">
      <c r="B77" s="841"/>
      <c r="C77" s="870"/>
      <c r="AB77" s="7"/>
      <c r="AC77" s="7"/>
      <c r="AD77" s="7"/>
      <c r="AE77" s="7"/>
      <c r="AF77" s="7"/>
      <c r="AG77" s="7"/>
      <c r="AH77" s="7"/>
      <c r="AK77" s="11"/>
      <c r="AL77" s="65"/>
      <c r="AM77" s="65"/>
    </row>
    <row r="78" ht="15.75" customHeight="1">
      <c r="B78" s="841"/>
      <c r="C78" s="870"/>
      <c r="AB78" s="7"/>
      <c r="AC78" s="7"/>
      <c r="AD78" s="7"/>
      <c r="AE78" s="7"/>
      <c r="AF78" s="7"/>
      <c r="AG78" s="7"/>
      <c r="AH78" s="7"/>
      <c r="AK78" s="11"/>
      <c r="AL78" s="65"/>
      <c r="AM78" s="65"/>
    </row>
    <row r="79" ht="15.75" customHeight="1">
      <c r="B79" s="841"/>
      <c r="C79" s="870"/>
      <c r="AB79" s="7"/>
      <c r="AC79" s="7"/>
      <c r="AD79" s="7"/>
      <c r="AE79" s="7"/>
      <c r="AF79" s="7"/>
      <c r="AG79" s="7"/>
      <c r="AH79" s="7"/>
      <c r="AK79" s="11"/>
      <c r="AL79" s="65"/>
      <c r="AM79" s="65"/>
    </row>
    <row r="80" ht="15.75" customHeight="1">
      <c r="B80" s="841"/>
      <c r="C80" s="870"/>
      <c r="AB80" s="7"/>
      <c r="AC80" s="7"/>
      <c r="AD80" s="7"/>
      <c r="AE80" s="7"/>
      <c r="AF80" s="7"/>
      <c r="AG80" s="7"/>
      <c r="AH80" s="7"/>
      <c r="AK80" s="11"/>
      <c r="AL80" s="65"/>
      <c r="AM80" s="65"/>
    </row>
    <row r="81" ht="15.75" customHeight="1">
      <c r="B81" s="841"/>
      <c r="C81" s="870"/>
      <c r="AB81" s="7"/>
      <c r="AC81" s="7"/>
      <c r="AD81" s="7"/>
      <c r="AE81" s="7"/>
      <c r="AF81" s="7"/>
      <c r="AG81" s="7"/>
      <c r="AH81" s="7"/>
      <c r="AK81" s="11"/>
      <c r="AL81" s="65"/>
      <c r="AM81" s="65"/>
    </row>
    <row r="82" ht="15.75" customHeight="1">
      <c r="B82" s="841"/>
      <c r="C82" s="870"/>
      <c r="AB82" s="7"/>
      <c r="AC82" s="7"/>
      <c r="AD82" s="7"/>
      <c r="AE82" s="7"/>
      <c r="AF82" s="7"/>
      <c r="AG82" s="7"/>
      <c r="AH82" s="7"/>
      <c r="AK82" s="11"/>
      <c r="AL82" s="65"/>
      <c r="AM82" s="65"/>
    </row>
    <row r="83" ht="15.75" customHeight="1">
      <c r="B83" s="841"/>
      <c r="C83" s="870"/>
      <c r="AB83" s="7"/>
      <c r="AC83" s="7"/>
      <c r="AD83" s="7"/>
      <c r="AE83" s="7"/>
      <c r="AF83" s="7"/>
      <c r="AG83" s="7"/>
      <c r="AH83" s="7"/>
      <c r="AK83" s="11"/>
      <c r="AL83" s="65"/>
      <c r="AM83" s="65"/>
    </row>
    <row r="84" ht="15.75" customHeight="1">
      <c r="B84" s="841"/>
      <c r="C84" s="870"/>
      <c r="AB84" s="7"/>
      <c r="AC84" s="7"/>
      <c r="AD84" s="7"/>
      <c r="AE84" s="7"/>
      <c r="AF84" s="7"/>
      <c r="AG84" s="7"/>
      <c r="AH84" s="7"/>
      <c r="AK84" s="11"/>
      <c r="AL84" s="65"/>
      <c r="AM84" s="65"/>
    </row>
    <row r="85" ht="15.75" customHeight="1">
      <c r="B85" s="841"/>
      <c r="C85" s="870"/>
      <c r="AB85" s="7"/>
      <c r="AC85" s="7"/>
      <c r="AD85" s="7"/>
      <c r="AE85" s="7"/>
      <c r="AF85" s="7"/>
      <c r="AG85" s="7"/>
      <c r="AH85" s="7"/>
      <c r="AK85" s="11"/>
      <c r="AL85" s="65"/>
      <c r="AM85" s="65"/>
    </row>
    <row r="86" ht="15.75" customHeight="1">
      <c r="B86" s="841"/>
      <c r="C86" s="870"/>
      <c r="AB86" s="7"/>
      <c r="AC86" s="7"/>
      <c r="AD86" s="7"/>
      <c r="AE86" s="7"/>
      <c r="AF86" s="7"/>
      <c r="AG86" s="7"/>
      <c r="AH86" s="7"/>
      <c r="AK86" s="11"/>
      <c r="AL86" s="65"/>
      <c r="AM86" s="65"/>
    </row>
    <row r="87" ht="15.75" customHeight="1">
      <c r="B87" s="841"/>
      <c r="C87" s="870"/>
      <c r="AB87" s="7"/>
      <c r="AC87" s="7"/>
      <c r="AD87" s="7"/>
      <c r="AE87" s="7"/>
      <c r="AF87" s="7"/>
      <c r="AG87" s="7"/>
      <c r="AH87" s="7"/>
      <c r="AK87" s="11"/>
      <c r="AL87" s="65"/>
      <c r="AM87" s="65"/>
    </row>
    <row r="88" ht="15.75" customHeight="1">
      <c r="B88" s="841"/>
      <c r="C88" s="870"/>
      <c r="AB88" s="7"/>
      <c r="AC88" s="7"/>
      <c r="AD88" s="7"/>
      <c r="AE88" s="7"/>
      <c r="AF88" s="7"/>
      <c r="AG88" s="7"/>
      <c r="AH88" s="7"/>
      <c r="AK88" s="11"/>
      <c r="AL88" s="65"/>
      <c r="AM88" s="65"/>
    </row>
    <row r="89" ht="15.75" customHeight="1">
      <c r="B89" s="841"/>
      <c r="C89" s="870"/>
      <c r="AB89" s="7"/>
      <c r="AC89" s="7"/>
      <c r="AD89" s="7"/>
      <c r="AE89" s="7"/>
      <c r="AF89" s="7"/>
      <c r="AG89" s="7"/>
      <c r="AH89" s="7"/>
      <c r="AK89" s="11"/>
      <c r="AL89" s="65"/>
      <c r="AM89" s="65"/>
    </row>
    <row r="90" ht="15.75" customHeight="1">
      <c r="B90" s="841"/>
      <c r="C90" s="870"/>
      <c r="AB90" s="7"/>
      <c r="AC90" s="7"/>
      <c r="AD90" s="7"/>
      <c r="AE90" s="7"/>
      <c r="AF90" s="7"/>
      <c r="AG90" s="7"/>
      <c r="AH90" s="7"/>
      <c r="AK90" s="11"/>
      <c r="AL90" s="65"/>
      <c r="AM90" s="65"/>
    </row>
    <row r="91" ht="15.75" customHeight="1">
      <c r="B91" s="841"/>
      <c r="C91" s="870"/>
      <c r="AB91" s="7"/>
      <c r="AC91" s="7"/>
      <c r="AD91" s="7"/>
      <c r="AE91" s="7"/>
      <c r="AF91" s="7"/>
      <c r="AG91" s="7"/>
      <c r="AH91" s="7"/>
      <c r="AK91" s="11"/>
      <c r="AL91" s="65"/>
      <c r="AM91" s="65"/>
    </row>
    <row r="92" ht="15.75" customHeight="1">
      <c r="B92" s="841"/>
      <c r="C92" s="870"/>
      <c r="AB92" s="7"/>
      <c r="AC92" s="7"/>
      <c r="AD92" s="7"/>
      <c r="AE92" s="7"/>
      <c r="AF92" s="7"/>
      <c r="AG92" s="7"/>
      <c r="AH92" s="7"/>
      <c r="AK92" s="11"/>
      <c r="AL92" s="65"/>
      <c r="AM92" s="65"/>
    </row>
    <row r="93" ht="15.75" customHeight="1">
      <c r="B93" s="841"/>
      <c r="C93" s="870"/>
      <c r="AB93" s="7"/>
      <c r="AC93" s="7"/>
      <c r="AD93" s="7"/>
      <c r="AE93" s="7"/>
      <c r="AF93" s="7"/>
      <c r="AG93" s="7"/>
      <c r="AH93" s="7"/>
      <c r="AK93" s="11"/>
      <c r="AL93" s="65"/>
      <c r="AM93" s="65"/>
    </row>
    <row r="94" ht="15.75" customHeight="1">
      <c r="B94" s="841"/>
      <c r="C94" s="870"/>
      <c r="AB94" s="7"/>
      <c r="AC94" s="7"/>
      <c r="AD94" s="7"/>
      <c r="AE94" s="7"/>
      <c r="AF94" s="7"/>
      <c r="AG94" s="7"/>
      <c r="AH94" s="7"/>
      <c r="AK94" s="11"/>
      <c r="AL94" s="65"/>
      <c r="AM94" s="65"/>
    </row>
    <row r="95" ht="15.75" customHeight="1">
      <c r="B95" s="841"/>
      <c r="C95" s="870"/>
      <c r="AB95" s="7"/>
      <c r="AC95" s="7"/>
      <c r="AD95" s="7"/>
      <c r="AE95" s="7"/>
      <c r="AF95" s="7"/>
      <c r="AG95" s="7"/>
      <c r="AH95" s="7"/>
      <c r="AK95" s="11"/>
      <c r="AL95" s="65"/>
      <c r="AM95" s="65"/>
    </row>
    <row r="96" ht="15.75" customHeight="1">
      <c r="B96" s="841"/>
      <c r="C96" s="870"/>
      <c r="AB96" s="7"/>
      <c r="AC96" s="7"/>
      <c r="AD96" s="7"/>
      <c r="AE96" s="7"/>
      <c r="AF96" s="7"/>
      <c r="AG96" s="7"/>
      <c r="AH96" s="7"/>
      <c r="AK96" s="11"/>
      <c r="AL96" s="65"/>
      <c r="AM96" s="65"/>
    </row>
    <row r="97" ht="15.75" customHeight="1">
      <c r="B97" s="841"/>
      <c r="C97" s="870"/>
      <c r="AB97" s="7"/>
      <c r="AC97" s="7"/>
      <c r="AD97" s="7"/>
      <c r="AE97" s="7"/>
      <c r="AF97" s="7"/>
      <c r="AG97" s="7"/>
      <c r="AH97" s="7"/>
      <c r="AK97" s="11"/>
      <c r="AL97" s="65"/>
      <c r="AM97" s="65"/>
    </row>
    <row r="98" ht="15.75" customHeight="1">
      <c r="B98" s="841"/>
      <c r="C98" s="870"/>
      <c r="AB98" s="7"/>
      <c r="AC98" s="7"/>
      <c r="AD98" s="7"/>
      <c r="AE98" s="7"/>
      <c r="AF98" s="7"/>
      <c r="AG98" s="7"/>
      <c r="AH98" s="7"/>
      <c r="AK98" s="11"/>
      <c r="AL98" s="65"/>
      <c r="AM98" s="65"/>
    </row>
    <row r="99" ht="15.75" customHeight="1">
      <c r="B99" s="841"/>
      <c r="C99" s="870"/>
      <c r="AB99" s="7"/>
      <c r="AC99" s="7"/>
      <c r="AD99" s="7"/>
      <c r="AE99" s="7"/>
      <c r="AF99" s="7"/>
      <c r="AG99" s="7"/>
      <c r="AH99" s="7"/>
      <c r="AK99" s="11"/>
      <c r="AL99" s="65"/>
      <c r="AM99" s="65"/>
    </row>
    <row r="100" ht="15.75" customHeight="1">
      <c r="B100" s="841"/>
      <c r="C100" s="870"/>
      <c r="AB100" s="7"/>
      <c r="AC100" s="7"/>
      <c r="AD100" s="7"/>
      <c r="AE100" s="7"/>
      <c r="AF100" s="7"/>
      <c r="AG100" s="7"/>
      <c r="AH100" s="7"/>
      <c r="AK100" s="11"/>
      <c r="AL100" s="65"/>
      <c r="AM100" s="65"/>
    </row>
    <row r="101" ht="15.75" customHeight="1">
      <c r="B101" s="841"/>
      <c r="C101" s="870"/>
      <c r="AB101" s="7"/>
      <c r="AC101" s="7"/>
      <c r="AD101" s="7"/>
      <c r="AE101" s="7"/>
      <c r="AF101" s="7"/>
      <c r="AG101" s="7"/>
      <c r="AH101" s="7"/>
      <c r="AK101" s="11"/>
      <c r="AL101" s="65"/>
      <c r="AM101" s="65"/>
    </row>
    <row r="102" ht="15.75" customHeight="1">
      <c r="B102" s="841"/>
      <c r="C102" s="870"/>
      <c r="AB102" s="7"/>
      <c r="AC102" s="7"/>
      <c r="AD102" s="7"/>
      <c r="AE102" s="7"/>
      <c r="AF102" s="7"/>
      <c r="AG102" s="7"/>
      <c r="AH102" s="7"/>
      <c r="AK102" s="11"/>
      <c r="AL102" s="65"/>
      <c r="AM102" s="65"/>
    </row>
    <row r="103" ht="15.75" customHeight="1">
      <c r="B103" s="841"/>
      <c r="C103" s="870"/>
      <c r="AB103" s="7"/>
      <c r="AC103" s="7"/>
      <c r="AD103" s="7"/>
      <c r="AE103" s="7"/>
      <c r="AF103" s="7"/>
      <c r="AG103" s="7"/>
      <c r="AH103" s="7"/>
      <c r="AK103" s="11"/>
      <c r="AL103" s="65"/>
      <c r="AM103" s="65"/>
    </row>
    <row r="104" ht="15.75" customHeight="1">
      <c r="B104" s="841"/>
      <c r="C104" s="870"/>
      <c r="AB104" s="7"/>
      <c r="AC104" s="7"/>
      <c r="AD104" s="7"/>
      <c r="AE104" s="7"/>
      <c r="AF104" s="7"/>
      <c r="AG104" s="7"/>
      <c r="AH104" s="7"/>
      <c r="AK104" s="11"/>
      <c r="AL104" s="65"/>
      <c r="AM104" s="65"/>
    </row>
    <row r="105" ht="15.75" customHeight="1">
      <c r="B105" s="841"/>
      <c r="C105" s="870"/>
      <c r="AB105" s="7"/>
      <c r="AC105" s="7"/>
      <c r="AD105" s="7"/>
      <c r="AE105" s="7"/>
      <c r="AF105" s="7"/>
      <c r="AG105" s="7"/>
      <c r="AH105" s="7"/>
      <c r="AK105" s="11"/>
      <c r="AL105" s="65"/>
      <c r="AM105" s="65"/>
    </row>
    <row r="106" ht="15.75" customHeight="1">
      <c r="B106" s="841"/>
      <c r="C106" s="870"/>
      <c r="AB106" s="7"/>
      <c r="AC106" s="7"/>
      <c r="AD106" s="7"/>
      <c r="AE106" s="7"/>
      <c r="AF106" s="7"/>
      <c r="AG106" s="7"/>
      <c r="AH106" s="7"/>
      <c r="AK106" s="11"/>
      <c r="AL106" s="65"/>
      <c r="AM106" s="65"/>
    </row>
    <row r="107" ht="15.75" customHeight="1">
      <c r="B107" s="841"/>
      <c r="C107" s="870"/>
      <c r="AB107" s="7"/>
      <c r="AC107" s="7"/>
      <c r="AD107" s="7"/>
      <c r="AE107" s="7"/>
      <c r="AF107" s="7"/>
      <c r="AG107" s="7"/>
      <c r="AH107" s="7"/>
      <c r="AK107" s="11"/>
      <c r="AL107" s="65"/>
      <c r="AM107" s="65"/>
    </row>
    <row r="108" ht="15.75" customHeight="1">
      <c r="B108" s="841"/>
      <c r="C108" s="870"/>
      <c r="AB108" s="7"/>
      <c r="AC108" s="7"/>
      <c r="AD108" s="7"/>
      <c r="AE108" s="7"/>
      <c r="AF108" s="7"/>
      <c r="AG108" s="7"/>
      <c r="AH108" s="7"/>
      <c r="AK108" s="11"/>
      <c r="AL108" s="65"/>
      <c r="AM108" s="65"/>
    </row>
    <row r="109" ht="15.75" customHeight="1">
      <c r="B109" s="841"/>
      <c r="C109" s="870"/>
      <c r="AB109" s="7"/>
      <c r="AC109" s="7"/>
      <c r="AD109" s="7"/>
      <c r="AE109" s="7"/>
      <c r="AF109" s="7"/>
      <c r="AG109" s="7"/>
      <c r="AH109" s="7"/>
      <c r="AK109" s="11"/>
      <c r="AL109" s="65"/>
      <c r="AM109" s="65"/>
    </row>
    <row r="110" ht="15.75" customHeight="1">
      <c r="B110" s="841"/>
      <c r="C110" s="870"/>
      <c r="AB110" s="7"/>
      <c r="AC110" s="7"/>
      <c r="AD110" s="7"/>
      <c r="AE110" s="7"/>
      <c r="AF110" s="7"/>
      <c r="AG110" s="7"/>
      <c r="AH110" s="7"/>
      <c r="AK110" s="11"/>
      <c r="AL110" s="65"/>
      <c r="AM110" s="65"/>
    </row>
    <row r="111" ht="15.75" customHeight="1">
      <c r="B111" s="841"/>
      <c r="C111" s="870"/>
      <c r="AB111" s="7"/>
      <c r="AC111" s="7"/>
      <c r="AD111" s="7"/>
      <c r="AE111" s="7"/>
      <c r="AF111" s="7"/>
      <c r="AG111" s="7"/>
      <c r="AH111" s="7"/>
      <c r="AK111" s="11"/>
      <c r="AL111" s="65"/>
      <c r="AM111" s="65"/>
    </row>
    <row r="112" ht="15.75" customHeight="1">
      <c r="B112" s="841"/>
      <c r="C112" s="870"/>
      <c r="AB112" s="7"/>
      <c r="AC112" s="7"/>
      <c r="AD112" s="7"/>
      <c r="AE112" s="7"/>
      <c r="AF112" s="7"/>
      <c r="AG112" s="7"/>
      <c r="AH112" s="7"/>
      <c r="AK112" s="11"/>
      <c r="AL112" s="65"/>
      <c r="AM112" s="65"/>
    </row>
    <row r="113" ht="15.75" customHeight="1">
      <c r="B113" s="841"/>
      <c r="C113" s="870"/>
      <c r="AB113" s="7"/>
      <c r="AC113" s="7"/>
      <c r="AD113" s="7"/>
      <c r="AE113" s="7"/>
      <c r="AF113" s="7"/>
      <c r="AG113" s="7"/>
      <c r="AH113" s="7"/>
      <c r="AK113" s="11"/>
      <c r="AL113" s="65"/>
      <c r="AM113" s="65"/>
    </row>
    <row r="114" ht="15.75" customHeight="1">
      <c r="B114" s="841"/>
      <c r="C114" s="870"/>
      <c r="AB114" s="7"/>
      <c r="AC114" s="7"/>
      <c r="AD114" s="7"/>
      <c r="AE114" s="7"/>
      <c r="AF114" s="7"/>
      <c r="AG114" s="7"/>
      <c r="AH114" s="7"/>
      <c r="AK114" s="11"/>
      <c r="AL114" s="65"/>
      <c r="AM114" s="65"/>
    </row>
    <row r="115" ht="15.75" customHeight="1">
      <c r="B115" s="841"/>
      <c r="C115" s="870"/>
      <c r="AB115" s="7"/>
      <c r="AC115" s="7"/>
      <c r="AD115" s="7"/>
      <c r="AE115" s="7"/>
      <c r="AF115" s="7"/>
      <c r="AG115" s="7"/>
      <c r="AH115" s="7"/>
      <c r="AK115" s="11"/>
      <c r="AL115" s="65"/>
      <c r="AM115" s="65"/>
    </row>
    <row r="116" ht="15.75" customHeight="1">
      <c r="B116" s="841"/>
      <c r="C116" s="870"/>
      <c r="AB116" s="7"/>
      <c r="AC116" s="7"/>
      <c r="AD116" s="7"/>
      <c r="AE116" s="7"/>
      <c r="AF116" s="7"/>
      <c r="AG116" s="7"/>
      <c r="AH116" s="7"/>
      <c r="AK116" s="11"/>
      <c r="AL116" s="65"/>
      <c r="AM116" s="65"/>
    </row>
    <row r="117" ht="15.75" customHeight="1">
      <c r="B117" s="841"/>
      <c r="C117" s="870"/>
      <c r="AB117" s="7"/>
      <c r="AC117" s="7"/>
      <c r="AD117" s="7"/>
      <c r="AE117" s="7"/>
      <c r="AF117" s="7"/>
      <c r="AG117" s="7"/>
      <c r="AH117" s="7"/>
      <c r="AK117" s="11"/>
      <c r="AL117" s="65"/>
      <c r="AM117" s="65"/>
    </row>
    <row r="118" ht="15.75" customHeight="1">
      <c r="B118" s="841"/>
      <c r="C118" s="870"/>
      <c r="AB118" s="7"/>
      <c r="AC118" s="7"/>
      <c r="AD118" s="7"/>
      <c r="AE118" s="7"/>
      <c r="AF118" s="7"/>
      <c r="AG118" s="7"/>
      <c r="AH118" s="7"/>
      <c r="AK118" s="11"/>
      <c r="AL118" s="65"/>
      <c r="AM118" s="65"/>
    </row>
    <row r="119" ht="15.75" customHeight="1">
      <c r="B119" s="841"/>
      <c r="C119" s="870"/>
      <c r="AB119" s="7"/>
      <c r="AC119" s="7"/>
      <c r="AD119" s="7"/>
      <c r="AE119" s="7"/>
      <c r="AF119" s="7"/>
      <c r="AG119" s="7"/>
      <c r="AH119" s="7"/>
      <c r="AK119" s="11"/>
      <c r="AL119" s="65"/>
      <c r="AM119" s="65"/>
    </row>
    <row r="120" ht="15.75" customHeight="1">
      <c r="B120" s="841"/>
      <c r="C120" s="870"/>
      <c r="AB120" s="7"/>
      <c r="AC120" s="7"/>
      <c r="AD120" s="7"/>
      <c r="AE120" s="7"/>
      <c r="AF120" s="7"/>
      <c r="AG120" s="7"/>
      <c r="AH120" s="7"/>
      <c r="AK120" s="11"/>
      <c r="AL120" s="65"/>
      <c r="AM120" s="65"/>
    </row>
    <row r="121" ht="15.75" customHeight="1">
      <c r="B121" s="841"/>
      <c r="C121" s="870"/>
      <c r="AB121" s="7"/>
      <c r="AC121" s="7"/>
      <c r="AD121" s="7"/>
      <c r="AE121" s="7"/>
      <c r="AF121" s="7"/>
      <c r="AG121" s="7"/>
      <c r="AH121" s="7"/>
      <c r="AK121" s="11"/>
      <c r="AL121" s="65"/>
      <c r="AM121" s="65"/>
    </row>
    <row r="122" ht="15.75" customHeight="1">
      <c r="B122" s="841"/>
      <c r="C122" s="870"/>
      <c r="AB122" s="7"/>
      <c r="AC122" s="7"/>
      <c r="AD122" s="7"/>
      <c r="AE122" s="7"/>
      <c r="AF122" s="7"/>
      <c r="AG122" s="7"/>
      <c r="AH122" s="7"/>
      <c r="AK122" s="11"/>
      <c r="AL122" s="65"/>
      <c r="AM122" s="65"/>
    </row>
    <row r="123" ht="15.75" customHeight="1">
      <c r="B123" s="841"/>
      <c r="C123" s="870"/>
      <c r="AB123" s="7"/>
      <c r="AC123" s="7"/>
      <c r="AD123" s="7"/>
      <c r="AE123" s="7"/>
      <c r="AF123" s="7"/>
      <c r="AG123" s="7"/>
      <c r="AH123" s="7"/>
      <c r="AK123" s="11"/>
      <c r="AL123" s="65"/>
      <c r="AM123" s="65"/>
    </row>
    <row r="124" ht="15.75" customHeight="1">
      <c r="B124" s="841"/>
      <c r="C124" s="870"/>
      <c r="AB124" s="7"/>
      <c r="AC124" s="7"/>
      <c r="AD124" s="7"/>
      <c r="AE124" s="7"/>
      <c r="AF124" s="7"/>
      <c r="AG124" s="7"/>
      <c r="AH124" s="7"/>
      <c r="AK124" s="11"/>
      <c r="AL124" s="65"/>
      <c r="AM124" s="65"/>
    </row>
    <row r="125" ht="15.75" customHeight="1">
      <c r="B125" s="841"/>
      <c r="C125" s="870"/>
      <c r="AB125" s="7"/>
      <c r="AC125" s="7"/>
      <c r="AD125" s="7"/>
      <c r="AE125" s="7"/>
      <c r="AF125" s="7"/>
      <c r="AG125" s="7"/>
      <c r="AH125" s="7"/>
      <c r="AK125" s="11"/>
      <c r="AL125" s="65"/>
      <c r="AM125" s="65"/>
    </row>
    <row r="126" ht="15.75" customHeight="1">
      <c r="B126" s="841"/>
      <c r="C126" s="870"/>
      <c r="AB126" s="7"/>
      <c r="AC126" s="7"/>
      <c r="AD126" s="7"/>
      <c r="AE126" s="7"/>
      <c r="AF126" s="7"/>
      <c r="AG126" s="7"/>
      <c r="AH126" s="7"/>
      <c r="AK126" s="11"/>
      <c r="AL126" s="65"/>
      <c r="AM126" s="65"/>
    </row>
    <row r="127" ht="15.75" customHeight="1">
      <c r="B127" s="841"/>
      <c r="C127" s="870"/>
      <c r="AB127" s="7"/>
      <c r="AC127" s="7"/>
      <c r="AD127" s="7"/>
      <c r="AE127" s="7"/>
      <c r="AF127" s="7"/>
      <c r="AG127" s="7"/>
      <c r="AH127" s="7"/>
      <c r="AK127" s="11"/>
      <c r="AL127" s="65"/>
      <c r="AM127" s="65"/>
    </row>
    <row r="128" ht="15.75" customHeight="1">
      <c r="B128" s="841"/>
      <c r="C128" s="870"/>
      <c r="AB128" s="7"/>
      <c r="AC128" s="7"/>
      <c r="AD128" s="7"/>
      <c r="AE128" s="7"/>
      <c r="AF128" s="7"/>
      <c r="AG128" s="7"/>
      <c r="AH128" s="7"/>
      <c r="AK128" s="11"/>
      <c r="AL128" s="65"/>
      <c r="AM128" s="65"/>
    </row>
    <row r="129" ht="15.75" customHeight="1">
      <c r="B129" s="841"/>
      <c r="C129" s="870"/>
      <c r="AB129" s="7"/>
      <c r="AC129" s="7"/>
      <c r="AD129" s="7"/>
      <c r="AE129" s="7"/>
      <c r="AF129" s="7"/>
      <c r="AG129" s="7"/>
      <c r="AH129" s="7"/>
      <c r="AK129" s="11"/>
      <c r="AL129" s="65"/>
      <c r="AM129" s="65"/>
    </row>
    <row r="130" ht="15.75" customHeight="1">
      <c r="B130" s="841"/>
      <c r="C130" s="870"/>
      <c r="AB130" s="7"/>
      <c r="AC130" s="7"/>
      <c r="AD130" s="7"/>
      <c r="AE130" s="7"/>
      <c r="AF130" s="7"/>
      <c r="AG130" s="7"/>
      <c r="AH130" s="7"/>
      <c r="AK130" s="11"/>
      <c r="AL130" s="65"/>
      <c r="AM130" s="65"/>
    </row>
    <row r="131" ht="15.75" customHeight="1">
      <c r="B131" s="841"/>
      <c r="C131" s="870"/>
      <c r="AB131" s="7"/>
      <c r="AC131" s="7"/>
      <c r="AD131" s="7"/>
      <c r="AE131" s="7"/>
      <c r="AF131" s="7"/>
      <c r="AG131" s="7"/>
      <c r="AH131" s="7"/>
      <c r="AK131" s="11"/>
      <c r="AL131" s="65"/>
      <c r="AM131" s="65"/>
    </row>
    <row r="132" ht="15.75" customHeight="1">
      <c r="B132" s="841"/>
      <c r="C132" s="870"/>
      <c r="AB132" s="7"/>
      <c r="AC132" s="7"/>
      <c r="AD132" s="7"/>
      <c r="AE132" s="7"/>
      <c r="AF132" s="7"/>
      <c r="AG132" s="7"/>
      <c r="AH132" s="7"/>
      <c r="AK132" s="11"/>
      <c r="AL132" s="65"/>
      <c r="AM132" s="65"/>
    </row>
    <row r="133" ht="15.75" customHeight="1">
      <c r="B133" s="841"/>
      <c r="C133" s="870"/>
      <c r="AB133" s="7"/>
      <c r="AC133" s="7"/>
      <c r="AD133" s="7"/>
      <c r="AE133" s="7"/>
      <c r="AF133" s="7"/>
      <c r="AG133" s="7"/>
      <c r="AH133" s="7"/>
      <c r="AK133" s="11"/>
      <c r="AL133" s="65"/>
      <c r="AM133" s="65"/>
    </row>
    <row r="134" ht="15.75" customHeight="1">
      <c r="B134" s="841"/>
      <c r="C134" s="870"/>
      <c r="AB134" s="7"/>
      <c r="AC134" s="7"/>
      <c r="AD134" s="7"/>
      <c r="AE134" s="7"/>
      <c r="AF134" s="7"/>
      <c r="AG134" s="7"/>
      <c r="AH134" s="7"/>
      <c r="AK134" s="11"/>
      <c r="AL134" s="65"/>
      <c r="AM134" s="65"/>
    </row>
    <row r="135" ht="15.75" customHeight="1">
      <c r="B135" s="841"/>
      <c r="C135" s="870"/>
      <c r="AB135" s="7"/>
      <c r="AC135" s="7"/>
      <c r="AD135" s="7"/>
      <c r="AE135" s="7"/>
      <c r="AF135" s="7"/>
      <c r="AG135" s="7"/>
      <c r="AH135" s="7"/>
      <c r="AK135" s="11"/>
      <c r="AL135" s="65"/>
      <c r="AM135" s="65"/>
    </row>
    <row r="136" ht="15.75" customHeight="1">
      <c r="B136" s="841"/>
      <c r="C136" s="870"/>
      <c r="AB136" s="7"/>
      <c r="AC136" s="7"/>
      <c r="AD136" s="7"/>
      <c r="AE136" s="7"/>
      <c r="AF136" s="7"/>
      <c r="AG136" s="7"/>
      <c r="AH136" s="7"/>
      <c r="AK136" s="11"/>
      <c r="AL136" s="65"/>
      <c r="AM136" s="65"/>
    </row>
    <row r="137" ht="15.75" customHeight="1">
      <c r="B137" s="841"/>
      <c r="C137" s="870"/>
      <c r="AB137" s="7"/>
      <c r="AC137" s="7"/>
      <c r="AD137" s="7"/>
      <c r="AE137" s="7"/>
      <c r="AF137" s="7"/>
      <c r="AG137" s="7"/>
      <c r="AH137" s="7"/>
      <c r="AK137" s="11"/>
      <c r="AL137" s="65"/>
      <c r="AM137" s="65"/>
    </row>
    <row r="138" ht="15.75" customHeight="1">
      <c r="B138" s="841"/>
      <c r="C138" s="870"/>
      <c r="AB138" s="7"/>
      <c r="AC138" s="7"/>
      <c r="AD138" s="7"/>
      <c r="AE138" s="7"/>
      <c r="AF138" s="7"/>
      <c r="AG138" s="7"/>
      <c r="AH138" s="7"/>
      <c r="AK138" s="11"/>
      <c r="AL138" s="65"/>
      <c r="AM138" s="65"/>
    </row>
    <row r="139" ht="15.75" customHeight="1">
      <c r="B139" s="841"/>
      <c r="C139" s="870"/>
      <c r="AB139" s="7"/>
      <c r="AC139" s="7"/>
      <c r="AD139" s="7"/>
      <c r="AE139" s="7"/>
      <c r="AF139" s="7"/>
      <c r="AG139" s="7"/>
      <c r="AH139" s="7"/>
      <c r="AK139" s="11"/>
      <c r="AL139" s="65"/>
      <c r="AM139" s="65"/>
    </row>
    <row r="140" ht="15.75" customHeight="1">
      <c r="B140" s="841"/>
      <c r="C140" s="870"/>
      <c r="AB140" s="7"/>
      <c r="AC140" s="7"/>
      <c r="AD140" s="7"/>
      <c r="AE140" s="7"/>
      <c r="AF140" s="7"/>
      <c r="AG140" s="7"/>
      <c r="AH140" s="7"/>
      <c r="AK140" s="11"/>
      <c r="AL140" s="65"/>
      <c r="AM140" s="65"/>
    </row>
    <row r="141" ht="15.75" customHeight="1">
      <c r="B141" s="841"/>
      <c r="C141" s="870"/>
      <c r="AB141" s="7"/>
      <c r="AC141" s="7"/>
      <c r="AD141" s="7"/>
      <c r="AE141" s="7"/>
      <c r="AF141" s="7"/>
      <c r="AG141" s="7"/>
      <c r="AH141" s="7"/>
      <c r="AK141" s="11"/>
      <c r="AL141" s="65"/>
      <c r="AM141" s="65"/>
    </row>
    <row r="142" ht="15.75" customHeight="1">
      <c r="B142" s="841"/>
      <c r="C142" s="870"/>
      <c r="AB142" s="7"/>
      <c r="AC142" s="7"/>
      <c r="AD142" s="7"/>
      <c r="AE142" s="7"/>
      <c r="AF142" s="7"/>
      <c r="AG142" s="7"/>
      <c r="AH142" s="7"/>
      <c r="AK142" s="11"/>
      <c r="AL142" s="65"/>
      <c r="AM142" s="65"/>
    </row>
    <row r="143" ht="15.75" customHeight="1">
      <c r="B143" s="841"/>
      <c r="C143" s="870"/>
      <c r="AB143" s="7"/>
      <c r="AC143" s="7"/>
      <c r="AD143" s="7"/>
      <c r="AE143" s="7"/>
      <c r="AF143" s="7"/>
      <c r="AG143" s="7"/>
      <c r="AH143" s="7"/>
      <c r="AK143" s="11"/>
      <c r="AL143" s="65"/>
      <c r="AM143" s="65"/>
    </row>
    <row r="144" ht="15.75" customHeight="1">
      <c r="B144" s="841"/>
      <c r="C144" s="870"/>
      <c r="AB144" s="7"/>
      <c r="AC144" s="7"/>
      <c r="AD144" s="7"/>
      <c r="AE144" s="7"/>
      <c r="AF144" s="7"/>
      <c r="AG144" s="7"/>
      <c r="AH144" s="7"/>
      <c r="AK144" s="11"/>
      <c r="AL144" s="65"/>
      <c r="AM144" s="65"/>
    </row>
    <row r="145" ht="15.75" customHeight="1">
      <c r="B145" s="841"/>
      <c r="C145" s="870"/>
      <c r="AB145" s="7"/>
      <c r="AC145" s="7"/>
      <c r="AD145" s="7"/>
      <c r="AE145" s="7"/>
      <c r="AF145" s="7"/>
      <c r="AG145" s="7"/>
      <c r="AH145" s="7"/>
      <c r="AK145" s="11"/>
      <c r="AL145" s="65"/>
      <c r="AM145" s="65"/>
    </row>
    <row r="146" ht="15.75" customHeight="1">
      <c r="B146" s="841"/>
      <c r="AB146" s="7"/>
      <c r="AC146" s="7"/>
      <c r="AD146" s="7"/>
      <c r="AE146" s="7"/>
      <c r="AF146" s="7"/>
      <c r="AG146" s="7"/>
      <c r="AH146" s="7"/>
      <c r="AK146" s="11"/>
      <c r="AL146" s="65"/>
      <c r="AM146" s="65"/>
    </row>
    <row r="147" ht="15.75" customHeight="1">
      <c r="B147" s="841"/>
      <c r="AB147" s="7"/>
      <c r="AC147" s="7"/>
      <c r="AD147" s="7"/>
      <c r="AE147" s="7"/>
      <c r="AF147" s="7"/>
      <c r="AG147" s="7"/>
      <c r="AH147" s="7"/>
      <c r="AK147" s="11"/>
      <c r="AL147" s="65"/>
      <c r="AM147" s="65"/>
    </row>
    <row r="148" ht="15.75" customHeight="1">
      <c r="B148" s="841"/>
      <c r="AB148" s="7"/>
      <c r="AC148" s="7"/>
      <c r="AD148" s="7"/>
      <c r="AE148" s="7"/>
      <c r="AF148" s="7"/>
      <c r="AG148" s="7"/>
      <c r="AH148" s="7"/>
      <c r="AK148" s="11"/>
      <c r="AL148" s="65"/>
      <c r="AM148" s="65"/>
    </row>
    <row r="149" ht="15.75" customHeight="1">
      <c r="B149" s="841"/>
      <c r="AB149" s="7"/>
      <c r="AC149" s="7"/>
      <c r="AD149" s="7"/>
      <c r="AE149" s="7"/>
      <c r="AF149" s="7"/>
      <c r="AG149" s="7"/>
      <c r="AH149" s="7"/>
      <c r="AK149" s="11"/>
      <c r="AL149" s="65"/>
      <c r="AM149" s="65"/>
    </row>
    <row r="150" ht="15.75" customHeight="1">
      <c r="B150" s="841"/>
      <c r="AB150" s="7"/>
      <c r="AC150" s="7"/>
      <c r="AD150" s="7"/>
      <c r="AE150" s="7"/>
      <c r="AF150" s="7"/>
      <c r="AG150" s="7"/>
      <c r="AH150" s="7"/>
      <c r="AK150" s="11"/>
      <c r="AL150" s="65"/>
      <c r="AM150" s="65"/>
    </row>
    <row r="151" ht="15.75" customHeight="1">
      <c r="B151" s="841"/>
      <c r="AB151" s="7"/>
      <c r="AC151" s="7"/>
      <c r="AD151" s="7"/>
      <c r="AE151" s="7"/>
      <c r="AF151" s="7"/>
      <c r="AG151" s="7"/>
      <c r="AH151" s="7"/>
      <c r="AK151" s="11"/>
      <c r="AL151" s="65"/>
      <c r="AM151" s="65"/>
    </row>
    <row r="152" ht="15.75" customHeight="1">
      <c r="B152" s="841"/>
      <c r="AB152" s="7"/>
      <c r="AC152" s="7"/>
      <c r="AD152" s="7"/>
      <c r="AE152" s="7"/>
      <c r="AF152" s="7"/>
      <c r="AG152" s="7"/>
      <c r="AH152" s="7"/>
      <c r="AK152" s="11"/>
      <c r="AL152" s="65"/>
      <c r="AM152" s="65"/>
    </row>
    <row r="153" ht="15.75" customHeight="1">
      <c r="B153" s="841"/>
      <c r="AB153" s="7"/>
      <c r="AC153" s="7"/>
      <c r="AD153" s="7"/>
      <c r="AE153" s="7"/>
      <c r="AF153" s="7"/>
      <c r="AG153" s="7"/>
      <c r="AH153" s="7"/>
      <c r="AK153" s="11"/>
      <c r="AL153" s="65"/>
      <c r="AM153" s="65"/>
    </row>
    <row r="154" ht="15.75" customHeight="1">
      <c r="B154" s="841"/>
      <c r="AB154" s="7"/>
      <c r="AC154" s="7"/>
      <c r="AD154" s="7"/>
      <c r="AE154" s="7"/>
      <c r="AF154" s="7"/>
      <c r="AG154" s="7"/>
      <c r="AH154" s="7"/>
      <c r="AK154" s="11"/>
      <c r="AL154" s="65"/>
      <c r="AM154" s="65"/>
    </row>
    <row r="155" ht="15.75" customHeight="1">
      <c r="B155" s="841"/>
      <c r="AB155" s="7"/>
      <c r="AC155" s="7"/>
      <c r="AD155" s="7"/>
      <c r="AE155" s="7"/>
      <c r="AF155" s="7"/>
      <c r="AG155" s="7"/>
      <c r="AH155" s="7"/>
      <c r="AK155" s="11"/>
      <c r="AL155" s="65"/>
      <c r="AM155" s="65"/>
    </row>
    <row r="156" ht="15.75" customHeight="1">
      <c r="B156" s="841"/>
      <c r="AB156" s="7"/>
      <c r="AC156" s="7"/>
      <c r="AD156" s="7"/>
      <c r="AE156" s="7"/>
      <c r="AF156" s="7"/>
      <c r="AG156" s="7"/>
      <c r="AH156" s="7"/>
      <c r="AK156" s="11"/>
      <c r="AL156" s="65"/>
      <c r="AM156" s="65"/>
    </row>
    <row r="157" ht="15.75" customHeight="1">
      <c r="B157" s="841"/>
      <c r="AB157" s="7"/>
      <c r="AC157" s="7"/>
      <c r="AD157" s="7"/>
      <c r="AE157" s="7"/>
      <c r="AF157" s="7"/>
      <c r="AG157" s="7"/>
      <c r="AH157" s="7"/>
      <c r="AK157" s="11"/>
      <c r="AL157" s="65"/>
      <c r="AM157" s="65"/>
    </row>
    <row r="158" ht="15.75" customHeight="1">
      <c r="B158" s="841"/>
      <c r="AB158" s="7"/>
      <c r="AC158" s="7"/>
      <c r="AD158" s="7"/>
      <c r="AE158" s="7"/>
      <c r="AF158" s="7"/>
      <c r="AG158" s="7"/>
      <c r="AH158" s="7"/>
      <c r="AK158" s="11"/>
      <c r="AL158" s="65"/>
      <c r="AM158" s="65"/>
    </row>
    <row r="159" ht="15.75" customHeight="1">
      <c r="B159" s="841"/>
      <c r="AB159" s="7"/>
      <c r="AC159" s="7"/>
      <c r="AD159" s="7"/>
      <c r="AE159" s="7"/>
      <c r="AF159" s="7"/>
      <c r="AG159" s="7"/>
      <c r="AH159" s="7"/>
      <c r="AK159" s="11"/>
      <c r="AL159" s="65"/>
      <c r="AM159" s="65"/>
    </row>
    <row r="160" ht="15.75" customHeight="1">
      <c r="B160" s="841"/>
      <c r="AB160" s="7"/>
      <c r="AC160" s="7"/>
      <c r="AD160" s="7"/>
      <c r="AE160" s="7"/>
      <c r="AF160" s="7"/>
      <c r="AG160" s="7"/>
      <c r="AH160" s="7"/>
      <c r="AK160" s="11"/>
      <c r="AL160" s="65"/>
      <c r="AM160" s="65"/>
    </row>
    <row r="161" ht="15.75" customHeight="1">
      <c r="B161" s="841"/>
      <c r="AB161" s="7"/>
      <c r="AC161" s="7"/>
      <c r="AD161" s="7"/>
      <c r="AE161" s="7"/>
      <c r="AF161" s="7"/>
      <c r="AG161" s="7"/>
      <c r="AH161" s="7"/>
      <c r="AK161" s="11"/>
      <c r="AL161" s="65"/>
      <c r="AM161" s="65"/>
    </row>
    <row r="162" ht="15.75" customHeight="1">
      <c r="B162" s="841"/>
      <c r="AB162" s="7"/>
      <c r="AC162" s="7"/>
      <c r="AD162" s="7"/>
      <c r="AE162" s="7"/>
      <c r="AF162" s="7"/>
      <c r="AG162" s="7"/>
      <c r="AH162" s="7"/>
      <c r="AK162" s="11"/>
      <c r="AL162" s="65"/>
      <c r="AM162" s="65"/>
    </row>
    <row r="163" ht="15.75" customHeight="1">
      <c r="B163" s="841"/>
      <c r="AB163" s="7"/>
      <c r="AC163" s="7"/>
      <c r="AD163" s="7"/>
      <c r="AE163" s="7"/>
      <c r="AF163" s="7"/>
      <c r="AG163" s="7"/>
      <c r="AH163" s="7"/>
      <c r="AK163" s="11"/>
      <c r="AL163" s="65"/>
      <c r="AM163" s="65"/>
    </row>
    <row r="164" ht="15.75" customHeight="1">
      <c r="B164" s="841"/>
      <c r="AB164" s="7"/>
      <c r="AC164" s="7"/>
      <c r="AD164" s="7"/>
      <c r="AE164" s="7"/>
      <c r="AF164" s="7"/>
      <c r="AG164" s="7"/>
      <c r="AH164" s="7"/>
      <c r="AK164" s="11"/>
      <c r="AL164" s="65"/>
      <c r="AM164" s="65"/>
    </row>
    <row r="165" ht="15.75" customHeight="1">
      <c r="B165" s="841"/>
      <c r="AB165" s="7"/>
      <c r="AC165" s="7"/>
      <c r="AD165" s="7"/>
      <c r="AE165" s="7"/>
      <c r="AF165" s="7"/>
      <c r="AG165" s="7"/>
      <c r="AH165" s="7"/>
      <c r="AK165" s="11"/>
      <c r="AL165" s="65"/>
      <c r="AM165" s="65"/>
    </row>
    <row r="166" ht="15.75" customHeight="1">
      <c r="B166" s="841"/>
      <c r="AB166" s="7"/>
      <c r="AC166" s="7"/>
      <c r="AD166" s="7"/>
      <c r="AE166" s="7"/>
      <c r="AF166" s="7"/>
      <c r="AG166" s="7"/>
      <c r="AH166" s="7"/>
      <c r="AK166" s="11"/>
      <c r="AL166" s="65"/>
      <c r="AM166" s="65"/>
    </row>
    <row r="167" ht="15.75" customHeight="1">
      <c r="B167" s="841"/>
      <c r="AB167" s="7"/>
      <c r="AC167" s="7"/>
      <c r="AD167" s="7"/>
      <c r="AE167" s="7"/>
      <c r="AF167" s="7"/>
      <c r="AG167" s="7"/>
      <c r="AH167" s="7"/>
      <c r="AK167" s="11"/>
      <c r="AL167" s="65"/>
      <c r="AM167" s="65"/>
    </row>
    <row r="168" ht="15.75" customHeight="1">
      <c r="AK168" s="11"/>
      <c r="AL168" s="65"/>
      <c r="AM168" s="65"/>
    </row>
    <row r="169" ht="15.75" customHeight="1">
      <c r="AK169" s="11"/>
      <c r="AL169" s="65"/>
      <c r="AM169" s="65"/>
    </row>
    <row r="170" ht="15.75" customHeight="1">
      <c r="AK170" s="11"/>
      <c r="AL170" s="65"/>
      <c r="AM170" s="65"/>
    </row>
    <row r="171" ht="15.75" customHeight="1">
      <c r="AK171" s="11"/>
      <c r="AL171" s="65"/>
      <c r="AM171" s="65"/>
    </row>
    <row r="172" ht="15.75" customHeight="1">
      <c r="AK172" s="11"/>
      <c r="AL172" s="65"/>
      <c r="AM172" s="65"/>
    </row>
    <row r="173" ht="15.75" customHeight="1">
      <c r="AK173" s="11"/>
      <c r="AL173" s="65"/>
      <c r="AM173" s="65"/>
    </row>
    <row r="174" ht="15.75" customHeight="1">
      <c r="AK174" s="11"/>
      <c r="AL174" s="65"/>
      <c r="AM174" s="65"/>
    </row>
    <row r="175" ht="15.75" customHeight="1">
      <c r="AK175" s="11"/>
      <c r="AL175" s="65"/>
      <c r="AM175" s="65"/>
    </row>
    <row r="176" ht="15.75" customHeight="1">
      <c r="AK176" s="11"/>
      <c r="AL176" s="65"/>
      <c r="AM176" s="65"/>
    </row>
    <row r="177" ht="15.75" customHeight="1">
      <c r="AK177" s="11"/>
      <c r="AL177" s="65"/>
      <c r="AM177" s="65"/>
    </row>
    <row r="178" ht="15.75" customHeight="1">
      <c r="AK178" s="11"/>
      <c r="AL178" s="65"/>
      <c r="AM178" s="65"/>
    </row>
    <row r="179" ht="15.75" customHeight="1">
      <c r="AK179" s="11"/>
      <c r="AL179" s="65"/>
      <c r="AM179" s="65"/>
    </row>
    <row r="180" ht="15.75" customHeight="1">
      <c r="AK180" s="11"/>
      <c r="AL180" s="65"/>
      <c r="AM180" s="65"/>
    </row>
    <row r="181" ht="15.75" customHeight="1">
      <c r="AK181" s="11"/>
      <c r="AL181" s="65"/>
      <c r="AM181" s="65"/>
    </row>
    <row r="182" ht="15.75" customHeight="1">
      <c r="AK182" s="11"/>
      <c r="AL182" s="65"/>
      <c r="AM182" s="65"/>
    </row>
    <row r="183" ht="15.75" customHeight="1">
      <c r="AK183" s="11"/>
      <c r="AL183" s="65"/>
      <c r="AM183" s="65"/>
    </row>
    <row r="184" ht="15.75" customHeight="1">
      <c r="AK184" s="11"/>
      <c r="AL184" s="65"/>
      <c r="AM184" s="65"/>
    </row>
    <row r="185" ht="15.75" customHeight="1">
      <c r="AK185" s="11"/>
      <c r="AL185" s="65"/>
      <c r="AM185" s="65"/>
    </row>
    <row r="186" ht="15.75" customHeight="1">
      <c r="AK186" s="11"/>
      <c r="AL186" s="65"/>
      <c r="AM186" s="65"/>
    </row>
    <row r="187" ht="15.75" customHeight="1">
      <c r="AK187" s="11"/>
      <c r="AL187" s="65"/>
      <c r="AM187" s="65"/>
    </row>
    <row r="188" ht="15.75" customHeight="1">
      <c r="AK188" s="11"/>
      <c r="AL188" s="65"/>
      <c r="AM188" s="65"/>
    </row>
    <row r="189" ht="15.75" customHeight="1">
      <c r="AK189" s="11"/>
      <c r="AL189" s="65"/>
      <c r="AM189" s="65"/>
    </row>
    <row r="190" ht="15.75" customHeight="1">
      <c r="AK190" s="11"/>
      <c r="AL190" s="65"/>
      <c r="AM190" s="65"/>
    </row>
    <row r="191" ht="15.75" customHeight="1">
      <c r="AK191" s="11"/>
      <c r="AL191" s="65"/>
      <c r="AM191" s="65"/>
    </row>
    <row r="192" ht="15.75" customHeight="1">
      <c r="AK192" s="11"/>
      <c r="AL192" s="65"/>
      <c r="AM192" s="65"/>
    </row>
    <row r="193" ht="15.75" customHeight="1">
      <c r="AK193" s="11"/>
      <c r="AL193" s="65"/>
      <c r="AM193" s="65"/>
    </row>
    <row r="194" ht="15.75" customHeight="1">
      <c r="AK194" s="11"/>
      <c r="AL194" s="65"/>
      <c r="AM194" s="65"/>
    </row>
    <row r="195" ht="15.75" customHeight="1">
      <c r="AK195" s="11"/>
      <c r="AL195" s="65"/>
      <c r="AM195" s="65"/>
    </row>
    <row r="196" ht="15.75" customHeight="1">
      <c r="AK196" s="11"/>
      <c r="AL196" s="65"/>
      <c r="AM196" s="65"/>
    </row>
    <row r="197" ht="15.75" customHeight="1">
      <c r="AK197" s="11"/>
      <c r="AL197" s="65"/>
      <c r="AM197" s="65"/>
    </row>
    <row r="198" ht="15.75" customHeight="1">
      <c r="AK198" s="11"/>
      <c r="AL198" s="65"/>
      <c r="AM198" s="65"/>
    </row>
    <row r="199" ht="15.75" customHeight="1">
      <c r="AK199" s="11"/>
      <c r="AL199" s="65"/>
      <c r="AM199" s="65"/>
    </row>
    <row r="200" ht="15.75" customHeight="1">
      <c r="AK200" s="11"/>
      <c r="AL200" s="65"/>
      <c r="AM200" s="65"/>
    </row>
    <row r="201" ht="15.75" customHeight="1">
      <c r="AK201" s="11"/>
      <c r="AL201" s="65"/>
      <c r="AM201" s="65"/>
    </row>
    <row r="202" ht="15.75" customHeight="1">
      <c r="AK202" s="11"/>
      <c r="AL202" s="65"/>
      <c r="AM202" s="65"/>
    </row>
    <row r="203" ht="15.75" customHeight="1">
      <c r="AK203" s="11"/>
      <c r="AL203" s="65"/>
      <c r="AM203" s="65"/>
    </row>
    <row r="204" ht="15.75" customHeight="1">
      <c r="AK204" s="11"/>
      <c r="AL204" s="65"/>
      <c r="AM204" s="65"/>
    </row>
    <row r="205" ht="15.75" customHeight="1">
      <c r="AK205" s="11"/>
      <c r="AL205" s="65"/>
      <c r="AM205" s="65"/>
    </row>
    <row r="206" ht="15.75" customHeight="1">
      <c r="AK206" s="11"/>
      <c r="AL206" s="65"/>
      <c r="AM206" s="65"/>
    </row>
    <row r="207" ht="15.75" customHeight="1">
      <c r="AK207" s="11"/>
      <c r="AL207" s="65"/>
      <c r="AM207" s="65"/>
    </row>
    <row r="208" ht="15.75" customHeight="1">
      <c r="AK208" s="11"/>
      <c r="AL208" s="65"/>
      <c r="AM208" s="65"/>
    </row>
    <row r="209" ht="15.75" customHeight="1">
      <c r="AK209" s="11"/>
      <c r="AL209" s="65"/>
      <c r="AM209" s="65"/>
    </row>
    <row r="210" ht="15.75" customHeight="1">
      <c r="AK210" s="11"/>
      <c r="AL210" s="65"/>
      <c r="AM210" s="65"/>
    </row>
    <row r="211" ht="15.75" customHeight="1">
      <c r="AK211" s="11"/>
      <c r="AL211" s="65"/>
      <c r="AM211" s="65"/>
    </row>
    <row r="212" ht="15.75" customHeight="1">
      <c r="AK212" s="11"/>
      <c r="AL212" s="65"/>
      <c r="AM212" s="65"/>
    </row>
    <row r="213" ht="15.75" customHeight="1">
      <c r="AK213" s="11"/>
      <c r="AL213" s="65"/>
      <c r="AM213" s="65"/>
    </row>
    <row r="214" ht="15.75" customHeight="1">
      <c r="AK214" s="11"/>
      <c r="AL214" s="65"/>
      <c r="AM214" s="65"/>
    </row>
    <row r="215" ht="15.75" customHeight="1">
      <c r="AK215" s="11"/>
      <c r="AL215" s="65"/>
      <c r="AM215" s="65"/>
    </row>
    <row r="216" ht="15.75" customHeight="1">
      <c r="AK216" s="11"/>
      <c r="AL216" s="65"/>
      <c r="AM216" s="65"/>
    </row>
    <row r="217" ht="15.75" customHeight="1">
      <c r="AK217" s="11"/>
      <c r="AL217" s="65"/>
      <c r="AM217" s="65"/>
    </row>
    <row r="218" ht="15.75" customHeight="1">
      <c r="AK218" s="11"/>
      <c r="AL218" s="65"/>
      <c r="AM218" s="65"/>
    </row>
    <row r="219" ht="15.75" customHeight="1">
      <c r="AK219" s="11"/>
      <c r="AL219" s="65"/>
      <c r="AM219" s="65"/>
    </row>
    <row r="220" ht="15.75" customHeight="1">
      <c r="AK220" s="11"/>
      <c r="AL220" s="65"/>
      <c r="AM220" s="65"/>
    </row>
    <row r="221" ht="15.75" customHeight="1">
      <c r="AK221" s="11"/>
      <c r="AL221" s="65"/>
      <c r="AM221" s="65"/>
    </row>
    <row r="222" ht="15.75" customHeight="1">
      <c r="AK222" s="11"/>
      <c r="AL222" s="65"/>
      <c r="AM222" s="65"/>
    </row>
    <row r="223" ht="15.75" customHeight="1">
      <c r="AK223" s="11"/>
      <c r="AL223" s="65"/>
      <c r="AM223" s="65"/>
    </row>
    <row r="224" ht="15.75" customHeight="1">
      <c r="AK224" s="11"/>
      <c r="AL224" s="65"/>
      <c r="AM224" s="65"/>
    </row>
    <row r="225" ht="15.75" customHeight="1">
      <c r="AK225" s="11"/>
      <c r="AL225" s="65"/>
      <c r="AM225" s="65"/>
    </row>
    <row r="226" ht="15.75" customHeight="1">
      <c r="AK226" s="11"/>
      <c r="AL226" s="65"/>
      <c r="AM226" s="65"/>
    </row>
    <row r="227" ht="15.75" customHeight="1">
      <c r="AK227" s="11"/>
      <c r="AL227" s="65"/>
      <c r="AM227" s="65"/>
    </row>
    <row r="228" ht="15.75" customHeight="1">
      <c r="AK228" s="11"/>
      <c r="AL228" s="65"/>
      <c r="AM228" s="65"/>
    </row>
    <row r="229" ht="15.75" customHeight="1">
      <c r="AK229" s="11"/>
      <c r="AL229" s="65"/>
      <c r="AM229" s="65"/>
    </row>
    <row r="230" ht="15.75" customHeight="1">
      <c r="AK230" s="11"/>
      <c r="AL230" s="65"/>
      <c r="AM230" s="65"/>
    </row>
    <row r="231" ht="15.75" customHeight="1">
      <c r="AK231" s="11"/>
      <c r="AL231" s="65"/>
      <c r="AM231" s="65"/>
    </row>
    <row r="232" ht="15.75" customHeight="1">
      <c r="AK232" s="11"/>
      <c r="AL232" s="65"/>
      <c r="AM232" s="65"/>
    </row>
    <row r="233" ht="15.75" customHeight="1">
      <c r="AK233" s="11"/>
      <c r="AL233" s="65"/>
      <c r="AM233" s="65"/>
    </row>
    <row r="234" ht="15.75" customHeight="1">
      <c r="AK234" s="11"/>
      <c r="AL234" s="65"/>
      <c r="AM234" s="65"/>
    </row>
    <row r="235" ht="15.75" customHeight="1">
      <c r="AK235" s="11"/>
      <c r="AL235" s="65"/>
      <c r="AM235" s="65"/>
    </row>
    <row r="236" ht="15.75" customHeight="1">
      <c r="AK236" s="11"/>
      <c r="AL236" s="65"/>
      <c r="AM236" s="65"/>
    </row>
    <row r="237" ht="15.75" customHeight="1">
      <c r="AK237" s="11"/>
      <c r="AL237" s="65"/>
      <c r="AM237" s="65"/>
    </row>
    <row r="238" ht="15.75" customHeight="1">
      <c r="AK238" s="11"/>
      <c r="AL238" s="65"/>
      <c r="AM238" s="65"/>
    </row>
    <row r="239" ht="15.75" customHeight="1">
      <c r="AK239" s="11"/>
      <c r="AL239" s="65"/>
      <c r="AM239" s="65"/>
    </row>
    <row r="240" ht="15.75" customHeight="1">
      <c r="AK240" s="11"/>
      <c r="AL240" s="65"/>
      <c r="AM240" s="65"/>
    </row>
    <row r="241" ht="15.75" customHeight="1">
      <c r="AK241" s="11"/>
      <c r="AL241" s="65"/>
      <c r="AM241" s="65"/>
    </row>
    <row r="242" ht="15.75" customHeight="1">
      <c r="AK242" s="11"/>
      <c r="AL242" s="65"/>
      <c r="AM242" s="65"/>
    </row>
    <row r="243" ht="15.75" customHeight="1">
      <c r="AK243" s="11"/>
      <c r="AL243" s="65"/>
      <c r="AM243" s="65"/>
    </row>
    <row r="244" ht="15.75" customHeight="1">
      <c r="AK244" s="11"/>
      <c r="AL244" s="65"/>
      <c r="AM244" s="65"/>
    </row>
    <row r="245" ht="15.75" customHeight="1">
      <c r="AK245" s="11"/>
      <c r="AL245" s="65"/>
      <c r="AM245" s="65"/>
    </row>
    <row r="246" ht="15.75" customHeight="1">
      <c r="AK246" s="11"/>
      <c r="AL246" s="65"/>
      <c r="AM246" s="65"/>
    </row>
    <row r="247" ht="15.75" customHeight="1">
      <c r="AK247" s="11"/>
      <c r="AL247" s="65"/>
      <c r="AM247" s="65"/>
    </row>
    <row r="248" ht="15.75" customHeight="1">
      <c r="AK248" s="11"/>
      <c r="AL248" s="65"/>
      <c r="AM248" s="65"/>
    </row>
    <row r="249" ht="15.75" customHeight="1">
      <c r="AK249" s="11"/>
      <c r="AL249" s="65"/>
      <c r="AM249" s="65"/>
    </row>
    <row r="250" ht="15.75" customHeight="1">
      <c r="AK250" s="11"/>
      <c r="AL250" s="65"/>
      <c r="AM250" s="65"/>
    </row>
    <row r="251" ht="15.75" customHeight="1">
      <c r="AK251" s="11"/>
      <c r="AL251" s="65"/>
      <c r="AM251" s="65"/>
    </row>
    <row r="252" ht="15.75" customHeight="1">
      <c r="AK252" s="11"/>
      <c r="AL252" s="65"/>
      <c r="AM252" s="65"/>
    </row>
    <row r="253" ht="15.75" customHeight="1">
      <c r="AK253" s="11"/>
      <c r="AL253" s="65"/>
      <c r="AM253" s="65"/>
    </row>
    <row r="254" ht="15.75" customHeight="1">
      <c r="AK254" s="11"/>
      <c r="AL254" s="65"/>
      <c r="AM254" s="65"/>
    </row>
    <row r="255" ht="15.75" customHeight="1">
      <c r="AK255" s="11"/>
      <c r="AL255" s="65"/>
      <c r="AM255" s="65"/>
    </row>
    <row r="256" ht="15.75" customHeight="1">
      <c r="AK256" s="11"/>
      <c r="AL256" s="65"/>
      <c r="AM256" s="65"/>
    </row>
    <row r="257" ht="15.75" customHeight="1">
      <c r="AK257" s="11"/>
      <c r="AL257" s="65"/>
      <c r="AM257" s="65"/>
    </row>
    <row r="258" ht="15.75" customHeight="1">
      <c r="AK258" s="11"/>
      <c r="AL258" s="65"/>
      <c r="AM258" s="65"/>
    </row>
    <row r="259" ht="15.75" customHeight="1">
      <c r="AK259" s="11"/>
      <c r="AL259" s="65"/>
      <c r="AM259" s="65"/>
    </row>
    <row r="260" ht="15.75" customHeight="1">
      <c r="AK260" s="11"/>
      <c r="AL260" s="65"/>
      <c r="AM260" s="65"/>
    </row>
    <row r="261" ht="15.75" customHeight="1">
      <c r="AK261" s="11"/>
      <c r="AL261" s="65"/>
      <c r="AM261" s="65"/>
    </row>
    <row r="262" ht="15.75" customHeight="1">
      <c r="AK262" s="11"/>
      <c r="AL262" s="65"/>
      <c r="AM262" s="65"/>
    </row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23.71"/>
    <col customWidth="1" min="5" max="5" width="12.43"/>
    <col customWidth="1" min="6" max="6" width="25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10.29"/>
    <col customWidth="1" min="36" max="36" width="17.57"/>
    <col customWidth="1" min="37" max="38" width="14.43"/>
    <col customWidth="1" min="39" max="39" width="17.71"/>
    <col customWidth="1" min="43" max="44" width="17.14"/>
  </cols>
  <sheetData>
    <row r="1" ht="15.0" customHeight="1">
      <c r="AB1" s="7"/>
      <c r="AC1" s="7"/>
      <c r="AD1" s="7"/>
      <c r="AE1" s="7"/>
      <c r="AF1" s="7"/>
      <c r="AG1" s="910" t="s">
        <v>4782</v>
      </c>
      <c r="AH1" s="7" t="s">
        <v>4035</v>
      </c>
      <c r="AI1" s="3" t="s">
        <v>4784</v>
      </c>
      <c r="AJ1" s="125" t="s">
        <v>3</v>
      </c>
      <c r="AK1" s="11"/>
      <c r="AL1" s="65"/>
      <c r="AM1" s="65"/>
    </row>
    <row r="2" ht="15.0" customHeight="1">
      <c r="G2" s="13"/>
      <c r="H2" s="13"/>
      <c r="I2" s="4">
        <f>SUM(I4:I927)</f>
        <v>376.22</v>
      </c>
      <c r="J2" s="4"/>
      <c r="K2" s="4">
        <f>SUM(K4:K927)</f>
        <v>358.707908</v>
      </c>
      <c r="Q2" s="58">
        <f>+SUMPRODUCT(Q4:Q927,AH4:AH927)/SUM(AH4:AH927)</f>
        <v>88.46844549</v>
      </c>
      <c r="R2" s="65">
        <f>+SUMPRODUCT(R4:R927,AH4:AH927)/SUM(AH4:AH927)</f>
        <v>2319.705721</v>
      </c>
      <c r="AB2" s="7"/>
      <c r="AC2" s="7"/>
      <c r="AD2" s="7"/>
      <c r="AE2" s="7"/>
      <c r="AF2" s="7"/>
      <c r="AG2" s="910">
        <f>SUMPRODUCT($AG4:$AG927,$K4:$K927)/SUM($K4:$K927)</f>
        <v>80.82830071</v>
      </c>
      <c r="AH2" s="7">
        <f>SUM(AH4:AH927)</f>
        <v>4645.838309</v>
      </c>
      <c r="AI2" s="606">
        <v>2405.56</v>
      </c>
      <c r="AJ2" s="125"/>
      <c r="AK2" s="11"/>
      <c r="AL2" s="65"/>
      <c r="AM2" s="65"/>
    </row>
    <row r="3" ht="15.0" customHeight="1">
      <c r="A3" s="880" t="s">
        <v>5</v>
      </c>
      <c r="B3" s="880" t="s">
        <v>6</v>
      </c>
      <c r="C3" s="880" t="s">
        <v>7</v>
      </c>
      <c r="D3" s="880" t="s">
        <v>8</v>
      </c>
      <c r="E3" s="880" t="s">
        <v>4880</v>
      </c>
      <c r="F3" s="880" t="s">
        <v>10</v>
      </c>
      <c r="G3" s="880" t="s">
        <v>11</v>
      </c>
      <c r="H3" s="881"/>
      <c r="I3" s="911" t="s">
        <v>12</v>
      </c>
      <c r="J3" s="911" t="s">
        <v>13</v>
      </c>
      <c r="K3" s="880" t="s">
        <v>14</v>
      </c>
      <c r="L3" s="892" t="s">
        <v>15</v>
      </c>
      <c r="M3" s="887" t="s">
        <v>16</v>
      </c>
      <c r="N3" s="887" t="s">
        <v>17</v>
      </c>
      <c r="O3" s="881" t="s">
        <v>18</v>
      </c>
      <c r="P3" s="892" t="s">
        <v>19</v>
      </c>
      <c r="Q3" s="892" t="s">
        <v>20</v>
      </c>
      <c r="R3" s="892" t="s">
        <v>21</v>
      </c>
      <c r="S3" s="892" t="s">
        <v>22</v>
      </c>
      <c r="T3" s="890" t="s">
        <v>23</v>
      </c>
      <c r="U3" s="890" t="s">
        <v>24</v>
      </c>
      <c r="V3" s="891" t="s">
        <v>25</v>
      </c>
      <c r="W3" s="892" t="s">
        <v>26</v>
      </c>
      <c r="X3" s="892" t="s">
        <v>27</v>
      </c>
      <c r="Y3" s="892" t="s">
        <v>28</v>
      </c>
      <c r="Z3" s="881" t="s">
        <v>29</v>
      </c>
      <c r="AA3" s="881" t="s">
        <v>30</v>
      </c>
      <c r="AB3" s="893" t="s">
        <v>31</v>
      </c>
      <c r="AC3" s="894" t="s">
        <v>32</v>
      </c>
      <c r="AD3" s="895" t="s">
        <v>33</v>
      </c>
      <c r="AE3" s="895" t="s">
        <v>34</v>
      </c>
      <c r="AF3" s="895" t="s">
        <v>35</v>
      </c>
      <c r="AG3" s="912" t="s">
        <v>36</v>
      </c>
      <c r="AH3" s="913" t="s">
        <v>4750</v>
      </c>
      <c r="AI3" s="65">
        <f>SUMPRODUCT(K4:K927,AI4:AI927)/K2</f>
        <v>89.8075739</v>
      </c>
      <c r="AJ3" s="70">
        <f>SUM(AJ4:AJ46)</f>
        <v>4604.9025</v>
      </c>
      <c r="AK3" s="11">
        <f>SUM(AK4:AK927)</f>
        <v>351096.2968</v>
      </c>
      <c r="AL3" s="65">
        <f>+AH2-AJ3</f>
        <v>40.93580928</v>
      </c>
      <c r="AM3" s="65"/>
    </row>
    <row r="4" ht="15.0" customHeight="1">
      <c r="A4" s="899"/>
      <c r="B4" s="900"/>
      <c r="C4" s="900"/>
      <c r="D4" s="900"/>
      <c r="E4" s="900"/>
      <c r="F4" s="900"/>
      <c r="G4" s="900"/>
      <c r="H4" s="901"/>
      <c r="I4" s="900"/>
      <c r="J4" s="900"/>
      <c r="K4" s="900"/>
      <c r="L4" s="901"/>
      <c r="M4" s="902"/>
      <c r="N4" s="902"/>
      <c r="O4" s="901"/>
      <c r="P4" s="901"/>
      <c r="Q4" s="901"/>
      <c r="R4" s="901"/>
      <c r="S4" s="901"/>
      <c r="T4" s="903"/>
      <c r="U4" s="903"/>
      <c r="V4" s="903"/>
      <c r="W4" s="901"/>
      <c r="X4" s="901"/>
      <c r="Y4" s="901"/>
      <c r="Z4" s="901"/>
      <c r="AA4" s="901"/>
      <c r="AB4" s="904"/>
      <c r="AC4" s="905"/>
      <c r="AD4" s="906"/>
      <c r="AE4" s="906"/>
      <c r="AF4" s="906"/>
      <c r="AG4" s="914"/>
      <c r="AH4" s="876"/>
      <c r="AI4" s="70"/>
      <c r="AJ4" s="134"/>
      <c r="AK4" s="53"/>
      <c r="AL4" s="70"/>
      <c r="AM4" s="70"/>
      <c r="AN4" s="67"/>
      <c r="AO4" s="67"/>
      <c r="AP4" s="67"/>
      <c r="AQ4" s="67"/>
      <c r="AR4" s="67"/>
      <c r="AS4" s="67"/>
      <c r="AT4" s="67"/>
    </row>
    <row r="5" ht="15.75" customHeight="1">
      <c r="A5" s="202" t="s">
        <v>5029</v>
      </c>
      <c r="B5" s="932"/>
      <c r="C5" s="932">
        <v>45455.0</v>
      </c>
      <c r="D5" s="68" t="s">
        <v>602</v>
      </c>
      <c r="E5" s="972"/>
      <c r="F5" s="68" t="s">
        <v>4575</v>
      </c>
      <c r="G5" s="19">
        <v>26.0</v>
      </c>
      <c r="H5" s="19" t="s">
        <v>47</v>
      </c>
      <c r="I5" s="145">
        <v>2.57</v>
      </c>
      <c r="J5" s="130">
        <v>1.5</v>
      </c>
      <c r="K5" s="145">
        <f t="shared" ref="K5:K44" si="1">+I5-(I5*(J5/100))</f>
        <v>2.53145</v>
      </c>
      <c r="L5" s="973">
        <v>0.063</v>
      </c>
      <c r="M5" s="975">
        <v>0.063</v>
      </c>
      <c r="N5" s="975">
        <v>0.063</v>
      </c>
      <c r="O5" s="61">
        <f t="shared" ref="O5:O44" si="2">+ROUND((M5+N5)/2,3)</f>
        <v>0.063</v>
      </c>
      <c r="P5" s="976">
        <v>85.56</v>
      </c>
      <c r="Q5" s="130">
        <v>85.56</v>
      </c>
      <c r="R5" s="433">
        <v>2316.905</v>
      </c>
      <c r="S5" s="143">
        <v>80.0</v>
      </c>
      <c r="T5" s="68"/>
      <c r="U5" s="68">
        <v>130.0</v>
      </c>
      <c r="V5" s="68">
        <v>1.1023</v>
      </c>
      <c r="W5" s="130">
        <v>7.5</v>
      </c>
      <c r="X5" s="130">
        <v>9.8</v>
      </c>
      <c r="Y5" s="976">
        <v>30.0</v>
      </c>
      <c r="Z5" s="130">
        <f t="shared" ref="Z5:Z26" si="3">IF(D5="UNTUCA",IF(+((W5-3)*1.5+(X5-3)*3.1)&gt;0,+((W5-3)*1.5+(X5-3)*3.1),0),IF(+((W5-3)*1.5+(X5-3)*3.1)&gt;0,+((W5-3)*1.5+(X5-3)*3.1),0))</f>
        <v>27.83</v>
      </c>
      <c r="AA5" s="433">
        <f t="shared" ref="AA5:AA44" si="4">+Y5+Z5</f>
        <v>57.83</v>
      </c>
      <c r="AB5" s="108">
        <f t="shared" ref="AB5:AB44" si="5">+((O5*P5*(R5-U5)/100)-S5-AA5+T5)*V5</f>
        <v>-21.99055119</v>
      </c>
      <c r="AC5" s="108">
        <f>+(S5-T5)*V5-'data 1'!$F$4</f>
        <v>8.184</v>
      </c>
      <c r="AD5" s="108">
        <f t="shared" ref="AD5:AD44" si="6">+(Q5-P5)*(R5-U5)*L5*V5/100</f>
        <v>0</v>
      </c>
      <c r="AE5" s="108">
        <f>+(Y5*V5-'data 1'!$I$21)+V5*(Z5-IF(D5="UNTUCA",IF(+((W5-3)*2.5+(X5-3)*3.1)&gt;0,+((W5-3)*1.5+(X5-3)*3.1),0),IF(+((W5-3)*1.5+(X5-3)*3.1)&gt;0,+((W5-3)*1.5+(X5-3)*3.1),0)))</f>
        <v>7.487918919</v>
      </c>
      <c r="AF5" s="108">
        <f t="shared" ref="AF5:AF44" si="7">(L5-O5)*(R5-U5)*Q5*V5/100</f>
        <v>0</v>
      </c>
      <c r="AG5" s="108">
        <f t="shared" ref="AG5:AG44" si="8">+AC5+AD5+AE5+AF5</f>
        <v>15.67191892</v>
      </c>
      <c r="AH5" s="108">
        <f t="shared" ref="AH5:AH44" si="9">31.1035*L5*Q5*1.1023*K5/100</f>
        <v>4.678318104</v>
      </c>
      <c r="AI5" s="130">
        <f t="shared" ref="AI5:AI44" si="10">+((+$AI$2-R5+U5)*L5*Q5*V5)/100</f>
        <v>12.99183648</v>
      </c>
      <c r="AJ5" s="433">
        <f t="shared" ref="AJ5:AJ44" si="11">31.1035*1.1023*K5*P5*O5/100</f>
        <v>4.678318104</v>
      </c>
      <c r="AK5" s="933">
        <f t="shared" ref="AK5:AK44" si="12">+AH5-AJ5</f>
        <v>0</v>
      </c>
      <c r="AL5" s="433"/>
      <c r="AM5" s="433"/>
      <c r="AN5" s="68"/>
      <c r="AO5" s="68"/>
      <c r="AP5" s="68"/>
      <c r="AQ5" s="68"/>
      <c r="AR5" s="68"/>
      <c r="AS5" s="68"/>
      <c r="AT5" s="68"/>
    </row>
    <row r="6" ht="15.75" customHeight="1">
      <c r="A6" s="116" t="s">
        <v>5030</v>
      </c>
      <c r="B6" s="841">
        <v>45459.0</v>
      </c>
      <c r="C6" s="841">
        <v>45455.0</v>
      </c>
      <c r="D6" s="2" t="s">
        <v>602</v>
      </c>
      <c r="E6" s="915"/>
      <c r="F6" s="2" t="s">
        <v>4476</v>
      </c>
      <c r="G6" s="13">
        <v>105.0</v>
      </c>
      <c r="H6" s="13" t="s">
        <v>40</v>
      </c>
      <c r="I6" s="6">
        <v>9.03</v>
      </c>
      <c r="J6" s="58">
        <v>26.3</v>
      </c>
      <c r="K6" s="59">
        <f t="shared" si="1"/>
        <v>6.65511</v>
      </c>
      <c r="L6" s="139">
        <v>3.103</v>
      </c>
      <c r="M6" s="60">
        <v>2.901</v>
      </c>
      <c r="N6" s="62">
        <v>2.901</v>
      </c>
      <c r="O6" s="106">
        <f t="shared" si="2"/>
        <v>2.901</v>
      </c>
      <c r="P6" s="2">
        <v>90.0</v>
      </c>
      <c r="Q6" s="2">
        <v>86.33</v>
      </c>
      <c r="R6" s="65">
        <v>2316.905</v>
      </c>
      <c r="S6" s="3">
        <v>360.0</v>
      </c>
      <c r="U6" s="2">
        <v>130.0</v>
      </c>
      <c r="V6" s="2">
        <v>1.1023</v>
      </c>
      <c r="W6" s="58">
        <v>8.5</v>
      </c>
      <c r="X6" s="58">
        <v>13.5</v>
      </c>
      <c r="Y6" s="934">
        <v>30.0</v>
      </c>
      <c r="Z6" s="69">
        <f t="shared" si="3"/>
        <v>40.8</v>
      </c>
      <c r="AA6" s="70">
        <f t="shared" si="4"/>
        <v>70.8</v>
      </c>
      <c r="AB6" s="71">
        <f t="shared" si="5"/>
        <v>5819.030969</v>
      </c>
      <c r="AC6" s="71">
        <f>+(S6-T6)*V6-'data 1'!$F$4</f>
        <v>316.828</v>
      </c>
      <c r="AD6" s="71">
        <f t="shared" si="6"/>
        <v>-274.5222595</v>
      </c>
      <c r="AE6" s="71">
        <f>+(Y6*V6-'data 1'!$I$21)+V6*(Z6-IF(D6="UNTUCA",IF(+((W6-3)*2.5+(X6-3)*3.1)&gt;0,+((W6-3)*1.5+(X6-3)*3.1),0),IF(+((W6-3)*1.5+(X6-3)*3.1)&gt;0,+((W6-3)*1.5+(X6-3)*3.1),0)))</f>
        <v>7.487918919</v>
      </c>
      <c r="AF6" s="71">
        <f t="shared" si="7"/>
        <v>420.3807642</v>
      </c>
      <c r="AG6" s="71">
        <f t="shared" si="8"/>
        <v>470.1744236</v>
      </c>
      <c r="AH6" s="71">
        <f t="shared" si="9"/>
        <v>611.2344504</v>
      </c>
      <c r="AI6" s="69">
        <f t="shared" si="10"/>
        <v>645.6582977</v>
      </c>
      <c r="AJ6" s="70">
        <f t="shared" si="11"/>
        <v>595.7369611</v>
      </c>
      <c r="AK6" s="53">
        <f t="shared" si="12"/>
        <v>15.4974893</v>
      </c>
      <c r="AL6" s="65"/>
      <c r="AM6" s="65"/>
    </row>
    <row r="7" ht="15.75" customHeight="1">
      <c r="A7" s="116" t="s">
        <v>5031</v>
      </c>
      <c r="B7" s="841"/>
      <c r="C7" s="841">
        <v>45457.0</v>
      </c>
      <c r="D7" s="977" t="s">
        <v>602</v>
      </c>
      <c r="E7" s="915"/>
      <c r="F7" s="2" t="s">
        <v>4386</v>
      </c>
      <c r="G7" s="13">
        <v>100.0</v>
      </c>
      <c r="H7" s="13" t="s">
        <v>47</v>
      </c>
      <c r="I7" s="6">
        <v>9.74</v>
      </c>
      <c r="J7" s="58">
        <v>1.0</v>
      </c>
      <c r="K7" s="59">
        <f t="shared" si="1"/>
        <v>9.6426</v>
      </c>
      <c r="L7" s="139">
        <v>0.714</v>
      </c>
      <c r="M7" s="3">
        <v>0.678</v>
      </c>
      <c r="N7" s="970">
        <v>0.678</v>
      </c>
      <c r="O7" s="106">
        <f t="shared" si="2"/>
        <v>0.678</v>
      </c>
      <c r="P7" s="68">
        <v>90.0</v>
      </c>
      <c r="Q7" s="69">
        <v>89.14</v>
      </c>
      <c r="R7" s="65">
        <v>2304.135</v>
      </c>
      <c r="S7" s="3">
        <v>160.0</v>
      </c>
      <c r="U7" s="2">
        <v>130.0</v>
      </c>
      <c r="V7" s="2">
        <v>1.1023</v>
      </c>
      <c r="W7" s="58">
        <v>7.9</v>
      </c>
      <c r="X7" s="58">
        <v>11.6</v>
      </c>
      <c r="Y7" s="934">
        <v>25.0</v>
      </c>
      <c r="Z7" s="69">
        <f t="shared" si="3"/>
        <v>34.01</v>
      </c>
      <c r="AA7" s="70">
        <f t="shared" si="4"/>
        <v>59.01</v>
      </c>
      <c r="AB7" s="71">
        <f t="shared" si="5"/>
        <v>1220.959483</v>
      </c>
      <c r="AC7" s="71">
        <f>+(S7-T7)*V7-'data 1'!$F$4</f>
        <v>96.368</v>
      </c>
      <c r="AD7" s="71">
        <f t="shared" si="6"/>
        <v>-14.71576954</v>
      </c>
      <c r="AE7" s="71">
        <f>+(Y7*V7-'data 1'!$I$21)+V7*(Z7-IF(D7="UNTUCA",IF(+((W7-3)*2.5+(X7-3)*3.1)&gt;0,+((W7-3)*1.5+(X7-3)*3.1),0),IF(+((W7-3)*1.5+(X7-3)*3.1)&gt;0,+((W7-3)*1.5+(X7-3)*3.1),0)))</f>
        <v>1.976418919</v>
      </c>
      <c r="AF7" s="71">
        <f t="shared" si="7"/>
        <v>76.90621637</v>
      </c>
      <c r="AG7" s="71">
        <f t="shared" si="8"/>
        <v>160.5348657</v>
      </c>
      <c r="AH7" s="71">
        <f t="shared" si="9"/>
        <v>210.4137238</v>
      </c>
      <c r="AI7" s="69">
        <f t="shared" si="10"/>
        <v>162.3607023</v>
      </c>
      <c r="AJ7" s="70">
        <f t="shared" si="11"/>
        <v>201.7322926</v>
      </c>
      <c r="AK7" s="53">
        <f t="shared" si="12"/>
        <v>8.681431187</v>
      </c>
      <c r="AL7" s="65"/>
      <c r="AM7" s="65"/>
    </row>
    <row r="8" ht="15.75" customHeight="1">
      <c r="A8" s="116" t="s">
        <v>5032</v>
      </c>
      <c r="B8" s="841"/>
      <c r="C8" s="841">
        <v>45457.0</v>
      </c>
      <c r="D8" s="978" t="s">
        <v>602</v>
      </c>
      <c r="E8" s="915"/>
      <c r="F8" s="67" t="s">
        <v>4476</v>
      </c>
      <c r="G8" s="916">
        <v>88.0</v>
      </c>
      <c r="H8" s="916" t="s">
        <v>47</v>
      </c>
      <c r="I8" s="59">
        <v>8.76</v>
      </c>
      <c r="J8" s="69">
        <v>1.2</v>
      </c>
      <c r="K8" s="59">
        <f t="shared" si="1"/>
        <v>8.65488</v>
      </c>
      <c r="L8" s="405">
        <v>0.195</v>
      </c>
      <c r="M8" s="134">
        <v>0.185</v>
      </c>
      <c r="N8" s="970">
        <v>0.185</v>
      </c>
      <c r="O8" s="106">
        <f t="shared" si="2"/>
        <v>0.185</v>
      </c>
      <c r="P8" s="67">
        <v>90.0</v>
      </c>
      <c r="Q8" s="69">
        <v>88.44</v>
      </c>
      <c r="R8" s="70">
        <v>2304.135</v>
      </c>
      <c r="S8" s="134">
        <v>100.0</v>
      </c>
      <c r="T8" s="67"/>
      <c r="U8" s="67">
        <v>130.0</v>
      </c>
      <c r="V8" s="67">
        <v>1.1023</v>
      </c>
      <c r="W8" s="69">
        <v>7.8</v>
      </c>
      <c r="X8" s="69">
        <v>11.8</v>
      </c>
      <c r="Y8" s="934">
        <v>30.0</v>
      </c>
      <c r="Z8" s="69">
        <f t="shared" si="3"/>
        <v>34.48</v>
      </c>
      <c r="AA8" s="70">
        <f t="shared" si="4"/>
        <v>64.48</v>
      </c>
      <c r="AB8" s="71">
        <f t="shared" si="5"/>
        <v>217.7191062</v>
      </c>
      <c r="AC8" s="71">
        <f>+(S8-T8)*V8-'data 1'!$F$4</f>
        <v>30.23</v>
      </c>
      <c r="AD8" s="71">
        <f t="shared" si="6"/>
        <v>-7.29030209</v>
      </c>
      <c r="AE8" s="71">
        <f>+(Y8*V8-'data 1'!$I$21)+V8*(Z8-IF(D8="UNTUCA",IF(+((W8-3)*2.5+(X8-3)*3.1)&gt;0,+((W8-3)*1.5+(X8-3)*3.1),0),IF(+((W8-3)*1.5+(X8-3)*3.1)&gt;0,+((W8-3)*1.5+(X8-3)*3.1),0)))</f>
        <v>7.487918919</v>
      </c>
      <c r="AF8" s="71">
        <f t="shared" si="7"/>
        <v>21.19507945</v>
      </c>
      <c r="AG8" s="71">
        <f t="shared" si="8"/>
        <v>51.62269628</v>
      </c>
      <c r="AH8" s="71">
        <f t="shared" si="9"/>
        <v>51.17448318</v>
      </c>
      <c r="AI8" s="69">
        <f t="shared" si="10"/>
        <v>43.99399743</v>
      </c>
      <c r="AJ8" s="70">
        <f t="shared" si="11"/>
        <v>49.40653057</v>
      </c>
      <c r="AK8" s="53">
        <f t="shared" si="12"/>
        <v>1.767952607</v>
      </c>
      <c r="AL8" s="70"/>
      <c r="AM8" s="70"/>
      <c r="AN8" s="67"/>
      <c r="AO8" s="67"/>
      <c r="AP8" s="67"/>
      <c r="AQ8" s="67"/>
      <c r="AR8" s="67"/>
      <c r="AS8" s="67"/>
      <c r="AT8" s="67"/>
    </row>
    <row r="9" ht="15.75" customHeight="1">
      <c r="A9" s="116" t="s">
        <v>5033</v>
      </c>
      <c r="B9" s="841"/>
      <c r="C9" s="841">
        <v>45457.0</v>
      </c>
      <c r="D9" s="977" t="s">
        <v>602</v>
      </c>
      <c r="E9" s="915"/>
      <c r="F9" s="2" t="s">
        <v>4386</v>
      </c>
      <c r="G9" s="13">
        <v>61.0</v>
      </c>
      <c r="H9" s="13" t="s">
        <v>47</v>
      </c>
      <c r="I9" s="6">
        <v>5.78</v>
      </c>
      <c r="J9" s="58">
        <v>1.3</v>
      </c>
      <c r="K9" s="59">
        <f t="shared" si="1"/>
        <v>5.70486</v>
      </c>
      <c r="L9" s="139">
        <v>0.545</v>
      </c>
      <c r="M9" s="3">
        <v>0.518</v>
      </c>
      <c r="N9" s="970">
        <v>0.518</v>
      </c>
      <c r="O9" s="106">
        <f t="shared" si="2"/>
        <v>0.518</v>
      </c>
      <c r="P9" s="68">
        <v>90.0</v>
      </c>
      <c r="Q9" s="69">
        <v>89.09</v>
      </c>
      <c r="R9" s="65">
        <v>2304.135</v>
      </c>
      <c r="S9" s="3">
        <v>150.0</v>
      </c>
      <c r="U9" s="2">
        <v>130.0</v>
      </c>
      <c r="V9" s="2">
        <v>1.1023</v>
      </c>
      <c r="W9" s="58">
        <v>7.9</v>
      </c>
      <c r="X9" s="58">
        <v>11.5</v>
      </c>
      <c r="Y9" s="934">
        <v>25.0</v>
      </c>
      <c r="Z9" s="69">
        <f t="shared" si="3"/>
        <v>33.7</v>
      </c>
      <c r="AA9" s="70">
        <f t="shared" si="4"/>
        <v>58.7</v>
      </c>
      <c r="AB9" s="71">
        <f t="shared" si="5"/>
        <v>887.2211387</v>
      </c>
      <c r="AC9" s="71">
        <f>+(S9-T9)*V9-'data 1'!$F$4</f>
        <v>85.345</v>
      </c>
      <c r="AD9" s="71">
        <f t="shared" si="6"/>
        <v>-11.88568482</v>
      </c>
      <c r="AE9" s="71">
        <f>+(Y9*V9-'data 1'!$I$21)+V9*(Z9-IF(D9="UNTUCA",IF(+((W9-3)*2.5+(X9-3)*3.1)&gt;0,+((W9-3)*1.5+(X9-3)*3.1),0),IF(+((W9-3)*1.5+(X9-3)*3.1)&gt;0,+((W9-3)*1.5+(X9-3)*3.1),0)))</f>
        <v>1.976418919</v>
      </c>
      <c r="AF9" s="71">
        <f t="shared" si="7"/>
        <v>57.64730886</v>
      </c>
      <c r="AG9" s="71">
        <f t="shared" si="8"/>
        <v>133.083043</v>
      </c>
      <c r="AH9" s="71">
        <f t="shared" si="9"/>
        <v>94.96848755</v>
      </c>
      <c r="AI9" s="69">
        <f t="shared" si="10"/>
        <v>123.8612735</v>
      </c>
      <c r="AJ9" s="70">
        <f t="shared" si="11"/>
        <v>91.18561458</v>
      </c>
      <c r="AK9" s="53">
        <f t="shared" si="12"/>
        <v>3.78287297</v>
      </c>
      <c r="AL9" s="65"/>
      <c r="AM9" s="65"/>
    </row>
    <row r="10" ht="15.75" customHeight="1">
      <c r="A10" s="116" t="s">
        <v>5034</v>
      </c>
      <c r="B10" s="841"/>
      <c r="C10" s="841">
        <v>45457.0</v>
      </c>
      <c r="D10" s="978" t="s">
        <v>602</v>
      </c>
      <c r="E10" s="915"/>
      <c r="F10" s="67" t="s">
        <v>4476</v>
      </c>
      <c r="G10" s="916">
        <v>87.0</v>
      </c>
      <c r="H10" s="916" t="s">
        <v>47</v>
      </c>
      <c r="I10" s="59">
        <v>8.68</v>
      </c>
      <c r="J10" s="69">
        <v>1.2</v>
      </c>
      <c r="K10" s="59">
        <f t="shared" si="1"/>
        <v>8.57584</v>
      </c>
      <c r="L10" s="405">
        <v>0.096</v>
      </c>
      <c r="M10" s="134">
        <v>0.091</v>
      </c>
      <c r="N10" s="970">
        <v>0.091</v>
      </c>
      <c r="O10" s="106">
        <f t="shared" si="2"/>
        <v>0.091</v>
      </c>
      <c r="P10" s="67">
        <v>90.0</v>
      </c>
      <c r="Q10" s="69">
        <v>88.41</v>
      </c>
      <c r="R10" s="70">
        <v>2304.135</v>
      </c>
      <c r="S10" s="134">
        <v>95.0</v>
      </c>
      <c r="T10" s="67"/>
      <c r="U10" s="67">
        <v>130.0</v>
      </c>
      <c r="V10" s="67">
        <v>1.1023</v>
      </c>
      <c r="W10" s="69">
        <v>7.8</v>
      </c>
      <c r="X10" s="69">
        <v>11.7</v>
      </c>
      <c r="Y10" s="934">
        <v>30.0</v>
      </c>
      <c r="Z10" s="69">
        <f t="shared" si="3"/>
        <v>34.17</v>
      </c>
      <c r="AA10" s="70">
        <f t="shared" si="4"/>
        <v>64.17</v>
      </c>
      <c r="AB10" s="71">
        <f t="shared" si="5"/>
        <v>20.82427296</v>
      </c>
      <c r="AC10" s="71">
        <f>+(S10-T10)*V10-'data 1'!$F$4</f>
        <v>24.7185</v>
      </c>
      <c r="AD10" s="71">
        <f t="shared" si="6"/>
        <v>-3.65809241</v>
      </c>
      <c r="AE10" s="71">
        <f>+(Y10*V10-'data 1'!$I$21)+V10*(Z10-IF(D10="UNTUCA",IF(+((W10-3)*2.5+(X10-3)*3.1)&gt;0,+((W10-3)*1.5+(X10-3)*3.1),0),IF(+((W10-3)*1.5+(X10-3)*3.1)&gt;0,+((W10-3)*1.5+(X10-3)*3.1),0)))</f>
        <v>7.487918919</v>
      </c>
      <c r="AF10" s="71">
        <f t="shared" si="7"/>
        <v>10.5939449</v>
      </c>
      <c r="AG10" s="71">
        <f t="shared" si="8"/>
        <v>39.14227141</v>
      </c>
      <c r="AH10" s="71">
        <f t="shared" si="9"/>
        <v>24.9550453</v>
      </c>
      <c r="AI10" s="69">
        <f t="shared" si="10"/>
        <v>21.65123648</v>
      </c>
      <c r="AJ10" s="70">
        <f t="shared" si="11"/>
        <v>24.08072958</v>
      </c>
      <c r="AK10" s="53">
        <f t="shared" si="12"/>
        <v>0.8743157203</v>
      </c>
      <c r="AL10" s="70"/>
      <c r="AM10" s="70"/>
      <c r="AN10" s="67"/>
      <c r="AO10" s="67"/>
      <c r="AP10" s="67"/>
      <c r="AQ10" s="67"/>
      <c r="AR10" s="67"/>
      <c r="AS10" s="67"/>
      <c r="AT10" s="67"/>
    </row>
    <row r="11" ht="15.75" customHeight="1">
      <c r="A11" s="116" t="s">
        <v>5035</v>
      </c>
      <c r="B11" s="870"/>
      <c r="C11" s="841">
        <v>45457.0</v>
      </c>
      <c r="D11" s="978" t="s">
        <v>602</v>
      </c>
      <c r="E11" s="915"/>
      <c r="F11" s="67" t="s">
        <v>4476</v>
      </c>
      <c r="G11" s="916">
        <v>87.0</v>
      </c>
      <c r="H11" s="916" t="s">
        <v>47</v>
      </c>
      <c r="I11" s="59">
        <v>8.67</v>
      </c>
      <c r="J11" s="69">
        <v>1.0</v>
      </c>
      <c r="K11" s="59">
        <f t="shared" si="1"/>
        <v>8.5833</v>
      </c>
      <c r="L11" s="405">
        <v>0.121</v>
      </c>
      <c r="M11" s="134">
        <v>0.115</v>
      </c>
      <c r="N11" s="970">
        <v>0.115</v>
      </c>
      <c r="O11" s="106">
        <f t="shared" si="2"/>
        <v>0.115</v>
      </c>
      <c r="P11" s="67">
        <v>90.0</v>
      </c>
      <c r="Q11" s="69">
        <v>88.4</v>
      </c>
      <c r="R11" s="70">
        <v>2304.135</v>
      </c>
      <c r="S11" s="134">
        <v>95.0</v>
      </c>
      <c r="T11" s="67"/>
      <c r="U11" s="67">
        <v>130.0</v>
      </c>
      <c r="V11" s="67">
        <v>1.1023</v>
      </c>
      <c r="W11" s="69">
        <v>7.8</v>
      </c>
      <c r="X11" s="69">
        <v>11.7</v>
      </c>
      <c r="Y11" s="934">
        <v>30.0</v>
      </c>
      <c r="Z11" s="69">
        <f t="shared" si="3"/>
        <v>34.17</v>
      </c>
      <c r="AA11" s="70">
        <f t="shared" si="4"/>
        <v>64.17</v>
      </c>
      <c r="AB11" s="71">
        <f t="shared" si="5"/>
        <v>72.58973159</v>
      </c>
      <c r="AC11" s="71">
        <f>+(S11-T11)*V11-'data 1'!$F$4</f>
        <v>24.7185</v>
      </c>
      <c r="AD11" s="71">
        <f t="shared" si="6"/>
        <v>-4.639718884</v>
      </c>
      <c r="AE11" s="71">
        <f>+(Y11*V11-'data 1'!$I$21)+V11*(Z11-IF(D11="UNTUCA",IF(+((W11-3)*2.5+(X11-3)*3.1)&gt;0,+((W11-3)*1.5+(X11-3)*3.1),0),IF(+((W11-3)*1.5+(X11-3)*3.1)&gt;0,+((W11-3)*1.5+(X11-3)*3.1),0)))</f>
        <v>7.487918919</v>
      </c>
      <c r="AF11" s="71">
        <f t="shared" si="7"/>
        <v>12.71129595</v>
      </c>
      <c r="AG11" s="71">
        <f t="shared" si="8"/>
        <v>40.27799599</v>
      </c>
      <c r="AH11" s="71">
        <f t="shared" si="9"/>
        <v>31.47755538</v>
      </c>
      <c r="AI11" s="69">
        <f t="shared" si="10"/>
        <v>27.2864926</v>
      </c>
      <c r="AJ11" s="70">
        <f t="shared" si="11"/>
        <v>30.45816332</v>
      </c>
      <c r="AK11" s="53">
        <f t="shared" si="12"/>
        <v>1.019392056</v>
      </c>
      <c r="AL11" s="70"/>
      <c r="AM11" s="70"/>
      <c r="AN11" s="67"/>
      <c r="AO11" s="67"/>
      <c r="AP11" s="67"/>
      <c r="AQ11" s="67"/>
      <c r="AR11" s="67"/>
      <c r="AS11" s="67"/>
      <c r="AT11" s="67"/>
    </row>
    <row r="12" ht="15.75" customHeight="1">
      <c r="A12" s="116" t="s">
        <v>5036</v>
      </c>
      <c r="B12" s="870"/>
      <c r="C12" s="870">
        <v>45460.0</v>
      </c>
      <c r="D12" s="2" t="s">
        <v>602</v>
      </c>
      <c r="E12" s="915"/>
      <c r="F12" s="2" t="s">
        <v>5037</v>
      </c>
      <c r="G12" s="13">
        <v>86.0</v>
      </c>
      <c r="H12" s="13" t="s">
        <v>47</v>
      </c>
      <c r="I12" s="6">
        <v>8.22</v>
      </c>
      <c r="J12" s="58">
        <v>1.5</v>
      </c>
      <c r="K12" s="59">
        <f t="shared" si="1"/>
        <v>8.0967</v>
      </c>
      <c r="L12" s="139">
        <v>0.405</v>
      </c>
      <c r="M12" s="3">
        <v>0.385</v>
      </c>
      <c r="N12" s="970">
        <v>0.385</v>
      </c>
      <c r="O12" s="106">
        <f t="shared" si="2"/>
        <v>0.385</v>
      </c>
      <c r="P12" s="2">
        <v>90.0</v>
      </c>
      <c r="Q12" s="69">
        <v>88.38</v>
      </c>
      <c r="R12" s="65">
        <v>2310.02</v>
      </c>
      <c r="S12" s="3">
        <v>110.0</v>
      </c>
      <c r="U12" s="2">
        <v>130.0</v>
      </c>
      <c r="V12" s="2">
        <v>1.1023</v>
      </c>
      <c r="W12" s="58">
        <v>7.9</v>
      </c>
      <c r="X12" s="58">
        <v>11.9</v>
      </c>
      <c r="Y12" s="934">
        <v>25.0</v>
      </c>
      <c r="Z12" s="69">
        <f t="shared" si="3"/>
        <v>34.94</v>
      </c>
      <c r="AA12" s="70">
        <f t="shared" si="4"/>
        <v>59.94</v>
      </c>
      <c r="AB12" s="71">
        <f t="shared" si="5"/>
        <v>645.3271279</v>
      </c>
      <c r="AC12" s="71">
        <f>+(S12-T12)*V12-'data 1'!$F$4</f>
        <v>41.253</v>
      </c>
      <c r="AD12" s="71">
        <f t="shared" si="6"/>
        <v>-15.7663195</v>
      </c>
      <c r="AE12" s="71">
        <f>+(Y12*V12-'data 1'!$I$21)+V12*(Z12-IF(D12="UNTUCA",IF(+((W12-3)*2.5+(X12-3)*3.1)&gt;0,+((W12-3)*1.5+(X12-3)*3.1),0),IF(+((W12-3)*1.5+(X12-3)*3.1)&gt;0,+((W12-3)*1.5+(X12-3)*3.1),0)))</f>
        <v>1.976418919</v>
      </c>
      <c r="AF12" s="71">
        <f t="shared" si="7"/>
        <v>42.47606515</v>
      </c>
      <c r="AG12" s="71">
        <f t="shared" si="8"/>
        <v>69.93916457</v>
      </c>
      <c r="AH12" s="71">
        <f t="shared" si="9"/>
        <v>99.36333</v>
      </c>
      <c r="AI12" s="69">
        <f t="shared" si="10"/>
        <v>88.98819626</v>
      </c>
      <c r="AJ12" s="70">
        <f t="shared" si="11"/>
        <v>96.18788074</v>
      </c>
      <c r="AK12" s="53">
        <f t="shared" si="12"/>
        <v>3.175449258</v>
      </c>
      <c r="AL12" s="65"/>
      <c r="AM12" s="65"/>
    </row>
    <row r="13" ht="15.75" customHeight="1">
      <c r="A13" s="116" t="s">
        <v>5038</v>
      </c>
      <c r="B13" s="870"/>
      <c r="C13" s="870">
        <v>45460.0</v>
      </c>
      <c r="D13" s="2" t="s">
        <v>602</v>
      </c>
      <c r="E13" s="915"/>
      <c r="F13" s="2" t="s">
        <v>5037</v>
      </c>
      <c r="G13" s="13">
        <v>87.0</v>
      </c>
      <c r="H13" s="13" t="s">
        <v>47</v>
      </c>
      <c r="I13" s="6">
        <v>8.52</v>
      </c>
      <c r="J13" s="58">
        <v>1.6</v>
      </c>
      <c r="K13" s="59">
        <f t="shared" si="1"/>
        <v>8.38368</v>
      </c>
      <c r="L13" s="139">
        <v>0.299</v>
      </c>
      <c r="M13" s="3">
        <v>0.278</v>
      </c>
      <c r="N13" s="970">
        <v>0.278</v>
      </c>
      <c r="O13" s="106">
        <f t="shared" si="2"/>
        <v>0.278</v>
      </c>
      <c r="P13" s="2">
        <v>90.0</v>
      </c>
      <c r="Q13" s="69">
        <v>88.2</v>
      </c>
      <c r="R13" s="65">
        <v>2310.02</v>
      </c>
      <c r="S13" s="3">
        <v>100.0</v>
      </c>
      <c r="U13" s="2">
        <v>130.0</v>
      </c>
      <c r="V13" s="2">
        <v>1.1023</v>
      </c>
      <c r="W13" s="58">
        <v>7.9</v>
      </c>
      <c r="X13" s="58">
        <v>11.8</v>
      </c>
      <c r="Y13" s="934">
        <v>25.0</v>
      </c>
      <c r="Z13" s="69">
        <f t="shared" si="3"/>
        <v>34.63</v>
      </c>
      <c r="AA13" s="70">
        <f t="shared" si="4"/>
        <v>59.63</v>
      </c>
      <c r="AB13" s="71">
        <f t="shared" si="5"/>
        <v>425.2794697</v>
      </c>
      <c r="AC13" s="71">
        <f>+(S13-T13)*V13-'data 1'!$F$4</f>
        <v>30.23</v>
      </c>
      <c r="AD13" s="71">
        <f t="shared" si="6"/>
        <v>-12.93314</v>
      </c>
      <c r="AE13" s="71">
        <f>+(Y13*V13-'data 1'!$I$21)+V13*(Z13-IF(D13="UNTUCA",IF(+((W13-3)*2.5+(X13-3)*3.1)&gt;0,+((W13-3)*1.5+(X13-3)*3.1),0),IF(+((W13-3)*1.5+(X13-3)*3.1)&gt;0,+((W13-3)*1.5+(X13-3)*3.1),0)))</f>
        <v>1.976418919</v>
      </c>
      <c r="AF13" s="71">
        <f t="shared" si="7"/>
        <v>44.50903364</v>
      </c>
      <c r="AG13" s="71">
        <f t="shared" si="8"/>
        <v>63.78231256</v>
      </c>
      <c r="AH13" s="71">
        <f t="shared" si="9"/>
        <v>75.80250119</v>
      </c>
      <c r="AI13" s="69">
        <f t="shared" si="10"/>
        <v>65.56365509</v>
      </c>
      <c r="AJ13" s="70">
        <f t="shared" si="11"/>
        <v>71.91691807</v>
      </c>
      <c r="AK13" s="53">
        <f t="shared" si="12"/>
        <v>3.885583127</v>
      </c>
      <c r="AL13" s="65"/>
      <c r="AM13" s="65"/>
    </row>
    <row r="14" ht="15.75" customHeight="1">
      <c r="A14" s="116" t="s">
        <v>5039</v>
      </c>
      <c r="B14" s="870"/>
      <c r="C14" s="870">
        <v>45460.0</v>
      </c>
      <c r="D14" s="2" t="s">
        <v>602</v>
      </c>
      <c r="E14" s="915"/>
      <c r="F14" s="2" t="s">
        <v>5037</v>
      </c>
      <c r="G14" s="13">
        <v>87.0</v>
      </c>
      <c r="H14" s="13" t="s">
        <v>47</v>
      </c>
      <c r="I14" s="6">
        <v>8.46</v>
      </c>
      <c r="J14" s="58">
        <v>1.3</v>
      </c>
      <c r="K14" s="59">
        <f t="shared" si="1"/>
        <v>8.35002</v>
      </c>
      <c r="L14" s="139">
        <v>0.267</v>
      </c>
      <c r="M14" s="3">
        <v>0.254</v>
      </c>
      <c r="N14" s="970">
        <v>0.254</v>
      </c>
      <c r="O14" s="106">
        <f t="shared" si="2"/>
        <v>0.254</v>
      </c>
      <c r="P14" s="2">
        <v>90.0</v>
      </c>
      <c r="Q14" s="69">
        <v>88.47</v>
      </c>
      <c r="R14" s="65">
        <v>2310.02</v>
      </c>
      <c r="S14" s="3">
        <v>100.0</v>
      </c>
      <c r="U14" s="2">
        <v>130.0</v>
      </c>
      <c r="V14" s="2">
        <v>1.1023</v>
      </c>
      <c r="W14" s="58">
        <v>7.9</v>
      </c>
      <c r="X14" s="58">
        <v>11.8</v>
      </c>
      <c r="Y14" s="934">
        <v>25.0</v>
      </c>
      <c r="Z14" s="69">
        <f t="shared" si="3"/>
        <v>34.63</v>
      </c>
      <c r="AA14" s="70">
        <f t="shared" si="4"/>
        <v>59.63</v>
      </c>
      <c r="AB14" s="71">
        <f t="shared" si="5"/>
        <v>373.3738911</v>
      </c>
      <c r="AC14" s="71">
        <f>+(S14-T14)*V14-'data 1'!$F$4</f>
        <v>30.23</v>
      </c>
      <c r="AD14" s="71">
        <f t="shared" si="6"/>
        <v>-9.816642552</v>
      </c>
      <c r="AE14" s="71">
        <f>+(Y14*V14-'data 1'!$I$21)+V14*(Z14-IF(D14="UNTUCA",IF(+((W14-3)*2.5+(X14-3)*3.1)&gt;0,+((W14-3)*1.5+(X14-3)*3.1),0),IF(+((W14-3)*1.5+(X14-3)*3.1)&gt;0,+((W14-3)*1.5+(X14-3)*3.1),0)))</f>
        <v>1.976418919</v>
      </c>
      <c r="AF14" s="71">
        <f t="shared" si="7"/>
        <v>27.63755787</v>
      </c>
      <c r="AG14" s="71">
        <f t="shared" si="8"/>
        <v>50.02733424</v>
      </c>
      <c r="AH14" s="71">
        <f t="shared" si="9"/>
        <v>67.62446988</v>
      </c>
      <c r="AI14" s="69">
        <f t="shared" si="10"/>
        <v>58.72603399</v>
      </c>
      <c r="AJ14" s="70">
        <f t="shared" si="11"/>
        <v>65.44444832</v>
      </c>
      <c r="AK14" s="53">
        <f t="shared" si="12"/>
        <v>2.180021564</v>
      </c>
      <c r="AL14" s="65"/>
      <c r="AM14" s="65"/>
    </row>
    <row r="15" ht="15.75" customHeight="1">
      <c r="A15" s="116" t="s">
        <v>5040</v>
      </c>
      <c r="B15" s="870">
        <v>45462.0</v>
      </c>
      <c r="C15" s="870">
        <v>45462.0</v>
      </c>
      <c r="D15" s="2" t="s">
        <v>602</v>
      </c>
      <c r="E15" s="915"/>
      <c r="F15" s="2" t="s">
        <v>5041</v>
      </c>
      <c r="G15" s="13">
        <v>35.0</v>
      </c>
      <c r="H15" s="13" t="s">
        <v>40</v>
      </c>
      <c r="I15" s="6">
        <v>2.96</v>
      </c>
      <c r="J15" s="58">
        <v>24.0</v>
      </c>
      <c r="K15" s="59">
        <f t="shared" si="1"/>
        <v>2.2496</v>
      </c>
      <c r="L15" s="139">
        <v>1.504</v>
      </c>
      <c r="M15" s="3">
        <v>1.431</v>
      </c>
      <c r="N15" s="970">
        <v>1.431</v>
      </c>
      <c r="O15" s="106">
        <f t="shared" si="2"/>
        <v>1.431</v>
      </c>
      <c r="P15" s="2">
        <v>90.0</v>
      </c>
      <c r="Q15" s="58">
        <v>85.13</v>
      </c>
      <c r="R15" s="65">
        <v>2310.02</v>
      </c>
      <c r="S15" s="3">
        <v>200.0</v>
      </c>
      <c r="U15" s="2">
        <v>130.0</v>
      </c>
      <c r="V15" s="2">
        <v>1.1023</v>
      </c>
      <c r="W15" s="58">
        <v>8.0</v>
      </c>
      <c r="X15" s="58">
        <v>13.1</v>
      </c>
      <c r="Y15" s="934">
        <v>25.0</v>
      </c>
      <c r="Z15" s="69">
        <f t="shared" si="3"/>
        <v>38.81</v>
      </c>
      <c r="AA15" s="70">
        <f t="shared" si="4"/>
        <v>63.81</v>
      </c>
      <c r="AB15" s="71">
        <f t="shared" si="5"/>
        <v>2804.072361</v>
      </c>
      <c r="AC15" s="71">
        <f>+(S15-T15)*V15-'data 1'!$F$4</f>
        <v>140.46</v>
      </c>
      <c r="AD15" s="71">
        <f t="shared" si="6"/>
        <v>-176.0098946</v>
      </c>
      <c r="AE15" s="71">
        <f>+(Y15*V15-'data 1'!$I$21)+V15*(Z15-IF(D15="UNTUCA",IF(+((W15-3)*2.5+(X15-3)*3.1)&gt;0,+((W15-3)*1.5+(X15-3)*3.1),0),IF(+((W15-3)*1.5+(X15-3)*3.1)&gt;0,+((W15-3)*1.5+(X15-3)*3.1),0)))</f>
        <v>1.976418919</v>
      </c>
      <c r="AF15" s="71">
        <f t="shared" si="7"/>
        <v>149.3364348</v>
      </c>
      <c r="AG15" s="71">
        <f t="shared" si="8"/>
        <v>115.7629591</v>
      </c>
      <c r="AH15" s="71">
        <f t="shared" si="9"/>
        <v>98.75175948</v>
      </c>
      <c r="AI15" s="69">
        <f t="shared" si="10"/>
        <v>318.312617</v>
      </c>
      <c r="AJ15" s="70">
        <f t="shared" si="11"/>
        <v>99.3336779</v>
      </c>
      <c r="AK15" s="53">
        <f t="shared" si="12"/>
        <v>-0.5819184199</v>
      </c>
      <c r="AL15" s="65"/>
      <c r="AM15" s="65"/>
    </row>
    <row r="16" ht="15.75" customHeight="1">
      <c r="A16" s="116" t="s">
        <v>5042</v>
      </c>
      <c r="B16" s="870">
        <v>45462.0</v>
      </c>
      <c r="C16" s="870">
        <v>45462.0</v>
      </c>
      <c r="D16" s="2" t="s">
        <v>602</v>
      </c>
      <c r="E16" s="915"/>
      <c r="F16" s="2" t="s">
        <v>5041</v>
      </c>
      <c r="G16" s="13">
        <v>34.0</v>
      </c>
      <c r="H16" s="13" t="s">
        <v>40</v>
      </c>
      <c r="I16" s="6">
        <v>2.79</v>
      </c>
      <c r="J16" s="58">
        <v>25.0</v>
      </c>
      <c r="K16" s="59">
        <f t="shared" si="1"/>
        <v>2.0925</v>
      </c>
      <c r="L16" s="139">
        <v>1.125</v>
      </c>
      <c r="M16" s="3">
        <v>1.077</v>
      </c>
      <c r="N16" s="970">
        <v>1.077</v>
      </c>
      <c r="O16" s="106">
        <f t="shared" si="2"/>
        <v>1.077</v>
      </c>
      <c r="P16" s="2">
        <v>90.0</v>
      </c>
      <c r="Q16" s="58">
        <v>85.31</v>
      </c>
      <c r="R16" s="65">
        <v>2310.02</v>
      </c>
      <c r="S16" s="3">
        <v>160.0</v>
      </c>
      <c r="U16" s="2">
        <v>130.0</v>
      </c>
      <c r="V16" s="2">
        <v>1.1023</v>
      </c>
      <c r="W16" s="58">
        <v>8.0</v>
      </c>
      <c r="X16" s="58">
        <v>13.0</v>
      </c>
      <c r="Y16" s="934">
        <v>25.0</v>
      </c>
      <c r="Z16" s="69">
        <f t="shared" si="3"/>
        <v>38.5</v>
      </c>
      <c r="AA16" s="70">
        <f t="shared" si="4"/>
        <v>63.5</v>
      </c>
      <c r="AB16" s="71">
        <f t="shared" si="5"/>
        <v>2082.898789</v>
      </c>
      <c r="AC16" s="71">
        <f>+(S16-T16)*V16-'data 1'!$F$4</f>
        <v>96.368</v>
      </c>
      <c r="AD16" s="71">
        <f t="shared" si="6"/>
        <v>-126.7901894</v>
      </c>
      <c r="AE16" s="71">
        <f>+(Y16*V16-'data 1'!$I$21)+V16*(Z16-IF(D16="UNTUCA",IF(+((W16-3)*2.5+(X16-3)*3.1)&gt;0,+((W16-3)*1.5+(X16-3)*3.1),0),IF(+((W16-3)*1.5+(X16-3)*3.1)&gt;0,+((W16-3)*1.5+(X16-3)*3.1),0)))</f>
        <v>1.976418919</v>
      </c>
      <c r="AF16" s="71">
        <f t="shared" si="7"/>
        <v>98.40144244</v>
      </c>
      <c r="AG16" s="71">
        <f t="shared" si="8"/>
        <v>69.95567198</v>
      </c>
      <c r="AH16" s="71">
        <f t="shared" si="9"/>
        <v>68.85365519</v>
      </c>
      <c r="AI16" s="69">
        <f t="shared" si="10"/>
        <v>238.6029715</v>
      </c>
      <c r="AJ16" s="70">
        <f t="shared" si="11"/>
        <v>69.53968974</v>
      </c>
      <c r="AK16" s="53">
        <f t="shared" si="12"/>
        <v>-0.6860345436</v>
      </c>
      <c r="AL16" s="65"/>
      <c r="AM16" s="65"/>
    </row>
    <row r="17" ht="15.75" customHeight="1">
      <c r="A17" s="116" t="s">
        <v>5043</v>
      </c>
      <c r="B17" s="870">
        <v>45463.0</v>
      </c>
      <c r="C17" s="870">
        <v>45463.0</v>
      </c>
      <c r="D17" s="2" t="s">
        <v>602</v>
      </c>
      <c r="E17" s="915"/>
      <c r="F17" s="2" t="s">
        <v>4779</v>
      </c>
      <c r="G17" s="13">
        <v>90.0</v>
      </c>
      <c r="H17" s="13" t="s">
        <v>47</v>
      </c>
      <c r="I17" s="6">
        <v>8.48</v>
      </c>
      <c r="J17" s="58">
        <v>1.0</v>
      </c>
      <c r="K17" s="59">
        <f t="shared" si="1"/>
        <v>8.3952</v>
      </c>
      <c r="L17" s="139">
        <v>0.202</v>
      </c>
      <c r="M17" s="970">
        <v>0.192</v>
      </c>
      <c r="N17" s="970">
        <v>0.192</v>
      </c>
      <c r="O17" s="106">
        <f t="shared" si="2"/>
        <v>0.192</v>
      </c>
      <c r="P17" s="2">
        <v>90.0</v>
      </c>
      <c r="Q17" s="69">
        <v>88.59</v>
      </c>
      <c r="R17" s="65">
        <v>2327.765</v>
      </c>
      <c r="S17" s="3">
        <v>100.0</v>
      </c>
      <c r="U17" s="2">
        <v>130.0</v>
      </c>
      <c r="V17" s="2">
        <v>1.1023</v>
      </c>
      <c r="W17" s="68">
        <v>8.0</v>
      </c>
      <c r="X17" s="68">
        <v>10.0</v>
      </c>
      <c r="Y17" s="934">
        <v>25.0</v>
      </c>
      <c r="Z17" s="69">
        <f t="shared" si="3"/>
        <v>29.2</v>
      </c>
      <c r="AA17" s="70">
        <f t="shared" si="4"/>
        <v>54.2</v>
      </c>
      <c r="AB17" s="71">
        <f t="shared" si="5"/>
        <v>248.6499909</v>
      </c>
      <c r="AC17" s="71">
        <f>+(S17-T17)*V17-'data 1'!$F$4</f>
        <v>30.23</v>
      </c>
      <c r="AD17" s="71">
        <f t="shared" si="6"/>
        <v>-6.900038951</v>
      </c>
      <c r="AE17" s="71">
        <f>+(Y17*V17-'data 1'!$I$21)+V17*(Z17-IF(D17="UNTUCA",IF(+((W17-3)*2.5+(X17-3)*3.1)&gt;0,+((W17-3)*1.5+(X17-3)*3.1),0),IF(+((W17-3)*1.5+(X17-3)*3.1)&gt;0,+((W17-3)*1.5+(X17-3)*3.1),0)))</f>
        <v>1.976418919</v>
      </c>
      <c r="AF17" s="71">
        <f t="shared" si="7"/>
        <v>21.46178115</v>
      </c>
      <c r="AG17" s="71">
        <f t="shared" si="8"/>
        <v>46.76816112</v>
      </c>
      <c r="AH17" s="71">
        <f t="shared" si="9"/>
        <v>51.50817793</v>
      </c>
      <c r="AI17" s="69">
        <f t="shared" si="10"/>
        <v>40.98934437</v>
      </c>
      <c r="AJ17" s="70">
        <f t="shared" si="11"/>
        <v>49.73748879</v>
      </c>
      <c r="AK17" s="53">
        <f t="shared" si="12"/>
        <v>1.770689141</v>
      </c>
      <c r="AL17" s="65"/>
      <c r="AM17" s="65"/>
    </row>
    <row r="18" ht="15.75" customHeight="1">
      <c r="A18" s="116" t="s">
        <v>5044</v>
      </c>
      <c r="B18" s="870">
        <v>45463.0</v>
      </c>
      <c r="C18" s="870">
        <v>45463.0</v>
      </c>
      <c r="D18" s="2" t="s">
        <v>602</v>
      </c>
      <c r="E18" s="915"/>
      <c r="F18" s="2" t="s">
        <v>4779</v>
      </c>
      <c r="G18" s="13">
        <v>88.0</v>
      </c>
      <c r="H18" s="13" t="s">
        <v>47</v>
      </c>
      <c r="I18" s="6">
        <v>8.72</v>
      </c>
      <c r="J18" s="58">
        <v>1.2</v>
      </c>
      <c r="K18" s="59">
        <f t="shared" si="1"/>
        <v>8.61536</v>
      </c>
      <c r="L18" s="139">
        <v>0.193</v>
      </c>
      <c r="M18" s="970">
        <v>0.193</v>
      </c>
      <c r="N18" s="970">
        <v>0.193</v>
      </c>
      <c r="O18" s="106">
        <f t="shared" si="2"/>
        <v>0.193</v>
      </c>
      <c r="P18" s="2">
        <v>90.0</v>
      </c>
      <c r="Q18" s="69">
        <v>88.69</v>
      </c>
      <c r="R18" s="65">
        <v>2327.765</v>
      </c>
      <c r="S18" s="3">
        <v>100.0</v>
      </c>
      <c r="U18" s="2">
        <v>130.0</v>
      </c>
      <c r="V18" s="2">
        <v>1.1023</v>
      </c>
      <c r="W18" s="68">
        <v>8.0</v>
      </c>
      <c r="X18" s="68">
        <v>10.0</v>
      </c>
      <c r="Y18" s="2">
        <v>25.0</v>
      </c>
      <c r="Z18" s="69">
        <f t="shared" si="3"/>
        <v>29.2</v>
      </c>
      <c r="AA18" s="70">
        <f t="shared" si="4"/>
        <v>54.2</v>
      </c>
      <c r="AB18" s="71">
        <f t="shared" si="5"/>
        <v>250.8303276</v>
      </c>
      <c r="AC18" s="71">
        <f>+(S18-T18)*V18-'data 1'!$F$4</f>
        <v>30.23</v>
      </c>
      <c r="AD18" s="71">
        <f t="shared" si="6"/>
        <v>-6.125050376</v>
      </c>
      <c r="AE18" s="71">
        <f>+(Y18*V18-'data 1'!$I$21)+V18*(Z18-IF(D18="UNTUCA",IF(+((W18-3)*2.5+(X18-3)*3.1)&gt;0,+((W18-3)*1.5+(X18-3)*3.1),0),IF(+((W18-3)*1.5+(X18-3)*3.1)&gt;0,+((W18-3)*1.5+(X18-3)*3.1),0)))</f>
        <v>1.976418919</v>
      </c>
      <c r="AF18" s="71">
        <f t="shared" si="7"/>
        <v>0</v>
      </c>
      <c r="AG18" s="71">
        <f t="shared" si="8"/>
        <v>26.08136854</v>
      </c>
      <c r="AH18" s="71">
        <f t="shared" si="9"/>
        <v>50.56086121</v>
      </c>
      <c r="AI18" s="69">
        <f t="shared" si="10"/>
        <v>39.20729358</v>
      </c>
      <c r="AJ18" s="70">
        <f t="shared" si="11"/>
        <v>51.30767289</v>
      </c>
      <c r="AK18" s="53">
        <f t="shared" si="12"/>
        <v>-0.7468116832</v>
      </c>
      <c r="AL18" s="65"/>
      <c r="AM18" s="65"/>
    </row>
    <row r="19" ht="15.75" customHeight="1">
      <c r="A19" s="116" t="s">
        <v>5045</v>
      </c>
      <c r="B19" s="870">
        <v>45463.0</v>
      </c>
      <c r="C19" s="870">
        <v>45463.0</v>
      </c>
      <c r="D19" s="2" t="s">
        <v>602</v>
      </c>
      <c r="E19" s="915"/>
      <c r="F19" s="2" t="s">
        <v>4779</v>
      </c>
      <c r="G19" s="13">
        <v>88.0</v>
      </c>
      <c r="H19" s="13" t="s">
        <v>47</v>
      </c>
      <c r="I19" s="6">
        <v>7.96</v>
      </c>
      <c r="J19" s="58">
        <v>1.3</v>
      </c>
      <c r="K19" s="59">
        <f t="shared" si="1"/>
        <v>7.85652</v>
      </c>
      <c r="L19" s="139">
        <v>0.206</v>
      </c>
      <c r="M19" s="970">
        <v>0.203</v>
      </c>
      <c r="N19" s="970">
        <v>0.203</v>
      </c>
      <c r="O19" s="106">
        <f t="shared" si="2"/>
        <v>0.203</v>
      </c>
      <c r="P19" s="2">
        <v>90.0</v>
      </c>
      <c r="Q19" s="69">
        <v>88.75</v>
      </c>
      <c r="R19" s="65">
        <v>2327.765</v>
      </c>
      <c r="S19" s="3">
        <v>100.0</v>
      </c>
      <c r="U19" s="2">
        <v>130.0</v>
      </c>
      <c r="V19" s="2">
        <v>1.1023</v>
      </c>
      <c r="W19" s="68">
        <v>8.0</v>
      </c>
      <c r="X19" s="68">
        <v>10.0</v>
      </c>
      <c r="Y19" s="2">
        <v>25.0</v>
      </c>
      <c r="Z19" s="69">
        <f t="shared" si="3"/>
        <v>29.2</v>
      </c>
      <c r="AA19" s="70">
        <f t="shared" si="4"/>
        <v>54.2</v>
      </c>
      <c r="AB19" s="71">
        <f t="shared" si="5"/>
        <v>272.6336949</v>
      </c>
      <c r="AC19" s="71">
        <f>+(S19-T19)*V19-'data 1'!$F$4</f>
        <v>30.23</v>
      </c>
      <c r="AD19" s="71">
        <f t="shared" si="6"/>
        <v>-6.238185626</v>
      </c>
      <c r="AE19" s="71">
        <f>+(Y19*V19-'data 1'!$I$21)+V19*(Z19-IF(D19="UNTUCA",IF(+((W19-3)*2.5+(X19-3)*3.1)&gt;0,+((W19-3)*1.5+(X19-3)*3.1),0),IF(+((W19-3)*1.5+(X19-3)*3.1)&gt;0,+((W19-3)*1.5+(X19-3)*3.1),0)))</f>
        <v>1.976418919</v>
      </c>
      <c r="AF19" s="71">
        <f t="shared" si="7"/>
        <v>6.450162807</v>
      </c>
      <c r="AG19" s="71">
        <f t="shared" si="8"/>
        <v>32.4183961</v>
      </c>
      <c r="AH19" s="71">
        <f t="shared" si="9"/>
        <v>49.24644349</v>
      </c>
      <c r="AI19" s="69">
        <f t="shared" si="10"/>
        <v>41.87651024</v>
      </c>
      <c r="AJ19" s="70">
        <f t="shared" si="11"/>
        <v>49.21277301</v>
      </c>
      <c r="AK19" s="53">
        <f t="shared" si="12"/>
        <v>0.03367047962</v>
      </c>
      <c r="AL19" s="65"/>
      <c r="AM19" s="65"/>
    </row>
    <row r="20" ht="15.75" customHeight="1">
      <c r="A20" s="116" t="s">
        <v>5046</v>
      </c>
      <c r="B20" s="870">
        <v>45464.0</v>
      </c>
      <c r="C20" s="870">
        <v>45464.0</v>
      </c>
      <c r="D20" s="67" t="s">
        <v>602</v>
      </c>
      <c r="E20" s="915"/>
      <c r="F20" s="67" t="s">
        <v>5047</v>
      </c>
      <c r="G20" s="916">
        <v>83.0</v>
      </c>
      <c r="H20" s="916" t="s">
        <v>47</v>
      </c>
      <c r="I20" s="59">
        <v>8.31</v>
      </c>
      <c r="J20" s="69">
        <v>1.2</v>
      </c>
      <c r="K20" s="59">
        <f t="shared" si="1"/>
        <v>8.21028</v>
      </c>
      <c r="L20" s="405">
        <v>0.8711500000000001</v>
      </c>
      <c r="M20" s="106">
        <v>0.836304</v>
      </c>
      <c r="N20" s="969">
        <v>0.882</v>
      </c>
      <c r="O20" s="106">
        <f t="shared" si="2"/>
        <v>0.859</v>
      </c>
      <c r="P20" s="67">
        <v>90.0</v>
      </c>
      <c r="Q20" s="69">
        <v>88.07557911467184</v>
      </c>
      <c r="R20" s="70">
        <v>2311.875</v>
      </c>
      <c r="S20" s="134">
        <v>160.0</v>
      </c>
      <c r="T20" s="67"/>
      <c r="U20" s="67">
        <v>130.0</v>
      </c>
      <c r="V20" s="67">
        <v>1.1023</v>
      </c>
      <c r="W20" s="69">
        <v>8.0</v>
      </c>
      <c r="X20" s="69">
        <v>12.8</v>
      </c>
      <c r="Y20" s="67">
        <v>30.0</v>
      </c>
      <c r="Z20" s="69">
        <f t="shared" si="3"/>
        <v>37.88</v>
      </c>
      <c r="AA20" s="70">
        <f t="shared" si="4"/>
        <v>67.88</v>
      </c>
      <c r="AB20" s="71">
        <f t="shared" si="5"/>
        <v>1608.175852</v>
      </c>
      <c r="AC20" s="71">
        <f>+(S20-T20)*V20-'data 1'!$F$4</f>
        <v>96.368</v>
      </c>
      <c r="AD20" s="71">
        <f t="shared" si="6"/>
        <v>-40.32019985</v>
      </c>
      <c r="AE20" s="71">
        <f>+(Y20*V20-'data 1'!$I$21)+V20*(Z20-IF(D20="UNTUCA",IF(+((W20-3)*2.5+(X20-3)*3.1)&gt;0,+((W20-3)*1.5+(X20-3)*3.1),0),IF(+((W20-3)*1.5+(X20-3)*3.1)&gt;0,+((W20-3)*1.5+(X20-3)*3.1),0)))</f>
        <v>7.487918919</v>
      </c>
      <c r="AF20" s="71">
        <f t="shared" si="7"/>
        <v>25.73720957</v>
      </c>
      <c r="AG20" s="71">
        <f t="shared" si="8"/>
        <v>89.27292864</v>
      </c>
      <c r="AH20" s="71">
        <f t="shared" si="9"/>
        <v>215.9809694</v>
      </c>
      <c r="AI20" s="69">
        <f t="shared" si="10"/>
        <v>189.184311</v>
      </c>
      <c r="AJ20" s="69">
        <f t="shared" si="11"/>
        <v>217.6219567</v>
      </c>
      <c r="AK20" s="53">
        <f t="shared" si="12"/>
        <v>-1.64098737</v>
      </c>
      <c r="AL20" s="70"/>
      <c r="AM20" s="70"/>
      <c r="AN20" s="67"/>
      <c r="AO20" s="67"/>
      <c r="AP20" s="67"/>
      <c r="AQ20" s="67"/>
      <c r="AR20" s="67"/>
      <c r="AS20" s="67"/>
      <c r="AT20" s="67"/>
    </row>
    <row r="21" ht="15.75" customHeight="1">
      <c r="A21" s="116" t="s">
        <v>5048</v>
      </c>
      <c r="B21" s="870">
        <v>45464.0</v>
      </c>
      <c r="C21" s="870">
        <v>45464.0</v>
      </c>
      <c r="D21" s="67" t="s">
        <v>602</v>
      </c>
      <c r="E21" s="915"/>
      <c r="F21" s="67" t="s">
        <v>5047</v>
      </c>
      <c r="G21" s="916">
        <v>82.0</v>
      </c>
      <c r="H21" s="916" t="s">
        <v>47</v>
      </c>
      <c r="I21" s="59">
        <v>8.15</v>
      </c>
      <c r="J21" s="69">
        <v>1.5</v>
      </c>
      <c r="K21" s="59">
        <f t="shared" si="1"/>
        <v>8.02775</v>
      </c>
      <c r="L21" s="405">
        <v>1.0604999999999998</v>
      </c>
      <c r="M21" s="106">
        <v>1.0180799999999997</v>
      </c>
      <c r="N21" s="968">
        <v>1.0180799999999997</v>
      </c>
      <c r="O21" s="106">
        <f t="shared" si="2"/>
        <v>1.018</v>
      </c>
      <c r="P21" s="67">
        <v>90.0</v>
      </c>
      <c r="Q21" s="69">
        <v>88.48877664233108</v>
      </c>
      <c r="R21" s="70">
        <v>2311.875</v>
      </c>
      <c r="S21" s="134">
        <v>180.0</v>
      </c>
      <c r="T21" s="67"/>
      <c r="U21" s="67">
        <v>130.0</v>
      </c>
      <c r="V21" s="67">
        <v>1.1023</v>
      </c>
      <c r="W21" s="69">
        <v>8.0</v>
      </c>
      <c r="X21" s="69">
        <v>12.8</v>
      </c>
      <c r="Y21" s="67">
        <v>30.0</v>
      </c>
      <c r="Z21" s="69">
        <f t="shared" si="3"/>
        <v>37.88</v>
      </c>
      <c r="AA21" s="70">
        <f t="shared" si="4"/>
        <v>67.88</v>
      </c>
      <c r="AB21" s="71">
        <f t="shared" si="5"/>
        <v>1930.296916</v>
      </c>
      <c r="AC21" s="71">
        <f>+(S21-T21)*V21-'data 1'!$F$4</f>
        <v>118.414</v>
      </c>
      <c r="AD21" s="71">
        <f t="shared" si="6"/>
        <v>-38.54508466</v>
      </c>
      <c r="AE21" s="71">
        <f>+(Y21*V21-'data 1'!$I$21)+V21*(Z21-IF(D21="UNTUCA",IF(+((W21-3)*2.5+(X21-3)*3.1)&gt;0,+((W21-3)*1.5+(X21-3)*3.1),0),IF(+((W21-3)*1.5+(X21-3)*3.1)&gt;0,+((W21-3)*1.5+(X21-3)*3.1),0)))</f>
        <v>7.487918919</v>
      </c>
      <c r="AF21" s="71">
        <f t="shared" si="7"/>
        <v>90.44963</v>
      </c>
      <c r="AG21" s="71">
        <f t="shared" si="8"/>
        <v>177.8064643</v>
      </c>
      <c r="AH21" s="71">
        <f t="shared" si="9"/>
        <v>258.2865387</v>
      </c>
      <c r="AI21" s="69">
        <f t="shared" si="10"/>
        <v>231.3851767</v>
      </c>
      <c r="AJ21" s="69">
        <f t="shared" si="11"/>
        <v>252.1698708</v>
      </c>
      <c r="AK21" s="53">
        <f t="shared" si="12"/>
        <v>6.116667917</v>
      </c>
      <c r="AL21" s="70"/>
      <c r="AM21" s="70"/>
      <c r="AN21" s="67"/>
      <c r="AO21" s="67"/>
      <c r="AP21" s="67"/>
      <c r="AQ21" s="67"/>
      <c r="AR21" s="67"/>
      <c r="AS21" s="67"/>
      <c r="AT21" s="67"/>
    </row>
    <row r="22" ht="15.75" customHeight="1">
      <c r="A22" s="116" t="s">
        <v>5049</v>
      </c>
      <c r="B22" s="870">
        <v>45464.0</v>
      </c>
      <c r="C22" s="870">
        <v>45464.0</v>
      </c>
      <c r="D22" s="2" t="s">
        <v>602</v>
      </c>
      <c r="E22" s="915"/>
      <c r="F22" s="2" t="s">
        <v>5050</v>
      </c>
      <c r="G22" s="13">
        <v>81.0</v>
      </c>
      <c r="H22" s="13" t="s">
        <v>47</v>
      </c>
      <c r="I22" s="6">
        <v>8.24</v>
      </c>
      <c r="J22" s="58">
        <v>1.3</v>
      </c>
      <c r="K22" s="59">
        <f t="shared" si="1"/>
        <v>8.13288</v>
      </c>
      <c r="L22" s="139">
        <v>0.71</v>
      </c>
      <c r="M22" s="60">
        <v>0.6816</v>
      </c>
      <c r="N22" s="968">
        <v>0.6816</v>
      </c>
      <c r="O22" s="106">
        <f t="shared" si="2"/>
        <v>0.682</v>
      </c>
      <c r="P22" s="2">
        <v>90.0</v>
      </c>
      <c r="Q22" s="69">
        <v>88.22534108927444</v>
      </c>
      <c r="R22" s="65">
        <v>2311.875</v>
      </c>
      <c r="S22" s="3">
        <v>140.0</v>
      </c>
      <c r="U22" s="2">
        <v>130.0</v>
      </c>
      <c r="V22" s="2">
        <v>1.1023</v>
      </c>
      <c r="W22" s="58">
        <v>7.9</v>
      </c>
      <c r="X22" s="58">
        <v>12.7</v>
      </c>
      <c r="Y22" s="2">
        <v>30.0</v>
      </c>
      <c r="Z22" s="69">
        <f t="shared" si="3"/>
        <v>37.42</v>
      </c>
      <c r="AA22" s="70">
        <f t="shared" si="4"/>
        <v>67.42</v>
      </c>
      <c r="AB22" s="71">
        <f t="shared" si="5"/>
        <v>1247.599537</v>
      </c>
      <c r="AC22" s="71">
        <f>+(S22-T22)*V22-'data 1'!$F$4</f>
        <v>74.322</v>
      </c>
      <c r="AD22" s="71">
        <f t="shared" si="6"/>
        <v>-30.30420647</v>
      </c>
      <c r="AE22" s="71">
        <f>+(Y22*V22-'data 1'!$I$21)+V22*(Z22-IF(D22="UNTUCA",IF(+((W22-3)*2.5+(X22-3)*3.1)&gt;0,+((W22-3)*1.5+(X22-3)*3.1),0),IF(+((W22-3)*1.5+(X22-3)*3.1)&gt;0,+((W22-3)*1.5+(X22-3)*3.1),0)))</f>
        <v>7.487918919</v>
      </c>
      <c r="AF22" s="71">
        <f t="shared" si="7"/>
        <v>59.41294101</v>
      </c>
      <c r="AG22" s="71">
        <f t="shared" si="8"/>
        <v>110.9186535</v>
      </c>
      <c r="AH22" s="71">
        <f t="shared" si="9"/>
        <v>174.6646944</v>
      </c>
      <c r="AI22" s="58">
        <f t="shared" si="10"/>
        <v>154.4501606</v>
      </c>
      <c r="AJ22" s="58">
        <f t="shared" si="11"/>
        <v>171.1513455</v>
      </c>
      <c r="AK22" s="11">
        <f t="shared" si="12"/>
        <v>3.513348906</v>
      </c>
      <c r="AL22" s="65"/>
      <c r="AM22" s="65"/>
    </row>
    <row r="23" ht="15.75" customHeight="1">
      <c r="A23" s="116" t="s">
        <v>5051</v>
      </c>
      <c r="B23" s="870">
        <v>45464.0</v>
      </c>
      <c r="C23" s="870">
        <v>45464.0</v>
      </c>
      <c r="D23" s="2" t="s">
        <v>602</v>
      </c>
      <c r="E23" s="915"/>
      <c r="F23" s="2" t="s">
        <v>5050</v>
      </c>
      <c r="G23" s="13">
        <v>80.0</v>
      </c>
      <c r="H23" s="13" t="s">
        <v>47</v>
      </c>
      <c r="I23" s="6">
        <v>8.14</v>
      </c>
      <c r="J23" s="58">
        <v>1.2</v>
      </c>
      <c r="K23" s="59">
        <f t="shared" si="1"/>
        <v>8.04232</v>
      </c>
      <c r="L23" s="139">
        <v>0.9145</v>
      </c>
      <c r="M23" s="60">
        <v>0.8779199999999999</v>
      </c>
      <c r="N23" s="969">
        <v>1.086</v>
      </c>
      <c r="O23" s="106">
        <f t="shared" si="2"/>
        <v>0.982</v>
      </c>
      <c r="P23" s="2">
        <v>90.0</v>
      </c>
      <c r="Q23" s="69">
        <v>88.51050904404573</v>
      </c>
      <c r="R23" s="65">
        <v>2311.875</v>
      </c>
      <c r="S23" s="3">
        <v>170.0</v>
      </c>
      <c r="U23" s="2">
        <v>130.0</v>
      </c>
      <c r="V23" s="2">
        <v>1.1023</v>
      </c>
      <c r="W23" s="58">
        <v>7.9</v>
      </c>
      <c r="X23" s="58">
        <v>12.7</v>
      </c>
      <c r="Y23" s="2">
        <v>40.0</v>
      </c>
      <c r="Z23" s="69">
        <f t="shared" si="3"/>
        <v>37.42</v>
      </c>
      <c r="AA23" s="70">
        <f t="shared" si="4"/>
        <v>77.42</v>
      </c>
      <c r="AB23" s="71">
        <f t="shared" si="5"/>
        <v>1852.879356</v>
      </c>
      <c r="AC23" s="71">
        <f>+(S23-T23)*V23-'data 1'!$F$4</f>
        <v>107.391</v>
      </c>
      <c r="AD23" s="71">
        <f t="shared" si="6"/>
        <v>-32.76055525</v>
      </c>
      <c r="AE23" s="71">
        <f>+(Y23*V23-'data 1'!$I$21)+V23*(Z23-IF(D23="UNTUCA",IF(+((W23-3)*2.5+(X23-3)*3.1)&gt;0,+((W23-3)*1.5+(X23-3)*3.1),0),IF(+((W23-3)*1.5+(X23-3)*3.1)&gt;0,+((W23-3)*1.5+(X23-3)*3.1),0)))</f>
        <v>18.51091892</v>
      </c>
      <c r="AF23" s="71">
        <f t="shared" si="7"/>
        <v>-143.6905757</v>
      </c>
      <c r="AG23" s="71">
        <f t="shared" si="8"/>
        <v>-50.54921206</v>
      </c>
      <c r="AH23" s="71">
        <f t="shared" si="9"/>
        <v>223.1870372</v>
      </c>
      <c r="AI23" s="58">
        <f t="shared" si="10"/>
        <v>199.5791725</v>
      </c>
      <c r="AJ23" s="58">
        <f t="shared" si="11"/>
        <v>243.693764</v>
      </c>
      <c r="AK23" s="11">
        <f t="shared" si="12"/>
        <v>-20.50672678</v>
      </c>
      <c r="AL23" s="65" t="s">
        <v>5052</v>
      </c>
      <c r="AM23" s="65"/>
    </row>
    <row r="24" ht="15.75" customHeight="1">
      <c r="A24" s="116" t="s">
        <v>5053</v>
      </c>
      <c r="B24" s="870">
        <v>45468.0</v>
      </c>
      <c r="C24" s="870">
        <v>45468.0</v>
      </c>
      <c r="D24" s="2" t="s">
        <v>602</v>
      </c>
      <c r="E24" s="915"/>
      <c r="F24" s="2" t="s">
        <v>5054</v>
      </c>
      <c r="G24" s="13">
        <v>35.0</v>
      </c>
      <c r="H24" s="13" t="s">
        <v>47</v>
      </c>
      <c r="I24" s="6">
        <v>3.21</v>
      </c>
      <c r="J24" s="58">
        <v>1.0</v>
      </c>
      <c r="K24" s="59">
        <f t="shared" si="1"/>
        <v>3.1779</v>
      </c>
      <c r="L24" s="139">
        <v>0.328</v>
      </c>
      <c r="M24" s="75">
        <v>0.315</v>
      </c>
      <c r="N24" s="75">
        <v>0.315</v>
      </c>
      <c r="O24" s="106">
        <f t="shared" si="2"/>
        <v>0.315</v>
      </c>
      <c r="P24" s="2">
        <v>90.0</v>
      </c>
      <c r="Q24" s="69">
        <v>88.27</v>
      </c>
      <c r="R24" s="65">
        <v>2315.59</v>
      </c>
      <c r="S24" s="3">
        <v>130.0</v>
      </c>
      <c r="U24" s="2">
        <v>130.0</v>
      </c>
      <c r="V24" s="2">
        <v>1.1023</v>
      </c>
      <c r="W24" s="69">
        <v>7.9</v>
      </c>
      <c r="X24" s="69">
        <v>12.1</v>
      </c>
      <c r="Y24" s="2">
        <v>25.0</v>
      </c>
      <c r="Z24" s="69">
        <f t="shared" si="3"/>
        <v>35.56</v>
      </c>
      <c r="AA24" s="70">
        <f t="shared" si="4"/>
        <v>60.56</v>
      </c>
      <c r="AB24" s="71">
        <f t="shared" si="5"/>
        <v>472.9470675</v>
      </c>
      <c r="AC24" s="71">
        <f>+(S24-T24)*V24-'data 1'!$F$4</f>
        <v>63.299</v>
      </c>
      <c r="AD24" s="71">
        <f t="shared" si="6"/>
        <v>-13.67062748</v>
      </c>
      <c r="AE24" s="71">
        <f>+(Y24*V24-'data 1'!$I$21)+V24*(Z24-IF(D24="UNTUCA",IF(+((W24-3)*2.5+(X24-3)*3.1)&gt;0,+((W24-3)*1.5+(X24-3)*3.1),0),IF(+((W24-3)*1.5+(X24-3)*3.1)&gt;0,+((W24-3)*1.5+(X24-3)*3.1),0)))</f>
        <v>1.976418919</v>
      </c>
      <c r="AF24" s="71">
        <f t="shared" si="7"/>
        <v>27.64553388</v>
      </c>
      <c r="AG24" s="71">
        <f t="shared" si="8"/>
        <v>79.25032531</v>
      </c>
      <c r="AH24" s="71">
        <f t="shared" si="9"/>
        <v>31.54541655</v>
      </c>
      <c r="AI24" s="58">
        <f t="shared" si="10"/>
        <v>70.20212083</v>
      </c>
      <c r="AJ24" s="58">
        <f t="shared" si="11"/>
        <v>30.88889408</v>
      </c>
      <c r="AK24" s="11">
        <f t="shared" si="12"/>
        <v>0.6565224698</v>
      </c>
      <c r="AL24" s="65"/>
      <c r="AM24" s="65"/>
    </row>
    <row r="25" ht="15.75" customHeight="1">
      <c r="A25" s="116" t="s">
        <v>5055</v>
      </c>
      <c r="B25" s="870">
        <v>45468.0</v>
      </c>
      <c r="C25" s="870">
        <v>45468.0</v>
      </c>
      <c r="D25" s="2" t="s">
        <v>602</v>
      </c>
      <c r="E25" s="915"/>
      <c r="F25" s="2" t="s">
        <v>5056</v>
      </c>
      <c r="G25" s="13">
        <v>116.0</v>
      </c>
      <c r="H25" s="13" t="s">
        <v>47</v>
      </c>
      <c r="I25" s="6">
        <v>10.27</v>
      </c>
      <c r="J25" s="58">
        <v>0.5</v>
      </c>
      <c r="K25" s="59">
        <f t="shared" si="1"/>
        <v>10.21865</v>
      </c>
      <c r="L25" s="139">
        <v>0.817</v>
      </c>
      <c r="M25" s="917">
        <v>0.782</v>
      </c>
      <c r="N25" s="917">
        <v>0.782</v>
      </c>
      <c r="O25" s="106">
        <f t="shared" si="2"/>
        <v>0.782</v>
      </c>
      <c r="P25" s="2">
        <v>90.0</v>
      </c>
      <c r="Q25" s="69">
        <v>88.21</v>
      </c>
      <c r="R25" s="65">
        <v>2315.59</v>
      </c>
      <c r="S25" s="3">
        <v>150.0</v>
      </c>
      <c r="U25" s="2">
        <v>130.0</v>
      </c>
      <c r="V25" s="2">
        <v>1.1023</v>
      </c>
      <c r="W25" s="69">
        <v>7.9</v>
      </c>
      <c r="X25" s="69">
        <v>11.4</v>
      </c>
      <c r="Y25" s="2">
        <v>25.0</v>
      </c>
      <c r="Z25" s="69">
        <f t="shared" si="3"/>
        <v>33.39</v>
      </c>
      <c r="AA25" s="70">
        <f t="shared" si="4"/>
        <v>58.39</v>
      </c>
      <c r="AB25" s="71">
        <f t="shared" si="5"/>
        <v>1465.869671</v>
      </c>
      <c r="AC25" s="71">
        <f>+(S25-T25)*V25-'data 1'!$F$4</f>
        <v>85.345</v>
      </c>
      <c r="AD25" s="71">
        <f t="shared" si="6"/>
        <v>-35.23251049</v>
      </c>
      <c r="AE25" s="71">
        <f>+(Y25*V25-'data 1'!$I$21)+V25*(Z25-IF(D25="UNTUCA",IF(+((W25-3)*2.5+(X25-3)*3.1)&gt;0,+((W25-3)*1.5+(X25-3)*3.1),0),IF(+((W25-3)*1.5+(X25-3)*3.1)&gt;0,+((W25-3)*1.5+(X25-3)*3.1),0)))</f>
        <v>1.976418919</v>
      </c>
      <c r="AF25" s="71">
        <f t="shared" si="7"/>
        <v>74.37969082</v>
      </c>
      <c r="AG25" s="71">
        <f t="shared" si="8"/>
        <v>126.4685993</v>
      </c>
      <c r="AH25" s="71">
        <f t="shared" si="9"/>
        <v>252.4890058</v>
      </c>
      <c r="AI25" s="58">
        <f t="shared" si="10"/>
        <v>174.7443493</v>
      </c>
      <c r="AJ25" s="58">
        <f t="shared" si="11"/>
        <v>246.5765979</v>
      </c>
      <c r="AK25" s="11">
        <f t="shared" si="12"/>
        <v>5.912407918</v>
      </c>
      <c r="AL25" s="65"/>
      <c r="AM25" s="65"/>
    </row>
    <row r="26" ht="15.75" customHeight="1">
      <c r="A26" s="116" t="s">
        <v>5057</v>
      </c>
      <c r="B26" s="841">
        <v>45468.0</v>
      </c>
      <c r="C26" s="870">
        <v>45468.0</v>
      </c>
      <c r="D26" s="67" t="s">
        <v>602</v>
      </c>
      <c r="E26" s="915"/>
      <c r="F26" s="67" t="s">
        <v>5058</v>
      </c>
      <c r="G26" s="916">
        <v>163.0</v>
      </c>
      <c r="H26" s="916" t="s">
        <v>47</v>
      </c>
      <c r="I26" s="59">
        <v>15.66</v>
      </c>
      <c r="J26" s="69">
        <v>1.0</v>
      </c>
      <c r="K26" s="59">
        <f t="shared" si="1"/>
        <v>15.5034</v>
      </c>
      <c r="L26" s="405">
        <v>0.643</v>
      </c>
      <c r="M26" s="106">
        <v>0.6172799999999999</v>
      </c>
      <c r="N26" s="969">
        <v>0.751</v>
      </c>
      <c r="O26" s="106">
        <f t="shared" si="2"/>
        <v>0.684</v>
      </c>
      <c r="P26" s="67">
        <v>90.0</v>
      </c>
      <c r="Q26" s="69">
        <v>88.14</v>
      </c>
      <c r="R26" s="70">
        <v>2315.59</v>
      </c>
      <c r="S26" s="134">
        <v>140.0</v>
      </c>
      <c r="T26" s="67"/>
      <c r="U26" s="67">
        <v>130.0</v>
      </c>
      <c r="V26" s="67">
        <v>1.1023</v>
      </c>
      <c r="W26" s="69">
        <v>8.0</v>
      </c>
      <c r="X26" s="69">
        <v>11.8</v>
      </c>
      <c r="Y26" s="67">
        <v>50.0</v>
      </c>
      <c r="Z26" s="69">
        <f t="shared" si="3"/>
        <v>34.78</v>
      </c>
      <c r="AA26" s="70">
        <f t="shared" si="4"/>
        <v>84.78</v>
      </c>
      <c r="AB26" s="71">
        <f t="shared" si="5"/>
        <v>1235.313664</v>
      </c>
      <c r="AC26" s="71">
        <f>+(S26-T26)*V26-'data 1'!$F$4</f>
        <v>74.322</v>
      </c>
      <c r="AD26" s="71">
        <f t="shared" si="6"/>
        <v>-28.81326141</v>
      </c>
      <c r="AE26" s="71">
        <f>+(Y26*V26-'data 1'!$I$21)+V26*(Z26-IF(D26="UNTUCA",IF(+((W26-3)*2.5+(X26-3)*3.1)&gt;0,+((W26-3)*1.5+(X26-3)*3.1),0),IF(+((W26-3)*1.5+(X26-3)*3.1)&gt;0,+((W26-3)*1.5+(X26-3)*3.1),0)))</f>
        <v>29.53391892</v>
      </c>
      <c r="AF26" s="71">
        <f t="shared" si="7"/>
        <v>-87.06135161</v>
      </c>
      <c r="AG26" s="71">
        <f t="shared" si="8"/>
        <v>-12.01869411</v>
      </c>
      <c r="AH26" s="71">
        <f t="shared" si="9"/>
        <v>301.2451341</v>
      </c>
      <c r="AI26" s="69">
        <f t="shared" si="10"/>
        <v>137.4191574</v>
      </c>
      <c r="AJ26" s="69">
        <f t="shared" si="11"/>
        <v>327.2160764</v>
      </c>
      <c r="AK26" s="53">
        <f t="shared" si="12"/>
        <v>-25.97094225</v>
      </c>
      <c r="AL26" s="65" t="s">
        <v>5052</v>
      </c>
      <c r="AM26" s="70"/>
      <c r="AN26" s="67"/>
      <c r="AO26" s="67"/>
      <c r="AP26" s="67"/>
      <c r="AQ26" s="67"/>
      <c r="AR26" s="67"/>
      <c r="AS26" s="67"/>
      <c r="AT26" s="67"/>
    </row>
    <row r="27" ht="15.75" customHeight="1">
      <c r="A27" s="116" t="s">
        <v>5059</v>
      </c>
      <c r="B27" s="870">
        <v>45472.0</v>
      </c>
      <c r="C27" s="870">
        <v>45472.0</v>
      </c>
      <c r="D27" s="2" t="s">
        <v>4571</v>
      </c>
      <c r="E27" s="915"/>
      <c r="F27" s="2" t="s">
        <v>5060</v>
      </c>
      <c r="G27" s="13">
        <v>97.0</v>
      </c>
      <c r="H27" s="13" t="s">
        <v>47</v>
      </c>
      <c r="I27" s="6">
        <v>8.55</v>
      </c>
      <c r="J27" s="58">
        <v>2.5</v>
      </c>
      <c r="K27" s="59">
        <f t="shared" si="1"/>
        <v>8.33625</v>
      </c>
      <c r="L27" s="139">
        <v>0.308</v>
      </c>
      <c r="M27" s="60">
        <v>0.29</v>
      </c>
      <c r="N27" s="969">
        <v>0.31</v>
      </c>
      <c r="O27" s="106">
        <f t="shared" si="2"/>
        <v>0.3</v>
      </c>
      <c r="P27" s="67">
        <v>88.0</v>
      </c>
      <c r="Q27" s="67">
        <v>89.61</v>
      </c>
      <c r="R27" s="65">
        <v>2318.6</v>
      </c>
      <c r="S27" s="3">
        <v>130.0</v>
      </c>
      <c r="U27" s="67">
        <v>130.0</v>
      </c>
      <c r="V27" s="67">
        <v>1.1023</v>
      </c>
      <c r="W27" s="58">
        <v>6.5</v>
      </c>
      <c r="X27" s="58">
        <v>7.8</v>
      </c>
      <c r="Y27" s="67">
        <v>30.0</v>
      </c>
      <c r="Z27" s="140">
        <f t="shared" ref="Z27:Z44" si="13">IF(IF(D27="UNTUCA",IF(+((W27-3)*1.5+(X27-3)*3.1)&gt;0,+((W27-3)*1.5+(X27-3)*3.1),0),IF(+((W27-3)*1.5+(X27-3)*3.1)&gt;0,+((W27-3)*1.5+(X27-3)*3.1),0))&lt;30,30,IF(D27="UNTUCA",IF(+((W27-3)*1.5+(X27-3)*3.1)&gt;0,+((W27-3)*1.5+(X27-3)*3.1),0),IF(+((W27-3)*1.5+(X27-3)*3.1)&gt;0,+((W27-3)*1.5+(X27-3)*3.1),0)))</f>
        <v>30</v>
      </c>
      <c r="AA27" s="70">
        <f t="shared" si="4"/>
        <v>60</v>
      </c>
      <c r="AB27" s="71">
        <f t="shared" si="5"/>
        <v>427.4613579</v>
      </c>
      <c r="AC27" s="71">
        <f>+(S27-T27)*V27-'data 1'!$F$4</f>
        <v>63.299</v>
      </c>
      <c r="AD27" s="71">
        <f t="shared" si="6"/>
        <v>11.96307416</v>
      </c>
      <c r="AE27" s="71">
        <f>+(Y27*V27-'data 1'!$I$21)+V27*(Z27-IF(D27="UNTUCA",IF(+((W27-3)*2.5+(X27-3)*3.1)&gt;0,+((W27-3)*1.5+(X27-3)*3.1),0),IF(+((W27-3)*1.5+(X27-3)*3.1)&gt;0,+((W27-3)*1.5+(X27-3)*3.1),0)))</f>
        <v>18.36761992</v>
      </c>
      <c r="AF27" s="71">
        <f t="shared" si="7"/>
        <v>17.29468541</v>
      </c>
      <c r="AG27" s="71">
        <f t="shared" si="8"/>
        <v>110.9243795</v>
      </c>
      <c r="AH27" s="71">
        <f t="shared" si="9"/>
        <v>78.88364928</v>
      </c>
      <c r="AI27" s="58">
        <f t="shared" si="10"/>
        <v>66.00649522</v>
      </c>
      <c r="AJ27" s="58">
        <f t="shared" si="11"/>
        <v>75.45425346</v>
      </c>
      <c r="AK27" s="11">
        <f t="shared" si="12"/>
        <v>3.42939582</v>
      </c>
      <c r="AL27" s="65"/>
      <c r="AM27" s="65"/>
    </row>
    <row r="28" ht="15.75" customHeight="1">
      <c r="A28" s="116" t="s">
        <v>5061</v>
      </c>
      <c r="B28" s="870">
        <v>45472.0</v>
      </c>
      <c r="C28" s="870">
        <v>45472.0</v>
      </c>
      <c r="D28" s="2" t="s">
        <v>4571</v>
      </c>
      <c r="E28" s="915"/>
      <c r="F28" s="2" t="s">
        <v>5060</v>
      </c>
      <c r="G28" s="13">
        <v>86.0</v>
      </c>
      <c r="H28" s="13" t="s">
        <v>47</v>
      </c>
      <c r="I28" s="6">
        <v>7.87</v>
      </c>
      <c r="J28" s="58">
        <v>3.55</v>
      </c>
      <c r="K28" s="59">
        <f t="shared" si="1"/>
        <v>7.590615</v>
      </c>
      <c r="L28" s="139">
        <v>0.244</v>
      </c>
      <c r="M28" s="60">
        <v>0.234</v>
      </c>
      <c r="N28" s="969">
        <v>0.255</v>
      </c>
      <c r="O28" s="106">
        <f t="shared" si="2"/>
        <v>0.245</v>
      </c>
      <c r="P28" s="67">
        <v>88.0</v>
      </c>
      <c r="Q28" s="67">
        <v>89.91</v>
      </c>
      <c r="R28" s="65">
        <v>2318.6</v>
      </c>
      <c r="S28" s="3">
        <v>125.0</v>
      </c>
      <c r="U28" s="67">
        <v>130.0</v>
      </c>
      <c r="V28" s="67">
        <v>1.1023</v>
      </c>
      <c r="W28" s="58">
        <v>6.5</v>
      </c>
      <c r="X28" s="58">
        <v>7.9</v>
      </c>
      <c r="Y28" s="67">
        <v>30.0</v>
      </c>
      <c r="Z28" s="140">
        <f t="shared" si="13"/>
        <v>30</v>
      </c>
      <c r="AA28" s="70">
        <f t="shared" si="4"/>
        <v>60</v>
      </c>
      <c r="AB28" s="71">
        <f t="shared" si="5"/>
        <v>316.208159</v>
      </c>
      <c r="AC28" s="71">
        <f>+(S28-T28)*V28-'data 1'!$F$4</f>
        <v>57.7875</v>
      </c>
      <c r="AD28" s="71">
        <f t="shared" si="6"/>
        <v>11.24318601</v>
      </c>
      <c r="AE28" s="71">
        <f>+(Y28*V28-'data 1'!$I$21)+V28*(Z28-IF(D28="UNTUCA",IF(+((W28-3)*2.5+(X28-3)*3.1)&gt;0,+((W28-3)*1.5+(X28-3)*3.1),0),IF(+((W28-3)*1.5+(X28-3)*3.1)&gt;0,+((W28-3)*1.5+(X28-3)*3.1),0)))</f>
        <v>18.02590692</v>
      </c>
      <c r="AF28" s="71">
        <f t="shared" si="7"/>
        <v>-2.169073158</v>
      </c>
      <c r="AG28" s="71">
        <f t="shared" si="8"/>
        <v>84.88751977</v>
      </c>
      <c r="AH28" s="71">
        <f t="shared" si="9"/>
        <v>57.09313063</v>
      </c>
      <c r="AI28" s="58">
        <f t="shared" si="10"/>
        <v>52.46592132</v>
      </c>
      <c r="AJ28" s="58">
        <f t="shared" si="11"/>
        <v>56.10929218</v>
      </c>
      <c r="AK28" s="11">
        <f t="shared" si="12"/>
        <v>0.9838384423</v>
      </c>
      <c r="AL28" s="65"/>
      <c r="AM28" s="65"/>
    </row>
    <row r="29" ht="15.75" customHeight="1">
      <c r="A29" s="116" t="s">
        <v>5062</v>
      </c>
      <c r="B29" s="870">
        <v>45472.0</v>
      </c>
      <c r="C29" s="870">
        <v>45472.0</v>
      </c>
      <c r="D29" s="2" t="s">
        <v>4571</v>
      </c>
      <c r="E29" s="915"/>
      <c r="F29" s="2" t="s">
        <v>5060</v>
      </c>
      <c r="G29" s="13">
        <v>83.0</v>
      </c>
      <c r="H29" s="13" t="s">
        <v>47</v>
      </c>
      <c r="I29" s="6">
        <v>7.32</v>
      </c>
      <c r="J29" s="58">
        <v>3.45</v>
      </c>
      <c r="K29" s="59">
        <f t="shared" si="1"/>
        <v>7.06746</v>
      </c>
      <c r="L29" s="139">
        <v>0.266</v>
      </c>
      <c r="M29" s="60">
        <v>0.25</v>
      </c>
      <c r="N29" s="969">
        <v>0.279</v>
      </c>
      <c r="O29" s="106">
        <f t="shared" si="2"/>
        <v>0.265</v>
      </c>
      <c r="P29" s="67">
        <v>88.0</v>
      </c>
      <c r="Q29" s="67">
        <v>89.53</v>
      </c>
      <c r="R29" s="65">
        <v>2318.6</v>
      </c>
      <c r="S29" s="3">
        <v>125.0</v>
      </c>
      <c r="U29" s="67">
        <v>130.0</v>
      </c>
      <c r="V29" s="67">
        <v>1.1023</v>
      </c>
      <c r="W29" s="58">
        <v>6.5</v>
      </c>
      <c r="X29" s="58">
        <v>7.9</v>
      </c>
      <c r="Y29" s="67">
        <v>30.0</v>
      </c>
      <c r="Z29" s="140">
        <f t="shared" si="13"/>
        <v>30</v>
      </c>
      <c r="AA29" s="70">
        <f t="shared" si="4"/>
        <v>60</v>
      </c>
      <c r="AB29" s="71">
        <f t="shared" si="5"/>
        <v>358.6680495</v>
      </c>
      <c r="AC29" s="71">
        <f>+(S29-T29)*V29-'data 1'!$F$4</f>
        <v>57.7875</v>
      </c>
      <c r="AD29" s="71">
        <f t="shared" si="6"/>
        <v>9.818367186</v>
      </c>
      <c r="AE29" s="71">
        <f>+(Y29*V29-'data 1'!$I$21)+V29*(Z29-IF(D29="UNTUCA",IF(+((W29-3)*2.5+(X29-3)*3.1)&gt;0,+((W29-3)*1.5+(X29-3)*3.1),0),IF(+((W29-3)*1.5+(X29-3)*3.1)&gt;0,+((W29-3)*1.5+(X29-3)*3.1),0)))</f>
        <v>18.02590692</v>
      </c>
      <c r="AF29" s="71">
        <f t="shared" si="7"/>
        <v>2.159905681</v>
      </c>
      <c r="AG29" s="71">
        <f t="shared" si="8"/>
        <v>87.79167979</v>
      </c>
      <c r="AH29" s="71">
        <f t="shared" si="9"/>
        <v>57.70622298</v>
      </c>
      <c r="AI29" s="58">
        <f t="shared" si="10"/>
        <v>56.95471732</v>
      </c>
      <c r="AJ29" s="58">
        <f t="shared" si="11"/>
        <v>56.50683393</v>
      </c>
      <c r="AK29" s="11">
        <f t="shared" si="12"/>
        <v>1.199389051</v>
      </c>
      <c r="AL29" s="65"/>
      <c r="AM29" s="65"/>
    </row>
    <row r="30" ht="15.75" customHeight="1">
      <c r="A30" s="116" t="s">
        <v>5063</v>
      </c>
      <c r="B30" s="870">
        <v>45473.0</v>
      </c>
      <c r="C30" s="870">
        <v>45473.0</v>
      </c>
      <c r="D30" s="2" t="s">
        <v>602</v>
      </c>
      <c r="E30" s="915"/>
      <c r="F30" s="2" t="s">
        <v>5064</v>
      </c>
      <c r="G30" s="13">
        <v>82.0</v>
      </c>
      <c r="H30" s="13" t="s">
        <v>47</v>
      </c>
      <c r="I30" s="6">
        <v>8.04</v>
      </c>
      <c r="J30" s="58">
        <v>2.2</v>
      </c>
      <c r="K30" s="59">
        <f t="shared" si="1"/>
        <v>7.86312</v>
      </c>
      <c r="L30" s="139">
        <v>0.244</v>
      </c>
      <c r="M30" s="60">
        <v>0.232</v>
      </c>
      <c r="N30" s="968">
        <v>0.232</v>
      </c>
      <c r="O30" s="106">
        <f t="shared" si="2"/>
        <v>0.232</v>
      </c>
      <c r="P30" s="67">
        <v>90.0</v>
      </c>
      <c r="Q30" s="67">
        <v>89.71</v>
      </c>
      <c r="R30" s="65">
        <v>2318.6</v>
      </c>
      <c r="S30" s="3">
        <v>110.0</v>
      </c>
      <c r="U30" s="67">
        <v>130.0</v>
      </c>
      <c r="V30" s="67">
        <v>1.1023</v>
      </c>
      <c r="W30" s="58">
        <v>6.9</v>
      </c>
      <c r="X30" s="58">
        <v>9.7</v>
      </c>
      <c r="Y30" s="67">
        <v>30.0</v>
      </c>
      <c r="Z30" s="140">
        <f t="shared" si="13"/>
        <v>30</v>
      </c>
      <c r="AA30" s="70">
        <f t="shared" si="4"/>
        <v>60</v>
      </c>
      <c r="AB30" s="71">
        <f t="shared" si="5"/>
        <v>316.3377013</v>
      </c>
      <c r="AC30" s="71">
        <f>+(S30-T30)*V30-'data 1'!$F$4</f>
        <v>41.253</v>
      </c>
      <c r="AD30" s="71">
        <f t="shared" si="6"/>
        <v>-1.707080599</v>
      </c>
      <c r="AE30" s="71">
        <f>+(Y30*V30-'data 1'!$I$21)+V30*(Z30-IF(D30="UNTUCA",IF(+((W30-3)*2.5+(X30-3)*3.1)&gt;0,+((W30-3)*1.5+(X30-3)*3.1),0),IF(+((W30-3)*1.5+(X30-3)*3.1)&gt;0,+((W30-3)*1.5+(X30-3)*3.1),0)))</f>
        <v>11.21369292</v>
      </c>
      <c r="AF30" s="71">
        <f t="shared" si="7"/>
        <v>25.97097804</v>
      </c>
      <c r="AG30" s="71">
        <f t="shared" si="8"/>
        <v>76.73059036</v>
      </c>
      <c r="AH30" s="71">
        <f t="shared" si="9"/>
        <v>59.01122849</v>
      </c>
      <c r="AI30" s="58">
        <f t="shared" si="10"/>
        <v>52.34921367</v>
      </c>
      <c r="AJ30" s="58">
        <f t="shared" si="11"/>
        <v>56.29041716</v>
      </c>
      <c r="AK30" s="11">
        <f t="shared" si="12"/>
        <v>2.720811332</v>
      </c>
      <c r="AL30" s="65"/>
      <c r="AM30" s="65"/>
    </row>
    <row r="31" ht="15.75" customHeight="1">
      <c r="A31" s="116" t="s">
        <v>5065</v>
      </c>
      <c r="B31" s="870">
        <v>45473.0</v>
      </c>
      <c r="C31" s="870">
        <v>45473.0</v>
      </c>
      <c r="D31" s="2" t="s">
        <v>602</v>
      </c>
      <c r="E31" s="915"/>
      <c r="F31" s="2" t="s">
        <v>5064</v>
      </c>
      <c r="G31" s="13">
        <v>83.0</v>
      </c>
      <c r="H31" s="13" t="s">
        <v>47</v>
      </c>
      <c r="I31" s="6">
        <v>8.22</v>
      </c>
      <c r="J31" s="58">
        <v>2.1</v>
      </c>
      <c r="K31" s="59">
        <f t="shared" si="1"/>
        <v>8.04738</v>
      </c>
      <c r="L31" s="139">
        <v>0.245</v>
      </c>
      <c r="M31" s="60">
        <v>0.245</v>
      </c>
      <c r="N31" s="968">
        <v>0.245</v>
      </c>
      <c r="O31" s="106">
        <f t="shared" si="2"/>
        <v>0.245</v>
      </c>
      <c r="P31" s="67">
        <v>90.0</v>
      </c>
      <c r="Q31" s="67">
        <v>89.87</v>
      </c>
      <c r="R31" s="65">
        <v>2318.6</v>
      </c>
      <c r="S31" s="3">
        <v>110.0</v>
      </c>
      <c r="U31" s="67">
        <v>130.0</v>
      </c>
      <c r="V31" s="67">
        <v>1.1023</v>
      </c>
      <c r="W31" s="58">
        <v>6.9</v>
      </c>
      <c r="X31" s="58">
        <v>9.7</v>
      </c>
      <c r="Y31" s="67">
        <v>30.0</v>
      </c>
      <c r="Z31" s="140">
        <f t="shared" si="13"/>
        <v>30</v>
      </c>
      <c r="AA31" s="70">
        <f t="shared" si="4"/>
        <v>60</v>
      </c>
      <c r="AB31" s="71">
        <f t="shared" si="5"/>
        <v>344.5638785</v>
      </c>
      <c r="AC31" s="71">
        <f>+(S31-T31)*V31-'data 1'!$F$4</f>
        <v>41.253</v>
      </c>
      <c r="AD31" s="71">
        <f t="shared" si="6"/>
        <v>-0.7683792689</v>
      </c>
      <c r="AE31" s="71">
        <f>+(Y31*V31-'data 1'!$I$21)+V31*(Z31-IF(D31="UNTUCA",IF(+((W31-3)*2.5+(X31-3)*3.1)&gt;0,+((W31-3)*1.5+(X31-3)*3.1),0),IF(+((W31-3)*1.5+(X31-3)*3.1)&gt;0,+((W31-3)*1.5+(X31-3)*3.1),0)))</f>
        <v>11.21369292</v>
      </c>
      <c r="AF31" s="71">
        <f t="shared" si="7"/>
        <v>0</v>
      </c>
      <c r="AG31" s="71">
        <f t="shared" si="8"/>
        <v>51.69831365</v>
      </c>
      <c r="AH31" s="71">
        <f t="shared" si="9"/>
        <v>60.74973736</v>
      </c>
      <c r="AI31" s="58">
        <f t="shared" si="10"/>
        <v>52.65750839</v>
      </c>
      <c r="AJ31" s="58">
        <f t="shared" si="11"/>
        <v>60.83761391</v>
      </c>
      <c r="AK31" s="11">
        <f t="shared" si="12"/>
        <v>-0.08787655343</v>
      </c>
      <c r="AL31" s="65"/>
      <c r="AM31" s="65"/>
    </row>
    <row r="32" ht="15.75" customHeight="1">
      <c r="A32" s="116" t="s">
        <v>5066</v>
      </c>
      <c r="B32" s="870">
        <v>45473.0</v>
      </c>
      <c r="C32" s="870">
        <v>45473.0</v>
      </c>
      <c r="D32" s="2" t="s">
        <v>4466</v>
      </c>
      <c r="E32" s="915"/>
      <c r="F32" s="2" t="s">
        <v>5067</v>
      </c>
      <c r="G32" s="13">
        <v>111.0</v>
      </c>
      <c r="H32" s="13" t="s">
        <v>47</v>
      </c>
      <c r="I32" s="6">
        <v>9.9</v>
      </c>
      <c r="J32" s="58">
        <v>1.9</v>
      </c>
      <c r="K32" s="59">
        <f t="shared" si="1"/>
        <v>9.7119</v>
      </c>
      <c r="L32" s="139">
        <v>0.225</v>
      </c>
      <c r="M32" s="3">
        <v>0.212</v>
      </c>
      <c r="N32" s="968">
        <v>0.212</v>
      </c>
      <c r="O32" s="106">
        <f t="shared" si="2"/>
        <v>0.212</v>
      </c>
      <c r="P32" s="67">
        <v>88.0</v>
      </c>
      <c r="Q32" s="67">
        <v>89.75</v>
      </c>
      <c r="R32" s="70">
        <v>2318.6</v>
      </c>
      <c r="S32" s="3">
        <v>110.0</v>
      </c>
      <c r="U32" s="67">
        <v>130.0</v>
      </c>
      <c r="V32" s="67">
        <v>1.1023</v>
      </c>
      <c r="W32" s="58">
        <v>6.9</v>
      </c>
      <c r="X32" s="58">
        <v>9.8</v>
      </c>
      <c r="Y32" s="67">
        <v>30.0</v>
      </c>
      <c r="Z32" s="69">
        <f t="shared" si="13"/>
        <v>30</v>
      </c>
      <c r="AA32" s="70">
        <f t="shared" si="4"/>
        <v>60</v>
      </c>
      <c r="AB32" s="71">
        <f t="shared" si="5"/>
        <v>262.6838396</v>
      </c>
      <c r="AC32" s="71">
        <f>+(S32-T32)*V32-'data 1'!$F$4</f>
        <v>41.253</v>
      </c>
      <c r="AD32" s="71">
        <f t="shared" si="6"/>
        <v>9.499194259</v>
      </c>
      <c r="AE32" s="71">
        <f>+(Y32*V32-'data 1'!$I$21)+V32*(Z32-IF(D32="UNTUCA",IF(+((W32-3)*2.5+(X32-3)*3.1)&gt;0,+((W32-3)*1.5+(X32-3)*3.1),0),IF(+((W32-3)*1.5+(X32-3)*3.1)&gt;0,+((W32-3)*1.5+(X32-3)*3.1),0)))</f>
        <v>10.87197992</v>
      </c>
      <c r="AF32" s="71">
        <f t="shared" si="7"/>
        <v>28.14777118</v>
      </c>
      <c r="AG32" s="71">
        <f t="shared" si="8"/>
        <v>89.77194536</v>
      </c>
      <c r="AH32" s="71">
        <f t="shared" si="9"/>
        <v>67.24039354</v>
      </c>
      <c r="AI32" s="58">
        <f t="shared" si="10"/>
        <v>48.29436443</v>
      </c>
      <c r="AJ32" s="58">
        <f t="shared" si="11"/>
        <v>62.1200511</v>
      </c>
      <c r="AK32" s="11">
        <f t="shared" si="12"/>
        <v>5.120342441</v>
      </c>
      <c r="AL32" s="65"/>
      <c r="AM32" s="65"/>
    </row>
    <row r="33" ht="15.75" customHeight="1">
      <c r="A33" s="116" t="s">
        <v>5068</v>
      </c>
      <c r="B33" s="870">
        <v>45481.0</v>
      </c>
      <c r="C33" s="855">
        <v>45474.0</v>
      </c>
      <c r="D33" s="91" t="s">
        <v>4571</v>
      </c>
      <c r="E33" s="979"/>
      <c r="F33" s="91" t="s">
        <v>5069</v>
      </c>
      <c r="G33" s="980"/>
      <c r="H33" s="980" t="s">
        <v>47</v>
      </c>
      <c r="I33" s="981">
        <v>1.99</v>
      </c>
      <c r="J33" s="982">
        <v>8.7</v>
      </c>
      <c r="K33" s="981">
        <f t="shared" si="1"/>
        <v>1.81687</v>
      </c>
      <c r="L33" s="983">
        <v>0.073</v>
      </c>
      <c r="M33" s="984">
        <v>0.073</v>
      </c>
      <c r="N33" s="984">
        <v>0.073</v>
      </c>
      <c r="O33" s="106">
        <f t="shared" si="2"/>
        <v>0.073</v>
      </c>
      <c r="P33" s="985">
        <v>86.47945205479454</v>
      </c>
      <c r="Q33" s="982">
        <v>86.47945205479454</v>
      </c>
      <c r="R33" s="65">
        <v>2331.815</v>
      </c>
      <c r="S33" s="125">
        <v>80.0</v>
      </c>
      <c r="T33" s="91"/>
      <c r="U33" s="91">
        <v>130.0</v>
      </c>
      <c r="V33" s="67">
        <v>1.1023</v>
      </c>
      <c r="W33" s="982">
        <v>6.4</v>
      </c>
      <c r="X33" s="982">
        <v>7.4</v>
      </c>
      <c r="Y33" s="91">
        <v>30.0</v>
      </c>
      <c r="Z33" s="982">
        <f t="shared" si="13"/>
        <v>30</v>
      </c>
      <c r="AA33" s="986">
        <f t="shared" si="4"/>
        <v>60</v>
      </c>
      <c r="AB33" s="72">
        <f t="shared" si="5"/>
        <v>-1.101659619</v>
      </c>
      <c r="AC33" s="72">
        <f>+(S33-T33)*V33-'data 1'!$F$4</f>
        <v>8.184</v>
      </c>
      <c r="AD33" s="72">
        <f t="shared" si="6"/>
        <v>0</v>
      </c>
      <c r="AE33" s="72">
        <f>+(Y33*V33-'data 1'!$I$21)+V33*(Z33-IF(D33="UNTUCA",IF(+((W33-3)*2.5+(X33-3)*3.1)&gt;0,+((W33-3)*1.5+(X33-3)*3.1),0),IF(+((W33-3)*1.5+(X33-3)*3.1)&gt;0,+((W33-3)*1.5+(X33-3)*3.1),0)))</f>
        <v>19.89981692</v>
      </c>
      <c r="AF33" s="72">
        <f t="shared" si="7"/>
        <v>0</v>
      </c>
      <c r="AG33" s="72">
        <f t="shared" si="8"/>
        <v>28.08381692</v>
      </c>
      <c r="AH33" s="72">
        <f t="shared" si="9"/>
        <v>3.93249983</v>
      </c>
      <c r="AI33" s="982">
        <f t="shared" si="10"/>
        <v>14.17824761</v>
      </c>
      <c r="AJ33" s="982">
        <f t="shared" si="11"/>
        <v>3.93249983</v>
      </c>
      <c r="AK33" s="987">
        <f t="shared" si="12"/>
        <v>0</v>
      </c>
      <c r="AL33" s="986"/>
      <c r="AM33" s="986"/>
      <c r="AN33" s="91"/>
      <c r="AO33" s="91"/>
      <c r="AP33" s="91"/>
      <c r="AQ33" s="91"/>
      <c r="AR33" s="91"/>
      <c r="AS33" s="91"/>
      <c r="AT33" s="91"/>
    </row>
    <row r="34" ht="15.75" customHeight="1">
      <c r="A34" s="116" t="s">
        <v>5070</v>
      </c>
      <c r="B34" s="870">
        <v>45481.0</v>
      </c>
      <c r="C34" s="870">
        <v>45474.0</v>
      </c>
      <c r="D34" s="2" t="s">
        <v>4571</v>
      </c>
      <c r="E34" s="915"/>
      <c r="F34" s="2" t="s">
        <v>5069</v>
      </c>
      <c r="G34" s="13"/>
      <c r="H34" s="13" t="s">
        <v>47</v>
      </c>
      <c r="I34" s="6">
        <v>1.77</v>
      </c>
      <c r="J34" s="58">
        <v>9.1</v>
      </c>
      <c r="K34" s="59">
        <f t="shared" si="1"/>
        <v>1.60893</v>
      </c>
      <c r="L34" s="139">
        <v>1.068</v>
      </c>
      <c r="M34" s="60">
        <v>0.94672</v>
      </c>
      <c r="N34" s="191">
        <v>0.95</v>
      </c>
      <c r="O34" s="106">
        <f t="shared" si="2"/>
        <v>0.948</v>
      </c>
      <c r="P34" s="67">
        <v>90.0</v>
      </c>
      <c r="Q34" s="69">
        <v>89.82857142857142</v>
      </c>
      <c r="R34" s="65">
        <v>2331.815</v>
      </c>
      <c r="S34" s="3">
        <v>180.0</v>
      </c>
      <c r="U34" s="67">
        <v>130.0</v>
      </c>
      <c r="V34" s="67">
        <v>1.1023</v>
      </c>
      <c r="W34" s="58">
        <v>6.5</v>
      </c>
      <c r="X34" s="58">
        <v>7.9</v>
      </c>
      <c r="Y34" s="67">
        <v>30.0</v>
      </c>
      <c r="Z34" s="69">
        <f t="shared" si="13"/>
        <v>30</v>
      </c>
      <c r="AA34" s="70">
        <f t="shared" si="4"/>
        <v>60</v>
      </c>
      <c r="AB34" s="71">
        <f t="shared" si="5"/>
        <v>1806.216167</v>
      </c>
      <c r="AC34" s="71">
        <f>+(S34-T34)*V34-'data 1'!$F$4</f>
        <v>118.414</v>
      </c>
      <c r="AD34" s="71">
        <f t="shared" si="6"/>
        <v>-4.443601372</v>
      </c>
      <c r="AE34" s="71">
        <f>+(Y34*V34-'data 1'!$I$21)+V34*(Z34-IF(D34="UNTUCA",IF(+((W34-3)*2.5+(X34-3)*3.1)&gt;0,+((W34-3)*1.5+(X34-3)*3.1),0),IF(+((W34-3)*1.5+(X34-3)*3.1)&gt;0,+((W34-3)*1.5+(X34-3)*3.1),0)))</f>
        <v>18.02590692</v>
      </c>
      <c r="AF34" s="71">
        <f t="shared" si="7"/>
        <v>261.6232718</v>
      </c>
      <c r="AG34" s="71">
        <f t="shared" si="8"/>
        <v>393.6195773</v>
      </c>
      <c r="AH34" s="71">
        <f t="shared" si="9"/>
        <v>52.92147798</v>
      </c>
      <c r="AI34" s="58">
        <f t="shared" si="10"/>
        <v>215.4629059</v>
      </c>
      <c r="AJ34" s="58">
        <f t="shared" si="11"/>
        <v>47.06489191</v>
      </c>
      <c r="AK34" s="11">
        <f t="shared" si="12"/>
        <v>5.856586068</v>
      </c>
      <c r="AL34" s="65"/>
      <c r="AM34" s="65"/>
    </row>
    <row r="35" ht="15.75" customHeight="1">
      <c r="A35" s="116" t="s">
        <v>5071</v>
      </c>
      <c r="B35" s="870">
        <v>45481.0</v>
      </c>
      <c r="C35" s="870">
        <v>45474.0</v>
      </c>
      <c r="D35" s="2" t="s">
        <v>4571</v>
      </c>
      <c r="E35" s="915"/>
      <c r="F35" s="2" t="s">
        <v>5069</v>
      </c>
      <c r="G35" s="13"/>
      <c r="H35" s="13" t="s">
        <v>47</v>
      </c>
      <c r="I35" s="6">
        <v>5.42</v>
      </c>
      <c r="J35" s="58">
        <v>3.4</v>
      </c>
      <c r="K35" s="59">
        <f t="shared" si="1"/>
        <v>5.23572</v>
      </c>
      <c r="L35" s="139">
        <v>0.191</v>
      </c>
      <c r="M35" s="139">
        <v>0.191</v>
      </c>
      <c r="N35" s="139">
        <v>0.191</v>
      </c>
      <c r="O35" s="106">
        <f t="shared" si="2"/>
        <v>0.191</v>
      </c>
      <c r="P35" s="67">
        <v>90.0</v>
      </c>
      <c r="Q35" s="69">
        <v>89.90575916230368</v>
      </c>
      <c r="R35" s="65">
        <v>2331.815</v>
      </c>
      <c r="S35" s="3">
        <v>110.0</v>
      </c>
      <c r="U35" s="67">
        <v>130.0</v>
      </c>
      <c r="V35" s="67">
        <v>1.1023</v>
      </c>
      <c r="W35" s="58">
        <v>6.4</v>
      </c>
      <c r="X35" s="58">
        <v>7.7</v>
      </c>
      <c r="Y35" s="67">
        <v>30.0</v>
      </c>
      <c r="Z35" s="69">
        <f t="shared" si="13"/>
        <v>30</v>
      </c>
      <c r="AA35" s="70">
        <f t="shared" si="4"/>
        <v>60</v>
      </c>
      <c r="AB35" s="71">
        <f t="shared" si="5"/>
        <v>229.8207299</v>
      </c>
      <c r="AC35" s="71">
        <f>+(S35-T35)*V35-'data 1'!$F$4</f>
        <v>41.253</v>
      </c>
      <c r="AD35" s="71">
        <f t="shared" si="6"/>
        <v>-0.4368709214</v>
      </c>
      <c r="AE35" s="71">
        <f>+(Y35*V35-'data 1'!$I$21)+V35*(Z35-IF(D35="UNTUCA",IF(+((W35-3)*2.5+(X35-3)*3.1)&gt;0,+((W35-3)*1.5+(X35-3)*3.1),0),IF(+((W35-3)*1.5+(X35-3)*3.1)&gt;0,+((W35-3)*1.5+(X35-3)*3.1),0)))</f>
        <v>18.87467792</v>
      </c>
      <c r="AF35" s="71">
        <f t="shared" si="7"/>
        <v>0</v>
      </c>
      <c r="AG35" s="71">
        <f t="shared" si="8"/>
        <v>59.690807</v>
      </c>
      <c r="AH35" s="71">
        <f t="shared" si="9"/>
        <v>30.82523258</v>
      </c>
      <c r="AI35" s="58">
        <f t="shared" si="10"/>
        <v>38.56627085</v>
      </c>
      <c r="AJ35" s="58">
        <f t="shared" si="11"/>
        <v>30.85754414</v>
      </c>
      <c r="AK35" s="11">
        <f t="shared" si="12"/>
        <v>-0.03231156455</v>
      </c>
      <c r="AL35" s="65"/>
      <c r="AM35" s="65"/>
    </row>
    <row r="36" ht="15.75" customHeight="1">
      <c r="A36" s="116" t="s">
        <v>5072</v>
      </c>
      <c r="B36" s="870">
        <v>45481.0</v>
      </c>
      <c r="C36" s="870">
        <v>45474.0</v>
      </c>
      <c r="D36" s="2" t="s">
        <v>4571</v>
      </c>
      <c r="E36" s="915"/>
      <c r="F36" s="2" t="s">
        <v>5069</v>
      </c>
      <c r="G36" s="13"/>
      <c r="H36" s="13" t="s">
        <v>47</v>
      </c>
      <c r="I36" s="6">
        <v>20.7</v>
      </c>
      <c r="J36" s="58">
        <v>9.2</v>
      </c>
      <c r="K36" s="59">
        <f t="shared" si="1"/>
        <v>18.7956</v>
      </c>
      <c r="L36" s="139">
        <v>0.481</v>
      </c>
      <c r="M36" s="60">
        <v>0.39647999999999994</v>
      </c>
      <c r="N36" s="405">
        <v>0.473</v>
      </c>
      <c r="O36" s="106">
        <f t="shared" si="2"/>
        <v>0.435</v>
      </c>
      <c r="P36" s="67">
        <v>90.0</v>
      </c>
      <c r="Q36" s="69">
        <v>89.46985446985447</v>
      </c>
      <c r="R36" s="65">
        <v>2331.815</v>
      </c>
      <c r="S36" s="3">
        <v>140.0</v>
      </c>
      <c r="U36" s="67">
        <v>130.0</v>
      </c>
      <c r="V36" s="67">
        <v>1.1023</v>
      </c>
      <c r="W36" s="58">
        <v>6.4</v>
      </c>
      <c r="X36" s="58">
        <v>7.8</v>
      </c>
      <c r="Y36" s="67">
        <v>30.0</v>
      </c>
      <c r="Z36" s="69">
        <f t="shared" si="13"/>
        <v>30</v>
      </c>
      <c r="AA36" s="70">
        <f t="shared" si="4"/>
        <v>60</v>
      </c>
      <c r="AB36" s="71">
        <f t="shared" si="5"/>
        <v>729.7342541</v>
      </c>
      <c r="AC36" s="71">
        <f>+(S36-T36)*V36-'data 1'!$F$4</f>
        <v>74.322</v>
      </c>
      <c r="AD36" s="71">
        <f t="shared" si="6"/>
        <v>-6.18900472</v>
      </c>
      <c r="AE36" s="71">
        <f>+(Y36*V36-'data 1'!$I$21)+V36*(Z36-IF(D36="UNTUCA",IF(+((W36-3)*2.5+(X36-3)*3.1)&gt;0,+((W36-3)*1.5+(X36-3)*3.1),0),IF(+((W36-3)*1.5+(X36-3)*3.1)&gt;0,+((W36-3)*1.5+(X36-3)*3.1),0)))</f>
        <v>18.53296492</v>
      </c>
      <c r="AF36" s="71">
        <f t="shared" si="7"/>
        <v>99.88843206</v>
      </c>
      <c r="AG36" s="71">
        <f t="shared" si="8"/>
        <v>186.5543923</v>
      </c>
      <c r="AH36" s="71">
        <f t="shared" si="9"/>
        <v>277.3237541</v>
      </c>
      <c r="AI36" s="58">
        <f t="shared" si="10"/>
        <v>96.65149464</v>
      </c>
      <c r="AJ36" s="58">
        <f t="shared" si="11"/>
        <v>252.2882531</v>
      </c>
      <c r="AK36" s="11">
        <f t="shared" si="12"/>
        <v>25.03550098</v>
      </c>
      <c r="AL36" s="65"/>
      <c r="AM36" s="65"/>
    </row>
    <row r="37" ht="15.75" customHeight="1">
      <c r="A37" s="116" t="s">
        <v>5073</v>
      </c>
      <c r="B37" s="870">
        <v>45481.0</v>
      </c>
      <c r="C37" s="870">
        <v>45474.0</v>
      </c>
      <c r="D37" s="2" t="s">
        <v>51</v>
      </c>
      <c r="E37" s="915"/>
      <c r="F37" s="2" t="s">
        <v>5074</v>
      </c>
      <c r="G37" s="13"/>
      <c r="H37" s="13" t="s">
        <v>47</v>
      </c>
      <c r="I37" s="6">
        <v>3.69</v>
      </c>
      <c r="J37" s="58">
        <v>0.75</v>
      </c>
      <c r="K37" s="59">
        <f t="shared" si="1"/>
        <v>3.662325</v>
      </c>
      <c r="L37" s="139">
        <v>0.245</v>
      </c>
      <c r="M37" s="60">
        <v>0.23274999999999998</v>
      </c>
      <c r="N37" s="405">
        <v>0.29</v>
      </c>
      <c r="O37" s="106">
        <f t="shared" si="2"/>
        <v>0.261</v>
      </c>
      <c r="P37" s="2">
        <v>90.0</v>
      </c>
      <c r="Q37" s="69">
        <v>90.42857142857142</v>
      </c>
      <c r="R37" s="65">
        <v>2331.815</v>
      </c>
      <c r="S37" s="3">
        <v>110.0</v>
      </c>
      <c r="U37" s="67">
        <v>100.0</v>
      </c>
      <c r="V37" s="67">
        <v>1.1023</v>
      </c>
      <c r="W37" s="58">
        <v>6.1</v>
      </c>
      <c r="X37" s="58">
        <v>10.85</v>
      </c>
      <c r="Y37" s="67"/>
      <c r="Z37" s="69">
        <f t="shared" si="13"/>
        <v>30</v>
      </c>
      <c r="AA37" s="70">
        <f t="shared" si="4"/>
        <v>30</v>
      </c>
      <c r="AB37" s="71">
        <f t="shared" si="5"/>
        <v>423.5624605</v>
      </c>
      <c r="AC37" s="71">
        <f>+(S37-T37)*V37-'data 1'!$F$4</f>
        <v>41.253</v>
      </c>
      <c r="AD37" s="71">
        <f t="shared" si="6"/>
        <v>2.583136158</v>
      </c>
      <c r="AE37" s="71">
        <f>+(Y37*V37-'data 1'!$I$21)+V37*(Z37-IF(D37="UNTUCA",IF(+((W37-3)*2.5+(X37-3)*3.1)&gt;0,+((W37-3)*1.5+(X37-3)*3.1),0),IF(+((W37-3)*1.5+(X37-3)*3.1)&gt;0,+((W37-3)*1.5+(X37-3)*3.1),0)))+25.58</f>
        <v>1.117753419</v>
      </c>
      <c r="AF37" s="71">
        <f t="shared" si="7"/>
        <v>-35.59456192</v>
      </c>
      <c r="AG37" s="71">
        <f t="shared" si="8"/>
        <v>9.359327658</v>
      </c>
      <c r="AH37" s="71">
        <f t="shared" si="9"/>
        <v>27.818756</v>
      </c>
      <c r="AI37" s="58">
        <f t="shared" si="10"/>
        <v>42.4310596</v>
      </c>
      <c r="AJ37" s="58">
        <f t="shared" si="11"/>
        <v>29.49503852</v>
      </c>
      <c r="AK37" s="11">
        <f t="shared" si="12"/>
        <v>-1.676282521</v>
      </c>
      <c r="AL37" s="65"/>
      <c r="AM37" s="65"/>
    </row>
    <row r="38" ht="15.75" customHeight="1">
      <c r="A38" s="116" t="s">
        <v>5075</v>
      </c>
      <c r="B38" s="855">
        <v>45481.0</v>
      </c>
      <c r="C38" s="855">
        <v>45474.0</v>
      </c>
      <c r="D38" s="91" t="s">
        <v>51</v>
      </c>
      <c r="E38" s="979"/>
      <c r="F38" s="91" t="s">
        <v>5074</v>
      </c>
      <c r="G38" s="980"/>
      <c r="H38" s="980" t="s">
        <v>47</v>
      </c>
      <c r="I38" s="981">
        <v>1.78</v>
      </c>
      <c r="J38" s="982">
        <v>2.45</v>
      </c>
      <c r="K38" s="981">
        <f t="shared" si="1"/>
        <v>1.73639</v>
      </c>
      <c r="L38" s="983">
        <v>0.054000000000000006</v>
      </c>
      <c r="M38" s="988">
        <v>0.054000000000000006</v>
      </c>
      <c r="N38" s="989">
        <v>0.054000000000000006</v>
      </c>
      <c r="O38" s="990">
        <f t="shared" si="2"/>
        <v>0.054</v>
      </c>
      <c r="P38" s="985">
        <v>85.16</v>
      </c>
      <c r="Q38" s="982">
        <v>85.16</v>
      </c>
      <c r="R38" s="986">
        <v>2331.815</v>
      </c>
      <c r="S38" s="125">
        <v>80.0</v>
      </c>
      <c r="T38" s="91"/>
      <c r="U38" s="91">
        <v>130.0</v>
      </c>
      <c r="V38" s="91">
        <v>1.1023</v>
      </c>
      <c r="W38" s="982">
        <v>6.0</v>
      </c>
      <c r="X38" s="982">
        <v>6.65</v>
      </c>
      <c r="Y38" s="91">
        <v>30.0</v>
      </c>
      <c r="Z38" s="982">
        <f t="shared" si="13"/>
        <v>30</v>
      </c>
      <c r="AA38" s="986">
        <f t="shared" si="4"/>
        <v>60</v>
      </c>
      <c r="AB38" s="72">
        <f t="shared" si="5"/>
        <v>-42.710217</v>
      </c>
      <c r="AC38" s="72">
        <f>+(S38-T38)*V38-'data 1'!$F$4</f>
        <v>8.184</v>
      </c>
      <c r="AD38" s="72">
        <f t="shared" si="6"/>
        <v>0</v>
      </c>
      <c r="AE38" s="72">
        <f>+(Y38*V38-'data 1'!$I$21)+V38*(Z38-IF(D38="UNTUCA",IF(+((W38-3)*2.5+(X38-3)*3.1)&gt;0,+((W38-3)*1.5+(X38-3)*3.1),0),IF(+((W38-3)*1.5+(X38-3)*3.1)&gt;0,+((W38-3)*1.5+(X38-3)*3.1),0)))</f>
        <v>23.12404442</v>
      </c>
      <c r="AF38" s="72">
        <f t="shared" si="7"/>
        <v>0</v>
      </c>
      <c r="AG38" s="72">
        <f t="shared" si="8"/>
        <v>31.30804442</v>
      </c>
      <c r="AH38" s="72">
        <f t="shared" si="9"/>
        <v>2.737699382</v>
      </c>
      <c r="AI38" s="982">
        <f t="shared" si="10"/>
        <v>10.32799882</v>
      </c>
      <c r="AJ38" s="982">
        <f t="shared" si="11"/>
        <v>2.737699382</v>
      </c>
      <c r="AK38" s="987">
        <f t="shared" si="12"/>
        <v>0</v>
      </c>
      <c r="AL38" s="986"/>
      <c r="AM38" s="986"/>
      <c r="AN38" s="91"/>
      <c r="AO38" s="91"/>
      <c r="AP38" s="91"/>
      <c r="AQ38" s="91"/>
      <c r="AR38" s="91"/>
      <c r="AS38" s="91"/>
      <c r="AT38" s="91"/>
    </row>
    <row r="39" ht="15.75" customHeight="1">
      <c r="A39" s="116" t="s">
        <v>5076</v>
      </c>
      <c r="B39" s="841">
        <v>45479.0</v>
      </c>
      <c r="C39" s="841">
        <v>45477.0</v>
      </c>
      <c r="D39" s="67" t="s">
        <v>5077</v>
      </c>
      <c r="E39" s="915"/>
      <c r="F39" s="67" t="s">
        <v>5078</v>
      </c>
      <c r="G39" s="916"/>
      <c r="H39" s="916" t="s">
        <v>47</v>
      </c>
      <c r="I39" s="59">
        <v>15.31</v>
      </c>
      <c r="J39" s="69">
        <v>8.65</v>
      </c>
      <c r="K39" s="59">
        <f t="shared" si="1"/>
        <v>13.985685</v>
      </c>
      <c r="L39" s="405">
        <v>0.203</v>
      </c>
      <c r="M39" s="106">
        <v>0.18</v>
      </c>
      <c r="N39" s="917">
        <v>0.226</v>
      </c>
      <c r="O39" s="106">
        <f t="shared" si="2"/>
        <v>0.203</v>
      </c>
      <c r="P39" s="67">
        <v>90.0</v>
      </c>
      <c r="Q39" s="69">
        <v>90.68266666666666</v>
      </c>
      <c r="R39" s="70">
        <v>2355.6</v>
      </c>
      <c r="S39" s="134">
        <v>110.0</v>
      </c>
      <c r="T39" s="67"/>
      <c r="U39" s="67">
        <v>130.0</v>
      </c>
      <c r="V39" s="67">
        <v>1.1023</v>
      </c>
      <c r="W39" s="69">
        <v>6.0</v>
      </c>
      <c r="X39" s="69">
        <v>7.1</v>
      </c>
      <c r="Y39" s="67">
        <v>33.0</v>
      </c>
      <c r="Z39" s="69">
        <f t="shared" si="13"/>
        <v>30</v>
      </c>
      <c r="AA39" s="70">
        <f t="shared" si="4"/>
        <v>63</v>
      </c>
      <c r="AB39" s="71">
        <f t="shared" si="5"/>
        <v>257.5161514</v>
      </c>
      <c r="AC39" s="71">
        <f>+(S39-T39)*V39-'data 1'!$F$4</f>
        <v>41.253</v>
      </c>
      <c r="AD39" s="71">
        <f t="shared" si="6"/>
        <v>3.399786582</v>
      </c>
      <c r="AE39" s="71">
        <f>+(Y39*V39-'data 1'!$I$21)+V39*(Z39-IF(D39="UNTUCA",IF(+((W39-3)*2.5+(X39-3)*3.1)&gt;0,+((W39-3)*1.5+(X39-3)*3.1),0),IF(+((W39-3)*1.5+(X39-3)*3.1)&gt;0,+((W39-3)*1.5+(X39-3)*3.1),0)))</f>
        <v>24.89323592</v>
      </c>
      <c r="AF39" s="71">
        <f t="shared" si="7"/>
        <v>0</v>
      </c>
      <c r="AG39" s="71">
        <f t="shared" si="8"/>
        <v>69.5460225</v>
      </c>
      <c r="AH39" s="71">
        <f t="shared" si="9"/>
        <v>88.27000117</v>
      </c>
      <c r="AI39" s="69">
        <f t="shared" si="10"/>
        <v>36.51708586</v>
      </c>
      <c r="AJ39" s="69">
        <f t="shared" si="11"/>
        <v>87.60549725</v>
      </c>
      <c r="AK39" s="53">
        <f t="shared" si="12"/>
        <v>0.6645039199</v>
      </c>
      <c r="AL39" s="70"/>
      <c r="AM39" s="70"/>
      <c r="AN39" s="67"/>
      <c r="AO39" s="67"/>
      <c r="AP39" s="67"/>
      <c r="AQ39" s="67"/>
      <c r="AR39" s="67"/>
      <c r="AS39" s="67"/>
      <c r="AT39" s="67"/>
    </row>
    <row r="40" ht="15.75" customHeight="1">
      <c r="A40" s="116" t="s">
        <v>5079</v>
      </c>
      <c r="B40" s="841">
        <v>45479.0</v>
      </c>
      <c r="C40" s="841">
        <v>45477.0</v>
      </c>
      <c r="D40" s="67" t="s">
        <v>5077</v>
      </c>
      <c r="E40" s="915"/>
      <c r="F40" s="67" t="s">
        <v>5078</v>
      </c>
      <c r="G40" s="916"/>
      <c r="H40" s="916" t="s">
        <v>47</v>
      </c>
      <c r="I40" s="59">
        <v>32.19</v>
      </c>
      <c r="J40" s="69">
        <v>7.65</v>
      </c>
      <c r="K40" s="59">
        <f t="shared" si="1"/>
        <v>29.727465</v>
      </c>
      <c r="L40" s="405">
        <v>0.14400000000000002</v>
      </c>
      <c r="M40" s="106">
        <v>0.130625</v>
      </c>
      <c r="N40" s="917">
        <v>0.189</v>
      </c>
      <c r="O40" s="106">
        <f t="shared" si="2"/>
        <v>0.16</v>
      </c>
      <c r="P40" s="67">
        <v>90.0</v>
      </c>
      <c r="Q40" s="69">
        <v>89.77090909090909</v>
      </c>
      <c r="R40" s="70">
        <v>2355.6</v>
      </c>
      <c r="S40" s="134">
        <v>110.0</v>
      </c>
      <c r="T40" s="67"/>
      <c r="U40" s="67">
        <v>130.0</v>
      </c>
      <c r="V40" s="67">
        <v>1.1023</v>
      </c>
      <c r="W40" s="69">
        <v>6.0</v>
      </c>
      <c r="X40" s="69">
        <v>7.5</v>
      </c>
      <c r="Y40" s="67">
        <v>34.0</v>
      </c>
      <c r="Z40" s="69">
        <f t="shared" si="13"/>
        <v>30</v>
      </c>
      <c r="AA40" s="70">
        <f t="shared" si="4"/>
        <v>64</v>
      </c>
      <c r="AB40" s="71">
        <f t="shared" si="5"/>
        <v>161.4719587</v>
      </c>
      <c r="AC40" s="71">
        <f>+(S40-T40)*V40-'data 1'!$F$4</f>
        <v>41.253</v>
      </c>
      <c r="AD40" s="71">
        <f t="shared" si="6"/>
        <v>-0.8093144</v>
      </c>
      <c r="AE40" s="71">
        <f>+(Y40*V40-'data 1'!$I$21)+V40*(Z40-IF(D40="UNTUCA",IF(+((W40-3)*2.5+(X40-3)*3.1)&gt;0,+((W40-3)*1.5+(X40-3)*3.1),0),IF(+((W40-3)*1.5+(X40-3)*3.1)&gt;0,+((W40-3)*1.5+(X40-3)*3.1),0)))</f>
        <v>24.62868392</v>
      </c>
      <c r="AF40" s="71">
        <f t="shared" si="7"/>
        <v>-35.23729205</v>
      </c>
      <c r="AG40" s="71">
        <f t="shared" si="8"/>
        <v>29.83507747</v>
      </c>
      <c r="AH40" s="71">
        <f t="shared" si="9"/>
        <v>131.7543798</v>
      </c>
      <c r="AI40" s="69">
        <f t="shared" si="10"/>
        <v>25.64329965</v>
      </c>
      <c r="AJ40" s="69">
        <f t="shared" si="11"/>
        <v>146.767345</v>
      </c>
      <c r="AK40" s="53">
        <f t="shared" si="12"/>
        <v>-15.01296514</v>
      </c>
      <c r="AL40" s="70"/>
      <c r="AM40" s="70"/>
      <c r="AN40" s="67"/>
      <c r="AO40" s="67"/>
      <c r="AP40" s="67"/>
      <c r="AQ40" s="67"/>
      <c r="AR40" s="67"/>
      <c r="AS40" s="67"/>
      <c r="AT40" s="67"/>
    </row>
    <row r="41" ht="15.75" customHeight="1">
      <c r="A41" s="116" t="s">
        <v>5080</v>
      </c>
      <c r="B41" s="841">
        <v>45479.0</v>
      </c>
      <c r="C41" s="841">
        <v>45477.0</v>
      </c>
      <c r="D41" s="67" t="s">
        <v>5077</v>
      </c>
      <c r="E41" s="915"/>
      <c r="F41" s="67" t="s">
        <v>5078</v>
      </c>
      <c r="G41" s="916"/>
      <c r="H41" s="916" t="s">
        <v>47</v>
      </c>
      <c r="I41" s="59">
        <v>1.22</v>
      </c>
      <c r="J41" s="69">
        <v>7.22</v>
      </c>
      <c r="K41" s="59">
        <f t="shared" si="1"/>
        <v>1.131916</v>
      </c>
      <c r="L41" s="405">
        <v>0.427</v>
      </c>
      <c r="M41" s="106">
        <v>0.3843</v>
      </c>
      <c r="N41" s="917">
        <v>0.417</v>
      </c>
      <c r="O41" s="106">
        <f t="shared" si="2"/>
        <v>0.401</v>
      </c>
      <c r="P41" s="67">
        <v>90.0</v>
      </c>
      <c r="Q41" s="69">
        <v>89.73302107728337</v>
      </c>
      <c r="R41" s="70">
        <v>2355.6</v>
      </c>
      <c r="S41" s="134">
        <v>130.0</v>
      </c>
      <c r="T41" s="67"/>
      <c r="U41" s="67">
        <v>130.0</v>
      </c>
      <c r="V41" s="67">
        <v>1.1023</v>
      </c>
      <c r="W41" s="69">
        <v>6.0</v>
      </c>
      <c r="X41" s="69">
        <v>7.4</v>
      </c>
      <c r="Y41" s="67">
        <v>35.0</v>
      </c>
      <c r="Z41" s="69">
        <f t="shared" si="13"/>
        <v>30</v>
      </c>
      <c r="AA41" s="70">
        <f t="shared" si="4"/>
        <v>65</v>
      </c>
      <c r="AB41" s="71">
        <f t="shared" si="5"/>
        <v>670.4398478</v>
      </c>
      <c r="AC41" s="71">
        <f>+(S41-T41)*V41-'data 1'!$F$4</f>
        <v>63.299</v>
      </c>
      <c r="AD41" s="71">
        <f t="shared" si="6"/>
        <v>-2.796737923</v>
      </c>
      <c r="AE41" s="71">
        <f>+(Y41*V41-'data 1'!$I$21)+V41*(Z41-IF(D41="UNTUCA",IF(+((W41-3)*2.5+(X41-3)*3.1)&gt;0,+((W41-3)*1.5+(X41-3)*3.1),0),IF(+((W41-3)*1.5+(X41-3)*3.1)&gt;0,+((W41-3)*1.5+(X41-3)*3.1),0)))</f>
        <v>26.07269692</v>
      </c>
      <c r="AF41" s="71">
        <f t="shared" si="7"/>
        <v>57.23643262</v>
      </c>
      <c r="AG41" s="71">
        <f t="shared" si="8"/>
        <v>143.8113916</v>
      </c>
      <c r="AH41" s="71">
        <f t="shared" si="9"/>
        <v>14.86974198</v>
      </c>
      <c r="AI41" s="69">
        <f t="shared" si="10"/>
        <v>76.00741395</v>
      </c>
      <c r="AJ41" s="69">
        <f t="shared" si="11"/>
        <v>14.00587191</v>
      </c>
      <c r="AK41" s="53">
        <f t="shared" si="12"/>
        <v>0.8638700712</v>
      </c>
      <c r="AL41" s="70"/>
      <c r="AM41" s="70"/>
      <c r="AN41" s="67"/>
      <c r="AO41" s="67"/>
      <c r="AP41" s="67"/>
      <c r="AQ41" s="67"/>
      <c r="AR41" s="67"/>
      <c r="AS41" s="67"/>
      <c r="AT41" s="67"/>
    </row>
    <row r="42" ht="15.75" customHeight="1">
      <c r="A42" s="116" t="s">
        <v>5081</v>
      </c>
      <c r="B42" s="841">
        <v>45479.0</v>
      </c>
      <c r="C42" s="841">
        <v>45477.0</v>
      </c>
      <c r="D42" s="67" t="s">
        <v>5077</v>
      </c>
      <c r="E42" s="915"/>
      <c r="F42" s="67" t="s">
        <v>5078</v>
      </c>
      <c r="G42" s="916"/>
      <c r="H42" s="916" t="s">
        <v>47</v>
      </c>
      <c r="I42" s="59">
        <v>13.41</v>
      </c>
      <c r="J42" s="69">
        <v>7.77</v>
      </c>
      <c r="K42" s="59">
        <f t="shared" si="1"/>
        <v>12.368043</v>
      </c>
      <c r="L42" s="405">
        <v>0.163</v>
      </c>
      <c r="M42" s="106">
        <v>0.15216</v>
      </c>
      <c r="N42" s="917">
        <v>0.172</v>
      </c>
      <c r="O42" s="106">
        <f t="shared" si="2"/>
        <v>0.162</v>
      </c>
      <c r="P42" s="67">
        <v>90.0</v>
      </c>
      <c r="Q42" s="69">
        <v>89.27444794952682</v>
      </c>
      <c r="R42" s="70">
        <v>2355.6</v>
      </c>
      <c r="S42" s="134">
        <v>110.0</v>
      </c>
      <c r="T42" s="67"/>
      <c r="U42" s="67">
        <v>130.0</v>
      </c>
      <c r="V42" s="67">
        <v>1.1023</v>
      </c>
      <c r="W42" s="69">
        <v>6.0</v>
      </c>
      <c r="X42" s="69">
        <v>7.1</v>
      </c>
      <c r="Y42" s="67">
        <v>36.0</v>
      </c>
      <c r="Z42" s="69">
        <f t="shared" si="13"/>
        <v>30</v>
      </c>
      <c r="AA42" s="70">
        <f t="shared" si="4"/>
        <v>66</v>
      </c>
      <c r="AB42" s="71">
        <f t="shared" si="5"/>
        <v>163.6832607</v>
      </c>
      <c r="AC42" s="71">
        <f>+(S42-T42)*V42-'data 1'!$F$4</f>
        <v>41.253</v>
      </c>
      <c r="AD42" s="71">
        <f t="shared" si="6"/>
        <v>-2.90136988</v>
      </c>
      <c r="AE42" s="71">
        <f>+(Y42*V42-'data 1'!$I$21)+V42*(Z42-IF(D42="UNTUCA",IF(+((W42-3)*2.5+(X42-3)*3.1)&gt;0,+((W42-3)*1.5+(X42-3)*3.1),0),IF(+((W42-3)*1.5+(X42-3)*3.1)&gt;0,+((W42-3)*1.5+(X42-3)*3.1),0)))</f>
        <v>28.20013592</v>
      </c>
      <c r="AF42" s="71">
        <f t="shared" si="7"/>
        <v>2.190151177</v>
      </c>
      <c r="AG42" s="71">
        <f t="shared" si="8"/>
        <v>68.74191722</v>
      </c>
      <c r="AH42" s="71">
        <f t="shared" si="9"/>
        <v>61.70563608</v>
      </c>
      <c r="AI42" s="69">
        <f t="shared" si="10"/>
        <v>28.86626336</v>
      </c>
      <c r="AJ42" s="69">
        <f t="shared" si="11"/>
        <v>61.82549181</v>
      </c>
      <c r="AK42" s="53">
        <f t="shared" si="12"/>
        <v>-0.1198557305</v>
      </c>
      <c r="AL42" s="70"/>
      <c r="AM42" s="70"/>
      <c r="AN42" s="67"/>
      <c r="AO42" s="67"/>
      <c r="AP42" s="67"/>
      <c r="AQ42" s="67"/>
      <c r="AR42" s="67"/>
      <c r="AS42" s="67"/>
      <c r="AT42" s="67"/>
    </row>
    <row r="43" ht="15.75" customHeight="1">
      <c r="A43" s="116" t="s">
        <v>5082</v>
      </c>
      <c r="B43" s="870">
        <v>45481.0</v>
      </c>
      <c r="C43" s="870">
        <v>45477.0</v>
      </c>
      <c r="D43" s="2" t="s">
        <v>4571</v>
      </c>
      <c r="E43" s="915"/>
      <c r="F43" s="68" t="s">
        <v>4756</v>
      </c>
      <c r="G43" s="13"/>
      <c r="H43" s="13" t="s">
        <v>47</v>
      </c>
      <c r="I43" s="6">
        <v>52.75</v>
      </c>
      <c r="J43" s="58">
        <v>5.55</v>
      </c>
      <c r="K43" s="59">
        <f t="shared" si="1"/>
        <v>49.822375</v>
      </c>
      <c r="L43" s="139">
        <v>0.329</v>
      </c>
      <c r="M43" s="60">
        <v>0.30926</v>
      </c>
      <c r="N43" s="969">
        <v>0.343</v>
      </c>
      <c r="O43" s="106">
        <f t="shared" si="2"/>
        <v>0.326</v>
      </c>
      <c r="P43" s="68">
        <v>90.0</v>
      </c>
      <c r="Q43" s="69">
        <v>89.6</v>
      </c>
      <c r="R43" s="65">
        <v>2329.485</v>
      </c>
      <c r="S43" s="3">
        <v>120.0</v>
      </c>
      <c r="U43" s="67">
        <v>130.0</v>
      </c>
      <c r="V43" s="67">
        <v>1.1023</v>
      </c>
      <c r="W43" s="58">
        <v>6.3</v>
      </c>
      <c r="X43" s="58">
        <v>7.9</v>
      </c>
      <c r="Y43" s="67">
        <v>30.0</v>
      </c>
      <c r="Z43" s="69">
        <f t="shared" si="13"/>
        <v>30</v>
      </c>
      <c r="AA43" s="70">
        <f t="shared" si="4"/>
        <v>60</v>
      </c>
      <c r="AB43" s="71">
        <f t="shared" si="5"/>
        <v>512.9320454</v>
      </c>
      <c r="AC43" s="71">
        <f>+(S43-T43)*V43-'data 1'!$F$4</f>
        <v>52.276</v>
      </c>
      <c r="AD43" s="71">
        <f t="shared" si="6"/>
        <v>-3.190631887</v>
      </c>
      <c r="AE43" s="71">
        <f>+(Y43*V43-'data 1'!$I$21)+V43*(Z43-IF(D43="UNTUCA",IF(+((W43-3)*2.5+(X43-3)*3.1)&gt;0,+((W43-3)*1.5+(X43-3)*3.1),0),IF(+((W43-3)*1.5+(X43-3)*3.1)&gt;0,+((W43-3)*1.5+(X43-3)*3.1),0)))</f>
        <v>18.35659692</v>
      </c>
      <c r="AF43" s="71">
        <f t="shared" si="7"/>
        <v>6.517035344</v>
      </c>
      <c r="AG43" s="71">
        <f t="shared" si="8"/>
        <v>73.95900038</v>
      </c>
      <c r="AH43" s="71">
        <f t="shared" si="9"/>
        <v>503.5439741</v>
      </c>
      <c r="AI43" s="58">
        <f t="shared" si="10"/>
        <v>66.96209359</v>
      </c>
      <c r="AJ43" s="58">
        <f t="shared" si="11"/>
        <v>501.1798537</v>
      </c>
      <c r="AK43" s="11">
        <f t="shared" si="12"/>
        <v>2.364120373</v>
      </c>
      <c r="AL43" s="65"/>
      <c r="AM43" s="65">
        <v>347.0</v>
      </c>
    </row>
    <row r="44" ht="15.75" customHeight="1">
      <c r="A44" s="116" t="s">
        <v>5083</v>
      </c>
      <c r="B44" s="870">
        <v>45481.0</v>
      </c>
      <c r="C44" s="870">
        <v>45477.0</v>
      </c>
      <c r="D44" s="2" t="s">
        <v>4571</v>
      </c>
      <c r="E44" s="915"/>
      <c r="F44" s="68" t="s">
        <v>4756</v>
      </c>
      <c r="G44" s="13"/>
      <c r="H44" s="13" t="s">
        <v>47</v>
      </c>
      <c r="I44" s="6">
        <v>4.77</v>
      </c>
      <c r="J44" s="58">
        <v>5.68</v>
      </c>
      <c r="K44" s="59">
        <f t="shared" si="1"/>
        <v>4.499064</v>
      </c>
      <c r="L44" s="139">
        <v>0.154</v>
      </c>
      <c r="M44" s="60">
        <v>0.14784</v>
      </c>
      <c r="N44" s="968">
        <v>0.14784</v>
      </c>
      <c r="O44" s="106">
        <f t="shared" si="2"/>
        <v>0.148</v>
      </c>
      <c r="P44" s="68">
        <v>90.0</v>
      </c>
      <c r="Q44" s="69">
        <v>90.25</v>
      </c>
      <c r="R44" s="65">
        <v>2329.485</v>
      </c>
      <c r="S44" s="3">
        <v>110.0</v>
      </c>
      <c r="U44" s="67">
        <v>130.0</v>
      </c>
      <c r="V44" s="67">
        <v>1.1023</v>
      </c>
      <c r="W44" s="58">
        <v>6.1</v>
      </c>
      <c r="X44" s="58">
        <v>6.9</v>
      </c>
      <c r="Y44" s="67">
        <v>30.0</v>
      </c>
      <c r="Z44" s="69">
        <f t="shared" si="13"/>
        <v>30</v>
      </c>
      <c r="AA44" s="70">
        <f t="shared" si="4"/>
        <v>60</v>
      </c>
      <c r="AB44" s="71">
        <f t="shared" si="5"/>
        <v>135.5513764</v>
      </c>
      <c r="AC44" s="71">
        <f>+(S44-T44)*V44-'data 1'!$F$4</f>
        <v>41.253</v>
      </c>
      <c r="AD44" s="71">
        <f t="shared" si="6"/>
        <v>0.9334295415</v>
      </c>
      <c r="AE44" s="71">
        <f>+(Y44*V44-'data 1'!$I$21)+V44*(Z44-IF(D44="UNTUCA",IF(+((W44-3)*2.5+(X44-3)*3.1)&gt;0,+((W44-3)*1.5+(X44-3)*3.1),0),IF(+((W44-3)*1.5+(X44-3)*3.1)&gt;0,+((W44-3)*1.5+(X44-3)*3.1),0)))</f>
        <v>22.10441692</v>
      </c>
      <c r="AF44" s="71">
        <f t="shared" si="7"/>
        <v>13.12862589</v>
      </c>
      <c r="AG44" s="71">
        <f t="shared" si="8"/>
        <v>77.41947235</v>
      </c>
      <c r="AH44" s="71">
        <f t="shared" si="9"/>
        <v>21.43873578</v>
      </c>
      <c r="AI44" s="58">
        <f t="shared" si="10"/>
        <v>31.57134233</v>
      </c>
      <c r="AJ44" s="58">
        <f t="shared" si="11"/>
        <v>20.54638706</v>
      </c>
      <c r="AK44" s="11">
        <f t="shared" si="12"/>
        <v>0.8923487173</v>
      </c>
      <c r="AL44" s="65"/>
      <c r="AM44" s="65">
        <v>166.0</v>
      </c>
    </row>
    <row r="45" ht="15.75" customHeight="1">
      <c r="B45" s="870"/>
      <c r="C45" s="841"/>
      <c r="E45" s="915"/>
      <c r="G45" s="13"/>
      <c r="H45" s="13"/>
      <c r="I45" s="6"/>
      <c r="J45" s="58"/>
      <c r="K45" s="6"/>
      <c r="L45" s="139"/>
      <c r="M45" s="3"/>
      <c r="N45" s="191"/>
      <c r="O45" s="60"/>
      <c r="Q45" s="67"/>
      <c r="R45" s="65"/>
      <c r="S45" s="3"/>
      <c r="U45" s="67"/>
      <c r="V45" s="67"/>
      <c r="Z45" s="69"/>
      <c r="AA45" s="70"/>
      <c r="AB45" s="71"/>
      <c r="AC45" s="71"/>
      <c r="AD45" s="71"/>
      <c r="AE45" s="71"/>
      <c r="AF45" s="71"/>
      <c r="AG45" s="71"/>
      <c r="AH45" s="71"/>
      <c r="AK45" s="11"/>
      <c r="AL45" s="65"/>
      <c r="AM45" s="65">
        <v>80.0</v>
      </c>
    </row>
    <row r="46" ht="15.75" customHeight="1">
      <c r="B46" s="870"/>
      <c r="C46" s="841"/>
      <c r="E46" s="915"/>
      <c r="G46" s="13"/>
      <c r="H46" s="13"/>
      <c r="I46" s="6"/>
      <c r="J46" s="58"/>
      <c r="K46" s="6"/>
      <c r="L46" s="139"/>
      <c r="M46" s="3"/>
      <c r="N46" s="191"/>
      <c r="O46" s="60"/>
      <c r="Q46" s="67"/>
      <c r="R46" s="65"/>
      <c r="S46" s="3"/>
      <c r="U46" s="67"/>
      <c r="V46" s="67"/>
      <c r="Z46" s="69"/>
      <c r="AA46" s="70"/>
      <c r="AB46" s="71"/>
      <c r="AC46" s="71"/>
      <c r="AD46" s="71"/>
      <c r="AE46" s="71"/>
      <c r="AF46" s="71"/>
      <c r="AG46" s="71"/>
      <c r="AH46" s="71"/>
      <c r="AK46" s="11"/>
      <c r="AL46" s="65"/>
      <c r="AM46" s="65">
        <f>SUM(AM43:AM45)</f>
        <v>593</v>
      </c>
    </row>
    <row r="47" ht="15.75" customHeight="1">
      <c r="B47" s="870"/>
      <c r="C47" s="841"/>
      <c r="E47" s="915"/>
      <c r="G47" s="13"/>
      <c r="H47" s="13"/>
      <c r="I47" s="6"/>
      <c r="J47" s="58"/>
      <c r="K47" s="6"/>
      <c r="L47" s="139"/>
      <c r="M47" s="3"/>
      <c r="N47" s="191"/>
      <c r="O47" s="60"/>
      <c r="Q47" s="67"/>
      <c r="R47" s="65"/>
      <c r="S47" s="3"/>
      <c r="U47" s="67"/>
      <c r="V47" s="67"/>
      <c r="Z47" s="69"/>
      <c r="AA47" s="70"/>
      <c r="AB47" s="71"/>
      <c r="AC47" s="71"/>
      <c r="AD47" s="71"/>
      <c r="AE47" s="71"/>
      <c r="AF47" s="71"/>
      <c r="AG47" s="71"/>
      <c r="AH47" s="71"/>
      <c r="AI47" s="152">
        <v>4507.98</v>
      </c>
      <c r="AJ47" s="156">
        <f>+AI47/31.1034768</f>
        <v>144.9349225</v>
      </c>
      <c r="AK47" s="991"/>
      <c r="AL47" s="65"/>
      <c r="AM47" s="65"/>
    </row>
    <row r="48" ht="15.75" customHeight="1">
      <c r="B48" s="870"/>
      <c r="C48" s="841"/>
      <c r="E48" s="915"/>
      <c r="G48" s="13"/>
      <c r="H48" s="13"/>
      <c r="I48" s="6"/>
      <c r="J48" s="58"/>
      <c r="K48" s="6"/>
      <c r="L48" s="139"/>
      <c r="M48" s="3"/>
      <c r="N48" s="191"/>
      <c r="O48" s="60"/>
      <c r="Q48" s="67"/>
      <c r="R48" s="65"/>
      <c r="S48" s="3"/>
      <c r="U48" s="67"/>
      <c r="V48" s="67"/>
      <c r="Z48" s="69"/>
      <c r="AA48" s="70"/>
      <c r="AB48" s="71"/>
      <c r="AC48" s="71"/>
      <c r="AD48" s="71"/>
      <c r="AE48" s="71"/>
      <c r="AF48" s="71"/>
      <c r="AG48" s="71"/>
      <c r="AH48" s="71"/>
      <c r="AI48" s="160"/>
      <c r="AJ48" s="2"/>
      <c r="AK48" s="992"/>
      <c r="AL48" s="65"/>
      <c r="AM48" s="65"/>
    </row>
    <row r="49" ht="15.75" customHeight="1">
      <c r="B49" s="870"/>
      <c r="C49" s="841"/>
      <c r="E49" s="915"/>
      <c r="G49" s="13"/>
      <c r="H49" s="13"/>
      <c r="I49" s="6"/>
      <c r="J49" s="58"/>
      <c r="K49" s="6"/>
      <c r="L49" s="139"/>
      <c r="M49" s="3"/>
      <c r="N49" s="191"/>
      <c r="O49" s="60"/>
      <c r="Q49" s="67"/>
      <c r="R49" s="65"/>
      <c r="S49" s="3"/>
      <c r="U49" s="67"/>
      <c r="V49" s="67"/>
      <c r="Z49" s="69"/>
      <c r="AA49" s="70"/>
      <c r="AB49" s="71"/>
      <c r="AC49" s="71"/>
      <c r="AD49" s="71"/>
      <c r="AE49" s="71"/>
      <c r="AF49" s="71"/>
      <c r="AG49" s="71"/>
      <c r="AH49" s="71"/>
      <c r="AI49" s="993">
        <v>135.0</v>
      </c>
      <c r="AJ49" s="2">
        <v>2409.0</v>
      </c>
      <c r="AK49" s="161">
        <f t="shared" ref="AK49:AK50" si="14">+AJ49*AI49</f>
        <v>325215</v>
      </c>
      <c r="AL49" s="65"/>
      <c r="AM49" s="65"/>
    </row>
    <row r="50" ht="15.75" customHeight="1">
      <c r="B50" s="870"/>
      <c r="C50" s="841"/>
      <c r="E50" s="915"/>
      <c r="G50" s="13"/>
      <c r="H50" s="13"/>
      <c r="I50" s="6"/>
      <c r="J50" s="58"/>
      <c r="K50" s="6"/>
      <c r="L50" s="139"/>
      <c r="M50" s="3"/>
      <c r="N50" s="191"/>
      <c r="O50" s="60"/>
      <c r="Q50" s="67"/>
      <c r="R50" s="65"/>
      <c r="S50" s="3"/>
      <c r="U50" s="67"/>
      <c r="V50" s="67"/>
      <c r="Z50" s="69"/>
      <c r="AA50" s="70"/>
      <c r="AB50" s="71"/>
      <c r="AC50" s="71"/>
      <c r="AD50" s="71"/>
      <c r="AE50" s="71"/>
      <c r="AF50" s="71"/>
      <c r="AG50" s="71"/>
      <c r="AH50" s="71"/>
      <c r="AI50" s="993">
        <v>9.93</v>
      </c>
      <c r="AJ50" s="68">
        <v>2360.0</v>
      </c>
      <c r="AK50" s="161">
        <f t="shared" si="14"/>
        <v>23434.8</v>
      </c>
      <c r="AL50" s="65"/>
      <c r="AM50" s="65"/>
    </row>
    <row r="51" ht="15.75" customHeight="1">
      <c r="B51" s="870"/>
      <c r="C51" s="841"/>
      <c r="E51" s="915"/>
      <c r="G51" s="13"/>
      <c r="H51" s="13"/>
      <c r="I51" s="6"/>
      <c r="J51" s="58"/>
      <c r="K51" s="6"/>
      <c r="L51" s="139"/>
      <c r="M51" s="3"/>
      <c r="N51" s="191"/>
      <c r="O51" s="60"/>
      <c r="Q51" s="67"/>
      <c r="R51" s="65"/>
      <c r="S51" s="3"/>
      <c r="U51" s="67"/>
      <c r="V51" s="67"/>
      <c r="Z51" s="69"/>
      <c r="AA51" s="70"/>
      <c r="AB51" s="71"/>
      <c r="AC51" s="71"/>
      <c r="AD51" s="71"/>
      <c r="AE51" s="71"/>
      <c r="AF51" s="71"/>
      <c r="AG51" s="71"/>
      <c r="AH51" s="71"/>
      <c r="AI51" s="163"/>
      <c r="AJ51" s="170"/>
      <c r="AK51" s="169">
        <f>SUM(AK49:AK50)/AJ47</f>
        <v>2405.56102</v>
      </c>
      <c r="AL51" s="65"/>
      <c r="AM51" s="65"/>
    </row>
    <row r="52" ht="15.75" customHeight="1">
      <c r="B52" s="870"/>
      <c r="C52" s="841"/>
      <c r="E52" s="915"/>
      <c r="G52" s="13"/>
      <c r="H52" s="13"/>
      <c r="I52" s="6"/>
      <c r="J52" s="58"/>
      <c r="K52" s="6"/>
      <c r="L52" s="139"/>
      <c r="M52" s="3"/>
      <c r="N52" s="191"/>
      <c r="O52" s="60"/>
      <c r="Q52" s="67"/>
      <c r="R52" s="65"/>
      <c r="S52" s="3"/>
      <c r="U52" s="67"/>
      <c r="V52" s="67"/>
      <c r="Z52" s="69"/>
      <c r="AA52" s="70"/>
      <c r="AB52" s="71"/>
      <c r="AC52" s="71"/>
      <c r="AD52" s="71"/>
      <c r="AE52" s="71"/>
      <c r="AF52" s="71"/>
      <c r="AG52" s="71"/>
      <c r="AH52" s="71"/>
      <c r="AK52" s="11"/>
      <c r="AL52" s="65"/>
      <c r="AM52" s="65"/>
    </row>
    <row r="53" ht="15.75" customHeight="1">
      <c r="B53" s="870"/>
      <c r="C53" s="841"/>
      <c r="E53" s="915"/>
      <c r="G53" s="13"/>
      <c r="H53" s="13"/>
      <c r="I53" s="6"/>
      <c r="J53" s="58"/>
      <c r="K53" s="6"/>
      <c r="L53" s="139"/>
      <c r="M53" s="3"/>
      <c r="N53" s="191"/>
      <c r="O53" s="60"/>
      <c r="Q53" s="67"/>
      <c r="R53" s="65"/>
      <c r="S53" s="3"/>
      <c r="U53" s="67"/>
      <c r="V53" s="67"/>
      <c r="Z53" s="69"/>
      <c r="AA53" s="70"/>
      <c r="AB53" s="71"/>
      <c r="AC53" s="71"/>
      <c r="AD53" s="71"/>
      <c r="AE53" s="71"/>
      <c r="AF53" s="71"/>
      <c r="AG53" s="71"/>
      <c r="AH53" s="71"/>
      <c r="AK53" s="11"/>
      <c r="AL53" s="65"/>
      <c r="AM53" s="65"/>
    </row>
    <row r="54" ht="15.75" customHeight="1">
      <c r="B54" s="870"/>
      <c r="C54" s="841"/>
      <c r="E54" s="915"/>
      <c r="G54" s="13"/>
      <c r="H54" s="13"/>
      <c r="I54" s="6"/>
      <c r="J54" s="58"/>
      <c r="K54" s="6"/>
      <c r="L54" s="139"/>
      <c r="M54" s="3"/>
      <c r="N54" s="191"/>
      <c r="O54" s="60"/>
      <c r="Q54" s="67"/>
      <c r="R54" s="65"/>
      <c r="S54" s="3"/>
      <c r="U54" s="67"/>
      <c r="V54" s="67"/>
      <c r="Z54" s="69"/>
      <c r="AA54" s="70"/>
      <c r="AB54" s="71"/>
      <c r="AC54" s="71"/>
      <c r="AD54" s="71"/>
      <c r="AE54" s="71"/>
      <c r="AF54" s="71"/>
      <c r="AG54" s="71"/>
      <c r="AH54" s="71"/>
      <c r="AK54" s="11"/>
      <c r="AL54" s="65"/>
      <c r="AM54" s="65"/>
    </row>
    <row r="55" ht="15.75" customHeight="1">
      <c r="B55" s="870"/>
      <c r="C55" s="841"/>
      <c r="E55" s="915"/>
      <c r="G55" s="13"/>
      <c r="H55" s="13"/>
      <c r="I55" s="6"/>
      <c r="J55" s="58"/>
      <c r="K55" s="6"/>
      <c r="L55" s="139"/>
      <c r="M55" s="3"/>
      <c r="N55" s="191"/>
      <c r="O55" s="60"/>
      <c r="Q55" s="67"/>
      <c r="R55" s="65"/>
      <c r="S55" s="3"/>
      <c r="U55" s="67"/>
      <c r="V55" s="67"/>
      <c r="Z55" s="69"/>
      <c r="AA55" s="70"/>
      <c r="AB55" s="71"/>
      <c r="AC55" s="71"/>
      <c r="AD55" s="71"/>
      <c r="AE55" s="71"/>
      <c r="AF55" s="71"/>
      <c r="AG55" s="71"/>
      <c r="AH55" s="71"/>
      <c r="AK55" s="11"/>
      <c r="AL55" s="65"/>
      <c r="AM55" s="65"/>
    </row>
    <row r="56" ht="15.75" customHeight="1">
      <c r="B56" s="870"/>
      <c r="C56" s="841"/>
      <c r="E56" s="915"/>
      <c r="G56" s="13"/>
      <c r="H56" s="13"/>
      <c r="I56" s="6"/>
      <c r="J56" s="58"/>
      <c r="K56" s="6"/>
      <c r="L56" s="139"/>
      <c r="M56" s="3"/>
      <c r="N56" s="191"/>
      <c r="O56" s="60"/>
      <c r="Q56" s="67"/>
      <c r="R56" s="65"/>
      <c r="S56" s="3"/>
      <c r="U56" s="67"/>
      <c r="V56" s="67"/>
      <c r="Z56" s="69"/>
      <c r="AA56" s="70"/>
      <c r="AB56" s="71"/>
      <c r="AC56" s="71"/>
      <c r="AD56" s="71"/>
      <c r="AE56" s="71"/>
      <c r="AF56" s="71"/>
      <c r="AG56" s="71"/>
      <c r="AH56" s="71"/>
      <c r="AK56" s="11"/>
      <c r="AL56" s="65"/>
      <c r="AM56" s="65"/>
    </row>
    <row r="57" ht="15.75" customHeight="1">
      <c r="B57" s="870"/>
      <c r="C57" s="841"/>
      <c r="E57" s="915"/>
      <c r="G57" s="13"/>
      <c r="H57" s="13"/>
      <c r="I57" s="6"/>
      <c r="J57" s="58"/>
      <c r="K57" s="6"/>
      <c r="L57" s="139"/>
      <c r="M57" s="3"/>
      <c r="N57" s="191"/>
      <c r="O57" s="60"/>
      <c r="Q57" s="67"/>
      <c r="R57" s="65"/>
      <c r="S57" s="3"/>
      <c r="U57" s="67"/>
      <c r="V57" s="67"/>
      <c r="Z57" s="69"/>
      <c r="AA57" s="70"/>
      <c r="AB57" s="71"/>
      <c r="AC57" s="71"/>
      <c r="AD57" s="71"/>
      <c r="AE57" s="71"/>
      <c r="AF57" s="71"/>
      <c r="AG57" s="71"/>
      <c r="AH57" s="71"/>
      <c r="AK57" s="11"/>
      <c r="AL57" s="65"/>
      <c r="AM57" s="65"/>
    </row>
    <row r="58" ht="15.75" customHeight="1">
      <c r="B58" s="870"/>
      <c r="C58" s="841"/>
      <c r="E58" s="915"/>
      <c r="G58" s="13"/>
      <c r="H58" s="13"/>
      <c r="I58" s="6"/>
      <c r="J58" s="58"/>
      <c r="K58" s="6"/>
      <c r="L58" s="139"/>
      <c r="M58" s="3"/>
      <c r="N58" s="191"/>
      <c r="O58" s="60"/>
      <c r="Q58" s="67"/>
      <c r="R58" s="65"/>
      <c r="S58" s="3"/>
      <c r="U58" s="67"/>
      <c r="V58" s="67"/>
      <c r="Z58" s="69"/>
      <c r="AA58" s="70"/>
      <c r="AB58" s="71"/>
      <c r="AC58" s="71"/>
      <c r="AD58" s="71"/>
      <c r="AE58" s="71"/>
      <c r="AF58" s="71"/>
      <c r="AG58" s="71"/>
      <c r="AH58" s="71"/>
      <c r="AK58" s="11"/>
      <c r="AL58" s="65"/>
      <c r="AM58" s="65"/>
    </row>
    <row r="59" ht="15.75" customHeight="1">
      <c r="B59" s="870"/>
      <c r="C59" s="841"/>
      <c r="E59" s="915"/>
      <c r="G59" s="13"/>
      <c r="H59" s="13"/>
      <c r="I59" s="6"/>
      <c r="J59" s="58"/>
      <c r="K59" s="6"/>
      <c r="L59" s="139"/>
      <c r="M59" s="3"/>
      <c r="N59" s="191"/>
      <c r="O59" s="60"/>
      <c r="Q59" s="67"/>
      <c r="R59" s="65"/>
      <c r="S59" s="3"/>
      <c r="U59" s="67"/>
      <c r="V59" s="67"/>
      <c r="Z59" s="69"/>
      <c r="AA59" s="70"/>
      <c r="AB59" s="71"/>
      <c r="AC59" s="71"/>
      <c r="AD59" s="71"/>
      <c r="AE59" s="71"/>
      <c r="AF59" s="71"/>
      <c r="AG59" s="71"/>
      <c r="AH59" s="71"/>
      <c r="AK59" s="11"/>
      <c r="AL59" s="65"/>
      <c r="AM59" s="65"/>
    </row>
    <row r="60" ht="15.75" customHeight="1">
      <c r="B60" s="870"/>
      <c r="C60" s="841"/>
      <c r="E60" s="915"/>
      <c r="G60" s="13"/>
      <c r="H60" s="13"/>
      <c r="I60" s="6"/>
      <c r="J60" s="58"/>
      <c r="K60" s="6"/>
      <c r="L60" s="139"/>
      <c r="M60" s="3"/>
      <c r="N60" s="191"/>
      <c r="O60" s="60"/>
      <c r="Q60" s="67"/>
      <c r="R60" s="65"/>
      <c r="S60" s="3"/>
      <c r="U60" s="67"/>
      <c r="V60" s="67"/>
      <c r="Z60" s="69"/>
      <c r="AA60" s="70"/>
      <c r="AB60" s="71"/>
      <c r="AC60" s="71"/>
      <c r="AD60" s="71"/>
      <c r="AE60" s="71"/>
      <c r="AF60" s="71"/>
      <c r="AG60" s="71"/>
      <c r="AH60" s="71"/>
      <c r="AK60" s="11"/>
      <c r="AL60" s="65"/>
      <c r="AM60" s="65"/>
    </row>
    <row r="61" ht="15.75" customHeight="1">
      <c r="B61" s="870"/>
      <c r="C61" s="841"/>
      <c r="E61" s="915"/>
      <c r="G61" s="13"/>
      <c r="H61" s="13"/>
      <c r="I61" s="6"/>
      <c r="J61" s="58"/>
      <c r="K61" s="6"/>
      <c r="L61" s="139"/>
      <c r="M61" s="3"/>
      <c r="N61" s="191"/>
      <c r="O61" s="60"/>
      <c r="Q61" s="67"/>
      <c r="R61" s="65"/>
      <c r="S61" s="3"/>
      <c r="U61" s="67"/>
      <c r="V61" s="67"/>
      <c r="Z61" s="69"/>
      <c r="AA61" s="70"/>
      <c r="AB61" s="71"/>
      <c r="AC61" s="71"/>
      <c r="AD61" s="71"/>
      <c r="AE61" s="71"/>
      <c r="AF61" s="71"/>
      <c r="AG61" s="71"/>
      <c r="AH61" s="71"/>
      <c r="AK61" s="11"/>
      <c r="AL61" s="65"/>
      <c r="AM61" s="65"/>
    </row>
    <row r="62" ht="15.75" customHeight="1">
      <c r="B62" s="870"/>
      <c r="C62" s="841"/>
      <c r="E62" s="915"/>
      <c r="G62" s="13"/>
      <c r="H62" s="13"/>
      <c r="I62" s="6"/>
      <c r="J62" s="58"/>
      <c r="K62" s="6"/>
      <c r="L62" s="139"/>
      <c r="M62" s="3"/>
      <c r="N62" s="191"/>
      <c r="O62" s="60"/>
      <c r="Q62" s="67"/>
      <c r="R62" s="65"/>
      <c r="S62" s="3"/>
      <c r="U62" s="67"/>
      <c r="V62" s="67"/>
      <c r="Z62" s="69"/>
      <c r="AA62" s="70"/>
      <c r="AB62" s="71"/>
      <c r="AC62" s="71"/>
      <c r="AD62" s="71"/>
      <c r="AE62" s="71"/>
      <c r="AF62" s="71"/>
      <c r="AG62" s="71"/>
      <c r="AH62" s="71"/>
      <c r="AK62" s="11"/>
      <c r="AL62" s="65"/>
      <c r="AM62" s="65"/>
    </row>
    <row r="63" ht="15.75" customHeight="1">
      <c r="B63" s="870"/>
      <c r="C63" s="841"/>
      <c r="E63" s="915"/>
      <c r="G63" s="13"/>
      <c r="H63" s="13"/>
      <c r="I63" s="6"/>
      <c r="J63" s="58"/>
      <c r="K63" s="6"/>
      <c r="L63" s="139"/>
      <c r="M63" s="3"/>
      <c r="N63" s="191"/>
      <c r="O63" s="60"/>
      <c r="Q63" s="67"/>
      <c r="R63" s="65"/>
      <c r="S63" s="3"/>
      <c r="U63" s="67"/>
      <c r="V63" s="67"/>
      <c r="Z63" s="69"/>
      <c r="AA63" s="70"/>
      <c r="AB63" s="71"/>
      <c r="AC63" s="71"/>
      <c r="AD63" s="71"/>
      <c r="AE63" s="71"/>
      <c r="AF63" s="71"/>
      <c r="AG63" s="71"/>
      <c r="AH63" s="71"/>
      <c r="AK63" s="11"/>
      <c r="AL63" s="65"/>
      <c r="AM63" s="65"/>
    </row>
    <row r="64" ht="15.75" customHeight="1">
      <c r="B64" s="870"/>
      <c r="C64" s="841"/>
      <c r="E64" s="915"/>
      <c r="G64" s="13"/>
      <c r="H64" s="13"/>
      <c r="I64" s="6"/>
      <c r="J64" s="58"/>
      <c r="K64" s="6"/>
      <c r="L64" s="139"/>
      <c r="M64" s="3"/>
      <c r="N64" s="191"/>
      <c r="O64" s="60"/>
      <c r="Q64" s="67"/>
      <c r="R64" s="65"/>
      <c r="S64" s="3"/>
      <c r="U64" s="67"/>
      <c r="V64" s="67"/>
      <c r="Z64" s="69"/>
      <c r="AA64" s="70"/>
      <c r="AB64" s="71"/>
      <c r="AC64" s="71"/>
      <c r="AD64" s="71"/>
      <c r="AE64" s="71"/>
      <c r="AF64" s="71"/>
      <c r="AG64" s="71"/>
      <c r="AH64" s="71"/>
      <c r="AK64" s="11"/>
      <c r="AL64" s="65"/>
      <c r="AM64" s="65"/>
    </row>
    <row r="65" ht="15.75" customHeight="1">
      <c r="B65" s="870"/>
      <c r="C65" s="841"/>
      <c r="E65" s="915"/>
      <c r="G65" s="13"/>
      <c r="H65" s="13"/>
      <c r="I65" s="6"/>
      <c r="J65" s="58"/>
      <c r="K65" s="6"/>
      <c r="L65" s="139"/>
      <c r="M65" s="3"/>
      <c r="N65" s="191"/>
      <c r="O65" s="60"/>
      <c r="Q65" s="67"/>
      <c r="R65" s="65"/>
      <c r="S65" s="3"/>
      <c r="U65" s="67"/>
      <c r="V65" s="67"/>
      <c r="Z65" s="69"/>
      <c r="AA65" s="70"/>
      <c r="AB65" s="71"/>
      <c r="AC65" s="71"/>
      <c r="AD65" s="71"/>
      <c r="AE65" s="71"/>
      <c r="AF65" s="71"/>
      <c r="AG65" s="71"/>
      <c r="AH65" s="71"/>
      <c r="AK65" s="11"/>
      <c r="AL65" s="65"/>
      <c r="AM65" s="65"/>
    </row>
    <row r="66" ht="15.75" customHeight="1">
      <c r="B66" s="870"/>
      <c r="C66" s="841"/>
      <c r="E66" s="915"/>
      <c r="G66" s="13"/>
      <c r="H66" s="13"/>
      <c r="I66" s="6"/>
      <c r="J66" s="58"/>
      <c r="K66" s="6"/>
      <c r="L66" s="139"/>
      <c r="M66" s="3"/>
      <c r="N66" s="191"/>
      <c r="O66" s="60"/>
      <c r="Q66" s="67"/>
      <c r="R66" s="65"/>
      <c r="S66" s="3"/>
      <c r="U66" s="67"/>
      <c r="V66" s="67"/>
      <c r="Z66" s="69"/>
      <c r="AA66" s="70"/>
      <c r="AB66" s="71"/>
      <c r="AC66" s="71"/>
      <c r="AD66" s="71"/>
      <c r="AE66" s="71"/>
      <c r="AF66" s="71"/>
      <c r="AG66" s="71"/>
      <c r="AH66" s="71"/>
      <c r="AK66" s="11"/>
      <c r="AL66" s="65"/>
      <c r="AM66" s="65"/>
    </row>
    <row r="67" ht="15.75" customHeight="1">
      <c r="B67" s="870"/>
      <c r="C67" s="841"/>
      <c r="E67" s="915"/>
      <c r="G67" s="13"/>
      <c r="H67" s="13"/>
      <c r="I67" s="6"/>
      <c r="J67" s="58"/>
      <c r="K67" s="6"/>
      <c r="L67" s="139"/>
      <c r="M67" s="3"/>
      <c r="N67" s="191"/>
      <c r="O67" s="60"/>
      <c r="Q67" s="67"/>
      <c r="R67" s="65"/>
      <c r="S67" s="3"/>
      <c r="U67" s="67"/>
      <c r="V67" s="67"/>
      <c r="Z67" s="69"/>
      <c r="AA67" s="70"/>
      <c r="AB67" s="71"/>
      <c r="AC67" s="71"/>
      <c r="AD67" s="71"/>
      <c r="AE67" s="71"/>
      <c r="AF67" s="71"/>
      <c r="AG67" s="71"/>
      <c r="AH67" s="71"/>
      <c r="AK67" s="11"/>
      <c r="AL67" s="65"/>
      <c r="AM67" s="65"/>
    </row>
    <row r="68" ht="15.75" customHeight="1">
      <c r="B68" s="870"/>
      <c r="C68" s="841"/>
      <c r="E68" s="915"/>
      <c r="G68" s="13"/>
      <c r="H68" s="13"/>
      <c r="I68" s="6"/>
      <c r="J68" s="58"/>
      <c r="K68" s="6"/>
      <c r="L68" s="139"/>
      <c r="M68" s="3"/>
      <c r="N68" s="191"/>
      <c r="O68" s="60"/>
      <c r="Q68" s="67"/>
      <c r="R68" s="65"/>
      <c r="S68" s="3"/>
      <c r="U68" s="67"/>
      <c r="V68" s="67"/>
      <c r="Z68" s="69"/>
      <c r="AA68" s="70"/>
      <c r="AB68" s="71"/>
      <c r="AC68" s="71"/>
      <c r="AD68" s="71"/>
      <c r="AE68" s="71"/>
      <c r="AF68" s="71"/>
      <c r="AG68" s="71"/>
      <c r="AH68" s="71"/>
      <c r="AK68" s="11"/>
      <c r="AL68" s="65"/>
      <c r="AM68" s="65"/>
    </row>
    <row r="69" ht="15.75" customHeight="1">
      <c r="B69" s="870"/>
      <c r="C69" s="841"/>
      <c r="E69" s="915"/>
      <c r="G69" s="13"/>
      <c r="H69" s="13"/>
      <c r="I69" s="6"/>
      <c r="J69" s="58"/>
      <c r="K69" s="6"/>
      <c r="L69" s="139"/>
      <c r="M69" s="3"/>
      <c r="N69" s="191"/>
      <c r="O69" s="60"/>
      <c r="Q69" s="67"/>
      <c r="R69" s="65"/>
      <c r="S69" s="3"/>
      <c r="U69" s="67"/>
      <c r="V69" s="67"/>
      <c r="Z69" s="69"/>
      <c r="AA69" s="70"/>
      <c r="AB69" s="71"/>
      <c r="AC69" s="71"/>
      <c r="AD69" s="71"/>
      <c r="AE69" s="71"/>
      <c r="AF69" s="71"/>
      <c r="AG69" s="71"/>
      <c r="AH69" s="71"/>
      <c r="AK69" s="11"/>
      <c r="AL69" s="65"/>
      <c r="AM69" s="65"/>
    </row>
    <row r="70" ht="15.75" customHeight="1">
      <c r="B70" s="870"/>
      <c r="C70" s="841"/>
      <c r="E70" s="915"/>
      <c r="G70" s="13"/>
      <c r="H70" s="13"/>
      <c r="I70" s="6"/>
      <c r="J70" s="58"/>
      <c r="K70" s="6"/>
      <c r="L70" s="139"/>
      <c r="M70" s="3"/>
      <c r="N70" s="191"/>
      <c r="O70" s="60"/>
      <c r="Q70" s="67"/>
      <c r="R70" s="65"/>
      <c r="S70" s="3"/>
      <c r="U70" s="67"/>
      <c r="V70" s="67"/>
      <c r="Z70" s="69"/>
      <c r="AA70" s="70"/>
      <c r="AB70" s="71"/>
      <c r="AC70" s="71"/>
      <c r="AD70" s="71"/>
      <c r="AE70" s="71"/>
      <c r="AF70" s="71"/>
      <c r="AG70" s="71"/>
      <c r="AH70" s="71"/>
      <c r="AK70" s="11"/>
      <c r="AL70" s="65"/>
      <c r="AM70" s="65"/>
    </row>
    <row r="71" ht="15.75" customHeight="1">
      <c r="B71" s="870"/>
      <c r="C71" s="841"/>
      <c r="E71" s="915"/>
      <c r="G71" s="13"/>
      <c r="H71" s="13"/>
      <c r="I71" s="6"/>
      <c r="J71" s="58"/>
      <c r="K71" s="6"/>
      <c r="L71" s="139"/>
      <c r="M71" s="3"/>
      <c r="N71" s="191"/>
      <c r="O71" s="60"/>
      <c r="Q71" s="67"/>
      <c r="R71" s="65"/>
      <c r="S71" s="3"/>
      <c r="U71" s="67"/>
      <c r="V71" s="67"/>
      <c r="Z71" s="69"/>
      <c r="AA71" s="70"/>
      <c r="AB71" s="71"/>
      <c r="AC71" s="71"/>
      <c r="AD71" s="71"/>
      <c r="AE71" s="71"/>
      <c r="AF71" s="71"/>
      <c r="AG71" s="71"/>
      <c r="AH71" s="71"/>
      <c r="AK71" s="11"/>
      <c r="AL71" s="65"/>
      <c r="AM71" s="65"/>
    </row>
    <row r="72" ht="15.75" customHeight="1">
      <c r="B72" s="870"/>
      <c r="C72" s="841"/>
      <c r="E72" s="915"/>
      <c r="G72" s="13"/>
      <c r="H72" s="13"/>
      <c r="I72" s="6"/>
      <c r="J72" s="58"/>
      <c r="K72" s="6"/>
      <c r="L72" s="139"/>
      <c r="M72" s="3"/>
      <c r="N72" s="191"/>
      <c r="O72" s="60"/>
      <c r="Q72" s="67"/>
      <c r="R72" s="65"/>
      <c r="S72" s="3"/>
      <c r="U72" s="67"/>
      <c r="V72" s="67"/>
      <c r="Z72" s="69"/>
      <c r="AA72" s="70"/>
      <c r="AB72" s="71"/>
      <c r="AC72" s="71"/>
      <c r="AD72" s="71"/>
      <c r="AE72" s="71"/>
      <c r="AF72" s="71"/>
      <c r="AG72" s="71"/>
      <c r="AH72" s="71"/>
      <c r="AK72" s="11"/>
      <c r="AL72" s="65"/>
      <c r="AM72" s="65"/>
    </row>
    <row r="73" ht="15.75" customHeight="1">
      <c r="B73" s="870"/>
      <c r="C73" s="841"/>
      <c r="E73" s="915"/>
      <c r="G73" s="13"/>
      <c r="H73" s="13"/>
      <c r="I73" s="6"/>
      <c r="J73" s="58"/>
      <c r="K73" s="6"/>
      <c r="L73" s="139"/>
      <c r="M73" s="3"/>
      <c r="N73" s="191"/>
      <c r="O73" s="60"/>
      <c r="Q73" s="67"/>
      <c r="R73" s="65"/>
      <c r="S73" s="3"/>
      <c r="U73" s="67"/>
      <c r="V73" s="67"/>
      <c r="Z73" s="69"/>
      <c r="AA73" s="70"/>
      <c r="AB73" s="71"/>
      <c r="AC73" s="71"/>
      <c r="AD73" s="71"/>
      <c r="AE73" s="71"/>
      <c r="AF73" s="71"/>
      <c r="AG73" s="71"/>
      <c r="AH73" s="71"/>
      <c r="AK73" s="11"/>
      <c r="AL73" s="65"/>
      <c r="AM73" s="65"/>
    </row>
    <row r="74" ht="15.75" customHeight="1">
      <c r="B74" s="870"/>
      <c r="C74" s="841"/>
      <c r="E74" s="915"/>
      <c r="G74" s="13"/>
      <c r="H74" s="13"/>
      <c r="I74" s="6"/>
      <c r="J74" s="58"/>
      <c r="K74" s="6"/>
      <c r="L74" s="139"/>
      <c r="M74" s="3"/>
      <c r="N74" s="191"/>
      <c r="O74" s="60"/>
      <c r="Q74" s="67"/>
      <c r="R74" s="65"/>
      <c r="S74" s="3"/>
      <c r="U74" s="67"/>
      <c r="V74" s="67"/>
      <c r="Z74" s="69"/>
      <c r="AA74" s="70"/>
      <c r="AB74" s="71"/>
      <c r="AC74" s="71"/>
      <c r="AD74" s="71"/>
      <c r="AE74" s="71"/>
      <c r="AF74" s="71"/>
      <c r="AG74" s="71"/>
      <c r="AH74" s="71"/>
      <c r="AK74" s="11"/>
      <c r="AL74" s="65"/>
      <c r="AM74" s="65"/>
    </row>
    <row r="75" ht="15.75" customHeight="1">
      <c r="B75" s="870"/>
      <c r="C75" s="841"/>
      <c r="E75" s="915"/>
      <c r="G75" s="13"/>
      <c r="H75" s="13"/>
      <c r="I75" s="6"/>
      <c r="J75" s="58"/>
      <c r="K75" s="6"/>
      <c r="L75" s="139"/>
      <c r="M75" s="3"/>
      <c r="N75" s="191"/>
      <c r="O75" s="60"/>
      <c r="Q75" s="67"/>
      <c r="R75" s="65"/>
      <c r="S75" s="3"/>
      <c r="U75" s="67"/>
      <c r="V75" s="67"/>
      <c r="Z75" s="69"/>
      <c r="AA75" s="70"/>
      <c r="AB75" s="71"/>
      <c r="AC75" s="71"/>
      <c r="AD75" s="71"/>
      <c r="AE75" s="71"/>
      <c r="AF75" s="71"/>
      <c r="AG75" s="71"/>
      <c r="AH75" s="71"/>
      <c r="AK75" s="11"/>
      <c r="AL75" s="65"/>
      <c r="AM75" s="65"/>
    </row>
    <row r="76" ht="15.75" customHeight="1">
      <c r="B76" s="870"/>
      <c r="C76" s="841"/>
      <c r="E76" s="915"/>
      <c r="G76" s="13"/>
      <c r="H76" s="13"/>
      <c r="I76" s="6"/>
      <c r="J76" s="58"/>
      <c r="K76" s="6"/>
      <c r="L76" s="139"/>
      <c r="M76" s="3"/>
      <c r="N76" s="191"/>
      <c r="O76" s="60"/>
      <c r="Q76" s="67"/>
      <c r="R76" s="65"/>
      <c r="S76" s="3"/>
      <c r="U76" s="67"/>
      <c r="V76" s="67"/>
      <c r="Z76" s="69"/>
      <c r="AA76" s="70"/>
      <c r="AB76" s="71"/>
      <c r="AC76" s="71"/>
      <c r="AD76" s="71"/>
      <c r="AE76" s="71"/>
      <c r="AF76" s="71"/>
      <c r="AG76" s="71"/>
      <c r="AH76" s="71"/>
      <c r="AK76" s="11"/>
      <c r="AL76" s="65"/>
      <c r="AM76" s="65"/>
    </row>
    <row r="77" ht="15.75" customHeight="1">
      <c r="B77" s="870"/>
      <c r="C77" s="841"/>
      <c r="E77" s="915"/>
      <c r="G77" s="13"/>
      <c r="H77" s="13"/>
      <c r="I77" s="6"/>
      <c r="J77" s="58"/>
      <c r="K77" s="6"/>
      <c r="L77" s="139"/>
      <c r="M77" s="3"/>
      <c r="N77" s="191"/>
      <c r="O77" s="60"/>
      <c r="Q77" s="67"/>
      <c r="R77" s="65"/>
      <c r="S77" s="3"/>
      <c r="U77" s="67"/>
      <c r="V77" s="67"/>
      <c r="Z77" s="69"/>
      <c r="AA77" s="70"/>
      <c r="AB77" s="71"/>
      <c r="AC77" s="71"/>
      <c r="AD77" s="71"/>
      <c r="AE77" s="71"/>
      <c r="AF77" s="71"/>
      <c r="AG77" s="71"/>
      <c r="AH77" s="71"/>
      <c r="AK77" s="11"/>
      <c r="AL77" s="65"/>
      <c r="AM77" s="65"/>
    </row>
    <row r="78" ht="15.75" customHeight="1">
      <c r="B78" s="870"/>
      <c r="C78" s="841"/>
      <c r="E78" s="915"/>
      <c r="G78" s="13"/>
      <c r="H78" s="13"/>
      <c r="I78" s="6"/>
      <c r="J78" s="58"/>
      <c r="K78" s="6"/>
      <c r="L78" s="139"/>
      <c r="M78" s="3"/>
      <c r="N78" s="191"/>
      <c r="O78" s="60"/>
      <c r="Q78" s="67"/>
      <c r="R78" s="65"/>
      <c r="S78" s="3"/>
      <c r="U78" s="67"/>
      <c r="V78" s="67"/>
      <c r="Z78" s="69"/>
      <c r="AA78" s="70"/>
      <c r="AB78" s="71"/>
      <c r="AC78" s="71"/>
      <c r="AD78" s="71"/>
      <c r="AE78" s="71"/>
      <c r="AF78" s="71"/>
      <c r="AG78" s="71"/>
      <c r="AH78" s="71"/>
      <c r="AK78" s="11"/>
      <c r="AL78" s="65"/>
      <c r="AM78" s="65"/>
    </row>
    <row r="79" ht="15.75" customHeight="1">
      <c r="B79" s="870"/>
      <c r="C79" s="841"/>
      <c r="E79" s="915"/>
      <c r="G79" s="13"/>
      <c r="H79" s="13"/>
      <c r="I79" s="6"/>
      <c r="J79" s="58"/>
      <c r="K79" s="6"/>
      <c r="L79" s="139"/>
      <c r="M79" s="3"/>
      <c r="N79" s="191"/>
      <c r="O79" s="60"/>
      <c r="Q79" s="67"/>
      <c r="R79" s="65"/>
      <c r="S79" s="3"/>
      <c r="U79" s="67"/>
      <c r="V79" s="67"/>
      <c r="Z79" s="69"/>
      <c r="AA79" s="70"/>
      <c r="AB79" s="71"/>
      <c r="AC79" s="71"/>
      <c r="AD79" s="71"/>
      <c r="AE79" s="71"/>
      <c r="AF79" s="71"/>
      <c r="AG79" s="71"/>
      <c r="AH79" s="71"/>
      <c r="AK79" s="11"/>
      <c r="AL79" s="65"/>
      <c r="AM79" s="65"/>
    </row>
    <row r="80" ht="15.75" customHeight="1">
      <c r="B80" s="870"/>
      <c r="C80" s="841"/>
      <c r="E80" s="915"/>
      <c r="G80" s="13"/>
      <c r="H80" s="13"/>
      <c r="I80" s="6"/>
      <c r="J80" s="58"/>
      <c r="K80" s="6"/>
      <c r="L80" s="139"/>
      <c r="M80" s="3"/>
      <c r="N80" s="191"/>
      <c r="O80" s="60"/>
      <c r="Q80" s="67"/>
      <c r="R80" s="65"/>
      <c r="S80" s="3"/>
      <c r="U80" s="67"/>
      <c r="V80" s="67"/>
      <c r="Z80" s="69"/>
      <c r="AA80" s="70"/>
      <c r="AB80" s="71"/>
      <c r="AC80" s="71"/>
      <c r="AD80" s="71"/>
      <c r="AE80" s="71"/>
      <c r="AF80" s="71"/>
      <c r="AG80" s="71"/>
      <c r="AH80" s="71"/>
      <c r="AK80" s="11"/>
      <c r="AL80" s="65"/>
      <c r="AM80" s="65"/>
    </row>
    <row r="81" ht="15.75" customHeight="1">
      <c r="B81" s="870"/>
      <c r="C81" s="841"/>
      <c r="E81" s="915"/>
      <c r="G81" s="13"/>
      <c r="H81" s="13"/>
      <c r="I81" s="6"/>
      <c r="J81" s="58"/>
      <c r="K81" s="6"/>
      <c r="L81" s="139"/>
      <c r="M81" s="3"/>
      <c r="N81" s="191"/>
      <c r="O81" s="60"/>
      <c r="Q81" s="67"/>
      <c r="R81" s="65"/>
      <c r="S81" s="3"/>
      <c r="U81" s="67"/>
      <c r="V81" s="67"/>
      <c r="Z81" s="69"/>
      <c r="AA81" s="70"/>
      <c r="AB81" s="71"/>
      <c r="AC81" s="71"/>
      <c r="AD81" s="71"/>
      <c r="AE81" s="71"/>
      <c r="AF81" s="71"/>
      <c r="AG81" s="71"/>
      <c r="AH81" s="71"/>
      <c r="AK81" s="11"/>
      <c r="AL81" s="65"/>
      <c r="AM81" s="65"/>
    </row>
    <row r="82" ht="15.75" customHeight="1">
      <c r="B82" s="870"/>
      <c r="C82" s="841"/>
      <c r="E82" s="915"/>
      <c r="G82" s="13"/>
      <c r="H82" s="13"/>
      <c r="I82" s="6"/>
      <c r="J82" s="58"/>
      <c r="K82" s="6"/>
      <c r="L82" s="139"/>
      <c r="M82" s="3"/>
      <c r="N82" s="191"/>
      <c r="O82" s="60"/>
      <c r="Q82" s="67"/>
      <c r="R82" s="65"/>
      <c r="S82" s="3"/>
      <c r="U82" s="67"/>
      <c r="V82" s="67"/>
      <c r="Z82" s="69"/>
      <c r="AA82" s="70"/>
      <c r="AB82" s="71"/>
      <c r="AC82" s="71"/>
      <c r="AD82" s="71"/>
      <c r="AE82" s="71"/>
      <c r="AF82" s="71"/>
      <c r="AG82" s="71"/>
      <c r="AH82" s="71"/>
      <c r="AK82" s="11"/>
      <c r="AL82" s="65"/>
      <c r="AM82" s="65"/>
    </row>
    <row r="83" ht="15.75" customHeight="1">
      <c r="B83" s="870"/>
      <c r="C83" s="841"/>
      <c r="E83" s="915"/>
      <c r="G83" s="13"/>
      <c r="H83" s="13"/>
      <c r="I83" s="6"/>
      <c r="J83" s="58"/>
      <c r="K83" s="6"/>
      <c r="L83" s="139"/>
      <c r="M83" s="3"/>
      <c r="N83" s="191"/>
      <c r="O83" s="60"/>
      <c r="Q83" s="67"/>
      <c r="R83" s="65"/>
      <c r="S83" s="3"/>
      <c r="U83" s="67"/>
      <c r="V83" s="67"/>
      <c r="Z83" s="69"/>
      <c r="AA83" s="70"/>
      <c r="AB83" s="71"/>
      <c r="AC83" s="71"/>
      <c r="AD83" s="71"/>
      <c r="AE83" s="71"/>
      <c r="AF83" s="71"/>
      <c r="AG83" s="71"/>
      <c r="AH83" s="71"/>
      <c r="AK83" s="11"/>
      <c r="AL83" s="65"/>
      <c r="AM83" s="65"/>
    </row>
    <row r="84" ht="15.75" customHeight="1">
      <c r="B84" s="870"/>
      <c r="C84" s="841"/>
      <c r="E84" s="915"/>
      <c r="G84" s="13"/>
      <c r="H84" s="13"/>
      <c r="I84" s="6"/>
      <c r="J84" s="58"/>
      <c r="K84" s="6"/>
      <c r="L84" s="139"/>
      <c r="M84" s="3"/>
      <c r="N84" s="191"/>
      <c r="O84" s="60"/>
      <c r="Q84" s="67"/>
      <c r="R84" s="65"/>
      <c r="S84" s="3"/>
      <c r="U84" s="67"/>
      <c r="V84" s="67"/>
      <c r="Z84" s="69"/>
      <c r="AA84" s="70"/>
      <c r="AB84" s="71"/>
      <c r="AC84" s="71"/>
      <c r="AD84" s="71"/>
      <c r="AE84" s="71"/>
      <c r="AF84" s="71"/>
      <c r="AG84" s="71"/>
      <c r="AH84" s="71"/>
      <c r="AK84" s="11"/>
      <c r="AL84" s="65"/>
      <c r="AM84" s="65"/>
    </row>
    <row r="85" ht="15.75" customHeight="1">
      <c r="B85" s="870"/>
      <c r="C85" s="841"/>
      <c r="E85" s="915"/>
      <c r="G85" s="13"/>
      <c r="H85" s="13"/>
      <c r="I85" s="6"/>
      <c r="J85" s="58"/>
      <c r="K85" s="6"/>
      <c r="L85" s="139"/>
      <c r="M85" s="3"/>
      <c r="N85" s="191"/>
      <c r="O85" s="60"/>
      <c r="Q85" s="67"/>
      <c r="R85" s="65"/>
      <c r="S85" s="3"/>
      <c r="U85" s="67"/>
      <c r="V85" s="67"/>
      <c r="Z85" s="69"/>
      <c r="AA85" s="70"/>
      <c r="AB85" s="71"/>
      <c r="AC85" s="71"/>
      <c r="AD85" s="71"/>
      <c r="AE85" s="71"/>
      <c r="AF85" s="71"/>
      <c r="AG85" s="71"/>
      <c r="AH85" s="71"/>
      <c r="AK85" s="11"/>
      <c r="AL85" s="65"/>
      <c r="AM85" s="65"/>
    </row>
    <row r="86" ht="15.75" customHeight="1">
      <c r="B86" s="870"/>
      <c r="C86" s="841"/>
      <c r="E86" s="915"/>
      <c r="G86" s="13"/>
      <c r="H86" s="13"/>
      <c r="I86" s="6"/>
      <c r="J86" s="58"/>
      <c r="K86" s="6"/>
      <c r="L86" s="139"/>
      <c r="M86" s="3"/>
      <c r="N86" s="191"/>
      <c r="O86" s="60"/>
      <c r="Q86" s="67"/>
      <c r="R86" s="65"/>
      <c r="S86" s="3"/>
      <c r="U86" s="67"/>
      <c r="V86" s="67"/>
      <c r="Z86" s="69"/>
      <c r="AA86" s="70"/>
      <c r="AB86" s="71"/>
      <c r="AC86" s="71"/>
      <c r="AD86" s="71"/>
      <c r="AE86" s="71"/>
      <c r="AF86" s="71"/>
      <c r="AG86" s="71"/>
      <c r="AH86" s="71"/>
      <c r="AK86" s="11"/>
      <c r="AL86" s="65"/>
      <c r="AM86" s="65"/>
    </row>
    <row r="87" ht="15.75" customHeight="1">
      <c r="B87" s="870"/>
      <c r="C87" s="841"/>
      <c r="E87" s="915"/>
      <c r="G87" s="13"/>
      <c r="H87" s="13"/>
      <c r="I87" s="6"/>
      <c r="J87" s="58"/>
      <c r="K87" s="6"/>
      <c r="L87" s="139"/>
      <c r="M87" s="3"/>
      <c r="N87" s="191"/>
      <c r="O87" s="60"/>
      <c r="Q87" s="67"/>
      <c r="R87" s="65"/>
      <c r="S87" s="3"/>
      <c r="U87" s="67"/>
      <c r="V87" s="67"/>
      <c r="Z87" s="69"/>
      <c r="AA87" s="70"/>
      <c r="AB87" s="71"/>
      <c r="AC87" s="71"/>
      <c r="AD87" s="71"/>
      <c r="AE87" s="71"/>
      <c r="AF87" s="71"/>
      <c r="AG87" s="71"/>
      <c r="AH87" s="71"/>
      <c r="AK87" s="11"/>
      <c r="AL87" s="65"/>
      <c r="AM87" s="65"/>
    </row>
    <row r="88" ht="15.75" customHeight="1">
      <c r="B88" s="870"/>
      <c r="C88" s="841"/>
      <c r="E88" s="915"/>
      <c r="G88" s="13"/>
      <c r="H88" s="13"/>
      <c r="I88" s="6"/>
      <c r="J88" s="58"/>
      <c r="K88" s="6"/>
      <c r="L88" s="139"/>
      <c r="M88" s="3"/>
      <c r="N88" s="191"/>
      <c r="O88" s="60"/>
      <c r="Q88" s="67"/>
      <c r="R88" s="65"/>
      <c r="S88" s="3"/>
      <c r="U88" s="67"/>
      <c r="V88" s="67"/>
      <c r="Z88" s="69"/>
      <c r="AA88" s="70"/>
      <c r="AB88" s="71"/>
      <c r="AC88" s="71"/>
      <c r="AD88" s="71"/>
      <c r="AE88" s="71"/>
      <c r="AF88" s="71"/>
      <c r="AG88" s="71"/>
      <c r="AH88" s="71"/>
      <c r="AK88" s="11"/>
      <c r="AL88" s="65"/>
      <c r="AM88" s="65"/>
    </row>
    <row r="89" ht="15.75" customHeight="1">
      <c r="B89" s="870"/>
      <c r="C89" s="841"/>
      <c r="E89" s="915"/>
      <c r="G89" s="13"/>
      <c r="H89" s="13"/>
      <c r="I89" s="6"/>
      <c r="J89" s="58"/>
      <c r="K89" s="6"/>
      <c r="L89" s="139"/>
      <c r="M89" s="3"/>
      <c r="N89" s="191"/>
      <c r="O89" s="60"/>
      <c r="Q89" s="67"/>
      <c r="R89" s="65"/>
      <c r="S89" s="3"/>
      <c r="U89" s="67"/>
      <c r="V89" s="67"/>
      <c r="Z89" s="69"/>
      <c r="AA89" s="70"/>
      <c r="AB89" s="71"/>
      <c r="AC89" s="71"/>
      <c r="AD89" s="71"/>
      <c r="AE89" s="71"/>
      <c r="AF89" s="71"/>
      <c r="AG89" s="71"/>
      <c r="AH89" s="71"/>
      <c r="AK89" s="11"/>
      <c r="AL89" s="65"/>
      <c r="AM89" s="65"/>
    </row>
    <row r="90" ht="15.75" customHeight="1">
      <c r="B90" s="870"/>
      <c r="C90" s="841"/>
      <c r="E90" s="915"/>
      <c r="G90" s="13"/>
      <c r="H90" s="13"/>
      <c r="I90" s="6"/>
      <c r="J90" s="58"/>
      <c r="K90" s="6"/>
      <c r="L90" s="139"/>
      <c r="M90" s="3"/>
      <c r="N90" s="191"/>
      <c r="O90" s="60"/>
      <c r="Q90" s="67"/>
      <c r="R90" s="65"/>
      <c r="S90" s="3"/>
      <c r="U90" s="67"/>
      <c r="V90" s="67"/>
      <c r="Z90" s="69"/>
      <c r="AA90" s="70"/>
      <c r="AB90" s="71"/>
      <c r="AC90" s="71"/>
      <c r="AD90" s="71"/>
      <c r="AE90" s="71"/>
      <c r="AF90" s="71"/>
      <c r="AG90" s="71"/>
      <c r="AH90" s="71"/>
      <c r="AK90" s="11"/>
      <c r="AL90" s="65"/>
      <c r="AM90" s="65"/>
    </row>
    <row r="91" ht="15.75" customHeight="1">
      <c r="B91" s="870"/>
      <c r="C91" s="841"/>
      <c r="E91" s="915"/>
      <c r="G91" s="13"/>
      <c r="H91" s="13"/>
      <c r="I91" s="6"/>
      <c r="J91" s="58"/>
      <c r="K91" s="6"/>
      <c r="L91" s="139"/>
      <c r="M91" s="3"/>
      <c r="N91" s="191"/>
      <c r="O91" s="60"/>
      <c r="Q91" s="67"/>
      <c r="R91" s="65"/>
      <c r="S91" s="3"/>
      <c r="U91" s="67"/>
      <c r="V91" s="67"/>
      <c r="Z91" s="69"/>
      <c r="AA91" s="70"/>
      <c r="AB91" s="71"/>
      <c r="AC91" s="71"/>
      <c r="AD91" s="71"/>
      <c r="AE91" s="71"/>
      <c r="AF91" s="71"/>
      <c r="AG91" s="71"/>
      <c r="AH91" s="71"/>
      <c r="AK91" s="11"/>
      <c r="AL91" s="65"/>
      <c r="AM91" s="65"/>
    </row>
    <row r="92" ht="15.75" customHeight="1">
      <c r="B92" s="870"/>
      <c r="C92" s="841"/>
      <c r="E92" s="915"/>
      <c r="G92" s="13"/>
      <c r="H92" s="13"/>
      <c r="I92" s="6"/>
      <c r="J92" s="58"/>
      <c r="K92" s="6"/>
      <c r="L92" s="139"/>
      <c r="M92" s="3"/>
      <c r="N92" s="191"/>
      <c r="O92" s="60"/>
      <c r="Q92" s="67"/>
      <c r="R92" s="65"/>
      <c r="S92" s="3"/>
      <c r="U92" s="67"/>
      <c r="V92" s="67"/>
      <c r="Z92" s="69"/>
      <c r="AA92" s="70"/>
      <c r="AB92" s="71"/>
      <c r="AC92" s="71"/>
      <c r="AD92" s="71"/>
      <c r="AE92" s="71"/>
      <c r="AF92" s="71"/>
      <c r="AG92" s="71"/>
      <c r="AH92" s="71"/>
      <c r="AK92" s="11"/>
      <c r="AL92" s="65"/>
      <c r="AM92" s="65"/>
    </row>
    <row r="93" ht="15.75" customHeight="1">
      <c r="B93" s="870"/>
      <c r="C93" s="841"/>
      <c r="E93" s="915"/>
      <c r="G93" s="13"/>
      <c r="H93" s="13"/>
      <c r="I93" s="6"/>
      <c r="J93" s="58"/>
      <c r="K93" s="6"/>
      <c r="L93" s="139"/>
      <c r="M93" s="3"/>
      <c r="N93" s="191"/>
      <c r="O93" s="60"/>
      <c r="Q93" s="67"/>
      <c r="R93" s="65"/>
      <c r="S93" s="3"/>
      <c r="U93" s="67"/>
      <c r="V93" s="67"/>
      <c r="Z93" s="69"/>
      <c r="AA93" s="70"/>
      <c r="AB93" s="71"/>
      <c r="AC93" s="71"/>
      <c r="AD93" s="71"/>
      <c r="AE93" s="71"/>
      <c r="AF93" s="71"/>
      <c r="AG93" s="71"/>
      <c r="AH93" s="71"/>
      <c r="AK93" s="11"/>
      <c r="AL93" s="65"/>
      <c r="AM93" s="65"/>
    </row>
    <row r="94" ht="15.75" customHeight="1">
      <c r="B94" s="870"/>
      <c r="C94" s="841"/>
      <c r="E94" s="915"/>
      <c r="G94" s="13"/>
      <c r="H94" s="13"/>
      <c r="I94" s="6"/>
      <c r="J94" s="58"/>
      <c r="K94" s="6"/>
      <c r="L94" s="139"/>
      <c r="M94" s="3"/>
      <c r="N94" s="191"/>
      <c r="O94" s="60"/>
      <c r="Q94" s="67"/>
      <c r="R94" s="65"/>
      <c r="S94" s="3"/>
      <c r="U94" s="67"/>
      <c r="V94" s="67"/>
      <c r="Z94" s="69"/>
      <c r="AA94" s="70"/>
      <c r="AB94" s="71"/>
      <c r="AC94" s="71"/>
      <c r="AD94" s="71"/>
      <c r="AE94" s="71"/>
      <c r="AF94" s="71"/>
      <c r="AG94" s="71"/>
      <c r="AH94" s="71"/>
      <c r="AK94" s="11"/>
      <c r="AL94" s="65"/>
      <c r="AM94" s="65"/>
    </row>
    <row r="95" ht="15.75" customHeight="1">
      <c r="B95" s="870"/>
      <c r="C95" s="841"/>
      <c r="E95" s="915"/>
      <c r="G95" s="13"/>
      <c r="H95" s="13"/>
      <c r="I95" s="6"/>
      <c r="J95" s="58"/>
      <c r="K95" s="6"/>
      <c r="L95" s="139"/>
      <c r="M95" s="3"/>
      <c r="N95" s="191"/>
      <c r="O95" s="60"/>
      <c r="Q95" s="67"/>
      <c r="R95" s="65"/>
      <c r="S95" s="3"/>
      <c r="U95" s="67"/>
      <c r="V95" s="67"/>
      <c r="Z95" s="69"/>
      <c r="AA95" s="70"/>
      <c r="AB95" s="71"/>
      <c r="AC95" s="71"/>
      <c r="AD95" s="71"/>
      <c r="AE95" s="71"/>
      <c r="AF95" s="71"/>
      <c r="AG95" s="71"/>
      <c r="AH95" s="71"/>
      <c r="AK95" s="11"/>
      <c r="AL95" s="65"/>
      <c r="AM95" s="65"/>
    </row>
    <row r="96" ht="15.75" customHeight="1">
      <c r="B96" s="870"/>
      <c r="C96" s="841"/>
      <c r="E96" s="915"/>
      <c r="G96" s="13"/>
      <c r="H96" s="13"/>
      <c r="I96" s="6"/>
      <c r="J96" s="58"/>
      <c r="K96" s="6"/>
      <c r="L96" s="139"/>
      <c r="M96" s="3"/>
      <c r="N96" s="191"/>
      <c r="O96" s="60"/>
      <c r="Q96" s="67"/>
      <c r="R96" s="65"/>
      <c r="S96" s="3"/>
      <c r="U96" s="67"/>
      <c r="V96" s="67"/>
      <c r="Z96" s="69"/>
      <c r="AA96" s="70"/>
      <c r="AB96" s="71"/>
      <c r="AC96" s="71"/>
      <c r="AD96" s="71"/>
      <c r="AE96" s="71"/>
      <c r="AF96" s="71"/>
      <c r="AG96" s="71"/>
      <c r="AH96" s="71"/>
      <c r="AK96" s="11"/>
      <c r="AL96" s="65"/>
      <c r="AM96" s="65"/>
    </row>
    <row r="97" ht="15.75" customHeight="1">
      <c r="B97" s="870"/>
      <c r="C97" s="841"/>
      <c r="E97" s="915"/>
      <c r="G97" s="13"/>
      <c r="H97" s="13"/>
      <c r="I97" s="6"/>
      <c r="J97" s="58"/>
      <c r="K97" s="6"/>
      <c r="L97" s="139"/>
      <c r="M97" s="3"/>
      <c r="N97" s="191"/>
      <c r="O97" s="60"/>
      <c r="Q97" s="67"/>
      <c r="R97" s="65"/>
      <c r="S97" s="3"/>
      <c r="U97" s="67"/>
      <c r="V97" s="67"/>
      <c r="Z97" s="69"/>
      <c r="AA97" s="70"/>
      <c r="AB97" s="71"/>
      <c r="AC97" s="71"/>
      <c r="AD97" s="71"/>
      <c r="AE97" s="71"/>
      <c r="AF97" s="71"/>
      <c r="AG97" s="71"/>
      <c r="AH97" s="71"/>
      <c r="AK97" s="11"/>
      <c r="AL97" s="65"/>
      <c r="AM97" s="65"/>
    </row>
    <row r="98" ht="15.75" customHeight="1">
      <c r="B98" s="870"/>
      <c r="C98" s="841"/>
      <c r="E98" s="915"/>
      <c r="G98" s="13"/>
      <c r="H98" s="13"/>
      <c r="I98" s="6"/>
      <c r="J98" s="58"/>
      <c r="K98" s="6"/>
      <c r="L98" s="139"/>
      <c r="M98" s="3"/>
      <c r="N98" s="191"/>
      <c r="O98" s="60"/>
      <c r="Q98" s="67"/>
      <c r="R98" s="65"/>
      <c r="S98" s="3"/>
      <c r="U98" s="67"/>
      <c r="V98" s="67"/>
      <c r="Z98" s="69"/>
      <c r="AA98" s="70"/>
      <c r="AB98" s="71"/>
      <c r="AC98" s="71"/>
      <c r="AD98" s="71"/>
      <c r="AE98" s="71"/>
      <c r="AF98" s="71"/>
      <c r="AG98" s="71"/>
      <c r="AH98" s="71"/>
      <c r="AK98" s="11"/>
      <c r="AL98" s="65"/>
      <c r="AM98" s="65"/>
    </row>
    <row r="99" ht="15.75" customHeight="1">
      <c r="B99" s="870"/>
      <c r="C99" s="841"/>
      <c r="E99" s="915"/>
      <c r="G99" s="13"/>
      <c r="H99" s="13"/>
      <c r="I99" s="6"/>
      <c r="J99" s="58"/>
      <c r="K99" s="6"/>
      <c r="L99" s="139"/>
      <c r="M99" s="3"/>
      <c r="N99" s="191"/>
      <c r="O99" s="60"/>
      <c r="Q99" s="67"/>
      <c r="R99" s="65"/>
      <c r="S99" s="3"/>
      <c r="U99" s="67"/>
      <c r="V99" s="67"/>
      <c r="Z99" s="69"/>
      <c r="AA99" s="70"/>
      <c r="AB99" s="71"/>
      <c r="AC99" s="71"/>
      <c r="AD99" s="71"/>
      <c r="AE99" s="71"/>
      <c r="AF99" s="71"/>
      <c r="AG99" s="71"/>
      <c r="AH99" s="71"/>
      <c r="AK99" s="11"/>
      <c r="AL99" s="65"/>
      <c r="AM99" s="65"/>
    </row>
    <row r="100" ht="15.75" customHeight="1">
      <c r="B100" s="870"/>
      <c r="C100" s="841"/>
      <c r="E100" s="915"/>
      <c r="G100" s="13"/>
      <c r="H100" s="13"/>
      <c r="I100" s="6"/>
      <c r="J100" s="58"/>
      <c r="K100" s="6"/>
      <c r="L100" s="139"/>
      <c r="M100" s="3"/>
      <c r="N100" s="191"/>
      <c r="O100" s="60"/>
      <c r="Q100" s="67"/>
      <c r="R100" s="65"/>
      <c r="S100" s="3"/>
      <c r="U100" s="67"/>
      <c r="V100" s="67"/>
      <c r="Z100" s="69"/>
      <c r="AA100" s="70"/>
      <c r="AB100" s="71"/>
      <c r="AC100" s="71"/>
      <c r="AD100" s="71"/>
      <c r="AE100" s="71"/>
      <c r="AF100" s="71"/>
      <c r="AG100" s="71"/>
      <c r="AH100" s="71"/>
      <c r="AK100" s="11"/>
      <c r="AL100" s="65"/>
      <c r="AM100" s="65"/>
    </row>
    <row r="101" ht="15.75" customHeight="1">
      <c r="B101" s="870"/>
      <c r="C101" s="841"/>
      <c r="E101" s="915"/>
      <c r="G101" s="13"/>
      <c r="H101" s="13"/>
      <c r="I101" s="6"/>
      <c r="J101" s="58"/>
      <c r="K101" s="6"/>
      <c r="L101" s="139"/>
      <c r="M101" s="3"/>
      <c r="N101" s="191"/>
      <c r="O101" s="60"/>
      <c r="Q101" s="67"/>
      <c r="R101" s="65"/>
      <c r="S101" s="3"/>
      <c r="U101" s="67"/>
      <c r="V101" s="67"/>
      <c r="Z101" s="69"/>
      <c r="AA101" s="70"/>
      <c r="AB101" s="71"/>
      <c r="AC101" s="71"/>
      <c r="AD101" s="71"/>
      <c r="AE101" s="71"/>
      <c r="AF101" s="71"/>
      <c r="AG101" s="71"/>
      <c r="AH101" s="71"/>
      <c r="AK101" s="11"/>
      <c r="AL101" s="65"/>
      <c r="AM101" s="65"/>
    </row>
    <row r="102" ht="15.75" customHeight="1">
      <c r="B102" s="870"/>
      <c r="C102" s="841"/>
      <c r="E102" s="915"/>
      <c r="G102" s="13"/>
      <c r="H102" s="13"/>
      <c r="I102" s="6"/>
      <c r="J102" s="58"/>
      <c r="K102" s="6"/>
      <c r="L102" s="139"/>
      <c r="M102" s="3"/>
      <c r="N102" s="191"/>
      <c r="O102" s="60"/>
      <c r="Q102" s="67"/>
      <c r="R102" s="65"/>
      <c r="S102" s="3"/>
      <c r="U102" s="67"/>
      <c r="V102" s="67"/>
      <c r="Z102" s="69"/>
      <c r="AA102" s="70"/>
      <c r="AB102" s="71"/>
      <c r="AC102" s="71"/>
      <c r="AD102" s="71"/>
      <c r="AE102" s="71"/>
      <c r="AF102" s="71"/>
      <c r="AG102" s="71"/>
      <c r="AH102" s="71"/>
      <c r="AK102" s="11"/>
      <c r="AL102" s="65"/>
      <c r="AM102" s="65"/>
    </row>
    <row r="103" ht="15.75" customHeight="1">
      <c r="B103" s="870"/>
      <c r="C103" s="841"/>
      <c r="E103" s="915"/>
      <c r="G103" s="13"/>
      <c r="H103" s="13"/>
      <c r="I103" s="6"/>
      <c r="J103" s="58"/>
      <c r="K103" s="6"/>
      <c r="L103" s="139"/>
      <c r="M103" s="3"/>
      <c r="N103" s="191"/>
      <c r="O103" s="60"/>
      <c r="Q103" s="67"/>
      <c r="R103" s="65"/>
      <c r="S103" s="3"/>
      <c r="U103" s="67"/>
      <c r="V103" s="67"/>
      <c r="Z103" s="69"/>
      <c r="AA103" s="70"/>
      <c r="AB103" s="71"/>
      <c r="AC103" s="71"/>
      <c r="AD103" s="71"/>
      <c r="AE103" s="71"/>
      <c r="AF103" s="71"/>
      <c r="AG103" s="71"/>
      <c r="AH103" s="71"/>
      <c r="AK103" s="11"/>
      <c r="AL103" s="65"/>
      <c r="AM103" s="65"/>
    </row>
    <row r="104" ht="15.75" customHeight="1">
      <c r="B104" s="870"/>
      <c r="C104" s="841"/>
      <c r="E104" s="915"/>
      <c r="G104" s="13"/>
      <c r="H104" s="13"/>
      <c r="I104" s="6"/>
      <c r="J104" s="58"/>
      <c r="K104" s="6"/>
      <c r="L104" s="139"/>
      <c r="M104" s="3"/>
      <c r="N104" s="191"/>
      <c r="O104" s="60"/>
      <c r="Q104" s="67"/>
      <c r="R104" s="65"/>
      <c r="S104" s="3"/>
      <c r="U104" s="67"/>
      <c r="V104" s="67"/>
      <c r="Z104" s="69"/>
      <c r="AA104" s="70"/>
      <c r="AB104" s="71"/>
      <c r="AC104" s="71"/>
      <c r="AD104" s="71"/>
      <c r="AE104" s="71"/>
      <c r="AF104" s="71"/>
      <c r="AG104" s="71"/>
      <c r="AH104" s="71"/>
      <c r="AK104" s="11"/>
      <c r="AL104" s="65"/>
      <c r="AM104" s="65"/>
    </row>
    <row r="105" ht="15.75" customHeight="1">
      <c r="B105" s="870"/>
      <c r="C105" s="841"/>
      <c r="E105" s="915"/>
      <c r="G105" s="13"/>
      <c r="H105" s="13"/>
      <c r="I105" s="6"/>
      <c r="J105" s="58"/>
      <c r="K105" s="6"/>
      <c r="L105" s="139"/>
      <c r="M105" s="3"/>
      <c r="N105" s="191"/>
      <c r="O105" s="60"/>
      <c r="Q105" s="67"/>
      <c r="R105" s="65"/>
      <c r="S105" s="3"/>
      <c r="U105" s="67"/>
      <c r="V105" s="67"/>
      <c r="Z105" s="69"/>
      <c r="AA105" s="70"/>
      <c r="AB105" s="71"/>
      <c r="AC105" s="71"/>
      <c r="AD105" s="71"/>
      <c r="AE105" s="71"/>
      <c r="AF105" s="71"/>
      <c r="AG105" s="71"/>
      <c r="AH105" s="71"/>
      <c r="AK105" s="11"/>
      <c r="AL105" s="65"/>
      <c r="AM105" s="65"/>
    </row>
    <row r="106" ht="15.75" customHeight="1">
      <c r="B106" s="870"/>
      <c r="C106" s="841"/>
      <c r="E106" s="915"/>
      <c r="G106" s="13"/>
      <c r="H106" s="13"/>
      <c r="I106" s="6"/>
      <c r="J106" s="58"/>
      <c r="K106" s="6"/>
      <c r="L106" s="139"/>
      <c r="M106" s="3"/>
      <c r="N106" s="191"/>
      <c r="O106" s="60"/>
      <c r="Q106" s="67"/>
      <c r="R106" s="65"/>
      <c r="S106" s="3"/>
      <c r="U106" s="67"/>
      <c r="V106" s="67"/>
      <c r="Z106" s="69"/>
      <c r="AA106" s="70"/>
      <c r="AB106" s="71"/>
      <c r="AC106" s="71"/>
      <c r="AD106" s="71"/>
      <c r="AE106" s="71"/>
      <c r="AF106" s="71"/>
      <c r="AG106" s="71"/>
      <c r="AH106" s="71"/>
      <c r="AK106" s="11"/>
      <c r="AL106" s="65"/>
      <c r="AM106" s="65"/>
    </row>
    <row r="107" ht="15.75" customHeight="1">
      <c r="B107" s="870"/>
      <c r="C107" s="841"/>
      <c r="E107" s="915"/>
      <c r="G107" s="13"/>
      <c r="H107" s="13"/>
      <c r="I107" s="6"/>
      <c r="J107" s="58"/>
      <c r="K107" s="6"/>
      <c r="L107" s="139"/>
      <c r="M107" s="3"/>
      <c r="N107" s="191"/>
      <c r="O107" s="60"/>
      <c r="Q107" s="67"/>
      <c r="R107" s="65"/>
      <c r="S107" s="3"/>
      <c r="U107" s="67"/>
      <c r="V107" s="67"/>
      <c r="Z107" s="69"/>
      <c r="AA107" s="70"/>
      <c r="AB107" s="71"/>
      <c r="AC107" s="71"/>
      <c r="AD107" s="71"/>
      <c r="AE107" s="71"/>
      <c r="AF107" s="71"/>
      <c r="AG107" s="71"/>
      <c r="AH107" s="71"/>
      <c r="AK107" s="11"/>
      <c r="AL107" s="65"/>
      <c r="AM107" s="65"/>
    </row>
    <row r="108" ht="15.75" customHeight="1">
      <c r="B108" s="870"/>
      <c r="AB108" s="7"/>
      <c r="AC108" s="7"/>
      <c r="AD108" s="7"/>
      <c r="AE108" s="7"/>
      <c r="AF108" s="7"/>
      <c r="AG108" s="7"/>
      <c r="AH108" s="7"/>
      <c r="AK108" s="11"/>
      <c r="AL108" s="65"/>
      <c r="AM108" s="65"/>
    </row>
    <row r="109" ht="15.75" customHeight="1">
      <c r="B109" s="870"/>
      <c r="AB109" s="7"/>
      <c r="AC109" s="7"/>
      <c r="AD109" s="7"/>
      <c r="AE109" s="7"/>
      <c r="AF109" s="7"/>
      <c r="AG109" s="7"/>
      <c r="AH109" s="7"/>
      <c r="AK109" s="11"/>
      <c r="AL109" s="65"/>
      <c r="AM109" s="65"/>
    </row>
    <row r="110" ht="15.75" customHeight="1">
      <c r="B110" s="870"/>
      <c r="AB110" s="7"/>
      <c r="AC110" s="7"/>
      <c r="AD110" s="7"/>
      <c r="AE110" s="7"/>
      <c r="AF110" s="7"/>
      <c r="AG110" s="7"/>
      <c r="AH110" s="7"/>
      <c r="AK110" s="11"/>
      <c r="AL110" s="65"/>
      <c r="AM110" s="65"/>
    </row>
    <row r="111" ht="15.75" customHeight="1">
      <c r="B111" s="870"/>
      <c r="AB111" s="7"/>
      <c r="AC111" s="7"/>
      <c r="AD111" s="7"/>
      <c r="AE111" s="7"/>
      <c r="AF111" s="7"/>
      <c r="AG111" s="7"/>
      <c r="AH111" s="7"/>
      <c r="AK111" s="11"/>
      <c r="AL111" s="65"/>
      <c r="AM111" s="65"/>
    </row>
    <row r="112" ht="15.75" customHeight="1">
      <c r="B112" s="870"/>
      <c r="AB112" s="7"/>
      <c r="AC112" s="7"/>
      <c r="AD112" s="7"/>
      <c r="AE112" s="7"/>
      <c r="AF112" s="7"/>
      <c r="AG112" s="7"/>
      <c r="AH112" s="7"/>
      <c r="AK112" s="11"/>
      <c r="AL112" s="65"/>
      <c r="AM112" s="65"/>
    </row>
    <row r="113" ht="15.75" customHeight="1">
      <c r="B113" s="870"/>
      <c r="AB113" s="7"/>
      <c r="AC113" s="7"/>
      <c r="AD113" s="7"/>
      <c r="AE113" s="7"/>
      <c r="AF113" s="7"/>
      <c r="AG113" s="7"/>
      <c r="AH113" s="7"/>
      <c r="AK113" s="11"/>
      <c r="AL113" s="65"/>
      <c r="AM113" s="65"/>
    </row>
    <row r="114" ht="15.75" customHeight="1">
      <c r="B114" s="870"/>
      <c r="AB114" s="7"/>
      <c r="AC114" s="7"/>
      <c r="AD114" s="7"/>
      <c r="AE114" s="7"/>
      <c r="AF114" s="7"/>
      <c r="AG114" s="7"/>
      <c r="AH114" s="7"/>
      <c r="AK114" s="11"/>
      <c r="AL114" s="65"/>
      <c r="AM114" s="65"/>
    </row>
    <row r="115" ht="15.75" customHeight="1">
      <c r="B115" s="870"/>
      <c r="AB115" s="7"/>
      <c r="AC115" s="7"/>
      <c r="AD115" s="7"/>
      <c r="AE115" s="7"/>
      <c r="AF115" s="7"/>
      <c r="AG115" s="7"/>
      <c r="AH115" s="7"/>
      <c r="AK115" s="11"/>
      <c r="AL115" s="65"/>
      <c r="AM115" s="65"/>
    </row>
    <row r="116" ht="15.75" customHeight="1">
      <c r="B116" s="870"/>
      <c r="AB116" s="7"/>
      <c r="AC116" s="7"/>
      <c r="AD116" s="7"/>
      <c r="AE116" s="7"/>
      <c r="AF116" s="7"/>
      <c r="AG116" s="7"/>
      <c r="AH116" s="7"/>
      <c r="AK116" s="11"/>
      <c r="AL116" s="65"/>
      <c r="AM116" s="65"/>
    </row>
    <row r="117" ht="15.75" customHeight="1">
      <c r="B117" s="870"/>
      <c r="AB117" s="7"/>
      <c r="AC117" s="7"/>
      <c r="AD117" s="7"/>
      <c r="AE117" s="7"/>
      <c r="AF117" s="7"/>
      <c r="AG117" s="7"/>
      <c r="AH117" s="7"/>
      <c r="AK117" s="11"/>
      <c r="AL117" s="65"/>
      <c r="AM117" s="65"/>
    </row>
    <row r="118" ht="15.75" customHeight="1">
      <c r="B118" s="870"/>
      <c r="AB118" s="7"/>
      <c r="AC118" s="7"/>
      <c r="AD118" s="7"/>
      <c r="AE118" s="7"/>
      <c r="AF118" s="7"/>
      <c r="AG118" s="7"/>
      <c r="AH118" s="7"/>
      <c r="AK118" s="11"/>
      <c r="AL118" s="65"/>
      <c r="AM118" s="65"/>
    </row>
    <row r="119" ht="15.75" customHeight="1">
      <c r="B119" s="870"/>
      <c r="AB119" s="7"/>
      <c r="AC119" s="7"/>
      <c r="AD119" s="7"/>
      <c r="AE119" s="7"/>
      <c r="AF119" s="7"/>
      <c r="AG119" s="7"/>
      <c r="AH119" s="7"/>
      <c r="AK119" s="11"/>
      <c r="AL119" s="65"/>
      <c r="AM119" s="65"/>
    </row>
    <row r="120" ht="15.75" customHeight="1">
      <c r="B120" s="870"/>
      <c r="AB120" s="7"/>
      <c r="AC120" s="7"/>
      <c r="AD120" s="7"/>
      <c r="AE120" s="7"/>
      <c r="AF120" s="7"/>
      <c r="AG120" s="7"/>
      <c r="AH120" s="7"/>
      <c r="AK120" s="11"/>
      <c r="AL120" s="65"/>
      <c r="AM120" s="65"/>
    </row>
    <row r="121" ht="15.75" customHeight="1">
      <c r="B121" s="870"/>
      <c r="AB121" s="7"/>
      <c r="AC121" s="7"/>
      <c r="AD121" s="7"/>
      <c r="AE121" s="7"/>
      <c r="AF121" s="7"/>
      <c r="AG121" s="7"/>
      <c r="AH121" s="7"/>
      <c r="AK121" s="11"/>
      <c r="AL121" s="65"/>
      <c r="AM121" s="65"/>
    </row>
    <row r="122" ht="15.75" customHeight="1">
      <c r="B122" s="870"/>
      <c r="AB122" s="7"/>
      <c r="AC122" s="7"/>
      <c r="AD122" s="7"/>
      <c r="AE122" s="7"/>
      <c r="AF122" s="7"/>
      <c r="AG122" s="7"/>
      <c r="AH122" s="7"/>
      <c r="AK122" s="11"/>
      <c r="AL122" s="65"/>
      <c r="AM122" s="65"/>
    </row>
    <row r="123" ht="15.75" customHeight="1">
      <c r="B123" s="870"/>
      <c r="AB123" s="7"/>
      <c r="AC123" s="7"/>
      <c r="AD123" s="7"/>
      <c r="AE123" s="7"/>
      <c r="AF123" s="7"/>
      <c r="AG123" s="7"/>
      <c r="AH123" s="7"/>
      <c r="AK123" s="11"/>
      <c r="AL123" s="65"/>
      <c r="AM123" s="65"/>
    </row>
    <row r="124" ht="15.75" customHeight="1">
      <c r="B124" s="870"/>
      <c r="AB124" s="7"/>
      <c r="AC124" s="7"/>
      <c r="AD124" s="7"/>
      <c r="AE124" s="7"/>
      <c r="AF124" s="7"/>
      <c r="AG124" s="7"/>
      <c r="AH124" s="7"/>
      <c r="AK124" s="11"/>
      <c r="AL124" s="65"/>
      <c r="AM124" s="65"/>
    </row>
    <row r="125" ht="15.75" customHeight="1">
      <c r="B125" s="870"/>
      <c r="AB125" s="7"/>
      <c r="AC125" s="7"/>
      <c r="AD125" s="7"/>
      <c r="AE125" s="7"/>
      <c r="AF125" s="7"/>
      <c r="AG125" s="7"/>
      <c r="AH125" s="7"/>
      <c r="AK125" s="11"/>
      <c r="AL125" s="65"/>
      <c r="AM125" s="65"/>
    </row>
    <row r="126" ht="15.75" customHeight="1">
      <c r="B126" s="870"/>
      <c r="AB126" s="7"/>
      <c r="AC126" s="7"/>
      <c r="AD126" s="7"/>
      <c r="AE126" s="7"/>
      <c r="AF126" s="7"/>
      <c r="AG126" s="7"/>
      <c r="AH126" s="7"/>
      <c r="AK126" s="11"/>
      <c r="AL126" s="65"/>
      <c r="AM126" s="65"/>
    </row>
    <row r="127" ht="15.75" customHeight="1">
      <c r="B127" s="870"/>
      <c r="AB127" s="7"/>
      <c r="AC127" s="7"/>
      <c r="AD127" s="7"/>
      <c r="AE127" s="7"/>
      <c r="AF127" s="7"/>
      <c r="AG127" s="7"/>
      <c r="AH127" s="7"/>
      <c r="AK127" s="11"/>
      <c r="AL127" s="65"/>
      <c r="AM127" s="65"/>
    </row>
    <row r="128" ht="15.75" customHeight="1">
      <c r="B128" s="870"/>
      <c r="AB128" s="7"/>
      <c r="AC128" s="7"/>
      <c r="AD128" s="7"/>
      <c r="AE128" s="7"/>
      <c r="AF128" s="7"/>
      <c r="AG128" s="7"/>
      <c r="AH128" s="7"/>
      <c r="AK128" s="11"/>
      <c r="AL128" s="65"/>
      <c r="AM128" s="65"/>
    </row>
    <row r="129" ht="15.75" customHeight="1">
      <c r="B129" s="870"/>
      <c r="AB129" s="7"/>
      <c r="AC129" s="7"/>
      <c r="AD129" s="7"/>
      <c r="AE129" s="7"/>
      <c r="AF129" s="7"/>
      <c r="AG129" s="7"/>
      <c r="AH129" s="7"/>
      <c r="AK129" s="11"/>
      <c r="AL129" s="65"/>
      <c r="AM129" s="65"/>
    </row>
    <row r="130" ht="15.75" customHeight="1">
      <c r="B130" s="841"/>
      <c r="AB130" s="7"/>
      <c r="AC130" s="7"/>
      <c r="AD130" s="7"/>
      <c r="AE130" s="7"/>
      <c r="AF130" s="7"/>
      <c r="AG130" s="7"/>
      <c r="AH130" s="7"/>
      <c r="AK130" s="11"/>
      <c r="AL130" s="65"/>
      <c r="AM130" s="65"/>
    </row>
    <row r="131" ht="15.75" customHeight="1">
      <c r="B131" s="841"/>
      <c r="AB131" s="7"/>
      <c r="AC131" s="7"/>
      <c r="AD131" s="7"/>
      <c r="AE131" s="7"/>
      <c r="AF131" s="7"/>
      <c r="AG131" s="7"/>
      <c r="AH131" s="7"/>
      <c r="AK131" s="11"/>
      <c r="AL131" s="65"/>
      <c r="AM131" s="65"/>
    </row>
    <row r="132" ht="15.75" customHeight="1">
      <c r="B132" s="841"/>
      <c r="AB132" s="7"/>
      <c r="AC132" s="7"/>
      <c r="AD132" s="7"/>
      <c r="AE132" s="7"/>
      <c r="AF132" s="7"/>
      <c r="AG132" s="7"/>
      <c r="AH132" s="7"/>
      <c r="AK132" s="11"/>
      <c r="AL132" s="65"/>
      <c r="AM132" s="65"/>
    </row>
    <row r="133" ht="15.75" customHeight="1">
      <c r="B133" s="841"/>
      <c r="AB133" s="7"/>
      <c r="AC133" s="7"/>
      <c r="AD133" s="7"/>
      <c r="AE133" s="7"/>
      <c r="AF133" s="7"/>
      <c r="AG133" s="7"/>
      <c r="AH133" s="7"/>
      <c r="AK133" s="11"/>
      <c r="AL133" s="65"/>
      <c r="AM133" s="65"/>
    </row>
    <row r="134" ht="15.75" customHeight="1">
      <c r="B134" s="841"/>
      <c r="AB134" s="7"/>
      <c r="AC134" s="7"/>
      <c r="AD134" s="7"/>
      <c r="AE134" s="7"/>
      <c r="AF134" s="7"/>
      <c r="AG134" s="7"/>
      <c r="AH134" s="7"/>
      <c r="AK134" s="11"/>
      <c r="AL134" s="65"/>
      <c r="AM134" s="65"/>
    </row>
    <row r="135" ht="15.75" customHeight="1">
      <c r="B135" s="841"/>
      <c r="AB135" s="7"/>
      <c r="AC135" s="7"/>
      <c r="AD135" s="7"/>
      <c r="AE135" s="7"/>
      <c r="AF135" s="7"/>
      <c r="AG135" s="7"/>
      <c r="AH135" s="7"/>
      <c r="AK135" s="11"/>
      <c r="AL135" s="65"/>
      <c r="AM135" s="65"/>
    </row>
    <row r="136" ht="15.75" customHeight="1">
      <c r="B136" s="841"/>
      <c r="AB136" s="7"/>
      <c r="AC136" s="7"/>
      <c r="AD136" s="7"/>
      <c r="AE136" s="7"/>
      <c r="AF136" s="7"/>
      <c r="AG136" s="7"/>
      <c r="AH136" s="7"/>
      <c r="AK136" s="11"/>
      <c r="AL136" s="65"/>
      <c r="AM136" s="65"/>
    </row>
    <row r="137" ht="15.75" customHeight="1">
      <c r="B137" s="841"/>
      <c r="AB137" s="7"/>
      <c r="AC137" s="7"/>
      <c r="AD137" s="7"/>
      <c r="AE137" s="7"/>
      <c r="AF137" s="7"/>
      <c r="AG137" s="7"/>
      <c r="AH137" s="7"/>
      <c r="AK137" s="11"/>
      <c r="AL137" s="65"/>
      <c r="AM137" s="65"/>
    </row>
    <row r="138" ht="15.75" customHeight="1">
      <c r="B138" s="841"/>
      <c r="AB138" s="7"/>
      <c r="AC138" s="7"/>
      <c r="AD138" s="7"/>
      <c r="AE138" s="7"/>
      <c r="AF138" s="7"/>
      <c r="AG138" s="7"/>
      <c r="AH138" s="7"/>
      <c r="AK138" s="11"/>
      <c r="AL138" s="65"/>
      <c r="AM138" s="65"/>
    </row>
    <row r="139" ht="15.75" customHeight="1">
      <c r="B139" s="841"/>
      <c r="AB139" s="7"/>
      <c r="AC139" s="7"/>
      <c r="AD139" s="7"/>
      <c r="AE139" s="7"/>
      <c r="AF139" s="7"/>
      <c r="AG139" s="7"/>
      <c r="AH139" s="7"/>
      <c r="AK139" s="11"/>
      <c r="AL139" s="65"/>
      <c r="AM139" s="65"/>
    </row>
    <row r="140" ht="15.75" customHeight="1">
      <c r="B140" s="841"/>
      <c r="AB140" s="7"/>
      <c r="AC140" s="7"/>
      <c r="AD140" s="7"/>
      <c r="AE140" s="7"/>
      <c r="AF140" s="7"/>
      <c r="AG140" s="7"/>
      <c r="AH140" s="7"/>
      <c r="AK140" s="11"/>
      <c r="AL140" s="65"/>
      <c r="AM140" s="65"/>
    </row>
    <row r="141" ht="15.75" customHeight="1">
      <c r="B141" s="841"/>
      <c r="AB141" s="7"/>
      <c r="AC141" s="7"/>
      <c r="AD141" s="7"/>
      <c r="AE141" s="7"/>
      <c r="AF141" s="7"/>
      <c r="AG141" s="7"/>
      <c r="AH141" s="7"/>
      <c r="AK141" s="11"/>
      <c r="AL141" s="65"/>
      <c r="AM141" s="65"/>
    </row>
    <row r="142" ht="15.75" customHeight="1">
      <c r="B142" s="841"/>
      <c r="AB142" s="7"/>
      <c r="AC142" s="7"/>
      <c r="AD142" s="7"/>
      <c r="AE142" s="7"/>
      <c r="AF142" s="7"/>
      <c r="AG142" s="7"/>
      <c r="AH142" s="7"/>
      <c r="AK142" s="11"/>
      <c r="AL142" s="65"/>
      <c r="AM142" s="65"/>
    </row>
    <row r="143" ht="15.75" customHeight="1">
      <c r="B143" s="841"/>
      <c r="AB143" s="7"/>
      <c r="AC143" s="7"/>
      <c r="AD143" s="7"/>
      <c r="AE143" s="7"/>
      <c r="AF143" s="7"/>
      <c r="AG143" s="7"/>
      <c r="AH143" s="7"/>
      <c r="AK143" s="11"/>
      <c r="AL143" s="65"/>
      <c r="AM143" s="65"/>
    </row>
    <row r="144" ht="15.75" customHeight="1">
      <c r="B144" s="841"/>
      <c r="AB144" s="7"/>
      <c r="AC144" s="7"/>
      <c r="AD144" s="7"/>
      <c r="AE144" s="7"/>
      <c r="AF144" s="7"/>
      <c r="AG144" s="7"/>
      <c r="AH144" s="7"/>
      <c r="AK144" s="11"/>
      <c r="AL144" s="65"/>
      <c r="AM144" s="65"/>
    </row>
    <row r="145" ht="15.75" customHeight="1">
      <c r="B145" s="841"/>
      <c r="AB145" s="7"/>
      <c r="AC145" s="7"/>
      <c r="AD145" s="7"/>
      <c r="AE145" s="7"/>
      <c r="AF145" s="7"/>
      <c r="AG145" s="7"/>
      <c r="AH145" s="7"/>
      <c r="AK145" s="11"/>
      <c r="AL145" s="65"/>
      <c r="AM145" s="65"/>
    </row>
    <row r="146" ht="15.75" customHeight="1">
      <c r="B146" s="841"/>
      <c r="AB146" s="7"/>
      <c r="AC146" s="7"/>
      <c r="AD146" s="7"/>
      <c r="AE146" s="7"/>
      <c r="AF146" s="7"/>
      <c r="AG146" s="7"/>
      <c r="AH146" s="7"/>
      <c r="AK146" s="11"/>
      <c r="AL146" s="65"/>
      <c r="AM146" s="65"/>
    </row>
    <row r="147" ht="15.75" customHeight="1">
      <c r="B147" s="841"/>
      <c r="AB147" s="7"/>
      <c r="AC147" s="7"/>
      <c r="AD147" s="7"/>
      <c r="AE147" s="7"/>
      <c r="AF147" s="7"/>
      <c r="AG147" s="7"/>
      <c r="AH147" s="7"/>
      <c r="AK147" s="11"/>
      <c r="AL147" s="65"/>
      <c r="AM147" s="65"/>
    </row>
    <row r="148" ht="15.75" customHeight="1">
      <c r="B148" s="841"/>
      <c r="AB148" s="7"/>
      <c r="AC148" s="7"/>
      <c r="AD148" s="7"/>
      <c r="AE148" s="7"/>
      <c r="AF148" s="7"/>
      <c r="AG148" s="7"/>
      <c r="AH148" s="7"/>
      <c r="AK148" s="11"/>
      <c r="AL148" s="65"/>
      <c r="AM148" s="65"/>
    </row>
    <row r="149" ht="15.75" customHeight="1">
      <c r="B149" s="841"/>
      <c r="AB149" s="7"/>
      <c r="AC149" s="7"/>
      <c r="AD149" s="7"/>
      <c r="AE149" s="7"/>
      <c r="AF149" s="7"/>
      <c r="AG149" s="7"/>
      <c r="AH149" s="7"/>
      <c r="AK149" s="11"/>
      <c r="AL149" s="65"/>
      <c r="AM149" s="65"/>
    </row>
    <row r="150" ht="15.75" customHeight="1">
      <c r="B150" s="841"/>
      <c r="AB150" s="7"/>
      <c r="AC150" s="7"/>
      <c r="AD150" s="7"/>
      <c r="AE150" s="7"/>
      <c r="AF150" s="7"/>
      <c r="AG150" s="7"/>
      <c r="AH150" s="7"/>
      <c r="AK150" s="11"/>
      <c r="AL150" s="65"/>
      <c r="AM150" s="65"/>
    </row>
    <row r="151" ht="15.75" customHeight="1">
      <c r="B151" s="841"/>
      <c r="AB151" s="7"/>
      <c r="AC151" s="7"/>
      <c r="AD151" s="7"/>
      <c r="AE151" s="7"/>
      <c r="AF151" s="7"/>
      <c r="AG151" s="7"/>
      <c r="AH151" s="7"/>
      <c r="AK151" s="11"/>
      <c r="AL151" s="65"/>
      <c r="AM151" s="65"/>
    </row>
    <row r="152" ht="15.75" customHeight="1">
      <c r="B152" s="841"/>
      <c r="AB152" s="7"/>
      <c r="AC152" s="7"/>
      <c r="AD152" s="7"/>
      <c r="AE152" s="7"/>
      <c r="AF152" s="7"/>
      <c r="AG152" s="7"/>
      <c r="AH152" s="7"/>
      <c r="AK152" s="11"/>
      <c r="AL152" s="65"/>
      <c r="AM152" s="65"/>
    </row>
    <row r="153" ht="15.75" customHeight="1">
      <c r="B153" s="841"/>
      <c r="AB153" s="7"/>
      <c r="AC153" s="7"/>
      <c r="AD153" s="7"/>
      <c r="AE153" s="7"/>
      <c r="AF153" s="7"/>
      <c r="AG153" s="7"/>
      <c r="AH153" s="7"/>
      <c r="AK153" s="11"/>
      <c r="AL153" s="65"/>
      <c r="AM153" s="65"/>
    </row>
    <row r="154" ht="15.75" customHeight="1">
      <c r="B154" s="841"/>
      <c r="AB154" s="7"/>
      <c r="AC154" s="7"/>
      <c r="AD154" s="7"/>
      <c r="AE154" s="7"/>
      <c r="AF154" s="7"/>
      <c r="AG154" s="7"/>
      <c r="AH154" s="7"/>
      <c r="AK154" s="11"/>
      <c r="AL154" s="65"/>
      <c r="AM154" s="65"/>
    </row>
    <row r="155" ht="15.75" customHeight="1">
      <c r="B155" s="841"/>
      <c r="AB155" s="7"/>
      <c r="AC155" s="7"/>
      <c r="AD155" s="7"/>
      <c r="AE155" s="7"/>
      <c r="AF155" s="7"/>
      <c r="AG155" s="7"/>
      <c r="AH155" s="7"/>
      <c r="AK155" s="11"/>
      <c r="AL155" s="65"/>
      <c r="AM155" s="65"/>
    </row>
    <row r="156" ht="15.75" customHeight="1">
      <c r="B156" s="841"/>
      <c r="AB156" s="7"/>
      <c r="AC156" s="7"/>
      <c r="AD156" s="7"/>
      <c r="AE156" s="7"/>
      <c r="AF156" s="7"/>
      <c r="AG156" s="7"/>
      <c r="AH156" s="7"/>
      <c r="AK156" s="11"/>
      <c r="AL156" s="65"/>
      <c r="AM156" s="65"/>
    </row>
    <row r="157" ht="15.75" customHeight="1">
      <c r="B157" s="841"/>
      <c r="AB157" s="7"/>
      <c r="AC157" s="7"/>
      <c r="AD157" s="7"/>
      <c r="AE157" s="7"/>
      <c r="AF157" s="7"/>
      <c r="AG157" s="7"/>
      <c r="AH157" s="7"/>
      <c r="AK157" s="11"/>
      <c r="AL157" s="65"/>
      <c r="AM157" s="65"/>
    </row>
    <row r="158" ht="15.75" customHeight="1">
      <c r="B158" s="841"/>
      <c r="AB158" s="7"/>
      <c r="AC158" s="7"/>
      <c r="AD158" s="7"/>
      <c r="AE158" s="7"/>
      <c r="AF158" s="7"/>
      <c r="AG158" s="7"/>
      <c r="AH158" s="7"/>
      <c r="AK158" s="11"/>
      <c r="AL158" s="65"/>
      <c r="AM158" s="65"/>
    </row>
    <row r="159" ht="15.75" customHeight="1">
      <c r="B159" s="841"/>
      <c r="AB159" s="7"/>
      <c r="AC159" s="7"/>
      <c r="AD159" s="7"/>
      <c r="AE159" s="7"/>
      <c r="AF159" s="7"/>
      <c r="AG159" s="7"/>
      <c r="AH159" s="7"/>
      <c r="AK159" s="11"/>
      <c r="AL159" s="65"/>
      <c r="AM159" s="65"/>
    </row>
    <row r="160" ht="15.75" customHeight="1">
      <c r="B160" s="841"/>
      <c r="AB160" s="7"/>
      <c r="AC160" s="7"/>
      <c r="AD160" s="7"/>
      <c r="AE160" s="7"/>
      <c r="AF160" s="7"/>
      <c r="AG160" s="7"/>
      <c r="AH160" s="7"/>
      <c r="AK160" s="11"/>
      <c r="AL160" s="65"/>
      <c r="AM160" s="65"/>
    </row>
    <row r="161" ht="15.75" customHeight="1">
      <c r="B161" s="841"/>
      <c r="AB161" s="7"/>
      <c r="AC161" s="7"/>
      <c r="AD161" s="7"/>
      <c r="AE161" s="7"/>
      <c r="AF161" s="7"/>
      <c r="AG161" s="7"/>
      <c r="AH161" s="7"/>
      <c r="AK161" s="11"/>
      <c r="AL161" s="65"/>
      <c r="AM161" s="65"/>
    </row>
    <row r="162" ht="15.75" customHeight="1">
      <c r="B162" s="841"/>
      <c r="AB162" s="7"/>
      <c r="AC162" s="7"/>
      <c r="AD162" s="7"/>
      <c r="AE162" s="7"/>
      <c r="AF162" s="7"/>
      <c r="AG162" s="7"/>
      <c r="AH162" s="7"/>
      <c r="AK162" s="11"/>
      <c r="AL162" s="65"/>
      <c r="AM162" s="65"/>
    </row>
    <row r="163" ht="15.75" customHeight="1">
      <c r="B163" s="841"/>
      <c r="AB163" s="7"/>
      <c r="AC163" s="7"/>
      <c r="AD163" s="7"/>
      <c r="AE163" s="7"/>
      <c r="AF163" s="7"/>
      <c r="AG163" s="7"/>
      <c r="AH163" s="7"/>
      <c r="AK163" s="11"/>
      <c r="AL163" s="65"/>
      <c r="AM163" s="65"/>
    </row>
    <row r="164" ht="15.75" customHeight="1">
      <c r="B164" s="841"/>
      <c r="AB164" s="7"/>
      <c r="AC164" s="7"/>
      <c r="AD164" s="7"/>
      <c r="AE164" s="7"/>
      <c r="AF164" s="7"/>
      <c r="AG164" s="7"/>
      <c r="AH164" s="7"/>
      <c r="AK164" s="11"/>
      <c r="AL164" s="65"/>
      <c r="AM164" s="65"/>
    </row>
    <row r="165" ht="15.75" customHeight="1">
      <c r="B165" s="841"/>
      <c r="AB165" s="7"/>
      <c r="AC165" s="7"/>
      <c r="AD165" s="7"/>
      <c r="AE165" s="7"/>
      <c r="AF165" s="7"/>
      <c r="AG165" s="7"/>
      <c r="AH165" s="7"/>
      <c r="AK165" s="11"/>
      <c r="AL165" s="65"/>
      <c r="AM165" s="65"/>
    </row>
    <row r="166" ht="15.75" customHeight="1">
      <c r="B166" s="841"/>
      <c r="AB166" s="7"/>
      <c r="AC166" s="7"/>
      <c r="AD166" s="7"/>
      <c r="AE166" s="7"/>
      <c r="AF166" s="7"/>
      <c r="AG166" s="7"/>
      <c r="AH166" s="7"/>
      <c r="AK166" s="11"/>
      <c r="AL166" s="65"/>
      <c r="AM166" s="65"/>
    </row>
    <row r="167" ht="15.75" customHeight="1">
      <c r="B167" s="841"/>
      <c r="AB167" s="7"/>
      <c r="AC167" s="7"/>
      <c r="AD167" s="7"/>
      <c r="AE167" s="7"/>
      <c r="AF167" s="7"/>
      <c r="AG167" s="7"/>
      <c r="AH167" s="7"/>
      <c r="AK167" s="11"/>
      <c r="AL167" s="65"/>
      <c r="AM167" s="65"/>
    </row>
    <row r="168" ht="15.75" customHeight="1">
      <c r="B168" s="841"/>
      <c r="AB168" s="7"/>
      <c r="AC168" s="7"/>
      <c r="AD168" s="7"/>
      <c r="AE168" s="7"/>
      <c r="AF168" s="7"/>
      <c r="AG168" s="7"/>
      <c r="AH168" s="7"/>
      <c r="AK168" s="11"/>
      <c r="AL168" s="65"/>
      <c r="AM168" s="65"/>
    </row>
    <row r="169" ht="15.75" customHeight="1">
      <c r="B169" s="841"/>
      <c r="AB169" s="7"/>
      <c r="AC169" s="7"/>
      <c r="AD169" s="7"/>
      <c r="AE169" s="7"/>
      <c r="AF169" s="7"/>
      <c r="AG169" s="7"/>
      <c r="AH169" s="7"/>
      <c r="AK169" s="11"/>
      <c r="AL169" s="65"/>
      <c r="AM169" s="65"/>
    </row>
    <row r="170" ht="15.75" customHeight="1">
      <c r="B170" s="841"/>
      <c r="AB170" s="7"/>
      <c r="AC170" s="7"/>
      <c r="AD170" s="7"/>
      <c r="AE170" s="7"/>
      <c r="AF170" s="7"/>
      <c r="AG170" s="7"/>
      <c r="AH170" s="7"/>
      <c r="AK170" s="11"/>
      <c r="AL170" s="65"/>
      <c r="AM170" s="65"/>
    </row>
    <row r="171" ht="15.75" customHeight="1">
      <c r="B171" s="841"/>
      <c r="AB171" s="7"/>
      <c r="AC171" s="7"/>
      <c r="AD171" s="7"/>
      <c r="AE171" s="7"/>
      <c r="AF171" s="7"/>
      <c r="AG171" s="7"/>
      <c r="AH171" s="7"/>
      <c r="AK171" s="11"/>
      <c r="AL171" s="65"/>
      <c r="AM171" s="65"/>
    </row>
    <row r="172" ht="15.75" customHeight="1">
      <c r="B172" s="841"/>
      <c r="AB172" s="7"/>
      <c r="AC172" s="7"/>
      <c r="AD172" s="7"/>
      <c r="AE172" s="7"/>
      <c r="AF172" s="7"/>
      <c r="AG172" s="7"/>
      <c r="AH172" s="7"/>
      <c r="AK172" s="11"/>
      <c r="AL172" s="65"/>
      <c r="AM172" s="65"/>
    </row>
    <row r="173" ht="15.75" customHeight="1">
      <c r="B173" s="841"/>
      <c r="AB173" s="7"/>
      <c r="AC173" s="7"/>
      <c r="AD173" s="7"/>
      <c r="AE173" s="7"/>
      <c r="AF173" s="7"/>
      <c r="AG173" s="7"/>
      <c r="AH173" s="7"/>
      <c r="AK173" s="11"/>
      <c r="AL173" s="65"/>
      <c r="AM173" s="65"/>
    </row>
    <row r="174" ht="15.75" customHeight="1">
      <c r="B174" s="841"/>
      <c r="AB174" s="7"/>
      <c r="AC174" s="7"/>
      <c r="AD174" s="7"/>
      <c r="AE174" s="7"/>
      <c r="AF174" s="7"/>
      <c r="AG174" s="7"/>
      <c r="AH174" s="7"/>
      <c r="AK174" s="11"/>
      <c r="AL174" s="65"/>
      <c r="AM174" s="65"/>
    </row>
    <row r="175" ht="15.75" customHeight="1">
      <c r="B175" s="841"/>
      <c r="AB175" s="7"/>
      <c r="AC175" s="7"/>
      <c r="AD175" s="7"/>
      <c r="AE175" s="7"/>
      <c r="AF175" s="7"/>
      <c r="AG175" s="7"/>
      <c r="AH175" s="7"/>
      <c r="AK175" s="11"/>
      <c r="AL175" s="65"/>
      <c r="AM175" s="65"/>
    </row>
    <row r="176" ht="15.75" customHeight="1">
      <c r="B176" s="841"/>
      <c r="AB176" s="7"/>
      <c r="AC176" s="7"/>
      <c r="AD176" s="7"/>
      <c r="AE176" s="7"/>
      <c r="AF176" s="7"/>
      <c r="AG176" s="7"/>
      <c r="AH176" s="7"/>
      <c r="AK176" s="11"/>
      <c r="AL176" s="65"/>
      <c r="AM176" s="65"/>
    </row>
    <row r="177" ht="15.75" customHeight="1">
      <c r="B177" s="841"/>
      <c r="AB177" s="7"/>
      <c r="AC177" s="7"/>
      <c r="AD177" s="7"/>
      <c r="AE177" s="7"/>
      <c r="AF177" s="7"/>
      <c r="AG177" s="7"/>
      <c r="AH177" s="7"/>
      <c r="AK177" s="11"/>
      <c r="AL177" s="65"/>
      <c r="AM177" s="65"/>
    </row>
    <row r="178" ht="15.75" customHeight="1">
      <c r="B178" s="841"/>
      <c r="AB178" s="7"/>
      <c r="AC178" s="7"/>
      <c r="AD178" s="7"/>
      <c r="AE178" s="7"/>
      <c r="AF178" s="7"/>
      <c r="AG178" s="7"/>
      <c r="AH178" s="7"/>
      <c r="AK178" s="11"/>
      <c r="AL178" s="65"/>
      <c r="AM178" s="65"/>
    </row>
    <row r="179" ht="15.75" customHeight="1">
      <c r="B179" s="841"/>
      <c r="AB179" s="7"/>
      <c r="AC179" s="7"/>
      <c r="AD179" s="7"/>
      <c r="AE179" s="7"/>
      <c r="AF179" s="7"/>
      <c r="AG179" s="7"/>
      <c r="AH179" s="7"/>
      <c r="AK179" s="11"/>
      <c r="AL179" s="65"/>
      <c r="AM179" s="65"/>
    </row>
    <row r="180" ht="15.75" customHeight="1">
      <c r="B180" s="841"/>
      <c r="AB180" s="7"/>
      <c r="AC180" s="7"/>
      <c r="AD180" s="7"/>
      <c r="AE180" s="7"/>
      <c r="AF180" s="7"/>
      <c r="AG180" s="7"/>
      <c r="AH180" s="7"/>
      <c r="AK180" s="11"/>
      <c r="AL180" s="65"/>
      <c r="AM180" s="65"/>
    </row>
    <row r="181" ht="15.75" customHeight="1">
      <c r="B181" s="841"/>
      <c r="AB181" s="7"/>
      <c r="AC181" s="7"/>
      <c r="AD181" s="7"/>
      <c r="AE181" s="7"/>
      <c r="AF181" s="7"/>
      <c r="AG181" s="7"/>
      <c r="AH181" s="7"/>
      <c r="AK181" s="11"/>
      <c r="AL181" s="65"/>
      <c r="AM181" s="65"/>
    </row>
    <row r="182" ht="15.75" customHeight="1">
      <c r="B182" s="841"/>
      <c r="AB182" s="7"/>
      <c r="AC182" s="7"/>
      <c r="AD182" s="7"/>
      <c r="AE182" s="7"/>
      <c r="AF182" s="7"/>
      <c r="AG182" s="7"/>
      <c r="AH182" s="7"/>
      <c r="AK182" s="11"/>
      <c r="AL182" s="65"/>
      <c r="AM182" s="65"/>
    </row>
    <row r="183" ht="15.75" customHeight="1">
      <c r="B183" s="841"/>
      <c r="AB183" s="7"/>
      <c r="AC183" s="7"/>
      <c r="AD183" s="7"/>
      <c r="AE183" s="7"/>
      <c r="AF183" s="7"/>
      <c r="AG183" s="7"/>
      <c r="AH183" s="7"/>
      <c r="AK183" s="11"/>
      <c r="AL183" s="65"/>
      <c r="AM183" s="65"/>
    </row>
    <row r="184" ht="15.75" customHeight="1">
      <c r="B184" s="841"/>
      <c r="AB184" s="7"/>
      <c r="AC184" s="7"/>
      <c r="AD184" s="7"/>
      <c r="AE184" s="7"/>
      <c r="AF184" s="7"/>
      <c r="AG184" s="7"/>
      <c r="AH184" s="7"/>
      <c r="AK184" s="11"/>
      <c r="AL184" s="65"/>
      <c r="AM184" s="65"/>
    </row>
    <row r="185" ht="15.75" customHeight="1">
      <c r="B185" s="841"/>
      <c r="AB185" s="7"/>
      <c r="AC185" s="7"/>
      <c r="AD185" s="7"/>
      <c r="AE185" s="7"/>
      <c r="AF185" s="7"/>
      <c r="AG185" s="7"/>
      <c r="AH185" s="7"/>
      <c r="AK185" s="11"/>
      <c r="AL185" s="65"/>
      <c r="AM185" s="65"/>
    </row>
    <row r="186" ht="15.75" customHeight="1">
      <c r="B186" s="841"/>
      <c r="AB186" s="7"/>
      <c r="AC186" s="7"/>
      <c r="AD186" s="7"/>
      <c r="AE186" s="7"/>
      <c r="AF186" s="7"/>
      <c r="AG186" s="7"/>
      <c r="AH186" s="7"/>
      <c r="AK186" s="11"/>
      <c r="AL186" s="65"/>
      <c r="AM186" s="65"/>
    </row>
    <row r="187" ht="15.75" customHeight="1">
      <c r="B187" s="841"/>
      <c r="AB187" s="7"/>
      <c r="AC187" s="7"/>
      <c r="AD187" s="7"/>
      <c r="AE187" s="7"/>
      <c r="AF187" s="7"/>
      <c r="AG187" s="7"/>
      <c r="AH187" s="7"/>
      <c r="AK187" s="11"/>
      <c r="AL187" s="65"/>
      <c r="AM187" s="65"/>
    </row>
    <row r="188" ht="15.75" customHeight="1">
      <c r="B188" s="841"/>
      <c r="AB188" s="7"/>
      <c r="AC188" s="7"/>
      <c r="AD188" s="7"/>
      <c r="AE188" s="7"/>
      <c r="AF188" s="7"/>
      <c r="AG188" s="7"/>
      <c r="AH188" s="7"/>
      <c r="AK188" s="11"/>
      <c r="AL188" s="65"/>
      <c r="AM188" s="65"/>
    </row>
    <row r="189" ht="15.75" customHeight="1">
      <c r="B189" s="841"/>
      <c r="AB189" s="7"/>
      <c r="AC189" s="7"/>
      <c r="AD189" s="7"/>
      <c r="AE189" s="7"/>
      <c r="AF189" s="7"/>
      <c r="AG189" s="7"/>
      <c r="AH189" s="7"/>
      <c r="AK189" s="11"/>
      <c r="AL189" s="65"/>
      <c r="AM189" s="65"/>
    </row>
    <row r="190" ht="15.75" customHeight="1">
      <c r="B190" s="841"/>
      <c r="AB190" s="7"/>
      <c r="AC190" s="7"/>
      <c r="AD190" s="7"/>
      <c r="AE190" s="7"/>
      <c r="AF190" s="7"/>
      <c r="AG190" s="7"/>
      <c r="AH190" s="7"/>
      <c r="AK190" s="11"/>
      <c r="AL190" s="65"/>
      <c r="AM190" s="65"/>
    </row>
    <row r="191" ht="15.75" customHeight="1">
      <c r="B191" s="841"/>
      <c r="AB191" s="7"/>
      <c r="AC191" s="7"/>
      <c r="AD191" s="7"/>
      <c r="AE191" s="7"/>
      <c r="AF191" s="7"/>
      <c r="AG191" s="7"/>
      <c r="AH191" s="7"/>
      <c r="AK191" s="11"/>
      <c r="AL191" s="65"/>
      <c r="AM191" s="65"/>
    </row>
    <row r="192" ht="15.75" customHeight="1">
      <c r="B192" s="841"/>
      <c r="AB192" s="7"/>
      <c r="AC192" s="7"/>
      <c r="AD192" s="7"/>
      <c r="AE192" s="7"/>
      <c r="AF192" s="7"/>
      <c r="AG192" s="7"/>
      <c r="AH192" s="7"/>
      <c r="AK192" s="11"/>
      <c r="AL192" s="65"/>
      <c r="AM192" s="65"/>
    </row>
    <row r="193" ht="15.75" customHeight="1">
      <c r="B193" s="841"/>
      <c r="AB193" s="7"/>
      <c r="AC193" s="7"/>
      <c r="AD193" s="7"/>
      <c r="AE193" s="7"/>
      <c r="AF193" s="7"/>
      <c r="AG193" s="7"/>
      <c r="AH193" s="7"/>
      <c r="AK193" s="11"/>
      <c r="AL193" s="65"/>
      <c r="AM193" s="65"/>
    </row>
    <row r="194" ht="15.75" customHeight="1">
      <c r="B194" s="841"/>
      <c r="AB194" s="7"/>
      <c r="AC194" s="7"/>
      <c r="AD194" s="7"/>
      <c r="AE194" s="7"/>
      <c r="AF194" s="7"/>
      <c r="AG194" s="7"/>
      <c r="AH194" s="7"/>
      <c r="AK194" s="11"/>
      <c r="AL194" s="65"/>
      <c r="AM194" s="65"/>
    </row>
    <row r="195" ht="15.75" customHeight="1">
      <c r="B195" s="841"/>
      <c r="AB195" s="7"/>
      <c r="AC195" s="7"/>
      <c r="AD195" s="7"/>
      <c r="AE195" s="7"/>
      <c r="AF195" s="7"/>
      <c r="AG195" s="7"/>
      <c r="AH195" s="7"/>
      <c r="AK195" s="11"/>
      <c r="AL195" s="65"/>
      <c r="AM195" s="65"/>
    </row>
    <row r="196" ht="15.75" customHeight="1">
      <c r="B196" s="841"/>
      <c r="AB196" s="7"/>
      <c r="AC196" s="7"/>
      <c r="AD196" s="7"/>
      <c r="AE196" s="7"/>
      <c r="AF196" s="7"/>
      <c r="AG196" s="7"/>
      <c r="AH196" s="7"/>
      <c r="AK196" s="11"/>
      <c r="AL196" s="65"/>
      <c r="AM196" s="65"/>
    </row>
    <row r="197" ht="15.75" customHeight="1">
      <c r="B197" s="841"/>
      <c r="AB197" s="7"/>
      <c r="AC197" s="7"/>
      <c r="AD197" s="7"/>
      <c r="AE197" s="7"/>
      <c r="AF197" s="7"/>
      <c r="AG197" s="7"/>
      <c r="AH197" s="7"/>
      <c r="AK197" s="11"/>
      <c r="AL197" s="65"/>
      <c r="AM197" s="65"/>
    </row>
    <row r="198" ht="15.75" customHeight="1">
      <c r="B198" s="841"/>
      <c r="AB198" s="7"/>
      <c r="AC198" s="7"/>
      <c r="AD198" s="7"/>
      <c r="AE198" s="7"/>
      <c r="AF198" s="7"/>
      <c r="AG198" s="7"/>
      <c r="AH198" s="7"/>
      <c r="AK198" s="11"/>
      <c r="AL198" s="65"/>
      <c r="AM198" s="65"/>
    </row>
    <row r="199" ht="15.75" customHeight="1">
      <c r="B199" s="841"/>
      <c r="AB199" s="7"/>
      <c r="AC199" s="7"/>
      <c r="AD199" s="7"/>
      <c r="AE199" s="7"/>
      <c r="AF199" s="7"/>
      <c r="AG199" s="7"/>
      <c r="AH199" s="7"/>
      <c r="AK199" s="11"/>
      <c r="AL199" s="65"/>
      <c r="AM199" s="65"/>
    </row>
    <row r="200" ht="15.75" customHeight="1">
      <c r="B200" s="841"/>
      <c r="AB200" s="7"/>
      <c r="AC200" s="7"/>
      <c r="AD200" s="7"/>
      <c r="AE200" s="7"/>
      <c r="AF200" s="7"/>
      <c r="AG200" s="7"/>
      <c r="AH200" s="7"/>
      <c r="AK200" s="11"/>
      <c r="AL200" s="65"/>
      <c r="AM200" s="65"/>
    </row>
    <row r="201" ht="15.75" customHeight="1">
      <c r="B201" s="841"/>
      <c r="AB201" s="7"/>
      <c r="AC201" s="7"/>
      <c r="AD201" s="7"/>
      <c r="AE201" s="7"/>
      <c r="AF201" s="7"/>
      <c r="AG201" s="7"/>
      <c r="AH201" s="7"/>
      <c r="AK201" s="11"/>
      <c r="AL201" s="65"/>
      <c r="AM201" s="65"/>
    </row>
    <row r="202" ht="15.75" customHeight="1">
      <c r="B202" s="841"/>
      <c r="AB202" s="7"/>
      <c r="AC202" s="7"/>
      <c r="AD202" s="7"/>
      <c r="AE202" s="7"/>
      <c r="AF202" s="7"/>
      <c r="AG202" s="7"/>
      <c r="AH202" s="7"/>
      <c r="AK202" s="11"/>
      <c r="AL202" s="65"/>
      <c r="AM202" s="65"/>
    </row>
    <row r="203" ht="15.75" customHeight="1">
      <c r="B203" s="841"/>
      <c r="AB203" s="7"/>
      <c r="AC203" s="7"/>
      <c r="AD203" s="7"/>
      <c r="AE203" s="7"/>
      <c r="AF203" s="7"/>
      <c r="AG203" s="7"/>
      <c r="AH203" s="7"/>
      <c r="AK203" s="11"/>
      <c r="AL203" s="65"/>
      <c r="AM203" s="65"/>
    </row>
    <row r="204" ht="15.75" customHeight="1">
      <c r="B204" s="841"/>
      <c r="AB204" s="7"/>
      <c r="AC204" s="7"/>
      <c r="AD204" s="7"/>
      <c r="AE204" s="7"/>
      <c r="AF204" s="7"/>
      <c r="AG204" s="7"/>
      <c r="AH204" s="7"/>
      <c r="AK204" s="11"/>
      <c r="AL204" s="65"/>
      <c r="AM204" s="65"/>
    </row>
    <row r="205" ht="15.75" customHeight="1">
      <c r="B205" s="841"/>
      <c r="AB205" s="7"/>
      <c r="AC205" s="7"/>
      <c r="AD205" s="7"/>
      <c r="AE205" s="7"/>
      <c r="AF205" s="7"/>
      <c r="AG205" s="7"/>
      <c r="AH205" s="7"/>
      <c r="AK205" s="11"/>
      <c r="AL205" s="65"/>
      <c r="AM205" s="65"/>
    </row>
    <row r="206" ht="15.75" customHeight="1">
      <c r="B206" s="841"/>
      <c r="AB206" s="7"/>
      <c r="AC206" s="7"/>
      <c r="AD206" s="7"/>
      <c r="AE206" s="7"/>
      <c r="AF206" s="7"/>
      <c r="AG206" s="7"/>
      <c r="AH206" s="7"/>
      <c r="AK206" s="11"/>
      <c r="AL206" s="65"/>
      <c r="AM206" s="65"/>
    </row>
    <row r="207" ht="15.75" customHeight="1">
      <c r="B207" s="841"/>
      <c r="AB207" s="7"/>
      <c r="AC207" s="7"/>
      <c r="AD207" s="7"/>
      <c r="AE207" s="7"/>
      <c r="AF207" s="7"/>
      <c r="AG207" s="7"/>
      <c r="AH207" s="7"/>
      <c r="AK207" s="11"/>
      <c r="AL207" s="65"/>
      <c r="AM207" s="65"/>
    </row>
    <row r="208" ht="15.75" customHeight="1">
      <c r="B208" s="841"/>
      <c r="AB208" s="7"/>
      <c r="AC208" s="7"/>
      <c r="AD208" s="7"/>
      <c r="AE208" s="7"/>
      <c r="AF208" s="7"/>
      <c r="AG208" s="7"/>
      <c r="AH208" s="7"/>
      <c r="AK208" s="11"/>
      <c r="AL208" s="65"/>
      <c r="AM208" s="65"/>
    </row>
    <row r="209" ht="15.75" customHeight="1">
      <c r="B209" s="841"/>
      <c r="AB209" s="7"/>
      <c r="AC209" s="7"/>
      <c r="AD209" s="7"/>
      <c r="AE209" s="7"/>
      <c r="AF209" s="7"/>
      <c r="AG209" s="7"/>
      <c r="AH209" s="7"/>
      <c r="AK209" s="11"/>
      <c r="AL209" s="65"/>
      <c r="AM209" s="65"/>
    </row>
    <row r="210" ht="15.75" customHeight="1">
      <c r="B210" s="841"/>
      <c r="AB210" s="7"/>
      <c r="AC210" s="7"/>
      <c r="AD210" s="7"/>
      <c r="AE210" s="7"/>
      <c r="AF210" s="7"/>
      <c r="AG210" s="7"/>
      <c r="AH210" s="7"/>
      <c r="AK210" s="11"/>
      <c r="AL210" s="65"/>
      <c r="AM210" s="65"/>
    </row>
    <row r="211" ht="15.75" customHeight="1">
      <c r="B211" s="841"/>
      <c r="AB211" s="7"/>
      <c r="AC211" s="7"/>
      <c r="AD211" s="7"/>
      <c r="AE211" s="7"/>
      <c r="AF211" s="7"/>
      <c r="AG211" s="7"/>
      <c r="AH211" s="7"/>
      <c r="AK211" s="11"/>
      <c r="AL211" s="65"/>
      <c r="AM211" s="65"/>
    </row>
    <row r="212" ht="15.75" customHeight="1">
      <c r="B212" s="841"/>
      <c r="AB212" s="7"/>
      <c r="AC212" s="7"/>
      <c r="AD212" s="7"/>
      <c r="AE212" s="7"/>
      <c r="AF212" s="7"/>
      <c r="AG212" s="7"/>
      <c r="AH212" s="7"/>
      <c r="AK212" s="11"/>
      <c r="AL212" s="65"/>
      <c r="AM212" s="65"/>
    </row>
    <row r="213" ht="15.75" customHeight="1">
      <c r="B213" s="841"/>
      <c r="AB213" s="7"/>
      <c r="AC213" s="7"/>
      <c r="AD213" s="7"/>
      <c r="AE213" s="7"/>
      <c r="AF213" s="7"/>
      <c r="AG213" s="7"/>
      <c r="AH213" s="7"/>
      <c r="AK213" s="11"/>
      <c r="AL213" s="65"/>
      <c r="AM213" s="65"/>
    </row>
    <row r="214" ht="15.75" customHeight="1">
      <c r="B214" s="841"/>
      <c r="AB214" s="7"/>
      <c r="AC214" s="7"/>
      <c r="AD214" s="7"/>
      <c r="AE214" s="7"/>
      <c r="AF214" s="7"/>
      <c r="AG214" s="7"/>
      <c r="AH214" s="7"/>
      <c r="AK214" s="11"/>
      <c r="AL214" s="65"/>
      <c r="AM214" s="65"/>
    </row>
    <row r="215" ht="15.75" customHeight="1">
      <c r="B215" s="841"/>
      <c r="AB215" s="7"/>
      <c r="AC215" s="7"/>
      <c r="AD215" s="7"/>
      <c r="AE215" s="7"/>
      <c r="AF215" s="7"/>
      <c r="AG215" s="7"/>
      <c r="AH215" s="7"/>
      <c r="AK215" s="11"/>
      <c r="AL215" s="65"/>
      <c r="AM215" s="65"/>
    </row>
    <row r="216" ht="15.75" customHeight="1">
      <c r="B216" s="841"/>
      <c r="AB216" s="7"/>
      <c r="AC216" s="7"/>
      <c r="AD216" s="7"/>
      <c r="AE216" s="7"/>
      <c r="AF216" s="7"/>
      <c r="AG216" s="7"/>
      <c r="AH216" s="7"/>
      <c r="AK216" s="11"/>
      <c r="AL216" s="65"/>
      <c r="AM216" s="65"/>
    </row>
    <row r="217" ht="15.75" customHeight="1">
      <c r="B217" s="841"/>
      <c r="AB217" s="7"/>
      <c r="AC217" s="7"/>
      <c r="AD217" s="7"/>
      <c r="AE217" s="7"/>
      <c r="AF217" s="7"/>
      <c r="AG217" s="7"/>
      <c r="AH217" s="7"/>
      <c r="AK217" s="11"/>
      <c r="AL217" s="65"/>
      <c r="AM217" s="65"/>
    </row>
    <row r="218" ht="15.75" customHeight="1">
      <c r="B218" s="841"/>
      <c r="AB218" s="7"/>
      <c r="AC218" s="7"/>
      <c r="AD218" s="7"/>
      <c r="AE218" s="7"/>
      <c r="AF218" s="7"/>
      <c r="AG218" s="7"/>
      <c r="AH218" s="7"/>
      <c r="AK218" s="11"/>
      <c r="AL218" s="65"/>
      <c r="AM218" s="65"/>
    </row>
    <row r="219" ht="15.75" customHeight="1">
      <c r="B219" s="841"/>
      <c r="AB219" s="7"/>
      <c r="AC219" s="7"/>
      <c r="AD219" s="7"/>
      <c r="AE219" s="7"/>
      <c r="AF219" s="7"/>
      <c r="AG219" s="7"/>
      <c r="AH219" s="7"/>
      <c r="AK219" s="11"/>
      <c r="AL219" s="65"/>
      <c r="AM219" s="65"/>
    </row>
    <row r="220" ht="15.75" customHeight="1">
      <c r="B220" s="841"/>
      <c r="AB220" s="7"/>
      <c r="AC220" s="7"/>
      <c r="AD220" s="7"/>
      <c r="AE220" s="7"/>
      <c r="AF220" s="7"/>
      <c r="AG220" s="7"/>
      <c r="AH220" s="7"/>
      <c r="AK220" s="11"/>
      <c r="AL220" s="65"/>
      <c r="AM220" s="65"/>
    </row>
    <row r="221" ht="15.75" customHeight="1">
      <c r="AK221" s="11"/>
      <c r="AL221" s="65"/>
      <c r="AM221" s="65"/>
    </row>
    <row r="222" ht="15.75" customHeight="1">
      <c r="AK222" s="11"/>
      <c r="AL222" s="65"/>
      <c r="AM222" s="65"/>
    </row>
    <row r="223" ht="15.75" customHeight="1">
      <c r="AK223" s="11"/>
      <c r="AL223" s="65"/>
      <c r="AM223" s="65"/>
    </row>
    <row r="224" ht="15.75" customHeight="1">
      <c r="AK224" s="11"/>
      <c r="AL224" s="65"/>
      <c r="AM224" s="65"/>
    </row>
    <row r="225" ht="15.75" customHeight="1">
      <c r="AK225" s="11"/>
      <c r="AL225" s="65"/>
      <c r="AM225" s="65"/>
    </row>
    <row r="226" ht="15.75" customHeight="1">
      <c r="AK226" s="11"/>
      <c r="AL226" s="65"/>
      <c r="AM226" s="65"/>
    </row>
    <row r="227" ht="15.75" customHeight="1">
      <c r="AK227" s="11"/>
      <c r="AL227" s="65"/>
      <c r="AM227" s="65"/>
    </row>
    <row r="228" ht="15.75" customHeight="1">
      <c r="AK228" s="11"/>
      <c r="AL228" s="65"/>
      <c r="AM228" s="65"/>
    </row>
    <row r="229" ht="15.75" customHeight="1">
      <c r="AK229" s="11"/>
      <c r="AL229" s="65"/>
      <c r="AM229" s="65"/>
    </row>
    <row r="230" ht="15.75" customHeight="1">
      <c r="AK230" s="11"/>
      <c r="AL230" s="65"/>
      <c r="AM230" s="65"/>
    </row>
    <row r="231" ht="15.75" customHeight="1">
      <c r="AK231" s="11"/>
      <c r="AL231" s="65"/>
      <c r="AM231" s="65"/>
    </row>
    <row r="232" ht="15.75" customHeight="1">
      <c r="AK232" s="11"/>
      <c r="AL232" s="65"/>
      <c r="AM232" s="65"/>
    </row>
    <row r="233" ht="15.75" customHeight="1">
      <c r="AK233" s="11"/>
      <c r="AL233" s="65"/>
      <c r="AM233" s="65"/>
    </row>
    <row r="234" ht="15.75" customHeight="1">
      <c r="AK234" s="11"/>
      <c r="AL234" s="65"/>
      <c r="AM234" s="65"/>
    </row>
    <row r="235" ht="15.75" customHeight="1">
      <c r="AK235" s="11"/>
      <c r="AL235" s="65"/>
      <c r="AM235" s="65"/>
    </row>
    <row r="236" ht="15.75" customHeight="1">
      <c r="AK236" s="11"/>
      <c r="AL236" s="65"/>
      <c r="AM236" s="65"/>
    </row>
    <row r="237" ht="15.75" customHeight="1">
      <c r="AK237" s="11"/>
      <c r="AL237" s="65"/>
      <c r="AM237" s="65"/>
    </row>
    <row r="238" ht="15.75" customHeight="1">
      <c r="AK238" s="11"/>
      <c r="AL238" s="65"/>
      <c r="AM238" s="65"/>
    </row>
    <row r="239" ht="15.75" customHeight="1">
      <c r="AK239" s="11"/>
      <c r="AL239" s="65"/>
      <c r="AM239" s="65"/>
    </row>
    <row r="240" ht="15.75" customHeight="1">
      <c r="AK240" s="11"/>
      <c r="AL240" s="65"/>
      <c r="AM240" s="65"/>
    </row>
    <row r="241" ht="15.75" customHeight="1">
      <c r="AK241" s="11"/>
      <c r="AL241" s="65"/>
      <c r="AM241" s="65"/>
    </row>
    <row r="242" ht="15.75" customHeight="1">
      <c r="AK242" s="11"/>
      <c r="AL242" s="65"/>
      <c r="AM242" s="65"/>
    </row>
    <row r="243" ht="15.75" customHeight="1">
      <c r="AK243" s="11"/>
      <c r="AL243" s="65"/>
      <c r="AM243" s="65"/>
    </row>
    <row r="244" ht="15.75" customHeight="1">
      <c r="AK244" s="11"/>
      <c r="AL244" s="65"/>
      <c r="AM244" s="65"/>
    </row>
    <row r="245" ht="15.75" customHeight="1">
      <c r="AK245" s="11"/>
      <c r="AL245" s="65"/>
      <c r="AM245" s="65"/>
    </row>
    <row r="246" ht="15.75" customHeight="1">
      <c r="AK246" s="11"/>
      <c r="AL246" s="65"/>
      <c r="AM246" s="65"/>
    </row>
    <row r="247" ht="15.75" customHeight="1">
      <c r="AK247" s="11"/>
      <c r="AL247" s="65"/>
      <c r="AM247" s="65"/>
    </row>
    <row r="248" ht="15.75" customHeight="1">
      <c r="AK248" s="11"/>
      <c r="AL248" s="65"/>
      <c r="AM248" s="65"/>
    </row>
    <row r="249" ht="15.75" customHeight="1">
      <c r="AK249" s="11"/>
      <c r="AL249" s="65"/>
      <c r="AM249" s="65"/>
    </row>
    <row r="250" ht="15.75" customHeight="1">
      <c r="AK250" s="11"/>
      <c r="AL250" s="65"/>
      <c r="AM250" s="65"/>
    </row>
    <row r="251" ht="15.75" customHeight="1">
      <c r="AK251" s="11"/>
      <c r="AL251" s="65"/>
      <c r="AM251" s="65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23.71"/>
    <col customWidth="1" min="5" max="5" width="12.43"/>
    <col customWidth="1" min="6" max="6" width="22.71"/>
    <col customWidth="1" min="7" max="7" width="10.29"/>
    <col customWidth="1" min="8" max="8" width="11.43"/>
    <col customWidth="1" min="9" max="11" width="10.71"/>
    <col customWidth="1" min="12" max="12" width="11.43"/>
    <col customWidth="1" min="13" max="13" width="13.71"/>
    <col customWidth="1" min="14" max="14" width="11.71"/>
    <col customWidth="1" min="15" max="15" width="13.14"/>
    <col customWidth="1" min="16" max="16" width="10.14"/>
    <col customWidth="1" min="17" max="17" width="12.0"/>
    <col customWidth="1" min="18" max="18" width="10.71"/>
    <col customWidth="1" min="19" max="19" width="11.71"/>
    <col customWidth="1" min="20" max="20" width="6.29"/>
    <col customWidth="1" min="21" max="21" width="7.57"/>
    <col customWidth="1" min="22" max="22" width="10.71"/>
    <col customWidth="1" min="23" max="24" width="11.43"/>
    <col customWidth="1" min="25" max="25" width="16.57"/>
    <col customWidth="1" min="26" max="26" width="17.71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1" width="15.57"/>
    <col customWidth="1" min="32" max="32" width="12.43"/>
    <col customWidth="1" min="33" max="33" width="15.86"/>
    <col customWidth="1" min="34" max="34" width="10.29"/>
    <col customWidth="1" min="36" max="36" width="17.57"/>
    <col customWidth="1" min="37" max="38" width="14.43"/>
    <col customWidth="1" min="39" max="39" width="17.71"/>
    <col customWidth="1" min="43" max="44" width="17.14"/>
  </cols>
  <sheetData>
    <row r="1" ht="15.0" customHeight="1">
      <c r="AB1" s="7"/>
      <c r="AC1" s="7"/>
      <c r="AD1" s="7"/>
      <c r="AE1" s="7"/>
      <c r="AF1" s="7"/>
      <c r="AG1" s="910" t="s">
        <v>4782</v>
      </c>
      <c r="AH1" s="7" t="s">
        <v>4035</v>
      </c>
      <c r="AI1" s="3" t="s">
        <v>4784</v>
      </c>
      <c r="AJ1" s="125" t="s">
        <v>3</v>
      </c>
      <c r="AK1" s="11"/>
      <c r="AL1" s="65"/>
      <c r="AM1" s="65"/>
    </row>
    <row r="2" ht="15.0" customHeight="1">
      <c r="G2" s="13"/>
      <c r="H2" s="13"/>
      <c r="I2" s="4">
        <f>SUM(I4:I974)</f>
        <v>562.46</v>
      </c>
      <c r="J2" s="4"/>
      <c r="K2" s="4">
        <f>SUM(K4:K974)</f>
        <v>529.821213</v>
      </c>
      <c r="L2" s="4">
        <f>SUMPRODUCT(K4:K974,L4:L974)/K2</f>
        <v>0.4739914954</v>
      </c>
      <c r="Q2" s="58">
        <f>+SUMPRODUCT(Q4:Q974,AH4:AH974)/SUM(AH4:AH974)</f>
        <v>87.34216398</v>
      </c>
      <c r="R2" s="65">
        <f>+SUMPRODUCT(R4:R974,AH4:AH974)/SUM(AH4:AH974)</f>
        <v>2324.373976</v>
      </c>
      <c r="AB2" s="7"/>
      <c r="AC2" s="7"/>
      <c r="AD2" s="7"/>
      <c r="AE2" s="7"/>
      <c r="AF2" s="7"/>
      <c r="AG2" s="910">
        <f>SUMPRODUCT($AG4:$AG974,$K4:$K974)/SUM($K4:$K974)</f>
        <v>67.75504359</v>
      </c>
      <c r="AH2" s="7">
        <f>SUM(AH4:AH974)</f>
        <v>7512.967208</v>
      </c>
      <c r="AI2" s="606">
        <v>2362.0</v>
      </c>
      <c r="AJ2" s="125"/>
      <c r="AK2" s="11"/>
      <c r="AL2" s="65"/>
      <c r="AM2" s="65"/>
    </row>
    <row r="3" ht="15.0" customHeight="1">
      <c r="A3" s="880" t="s">
        <v>5</v>
      </c>
      <c r="B3" s="880" t="s">
        <v>6</v>
      </c>
      <c r="C3" s="880" t="s">
        <v>7</v>
      </c>
      <c r="D3" s="880" t="s">
        <v>8</v>
      </c>
      <c r="E3" s="880" t="s">
        <v>4880</v>
      </c>
      <c r="F3" s="880" t="s">
        <v>10</v>
      </c>
      <c r="G3" s="880" t="s">
        <v>11</v>
      </c>
      <c r="H3" s="881"/>
      <c r="I3" s="911" t="s">
        <v>12</v>
      </c>
      <c r="J3" s="911" t="s">
        <v>13</v>
      </c>
      <c r="K3" s="880" t="s">
        <v>14</v>
      </c>
      <c r="L3" s="892" t="s">
        <v>15</v>
      </c>
      <c r="M3" s="887" t="s">
        <v>16</v>
      </c>
      <c r="N3" s="887" t="s">
        <v>17</v>
      </c>
      <c r="O3" s="881" t="s">
        <v>18</v>
      </c>
      <c r="P3" s="892" t="s">
        <v>19</v>
      </c>
      <c r="Q3" s="892" t="s">
        <v>20</v>
      </c>
      <c r="R3" s="892" t="s">
        <v>21</v>
      </c>
      <c r="S3" s="892" t="s">
        <v>22</v>
      </c>
      <c r="T3" s="890" t="s">
        <v>23</v>
      </c>
      <c r="U3" s="890" t="s">
        <v>24</v>
      </c>
      <c r="V3" s="891" t="s">
        <v>25</v>
      </c>
      <c r="W3" s="892" t="s">
        <v>26</v>
      </c>
      <c r="X3" s="892" t="s">
        <v>27</v>
      </c>
      <c r="Y3" s="892" t="s">
        <v>28</v>
      </c>
      <c r="Z3" s="881" t="s">
        <v>29</v>
      </c>
      <c r="AA3" s="881" t="s">
        <v>30</v>
      </c>
      <c r="AB3" s="893" t="s">
        <v>31</v>
      </c>
      <c r="AC3" s="894" t="s">
        <v>32</v>
      </c>
      <c r="AD3" s="895" t="s">
        <v>33</v>
      </c>
      <c r="AE3" s="895" t="s">
        <v>34</v>
      </c>
      <c r="AF3" s="895" t="s">
        <v>35</v>
      </c>
      <c r="AG3" s="912" t="s">
        <v>36</v>
      </c>
      <c r="AH3" s="913" t="s">
        <v>4750</v>
      </c>
      <c r="AI3" s="65">
        <f>SUMPRODUCT(K4:K974,AI4:AI974)/K2</f>
        <v>72.58279487</v>
      </c>
      <c r="AJ3" s="70">
        <f>SUM(AJ4:AJ76)</f>
        <v>7486.189324</v>
      </c>
      <c r="AK3" s="11">
        <f>SUM(AK4:AK974)</f>
        <v>26.77788422</v>
      </c>
      <c r="AL3" s="65">
        <f>+AH2-AJ3</f>
        <v>26.77788422</v>
      </c>
      <c r="AM3" s="65"/>
    </row>
    <row r="4" ht="15.0" customHeight="1">
      <c r="A4" s="899"/>
      <c r="B4" s="900"/>
      <c r="C4" s="900"/>
      <c r="D4" s="900"/>
      <c r="E4" s="900"/>
      <c r="F4" s="900"/>
      <c r="G4" s="900"/>
      <c r="H4" s="901"/>
      <c r="I4" s="900"/>
      <c r="J4" s="900"/>
      <c r="K4" s="900"/>
      <c r="L4" s="901"/>
      <c r="M4" s="902"/>
      <c r="N4" s="902"/>
      <c r="O4" s="901"/>
      <c r="P4" s="901"/>
      <c r="Q4" s="901"/>
      <c r="R4" s="901"/>
      <c r="S4" s="901"/>
      <c r="T4" s="903"/>
      <c r="U4" s="903"/>
      <c r="V4" s="903"/>
      <c r="W4" s="901"/>
      <c r="X4" s="901"/>
      <c r="Y4" s="901"/>
      <c r="Z4" s="901"/>
      <c r="AA4" s="901"/>
      <c r="AB4" s="904"/>
      <c r="AC4" s="905"/>
      <c r="AD4" s="906"/>
      <c r="AE4" s="906"/>
      <c r="AF4" s="906"/>
      <c r="AG4" s="914"/>
      <c r="AH4" s="876"/>
      <c r="AI4" s="70"/>
      <c r="AJ4" s="134"/>
      <c r="AK4" s="53"/>
      <c r="AL4" s="70"/>
      <c r="AM4" s="70"/>
      <c r="AN4" s="67"/>
      <c r="AO4" s="67"/>
      <c r="AP4" s="67"/>
      <c r="AQ4" s="67"/>
      <c r="AR4" s="67"/>
      <c r="AS4" s="67"/>
      <c r="AT4" s="67"/>
    </row>
    <row r="5" ht="15.0" customHeight="1">
      <c r="A5" s="116" t="s">
        <v>5084</v>
      </c>
      <c r="B5" s="841">
        <v>45427.0</v>
      </c>
      <c r="C5" s="841">
        <v>45425.0</v>
      </c>
      <c r="D5" s="2" t="s">
        <v>5085</v>
      </c>
      <c r="E5" s="915"/>
      <c r="F5" s="2" t="s">
        <v>5086</v>
      </c>
      <c r="G5" s="13">
        <v>108.0</v>
      </c>
      <c r="H5" s="13" t="s">
        <v>5002</v>
      </c>
      <c r="I5" s="6">
        <v>10.36</v>
      </c>
      <c r="J5" s="58">
        <v>2.8</v>
      </c>
      <c r="K5" s="6">
        <f t="shared" ref="K5:K73" si="1">+I5-(I5*(J5/100))</f>
        <v>10.06992</v>
      </c>
      <c r="L5" s="139">
        <v>0.281</v>
      </c>
      <c r="M5" s="3">
        <v>0.267</v>
      </c>
      <c r="N5" s="970">
        <v>0.267</v>
      </c>
      <c r="O5" s="60">
        <f t="shared" ref="O5:O9" si="2">+ROUND((M5+N5)/2,3)</f>
        <v>0.267</v>
      </c>
      <c r="P5" s="67">
        <v>88.0</v>
      </c>
      <c r="Q5" s="69">
        <v>87.59051119021683</v>
      </c>
      <c r="R5" s="65">
        <v>2336.14</v>
      </c>
      <c r="S5" s="3">
        <v>95.0</v>
      </c>
      <c r="U5" s="67">
        <v>120.0</v>
      </c>
      <c r="V5" s="67">
        <v>1.1023</v>
      </c>
      <c r="W5" s="58">
        <v>7.5</v>
      </c>
      <c r="X5" s="58">
        <v>10.8</v>
      </c>
      <c r="Y5" s="994">
        <v>30.0</v>
      </c>
      <c r="Z5" s="69">
        <f t="shared" ref="Z5:Z9" si="3">IF(D5="UNTUCA",IF(+((W5-3)*1.5+(X5-3)*3.1)&gt;0,+((W5-3)*1.5+(X5-3)*3.1),0),IF(+((W5-3)*1.5+(X5-3)*3.1)&gt;0,+((W5-3)*1.5+(X5-3)*3.1),0))</f>
        <v>30.93</v>
      </c>
      <c r="AA5" s="70">
        <f t="shared" ref="AA5:AA73" si="4">+Y5+Z5</f>
        <v>60.93</v>
      </c>
      <c r="AB5" s="71">
        <f t="shared" ref="AB5:AB73" si="5">+((O5*P5*(R5-U5)/100)-S5-AA5+T5)*V5</f>
        <v>402.0906606</v>
      </c>
      <c r="AC5" s="71">
        <f>+(S5-T5)*V5-'data 1'!$F$4</f>
        <v>24.7185</v>
      </c>
      <c r="AD5" s="71">
        <f t="shared" ref="AD5:AD73" si="6">+(Q5-P5)*(R5-U5)*L5*V5/100</f>
        <v>-2.810899758</v>
      </c>
      <c r="AE5" s="71">
        <f>+(Y5*V5-'data 1'!$I$21)+V5*(Z5-IF(D5="UNTUCA",IF(+((W5-3)*2.5+(X5-3)*3.1)&gt;0,+((W5-3)*1.5+(X5-3)*3.1),0),IF(+((W5-3)*1.5+(X5-3)*3.1)&gt;0,+((W5-3)*1.5+(X5-3)*3.1),0)))</f>
        <v>7.487918919</v>
      </c>
      <c r="AF5" s="71">
        <f t="shared" ref="AF5:AF73" si="7">(L5-O5)*(R5-U5)*Q5*V5/100</f>
        <v>29.955881</v>
      </c>
      <c r="AG5" s="71">
        <f t="shared" ref="AG5:AG73" si="8">+AC5+AD5+AE5+AF5</f>
        <v>59.35140016</v>
      </c>
      <c r="AH5" s="71">
        <f t="shared" ref="AH5:AH73" si="9">31.1035*L5*Q5*1.1023*K5/100</f>
        <v>84.9764278</v>
      </c>
      <c r="AI5" s="58">
        <f t="shared" ref="AI5:AI15" si="10">+((+$AI$2-R5+U5)*L5*Q5*V5)/100</f>
        <v>39.57303849</v>
      </c>
      <c r="AJ5" s="70">
        <f t="shared" ref="AJ5:AJ73" si="11">31.1035*1.1023*K5*P5*O5/100</f>
        <v>81.12020194</v>
      </c>
      <c r="AK5" s="11">
        <f t="shared" ref="AK5:AK73" si="12">+AH5-AJ5</f>
        <v>3.856225859</v>
      </c>
      <c r="AL5" s="65"/>
      <c r="AM5" s="65"/>
      <c r="AV5" s="65">
        <f t="shared" ref="AV5:AV27" si="13">+AB5*K5</f>
        <v>4049.020785</v>
      </c>
    </row>
    <row r="6" ht="15.0" customHeight="1">
      <c r="A6" s="116" t="s">
        <v>5087</v>
      </c>
      <c r="B6" s="841">
        <v>45427.0</v>
      </c>
      <c r="C6" s="841">
        <v>45425.0</v>
      </c>
      <c r="D6" s="2" t="s">
        <v>5085</v>
      </c>
      <c r="E6" s="915"/>
      <c r="F6" s="2" t="s">
        <v>5086</v>
      </c>
      <c r="G6" s="13">
        <v>34.0</v>
      </c>
      <c r="H6" s="13" t="s">
        <v>5002</v>
      </c>
      <c r="I6" s="6">
        <v>3.15</v>
      </c>
      <c r="J6" s="58">
        <v>2.3</v>
      </c>
      <c r="K6" s="6">
        <f t="shared" si="1"/>
        <v>3.07755</v>
      </c>
      <c r="L6" s="139">
        <v>0.227</v>
      </c>
      <c r="M6" s="3">
        <v>0.216</v>
      </c>
      <c r="N6" s="970">
        <v>0.216</v>
      </c>
      <c r="O6" s="60">
        <f t="shared" si="2"/>
        <v>0.216</v>
      </c>
      <c r="P6" s="67">
        <v>88.0</v>
      </c>
      <c r="Q6" s="69">
        <v>87.06608411353649</v>
      </c>
      <c r="R6" s="65">
        <v>2336.14</v>
      </c>
      <c r="S6" s="3">
        <v>95.0</v>
      </c>
      <c r="U6" s="67">
        <v>120.0</v>
      </c>
      <c r="V6" s="67">
        <v>1.1023</v>
      </c>
      <c r="W6" s="58">
        <v>7.5</v>
      </c>
      <c r="X6" s="58">
        <v>10.8</v>
      </c>
      <c r="Y6" s="994">
        <v>30.0</v>
      </c>
      <c r="Z6" s="69">
        <f t="shared" si="3"/>
        <v>30.93</v>
      </c>
      <c r="AA6" s="70">
        <f t="shared" si="4"/>
        <v>60.93</v>
      </c>
      <c r="AB6" s="71">
        <f t="shared" si="5"/>
        <v>292.4555023</v>
      </c>
      <c r="AC6" s="71">
        <f>+(S6-T6)*V6-'data 1'!$F$4</f>
        <v>24.7185</v>
      </c>
      <c r="AD6" s="71">
        <f t="shared" si="6"/>
        <v>-5.178817659</v>
      </c>
      <c r="AE6" s="71">
        <f>+(Y6*V6-'data 1'!$I$21)+V6*(Z6-IF(D6="UNTUCA",IF(+((W6-3)*2.5+(X6-3)*3.1)&gt;0,+((W6-3)*1.5+(X6-3)*3.1),0),IF(+((W6-3)*1.5+(X6-3)*3.1)&gt;0,+((W6-3)*1.5+(X6-3)*3.1),0)))</f>
        <v>7.487918919</v>
      </c>
      <c r="AF6" s="71">
        <f t="shared" si="7"/>
        <v>23.39584294</v>
      </c>
      <c r="AG6" s="71">
        <f t="shared" si="8"/>
        <v>50.4234442</v>
      </c>
      <c r="AH6" s="71">
        <f t="shared" si="9"/>
        <v>20.85398496</v>
      </c>
      <c r="AI6" s="58">
        <f t="shared" si="10"/>
        <v>31.77685307</v>
      </c>
      <c r="AJ6" s="70">
        <f t="shared" si="11"/>
        <v>20.05629044</v>
      </c>
      <c r="AK6" s="11">
        <f t="shared" si="12"/>
        <v>0.7976945238</v>
      </c>
      <c r="AL6" s="65"/>
      <c r="AM6" s="65"/>
      <c r="AV6" s="65">
        <f t="shared" si="13"/>
        <v>900.046431</v>
      </c>
    </row>
    <row r="7" ht="15.0" customHeight="1">
      <c r="A7" s="116" t="s">
        <v>5088</v>
      </c>
      <c r="B7" s="841">
        <v>45427.0</v>
      </c>
      <c r="C7" s="841">
        <v>45425.0</v>
      </c>
      <c r="D7" s="2" t="s">
        <v>5085</v>
      </c>
      <c r="E7" s="915"/>
      <c r="F7" s="2" t="s">
        <v>5089</v>
      </c>
      <c r="G7" s="13">
        <v>75.0</v>
      </c>
      <c r="H7" s="13" t="s">
        <v>5002</v>
      </c>
      <c r="I7" s="6">
        <v>8.38</v>
      </c>
      <c r="J7" s="58">
        <v>2.7</v>
      </c>
      <c r="K7" s="6">
        <f t="shared" si="1"/>
        <v>8.15374</v>
      </c>
      <c r="L7" s="139">
        <v>0.265</v>
      </c>
      <c r="M7" s="3">
        <v>0.252</v>
      </c>
      <c r="N7" s="970">
        <v>0.252</v>
      </c>
      <c r="O7" s="60">
        <f t="shared" si="2"/>
        <v>0.252</v>
      </c>
      <c r="P7" s="67">
        <v>88.0</v>
      </c>
      <c r="Q7" s="69">
        <v>87.54093626950564</v>
      </c>
      <c r="R7" s="65">
        <v>2336.14</v>
      </c>
      <c r="S7" s="3">
        <v>95.0</v>
      </c>
      <c r="U7" s="67">
        <v>120.0</v>
      </c>
      <c r="V7" s="67">
        <v>1.1023</v>
      </c>
      <c r="W7" s="58">
        <v>7.9</v>
      </c>
      <c r="X7" s="58">
        <v>11.9</v>
      </c>
      <c r="Y7" s="994">
        <v>30.0</v>
      </c>
      <c r="Z7" s="69">
        <f t="shared" si="3"/>
        <v>34.94</v>
      </c>
      <c r="AA7" s="70">
        <f t="shared" si="4"/>
        <v>64.94</v>
      </c>
      <c r="AB7" s="71">
        <f t="shared" si="5"/>
        <v>365.4248028</v>
      </c>
      <c r="AC7" s="71">
        <f>+(S7-T7)*V7-'data 1'!$F$4</f>
        <v>24.7185</v>
      </c>
      <c r="AD7" s="71">
        <f t="shared" si="6"/>
        <v>-2.971774525</v>
      </c>
      <c r="AE7" s="71">
        <f>+(Y7*V7-'data 1'!$I$21)+V7*(Z7-IF(D7="UNTUCA",IF(+((W7-3)*2.5+(X7-3)*3.1)&gt;0,+((W7-3)*1.5+(X7-3)*3.1),0),IF(+((W7-3)*1.5+(X7-3)*3.1)&gt;0,+((W7-3)*1.5+(X7-3)*3.1),0)))</f>
        <v>7.487918919</v>
      </c>
      <c r="AF7" s="71">
        <f t="shared" si="7"/>
        <v>27.80043167</v>
      </c>
      <c r="AG7" s="71">
        <f t="shared" si="8"/>
        <v>57.03507606</v>
      </c>
      <c r="AH7" s="71">
        <f t="shared" si="9"/>
        <v>64.85194255</v>
      </c>
      <c r="AI7" s="58">
        <f t="shared" si="10"/>
        <v>37.29864697</v>
      </c>
      <c r="AJ7" s="70">
        <f t="shared" si="11"/>
        <v>61.99392608</v>
      </c>
      <c r="AK7" s="11">
        <f t="shared" si="12"/>
        <v>2.85801647</v>
      </c>
      <c r="AL7" s="65"/>
      <c r="AM7" s="65"/>
      <c r="AV7" s="65">
        <f t="shared" si="13"/>
        <v>2979.578832</v>
      </c>
    </row>
    <row r="8" ht="15.0" customHeight="1">
      <c r="A8" s="116" t="s">
        <v>5090</v>
      </c>
      <c r="B8" s="841">
        <v>45427.0</v>
      </c>
      <c r="C8" s="841">
        <v>45425.0</v>
      </c>
      <c r="D8" s="2" t="s">
        <v>5085</v>
      </c>
      <c r="E8" s="915"/>
      <c r="F8" s="2" t="s">
        <v>5089</v>
      </c>
      <c r="G8" s="13">
        <v>75.0</v>
      </c>
      <c r="H8" s="13" t="s">
        <v>5002</v>
      </c>
      <c r="I8" s="6">
        <v>7.36</v>
      </c>
      <c r="J8" s="58">
        <v>2.8</v>
      </c>
      <c r="K8" s="6">
        <f t="shared" si="1"/>
        <v>7.15392</v>
      </c>
      <c r="L8" s="139">
        <v>0.301</v>
      </c>
      <c r="M8" s="3">
        <v>0.273</v>
      </c>
      <c r="N8" s="970">
        <v>0.273</v>
      </c>
      <c r="O8" s="60">
        <f t="shared" si="2"/>
        <v>0.273</v>
      </c>
      <c r="P8" s="67">
        <v>88.0</v>
      </c>
      <c r="Q8" s="69">
        <v>87.76134678554554</v>
      </c>
      <c r="R8" s="65">
        <v>2336.14</v>
      </c>
      <c r="S8" s="3">
        <v>95.0</v>
      </c>
      <c r="U8" s="67">
        <v>120.0</v>
      </c>
      <c r="V8" s="67">
        <v>1.1023</v>
      </c>
      <c r="W8" s="58">
        <v>8.0</v>
      </c>
      <c r="X8" s="58">
        <v>12.0</v>
      </c>
      <c r="Y8" s="994">
        <v>30.0</v>
      </c>
      <c r="Z8" s="69">
        <f t="shared" si="3"/>
        <v>35.4</v>
      </c>
      <c r="AA8" s="70">
        <f t="shared" si="4"/>
        <v>65.4</v>
      </c>
      <c r="AB8" s="71">
        <f t="shared" si="5"/>
        <v>410.0616335</v>
      </c>
      <c r="AC8" s="71">
        <f>+(S8-T8)*V8-'data 1'!$F$4</f>
        <v>24.7185</v>
      </c>
      <c r="AD8" s="71">
        <f t="shared" si="6"/>
        <v>-1.754812761</v>
      </c>
      <c r="AE8" s="71">
        <f>+(Y8*V8-'data 1'!$I$21)+V8*(Z8-IF(D8="UNTUCA",IF(+((W8-3)*2.5+(X8-3)*3.1)&gt;0,+((W8-3)*1.5+(X8-3)*3.1),0),IF(+((W8-3)*1.5+(X8-3)*3.1)&gt;0,+((W8-3)*1.5+(X8-3)*3.1),0)))</f>
        <v>7.487918919</v>
      </c>
      <c r="AF8" s="71">
        <f t="shared" si="7"/>
        <v>60.02861325</v>
      </c>
      <c r="AG8" s="71">
        <f t="shared" si="8"/>
        <v>90.48021941</v>
      </c>
      <c r="AH8" s="71">
        <f t="shared" si="9"/>
        <v>64.79222937</v>
      </c>
      <c r="AI8" s="58">
        <f t="shared" si="10"/>
        <v>42.47230113</v>
      </c>
      <c r="AJ8" s="70">
        <f t="shared" si="11"/>
        <v>58.92484757</v>
      </c>
      <c r="AK8" s="11">
        <f t="shared" si="12"/>
        <v>5.867381807</v>
      </c>
      <c r="AL8" s="65"/>
      <c r="AM8" s="65"/>
      <c r="AV8" s="65">
        <f t="shared" si="13"/>
        <v>2933.548121</v>
      </c>
    </row>
    <row r="9" ht="15.0" customHeight="1">
      <c r="A9" s="116" t="s">
        <v>5091</v>
      </c>
      <c r="B9" s="841">
        <v>45427.0</v>
      </c>
      <c r="C9" s="841">
        <v>45425.0</v>
      </c>
      <c r="D9" s="2" t="s">
        <v>5085</v>
      </c>
      <c r="E9" s="915"/>
      <c r="F9" s="2" t="s">
        <v>5089</v>
      </c>
      <c r="G9" s="13">
        <v>92.0</v>
      </c>
      <c r="H9" s="13" t="s">
        <v>5002</v>
      </c>
      <c r="I9" s="6">
        <v>10.26</v>
      </c>
      <c r="J9" s="58">
        <v>2.7</v>
      </c>
      <c r="K9" s="6">
        <f t="shared" si="1"/>
        <v>9.98298</v>
      </c>
      <c r="L9" s="139">
        <v>0.172</v>
      </c>
      <c r="M9" s="3">
        <v>0.163</v>
      </c>
      <c r="N9" s="970">
        <v>0.163</v>
      </c>
      <c r="O9" s="60">
        <f t="shared" si="2"/>
        <v>0.163</v>
      </c>
      <c r="P9" s="67">
        <v>88.0</v>
      </c>
      <c r="Q9" s="69">
        <v>87.17021576980133</v>
      </c>
      <c r="R9" s="65">
        <v>2336.14</v>
      </c>
      <c r="S9" s="3">
        <v>95.0</v>
      </c>
      <c r="U9" s="67">
        <v>120.0</v>
      </c>
      <c r="V9" s="67">
        <v>1.1023</v>
      </c>
      <c r="W9" s="58">
        <v>7.9</v>
      </c>
      <c r="X9" s="58">
        <v>11.9</v>
      </c>
      <c r="Y9" s="994">
        <v>30.0</v>
      </c>
      <c r="Z9" s="69">
        <f t="shared" si="3"/>
        <v>34.94</v>
      </c>
      <c r="AA9" s="70">
        <f t="shared" si="4"/>
        <v>64.94</v>
      </c>
      <c r="AB9" s="71">
        <f t="shared" si="5"/>
        <v>174.1007029</v>
      </c>
      <c r="AC9" s="71">
        <f>+(S9-T9)*V9-'data 1'!$F$4</f>
        <v>24.7185</v>
      </c>
      <c r="AD9" s="71">
        <f t="shared" si="6"/>
        <v>-3.486507661</v>
      </c>
      <c r="AE9" s="71">
        <f>+(Y9*V9-'data 1'!$I$21)+V9*(Z9-IF(D9="UNTUCA",IF(+((W9-3)*2.5+(X9-3)*3.1)&gt;0,+((W9-3)*1.5+(X9-3)*3.1),0),IF(+((W9-3)*1.5+(X9-3)*3.1)&gt;0,+((W9-3)*1.5+(X9-3)*3.1),0)))</f>
        <v>7.487918919</v>
      </c>
      <c r="AF9" s="71">
        <f t="shared" si="7"/>
        <v>19.16494735</v>
      </c>
      <c r="AG9" s="71">
        <f t="shared" si="8"/>
        <v>47.8848586</v>
      </c>
      <c r="AH9" s="71">
        <f t="shared" si="9"/>
        <v>51.31754103</v>
      </c>
      <c r="AI9" s="58">
        <f t="shared" si="10"/>
        <v>24.10641254</v>
      </c>
      <c r="AJ9" s="70">
        <f t="shared" si="11"/>
        <v>49.09525803</v>
      </c>
      <c r="AK9" s="11">
        <f t="shared" si="12"/>
        <v>2.222283001</v>
      </c>
      <c r="AL9" s="65"/>
      <c r="AM9" s="65"/>
      <c r="AV9" s="65">
        <f t="shared" si="13"/>
        <v>1738.043835</v>
      </c>
    </row>
    <row r="10" ht="15.0" customHeight="1">
      <c r="A10" s="116" t="s">
        <v>5092</v>
      </c>
      <c r="B10" s="841">
        <v>45429.0</v>
      </c>
      <c r="C10" s="841">
        <v>45427.0</v>
      </c>
      <c r="D10" s="2" t="s">
        <v>5093</v>
      </c>
      <c r="E10" s="915"/>
      <c r="F10" s="2" t="s">
        <v>5093</v>
      </c>
      <c r="G10" s="13" t="s">
        <v>4100</v>
      </c>
      <c r="H10" s="13" t="s">
        <v>5002</v>
      </c>
      <c r="I10" s="6">
        <v>28.37</v>
      </c>
      <c r="J10" s="58">
        <v>6.45</v>
      </c>
      <c r="K10" s="6">
        <f t="shared" si="1"/>
        <v>26.540135</v>
      </c>
      <c r="L10" s="139">
        <v>0.304</v>
      </c>
      <c r="M10" s="3">
        <v>0.274</v>
      </c>
      <c r="N10" s="917">
        <v>0.322</v>
      </c>
      <c r="O10" s="60">
        <v>0.3</v>
      </c>
      <c r="P10" s="934">
        <v>90.0</v>
      </c>
      <c r="Q10" s="67">
        <v>86.16</v>
      </c>
      <c r="R10" s="65">
        <v>2357.5</v>
      </c>
      <c r="S10" s="3">
        <v>120.0</v>
      </c>
      <c r="U10" s="67">
        <v>100.0</v>
      </c>
      <c r="V10" s="67">
        <v>1.1023</v>
      </c>
      <c r="W10" s="58">
        <v>7.1</v>
      </c>
      <c r="X10" s="58">
        <v>11.6</v>
      </c>
      <c r="Y10" s="994"/>
      <c r="Z10" s="69">
        <v>26.5</v>
      </c>
      <c r="AA10" s="70">
        <f t="shared" si="4"/>
        <v>26.5</v>
      </c>
      <c r="AB10" s="71">
        <f t="shared" si="5"/>
        <v>510.3924575</v>
      </c>
      <c r="AC10" s="71">
        <f>+(S10-T10)*V10-'data 1'!$F$4</f>
        <v>52.276</v>
      </c>
      <c r="AD10" s="71">
        <f t="shared" si="6"/>
        <v>-29.04907945</v>
      </c>
      <c r="AE10" s="71">
        <f>+(Y10*V10-'data 1'!$I$21)+V10*(Z10-IF(D10="UNTUCA",IF(+((W10-3)*2.5+(X10-3)*3.1)&gt;0,+((W10-3)*1.5+(X10-3)*3.1),0),IF(+((W10-3)*1.5+(X10-3)*3.1)&gt;0,+((W10-3)*1.5+(X10-3)*3.1),0)))</f>
        <v>-32.53659408</v>
      </c>
      <c r="AF10" s="71">
        <f t="shared" si="7"/>
        <v>8.57616737</v>
      </c>
      <c r="AG10" s="71">
        <f t="shared" si="8"/>
        <v>-0.7335061603</v>
      </c>
      <c r="AH10" s="71">
        <f t="shared" si="9"/>
        <v>238.3370013</v>
      </c>
      <c r="AI10" s="58">
        <f t="shared" si="10"/>
        <v>30.17139369</v>
      </c>
      <c r="AJ10" s="70">
        <f t="shared" si="11"/>
        <v>245.6834834</v>
      </c>
      <c r="AK10" s="11">
        <f t="shared" si="12"/>
        <v>-7.346482117</v>
      </c>
      <c r="AL10" s="65" t="s">
        <v>5094</v>
      </c>
      <c r="AM10" s="65"/>
      <c r="AV10" s="65">
        <f t="shared" si="13"/>
        <v>13545.88473</v>
      </c>
    </row>
    <row r="11" ht="15.0" customHeight="1">
      <c r="A11" s="116" t="s">
        <v>5095</v>
      </c>
      <c r="B11" s="841">
        <v>45429.0</v>
      </c>
      <c r="C11" s="841">
        <v>45429.0</v>
      </c>
      <c r="D11" s="2" t="s">
        <v>5093</v>
      </c>
      <c r="E11" s="915"/>
      <c r="F11" s="2" t="s">
        <v>5093</v>
      </c>
      <c r="G11" s="13"/>
      <c r="H11" s="13" t="s">
        <v>5002</v>
      </c>
      <c r="I11" s="6">
        <v>8.53</v>
      </c>
      <c r="J11" s="58">
        <v>7.8</v>
      </c>
      <c r="K11" s="6">
        <f t="shared" si="1"/>
        <v>7.86466</v>
      </c>
      <c r="L11" s="139">
        <v>0.32599999999999996</v>
      </c>
      <c r="M11" s="60">
        <v>0.313</v>
      </c>
      <c r="N11" s="191">
        <v>0.363</v>
      </c>
      <c r="O11" s="60">
        <f>+ROUND((M11+N11)/2,3)</f>
        <v>0.338</v>
      </c>
      <c r="P11" s="67">
        <v>88.0</v>
      </c>
      <c r="Q11" s="995">
        <v>85.88050655324236</v>
      </c>
      <c r="R11" s="65">
        <v>2357.5</v>
      </c>
      <c r="S11" s="3">
        <v>130.0</v>
      </c>
      <c r="U11" s="67">
        <v>120.0</v>
      </c>
      <c r="V11" s="67">
        <v>1.1023</v>
      </c>
      <c r="W11" s="58">
        <v>7.8</v>
      </c>
      <c r="X11" s="58">
        <v>7.86466</v>
      </c>
      <c r="Y11" s="994">
        <v>30.0</v>
      </c>
      <c r="Z11" s="69">
        <f t="shared" ref="Z11:Z49" si="14">IF(D11="UNTUCA",IF(+((W11-3)*1.5+(X11-3)*3.1)&gt;0,+((W11-3)*1.5+(X11-3)*3.1),0),IF(+((W11-3)*1.5+(X11-3)*3.1)&gt;0,+((W11-3)*1.5+(X11-3)*3.1),0))</f>
        <v>22.280446</v>
      </c>
      <c r="AA11" s="70">
        <f t="shared" si="4"/>
        <v>52.280446</v>
      </c>
      <c r="AB11" s="71">
        <f t="shared" si="5"/>
        <v>532.677165</v>
      </c>
      <c r="AC11" s="71">
        <f>+(S11-T11)*V11-'data 1'!$F$4</f>
        <v>63.299</v>
      </c>
      <c r="AD11" s="71">
        <f t="shared" si="6"/>
        <v>-17.04168485</v>
      </c>
      <c r="AE11" s="71">
        <f>+(Y11*V11-'data 1'!$I$21)+V11*(Z11-IF(D11="UNTUCA",IF(+((W11-3)*2.5+(X11-3)*3.1)&gt;0,+((W11-3)*1.5+(X11-3)*3.1),0),IF(+((W11-3)*1.5+(X11-3)*3.1)&gt;0,+((W11-3)*1.5+(X11-3)*3.1),0)))</f>
        <v>7.487918919</v>
      </c>
      <c r="AF11" s="71">
        <f t="shared" si="7"/>
        <v>-25.41784312</v>
      </c>
      <c r="AG11" s="71">
        <f t="shared" si="8"/>
        <v>28.32739096</v>
      </c>
      <c r="AH11" s="71">
        <f t="shared" si="9"/>
        <v>75.49205001</v>
      </c>
      <c r="AI11" s="58">
        <f t="shared" si="10"/>
        <v>38.42212285</v>
      </c>
      <c r="AJ11" s="70">
        <f t="shared" si="11"/>
        <v>80.20259012</v>
      </c>
      <c r="AK11" s="11">
        <f t="shared" si="12"/>
        <v>-4.710540105</v>
      </c>
      <c r="AL11" s="65" t="s">
        <v>5096</v>
      </c>
      <c r="AM11" s="65"/>
      <c r="AV11" s="65">
        <f t="shared" si="13"/>
        <v>4189.324792</v>
      </c>
    </row>
    <row r="12" ht="15.0" customHeight="1">
      <c r="A12" s="116" t="s">
        <v>5097</v>
      </c>
      <c r="B12" s="932">
        <v>45429.0</v>
      </c>
      <c r="C12" s="932">
        <v>45429.0</v>
      </c>
      <c r="D12" s="68" t="s">
        <v>5093</v>
      </c>
      <c r="E12" s="972"/>
      <c r="F12" s="68" t="s">
        <v>5093</v>
      </c>
      <c r="G12" s="19"/>
      <c r="H12" s="19" t="s">
        <v>5002</v>
      </c>
      <c r="I12" s="145">
        <v>3.29</v>
      </c>
      <c r="J12" s="130">
        <v>11.15</v>
      </c>
      <c r="K12" s="145">
        <f t="shared" si="1"/>
        <v>2.923165</v>
      </c>
      <c r="L12" s="973">
        <v>0.265</v>
      </c>
      <c r="M12" s="61">
        <v>0.23850000000000002</v>
      </c>
      <c r="N12" s="973">
        <v>0.27</v>
      </c>
      <c r="O12" s="61">
        <v>0.255</v>
      </c>
      <c r="P12" s="68">
        <v>88.0</v>
      </c>
      <c r="Q12" s="996">
        <v>85.14745020238236</v>
      </c>
      <c r="R12" s="433">
        <v>2357.5</v>
      </c>
      <c r="S12" s="143">
        <v>120.0</v>
      </c>
      <c r="T12" s="68"/>
      <c r="U12" s="68">
        <v>120.0</v>
      </c>
      <c r="V12" s="68">
        <v>1.1023</v>
      </c>
      <c r="W12" s="130">
        <v>11.15</v>
      </c>
      <c r="X12" s="130">
        <v>2.923165</v>
      </c>
      <c r="Y12" s="976">
        <v>30.0</v>
      </c>
      <c r="Z12" s="130">
        <f t="shared" si="14"/>
        <v>11.9868115</v>
      </c>
      <c r="AA12" s="433">
        <f t="shared" si="4"/>
        <v>41.9868115</v>
      </c>
      <c r="AB12" s="108">
        <f t="shared" si="5"/>
        <v>374.9012562</v>
      </c>
      <c r="AC12" s="108">
        <f>+(S12-T12)*V12-'data 1'!$F$4</f>
        <v>52.276</v>
      </c>
      <c r="AD12" s="108">
        <f t="shared" si="6"/>
        <v>-18.64412303</v>
      </c>
      <c r="AE12" s="108">
        <f>+(Y12*V12-'data 1'!$I$21)+V12*(Z12-IF(D12="UNTUCA",IF(+((W12-3)*2.5+(X12-3)*3.1)&gt;0,+((W12-3)*1.5+(X12-3)*3.1),0),IF(+((W12-3)*1.5+(X12-3)*3.1)&gt;0,+((W12-3)*1.5+(X12-3)*3.1),0)))</f>
        <v>7.487918919</v>
      </c>
      <c r="AF12" s="108">
        <f t="shared" si="7"/>
        <v>21.00073519</v>
      </c>
      <c r="AG12" s="108">
        <f t="shared" si="8"/>
        <v>62.12053108</v>
      </c>
      <c r="AH12" s="108">
        <f t="shared" si="9"/>
        <v>22.61413188</v>
      </c>
      <c r="AI12" s="130">
        <f t="shared" si="10"/>
        <v>30.96611199</v>
      </c>
      <c r="AJ12" s="433">
        <f t="shared" si="11"/>
        <v>22.48978232</v>
      </c>
      <c r="AK12" s="933">
        <f t="shared" si="12"/>
        <v>0.124349558</v>
      </c>
      <c r="AL12" s="65" t="s">
        <v>5096</v>
      </c>
      <c r="AM12" s="65"/>
      <c r="AN12" s="68"/>
      <c r="AO12" s="68"/>
      <c r="AP12" s="68"/>
      <c r="AQ12" s="68"/>
      <c r="AR12" s="68"/>
      <c r="AS12" s="68"/>
      <c r="AT12" s="68"/>
      <c r="AV12" s="65">
        <f t="shared" si="13"/>
        <v>1095.898231</v>
      </c>
    </row>
    <row r="13" ht="15.0" customHeight="1">
      <c r="A13" s="116" t="s">
        <v>5098</v>
      </c>
      <c r="B13" s="932">
        <v>45429.0</v>
      </c>
      <c r="C13" s="932">
        <v>45429.0</v>
      </c>
      <c r="D13" s="68" t="s">
        <v>5093</v>
      </c>
      <c r="E13" s="972"/>
      <c r="F13" s="68" t="s">
        <v>5093</v>
      </c>
      <c r="G13" s="19"/>
      <c r="H13" s="19" t="s">
        <v>5002</v>
      </c>
      <c r="I13" s="145">
        <v>8.18</v>
      </c>
      <c r="J13" s="130">
        <v>9.95</v>
      </c>
      <c r="K13" s="145">
        <f t="shared" si="1"/>
        <v>7.36609</v>
      </c>
      <c r="L13" s="973">
        <v>0.3395</v>
      </c>
      <c r="M13" s="61">
        <v>0.2716</v>
      </c>
      <c r="N13" s="478">
        <v>0.382</v>
      </c>
      <c r="O13" s="61">
        <v>0.328</v>
      </c>
      <c r="P13" s="68">
        <v>88.0</v>
      </c>
      <c r="Q13" s="996">
        <v>85.5429918388748</v>
      </c>
      <c r="R13" s="433">
        <v>2357.5</v>
      </c>
      <c r="S13" s="143">
        <v>120.0</v>
      </c>
      <c r="T13" s="68"/>
      <c r="U13" s="68">
        <v>120.0</v>
      </c>
      <c r="V13" s="68">
        <v>1.1023</v>
      </c>
      <c r="W13" s="130">
        <v>9.95</v>
      </c>
      <c r="X13" s="130">
        <v>7.36609</v>
      </c>
      <c r="Y13" s="976">
        <v>30.0</v>
      </c>
      <c r="Z13" s="130">
        <f t="shared" si="14"/>
        <v>23.959879</v>
      </c>
      <c r="AA13" s="433">
        <f t="shared" si="4"/>
        <v>53.959879</v>
      </c>
      <c r="AB13" s="108">
        <f t="shared" si="5"/>
        <v>520.144639</v>
      </c>
      <c r="AC13" s="108">
        <f>+(S13-T13)*V13-'data 1'!$F$4</f>
        <v>52.276</v>
      </c>
      <c r="AD13" s="108">
        <f t="shared" si="6"/>
        <v>-20.57354965</v>
      </c>
      <c r="AE13" s="108">
        <f>+(Y13*V13-'data 1'!$I$21)+V13*(Z13-IF(D13="UNTUCA",IF(+((W13-3)*2.5+(X13-3)*3.1)&gt;0,+((W13-3)*1.5+(X13-3)*3.1),0),IF(+((W13-3)*1.5+(X13-3)*3.1)&gt;0,+((W13-3)*1.5+(X13-3)*3.1),0)))</f>
        <v>7.487918919</v>
      </c>
      <c r="AF13" s="108">
        <f t="shared" si="7"/>
        <v>24.26303514</v>
      </c>
      <c r="AG13" s="108">
        <f t="shared" si="8"/>
        <v>63.45340441</v>
      </c>
      <c r="AH13" s="108">
        <f t="shared" si="9"/>
        <v>73.34496475</v>
      </c>
      <c r="AI13" s="130">
        <f t="shared" si="10"/>
        <v>39.85596905</v>
      </c>
      <c r="AJ13" s="433">
        <f t="shared" si="11"/>
        <v>72.89581669</v>
      </c>
      <c r="AK13" s="933">
        <f t="shared" si="12"/>
        <v>0.4491480627</v>
      </c>
      <c r="AL13" s="65" t="s">
        <v>5096</v>
      </c>
      <c r="AM13" s="65"/>
      <c r="AN13" s="68"/>
      <c r="AO13" s="68"/>
      <c r="AP13" s="68"/>
      <c r="AQ13" s="68"/>
      <c r="AR13" s="68"/>
      <c r="AS13" s="68"/>
      <c r="AT13" s="68"/>
      <c r="AV13" s="65">
        <f t="shared" si="13"/>
        <v>3831.432224</v>
      </c>
    </row>
    <row r="14" ht="15.0" customHeight="1">
      <c r="A14" s="116" t="s">
        <v>5099</v>
      </c>
      <c r="B14" s="841">
        <v>45429.0</v>
      </c>
      <c r="C14" s="841">
        <v>45429.0</v>
      </c>
      <c r="D14" s="2" t="s">
        <v>5093</v>
      </c>
      <c r="E14" s="915"/>
      <c r="F14" s="2" t="s">
        <v>5093</v>
      </c>
      <c r="G14" s="13"/>
      <c r="H14" s="13" t="s">
        <v>5002</v>
      </c>
      <c r="I14" s="6">
        <v>1.55</v>
      </c>
      <c r="J14" s="58">
        <v>12.3</v>
      </c>
      <c r="K14" s="6">
        <f t="shared" si="1"/>
        <v>1.35935</v>
      </c>
      <c r="L14" s="139">
        <v>0.11599999999999999</v>
      </c>
      <c r="M14" s="60">
        <v>0.11</v>
      </c>
      <c r="N14" s="968">
        <v>0.11</v>
      </c>
      <c r="O14" s="61">
        <f>+ROUND((M14+N14)/2,3)</f>
        <v>0.11</v>
      </c>
      <c r="P14" s="2">
        <v>85.0</v>
      </c>
      <c r="Q14" s="995">
        <v>81.12639069811131</v>
      </c>
      <c r="R14" s="65">
        <v>2357.5</v>
      </c>
      <c r="S14" s="3">
        <v>110.0</v>
      </c>
      <c r="U14" s="67">
        <v>120.0</v>
      </c>
      <c r="V14" s="67">
        <v>1.1023</v>
      </c>
      <c r="W14" s="58">
        <v>12.3</v>
      </c>
      <c r="X14" s="58">
        <v>1.35935</v>
      </c>
      <c r="Y14" s="994">
        <v>30.0</v>
      </c>
      <c r="Z14" s="69">
        <f t="shared" si="14"/>
        <v>8.863985</v>
      </c>
      <c r="AA14" s="70">
        <f t="shared" si="4"/>
        <v>38.863985</v>
      </c>
      <c r="AB14" s="71">
        <f t="shared" si="5"/>
        <v>66.51527871</v>
      </c>
      <c r="AC14" s="71">
        <f>+(S14-T14)*V14-'data 1'!$F$4</f>
        <v>41.253</v>
      </c>
      <c r="AD14" s="71">
        <f t="shared" si="6"/>
        <v>-11.08247233</v>
      </c>
      <c r="AE14" s="71">
        <f>+(Y14*V14-'data 1'!$I$21)+V14*(Z14-IF(D14="UNTUCA",IF(+((W14-3)*2.5+(X14-3)*3.1)&gt;0,+((W14-3)*1.5+(X14-3)*3.1),0),IF(+((W14-3)*1.5+(X14-3)*3.1)&gt;0,+((W14-3)*1.5+(X14-3)*3.1),0)))</f>
        <v>7.487918919</v>
      </c>
      <c r="AF14" s="71">
        <f t="shared" si="7"/>
        <v>12.00538955</v>
      </c>
      <c r="AG14" s="71">
        <f t="shared" si="8"/>
        <v>49.66383614</v>
      </c>
      <c r="AH14" s="71">
        <f t="shared" si="9"/>
        <v>4.38591797</v>
      </c>
      <c r="AI14" s="58">
        <f t="shared" si="10"/>
        <v>12.91484811</v>
      </c>
      <c r="AJ14" s="70">
        <f t="shared" si="11"/>
        <v>4.35764625</v>
      </c>
      <c r="AK14" s="11">
        <f t="shared" si="12"/>
        <v>0.02827171956</v>
      </c>
      <c r="AL14" s="65" t="s">
        <v>5096</v>
      </c>
      <c r="AM14" s="65"/>
      <c r="AV14" s="65">
        <f t="shared" si="13"/>
        <v>90.41754411</v>
      </c>
    </row>
    <row r="15" ht="15.0" customHeight="1">
      <c r="A15" s="116" t="s">
        <v>5100</v>
      </c>
      <c r="B15" s="932">
        <v>45429.0</v>
      </c>
      <c r="C15" s="932">
        <v>45429.0</v>
      </c>
      <c r="D15" s="68" t="s">
        <v>5101</v>
      </c>
      <c r="E15" s="972"/>
      <c r="F15" s="68" t="s">
        <v>5093</v>
      </c>
      <c r="G15" s="19"/>
      <c r="H15" s="19" t="s">
        <v>5002</v>
      </c>
      <c r="I15" s="145">
        <v>9.44</v>
      </c>
      <c r="J15" s="130">
        <v>6.65</v>
      </c>
      <c r="K15" s="145">
        <f t="shared" si="1"/>
        <v>8.81224</v>
      </c>
      <c r="L15" s="973">
        <v>0.2175</v>
      </c>
      <c r="M15" s="61">
        <v>0.1914</v>
      </c>
      <c r="N15" s="478">
        <v>0.271</v>
      </c>
      <c r="O15" s="61">
        <v>0.233</v>
      </c>
      <c r="P15" s="68">
        <v>88.0</v>
      </c>
      <c r="Q15" s="130">
        <v>85.60323226430855</v>
      </c>
      <c r="R15" s="433">
        <v>2357.5</v>
      </c>
      <c r="S15" s="143">
        <v>110.0</v>
      </c>
      <c r="T15" s="68"/>
      <c r="U15" s="68">
        <v>120.0</v>
      </c>
      <c r="V15" s="68">
        <v>1.1023</v>
      </c>
      <c r="W15" s="130">
        <v>6.65</v>
      </c>
      <c r="X15" s="130">
        <v>8.81224</v>
      </c>
      <c r="Y15" s="976">
        <v>30.0</v>
      </c>
      <c r="Z15" s="130">
        <f t="shared" si="14"/>
        <v>23.492944</v>
      </c>
      <c r="AA15" s="433">
        <f t="shared" si="4"/>
        <v>53.492944</v>
      </c>
      <c r="AB15" s="108">
        <f t="shared" si="5"/>
        <v>325.4916149</v>
      </c>
      <c r="AC15" s="108">
        <f>+(S15-T15)*V15-'data 1'!$F$4</f>
        <v>41.253</v>
      </c>
      <c r="AD15" s="108">
        <f t="shared" si="6"/>
        <v>-12.85724923</v>
      </c>
      <c r="AE15" s="108">
        <f>+(Y15*V15-'data 1'!$I$21)+V15*(Z15-IF(D15="UNTUCA",IF(+((W15-3)*2.5+(X15-3)*3.1)&gt;0,+((W15-3)*1.5+(X15-3)*3.1),0),IF(+((W15-3)*1.5+(X15-3)*3.1)&gt;0,+((W15-3)*1.5+(X15-3)*3.1),0)))</f>
        <v>7.487918919</v>
      </c>
      <c r="AF15" s="108">
        <f t="shared" si="7"/>
        <v>-32.72538111</v>
      </c>
      <c r="AG15" s="108">
        <f t="shared" si="8"/>
        <v>3.158288579</v>
      </c>
      <c r="AH15" s="108">
        <f t="shared" si="9"/>
        <v>56.25288627</v>
      </c>
      <c r="AI15" s="130">
        <f t="shared" si="10"/>
        <v>25.55162844</v>
      </c>
      <c r="AJ15" s="433">
        <f t="shared" si="11"/>
        <v>61.94895418</v>
      </c>
      <c r="AK15" s="933">
        <f t="shared" si="12"/>
        <v>-5.696067908</v>
      </c>
      <c r="AL15" s="65" t="s">
        <v>5096</v>
      </c>
      <c r="AM15" s="65"/>
      <c r="AN15" s="68"/>
      <c r="AO15" s="68"/>
      <c r="AP15" s="68"/>
      <c r="AQ15" s="68"/>
      <c r="AR15" s="68"/>
      <c r="AS15" s="68"/>
      <c r="AT15" s="68"/>
      <c r="AV15" s="65">
        <f t="shared" si="13"/>
        <v>2868.310229</v>
      </c>
    </row>
    <row r="16" ht="15.0" customHeight="1">
      <c r="A16" s="116" t="s">
        <v>5102</v>
      </c>
      <c r="B16" s="841">
        <v>45446.0</v>
      </c>
      <c r="C16" s="841">
        <v>45438.0</v>
      </c>
      <c r="D16" s="2" t="s">
        <v>602</v>
      </c>
      <c r="E16" s="915"/>
      <c r="F16" s="67" t="s">
        <v>5058</v>
      </c>
      <c r="G16" s="916">
        <v>135.0</v>
      </c>
      <c r="H16" s="916" t="s">
        <v>47</v>
      </c>
      <c r="I16" s="59">
        <v>13.03</v>
      </c>
      <c r="J16" s="69">
        <v>1.1</v>
      </c>
      <c r="K16" s="6">
        <f t="shared" si="1"/>
        <v>12.88667</v>
      </c>
      <c r="L16" s="405">
        <v>0.721</v>
      </c>
      <c r="M16" s="134">
        <v>0.692</v>
      </c>
      <c r="N16" s="134">
        <v>0.692</v>
      </c>
      <c r="O16" s="60">
        <f t="shared" ref="O16:O73" si="15">+ROUND((M16+N16)/2,3)</f>
        <v>0.692</v>
      </c>
      <c r="P16" s="69">
        <v>89.5</v>
      </c>
      <c r="Q16" s="67">
        <v>87.16</v>
      </c>
      <c r="R16" s="70">
        <v>2332.28</v>
      </c>
      <c r="S16" s="134">
        <v>140.0</v>
      </c>
      <c r="T16" s="67"/>
      <c r="U16" s="67">
        <v>120.0</v>
      </c>
      <c r="V16" s="67">
        <v>1.1023</v>
      </c>
      <c r="W16" s="69">
        <v>7.9</v>
      </c>
      <c r="X16" s="69">
        <v>11.7</v>
      </c>
      <c r="Y16" s="934">
        <v>30.0</v>
      </c>
      <c r="Z16" s="69">
        <f t="shared" si="14"/>
        <v>34.32</v>
      </c>
      <c r="AA16" s="70">
        <f t="shared" si="4"/>
        <v>64.32</v>
      </c>
      <c r="AB16" s="71">
        <f t="shared" si="5"/>
        <v>1285.098262</v>
      </c>
      <c r="AC16" s="71">
        <f>+(S16-T16)*V16-'data 1'!$F$4</f>
        <v>74.322</v>
      </c>
      <c r="AD16" s="71">
        <f t="shared" si="6"/>
        <v>-41.14253267</v>
      </c>
      <c r="AE16" s="71">
        <f>+(Y16*V16-'data 1'!$I$21)+V16*(Z16-IF(D16="UNTUCA",IF(+((W16-3)*2.5+(X16-3)*3.1)&gt;0,+((W16-3)*1.5+(X16-3)*3.1),0),IF(+((W16-3)*1.5+(X16-3)*3.1)&gt;0,+((W16-3)*1.5+(X16-3)*3.1),0)))</f>
        <v>7.487918919</v>
      </c>
      <c r="AF16" s="71">
        <f t="shared" si="7"/>
        <v>61.6389341</v>
      </c>
      <c r="AG16" s="71">
        <f t="shared" si="8"/>
        <v>102.3063203</v>
      </c>
      <c r="AH16" s="71">
        <f t="shared" si="9"/>
        <v>277.6529313</v>
      </c>
      <c r="AI16" s="58">
        <f t="shared" ref="AI16:AI19" si="16">+((+$AI$2-R16+U17)*L16*Q16*V16)/100</f>
        <v>103.712741</v>
      </c>
      <c r="AJ16" s="69">
        <f t="shared" si="11"/>
        <v>273.6395744</v>
      </c>
      <c r="AK16" s="53">
        <f t="shared" si="12"/>
        <v>4.013356861</v>
      </c>
      <c r="AL16" s="70"/>
      <c r="AM16" s="70"/>
      <c r="AN16" s="67"/>
      <c r="AO16" s="67"/>
      <c r="AP16" s="67"/>
      <c r="AQ16" s="67"/>
      <c r="AR16" s="67"/>
      <c r="AS16" s="67"/>
      <c r="AT16" s="70">
        <f t="shared" ref="AT16:AT17" si="17">+AB16*K16*1.18</f>
        <v>19541.55192</v>
      </c>
      <c r="AV16" s="65">
        <f t="shared" si="13"/>
        <v>16560.63722</v>
      </c>
    </row>
    <row r="17" ht="15.0" customHeight="1">
      <c r="A17" s="116" t="s">
        <v>5103</v>
      </c>
      <c r="B17" s="841">
        <v>45446.0</v>
      </c>
      <c r="C17" s="841">
        <v>45438.0</v>
      </c>
      <c r="D17" s="2" t="s">
        <v>602</v>
      </c>
      <c r="E17" s="915"/>
      <c r="F17" s="67" t="s">
        <v>5058</v>
      </c>
      <c r="G17" s="916">
        <v>136.0</v>
      </c>
      <c r="H17" s="916" t="s">
        <v>47</v>
      </c>
      <c r="I17" s="59">
        <v>12.64</v>
      </c>
      <c r="J17" s="69">
        <v>1.0</v>
      </c>
      <c r="K17" s="6">
        <f t="shared" si="1"/>
        <v>12.5136</v>
      </c>
      <c r="L17" s="405">
        <v>0.927</v>
      </c>
      <c r="M17" s="106">
        <v>0.89</v>
      </c>
      <c r="N17" s="917">
        <v>1.064</v>
      </c>
      <c r="O17" s="60">
        <f t="shared" si="15"/>
        <v>0.977</v>
      </c>
      <c r="P17" s="69">
        <v>87.5</v>
      </c>
      <c r="Q17" s="67">
        <v>87.09</v>
      </c>
      <c r="R17" s="70">
        <v>2332.28</v>
      </c>
      <c r="S17" s="134">
        <v>170.0</v>
      </c>
      <c r="T17" s="67"/>
      <c r="U17" s="67">
        <v>120.0</v>
      </c>
      <c r="V17" s="67">
        <v>1.1023</v>
      </c>
      <c r="W17" s="69">
        <v>7.9</v>
      </c>
      <c r="X17" s="69">
        <v>11.8</v>
      </c>
      <c r="Y17" s="934">
        <v>90.0</v>
      </c>
      <c r="Z17" s="69">
        <f t="shared" si="14"/>
        <v>34.63</v>
      </c>
      <c r="AA17" s="70">
        <f t="shared" si="4"/>
        <v>124.63</v>
      </c>
      <c r="AB17" s="71">
        <f t="shared" si="5"/>
        <v>1759.924315</v>
      </c>
      <c r="AC17" s="71">
        <f>+(S17-T17)*V17-'data 1'!$F$4</f>
        <v>107.391</v>
      </c>
      <c r="AD17" s="71">
        <f t="shared" si="6"/>
        <v>-9.268372745</v>
      </c>
      <c r="AE17" s="71">
        <f>+(Y17*V17-'data 1'!$I$21)+V17*(Z17-IF(D17="UNTUCA",IF(+((W17-3)*2.5+(X17-3)*3.1)&gt;0,+((W17-3)*1.5+(X17-3)*3.1),0),IF(+((W17-3)*1.5+(X17-3)*3.1)&gt;0,+((W17-3)*1.5+(X17-3)*3.1),0)))</f>
        <v>73.62591892</v>
      </c>
      <c r="AF17" s="71">
        <f t="shared" si="7"/>
        <v>-106.1886734</v>
      </c>
      <c r="AG17" s="71">
        <f t="shared" si="8"/>
        <v>65.55987273</v>
      </c>
      <c r="AH17" s="71">
        <f t="shared" si="9"/>
        <v>346.3692766</v>
      </c>
      <c r="AI17" s="58">
        <f t="shared" si="16"/>
        <v>133.2378606</v>
      </c>
      <c r="AJ17" s="69">
        <f t="shared" si="11"/>
        <v>366.7701261</v>
      </c>
      <c r="AK17" s="53">
        <f t="shared" si="12"/>
        <v>-20.40084952</v>
      </c>
      <c r="AL17" s="70" t="s">
        <v>5104</v>
      </c>
      <c r="AM17" s="70"/>
      <c r="AN17" s="67"/>
      <c r="AO17" s="67"/>
      <c r="AP17" s="67"/>
      <c r="AQ17" s="67"/>
      <c r="AR17" s="67"/>
      <c r="AS17" s="67"/>
      <c r="AT17" s="70">
        <f t="shared" si="17"/>
        <v>25987.12691</v>
      </c>
      <c r="AV17" s="65">
        <f t="shared" si="13"/>
        <v>22022.98891</v>
      </c>
    </row>
    <row r="18" ht="15.0" customHeight="1">
      <c r="A18" s="116" t="s">
        <v>5105</v>
      </c>
      <c r="B18" s="841">
        <v>45441.0</v>
      </c>
      <c r="C18" s="841">
        <v>45438.0</v>
      </c>
      <c r="D18" s="2" t="s">
        <v>4466</v>
      </c>
      <c r="E18" s="915"/>
      <c r="F18" s="67" t="s">
        <v>5106</v>
      </c>
      <c r="G18" s="916">
        <v>25.0</v>
      </c>
      <c r="H18" s="916" t="s">
        <v>5107</v>
      </c>
      <c r="I18" s="59">
        <v>1.83</v>
      </c>
      <c r="J18" s="69">
        <v>28.9</v>
      </c>
      <c r="K18" s="6">
        <f t="shared" si="1"/>
        <v>1.30113</v>
      </c>
      <c r="L18" s="405">
        <v>1.896</v>
      </c>
      <c r="M18" s="134">
        <v>1.801</v>
      </c>
      <c r="N18" s="191">
        <v>2.003</v>
      </c>
      <c r="O18" s="75">
        <f t="shared" si="15"/>
        <v>1.902</v>
      </c>
      <c r="P18" s="69">
        <v>85.0</v>
      </c>
      <c r="Q18" s="995">
        <v>80.3</v>
      </c>
      <c r="R18" s="70">
        <v>2332.28</v>
      </c>
      <c r="S18" s="134">
        <v>280.0</v>
      </c>
      <c r="T18" s="69"/>
      <c r="U18" s="67">
        <v>120.0</v>
      </c>
      <c r="V18" s="67">
        <v>1.1023</v>
      </c>
      <c r="W18" s="69">
        <v>8.0</v>
      </c>
      <c r="X18" s="69">
        <v>13.1</v>
      </c>
      <c r="Y18" s="934">
        <v>30.0</v>
      </c>
      <c r="Z18" s="69">
        <f t="shared" si="14"/>
        <v>38.81</v>
      </c>
      <c r="AA18" s="70">
        <f t="shared" si="4"/>
        <v>68.81</v>
      </c>
      <c r="AB18" s="71">
        <f t="shared" si="5"/>
        <v>3557.985285</v>
      </c>
      <c r="AC18" s="71">
        <f>+(S18-T18)*V18-'data 1'!$F$4</f>
        <v>228.644</v>
      </c>
      <c r="AD18" s="71">
        <f t="shared" si="6"/>
        <v>-217.3081885</v>
      </c>
      <c r="AE18" s="71">
        <f>+(Y18*V18-'data 1'!$I$21)+V18*(Z18-IF(D18="UNTUCA",IF(+((W18-3)*2.5+(X18-3)*3.1)&gt;0,+((W18-3)*1.5+(X18-3)*3.1),0),IF(+((W18-3)*1.5+(X18-3)*3.1)&gt;0,+((W18-3)*1.5+(X18-3)*3.1),0)))</f>
        <v>7.487918919</v>
      </c>
      <c r="AF18" s="71">
        <f t="shared" si="7"/>
        <v>-11.7491567</v>
      </c>
      <c r="AG18" s="71">
        <f t="shared" si="8"/>
        <v>7.07457372</v>
      </c>
      <c r="AH18" s="71">
        <f t="shared" si="9"/>
        <v>67.91780442</v>
      </c>
      <c r="AI18" s="58">
        <f t="shared" si="16"/>
        <v>251.2658716</v>
      </c>
      <c r="AJ18" s="69">
        <f t="shared" si="11"/>
        <v>72.1205779</v>
      </c>
      <c r="AK18" s="53">
        <f t="shared" si="12"/>
        <v>-4.20277348</v>
      </c>
      <c r="AL18" s="65"/>
      <c r="AM18" s="70"/>
      <c r="AN18" s="67"/>
      <c r="AO18" s="67"/>
      <c r="AP18" s="67"/>
      <c r="AQ18" s="67"/>
      <c r="AR18" s="67"/>
      <c r="AS18" s="67"/>
      <c r="AT18" s="67"/>
      <c r="AV18" s="65">
        <f t="shared" si="13"/>
        <v>4629.401393</v>
      </c>
    </row>
    <row r="19" ht="15.75" customHeight="1">
      <c r="A19" s="116" t="s">
        <v>5108</v>
      </c>
      <c r="B19" s="870">
        <v>45463.0</v>
      </c>
      <c r="C19" s="870">
        <v>45438.0</v>
      </c>
      <c r="D19" s="2" t="s">
        <v>4466</v>
      </c>
      <c r="E19" s="915"/>
      <c r="F19" s="67" t="s">
        <v>5109</v>
      </c>
      <c r="G19" s="13">
        <v>5.0</v>
      </c>
      <c r="H19" s="13" t="s">
        <v>5107</v>
      </c>
      <c r="I19" s="6">
        <v>0.49</v>
      </c>
      <c r="J19" s="58">
        <v>26.5</v>
      </c>
      <c r="K19" s="6">
        <f t="shared" si="1"/>
        <v>0.36015</v>
      </c>
      <c r="L19" s="139">
        <v>1.624</v>
      </c>
      <c r="M19" s="3">
        <v>1.605</v>
      </c>
      <c r="N19" s="969">
        <v>1.62</v>
      </c>
      <c r="O19" s="60">
        <f t="shared" si="15"/>
        <v>1.613</v>
      </c>
      <c r="P19" s="69">
        <v>87.5</v>
      </c>
      <c r="Q19" s="997">
        <v>80.57</v>
      </c>
      <c r="R19" s="65">
        <v>2332.28</v>
      </c>
      <c r="S19" s="3">
        <v>230.0</v>
      </c>
      <c r="U19" s="67">
        <v>120.0</v>
      </c>
      <c r="V19" s="67">
        <v>1.1023</v>
      </c>
      <c r="W19" s="58">
        <v>8.0</v>
      </c>
      <c r="X19" s="58">
        <v>13.0</v>
      </c>
      <c r="Y19" s="934">
        <v>30.0</v>
      </c>
      <c r="Z19" s="69">
        <f t="shared" si="14"/>
        <v>38.5</v>
      </c>
      <c r="AA19" s="70">
        <f t="shared" si="4"/>
        <v>68.5</v>
      </c>
      <c r="AB19" s="71">
        <f t="shared" si="5"/>
        <v>3112.737224</v>
      </c>
      <c r="AC19" s="71">
        <f>+(S19-T19)*V19-'data 1'!$F$4</f>
        <v>173.529</v>
      </c>
      <c r="AD19" s="71">
        <f t="shared" si="6"/>
        <v>-274.4474248</v>
      </c>
      <c r="AE19" s="71">
        <f>+(Y19*V19-'data 1'!$I$21)+V19*(Z19-IF(D19="UNTUCA",IF(+((W19-3)*2.5+(X19-3)*3.1)&gt;0,+((W19-3)*1.5+(X19-3)*3.1),0),IF(+((W19-3)*1.5+(X19-3)*3.1)&gt;0,+((W19-3)*1.5+(X19-3)*3.1),0)))</f>
        <v>7.487918919</v>
      </c>
      <c r="AF19" s="71">
        <f t="shared" si="7"/>
        <v>21.61254693</v>
      </c>
      <c r="AG19" s="71">
        <f t="shared" si="8"/>
        <v>-71.81795896</v>
      </c>
      <c r="AH19" s="71">
        <f t="shared" si="9"/>
        <v>16.15667083</v>
      </c>
      <c r="AI19" s="58">
        <f t="shared" si="16"/>
        <v>215.9429423</v>
      </c>
      <c r="AJ19" s="70">
        <f t="shared" si="11"/>
        <v>17.42749267</v>
      </c>
      <c r="AK19" s="11">
        <f t="shared" si="12"/>
        <v>-1.270821841</v>
      </c>
      <c r="AL19" s="65" t="s">
        <v>5110</v>
      </c>
      <c r="AM19" s="65"/>
      <c r="AN19" s="65"/>
      <c r="AT19" s="70">
        <f>+AB19*K19*1.18</f>
        <v>1322.841727</v>
      </c>
      <c r="AV19" s="65">
        <f t="shared" si="13"/>
        <v>1121.052311</v>
      </c>
    </row>
    <row r="20" ht="15.75" customHeight="1">
      <c r="A20" s="116" t="s">
        <v>5111</v>
      </c>
      <c r="B20" s="870">
        <v>45418.0</v>
      </c>
      <c r="C20" s="870">
        <v>45438.0</v>
      </c>
      <c r="D20" s="2" t="s">
        <v>602</v>
      </c>
      <c r="E20" s="915"/>
      <c r="F20" s="67" t="s">
        <v>5112</v>
      </c>
      <c r="G20" s="13">
        <v>114.0</v>
      </c>
      <c r="H20" s="13" t="s">
        <v>47</v>
      </c>
      <c r="I20" s="6">
        <v>10.97</v>
      </c>
      <c r="J20" s="58">
        <v>1.0</v>
      </c>
      <c r="K20" s="6">
        <f t="shared" si="1"/>
        <v>10.8603</v>
      </c>
      <c r="L20" s="139">
        <v>0.368</v>
      </c>
      <c r="M20" s="3">
        <v>0.346</v>
      </c>
      <c r="N20" s="3">
        <v>0.379</v>
      </c>
      <c r="O20" s="60">
        <f t="shared" si="15"/>
        <v>0.363</v>
      </c>
      <c r="P20" s="69">
        <v>87.5</v>
      </c>
      <c r="Q20" s="67">
        <v>88.02</v>
      </c>
      <c r="R20" s="65">
        <v>2332.28</v>
      </c>
      <c r="S20" s="3">
        <v>120.0</v>
      </c>
      <c r="U20" s="67">
        <v>120.0</v>
      </c>
      <c r="V20" s="67">
        <v>1.1023</v>
      </c>
      <c r="W20" s="58">
        <v>7.5</v>
      </c>
      <c r="X20" s="58">
        <v>11.9</v>
      </c>
      <c r="Y20" s="934">
        <v>30.0</v>
      </c>
      <c r="Z20" s="69">
        <f t="shared" si="14"/>
        <v>34.34</v>
      </c>
      <c r="AA20" s="70">
        <f t="shared" si="4"/>
        <v>64.34</v>
      </c>
      <c r="AB20" s="71">
        <f t="shared" si="5"/>
        <v>571.36115</v>
      </c>
      <c r="AC20" s="71">
        <f>+(S20-T20)*V20-'data 1'!$F$4</f>
        <v>52.276</v>
      </c>
      <c r="AD20" s="71">
        <f t="shared" si="6"/>
        <v>4.666497773</v>
      </c>
      <c r="AE20" s="71">
        <f>+(Y20*V20-'data 1'!$I$21)+V20*(Z20-IF(D20="UNTUCA",IF(+((W20-3)*2.5+(X20-3)*3.1)&gt;0,+((W20-3)*1.5+(X20-3)*3.1),0),IF(+((W20-3)*1.5+(X20-3)*3.1)&gt;0,+((W20-3)*1.5+(X20-3)*3.1),0)))</f>
        <v>7.487918919</v>
      </c>
      <c r="AF20" s="71">
        <f t="shared" si="7"/>
        <v>10.73226207</v>
      </c>
      <c r="AG20" s="71">
        <f t="shared" si="8"/>
        <v>75.16267876</v>
      </c>
      <c r="AH20" s="71">
        <f t="shared" si="9"/>
        <v>120.6090993</v>
      </c>
      <c r="AI20" s="58">
        <f t="shared" ref="AI20:AI73" si="18">+((+$AI$2-R20+U20)*L20*Q20*V20)/100</f>
        <v>53.4575202</v>
      </c>
      <c r="AJ20" s="70">
        <f t="shared" si="11"/>
        <v>118.2675416</v>
      </c>
      <c r="AK20" s="11">
        <f t="shared" si="12"/>
        <v>2.341557694</v>
      </c>
      <c r="AL20" s="65"/>
      <c r="AM20" s="65"/>
      <c r="AN20" s="65"/>
      <c r="AO20" s="65"/>
      <c r="AP20" s="65"/>
      <c r="AV20" s="65">
        <f t="shared" si="13"/>
        <v>6205.153497</v>
      </c>
    </row>
    <row r="21" ht="15.75" customHeight="1">
      <c r="A21" s="116" t="s">
        <v>5113</v>
      </c>
      <c r="B21" s="870">
        <v>45450.0</v>
      </c>
      <c r="C21" s="870">
        <v>45438.0</v>
      </c>
      <c r="D21" s="2" t="s">
        <v>602</v>
      </c>
      <c r="E21" s="915"/>
      <c r="F21" s="63" t="s">
        <v>5114</v>
      </c>
      <c r="G21" s="13">
        <v>20.0</v>
      </c>
      <c r="H21" s="13" t="s">
        <v>47</v>
      </c>
      <c r="I21" s="6">
        <v>1.91</v>
      </c>
      <c r="J21" s="58">
        <v>2.4</v>
      </c>
      <c r="K21" s="6">
        <f t="shared" si="1"/>
        <v>1.86416</v>
      </c>
      <c r="L21" s="139">
        <v>0.304</v>
      </c>
      <c r="M21" s="75">
        <v>0.3</v>
      </c>
      <c r="N21" s="998">
        <v>0.3</v>
      </c>
      <c r="O21" s="60">
        <f t="shared" si="15"/>
        <v>0.3</v>
      </c>
      <c r="P21" s="69">
        <v>87.5</v>
      </c>
      <c r="Q21" s="67">
        <v>88.12</v>
      </c>
      <c r="R21" s="65">
        <v>2332.28</v>
      </c>
      <c r="S21" s="3">
        <v>120.0</v>
      </c>
      <c r="U21" s="67">
        <v>120.0</v>
      </c>
      <c r="V21" s="67">
        <v>1.1023</v>
      </c>
      <c r="W21" s="58">
        <v>7.6</v>
      </c>
      <c r="X21" s="58">
        <v>11.6</v>
      </c>
      <c r="Y21" s="934">
        <v>30.0</v>
      </c>
      <c r="Z21" s="69">
        <f t="shared" si="14"/>
        <v>33.56</v>
      </c>
      <c r="AA21" s="70">
        <f t="shared" si="4"/>
        <v>63.56</v>
      </c>
      <c r="AB21" s="71">
        <f t="shared" si="5"/>
        <v>437.7933261</v>
      </c>
      <c r="AC21" s="71">
        <f>+(S21-T21)*V21-'data 1'!$F$4</f>
        <v>52.276</v>
      </c>
      <c r="AD21" s="71">
        <f t="shared" si="6"/>
        <v>4.596266201</v>
      </c>
      <c r="AE21" s="71">
        <f>+(Y21*V21-'data 1'!$I$21)+V21*(Z21-IF(D21="UNTUCA",IF(+((W21-3)*2.5+(X21-3)*3.1)&gt;0,+((W21-3)*1.5+(X21-3)*3.1),0),IF(+((W21-3)*1.5+(X21-3)*3.1)&gt;0,+((W21-3)*1.5+(X21-3)*3.1),0)))</f>
        <v>7.487918919</v>
      </c>
      <c r="AF21" s="71">
        <f t="shared" si="7"/>
        <v>8.595564041</v>
      </c>
      <c r="AG21" s="71">
        <f t="shared" si="8"/>
        <v>72.95574916</v>
      </c>
      <c r="AH21" s="71">
        <f t="shared" si="9"/>
        <v>17.1214415</v>
      </c>
      <c r="AI21" s="58">
        <f t="shared" si="18"/>
        <v>44.21073122</v>
      </c>
      <c r="AJ21" s="70">
        <f t="shared" si="11"/>
        <v>16.77728036</v>
      </c>
      <c r="AK21" s="11">
        <f t="shared" si="12"/>
        <v>0.3441611401</v>
      </c>
      <c r="AL21" s="65"/>
      <c r="AM21" s="65"/>
      <c r="AN21" s="65"/>
      <c r="AT21" s="70">
        <f>+AB21*K21*1.18</f>
        <v>963.0178319</v>
      </c>
      <c r="AV21" s="65">
        <f t="shared" si="13"/>
        <v>816.1168067</v>
      </c>
    </row>
    <row r="22" ht="15.75" customHeight="1">
      <c r="A22" s="116" t="s">
        <v>5115</v>
      </c>
      <c r="B22" s="870">
        <v>45449.0</v>
      </c>
      <c r="C22" s="870">
        <v>45438.0</v>
      </c>
      <c r="D22" s="2" t="s">
        <v>602</v>
      </c>
      <c r="E22" s="915"/>
      <c r="F22" s="2" t="s">
        <v>5116</v>
      </c>
      <c r="G22" s="13">
        <v>7.0</v>
      </c>
      <c r="H22" s="13" t="s">
        <v>5107</v>
      </c>
      <c r="I22" s="6">
        <v>0.67</v>
      </c>
      <c r="J22" s="58">
        <v>27.9</v>
      </c>
      <c r="K22" s="6">
        <f t="shared" si="1"/>
        <v>0.48307</v>
      </c>
      <c r="L22" s="139">
        <v>3.425</v>
      </c>
      <c r="M22" s="3">
        <v>2.932</v>
      </c>
      <c r="N22" s="968">
        <v>2.932</v>
      </c>
      <c r="O22" s="60">
        <f t="shared" si="15"/>
        <v>2.932</v>
      </c>
      <c r="P22" s="69">
        <v>89.5</v>
      </c>
      <c r="Q22" s="997">
        <v>80.58</v>
      </c>
      <c r="R22" s="65">
        <v>2332.28</v>
      </c>
      <c r="S22" s="3">
        <v>380.0</v>
      </c>
      <c r="U22" s="67">
        <v>140.0</v>
      </c>
      <c r="V22" s="67">
        <v>1.1023</v>
      </c>
      <c r="W22" s="58">
        <v>8.0</v>
      </c>
      <c r="X22" s="58">
        <v>13.5</v>
      </c>
      <c r="Y22" s="934">
        <v>30.0</v>
      </c>
      <c r="Z22" s="69">
        <f t="shared" si="14"/>
        <v>40.05</v>
      </c>
      <c r="AA22" s="70">
        <f t="shared" si="4"/>
        <v>70.05</v>
      </c>
      <c r="AB22" s="71">
        <f t="shared" si="5"/>
        <v>5845.276042</v>
      </c>
      <c r="AC22" s="71">
        <f>+(S22-T22)*V22-'data 1'!$F$4</f>
        <v>338.874</v>
      </c>
      <c r="AD22" s="71">
        <f t="shared" si="6"/>
        <v>-738.280265</v>
      </c>
      <c r="AE22" s="71">
        <f>+(Y22*V22-'data 1'!$I$21)+V22*(Z22-IF(D22="UNTUCA",IF(+((W22-3)*2.5+(X22-3)*3.1)&gt;0,+((W22-3)*1.5+(X22-3)*3.1),0),IF(+((W22-3)*1.5+(X22-3)*3.1)&gt;0,+((W22-3)*1.5+(X22-3)*3.1),0)))</f>
        <v>7.487918919</v>
      </c>
      <c r="AF22" s="71">
        <f t="shared" si="7"/>
        <v>959.9973</v>
      </c>
      <c r="AG22" s="71">
        <f t="shared" si="8"/>
        <v>568.0789539</v>
      </c>
      <c r="AH22" s="71">
        <f t="shared" si="9"/>
        <v>45.70955314</v>
      </c>
      <c r="AI22" s="58">
        <f t="shared" si="18"/>
        <v>516.3220464</v>
      </c>
      <c r="AJ22" s="70">
        <f t="shared" si="11"/>
        <v>43.46164279</v>
      </c>
      <c r="AK22" s="11">
        <f t="shared" si="12"/>
        <v>2.24791035</v>
      </c>
      <c r="AL22" s="65" t="s">
        <v>5110</v>
      </c>
      <c r="AM22" s="65"/>
      <c r="AN22" s="65"/>
      <c r="AV22" s="65">
        <f t="shared" si="13"/>
        <v>2823.677498</v>
      </c>
    </row>
    <row r="23" ht="15.75" customHeight="1">
      <c r="A23" s="116" t="s">
        <v>5117</v>
      </c>
      <c r="B23" s="870">
        <v>45444.0</v>
      </c>
      <c r="C23" s="870">
        <v>45440.0</v>
      </c>
      <c r="D23" s="2" t="s">
        <v>602</v>
      </c>
      <c r="E23" s="915"/>
      <c r="F23" s="67" t="s">
        <v>5118</v>
      </c>
      <c r="G23" s="13">
        <v>234.0</v>
      </c>
      <c r="H23" s="13" t="s">
        <v>47</v>
      </c>
      <c r="I23" s="6">
        <v>24.12</v>
      </c>
      <c r="J23" s="58">
        <v>1.4</v>
      </c>
      <c r="K23" s="6">
        <f t="shared" si="1"/>
        <v>23.78232</v>
      </c>
      <c r="L23" s="139">
        <v>0.323</v>
      </c>
      <c r="M23" s="3">
        <v>0.294</v>
      </c>
      <c r="N23" s="405">
        <v>0.306</v>
      </c>
      <c r="O23" s="60">
        <f t="shared" si="15"/>
        <v>0.3</v>
      </c>
      <c r="P23" s="69">
        <v>89.5</v>
      </c>
      <c r="Q23" s="69">
        <v>88.18550869577587</v>
      </c>
      <c r="R23" s="65">
        <v>2329.23</v>
      </c>
      <c r="S23" s="3">
        <v>120.0</v>
      </c>
      <c r="U23" s="67">
        <v>120.0</v>
      </c>
      <c r="V23" s="67">
        <v>1.1023</v>
      </c>
      <c r="W23" s="58">
        <v>7.9</v>
      </c>
      <c r="X23" s="58">
        <v>11.8</v>
      </c>
      <c r="Y23" s="934">
        <v>45.0</v>
      </c>
      <c r="Z23" s="69">
        <f t="shared" si="14"/>
        <v>34.63</v>
      </c>
      <c r="AA23" s="70">
        <f t="shared" si="4"/>
        <v>79.63</v>
      </c>
      <c r="AB23" s="71">
        <f t="shared" si="5"/>
        <v>433.8082415</v>
      </c>
      <c r="AC23" s="71">
        <f>+(S23-T23)*V23-'data 1'!$F$4</f>
        <v>52.276</v>
      </c>
      <c r="AD23" s="71">
        <f t="shared" si="6"/>
        <v>-10.33953432</v>
      </c>
      <c r="AE23" s="71">
        <f>+(Y23*V23-'data 1'!$I$21)+V23*(Z23-IF(D23="UNTUCA",IF(+((W23-3)*2.5+(X23-3)*3.1)&gt;0,+((W23-3)*1.5+(X23-3)*3.1),0),IF(+((W23-3)*1.5+(X23-3)*3.1)&gt;0,+((W23-3)*1.5+(X23-3)*3.1),0)))</f>
        <v>24.02241892</v>
      </c>
      <c r="AF23" s="71">
        <f t="shared" si="7"/>
        <v>49.39304493</v>
      </c>
      <c r="AG23" s="71">
        <f t="shared" si="8"/>
        <v>115.3519295</v>
      </c>
      <c r="AH23" s="71">
        <f t="shared" si="9"/>
        <v>232.2539102</v>
      </c>
      <c r="AI23" s="58">
        <f t="shared" si="18"/>
        <v>47.96645611</v>
      </c>
      <c r="AJ23" s="70">
        <f t="shared" si="11"/>
        <v>218.9311598</v>
      </c>
      <c r="AK23" s="11">
        <f t="shared" si="12"/>
        <v>13.32275044</v>
      </c>
      <c r="AL23" s="65" t="s">
        <v>5119</v>
      </c>
      <c r="AM23" s="65"/>
      <c r="AN23" s="65"/>
      <c r="AV23" s="65">
        <f t="shared" si="13"/>
        <v>10316.96642</v>
      </c>
    </row>
    <row r="24" ht="15.75" customHeight="1">
      <c r="A24" s="116" t="s">
        <v>5120</v>
      </c>
      <c r="B24" s="870">
        <v>45444.0</v>
      </c>
      <c r="C24" s="870">
        <v>45440.0</v>
      </c>
      <c r="D24" s="2" t="s">
        <v>602</v>
      </c>
      <c r="E24" s="915"/>
      <c r="F24" s="67" t="s">
        <v>5118</v>
      </c>
      <c r="G24" s="13">
        <v>32.0</v>
      </c>
      <c r="H24" s="13" t="s">
        <v>47</v>
      </c>
      <c r="I24" s="6">
        <v>3.12</v>
      </c>
      <c r="J24" s="58">
        <v>1.0</v>
      </c>
      <c r="K24" s="6">
        <f t="shared" si="1"/>
        <v>3.0888</v>
      </c>
      <c r="L24" s="139">
        <v>1.136</v>
      </c>
      <c r="M24" s="3">
        <v>1.079</v>
      </c>
      <c r="N24" s="968">
        <v>1.079</v>
      </c>
      <c r="O24" s="60">
        <f t="shared" si="15"/>
        <v>1.079</v>
      </c>
      <c r="P24" s="69">
        <v>89.5</v>
      </c>
      <c r="Q24" s="69">
        <v>87.36519956475031</v>
      </c>
      <c r="R24" s="65">
        <v>2329.23</v>
      </c>
      <c r="S24" s="3">
        <v>180.0</v>
      </c>
      <c r="U24" s="67">
        <v>120.0</v>
      </c>
      <c r="V24" s="67">
        <v>1.1023</v>
      </c>
      <c r="W24" s="58">
        <v>7.9</v>
      </c>
      <c r="X24" s="58">
        <v>11.85</v>
      </c>
      <c r="Y24" s="934">
        <v>45.0</v>
      </c>
      <c r="Z24" s="69">
        <f t="shared" si="14"/>
        <v>34.785</v>
      </c>
      <c r="AA24" s="70">
        <f t="shared" si="4"/>
        <v>79.785</v>
      </c>
      <c r="AB24" s="71">
        <f t="shared" si="5"/>
        <v>2065.356866</v>
      </c>
      <c r="AC24" s="71">
        <f>+(S24-T24)*V24-'data 1'!$F$4</f>
        <v>118.414</v>
      </c>
      <c r="AD24" s="71">
        <f t="shared" si="6"/>
        <v>-59.05767609</v>
      </c>
      <c r="AE24" s="71">
        <f>+(Y24*V24-'data 1'!$I$21)+V24*(Z24-IF(D24="UNTUCA",IF(+((W24-3)*2.5+(X24-3)*3.1)&gt;0,+((W24-3)*1.5+(X24-3)*3.1),0),IF(+((W24-3)*1.5+(X24-3)*3.1)&gt;0,+((W24-3)*1.5+(X24-3)*3.1),0)))</f>
        <v>24.02241892</v>
      </c>
      <c r="AF24" s="71">
        <f t="shared" si="7"/>
        <v>121.2701929</v>
      </c>
      <c r="AG24" s="71">
        <f t="shared" si="8"/>
        <v>204.6489357</v>
      </c>
      <c r="AH24" s="71">
        <f t="shared" si="9"/>
        <v>105.1031331</v>
      </c>
      <c r="AI24" s="58">
        <f t="shared" si="18"/>
        <v>167.1301068</v>
      </c>
      <c r="AJ24" s="70">
        <f t="shared" si="11"/>
        <v>102.2688419</v>
      </c>
      <c r="AK24" s="11">
        <f t="shared" si="12"/>
        <v>2.834291253</v>
      </c>
      <c r="AL24" s="65" t="s">
        <v>5119</v>
      </c>
      <c r="AM24" s="65"/>
      <c r="AN24" s="65"/>
      <c r="AV24" s="65">
        <f t="shared" si="13"/>
        <v>6379.474287</v>
      </c>
    </row>
    <row r="25" ht="15.75" customHeight="1">
      <c r="A25" s="116" t="s">
        <v>5121</v>
      </c>
      <c r="B25" s="870">
        <v>45443.0</v>
      </c>
      <c r="C25" s="870">
        <v>45440.0</v>
      </c>
      <c r="D25" s="2" t="s">
        <v>602</v>
      </c>
      <c r="E25" s="915"/>
      <c r="F25" s="67" t="s">
        <v>5122</v>
      </c>
      <c r="G25" s="13">
        <v>78.0</v>
      </c>
      <c r="H25" s="13" t="s">
        <v>5107</v>
      </c>
      <c r="I25" s="6">
        <v>7.42</v>
      </c>
      <c r="J25" s="58">
        <v>21.0</v>
      </c>
      <c r="K25" s="6">
        <f t="shared" si="1"/>
        <v>5.8618</v>
      </c>
      <c r="L25" s="139">
        <v>0.854</v>
      </c>
      <c r="M25" s="3">
        <v>0.803</v>
      </c>
      <c r="N25" s="405">
        <v>0.833</v>
      </c>
      <c r="O25" s="60">
        <f t="shared" si="15"/>
        <v>0.818</v>
      </c>
      <c r="P25" s="69">
        <v>89.0</v>
      </c>
      <c r="Q25" s="995">
        <v>77.18339256726318</v>
      </c>
      <c r="R25" s="65">
        <v>2329.23</v>
      </c>
      <c r="S25" s="3">
        <v>160.0</v>
      </c>
      <c r="U25" s="67">
        <v>120.0</v>
      </c>
      <c r="V25" s="67">
        <v>1.1023</v>
      </c>
      <c r="W25" s="58">
        <v>8.0</v>
      </c>
      <c r="X25" s="58">
        <v>11.9</v>
      </c>
      <c r="Y25" s="934">
        <v>30.0</v>
      </c>
      <c r="Z25" s="69">
        <f t="shared" si="14"/>
        <v>35.09</v>
      </c>
      <c r="AA25" s="70">
        <f t="shared" si="4"/>
        <v>65.09</v>
      </c>
      <c r="AB25" s="71">
        <f t="shared" si="5"/>
        <v>1524.782516</v>
      </c>
      <c r="AC25" s="71">
        <f>+(S25-T25)*V25-'data 1'!$F$4</f>
        <v>96.368</v>
      </c>
      <c r="AD25" s="71">
        <f t="shared" si="6"/>
        <v>-245.7488068</v>
      </c>
      <c r="AE25" s="71">
        <f>+(Y25*V25-'data 1'!$I$21)+V25*(Z25-IF(D25="UNTUCA",IF(+((W25-3)*2.5+(X25-3)*3.1)&gt;0,+((W25-3)*1.5+(X25-3)*3.1),0),IF(+((W25-3)*1.5+(X25-3)*3.1)&gt;0,+((W25-3)*1.5+(X25-3)*3.1),0)))</f>
        <v>7.487918919</v>
      </c>
      <c r="AF25" s="71">
        <f t="shared" si="7"/>
        <v>67.66547022</v>
      </c>
      <c r="AG25" s="71">
        <f t="shared" si="8"/>
        <v>-74.22741771</v>
      </c>
      <c r="AH25" s="71">
        <f t="shared" si="9"/>
        <v>132.4713007</v>
      </c>
      <c r="AI25" s="58">
        <f t="shared" si="18"/>
        <v>110.9991417</v>
      </c>
      <c r="AJ25" s="70">
        <f t="shared" si="11"/>
        <v>146.3131553</v>
      </c>
      <c r="AK25" s="11">
        <f t="shared" si="12"/>
        <v>-13.84185464</v>
      </c>
      <c r="AL25" s="65" t="s">
        <v>5123</v>
      </c>
      <c r="AM25" s="65"/>
      <c r="AN25" s="65"/>
      <c r="AV25" s="65">
        <f t="shared" si="13"/>
        <v>8937.970155</v>
      </c>
    </row>
    <row r="26" ht="15.75" customHeight="1">
      <c r="A26" s="116" t="s">
        <v>5124</v>
      </c>
      <c r="B26" s="870">
        <v>45443.0</v>
      </c>
      <c r="C26" s="870">
        <v>45440.0</v>
      </c>
      <c r="D26" s="2" t="s">
        <v>602</v>
      </c>
      <c r="E26" s="915"/>
      <c r="F26" s="67" t="s">
        <v>5122</v>
      </c>
      <c r="G26" s="13">
        <v>78.0</v>
      </c>
      <c r="H26" s="13" t="s">
        <v>5107</v>
      </c>
      <c r="I26" s="6">
        <v>7.73</v>
      </c>
      <c r="J26" s="58">
        <v>16.3</v>
      </c>
      <c r="K26" s="6">
        <f t="shared" si="1"/>
        <v>6.47001</v>
      </c>
      <c r="L26" s="139">
        <v>1.186</v>
      </c>
      <c r="M26" s="3">
        <v>1.151</v>
      </c>
      <c r="N26" s="405">
        <v>1.207</v>
      </c>
      <c r="O26" s="60">
        <f t="shared" si="15"/>
        <v>1.179</v>
      </c>
      <c r="P26" s="69">
        <v>89.0</v>
      </c>
      <c r="Q26" s="995">
        <v>77.14306351309244</v>
      </c>
      <c r="R26" s="65">
        <v>2329.23</v>
      </c>
      <c r="S26" s="3">
        <v>190.0</v>
      </c>
      <c r="U26" s="67">
        <v>120.0</v>
      </c>
      <c r="V26" s="67">
        <v>1.1023</v>
      </c>
      <c r="W26" s="58">
        <v>8.0</v>
      </c>
      <c r="X26" s="58">
        <v>11.9</v>
      </c>
      <c r="Y26" s="934">
        <v>30.0</v>
      </c>
      <c r="Z26" s="69">
        <f t="shared" si="14"/>
        <v>35.09</v>
      </c>
      <c r="AA26" s="70">
        <f t="shared" si="4"/>
        <v>65.09</v>
      </c>
      <c r="AB26" s="71">
        <f t="shared" si="5"/>
        <v>2274.129922</v>
      </c>
      <c r="AC26" s="71">
        <f>+(S26-T26)*V26-'data 1'!$F$4</f>
        <v>129.437</v>
      </c>
      <c r="AD26" s="71">
        <f t="shared" si="6"/>
        <v>-342.4505925</v>
      </c>
      <c r="AE26" s="71">
        <f>+(Y26*V26-'data 1'!$I$21)+V26*(Z26-IF(D26="UNTUCA",IF(+((W26-3)*2.5+(X26-3)*3.1)&gt;0,+((W26-3)*1.5+(X26-3)*3.1),0),IF(+((W26-3)*1.5+(X26-3)*3.1)&gt;0,+((W26-3)*1.5+(X26-3)*3.1),0)))</f>
        <v>7.487918919</v>
      </c>
      <c r="AF26" s="71">
        <f t="shared" si="7"/>
        <v>13.15030002</v>
      </c>
      <c r="AG26" s="71">
        <f t="shared" si="8"/>
        <v>-192.3753736</v>
      </c>
      <c r="AH26" s="71">
        <f t="shared" si="9"/>
        <v>202.9530544</v>
      </c>
      <c r="AI26" s="58">
        <f t="shared" si="18"/>
        <v>154.0704875</v>
      </c>
      <c r="AJ26" s="70">
        <f t="shared" si="11"/>
        <v>232.7650832</v>
      </c>
      <c r="AK26" s="11">
        <f t="shared" si="12"/>
        <v>-29.81202878</v>
      </c>
      <c r="AL26" s="65" t="s">
        <v>5123</v>
      </c>
      <c r="AM26" s="65"/>
      <c r="AN26" s="65"/>
      <c r="AV26" s="65">
        <f t="shared" si="13"/>
        <v>14713.64334</v>
      </c>
    </row>
    <row r="27" ht="15.75" customHeight="1">
      <c r="A27" s="116" t="s">
        <v>5125</v>
      </c>
      <c r="B27" s="870">
        <v>45445.0</v>
      </c>
      <c r="C27" s="841">
        <v>45442.0</v>
      </c>
      <c r="D27" s="2" t="s">
        <v>5077</v>
      </c>
      <c r="E27" s="915"/>
      <c r="F27" s="2" t="s">
        <v>5126</v>
      </c>
      <c r="G27" s="122">
        <v>14.5</v>
      </c>
      <c r="H27" s="13" t="s">
        <v>47</v>
      </c>
      <c r="I27" s="6">
        <v>1.11</v>
      </c>
      <c r="J27" s="58">
        <v>7.0</v>
      </c>
      <c r="K27" s="6">
        <f t="shared" si="1"/>
        <v>1.0323</v>
      </c>
      <c r="L27" s="139">
        <v>0.163</v>
      </c>
      <c r="M27" s="60">
        <v>0.15485</v>
      </c>
      <c r="N27" s="968">
        <v>0.15485</v>
      </c>
      <c r="O27" s="60">
        <f t="shared" si="15"/>
        <v>0.155</v>
      </c>
      <c r="P27" s="130">
        <v>87.0</v>
      </c>
      <c r="Q27" s="69">
        <v>88.32469081347172</v>
      </c>
      <c r="R27" s="65">
        <v>2343.34</v>
      </c>
      <c r="S27" s="3">
        <v>110.0</v>
      </c>
      <c r="U27" s="67">
        <v>120.0</v>
      </c>
      <c r="V27" s="67">
        <v>1.1023</v>
      </c>
      <c r="W27" s="58">
        <v>7.6</v>
      </c>
      <c r="X27" s="58">
        <v>10.2</v>
      </c>
      <c r="Y27" s="934">
        <v>30.0</v>
      </c>
      <c r="Z27" s="69">
        <f t="shared" si="14"/>
        <v>29.22</v>
      </c>
      <c r="AA27" s="70">
        <f t="shared" si="4"/>
        <v>59.22</v>
      </c>
      <c r="AB27" s="71">
        <f t="shared" si="5"/>
        <v>143.9575129</v>
      </c>
      <c r="AC27" s="71">
        <f>+(S27-T27)*V27-'data 1'!$F$4</f>
        <v>41.253</v>
      </c>
      <c r="AD27" s="71">
        <f t="shared" si="6"/>
        <v>5.291853563</v>
      </c>
      <c r="AE27" s="71">
        <f>+(Y27*V27-'data 1'!$I$21)+V27*(Z27-IF(D27="UNTUCA",IF(+((W27-3)*2.5+(X27-3)*3.1)&gt;0,+((W27-3)*1.5+(X27-3)*3.1),0),IF(+((W27-3)*1.5+(X27-3)*3.1)&gt;0,+((W27-3)*1.5+(X27-3)*3.1),0)))</f>
        <v>7.487918919</v>
      </c>
      <c r="AF27" s="71">
        <f t="shared" si="7"/>
        <v>17.31720514</v>
      </c>
      <c r="AG27" s="71">
        <f t="shared" si="8"/>
        <v>71.34997762</v>
      </c>
      <c r="AH27" s="71">
        <f t="shared" si="9"/>
        <v>5.095475607</v>
      </c>
      <c r="AI27" s="58">
        <f t="shared" si="18"/>
        <v>22.0049676</v>
      </c>
      <c r="AJ27" s="70">
        <f t="shared" si="11"/>
        <v>4.7727199</v>
      </c>
      <c r="AK27" s="11">
        <f t="shared" si="12"/>
        <v>0.3227557062</v>
      </c>
      <c r="AL27" s="65" t="s">
        <v>5127</v>
      </c>
      <c r="AM27" s="65"/>
      <c r="AT27" s="70">
        <f>+AB27*K27*1.18</f>
        <v>175.3566619</v>
      </c>
      <c r="AV27" s="65">
        <f t="shared" si="13"/>
        <v>148.6073406</v>
      </c>
    </row>
    <row r="28" ht="15.75" customHeight="1">
      <c r="A28" s="92" t="s">
        <v>5128</v>
      </c>
      <c r="B28" s="855">
        <v>45418.0</v>
      </c>
      <c r="C28" s="855">
        <v>45442.0</v>
      </c>
      <c r="D28" s="91" t="s">
        <v>4589</v>
      </c>
      <c r="E28" s="979"/>
      <c r="F28" s="91" t="s">
        <v>5129</v>
      </c>
      <c r="G28" s="980">
        <v>12.0</v>
      </c>
      <c r="H28" s="980" t="s">
        <v>47</v>
      </c>
      <c r="I28" s="981">
        <v>1.04</v>
      </c>
      <c r="J28" s="982">
        <v>10.9</v>
      </c>
      <c r="K28" s="981">
        <f t="shared" si="1"/>
        <v>0.92664</v>
      </c>
      <c r="L28" s="983">
        <v>0.06</v>
      </c>
      <c r="M28" s="983">
        <v>0.06</v>
      </c>
      <c r="N28" s="983">
        <v>0.06</v>
      </c>
      <c r="O28" s="990">
        <f t="shared" si="15"/>
        <v>0.06</v>
      </c>
      <c r="P28" s="982">
        <v>88.0</v>
      </c>
      <c r="Q28" s="982">
        <v>88.40988077876624</v>
      </c>
      <c r="R28" s="986">
        <v>2326.7</v>
      </c>
      <c r="S28" s="125">
        <v>100.0</v>
      </c>
      <c r="T28" s="91"/>
      <c r="U28" s="91">
        <v>120.0</v>
      </c>
      <c r="V28" s="91">
        <v>1.1023</v>
      </c>
      <c r="W28" s="982">
        <v>7.6</v>
      </c>
      <c r="X28" s="982">
        <v>10.6</v>
      </c>
      <c r="Y28" s="985">
        <v>30.0</v>
      </c>
      <c r="Z28" s="982">
        <f t="shared" si="14"/>
        <v>30.46</v>
      </c>
      <c r="AA28" s="986">
        <f t="shared" si="4"/>
        <v>60.46</v>
      </c>
      <c r="AB28" s="72">
        <f t="shared" si="5"/>
        <v>-48.44194035</v>
      </c>
      <c r="AC28" s="72">
        <f>+(S28-T28)*V28-'data 1'!$F$4</f>
        <v>30.23</v>
      </c>
      <c r="AD28" s="72">
        <f t="shared" si="6"/>
        <v>0.5982075714</v>
      </c>
      <c r="AE28" s="72">
        <f>+(Y28*V28-'data 1'!$I$21)+V28*(Z28-IF(D28="UNTUCA",IF(+((W28-3)*2.5+(X28-3)*3.1)&gt;0,+((W28-3)*1.5+(X28-3)*3.1),0),IF(+((W28-3)*1.5+(X28-3)*3.1)&gt;0,+((W28-3)*1.5+(X28-3)*3.1),0)))</f>
        <v>7.487918919</v>
      </c>
      <c r="AF28" s="72">
        <f t="shared" si="7"/>
        <v>0</v>
      </c>
      <c r="AG28" s="72">
        <f t="shared" si="8"/>
        <v>38.31612649</v>
      </c>
      <c r="AH28" s="72">
        <f t="shared" si="9"/>
        <v>1.685280392</v>
      </c>
      <c r="AI28" s="982">
        <f t="shared" si="18"/>
        <v>9.080783435</v>
      </c>
      <c r="AJ28" s="986">
        <f t="shared" si="11"/>
        <v>1.677467193</v>
      </c>
      <c r="AK28" s="987">
        <f t="shared" si="12"/>
        <v>0.007813199537</v>
      </c>
      <c r="AL28" s="986" t="s">
        <v>5127</v>
      </c>
      <c r="AM28" s="986"/>
      <c r="AN28" s="91"/>
      <c r="AO28" s="91"/>
      <c r="AP28" s="91"/>
      <c r="AQ28" s="91"/>
      <c r="AR28" s="91"/>
      <c r="AS28" s="91"/>
      <c r="AT28" s="91"/>
      <c r="AU28" s="91"/>
      <c r="AV28" s="65"/>
      <c r="AW28" s="91"/>
      <c r="AX28" s="91"/>
    </row>
    <row r="29" ht="15.75" customHeight="1">
      <c r="A29" s="116" t="s">
        <v>5130</v>
      </c>
      <c r="B29" s="841">
        <v>45418.0</v>
      </c>
      <c r="C29" s="841">
        <v>45442.0</v>
      </c>
      <c r="D29" s="67" t="s">
        <v>4589</v>
      </c>
      <c r="E29" s="915"/>
      <c r="F29" s="67" t="s">
        <v>5129</v>
      </c>
      <c r="G29" s="916">
        <v>139.0</v>
      </c>
      <c r="H29" s="916" t="s">
        <v>47</v>
      </c>
      <c r="I29" s="59">
        <v>12.06</v>
      </c>
      <c r="J29" s="69">
        <v>13.0</v>
      </c>
      <c r="K29" s="59">
        <f t="shared" si="1"/>
        <v>10.4922</v>
      </c>
      <c r="L29" s="405">
        <v>0.685</v>
      </c>
      <c r="M29" s="106">
        <v>0.6439</v>
      </c>
      <c r="N29" s="405">
        <v>0.754</v>
      </c>
      <c r="O29" s="106">
        <f t="shared" si="15"/>
        <v>0.699</v>
      </c>
      <c r="P29" s="69">
        <v>90.0</v>
      </c>
      <c r="Q29" s="69">
        <v>88.02929403486661</v>
      </c>
      <c r="R29" s="70">
        <v>2326.7</v>
      </c>
      <c r="S29" s="134">
        <v>140.0</v>
      </c>
      <c r="T29" s="67"/>
      <c r="U29" s="67">
        <v>120.0</v>
      </c>
      <c r="V29" s="67">
        <v>1.1023</v>
      </c>
      <c r="W29" s="69">
        <v>7.8</v>
      </c>
      <c r="X29" s="69">
        <v>11.2</v>
      </c>
      <c r="Y29" s="934">
        <v>45.0</v>
      </c>
      <c r="Z29" s="69">
        <f t="shared" si="14"/>
        <v>32.62</v>
      </c>
      <c r="AA29" s="70">
        <f t="shared" si="4"/>
        <v>77.62</v>
      </c>
      <c r="AB29" s="71">
        <f t="shared" si="5"/>
        <v>1290.368881</v>
      </c>
      <c r="AC29" s="71">
        <f>+(S29-T29)*V29-'data 1'!$F$4</f>
        <v>74.322</v>
      </c>
      <c r="AD29" s="71">
        <f t="shared" si="6"/>
        <v>-32.83639755</v>
      </c>
      <c r="AE29" s="71">
        <f>+(Y29*V29-'data 1'!$I$21)+V29*(Z29-IF(D29="UNTUCA",IF(+((W29-3)*2.5+(X29-3)*3.1)&gt;0,+((W29-3)*1.5+(X29-3)*3.1),0),IF(+((W29-3)*1.5+(X29-3)*3.1)&gt;0,+((W29-3)*1.5+(X29-3)*3.1),0)))</f>
        <v>24.02241892</v>
      </c>
      <c r="AF29" s="71">
        <f t="shared" si="7"/>
        <v>-29.97770331</v>
      </c>
      <c r="AG29" s="71">
        <f t="shared" si="8"/>
        <v>35.53031805</v>
      </c>
      <c r="AH29" s="71">
        <f t="shared" si="9"/>
        <v>216.9169155</v>
      </c>
      <c r="AI29" s="69">
        <f t="shared" si="18"/>
        <v>103.2259893</v>
      </c>
      <c r="AJ29" s="70">
        <f t="shared" si="11"/>
        <v>226.3056073</v>
      </c>
      <c r="AK29" s="53">
        <f t="shared" si="12"/>
        <v>-9.388691866</v>
      </c>
      <c r="AL29" s="70" t="s">
        <v>5127</v>
      </c>
      <c r="AM29" s="70"/>
      <c r="AN29" s="67"/>
      <c r="AO29" s="67"/>
      <c r="AP29" s="67"/>
      <c r="AQ29" s="67"/>
      <c r="AR29" s="67"/>
      <c r="AS29" s="67"/>
      <c r="AT29" s="67"/>
      <c r="AV29" s="65">
        <f t="shared" ref="AV29:AV73" si="19">+AB29*K29</f>
        <v>13538.80838</v>
      </c>
    </row>
    <row r="30" ht="15.75" customHeight="1">
      <c r="A30" s="116" t="s">
        <v>5131</v>
      </c>
      <c r="B30" s="841">
        <v>45418.0</v>
      </c>
      <c r="C30" s="841">
        <v>45442.0</v>
      </c>
      <c r="D30" s="67" t="s">
        <v>4589</v>
      </c>
      <c r="E30" s="915"/>
      <c r="F30" s="67" t="s">
        <v>5129</v>
      </c>
      <c r="G30" s="916">
        <v>54.0</v>
      </c>
      <c r="H30" s="916" t="s">
        <v>47</v>
      </c>
      <c r="I30" s="59">
        <v>4.45</v>
      </c>
      <c r="J30" s="69">
        <v>9.9</v>
      </c>
      <c r="K30" s="59">
        <f t="shared" si="1"/>
        <v>4.00945</v>
      </c>
      <c r="L30" s="405">
        <v>0.33499999999999996</v>
      </c>
      <c r="M30" s="106">
        <v>0.31825</v>
      </c>
      <c r="N30" s="405">
        <v>0.399</v>
      </c>
      <c r="O30" s="106">
        <f t="shared" si="15"/>
        <v>0.359</v>
      </c>
      <c r="P30" s="69">
        <v>90.0</v>
      </c>
      <c r="Q30" s="69">
        <v>88.60309782573208</v>
      </c>
      <c r="R30" s="70">
        <v>2326.7</v>
      </c>
      <c r="S30" s="134">
        <v>110.0</v>
      </c>
      <c r="T30" s="67"/>
      <c r="U30" s="67">
        <v>120.0</v>
      </c>
      <c r="V30" s="67">
        <v>1.1023</v>
      </c>
      <c r="W30" s="69">
        <v>7.7</v>
      </c>
      <c r="X30" s="69">
        <v>11.2</v>
      </c>
      <c r="Y30" s="934">
        <v>45.0</v>
      </c>
      <c r="Z30" s="69">
        <f t="shared" si="14"/>
        <v>32.47</v>
      </c>
      <c r="AA30" s="70">
        <f t="shared" si="4"/>
        <v>77.47</v>
      </c>
      <c r="AB30" s="71">
        <f t="shared" si="5"/>
        <v>579.274931</v>
      </c>
      <c r="AC30" s="71">
        <f>+(S30-T30)*V30-'data 1'!$F$4</f>
        <v>41.253</v>
      </c>
      <c r="AD30" s="71">
        <f t="shared" si="6"/>
        <v>-11.38292574</v>
      </c>
      <c r="AE30" s="71">
        <f>+(Y30*V30-'data 1'!$I$21)+V30*(Z30-IF(D30="UNTUCA",IF(+((W30-3)*2.5+(X30-3)*3.1)&gt;0,+((W30-3)*1.5+(X30-3)*3.1),0),IF(+((W30-3)*1.5+(X30-3)*3.1)&gt;0,+((W30-3)*1.5+(X30-3)*3.1),0)))</f>
        <v>24.02241892</v>
      </c>
      <c r="AF30" s="71">
        <f t="shared" si="7"/>
        <v>-51.72532767</v>
      </c>
      <c r="AG30" s="71">
        <f t="shared" si="8"/>
        <v>2.167165506</v>
      </c>
      <c r="AH30" s="71">
        <f t="shared" si="9"/>
        <v>40.80257621</v>
      </c>
      <c r="AI30" s="69">
        <f t="shared" si="18"/>
        <v>50.8118464</v>
      </c>
      <c r="AJ30" s="70">
        <f t="shared" si="11"/>
        <v>44.41511892</v>
      </c>
      <c r="AK30" s="53">
        <f t="shared" si="12"/>
        <v>-3.612542708</v>
      </c>
      <c r="AL30" s="70" t="s">
        <v>5127</v>
      </c>
      <c r="AM30" s="70"/>
      <c r="AN30" s="67"/>
      <c r="AO30" s="67"/>
      <c r="AP30" s="67"/>
      <c r="AQ30" s="67"/>
      <c r="AR30" s="67"/>
      <c r="AS30" s="67"/>
      <c r="AT30" s="67"/>
      <c r="AV30" s="65">
        <f t="shared" si="19"/>
        <v>2322.573872</v>
      </c>
    </row>
    <row r="31" ht="15.75" customHeight="1">
      <c r="A31" s="116" t="s">
        <v>5132</v>
      </c>
      <c r="B31" s="870">
        <v>45445.0</v>
      </c>
      <c r="C31" s="841">
        <v>45442.0</v>
      </c>
      <c r="D31" s="2" t="s">
        <v>5077</v>
      </c>
      <c r="E31" s="915"/>
      <c r="F31" s="2" t="s">
        <v>5126</v>
      </c>
      <c r="G31" s="13">
        <v>47.0</v>
      </c>
      <c r="H31" s="13" t="s">
        <v>47</v>
      </c>
      <c r="I31" s="6">
        <v>1.67</v>
      </c>
      <c r="J31" s="58">
        <v>12.9</v>
      </c>
      <c r="K31" s="6">
        <f t="shared" si="1"/>
        <v>1.45457</v>
      </c>
      <c r="L31" s="139">
        <v>0.304</v>
      </c>
      <c r="M31" s="60">
        <v>0.2888</v>
      </c>
      <c r="N31" s="968">
        <v>0.2888</v>
      </c>
      <c r="O31" s="60">
        <f t="shared" si="15"/>
        <v>0.289</v>
      </c>
      <c r="P31" s="130">
        <v>87.0</v>
      </c>
      <c r="Q31" s="69">
        <v>88.59209566865975</v>
      </c>
      <c r="R31" s="65">
        <v>2343.34</v>
      </c>
      <c r="S31" s="3">
        <v>110.0</v>
      </c>
      <c r="U31" s="67">
        <v>120.0</v>
      </c>
      <c r="V31" s="67">
        <v>1.1023</v>
      </c>
      <c r="W31" s="58">
        <v>7.8</v>
      </c>
      <c r="X31" s="58">
        <v>11.2</v>
      </c>
      <c r="Y31" s="934">
        <v>30.0</v>
      </c>
      <c r="Z31" s="69">
        <f t="shared" si="14"/>
        <v>32.62</v>
      </c>
      <c r="AA31" s="70">
        <f t="shared" si="4"/>
        <v>62.62</v>
      </c>
      <c r="AB31" s="71">
        <f t="shared" si="5"/>
        <v>425.9225209</v>
      </c>
      <c r="AC31" s="71">
        <f>+(S31-T31)*V31-'data 1'!$F$4</f>
        <v>41.253</v>
      </c>
      <c r="AD31" s="71">
        <f t="shared" si="6"/>
        <v>11.8617409</v>
      </c>
      <c r="AE31" s="71">
        <f>+(Y31*V31-'data 1'!$I$21)+V31*(Z31-IF(D31="UNTUCA",IF(+((W31-3)*2.5+(X31-3)*3.1)&gt;0,+((W31-3)*1.5+(X31-3)*3.1),0),IF(+((W31-3)*1.5+(X31-3)*3.1)&gt;0,+((W31-3)*1.5+(X31-3)*3.1),0)))</f>
        <v>7.487918919</v>
      </c>
      <c r="AF31" s="71">
        <f t="shared" si="7"/>
        <v>32.56806252</v>
      </c>
      <c r="AG31" s="71">
        <f t="shared" si="8"/>
        <v>93.17072234</v>
      </c>
      <c r="AH31" s="71">
        <f t="shared" si="9"/>
        <v>13.43112077</v>
      </c>
      <c r="AI31" s="58">
        <f t="shared" si="18"/>
        <v>41.16418886</v>
      </c>
      <c r="AJ31" s="70">
        <f t="shared" si="11"/>
        <v>12.53893903</v>
      </c>
      <c r="AK31" s="11">
        <f t="shared" si="12"/>
        <v>0.8921817349</v>
      </c>
      <c r="AL31" s="65" t="s">
        <v>5127</v>
      </c>
      <c r="AM31" s="65"/>
      <c r="AT31" s="67"/>
      <c r="AV31" s="65">
        <f t="shared" si="19"/>
        <v>619.5341212</v>
      </c>
    </row>
    <row r="32" ht="15.75" customHeight="1">
      <c r="A32" s="116" t="s">
        <v>5133</v>
      </c>
      <c r="B32" s="870">
        <v>45445.0</v>
      </c>
      <c r="C32" s="841">
        <v>45442.0</v>
      </c>
      <c r="D32" s="2" t="s">
        <v>5077</v>
      </c>
      <c r="E32" s="915"/>
      <c r="F32" s="2" t="s">
        <v>5126</v>
      </c>
      <c r="G32" s="13" t="s">
        <v>4100</v>
      </c>
      <c r="H32" s="13" t="s">
        <v>47</v>
      </c>
      <c r="I32" s="6">
        <v>11.84</v>
      </c>
      <c r="J32" s="58">
        <v>9.6</v>
      </c>
      <c r="K32" s="6">
        <f t="shared" si="1"/>
        <v>10.70336</v>
      </c>
      <c r="L32" s="139">
        <v>0.241</v>
      </c>
      <c r="M32" s="60">
        <v>0.22895</v>
      </c>
      <c r="N32" s="968">
        <v>0.22895</v>
      </c>
      <c r="O32" s="60">
        <f t="shared" si="15"/>
        <v>0.229</v>
      </c>
      <c r="P32" s="130">
        <v>87.0</v>
      </c>
      <c r="Q32" s="69">
        <v>88.41843057069222</v>
      </c>
      <c r="R32" s="65">
        <v>2343.34</v>
      </c>
      <c r="S32" s="3">
        <v>110.0</v>
      </c>
      <c r="U32" s="67">
        <v>120.0</v>
      </c>
      <c r="V32" s="67">
        <v>1.1023</v>
      </c>
      <c r="W32" s="58">
        <v>7.6</v>
      </c>
      <c r="X32" s="58">
        <v>10.4</v>
      </c>
      <c r="Y32" s="934">
        <v>30.0</v>
      </c>
      <c r="Z32" s="69">
        <f t="shared" si="14"/>
        <v>29.84</v>
      </c>
      <c r="AA32" s="70">
        <f t="shared" si="4"/>
        <v>59.84</v>
      </c>
      <c r="AB32" s="71">
        <f t="shared" si="5"/>
        <v>301.0557979</v>
      </c>
      <c r="AC32" s="71">
        <f>+(S32-T32)*V32-'data 1'!$F$4</f>
        <v>41.253</v>
      </c>
      <c r="AD32" s="71">
        <f t="shared" si="6"/>
        <v>8.377815931</v>
      </c>
      <c r="AE32" s="71">
        <f>+(Y32*V32-'data 1'!$I$21)+V32*(Z32-IF(D32="UNTUCA",IF(+((W32-3)*2.5+(X32-3)*3.1)&gt;0,+((W32-3)*1.5+(X32-3)*3.1),0),IF(+((W32-3)*1.5+(X32-3)*3.1)&gt;0,+((W32-3)*1.5+(X32-3)*3.1),0)))</f>
        <v>7.487918919</v>
      </c>
      <c r="AF32" s="71">
        <f t="shared" si="7"/>
        <v>26.00337606</v>
      </c>
      <c r="AG32" s="71">
        <f t="shared" si="8"/>
        <v>83.12211091</v>
      </c>
      <c r="AH32" s="71">
        <f t="shared" si="9"/>
        <v>78.1968118</v>
      </c>
      <c r="AI32" s="58">
        <f t="shared" si="18"/>
        <v>32.56948173</v>
      </c>
      <c r="AJ32" s="70">
        <f t="shared" si="11"/>
        <v>73.11120419</v>
      </c>
      <c r="AK32" s="11">
        <f t="shared" si="12"/>
        <v>5.085607612</v>
      </c>
      <c r="AL32" s="65" t="s">
        <v>5127</v>
      </c>
      <c r="AM32" s="65"/>
      <c r="AT32" s="67"/>
      <c r="AV32" s="65">
        <f t="shared" si="19"/>
        <v>3222.308585</v>
      </c>
    </row>
    <row r="33" ht="15.75" customHeight="1">
      <c r="A33" s="116" t="s">
        <v>5134</v>
      </c>
      <c r="B33" s="870">
        <v>45448.0</v>
      </c>
      <c r="C33" s="841">
        <v>45445.0</v>
      </c>
      <c r="D33" s="2" t="s">
        <v>602</v>
      </c>
      <c r="E33" s="915"/>
      <c r="F33" s="2" t="s">
        <v>4779</v>
      </c>
      <c r="G33" s="13">
        <v>100.0</v>
      </c>
      <c r="H33" s="13" t="s">
        <v>47</v>
      </c>
      <c r="I33" s="6">
        <v>12.58</v>
      </c>
      <c r="J33" s="58">
        <v>1.9</v>
      </c>
      <c r="K33" s="6">
        <f t="shared" si="1"/>
        <v>12.34098</v>
      </c>
      <c r="L33" s="139">
        <v>0.532</v>
      </c>
      <c r="M33" s="60">
        <v>0.50008</v>
      </c>
      <c r="N33" s="968">
        <v>0.50008</v>
      </c>
      <c r="O33" s="60">
        <f t="shared" si="15"/>
        <v>0.5</v>
      </c>
      <c r="P33" s="130">
        <v>88.0</v>
      </c>
      <c r="Q33" s="69">
        <v>88.51616357687277</v>
      </c>
      <c r="R33" s="433">
        <v>2327.2</v>
      </c>
      <c r="S33" s="3">
        <v>130.0</v>
      </c>
      <c r="U33" s="67">
        <v>120.0</v>
      </c>
      <c r="V33" s="67">
        <v>1.1023</v>
      </c>
      <c r="W33" s="58">
        <v>7.9</v>
      </c>
      <c r="X33" s="58">
        <v>12.8</v>
      </c>
      <c r="Y33" s="934">
        <v>30.0</v>
      </c>
      <c r="Z33" s="69">
        <f t="shared" si="14"/>
        <v>37.73</v>
      </c>
      <c r="AA33" s="70">
        <f t="shared" si="4"/>
        <v>67.73</v>
      </c>
      <c r="AB33" s="71">
        <f t="shared" si="5"/>
        <v>852.5607074</v>
      </c>
      <c r="AC33" s="71">
        <f>+(S33-T33)*V33-'data 1'!$F$4</f>
        <v>63.299</v>
      </c>
      <c r="AD33" s="71">
        <f t="shared" si="6"/>
        <v>6.680984781</v>
      </c>
      <c r="AE33" s="71">
        <f>+(Y33*V33-'data 1'!$I$21)+V33*(Z33-IF(D33="UNTUCA",IF(+((W33-3)*2.5+(X33-3)*3.1)&gt;0,+((W33-3)*1.5+(X33-3)*3.1),0),IF(+((W33-3)*1.5+(X33-3)*3.1)&gt;0,+((W33-3)*1.5+(X33-3)*3.1),0)))</f>
        <v>7.487918919</v>
      </c>
      <c r="AF33" s="71">
        <f t="shared" si="7"/>
        <v>68.91504688</v>
      </c>
      <c r="AG33" s="71">
        <f t="shared" si="8"/>
        <v>146.3829506</v>
      </c>
      <c r="AH33" s="71">
        <f t="shared" si="9"/>
        <v>199.2475238</v>
      </c>
      <c r="AI33" s="58">
        <f t="shared" si="18"/>
        <v>80.35353338</v>
      </c>
      <c r="AJ33" s="70">
        <f t="shared" si="11"/>
        <v>186.1707268</v>
      </c>
      <c r="AK33" s="11">
        <f t="shared" si="12"/>
        <v>13.07679696</v>
      </c>
      <c r="AL33" s="65"/>
      <c r="AM33" s="65"/>
      <c r="AT33" s="67"/>
      <c r="AV33" s="65">
        <f t="shared" si="19"/>
        <v>10521.43464</v>
      </c>
    </row>
    <row r="34" ht="15.75" customHeight="1">
      <c r="A34" s="116" t="s">
        <v>5135</v>
      </c>
      <c r="B34" s="870">
        <v>45448.0</v>
      </c>
      <c r="C34" s="841">
        <v>45445.0</v>
      </c>
      <c r="D34" s="2" t="s">
        <v>602</v>
      </c>
      <c r="E34" s="915"/>
      <c r="F34" s="2" t="s">
        <v>5136</v>
      </c>
      <c r="G34" s="13">
        <v>30.0</v>
      </c>
      <c r="H34" s="13" t="s">
        <v>5107</v>
      </c>
      <c r="I34" s="6">
        <v>2.47</v>
      </c>
      <c r="J34" s="58">
        <v>32.6</v>
      </c>
      <c r="K34" s="6">
        <f t="shared" si="1"/>
        <v>1.66478</v>
      </c>
      <c r="L34" s="139">
        <v>0.595</v>
      </c>
      <c r="M34" s="60">
        <v>0.58</v>
      </c>
      <c r="N34" s="968">
        <v>0.58</v>
      </c>
      <c r="O34" s="60">
        <f t="shared" si="15"/>
        <v>0.58</v>
      </c>
      <c r="P34" s="130">
        <v>86.5</v>
      </c>
      <c r="Q34" s="69">
        <v>85.77886573617343</v>
      </c>
      <c r="R34" s="433">
        <v>2327.2</v>
      </c>
      <c r="S34" s="3">
        <v>130.0</v>
      </c>
      <c r="U34" s="67">
        <v>120.0</v>
      </c>
      <c r="V34" s="67">
        <v>1.1023</v>
      </c>
      <c r="W34" s="58">
        <v>8.0</v>
      </c>
      <c r="X34" s="58">
        <v>13.5</v>
      </c>
      <c r="Y34" s="934">
        <v>35.0</v>
      </c>
      <c r="Z34" s="69">
        <f t="shared" si="14"/>
        <v>40.05</v>
      </c>
      <c r="AA34" s="70">
        <f t="shared" si="4"/>
        <v>75.05</v>
      </c>
      <c r="AB34" s="71">
        <f t="shared" si="5"/>
        <v>994.6077592</v>
      </c>
      <c r="AC34" s="71">
        <f>+(S34-T34)*V34-'data 1'!$F$4</f>
        <v>63.299</v>
      </c>
      <c r="AD34" s="71">
        <f t="shared" si="6"/>
        <v>-10.43937724</v>
      </c>
      <c r="AE34" s="71">
        <f>+(Y34*V34-'data 1'!$I$21)+V34*(Z34-IF(D34="UNTUCA",IF(+((W34-3)*2.5+(X34-3)*3.1)&gt;0,+((W34-3)*1.5+(X34-3)*3.1),0),IF(+((W34-3)*1.5+(X34-3)*3.1)&gt;0,+((W34-3)*1.5+(X34-3)*3.1),0)))</f>
        <v>12.99941892</v>
      </c>
      <c r="AF34" s="71">
        <f t="shared" si="7"/>
        <v>31.30495279</v>
      </c>
      <c r="AG34" s="71">
        <f t="shared" si="8"/>
        <v>97.16399447</v>
      </c>
      <c r="AH34" s="71">
        <f t="shared" si="9"/>
        <v>29.13152259</v>
      </c>
      <c r="AI34" s="58">
        <f t="shared" si="18"/>
        <v>87.08994749</v>
      </c>
      <c r="AJ34" s="70">
        <f t="shared" si="11"/>
        <v>28.63584613</v>
      </c>
      <c r="AK34" s="11">
        <f t="shared" si="12"/>
        <v>0.4956764582</v>
      </c>
      <c r="AL34" s="65"/>
      <c r="AM34" s="65"/>
      <c r="AT34" s="67"/>
      <c r="AV34" s="65">
        <f t="shared" si="19"/>
        <v>1655.803105</v>
      </c>
    </row>
    <row r="35" ht="15.75" customHeight="1">
      <c r="A35" s="116" t="s">
        <v>5137</v>
      </c>
      <c r="B35" s="870">
        <v>45448.0</v>
      </c>
      <c r="C35" s="841">
        <v>45445.0</v>
      </c>
      <c r="D35" s="2" t="s">
        <v>602</v>
      </c>
      <c r="E35" s="915"/>
      <c r="F35" s="2" t="s">
        <v>4779</v>
      </c>
      <c r="G35" s="13">
        <v>100.0</v>
      </c>
      <c r="H35" s="13" t="s">
        <v>47</v>
      </c>
      <c r="I35" s="6">
        <v>10.17</v>
      </c>
      <c r="J35" s="58">
        <v>2.1</v>
      </c>
      <c r="K35" s="6">
        <f t="shared" si="1"/>
        <v>9.95643</v>
      </c>
      <c r="L35" s="139">
        <v>0.40900000000000003</v>
      </c>
      <c r="M35" s="60">
        <v>0.38855</v>
      </c>
      <c r="N35" s="968">
        <v>0.38855</v>
      </c>
      <c r="O35" s="60">
        <f t="shared" si="15"/>
        <v>0.389</v>
      </c>
      <c r="P35" s="130">
        <v>88.0</v>
      </c>
      <c r="Q35" s="69">
        <v>88.70066353766234</v>
      </c>
      <c r="R35" s="433">
        <v>2327.2</v>
      </c>
      <c r="S35" s="3">
        <v>120.0</v>
      </c>
      <c r="U35" s="67">
        <v>120.0</v>
      </c>
      <c r="V35" s="67">
        <v>1.1023</v>
      </c>
      <c r="W35" s="58">
        <v>7.9</v>
      </c>
      <c r="X35" s="58">
        <v>12.9</v>
      </c>
      <c r="Y35" s="934">
        <v>30.0</v>
      </c>
      <c r="Z35" s="69">
        <f t="shared" si="14"/>
        <v>38.04</v>
      </c>
      <c r="AA35" s="70">
        <f t="shared" si="4"/>
        <v>68.04</v>
      </c>
      <c r="AB35" s="71">
        <f t="shared" si="5"/>
        <v>625.5868904</v>
      </c>
      <c r="AC35" s="71">
        <f>+(S35-T35)*V35-'data 1'!$F$4</f>
        <v>52.276</v>
      </c>
      <c r="AD35" s="71">
        <f t="shared" si="6"/>
        <v>6.972271985</v>
      </c>
      <c r="AE35" s="71">
        <f>+(Y35*V35-'data 1'!$I$21)+V35*(Z35-IF(D35="UNTUCA",IF(+((W35-3)*2.5+(X35-3)*3.1)&gt;0,+((W35-3)*1.5+(X35-3)*3.1),0),IF(+((W35-3)*1.5+(X35-3)*3.1)&gt;0,+((W35-3)*1.5+(X35-3)*3.1),0)))</f>
        <v>7.487918919</v>
      </c>
      <c r="AF35" s="71">
        <f t="shared" si="7"/>
        <v>43.16168185</v>
      </c>
      <c r="AG35" s="71">
        <f t="shared" si="8"/>
        <v>109.8978728</v>
      </c>
      <c r="AH35" s="71">
        <f t="shared" si="9"/>
        <v>123.8405553</v>
      </c>
      <c r="AI35" s="58">
        <f t="shared" si="18"/>
        <v>61.90431758</v>
      </c>
      <c r="AJ35" s="70">
        <f t="shared" si="11"/>
        <v>116.8543778</v>
      </c>
      <c r="AK35" s="11">
        <f t="shared" si="12"/>
        <v>6.98617744</v>
      </c>
      <c r="AL35" s="65"/>
      <c r="AM35" s="65"/>
      <c r="AT35" s="67"/>
      <c r="AV35" s="65">
        <f t="shared" si="19"/>
        <v>6228.612083</v>
      </c>
    </row>
    <row r="36" ht="15.75" customHeight="1">
      <c r="A36" s="116" t="s">
        <v>5138</v>
      </c>
      <c r="B36" s="870">
        <v>45448.0</v>
      </c>
      <c r="C36" s="841">
        <v>45445.0</v>
      </c>
      <c r="D36" s="2" t="s">
        <v>4466</v>
      </c>
      <c r="E36" s="915"/>
      <c r="F36" s="2" t="s">
        <v>5139</v>
      </c>
      <c r="G36" s="13">
        <v>63.0</v>
      </c>
      <c r="H36" s="13" t="s">
        <v>5107</v>
      </c>
      <c r="I36" s="6">
        <v>5.69</v>
      </c>
      <c r="J36" s="58">
        <v>25.0</v>
      </c>
      <c r="K36" s="6">
        <f t="shared" si="1"/>
        <v>4.2675</v>
      </c>
      <c r="L36" s="139">
        <v>1.46</v>
      </c>
      <c r="M36" s="60">
        <v>1.387</v>
      </c>
      <c r="N36" s="968">
        <v>1.518</v>
      </c>
      <c r="O36" s="60">
        <f t="shared" si="15"/>
        <v>1.453</v>
      </c>
      <c r="P36" s="130">
        <v>88.0</v>
      </c>
      <c r="Q36" s="69">
        <v>85.76644032395653</v>
      </c>
      <c r="R36" s="433">
        <v>2327.2</v>
      </c>
      <c r="S36" s="3">
        <v>190.0</v>
      </c>
      <c r="U36" s="67">
        <v>120.0</v>
      </c>
      <c r="V36" s="67">
        <v>1.1023</v>
      </c>
      <c r="W36" s="58">
        <v>8.0</v>
      </c>
      <c r="X36" s="58">
        <v>13.6</v>
      </c>
      <c r="Y36" s="934">
        <v>30.0</v>
      </c>
      <c r="Z36" s="69">
        <f t="shared" si="14"/>
        <v>40.36</v>
      </c>
      <c r="AA36" s="70">
        <f t="shared" si="4"/>
        <v>70.36</v>
      </c>
      <c r="AB36" s="71">
        <f t="shared" si="5"/>
        <v>2823.931893</v>
      </c>
      <c r="AC36" s="71">
        <f>+(S36-T36)*V36-'data 1'!$F$4</f>
        <v>129.437</v>
      </c>
      <c r="AD36" s="71">
        <f t="shared" si="6"/>
        <v>-79.33994792</v>
      </c>
      <c r="AE36" s="71">
        <f>+(Y36*V36-'data 1'!$I$21)+V36*(Z36-IF(D36="UNTUCA",IF(+((W36-3)*2.5+(X36-3)*3.1)&gt;0,+((W36-3)*1.5+(X36-3)*3.1),0),IF(+((W36-3)*1.5+(X36-3)*3.1)&gt;0,+((W36-3)*1.5+(X36-3)*3.1),0)))</f>
        <v>7.487918919</v>
      </c>
      <c r="AF36" s="71">
        <f t="shared" si="7"/>
        <v>14.6068618</v>
      </c>
      <c r="AG36" s="71">
        <f t="shared" si="8"/>
        <v>72.1918328</v>
      </c>
      <c r="AH36" s="71">
        <f t="shared" si="9"/>
        <v>183.2115463</v>
      </c>
      <c r="AI36" s="58">
        <f t="shared" si="18"/>
        <v>213.6687478</v>
      </c>
      <c r="AJ36" s="70">
        <f t="shared" si="11"/>
        <v>187.0815181</v>
      </c>
      <c r="AK36" s="11">
        <f t="shared" si="12"/>
        <v>-3.86997183</v>
      </c>
      <c r="AL36" s="65"/>
      <c r="AM36" s="65"/>
      <c r="AT36" s="67"/>
      <c r="AV36" s="65">
        <f t="shared" si="19"/>
        <v>12051.12936</v>
      </c>
    </row>
    <row r="37" ht="15.75" customHeight="1">
      <c r="A37" s="116" t="s">
        <v>5140</v>
      </c>
      <c r="B37" s="841">
        <v>45445.0</v>
      </c>
      <c r="C37" s="841">
        <v>45445.0</v>
      </c>
      <c r="D37" s="67" t="s">
        <v>4571</v>
      </c>
      <c r="E37" s="915"/>
      <c r="F37" s="67" t="s">
        <v>5020</v>
      </c>
      <c r="G37" s="916">
        <v>45.0</v>
      </c>
      <c r="H37" s="916" t="s">
        <v>47</v>
      </c>
      <c r="I37" s="59">
        <v>3.25</v>
      </c>
      <c r="J37" s="69">
        <v>12.0</v>
      </c>
      <c r="K37" s="59">
        <f t="shared" si="1"/>
        <v>2.86</v>
      </c>
      <c r="L37" s="405">
        <v>0.27</v>
      </c>
      <c r="M37" s="106">
        <v>0.24570000000000003</v>
      </c>
      <c r="N37" s="968">
        <v>0.24570000000000003</v>
      </c>
      <c r="O37" s="106">
        <f t="shared" si="15"/>
        <v>0.246</v>
      </c>
      <c r="P37" s="67">
        <v>88.0</v>
      </c>
      <c r="Q37" s="69">
        <v>88.53372628133457</v>
      </c>
      <c r="R37" s="70">
        <v>2327.2</v>
      </c>
      <c r="S37" s="134">
        <v>115.0</v>
      </c>
      <c r="T37" s="67"/>
      <c r="U37" s="67">
        <v>120.0</v>
      </c>
      <c r="V37" s="67">
        <v>1.1023</v>
      </c>
      <c r="W37" s="69">
        <v>7.5</v>
      </c>
      <c r="X37" s="69">
        <v>11.4</v>
      </c>
      <c r="Y37" s="934">
        <v>30.0</v>
      </c>
      <c r="Z37" s="69">
        <f t="shared" si="14"/>
        <v>32.79</v>
      </c>
      <c r="AA37" s="70">
        <f t="shared" si="4"/>
        <v>62.79</v>
      </c>
      <c r="AB37" s="71">
        <f t="shared" si="5"/>
        <v>330.7171783</v>
      </c>
      <c r="AC37" s="71">
        <f>+(S37-T37)*V37-'data 1'!$F$4</f>
        <v>46.7645</v>
      </c>
      <c r="AD37" s="71">
        <f t="shared" si="6"/>
        <v>3.506096357</v>
      </c>
      <c r="AE37" s="71">
        <f>+(Y37*V37-'data 1'!$I$21)+V37*(Z37-IF(D37="UNTUCA",IF(+((W37-3)*2.5+(X37-3)*3.1)&gt;0,+((W37-3)*1.5+(X37-3)*3.1),0),IF(+((W37-3)*1.5+(X37-3)*3.1)&gt;0,+((W37-3)*1.5+(X37-3)*3.1),0)))</f>
        <v>7.487918919</v>
      </c>
      <c r="AF37" s="71">
        <f t="shared" si="7"/>
        <v>51.69654036</v>
      </c>
      <c r="AG37" s="71">
        <f t="shared" si="8"/>
        <v>109.4550556</v>
      </c>
      <c r="AH37" s="71">
        <f t="shared" si="9"/>
        <v>23.43946043</v>
      </c>
      <c r="AI37" s="69">
        <f t="shared" si="18"/>
        <v>40.78902004</v>
      </c>
      <c r="AJ37" s="70">
        <f t="shared" si="11"/>
        <v>21.2272083</v>
      </c>
      <c r="AK37" s="53">
        <f t="shared" si="12"/>
        <v>2.212252127</v>
      </c>
      <c r="AL37" s="70"/>
      <c r="AM37" s="70"/>
      <c r="AN37" s="67"/>
      <c r="AO37" s="67"/>
      <c r="AP37" s="67"/>
      <c r="AQ37" s="67"/>
      <c r="AR37" s="67"/>
      <c r="AS37" s="67"/>
      <c r="AT37" s="67"/>
      <c r="AV37" s="65">
        <f t="shared" si="19"/>
        <v>945.85113</v>
      </c>
    </row>
    <row r="38" ht="15.75" customHeight="1">
      <c r="A38" s="116" t="s">
        <v>5141</v>
      </c>
      <c r="B38" s="841">
        <v>45445.0</v>
      </c>
      <c r="C38" s="841">
        <v>45445.0</v>
      </c>
      <c r="D38" s="67" t="s">
        <v>4571</v>
      </c>
      <c r="E38" s="915"/>
      <c r="F38" s="67" t="s">
        <v>5020</v>
      </c>
      <c r="G38" s="916">
        <v>41.0</v>
      </c>
      <c r="H38" s="916" t="s">
        <v>47</v>
      </c>
      <c r="I38" s="59">
        <v>3.07</v>
      </c>
      <c r="J38" s="69">
        <v>19.5</v>
      </c>
      <c r="K38" s="59">
        <f t="shared" si="1"/>
        <v>2.47135</v>
      </c>
      <c r="L38" s="405">
        <v>0.476</v>
      </c>
      <c r="M38" s="106">
        <v>0.44743999999999995</v>
      </c>
      <c r="N38" s="968">
        <v>0.44743999999999995</v>
      </c>
      <c r="O38" s="106">
        <f t="shared" si="15"/>
        <v>0.447</v>
      </c>
      <c r="P38" s="67">
        <v>88.0</v>
      </c>
      <c r="Q38" s="69">
        <v>88.0258968324095</v>
      </c>
      <c r="R38" s="70">
        <v>2327.2</v>
      </c>
      <c r="S38" s="134">
        <v>135.0</v>
      </c>
      <c r="T38" s="67"/>
      <c r="U38" s="67">
        <v>120.0</v>
      </c>
      <c r="V38" s="67">
        <v>1.1023</v>
      </c>
      <c r="W38" s="69">
        <v>7.5</v>
      </c>
      <c r="X38" s="69">
        <v>11.3</v>
      </c>
      <c r="Y38" s="934">
        <v>30.0</v>
      </c>
      <c r="Z38" s="69">
        <f t="shared" si="14"/>
        <v>32.48</v>
      </c>
      <c r="AA38" s="70">
        <f t="shared" si="4"/>
        <v>62.48</v>
      </c>
      <c r="AB38" s="71">
        <f t="shared" si="5"/>
        <v>739.3613228</v>
      </c>
      <c r="AC38" s="71">
        <f>+(S38-T38)*V38-'data 1'!$F$4</f>
        <v>68.8105</v>
      </c>
      <c r="AD38" s="71">
        <f t="shared" si="6"/>
        <v>0.2999128638</v>
      </c>
      <c r="AE38" s="71">
        <f>+(Y38*V38-'data 1'!$I$21)+V38*(Z38-IF(D38="UNTUCA",IF(+((W38-3)*2.5+(X38-3)*3.1)&gt;0,+((W38-3)*1.5+(X38-3)*3.1),0),IF(+((W38-3)*1.5+(X38-3)*3.1)&gt;0,+((W38-3)*1.5+(X38-3)*3.1),0)))</f>
        <v>7.487918919</v>
      </c>
      <c r="AF38" s="71">
        <f t="shared" si="7"/>
        <v>62.10834421</v>
      </c>
      <c r="AG38" s="71">
        <f t="shared" si="8"/>
        <v>138.706676</v>
      </c>
      <c r="AH38" s="71">
        <f t="shared" si="9"/>
        <v>35.50264716</v>
      </c>
      <c r="AI38" s="69">
        <f t="shared" si="18"/>
        <v>71.49705856</v>
      </c>
      <c r="AJ38" s="70">
        <f t="shared" si="11"/>
        <v>33.32986238</v>
      </c>
      <c r="AK38" s="53">
        <f t="shared" si="12"/>
        <v>2.172784788</v>
      </c>
      <c r="AL38" s="70"/>
      <c r="AM38" s="70"/>
      <c r="AN38" s="67"/>
      <c r="AO38" s="67"/>
      <c r="AP38" s="67"/>
      <c r="AQ38" s="67"/>
      <c r="AR38" s="67"/>
      <c r="AS38" s="67"/>
      <c r="AT38" s="67"/>
      <c r="AV38" s="65">
        <f t="shared" si="19"/>
        <v>1827.220605</v>
      </c>
    </row>
    <row r="39" ht="15.75" customHeight="1">
      <c r="A39" s="116" t="s">
        <v>5142</v>
      </c>
      <c r="B39" s="841">
        <v>45445.0</v>
      </c>
      <c r="C39" s="841">
        <v>45445.0</v>
      </c>
      <c r="D39" s="67" t="s">
        <v>4571</v>
      </c>
      <c r="E39" s="915"/>
      <c r="F39" s="67" t="s">
        <v>5143</v>
      </c>
      <c r="G39" s="916">
        <v>52.0</v>
      </c>
      <c r="H39" s="916" t="s">
        <v>47</v>
      </c>
      <c r="I39" s="59">
        <v>4.09</v>
      </c>
      <c r="J39" s="69">
        <v>9.3</v>
      </c>
      <c r="K39" s="59">
        <f t="shared" si="1"/>
        <v>3.70963</v>
      </c>
      <c r="L39" s="405">
        <v>0.447</v>
      </c>
      <c r="M39" s="106">
        <v>0.42464999999999997</v>
      </c>
      <c r="N39" s="968">
        <v>0.42464999999999997</v>
      </c>
      <c r="O39" s="106">
        <f t="shared" si="15"/>
        <v>0.425</v>
      </c>
      <c r="P39" s="67">
        <v>88.0</v>
      </c>
      <c r="Q39" s="69">
        <v>88.55549726450771</v>
      </c>
      <c r="R39" s="70">
        <v>2327.2</v>
      </c>
      <c r="S39" s="134">
        <v>130.0</v>
      </c>
      <c r="T39" s="67"/>
      <c r="U39" s="67">
        <v>120.0</v>
      </c>
      <c r="V39" s="67">
        <v>1.1023</v>
      </c>
      <c r="W39" s="69">
        <v>7.5</v>
      </c>
      <c r="X39" s="69">
        <v>11.4</v>
      </c>
      <c r="Y39" s="934">
        <v>30.0</v>
      </c>
      <c r="Z39" s="69">
        <f t="shared" si="14"/>
        <v>32.79</v>
      </c>
      <c r="AA39" s="70">
        <f t="shared" si="4"/>
        <v>62.79</v>
      </c>
      <c r="AB39" s="71">
        <f t="shared" si="5"/>
        <v>697.4282964</v>
      </c>
      <c r="AC39" s="71">
        <f>+(S39-T39)*V39-'data 1'!$F$4</f>
        <v>63.299</v>
      </c>
      <c r="AD39" s="71">
        <f t="shared" si="6"/>
        <v>6.041307513</v>
      </c>
      <c r="AE39" s="71">
        <f>+(Y39*V39-'data 1'!$I$21)+V39*(Z39-IF(D39="UNTUCA",IF(+((W39-3)*2.5+(X39-3)*3.1)&gt;0,+((W39-3)*1.5+(X39-3)*3.1),0),IF(+((W39-3)*1.5+(X39-3)*3.1)&gt;0,+((W39-3)*1.5+(X39-3)*3.1),0)))</f>
        <v>7.487918919</v>
      </c>
      <c r="AF39" s="71">
        <f t="shared" si="7"/>
        <v>47.40014845</v>
      </c>
      <c r="AG39" s="71">
        <f t="shared" si="8"/>
        <v>124.2283749</v>
      </c>
      <c r="AH39" s="71">
        <f t="shared" si="9"/>
        <v>50.34573825</v>
      </c>
      <c r="AI39" s="69">
        <f t="shared" si="18"/>
        <v>67.5450944</v>
      </c>
      <c r="AJ39" s="70">
        <f t="shared" si="11"/>
        <v>47.56760292</v>
      </c>
      <c r="AK39" s="53">
        <f t="shared" si="12"/>
        <v>2.778135327</v>
      </c>
      <c r="AL39" s="70"/>
      <c r="AM39" s="70"/>
      <c r="AN39" s="67"/>
      <c r="AO39" s="67"/>
      <c r="AP39" s="67"/>
      <c r="AQ39" s="67"/>
      <c r="AR39" s="67"/>
      <c r="AS39" s="67"/>
      <c r="AT39" s="67"/>
      <c r="AV39" s="65">
        <f t="shared" si="19"/>
        <v>2587.200931</v>
      </c>
    </row>
    <row r="40" ht="15.75" customHeight="1">
      <c r="A40" s="116" t="s">
        <v>5144</v>
      </c>
      <c r="B40" s="841">
        <v>45445.0</v>
      </c>
      <c r="C40" s="841">
        <v>45445.0</v>
      </c>
      <c r="D40" s="67" t="s">
        <v>4571</v>
      </c>
      <c r="E40" s="915"/>
      <c r="F40" s="67" t="s">
        <v>5143</v>
      </c>
      <c r="G40" s="916" t="s">
        <v>4100</v>
      </c>
      <c r="H40" s="916" t="s">
        <v>47</v>
      </c>
      <c r="I40" s="59">
        <v>16.03</v>
      </c>
      <c r="J40" s="69">
        <v>14.0</v>
      </c>
      <c r="K40" s="59">
        <f t="shared" si="1"/>
        <v>13.7858</v>
      </c>
      <c r="L40" s="405">
        <v>0.181</v>
      </c>
      <c r="M40" s="106">
        <v>0.17195</v>
      </c>
      <c r="N40" s="968">
        <v>0.17195</v>
      </c>
      <c r="O40" s="106">
        <f t="shared" si="15"/>
        <v>0.172</v>
      </c>
      <c r="P40" s="67">
        <v>88.0</v>
      </c>
      <c r="Q40" s="69">
        <v>88.13773411370565</v>
      </c>
      <c r="R40" s="70">
        <v>2327.2</v>
      </c>
      <c r="S40" s="134">
        <v>110.0</v>
      </c>
      <c r="T40" s="67"/>
      <c r="U40" s="67">
        <v>120.0</v>
      </c>
      <c r="V40" s="67">
        <v>1.1023</v>
      </c>
      <c r="W40" s="69">
        <v>7.5</v>
      </c>
      <c r="X40" s="67">
        <v>11.55</v>
      </c>
      <c r="Y40" s="934">
        <v>30.0</v>
      </c>
      <c r="Z40" s="69">
        <f t="shared" si="14"/>
        <v>33.255</v>
      </c>
      <c r="AA40" s="70">
        <f t="shared" si="4"/>
        <v>63.255</v>
      </c>
      <c r="AB40" s="71">
        <f t="shared" si="5"/>
        <v>177.2793728</v>
      </c>
      <c r="AC40" s="71">
        <f>+(S40-T40)*V40-'data 1'!$F$4</f>
        <v>41.253</v>
      </c>
      <c r="AD40" s="71">
        <f t="shared" si="6"/>
        <v>0.606542991</v>
      </c>
      <c r="AE40" s="71">
        <f>+(Y40*V40-'data 1'!$I$21)+V40*(Z40-IF(D40="UNTUCA",IF(+((W40-3)*2.5+(X40-3)*3.1)&gt;0,+((W40-3)*1.5+(X40-3)*3.1),0),IF(+((W40-3)*1.5+(X40-3)*3.1)&gt;0,+((W40-3)*1.5+(X40-3)*3.1),0)))</f>
        <v>7.487918919</v>
      </c>
      <c r="AF40" s="71">
        <f t="shared" si="7"/>
        <v>19.29949235</v>
      </c>
      <c r="AG40" s="71">
        <f t="shared" si="8"/>
        <v>68.64695426</v>
      </c>
      <c r="AH40" s="71">
        <f t="shared" si="9"/>
        <v>75.40176276</v>
      </c>
      <c r="AI40" s="69">
        <f t="shared" si="18"/>
        <v>27.2214478</v>
      </c>
      <c r="AJ40" s="70">
        <f t="shared" si="11"/>
        <v>71.54053143</v>
      </c>
      <c r="AK40" s="53">
        <f t="shared" si="12"/>
        <v>3.861231327</v>
      </c>
      <c r="AL40" s="70"/>
      <c r="AM40" s="70"/>
      <c r="AN40" s="67"/>
      <c r="AO40" s="67"/>
      <c r="AP40" s="67"/>
      <c r="AQ40" s="67"/>
      <c r="AR40" s="67"/>
      <c r="AS40" s="67"/>
      <c r="AT40" s="67"/>
      <c r="AV40" s="65">
        <f t="shared" si="19"/>
        <v>2443.937978</v>
      </c>
    </row>
    <row r="41" ht="15.75" customHeight="1">
      <c r="A41" s="116" t="s">
        <v>5145</v>
      </c>
      <c r="B41" s="841">
        <v>45449.0</v>
      </c>
      <c r="C41" s="841">
        <v>45448.0</v>
      </c>
      <c r="D41" s="67" t="s">
        <v>4571</v>
      </c>
      <c r="E41" s="915"/>
      <c r="F41" s="67" t="s">
        <v>4862</v>
      </c>
      <c r="G41" s="916"/>
      <c r="H41" s="916" t="s">
        <v>47</v>
      </c>
      <c r="I41" s="59">
        <v>13.59</v>
      </c>
      <c r="J41" s="69">
        <v>8.25</v>
      </c>
      <c r="K41" s="59">
        <f t="shared" si="1"/>
        <v>12.468825</v>
      </c>
      <c r="L41" s="405">
        <v>0.269</v>
      </c>
      <c r="M41" s="106">
        <v>0.25555</v>
      </c>
      <c r="N41" s="405">
        <v>0.261</v>
      </c>
      <c r="O41" s="106">
        <f t="shared" si="15"/>
        <v>0.258</v>
      </c>
      <c r="P41" s="69">
        <v>90.0</v>
      </c>
      <c r="Q41" s="69">
        <v>88.12611929415198</v>
      </c>
      <c r="R41" s="70">
        <v>2323.89</v>
      </c>
      <c r="S41" s="134">
        <v>110.0</v>
      </c>
      <c r="T41" s="67"/>
      <c r="U41" s="67">
        <v>120.0</v>
      </c>
      <c r="V41" s="67">
        <v>1.1023</v>
      </c>
      <c r="W41" s="69">
        <v>7.8</v>
      </c>
      <c r="X41" s="69">
        <v>11.3</v>
      </c>
      <c r="Y41" s="934">
        <v>30.0</v>
      </c>
      <c r="Z41" s="69">
        <f t="shared" si="14"/>
        <v>32.93</v>
      </c>
      <c r="AA41" s="70">
        <f t="shared" si="4"/>
        <v>62.93</v>
      </c>
      <c r="AB41" s="71">
        <f t="shared" si="5"/>
        <v>373.4738543</v>
      </c>
      <c r="AC41" s="71">
        <f>+(S41-T41)*V41-'data 1'!$F$4</f>
        <v>41.253</v>
      </c>
      <c r="AD41" s="71">
        <f t="shared" si="6"/>
        <v>-12.24570918</v>
      </c>
      <c r="AE41" s="71">
        <f>+(Y41*V41-'data 1'!$I$21)+V41*(Z41-IF(D41="UNTUCA",IF(+((W41-3)*2.5+(X41-3)*3.1)&gt;0,+((W41-3)*1.5+(X41-3)*3.1),0),IF(+((W41-3)*1.5+(X41-3)*3.1)&gt;0,+((W41-3)*1.5+(X41-3)*3.1),0)))</f>
        <v>7.487918919</v>
      </c>
      <c r="AF41" s="71">
        <f t="shared" si="7"/>
        <v>23.54979077</v>
      </c>
      <c r="AG41" s="71">
        <f t="shared" si="8"/>
        <v>60.04500051</v>
      </c>
      <c r="AH41" s="71">
        <f t="shared" si="9"/>
        <v>101.3424793</v>
      </c>
      <c r="AI41" s="69">
        <f t="shared" si="18"/>
        <v>41.31579103</v>
      </c>
      <c r="AJ41" s="70">
        <f t="shared" si="11"/>
        <v>99.26515255</v>
      </c>
      <c r="AK41" s="53">
        <f t="shared" si="12"/>
        <v>2.077326764</v>
      </c>
      <c r="AL41" s="70"/>
      <c r="AM41" s="70"/>
      <c r="AN41" s="67"/>
      <c r="AO41" s="67"/>
      <c r="AP41" s="67"/>
      <c r="AQ41" s="67"/>
      <c r="AR41" s="67"/>
      <c r="AS41" s="67"/>
      <c r="AT41" s="67"/>
      <c r="AV41" s="65">
        <f t="shared" si="19"/>
        <v>4656.780131</v>
      </c>
    </row>
    <row r="42" ht="15.75" customHeight="1">
      <c r="A42" s="116" t="s">
        <v>5146</v>
      </c>
      <c r="B42" s="841">
        <v>45449.0</v>
      </c>
      <c r="C42" s="841">
        <v>45448.0</v>
      </c>
      <c r="D42" s="67" t="s">
        <v>4571</v>
      </c>
      <c r="E42" s="915"/>
      <c r="F42" s="67" t="s">
        <v>4862</v>
      </c>
      <c r="G42" s="916"/>
      <c r="H42" s="916" t="s">
        <v>47</v>
      </c>
      <c r="I42" s="59">
        <v>8.7</v>
      </c>
      <c r="J42" s="69">
        <v>14.25</v>
      </c>
      <c r="K42" s="59">
        <f t="shared" si="1"/>
        <v>7.46025</v>
      </c>
      <c r="L42" s="405">
        <v>1.717</v>
      </c>
      <c r="M42" s="106">
        <v>1.6998300000000002</v>
      </c>
      <c r="N42" s="405">
        <v>1.783</v>
      </c>
      <c r="O42" s="106">
        <f t="shared" si="15"/>
        <v>1.741</v>
      </c>
      <c r="P42" s="69">
        <v>90.0</v>
      </c>
      <c r="Q42" s="69">
        <v>87.19838148823128</v>
      </c>
      <c r="R42" s="70">
        <v>2323.89</v>
      </c>
      <c r="S42" s="134">
        <v>240.0</v>
      </c>
      <c r="T42" s="67"/>
      <c r="U42" s="67">
        <v>120.0</v>
      </c>
      <c r="V42" s="67">
        <v>1.1023</v>
      </c>
      <c r="W42" s="69">
        <v>7.9</v>
      </c>
      <c r="X42" s="69">
        <v>12.6</v>
      </c>
      <c r="Y42" s="934">
        <v>30.0</v>
      </c>
      <c r="Z42" s="69">
        <f t="shared" si="14"/>
        <v>37.11</v>
      </c>
      <c r="AA42" s="70">
        <f t="shared" si="4"/>
        <v>67.11</v>
      </c>
      <c r="AB42" s="71">
        <f t="shared" si="5"/>
        <v>3468.017945</v>
      </c>
      <c r="AC42" s="71">
        <f>+(S42-T42)*V42-'data 1'!$F$4</f>
        <v>184.552</v>
      </c>
      <c r="AD42" s="71">
        <f t="shared" si="6"/>
        <v>-116.8608431</v>
      </c>
      <c r="AE42" s="71">
        <f>+(Y42*V42-'data 1'!$I$21)+V42*(Z42-IF(D42="UNTUCA",IF(+((W42-3)*2.5+(X42-3)*3.1)&gt;0,+((W42-3)*1.5+(X42-3)*3.1),0),IF(+((W42-3)*1.5+(X42-3)*3.1)&gt;0,+((W42-3)*1.5+(X42-3)*3.1),0)))</f>
        <v>7.487918919</v>
      </c>
      <c r="AF42" s="71">
        <f t="shared" si="7"/>
        <v>-50.84045017</v>
      </c>
      <c r="AG42" s="71">
        <f t="shared" si="8"/>
        <v>24.33862564</v>
      </c>
      <c r="AH42" s="71">
        <f t="shared" si="9"/>
        <v>382.9492028</v>
      </c>
      <c r="AI42" s="69">
        <f t="shared" si="18"/>
        <v>260.938322</v>
      </c>
      <c r="AJ42" s="70">
        <f t="shared" si="11"/>
        <v>400.7778685</v>
      </c>
      <c r="AK42" s="53">
        <f t="shared" si="12"/>
        <v>-17.82866572</v>
      </c>
      <c r="AL42" s="70" t="s">
        <v>5147</v>
      </c>
      <c r="AM42" s="70"/>
      <c r="AN42" s="67"/>
      <c r="AO42" s="67"/>
      <c r="AP42" s="67"/>
      <c r="AQ42" s="67"/>
      <c r="AR42" s="67"/>
      <c r="AS42" s="67"/>
      <c r="AT42" s="67"/>
      <c r="AV42" s="65">
        <f t="shared" si="19"/>
        <v>25872.28088</v>
      </c>
    </row>
    <row r="43" ht="15.75" customHeight="1">
      <c r="A43" s="116" t="s">
        <v>5148</v>
      </c>
      <c r="B43" s="841">
        <v>45449.0</v>
      </c>
      <c r="C43" s="841">
        <v>45448.0</v>
      </c>
      <c r="D43" s="67" t="s">
        <v>4571</v>
      </c>
      <c r="E43" s="915"/>
      <c r="F43" s="67" t="s">
        <v>4862</v>
      </c>
      <c r="G43" s="916"/>
      <c r="H43" s="916" t="s">
        <v>47</v>
      </c>
      <c r="I43" s="59">
        <v>24.89</v>
      </c>
      <c r="J43" s="69">
        <v>7.73</v>
      </c>
      <c r="K43" s="59">
        <f t="shared" si="1"/>
        <v>22.966003</v>
      </c>
      <c r="L43" s="405">
        <v>0.207</v>
      </c>
      <c r="M43" s="106">
        <v>0.20079</v>
      </c>
      <c r="N43" s="135">
        <v>0.20079</v>
      </c>
      <c r="O43" s="106">
        <f t="shared" si="15"/>
        <v>0.201</v>
      </c>
      <c r="P43" s="69">
        <v>90.0</v>
      </c>
      <c r="Q43" s="69">
        <v>88.0781535001786</v>
      </c>
      <c r="R43" s="70">
        <v>2323.89</v>
      </c>
      <c r="S43" s="134">
        <v>110.0</v>
      </c>
      <c r="T43" s="67"/>
      <c r="U43" s="67">
        <v>120.0</v>
      </c>
      <c r="V43" s="67">
        <v>1.1023</v>
      </c>
      <c r="W43" s="69">
        <v>7.8</v>
      </c>
      <c r="X43" s="69">
        <v>11.2</v>
      </c>
      <c r="Y43" s="934">
        <v>30.0</v>
      </c>
      <c r="Z43" s="69">
        <f t="shared" si="14"/>
        <v>32.62</v>
      </c>
      <c r="AA43" s="70">
        <f t="shared" si="4"/>
        <v>62.62</v>
      </c>
      <c r="AB43" s="71">
        <f t="shared" si="5"/>
        <v>249.1900176</v>
      </c>
      <c r="AC43" s="71">
        <f>+(S43-T43)*V43-'data 1'!$F$4</f>
        <v>41.253</v>
      </c>
      <c r="AD43" s="71">
        <f t="shared" si="6"/>
        <v>-9.664486067</v>
      </c>
      <c r="AE43" s="71">
        <f>+(Y43*V43-'data 1'!$I$21)+V43*(Z43-IF(D43="UNTUCA",IF(+((W43-3)*2.5+(X43-3)*3.1)&gt;0,+((W43-3)*1.5+(X43-3)*3.1),0),IF(+((W43-3)*1.5+(X43-3)*3.1)&gt;0,+((W43-3)*1.5+(X43-3)*3.1),0)))</f>
        <v>7.487918919</v>
      </c>
      <c r="AF43" s="71">
        <f t="shared" si="7"/>
        <v>12.83834888</v>
      </c>
      <c r="AG43" s="71">
        <f t="shared" si="8"/>
        <v>51.91478173</v>
      </c>
      <c r="AH43" s="71">
        <f t="shared" si="9"/>
        <v>143.5598624</v>
      </c>
      <c r="AI43" s="69">
        <f t="shared" si="18"/>
        <v>31.77588777</v>
      </c>
      <c r="AJ43" s="70">
        <f t="shared" si="11"/>
        <v>142.440357</v>
      </c>
      <c r="AK43" s="53">
        <f t="shared" si="12"/>
        <v>1.119505415</v>
      </c>
      <c r="AL43" s="70"/>
      <c r="AM43" s="70"/>
      <c r="AN43" s="67"/>
      <c r="AO43" s="67"/>
      <c r="AP43" s="67"/>
      <c r="AQ43" s="67"/>
      <c r="AR43" s="67"/>
      <c r="AS43" s="67"/>
      <c r="AT43" s="67"/>
      <c r="AV43" s="65">
        <f t="shared" si="19"/>
        <v>5722.898692</v>
      </c>
    </row>
    <row r="44" ht="15.75" customHeight="1">
      <c r="A44" s="116" t="s">
        <v>5149</v>
      </c>
      <c r="B44" s="841">
        <v>45454.0</v>
      </c>
      <c r="C44" s="841">
        <v>45450.0</v>
      </c>
      <c r="D44" s="2" t="s">
        <v>602</v>
      </c>
      <c r="E44" s="915"/>
      <c r="F44" s="67" t="s">
        <v>4394</v>
      </c>
      <c r="G44" s="13">
        <v>33.0</v>
      </c>
      <c r="H44" s="13" t="s">
        <v>47</v>
      </c>
      <c r="I44" s="6">
        <v>2.91</v>
      </c>
      <c r="J44" s="58">
        <v>1.0</v>
      </c>
      <c r="K44" s="59">
        <f t="shared" si="1"/>
        <v>2.8809</v>
      </c>
      <c r="L44" s="139">
        <v>1.158</v>
      </c>
      <c r="M44" s="60">
        <v>1.107</v>
      </c>
      <c r="N44" s="969">
        <v>1.158</v>
      </c>
      <c r="O44" s="106">
        <f t="shared" si="15"/>
        <v>1.133</v>
      </c>
      <c r="P44" s="2">
        <v>90.0</v>
      </c>
      <c r="Q44" s="69">
        <v>88.49</v>
      </c>
      <c r="R44" s="65">
        <v>2306.0</v>
      </c>
      <c r="S44" s="3">
        <v>190.0</v>
      </c>
      <c r="U44" s="67">
        <v>130.0</v>
      </c>
      <c r="V44" s="67">
        <v>1.1023</v>
      </c>
      <c r="W44" s="58">
        <v>7.8</v>
      </c>
      <c r="X44" s="58">
        <v>12.1</v>
      </c>
      <c r="Y44" s="934">
        <v>40.0</v>
      </c>
      <c r="Z44" s="69">
        <f t="shared" si="14"/>
        <v>35.41</v>
      </c>
      <c r="AA44" s="70">
        <f t="shared" si="4"/>
        <v>75.41</v>
      </c>
      <c r="AB44" s="71">
        <f t="shared" si="5"/>
        <v>2153.295872</v>
      </c>
      <c r="AC44" s="71">
        <f>+(S44-T44)*V44-'data 1'!$F$4</f>
        <v>129.437</v>
      </c>
      <c r="AD44" s="71">
        <f t="shared" si="6"/>
        <v>-41.94152381</v>
      </c>
      <c r="AE44" s="71">
        <f>+(Y44*V44-'data 1'!$I$21)+V44*(Z44-IF(D44="UNTUCA",IF(+((W44-3)*2.5+(X44-3)*3.1)&gt;0,+((W44-3)*1.5+(X44-3)*3.1),0),IF(+((W44-3)*1.5+(X44-3)*3.1)&gt;0,+((W44-3)*1.5+(X44-3)*3.1),0)))</f>
        <v>18.51091892</v>
      </c>
      <c r="AF44" s="71">
        <f t="shared" si="7"/>
        <v>53.06313469</v>
      </c>
      <c r="AG44" s="71">
        <f t="shared" si="8"/>
        <v>159.0695298</v>
      </c>
      <c r="AH44" s="71">
        <f t="shared" si="9"/>
        <v>101.2138645</v>
      </c>
      <c r="AI44" s="69">
        <f t="shared" si="18"/>
        <v>210.0948981</v>
      </c>
      <c r="AJ44" s="70">
        <f t="shared" si="11"/>
        <v>100.7185981</v>
      </c>
      <c r="AK44" s="53">
        <f t="shared" si="12"/>
        <v>0.4952664456</v>
      </c>
      <c r="AL44" s="65"/>
      <c r="AM44" s="65"/>
      <c r="AV44" s="65">
        <f t="shared" si="19"/>
        <v>6203.430076</v>
      </c>
    </row>
    <row r="45" ht="15.75" customHeight="1">
      <c r="A45" s="116" t="s">
        <v>5150</v>
      </c>
      <c r="B45" s="841">
        <v>45454.0</v>
      </c>
      <c r="C45" s="841">
        <v>45450.0</v>
      </c>
      <c r="D45" s="2" t="s">
        <v>602</v>
      </c>
      <c r="E45" s="915"/>
      <c r="F45" s="67" t="s">
        <v>4394</v>
      </c>
      <c r="G45" s="13">
        <v>80.0</v>
      </c>
      <c r="H45" s="13" t="s">
        <v>47</v>
      </c>
      <c r="I45" s="6">
        <v>8.55</v>
      </c>
      <c r="J45" s="58">
        <v>4.0</v>
      </c>
      <c r="K45" s="59">
        <f t="shared" si="1"/>
        <v>8.208</v>
      </c>
      <c r="L45" s="139">
        <v>0.381</v>
      </c>
      <c r="M45" s="60">
        <v>0.366</v>
      </c>
      <c r="N45" s="969">
        <v>0.421</v>
      </c>
      <c r="O45" s="106">
        <f t="shared" si="15"/>
        <v>0.394</v>
      </c>
      <c r="P45" s="2">
        <v>90.0</v>
      </c>
      <c r="Q45" s="69">
        <v>88.5</v>
      </c>
      <c r="R45" s="65">
        <v>2306.0</v>
      </c>
      <c r="S45" s="3">
        <v>110.0</v>
      </c>
      <c r="U45" s="67">
        <v>130.0</v>
      </c>
      <c r="V45" s="67">
        <v>1.1023</v>
      </c>
      <c r="W45" s="58">
        <v>7.85</v>
      </c>
      <c r="X45" s="58">
        <v>11.8</v>
      </c>
      <c r="Y45" s="934">
        <v>40.0</v>
      </c>
      <c r="Z45" s="69">
        <f t="shared" si="14"/>
        <v>34.555</v>
      </c>
      <c r="AA45" s="70">
        <f t="shared" si="4"/>
        <v>74.555</v>
      </c>
      <c r="AB45" s="71">
        <f t="shared" si="5"/>
        <v>647.1102856</v>
      </c>
      <c r="AC45" s="71">
        <f>+(S45-T45)*V45-'data 1'!$F$4</f>
        <v>41.253</v>
      </c>
      <c r="AD45" s="71">
        <f t="shared" si="6"/>
        <v>-13.70802643</v>
      </c>
      <c r="AE45" s="71">
        <f>+(Y45*V45-'data 1'!$I$21)+V45*(Z45-IF(D45="UNTUCA",IF(+((W45-3)*2.5+(X45-3)*3.1)&gt;0,+((W45-3)*1.5+(X45-3)*3.1),0),IF(+((W45-3)*1.5+(X45-3)*3.1)&gt;0,+((W45-3)*1.5+(X45-3)*3.1),0)))</f>
        <v>18.51091892</v>
      </c>
      <c r="AF45" s="71">
        <f t="shared" si="7"/>
        <v>-27.59594822</v>
      </c>
      <c r="AG45" s="71">
        <f t="shared" si="8"/>
        <v>18.45994426</v>
      </c>
      <c r="AH45" s="71">
        <f t="shared" si="9"/>
        <v>94.88873642</v>
      </c>
      <c r="AI45" s="69">
        <f t="shared" si="18"/>
        <v>69.13229874</v>
      </c>
      <c r="AJ45" s="70">
        <f t="shared" si="11"/>
        <v>99.78956933</v>
      </c>
      <c r="AK45" s="53">
        <f t="shared" si="12"/>
        <v>-4.90083291</v>
      </c>
      <c r="AL45" s="65"/>
      <c r="AM45" s="65"/>
      <c r="AV45" s="65">
        <f t="shared" si="19"/>
        <v>5311.481224</v>
      </c>
    </row>
    <row r="46" ht="15.75" customHeight="1">
      <c r="A46" s="116" t="s">
        <v>5151</v>
      </c>
      <c r="B46" s="841">
        <v>45454.0</v>
      </c>
      <c r="C46" s="841">
        <v>45450.0</v>
      </c>
      <c r="D46" s="2" t="s">
        <v>602</v>
      </c>
      <c r="E46" s="915"/>
      <c r="F46" s="67" t="s">
        <v>4394</v>
      </c>
      <c r="G46" s="13">
        <v>78.0</v>
      </c>
      <c r="H46" s="13" t="s">
        <v>47</v>
      </c>
      <c r="I46" s="6">
        <v>8.46</v>
      </c>
      <c r="J46" s="58">
        <v>4.1</v>
      </c>
      <c r="K46" s="59">
        <f t="shared" si="1"/>
        <v>8.11314</v>
      </c>
      <c r="L46" s="139">
        <v>0.432</v>
      </c>
      <c r="M46" s="60">
        <v>0.41</v>
      </c>
      <c r="N46" s="969">
        <v>0.477</v>
      </c>
      <c r="O46" s="106">
        <f t="shared" si="15"/>
        <v>0.444</v>
      </c>
      <c r="P46" s="2">
        <v>90.0</v>
      </c>
      <c r="Q46" s="69">
        <v>88.46</v>
      </c>
      <c r="R46" s="65">
        <v>2306.0</v>
      </c>
      <c r="S46" s="3">
        <v>120.0</v>
      </c>
      <c r="U46" s="67">
        <v>130.0</v>
      </c>
      <c r="V46" s="67">
        <v>1.1023</v>
      </c>
      <c r="W46" s="58">
        <v>7.8</v>
      </c>
      <c r="X46" s="58">
        <v>11.9</v>
      </c>
      <c r="Y46" s="934">
        <v>40.0</v>
      </c>
      <c r="Z46" s="69">
        <f t="shared" si="14"/>
        <v>34.79</v>
      </c>
      <c r="AA46" s="70">
        <f t="shared" si="4"/>
        <v>74.79</v>
      </c>
      <c r="AB46" s="71">
        <f t="shared" si="5"/>
        <v>743.7654611</v>
      </c>
      <c r="AC46" s="71">
        <f>+(S46-T46)*V46-'data 1'!$F$4</f>
        <v>52.276</v>
      </c>
      <c r="AD46" s="71">
        <f t="shared" si="6"/>
        <v>-15.95743801</v>
      </c>
      <c r="AE46" s="71">
        <f>+(Y46*V46-'data 1'!$I$21)+V46*(Z46-IF(D46="UNTUCA",IF(+((W46-3)*2.5+(X46-3)*3.1)&gt;0,+((W46-3)*1.5+(X46-3)*3.1),0),IF(+((W46-3)*1.5+(X46-3)*3.1)&gt;0,+((W46-3)*1.5+(X46-3)*3.1),0)))</f>
        <v>18.51091892</v>
      </c>
      <c r="AF46" s="71">
        <f t="shared" si="7"/>
        <v>-25.46166967</v>
      </c>
      <c r="AG46" s="71">
        <f t="shared" si="8"/>
        <v>29.36781123</v>
      </c>
      <c r="AH46" s="71">
        <f t="shared" si="9"/>
        <v>106.298888</v>
      </c>
      <c r="AI46" s="69">
        <f t="shared" si="18"/>
        <v>78.35079969</v>
      </c>
      <c r="AJ46" s="70">
        <f t="shared" si="11"/>
        <v>111.1535964</v>
      </c>
      <c r="AK46" s="53">
        <f t="shared" si="12"/>
        <v>-4.854708427</v>
      </c>
      <c r="AL46" s="65"/>
      <c r="AM46" s="65"/>
      <c r="AV46" s="65">
        <f t="shared" si="19"/>
        <v>6034.273313</v>
      </c>
    </row>
    <row r="47" ht="15.75" customHeight="1">
      <c r="A47" s="116" t="s">
        <v>5152</v>
      </c>
      <c r="B47" s="841">
        <v>45459.0</v>
      </c>
      <c r="C47" s="841">
        <v>45450.0</v>
      </c>
      <c r="D47" s="67" t="s">
        <v>602</v>
      </c>
      <c r="E47" s="915"/>
      <c r="F47" s="67" t="s">
        <v>4476</v>
      </c>
      <c r="G47" s="916">
        <v>88.0</v>
      </c>
      <c r="H47" s="916" t="s">
        <v>47</v>
      </c>
      <c r="I47" s="59">
        <v>8.66</v>
      </c>
      <c r="J47" s="69">
        <v>1.5</v>
      </c>
      <c r="K47" s="59">
        <f t="shared" si="1"/>
        <v>8.5301</v>
      </c>
      <c r="L47" s="405">
        <v>0.256</v>
      </c>
      <c r="M47" s="106">
        <v>0.243</v>
      </c>
      <c r="N47" s="968">
        <v>0.243</v>
      </c>
      <c r="O47" s="106">
        <f t="shared" si="15"/>
        <v>0.243</v>
      </c>
      <c r="P47" s="67">
        <v>90.0</v>
      </c>
      <c r="Q47" s="69">
        <v>88.22</v>
      </c>
      <c r="R47" s="70">
        <v>2310.0</v>
      </c>
      <c r="S47" s="134">
        <v>110.0</v>
      </c>
      <c r="T47" s="67"/>
      <c r="U47" s="67">
        <v>130.0</v>
      </c>
      <c r="V47" s="67">
        <v>1.1023</v>
      </c>
      <c r="W47" s="69">
        <v>7.9</v>
      </c>
      <c r="X47" s="69">
        <v>11.8</v>
      </c>
      <c r="Y47" s="934"/>
      <c r="Z47" s="69">
        <f t="shared" si="14"/>
        <v>34.63</v>
      </c>
      <c r="AA47" s="70">
        <f t="shared" si="4"/>
        <v>34.63</v>
      </c>
      <c r="AB47" s="71">
        <f t="shared" si="5"/>
        <v>366.1135128</v>
      </c>
      <c r="AC47" s="71">
        <f>+(S47-T47)*V47-'data 1'!$F$4</f>
        <v>41.253</v>
      </c>
      <c r="AD47" s="71">
        <f t="shared" si="6"/>
        <v>-10.9500542</v>
      </c>
      <c r="AE47" s="71">
        <f>+(Y47*V47-'data 1'!$I$21)+V47*(Z47-IF(D47="UNTUCA",IF(+((W47-3)*2.5+(X47-3)*3.1)&gt;0,+((W47-3)*1.5+(X47-3)*3.1),0),IF(+((W47-3)*1.5+(X47-3)*3.1)&gt;0,+((W47-3)*1.5+(X47-3)*3.1),0)))</f>
        <v>-25.58108108</v>
      </c>
      <c r="AF47" s="71">
        <f t="shared" si="7"/>
        <v>27.55920636</v>
      </c>
      <c r="AG47" s="71">
        <f t="shared" si="8"/>
        <v>32.28107108</v>
      </c>
      <c r="AH47" s="71">
        <f t="shared" si="9"/>
        <v>66.04960284</v>
      </c>
      <c r="AI47" s="69">
        <f t="shared" si="18"/>
        <v>45.3083466</v>
      </c>
      <c r="AJ47" s="70">
        <f t="shared" si="11"/>
        <v>63.96051837</v>
      </c>
      <c r="AK47" s="53">
        <f t="shared" si="12"/>
        <v>2.089084476</v>
      </c>
      <c r="AL47" s="70"/>
      <c r="AM47" s="70"/>
      <c r="AN47" s="67"/>
      <c r="AO47" s="67"/>
      <c r="AP47" s="67"/>
      <c r="AQ47" s="67"/>
      <c r="AR47" s="67"/>
      <c r="AS47" s="67"/>
      <c r="AT47" s="67"/>
      <c r="AV47" s="65">
        <f t="shared" si="19"/>
        <v>3122.984876</v>
      </c>
    </row>
    <row r="48" ht="15.75" customHeight="1">
      <c r="A48" s="116" t="s">
        <v>5153</v>
      </c>
      <c r="B48" s="841">
        <v>45459.0</v>
      </c>
      <c r="C48" s="841">
        <v>45450.0</v>
      </c>
      <c r="D48" s="67" t="s">
        <v>602</v>
      </c>
      <c r="E48" s="915"/>
      <c r="F48" s="67" t="s">
        <v>4476</v>
      </c>
      <c r="G48" s="916">
        <v>88.0</v>
      </c>
      <c r="H48" s="916" t="s">
        <v>47</v>
      </c>
      <c r="I48" s="59">
        <v>8.31</v>
      </c>
      <c r="J48" s="69">
        <v>1.5</v>
      </c>
      <c r="K48" s="59">
        <f t="shared" si="1"/>
        <v>8.18535</v>
      </c>
      <c r="L48" s="405">
        <v>0.339</v>
      </c>
      <c r="M48" s="106">
        <v>0.322</v>
      </c>
      <c r="N48" s="968">
        <v>0.322</v>
      </c>
      <c r="O48" s="106">
        <f t="shared" si="15"/>
        <v>0.322</v>
      </c>
      <c r="P48" s="67">
        <v>90.0</v>
      </c>
      <c r="Q48" s="69">
        <v>88.48</v>
      </c>
      <c r="R48" s="70">
        <v>2310.0</v>
      </c>
      <c r="S48" s="134">
        <v>120.0</v>
      </c>
      <c r="T48" s="67"/>
      <c r="U48" s="67">
        <v>130.0</v>
      </c>
      <c r="V48" s="67">
        <v>1.1023</v>
      </c>
      <c r="W48" s="69">
        <v>7.9</v>
      </c>
      <c r="X48" s="69">
        <v>11.8</v>
      </c>
      <c r="Y48" s="934"/>
      <c r="Z48" s="69">
        <f t="shared" si="14"/>
        <v>34.63</v>
      </c>
      <c r="AA48" s="70">
        <f t="shared" si="4"/>
        <v>34.63</v>
      </c>
      <c r="AB48" s="71">
        <f t="shared" si="5"/>
        <v>525.9448082</v>
      </c>
      <c r="AC48" s="71">
        <f>+(S48-T48)*V48-'data 1'!$F$4</f>
        <v>52.276</v>
      </c>
      <c r="AD48" s="71">
        <f t="shared" si="6"/>
        <v>-12.38225054</v>
      </c>
      <c r="AE48" s="71">
        <f>+(Y48*V48-'data 1'!$I$21)+V48*(Z48-IF(D48="UNTUCA",IF(+((W48-3)*2.5+(X48-3)*3.1)&gt;0,+((W48-3)*1.5+(X48-3)*3.1),0),IF(+((W48-3)*1.5+(X48-3)*3.1)&gt;0,+((W48-3)*1.5+(X48-3)*3.1),0)))</f>
        <v>-25.58108108</v>
      </c>
      <c r="AF48" s="71">
        <f t="shared" si="7"/>
        <v>36.14517538</v>
      </c>
      <c r="AG48" s="71">
        <f t="shared" si="8"/>
        <v>50.45784376</v>
      </c>
      <c r="AH48" s="71">
        <f t="shared" si="9"/>
        <v>84.17655264</v>
      </c>
      <c r="AI48" s="69">
        <f t="shared" si="18"/>
        <v>60.17498734</v>
      </c>
      <c r="AJ48" s="70">
        <f t="shared" si="11"/>
        <v>81.32886373</v>
      </c>
      <c r="AK48" s="53">
        <f t="shared" si="12"/>
        <v>2.84768891</v>
      </c>
      <c r="AL48" s="70"/>
      <c r="AM48" s="70"/>
      <c r="AN48" s="67"/>
      <c r="AO48" s="67"/>
      <c r="AP48" s="67"/>
      <c r="AQ48" s="67"/>
      <c r="AR48" s="67"/>
      <c r="AS48" s="67"/>
      <c r="AT48" s="67"/>
      <c r="AV48" s="65">
        <f t="shared" si="19"/>
        <v>4305.042336</v>
      </c>
    </row>
    <row r="49" ht="15.75" customHeight="1">
      <c r="A49" s="116" t="s">
        <v>5154</v>
      </c>
      <c r="B49" s="841">
        <v>45459.0</v>
      </c>
      <c r="C49" s="841">
        <v>45450.0</v>
      </c>
      <c r="D49" s="67" t="s">
        <v>602</v>
      </c>
      <c r="E49" s="915"/>
      <c r="F49" s="67" t="s">
        <v>4476</v>
      </c>
      <c r="G49" s="916">
        <v>88.0</v>
      </c>
      <c r="H49" s="916" t="s">
        <v>47</v>
      </c>
      <c r="I49" s="59">
        <v>8.3</v>
      </c>
      <c r="J49" s="69">
        <v>2.0</v>
      </c>
      <c r="K49" s="59">
        <f t="shared" si="1"/>
        <v>8.134</v>
      </c>
      <c r="L49" s="405">
        <v>0.27</v>
      </c>
      <c r="M49" s="106">
        <v>0.257</v>
      </c>
      <c r="N49" s="970">
        <v>0.257</v>
      </c>
      <c r="O49" s="106">
        <f t="shared" si="15"/>
        <v>0.257</v>
      </c>
      <c r="P49" s="67">
        <v>90.0</v>
      </c>
      <c r="Q49" s="69">
        <v>88.4</v>
      </c>
      <c r="R49" s="70">
        <v>2310.0</v>
      </c>
      <c r="S49" s="134">
        <v>110.0</v>
      </c>
      <c r="T49" s="67"/>
      <c r="U49" s="67">
        <v>130.0</v>
      </c>
      <c r="V49" s="67">
        <v>1.1023</v>
      </c>
      <c r="W49" s="69">
        <v>7.9</v>
      </c>
      <c r="X49" s="69">
        <v>11.8</v>
      </c>
      <c r="Y49" s="934"/>
      <c r="Z49" s="69">
        <f t="shared" si="14"/>
        <v>34.63</v>
      </c>
      <c r="AA49" s="70">
        <f t="shared" si="4"/>
        <v>34.63</v>
      </c>
      <c r="AB49" s="71">
        <f t="shared" si="5"/>
        <v>396.3914892</v>
      </c>
      <c r="AC49" s="71">
        <f>+(S49-T49)*V49-'data 1'!$F$4</f>
        <v>41.253</v>
      </c>
      <c r="AD49" s="71">
        <f t="shared" si="6"/>
        <v>-10.38102048</v>
      </c>
      <c r="AE49" s="71">
        <f>+(Y49*V49-'data 1'!$I$21)+V49*(Z49-IF(D49="UNTUCA",IF(+((W49-3)*2.5+(X49-3)*3.1)&gt;0,+((W49-3)*1.5+(X49-3)*3.1),0),IF(+((W49-3)*1.5+(X49-3)*3.1)&gt;0,+((W49-3)*1.5+(X49-3)*3.1),0)))</f>
        <v>-25.58108108</v>
      </c>
      <c r="AF49" s="71">
        <f t="shared" si="7"/>
        <v>27.61543689</v>
      </c>
      <c r="AG49" s="71">
        <f t="shared" si="8"/>
        <v>32.90633533</v>
      </c>
      <c r="AH49" s="71">
        <f t="shared" si="9"/>
        <v>66.56244504</v>
      </c>
      <c r="AI49" s="69">
        <f t="shared" si="18"/>
        <v>47.88364745</v>
      </c>
      <c r="AJ49" s="70">
        <f t="shared" si="11"/>
        <v>64.50433022</v>
      </c>
      <c r="AK49" s="53">
        <f t="shared" si="12"/>
        <v>2.058114816</v>
      </c>
      <c r="AL49" s="70"/>
      <c r="AM49" s="70"/>
      <c r="AN49" s="67"/>
      <c r="AO49" s="67"/>
      <c r="AP49" s="67"/>
      <c r="AQ49" s="67"/>
      <c r="AR49" s="67"/>
      <c r="AS49" s="67"/>
      <c r="AT49" s="67"/>
      <c r="AV49" s="65">
        <f t="shared" si="19"/>
        <v>3224.248373</v>
      </c>
    </row>
    <row r="50" ht="15.75" customHeight="1">
      <c r="A50" s="116" t="s">
        <v>5155</v>
      </c>
      <c r="B50" s="841">
        <v>45456.0</v>
      </c>
      <c r="C50" s="841">
        <v>45454.0</v>
      </c>
      <c r="D50" s="2" t="s">
        <v>51</v>
      </c>
      <c r="E50" s="915"/>
      <c r="F50" s="2" t="s">
        <v>5156</v>
      </c>
      <c r="G50" s="13" t="s">
        <v>4100</v>
      </c>
      <c r="H50" s="13" t="s">
        <v>47</v>
      </c>
      <c r="I50" s="6">
        <v>26.95</v>
      </c>
      <c r="J50" s="58">
        <v>1.5</v>
      </c>
      <c r="K50" s="59">
        <f t="shared" si="1"/>
        <v>26.54575</v>
      </c>
      <c r="L50" s="139">
        <v>0.461</v>
      </c>
      <c r="M50" s="60">
        <v>0.41951000000000005</v>
      </c>
      <c r="N50" s="62">
        <v>0.41951000000000005</v>
      </c>
      <c r="O50" s="106">
        <f t="shared" si="15"/>
        <v>0.42</v>
      </c>
      <c r="P50" s="2">
        <v>90.0</v>
      </c>
      <c r="Q50" s="69">
        <v>89.11720910310001</v>
      </c>
      <c r="R50" s="65">
        <v>2316.905</v>
      </c>
      <c r="S50" s="3">
        <v>120.0</v>
      </c>
      <c r="U50" s="67">
        <v>100.0</v>
      </c>
      <c r="V50" s="67">
        <v>1.1023</v>
      </c>
      <c r="W50" s="58">
        <v>7.4</v>
      </c>
      <c r="X50" s="58">
        <v>11.75</v>
      </c>
      <c r="Y50" s="934"/>
      <c r="Z50" s="69">
        <v>30.0</v>
      </c>
      <c r="AA50" s="909">
        <f t="shared" si="4"/>
        <v>30</v>
      </c>
      <c r="AB50" s="71">
        <f t="shared" si="5"/>
        <v>758.3714762</v>
      </c>
      <c r="AC50" s="71">
        <f>+(S50-T50)*V50-'data 1'!$F$4</f>
        <v>52.276</v>
      </c>
      <c r="AD50" s="71">
        <f t="shared" si="6"/>
        <v>-9.945020024</v>
      </c>
      <c r="AE50" s="71">
        <f>+(Y50*V50-'data 1'!$I$21)+V50*(Z50-IF(D50="UNTUCA",IF(+((W50-3)*2.5+(X50-3)*3.1)&gt;0,+((W50-3)*1.5+(X50-3)*3.1),0),IF(+((W50-3)*1.5+(X50-3)*3.1)&gt;0,+((W50-3)*1.5+(X50-3)*3.1),0)))+25.58</f>
        <v>-4.107148581</v>
      </c>
      <c r="AF50" s="71">
        <f t="shared" si="7"/>
        <v>89.2878415</v>
      </c>
      <c r="AG50" s="71">
        <f t="shared" si="8"/>
        <v>127.5116729</v>
      </c>
      <c r="AH50" s="71">
        <f t="shared" si="9"/>
        <v>373.9095623</v>
      </c>
      <c r="AI50" s="69">
        <f t="shared" si="18"/>
        <v>65.70747172</v>
      </c>
      <c r="AJ50" s="70">
        <f t="shared" si="11"/>
        <v>344.0296465</v>
      </c>
      <c r="AK50" s="53">
        <f t="shared" si="12"/>
        <v>29.87991584</v>
      </c>
      <c r="AL50" s="65"/>
      <c r="AM50" s="65"/>
      <c r="AV50" s="65">
        <f t="shared" si="19"/>
        <v>20131.53961</v>
      </c>
    </row>
    <row r="51" ht="15.75" customHeight="1">
      <c r="A51" s="116" t="s">
        <v>5157</v>
      </c>
      <c r="B51" s="841">
        <v>45456.0</v>
      </c>
      <c r="C51" s="841">
        <v>45454.0</v>
      </c>
      <c r="D51" s="67" t="s">
        <v>602</v>
      </c>
      <c r="E51" s="915"/>
      <c r="F51" s="67" t="s">
        <v>4992</v>
      </c>
      <c r="G51" s="916">
        <v>44.0</v>
      </c>
      <c r="H51" s="916" t="s">
        <v>47</v>
      </c>
      <c r="I51" s="59">
        <v>3.69</v>
      </c>
      <c r="J51" s="69">
        <v>1.0</v>
      </c>
      <c r="K51" s="59">
        <f t="shared" si="1"/>
        <v>3.6531</v>
      </c>
      <c r="L51" s="405">
        <v>1.1015000000000001</v>
      </c>
      <c r="M51" s="106">
        <v>1.0464250000000002</v>
      </c>
      <c r="N51" s="968">
        <v>1.0464250000000002</v>
      </c>
      <c r="O51" s="106">
        <f t="shared" si="15"/>
        <v>1.046</v>
      </c>
      <c r="P51" s="67">
        <v>88.0</v>
      </c>
      <c r="Q51" s="69">
        <v>88.47518640145675</v>
      </c>
      <c r="R51" s="70">
        <v>2316.905</v>
      </c>
      <c r="S51" s="134">
        <v>180.0</v>
      </c>
      <c r="T51" s="67"/>
      <c r="U51" s="67">
        <v>130.0</v>
      </c>
      <c r="V51" s="67">
        <v>1.1023</v>
      </c>
      <c r="W51" s="69">
        <v>7.8</v>
      </c>
      <c r="X51" s="69">
        <v>11.9</v>
      </c>
      <c r="Y51" s="934">
        <v>30.0</v>
      </c>
      <c r="Z51" s="69">
        <f t="shared" ref="Z51:Z73" si="20">IF(D51="UNTUCA",IF(+((W51-3)*1.5+(X51-3)*3.1)&gt;0,+((W51-3)*1.5+(X51-3)*3.1),0),IF(+((W51-3)*1.5+(X51-3)*3.1)&gt;0,+((W51-3)*1.5+(X51-3)*3.1),0))</f>
        <v>34.79</v>
      </c>
      <c r="AA51" s="70">
        <f t="shared" si="4"/>
        <v>64.79</v>
      </c>
      <c r="AB51" s="71">
        <f t="shared" si="5"/>
        <v>1949.100434</v>
      </c>
      <c r="AC51" s="71">
        <f>+(S51-T51)*V51-'data 1'!$F$4</f>
        <v>118.414</v>
      </c>
      <c r="AD51" s="71">
        <f t="shared" si="6"/>
        <v>12.61764285</v>
      </c>
      <c r="AE51" s="71">
        <f>+(Y51*V51-'data 1'!$I$21)+V51*(Z51-IF(D51="UNTUCA",IF(+((W51-3)*2.5+(X51-3)*3.1)&gt;0,+((W51-3)*1.5+(X51-3)*3.1),0),IF(+((W51-3)*1.5+(X51-3)*3.1)&gt;0,+((W51-3)*1.5+(X51-3)*3.1),0)))</f>
        <v>7.487918919</v>
      </c>
      <c r="AF51" s="71">
        <f t="shared" si="7"/>
        <v>118.3706941</v>
      </c>
      <c r="AG51" s="71">
        <f t="shared" si="8"/>
        <v>256.8902559</v>
      </c>
      <c r="AH51" s="71">
        <f t="shared" si="9"/>
        <v>122.060914</v>
      </c>
      <c r="AI51" s="69">
        <f t="shared" si="18"/>
        <v>188.0959912</v>
      </c>
      <c r="AJ51" s="70">
        <f t="shared" si="11"/>
        <v>115.288234</v>
      </c>
      <c r="AK51" s="53">
        <f t="shared" si="12"/>
        <v>6.772680028</v>
      </c>
      <c r="AL51" s="70"/>
      <c r="AM51" s="70"/>
      <c r="AN51" s="67"/>
      <c r="AO51" s="67"/>
      <c r="AP51" s="67"/>
      <c r="AQ51" s="67"/>
      <c r="AR51" s="67"/>
      <c r="AS51" s="67"/>
      <c r="AT51" s="67"/>
      <c r="AV51" s="65">
        <f t="shared" si="19"/>
        <v>7120.258796</v>
      </c>
    </row>
    <row r="52" ht="15.75" customHeight="1">
      <c r="A52" s="116" t="s">
        <v>5158</v>
      </c>
      <c r="B52" s="841">
        <v>45456.0</v>
      </c>
      <c r="C52" s="841">
        <v>45454.0</v>
      </c>
      <c r="D52" s="67" t="s">
        <v>602</v>
      </c>
      <c r="E52" s="915"/>
      <c r="F52" s="67" t="s">
        <v>4992</v>
      </c>
      <c r="G52" s="916">
        <v>50.0</v>
      </c>
      <c r="H52" s="916" t="s">
        <v>47</v>
      </c>
      <c r="I52" s="59">
        <v>4.19</v>
      </c>
      <c r="J52" s="69">
        <v>1.3</v>
      </c>
      <c r="K52" s="59">
        <f t="shared" si="1"/>
        <v>4.13553</v>
      </c>
      <c r="L52" s="405">
        <v>1.021</v>
      </c>
      <c r="M52" s="106">
        <v>0.9699499999999999</v>
      </c>
      <c r="N52" s="968">
        <v>0.9699499999999999</v>
      </c>
      <c r="O52" s="106">
        <f t="shared" si="15"/>
        <v>0.97</v>
      </c>
      <c r="P52" s="67">
        <v>88.0</v>
      </c>
      <c r="Q52" s="69">
        <v>88.4882287479912</v>
      </c>
      <c r="R52" s="70">
        <v>2316.905</v>
      </c>
      <c r="S52" s="134">
        <v>170.0</v>
      </c>
      <c r="T52" s="67"/>
      <c r="U52" s="67">
        <v>130.0</v>
      </c>
      <c r="V52" s="67">
        <v>1.1023</v>
      </c>
      <c r="W52" s="69">
        <v>7.8</v>
      </c>
      <c r="X52" s="69">
        <v>11.8</v>
      </c>
      <c r="Y52" s="934">
        <v>30.0</v>
      </c>
      <c r="Z52" s="69">
        <f t="shared" si="20"/>
        <v>34.48</v>
      </c>
      <c r="AA52" s="70">
        <f t="shared" si="4"/>
        <v>64.48</v>
      </c>
      <c r="AB52" s="71">
        <f t="shared" si="5"/>
        <v>1799.242522</v>
      </c>
      <c r="AC52" s="71">
        <f>+(S52-T52)*V52-'data 1'!$F$4</f>
        <v>107.391</v>
      </c>
      <c r="AD52" s="71">
        <f t="shared" si="6"/>
        <v>12.01652281</v>
      </c>
      <c r="AE52" s="71">
        <f>+(Y52*V52-'data 1'!$I$21)+V52*(Z52-IF(D52="UNTUCA",IF(+((W52-3)*2.5+(X52-3)*3.1)&gt;0,+((W52-3)*1.5+(X52-3)*3.1),0),IF(+((W52-3)*1.5+(X52-3)*3.1)&gt;0,+((W52-3)*1.5+(X52-3)*3.1),0)))</f>
        <v>7.487918919</v>
      </c>
      <c r="AF52" s="71">
        <f t="shared" si="7"/>
        <v>108.7891048</v>
      </c>
      <c r="AG52" s="71">
        <f t="shared" si="8"/>
        <v>235.6845465</v>
      </c>
      <c r="AH52" s="71">
        <f t="shared" si="9"/>
        <v>128.1006959</v>
      </c>
      <c r="AI52" s="69">
        <f t="shared" si="18"/>
        <v>174.3752311</v>
      </c>
      <c r="AJ52" s="70">
        <f t="shared" si="11"/>
        <v>121.0304509</v>
      </c>
      <c r="AK52" s="53">
        <f t="shared" si="12"/>
        <v>7.070244971</v>
      </c>
      <c r="AL52" s="70"/>
      <c r="AM52" s="70"/>
      <c r="AN52" s="67"/>
      <c r="AO52" s="67"/>
      <c r="AP52" s="67"/>
      <c r="AQ52" s="67"/>
      <c r="AR52" s="67"/>
      <c r="AS52" s="67"/>
      <c r="AT52" s="67"/>
      <c r="AV52" s="65">
        <f t="shared" si="19"/>
        <v>7440.821426</v>
      </c>
    </row>
    <row r="53" ht="15.75" customHeight="1">
      <c r="A53" s="116" t="s">
        <v>5159</v>
      </c>
      <c r="B53" s="841">
        <v>45456.0</v>
      </c>
      <c r="C53" s="841">
        <v>45454.0</v>
      </c>
      <c r="D53" s="67" t="s">
        <v>602</v>
      </c>
      <c r="E53" s="915"/>
      <c r="F53" s="67" t="s">
        <v>4992</v>
      </c>
      <c r="G53" s="916">
        <v>43.0</v>
      </c>
      <c r="H53" s="916" t="s">
        <v>47</v>
      </c>
      <c r="I53" s="59">
        <v>3.49</v>
      </c>
      <c r="J53" s="69">
        <v>1.2</v>
      </c>
      <c r="K53" s="59">
        <f t="shared" si="1"/>
        <v>3.44812</v>
      </c>
      <c r="L53" s="405">
        <v>1.312</v>
      </c>
      <c r="M53" s="106">
        <v>1.2464</v>
      </c>
      <c r="N53" s="405">
        <v>1.434</v>
      </c>
      <c r="O53" s="106">
        <f t="shared" si="15"/>
        <v>1.34</v>
      </c>
      <c r="P53" s="67">
        <v>88.0</v>
      </c>
      <c r="Q53" s="69">
        <v>88.0833048033521</v>
      </c>
      <c r="R53" s="70">
        <v>2316.905</v>
      </c>
      <c r="S53" s="134">
        <v>210.0</v>
      </c>
      <c r="T53" s="67"/>
      <c r="U53" s="67">
        <v>130.0</v>
      </c>
      <c r="V53" s="67">
        <v>1.1023</v>
      </c>
      <c r="W53" s="69">
        <v>7.9</v>
      </c>
      <c r="X53" s="69">
        <v>12.1</v>
      </c>
      <c r="Y53" s="934">
        <v>30.0</v>
      </c>
      <c r="Z53" s="69">
        <f t="shared" si="20"/>
        <v>35.56</v>
      </c>
      <c r="AA53" s="70">
        <f t="shared" si="4"/>
        <v>65.56</v>
      </c>
      <c r="AB53" s="71">
        <f t="shared" si="5"/>
        <v>2538.859662</v>
      </c>
      <c r="AC53" s="71">
        <f>+(S53-T53)*V53-'data 1'!$F$4</f>
        <v>151.483</v>
      </c>
      <c r="AD53" s="71">
        <f t="shared" si="6"/>
        <v>2.634714755</v>
      </c>
      <c r="AE53" s="71">
        <f>+(Y53*V53-'data 1'!$I$21)+V53*(Z53-IF(D53="UNTUCA",IF(+((W53-3)*2.5+(X53-3)*3.1)&gt;0,+((W53-3)*1.5+(X53-3)*3.1),0),IF(+((W53-3)*1.5+(X53-3)*3.1)&gt;0,+((W53-3)*1.5+(X53-3)*3.1),0)))</f>
        <v>7.487918919</v>
      </c>
      <c r="AF53" s="71">
        <f t="shared" si="7"/>
        <v>-59.45403807</v>
      </c>
      <c r="AG53" s="71">
        <f t="shared" si="8"/>
        <v>102.1515956</v>
      </c>
      <c r="AH53" s="71">
        <f t="shared" si="9"/>
        <v>136.6214456</v>
      </c>
      <c r="AI53" s="69">
        <f t="shared" si="18"/>
        <v>223.0493632</v>
      </c>
      <c r="AJ53" s="70">
        <f t="shared" si="11"/>
        <v>139.4051799</v>
      </c>
      <c r="AK53" s="53">
        <f t="shared" si="12"/>
        <v>-2.783734299</v>
      </c>
      <c r="AL53" s="70"/>
      <c r="AM53" s="70"/>
      <c r="AN53" s="67"/>
      <c r="AO53" s="67"/>
      <c r="AP53" s="67"/>
      <c r="AQ53" s="67"/>
      <c r="AR53" s="67"/>
      <c r="AS53" s="67"/>
      <c r="AT53" s="67"/>
      <c r="AV53" s="65">
        <f t="shared" si="19"/>
        <v>8754.292777</v>
      </c>
    </row>
    <row r="54" ht="15.75" customHeight="1">
      <c r="A54" s="116" t="s">
        <v>5160</v>
      </c>
      <c r="B54" s="841">
        <v>45456.0</v>
      </c>
      <c r="C54" s="841">
        <v>45454.0</v>
      </c>
      <c r="D54" s="67" t="s">
        <v>602</v>
      </c>
      <c r="E54" s="915"/>
      <c r="F54" s="67" t="s">
        <v>4992</v>
      </c>
      <c r="G54" s="916">
        <v>34.0</v>
      </c>
      <c r="H54" s="916" t="s">
        <v>47</v>
      </c>
      <c r="I54" s="59">
        <v>2.62</v>
      </c>
      <c r="J54" s="69">
        <v>1.0</v>
      </c>
      <c r="K54" s="59">
        <f t="shared" si="1"/>
        <v>2.5938</v>
      </c>
      <c r="L54" s="405">
        <v>1.5830000000000002</v>
      </c>
      <c r="M54" s="106">
        <v>1.5038500000000001</v>
      </c>
      <c r="N54" s="405">
        <v>1.628</v>
      </c>
      <c r="O54" s="106">
        <f t="shared" si="15"/>
        <v>1.566</v>
      </c>
      <c r="P54" s="67">
        <v>88.0</v>
      </c>
      <c r="Q54" s="69">
        <v>88.39590585806187</v>
      </c>
      <c r="R54" s="70">
        <v>2316.905</v>
      </c>
      <c r="S54" s="134">
        <v>230.0</v>
      </c>
      <c r="T54" s="67"/>
      <c r="U54" s="67">
        <v>130.0</v>
      </c>
      <c r="V54" s="67">
        <v>1.1023</v>
      </c>
      <c r="W54" s="69">
        <v>7.9</v>
      </c>
      <c r="X54" s="69">
        <v>12.2</v>
      </c>
      <c r="Y54" s="934">
        <v>30.0</v>
      </c>
      <c r="Z54" s="69">
        <f t="shared" si="20"/>
        <v>35.87</v>
      </c>
      <c r="AA54" s="70">
        <f t="shared" si="4"/>
        <v>65.87</v>
      </c>
      <c r="AB54" s="71">
        <f t="shared" si="5"/>
        <v>2995.897125</v>
      </c>
      <c r="AC54" s="71">
        <f>+(S54-T54)*V54-'data 1'!$F$4</f>
        <v>173.529</v>
      </c>
      <c r="AD54" s="71">
        <f t="shared" si="6"/>
        <v>15.10784664</v>
      </c>
      <c r="AE54" s="71">
        <f>+(Y54*V54-'data 1'!$I$21)+V54*(Z54-IF(D54="UNTUCA",IF(+((W54-3)*2.5+(X54-3)*3.1)&gt;0,+((W54-3)*1.5+(X54-3)*3.1),0),IF(+((W54-3)*1.5+(X54-3)*3.1)&gt;0,+((W54-3)*1.5+(X54-3)*3.1),0)))</f>
        <v>7.487918919</v>
      </c>
      <c r="AF54" s="71">
        <f t="shared" si="7"/>
        <v>36.22520043</v>
      </c>
      <c r="AG54" s="71">
        <f t="shared" si="8"/>
        <v>232.349966</v>
      </c>
      <c r="AH54" s="71">
        <f t="shared" si="9"/>
        <v>124.4396041</v>
      </c>
      <c r="AI54" s="69">
        <f t="shared" si="18"/>
        <v>270.0763885</v>
      </c>
      <c r="AJ54" s="70">
        <f t="shared" si="11"/>
        <v>122.551882</v>
      </c>
      <c r="AK54" s="53">
        <f t="shared" si="12"/>
        <v>1.887722086</v>
      </c>
      <c r="AL54" s="70"/>
      <c r="AM54" s="70"/>
      <c r="AN54" s="67"/>
      <c r="AO54" s="67"/>
      <c r="AP54" s="67"/>
      <c r="AQ54" s="67"/>
      <c r="AR54" s="67"/>
      <c r="AS54" s="67"/>
      <c r="AT54" s="67"/>
      <c r="AV54" s="65">
        <f t="shared" si="19"/>
        <v>7770.757962</v>
      </c>
    </row>
    <row r="55" ht="15.75" customHeight="1">
      <c r="A55" s="116" t="s">
        <v>5161</v>
      </c>
      <c r="B55" s="841">
        <v>45459.0</v>
      </c>
      <c r="C55" s="841">
        <v>45454.0</v>
      </c>
      <c r="D55" s="2" t="s">
        <v>602</v>
      </c>
      <c r="E55" s="915"/>
      <c r="F55" s="2" t="s">
        <v>4707</v>
      </c>
      <c r="G55" s="13">
        <v>51.0</v>
      </c>
      <c r="H55" s="13" t="s">
        <v>47</v>
      </c>
      <c r="I55" s="6">
        <v>4.68</v>
      </c>
      <c r="J55" s="58">
        <v>1.2</v>
      </c>
      <c r="K55" s="59">
        <f t="shared" si="1"/>
        <v>4.62384</v>
      </c>
      <c r="L55" s="139">
        <v>0.35</v>
      </c>
      <c r="M55" s="60">
        <v>0.32899999999999996</v>
      </c>
      <c r="N55" s="970">
        <v>0.363</v>
      </c>
      <c r="O55" s="106">
        <f t="shared" si="15"/>
        <v>0.346</v>
      </c>
      <c r="P55" s="68">
        <v>90.0</v>
      </c>
      <c r="Q55" s="69">
        <v>88.72418842059211</v>
      </c>
      <c r="R55" s="65">
        <v>2316.905</v>
      </c>
      <c r="S55" s="3">
        <v>110.0</v>
      </c>
      <c r="U55" s="67">
        <v>130.0</v>
      </c>
      <c r="V55" s="67">
        <v>1.1023</v>
      </c>
      <c r="W55" s="58">
        <v>7.9</v>
      </c>
      <c r="X55" s="58">
        <v>11.6</v>
      </c>
      <c r="Y55" s="934"/>
      <c r="Z55" s="69">
        <f t="shared" si="20"/>
        <v>34.01</v>
      </c>
      <c r="AA55" s="70">
        <f t="shared" si="4"/>
        <v>34.01</v>
      </c>
      <c r="AB55" s="71">
        <f t="shared" si="5"/>
        <v>591.9265208</v>
      </c>
      <c r="AC55" s="71">
        <f>+(S55-T55)*V55-'data 1'!$F$4</f>
        <v>41.253</v>
      </c>
      <c r="AD55" s="71">
        <f t="shared" si="6"/>
        <v>-10.76426321</v>
      </c>
      <c r="AE55" s="71">
        <f>+(Y55*V55-'data 1'!$I$21)+V55*(Z55-IF(D55="UNTUCA",IF(+((W55-3)*2.5+(X55-3)*3.1)&gt;0,+((W55-3)*1.5+(X55-3)*3.1),0),IF(+((W55-3)*1.5+(X55-3)*3.1)&gt;0,+((W55-3)*1.5+(X55-3)*3.1),0)))</f>
        <v>-25.58108108</v>
      </c>
      <c r="AF55" s="71">
        <f t="shared" si="7"/>
        <v>8.555231222</v>
      </c>
      <c r="AG55" s="71">
        <f t="shared" si="8"/>
        <v>13.46288693</v>
      </c>
      <c r="AH55" s="71">
        <f t="shared" si="9"/>
        <v>49.22910574</v>
      </c>
      <c r="AI55" s="69">
        <f t="shared" si="18"/>
        <v>59.93543087</v>
      </c>
      <c r="AJ55" s="70">
        <f t="shared" si="11"/>
        <v>49.3662883</v>
      </c>
      <c r="AK55" s="53">
        <f t="shared" si="12"/>
        <v>-0.1371825626</v>
      </c>
      <c r="AL55" s="65"/>
      <c r="AM55" s="65"/>
      <c r="AV55" s="65">
        <f t="shared" si="19"/>
        <v>2736.973524</v>
      </c>
    </row>
    <row r="56" ht="15.75" customHeight="1">
      <c r="A56" s="116" t="s">
        <v>5162</v>
      </c>
      <c r="B56" s="841">
        <v>45459.0</v>
      </c>
      <c r="C56" s="841">
        <v>45454.0</v>
      </c>
      <c r="D56" s="2" t="s">
        <v>602</v>
      </c>
      <c r="E56" s="915"/>
      <c r="F56" s="2" t="s">
        <v>4707</v>
      </c>
      <c r="G56" s="13">
        <v>51.0</v>
      </c>
      <c r="H56" s="13" t="s">
        <v>47</v>
      </c>
      <c r="I56" s="6">
        <v>4.61</v>
      </c>
      <c r="J56" s="58">
        <v>1.3</v>
      </c>
      <c r="K56" s="59">
        <f t="shared" si="1"/>
        <v>4.55007</v>
      </c>
      <c r="L56" s="139">
        <v>0.23</v>
      </c>
      <c r="M56" s="60">
        <v>0.2185</v>
      </c>
      <c r="N56" s="970">
        <v>0.219</v>
      </c>
      <c r="O56" s="106">
        <f t="shared" si="15"/>
        <v>0.219</v>
      </c>
      <c r="P56" s="68">
        <v>90.0</v>
      </c>
      <c r="Q56" s="69">
        <v>88.12</v>
      </c>
      <c r="R56" s="65">
        <v>2316.905</v>
      </c>
      <c r="S56" s="3">
        <v>95.0</v>
      </c>
      <c r="U56" s="67">
        <v>130.0</v>
      </c>
      <c r="V56" s="67">
        <v>1.1023</v>
      </c>
      <c r="W56" s="58">
        <v>7.9</v>
      </c>
      <c r="X56" s="58">
        <v>11.6</v>
      </c>
      <c r="Y56" s="934"/>
      <c r="Z56" s="69">
        <f t="shared" si="20"/>
        <v>34.01</v>
      </c>
      <c r="AA56" s="70">
        <f t="shared" si="4"/>
        <v>34.01</v>
      </c>
      <c r="AB56" s="71">
        <f t="shared" si="5"/>
        <v>332.9265397</v>
      </c>
      <c r="AC56" s="71">
        <f>+(S56-T56)*V56-'data 1'!$F$4</f>
        <v>24.7185</v>
      </c>
      <c r="AD56" s="71">
        <f t="shared" si="6"/>
        <v>-10.42354415</v>
      </c>
      <c r="AE56" s="71">
        <f>+(Y56*V56-'data 1'!$I$21)+V56*(Z56-IF(D56="UNTUCA",IF(+((W56-3)*2.5+(X56-3)*3.1)&gt;0,+((W56-3)*1.5+(X56-3)*3.1),0),IF(+((W56-3)*1.5+(X56-3)*3.1)&gt;0,+((W56-3)*1.5+(X56-3)*3.1),0)))</f>
        <v>-25.58108108</v>
      </c>
      <c r="AF56" s="71">
        <f t="shared" si="7"/>
        <v>23.36667395</v>
      </c>
      <c r="AG56" s="71">
        <f t="shared" si="8"/>
        <v>12.08054872</v>
      </c>
      <c r="AH56" s="71">
        <f t="shared" si="9"/>
        <v>31.61764157</v>
      </c>
      <c r="AI56" s="69">
        <f t="shared" si="18"/>
        <v>39.11793102</v>
      </c>
      <c r="AJ56" s="70">
        <f t="shared" si="11"/>
        <v>30.74778047</v>
      </c>
      <c r="AK56" s="53">
        <f t="shared" si="12"/>
        <v>0.8698611054</v>
      </c>
      <c r="AL56" s="65"/>
      <c r="AM56" s="65"/>
      <c r="AV56" s="65">
        <f t="shared" si="19"/>
        <v>1514.83906</v>
      </c>
    </row>
    <row r="57" ht="15.75" customHeight="1">
      <c r="A57" s="116" t="s">
        <v>5163</v>
      </c>
      <c r="B57" s="841">
        <v>45459.0</v>
      </c>
      <c r="C57" s="841">
        <v>45454.0</v>
      </c>
      <c r="D57" s="67" t="s">
        <v>602</v>
      </c>
      <c r="E57" s="915"/>
      <c r="F57" s="67" t="s">
        <v>5164</v>
      </c>
      <c r="G57" s="916">
        <v>76.0</v>
      </c>
      <c r="H57" s="916" t="s">
        <v>47</v>
      </c>
      <c r="I57" s="59">
        <v>6.81</v>
      </c>
      <c r="J57" s="69">
        <v>1.2</v>
      </c>
      <c r="K57" s="59">
        <f t="shared" si="1"/>
        <v>6.72828</v>
      </c>
      <c r="L57" s="405">
        <v>0.94</v>
      </c>
      <c r="M57" s="106">
        <v>0.902</v>
      </c>
      <c r="N57" s="917">
        <v>0.962</v>
      </c>
      <c r="O57" s="106">
        <f t="shared" si="15"/>
        <v>0.932</v>
      </c>
      <c r="P57" s="67">
        <v>90.0</v>
      </c>
      <c r="Q57" s="69">
        <v>88.2</v>
      </c>
      <c r="R57" s="70">
        <v>2316.905</v>
      </c>
      <c r="S57" s="134">
        <v>170.0</v>
      </c>
      <c r="T57" s="67"/>
      <c r="U57" s="67">
        <v>130.0</v>
      </c>
      <c r="V57" s="67">
        <v>1.1023</v>
      </c>
      <c r="W57" s="69">
        <v>8.0</v>
      </c>
      <c r="X57" s="69">
        <v>13.0</v>
      </c>
      <c r="Y57" s="934">
        <v>30.0</v>
      </c>
      <c r="Z57" s="69">
        <f t="shared" si="20"/>
        <v>38.5</v>
      </c>
      <c r="AA57" s="70">
        <f t="shared" si="4"/>
        <v>68.5</v>
      </c>
      <c r="AB57" s="71">
        <f t="shared" si="5"/>
        <v>1759.13402</v>
      </c>
      <c r="AC57" s="71">
        <f>+(S57-T57)*V57-'data 1'!$F$4</f>
        <v>107.391</v>
      </c>
      <c r="AD57" s="71">
        <f t="shared" si="6"/>
        <v>-40.78778145</v>
      </c>
      <c r="AE57" s="71">
        <f>+(Y57*V57-'data 1'!$I$21)+V57*(Z57-IF(D57="UNTUCA",IF(+((W57-3)*2.5+(X57-3)*3.1)&gt;0,+((W57-3)*1.5+(X57-3)*3.1),0),IF(+((W57-3)*1.5+(X57-3)*3.1)&gt;0,+((W57-3)*1.5+(X57-3)*3.1),0)))</f>
        <v>7.487918919</v>
      </c>
      <c r="AF57" s="71">
        <f t="shared" si="7"/>
        <v>17.00937269</v>
      </c>
      <c r="AG57" s="71">
        <f t="shared" si="8"/>
        <v>91.10051016</v>
      </c>
      <c r="AH57" s="71">
        <f t="shared" si="9"/>
        <v>191.2535761</v>
      </c>
      <c r="AI57" s="69">
        <f t="shared" si="18"/>
        <v>160.0184247</v>
      </c>
      <c r="AJ57" s="70">
        <f t="shared" si="11"/>
        <v>193.4958022</v>
      </c>
      <c r="AK57" s="53">
        <f t="shared" si="12"/>
        <v>-2.242226034</v>
      </c>
      <c r="AL57" s="70"/>
      <c r="AM57" s="70"/>
      <c r="AN57" s="67"/>
      <c r="AO57" s="67"/>
      <c r="AP57" s="67"/>
      <c r="AQ57" s="67"/>
      <c r="AR57" s="67"/>
      <c r="AS57" s="67"/>
      <c r="AT57" s="67"/>
      <c r="AV57" s="65">
        <f t="shared" si="19"/>
        <v>11835.94624</v>
      </c>
    </row>
    <row r="58" ht="15.75" customHeight="1">
      <c r="A58" s="116" t="s">
        <v>5165</v>
      </c>
      <c r="B58" s="841">
        <v>45459.0</v>
      </c>
      <c r="C58" s="841">
        <v>45454.0</v>
      </c>
      <c r="D58" s="2" t="s">
        <v>602</v>
      </c>
      <c r="E58" s="915"/>
      <c r="F58" s="2" t="s">
        <v>5164</v>
      </c>
      <c r="G58" s="13">
        <v>77.0</v>
      </c>
      <c r="H58" s="13" t="s">
        <v>47</v>
      </c>
      <c r="I58" s="6">
        <v>6.83</v>
      </c>
      <c r="J58" s="58">
        <v>1.0</v>
      </c>
      <c r="K58" s="59">
        <f t="shared" si="1"/>
        <v>6.7617</v>
      </c>
      <c r="L58" s="139">
        <v>0.939</v>
      </c>
      <c r="M58" s="60">
        <v>0.89205</v>
      </c>
      <c r="N58" s="427">
        <v>0.973</v>
      </c>
      <c r="O58" s="106">
        <f t="shared" si="15"/>
        <v>0.933</v>
      </c>
      <c r="P58" s="68">
        <v>90.0</v>
      </c>
      <c r="Q58" s="69">
        <v>88.53</v>
      </c>
      <c r="R58" s="65">
        <v>2316.905</v>
      </c>
      <c r="S58" s="3">
        <v>170.0</v>
      </c>
      <c r="U58" s="67">
        <v>130.0</v>
      </c>
      <c r="V58" s="67">
        <v>1.1023</v>
      </c>
      <c r="W58" s="58">
        <v>8.0</v>
      </c>
      <c r="X58" s="58">
        <v>13.1</v>
      </c>
      <c r="Y58" s="934">
        <v>30.0</v>
      </c>
      <c r="Z58" s="69">
        <f t="shared" si="20"/>
        <v>38.81</v>
      </c>
      <c r="AA58" s="70">
        <f t="shared" si="4"/>
        <v>68.81</v>
      </c>
      <c r="AB58" s="71">
        <f t="shared" si="5"/>
        <v>1760.96187</v>
      </c>
      <c r="AC58" s="71">
        <f>+(S58-T58)*V58-'data 1'!$F$4</f>
        <v>107.391</v>
      </c>
      <c r="AD58" s="71">
        <f t="shared" si="6"/>
        <v>-33.27458533</v>
      </c>
      <c r="AE58" s="71">
        <f>+(Y58*V58-'data 1'!$I$21)+V58*(Z58-IF(D58="UNTUCA",IF(+((W58-3)*2.5+(X58-3)*3.1)&gt;0,+((W58-3)*1.5+(X58-3)*3.1),0),IF(+((W58-3)*1.5+(X58-3)*3.1)&gt;0,+((W58-3)*1.5+(X58-3)*3.1),0)))</f>
        <v>7.487918919</v>
      </c>
      <c r="AF58" s="71">
        <f t="shared" si="7"/>
        <v>12.8047599</v>
      </c>
      <c r="AG58" s="71">
        <f t="shared" si="8"/>
        <v>94.40909349</v>
      </c>
      <c r="AH58" s="71">
        <f t="shared" si="9"/>
        <v>192.7174427</v>
      </c>
      <c r="AI58" s="69">
        <f t="shared" si="18"/>
        <v>160.4462638</v>
      </c>
      <c r="AJ58" s="70">
        <f t="shared" si="11"/>
        <v>194.6655588</v>
      </c>
      <c r="AK58" s="53">
        <f t="shared" si="12"/>
        <v>-1.948116101</v>
      </c>
      <c r="AL58" s="65"/>
      <c r="AM58" s="65"/>
      <c r="AV58" s="65">
        <f t="shared" si="19"/>
        <v>11907.09588</v>
      </c>
    </row>
    <row r="59" ht="15.75" customHeight="1">
      <c r="A59" s="116" t="s">
        <v>5166</v>
      </c>
      <c r="B59" s="841">
        <v>45406.0</v>
      </c>
      <c r="C59" s="841">
        <v>45454.0</v>
      </c>
      <c r="D59" s="2" t="s">
        <v>602</v>
      </c>
      <c r="E59" s="915"/>
      <c r="F59" s="2" t="s">
        <v>5058</v>
      </c>
      <c r="G59" s="13">
        <v>136.0</v>
      </c>
      <c r="H59" s="13" t="s">
        <v>47</v>
      </c>
      <c r="I59" s="6">
        <v>12.21</v>
      </c>
      <c r="J59" s="58">
        <v>1.3</v>
      </c>
      <c r="K59" s="59">
        <f t="shared" si="1"/>
        <v>12.05127</v>
      </c>
      <c r="L59" s="139">
        <v>0.76</v>
      </c>
      <c r="M59" s="60">
        <v>0.722</v>
      </c>
      <c r="N59" s="917">
        <v>0.763</v>
      </c>
      <c r="O59" s="106">
        <f t="shared" si="15"/>
        <v>0.743</v>
      </c>
      <c r="P59" s="68">
        <v>90.0</v>
      </c>
      <c r="Q59" s="69">
        <v>88.14</v>
      </c>
      <c r="R59" s="65">
        <v>2316.905</v>
      </c>
      <c r="S59" s="3">
        <v>130.0</v>
      </c>
      <c r="U59" s="67">
        <v>130.0</v>
      </c>
      <c r="V59" s="67">
        <v>1.1023</v>
      </c>
      <c r="W59" s="58">
        <v>8.0</v>
      </c>
      <c r="X59" s="58">
        <v>11.6</v>
      </c>
      <c r="Y59" s="934">
        <v>30.0</v>
      </c>
      <c r="Z59" s="69">
        <f t="shared" si="20"/>
        <v>34.16</v>
      </c>
      <c r="AA59" s="70">
        <f t="shared" si="4"/>
        <v>64.16</v>
      </c>
      <c r="AB59" s="71">
        <f t="shared" si="5"/>
        <v>1397.962625</v>
      </c>
      <c r="AC59" s="71">
        <f>+(S59-T59)*V59-'data 1'!$F$4</f>
        <v>63.299</v>
      </c>
      <c r="AD59" s="71">
        <f t="shared" si="6"/>
        <v>-34.07660039</v>
      </c>
      <c r="AE59" s="71">
        <f>+(Y59*V59-'data 1'!$I$21)+V59*(Z59-IF(D59="UNTUCA",IF(+((W59-3)*2.5+(X59-3)*3.1)&gt;0,+((W59-3)*1.5+(X59-3)*3.1),0),IF(+((W59-3)*1.5+(X59-3)*3.1)&gt;0,+((W59-3)*1.5+(X59-3)*3.1),0)))</f>
        <v>7.487918919</v>
      </c>
      <c r="AF59" s="71">
        <f t="shared" si="7"/>
        <v>36.12032859</v>
      </c>
      <c r="AG59" s="71">
        <f t="shared" si="8"/>
        <v>72.83064712</v>
      </c>
      <c r="AH59" s="71">
        <f t="shared" si="9"/>
        <v>276.776061</v>
      </c>
      <c r="AI59" s="69">
        <f t="shared" si="18"/>
        <v>129.2885874</v>
      </c>
      <c r="AJ59" s="70">
        <f t="shared" si="11"/>
        <v>276.2951166</v>
      </c>
      <c r="AK59" s="53">
        <f t="shared" si="12"/>
        <v>0.4809443933</v>
      </c>
      <c r="AL59" s="65"/>
      <c r="AM59" s="65"/>
      <c r="AV59" s="65">
        <f t="shared" si="19"/>
        <v>16847.22504</v>
      </c>
    </row>
    <row r="60" ht="15.75" customHeight="1">
      <c r="A60" s="116" t="s">
        <v>5167</v>
      </c>
      <c r="B60" s="841">
        <v>45406.0</v>
      </c>
      <c r="C60" s="841">
        <v>45454.0</v>
      </c>
      <c r="D60" s="2" t="s">
        <v>602</v>
      </c>
      <c r="E60" s="915"/>
      <c r="F60" s="2" t="s">
        <v>5058</v>
      </c>
      <c r="G60" s="13">
        <v>136.0</v>
      </c>
      <c r="H60" s="13" t="s">
        <v>47</v>
      </c>
      <c r="I60" s="6">
        <v>12.45</v>
      </c>
      <c r="J60" s="58">
        <v>1.2</v>
      </c>
      <c r="K60" s="59">
        <f t="shared" si="1"/>
        <v>12.3006</v>
      </c>
      <c r="L60" s="139">
        <v>0.6000000000000001</v>
      </c>
      <c r="M60" s="60">
        <v>0.5700000000000001</v>
      </c>
      <c r="N60" s="968">
        <v>0.57</v>
      </c>
      <c r="O60" s="106">
        <f t="shared" si="15"/>
        <v>0.57</v>
      </c>
      <c r="P60" s="68">
        <v>90.0</v>
      </c>
      <c r="Q60" s="69">
        <v>88.72</v>
      </c>
      <c r="R60" s="65">
        <v>2316.905</v>
      </c>
      <c r="S60" s="3">
        <v>150.0</v>
      </c>
      <c r="U60" s="67">
        <v>130.0</v>
      </c>
      <c r="V60" s="67">
        <v>1.1023</v>
      </c>
      <c r="W60" s="58">
        <v>8.0</v>
      </c>
      <c r="X60" s="58">
        <v>11.6</v>
      </c>
      <c r="Y60" s="934">
        <v>30.0</v>
      </c>
      <c r="Z60" s="69">
        <f t="shared" si="20"/>
        <v>34.16</v>
      </c>
      <c r="AA60" s="70">
        <f t="shared" si="4"/>
        <v>64.16</v>
      </c>
      <c r="AB60" s="71">
        <f t="shared" si="5"/>
        <v>1000.582253</v>
      </c>
      <c r="AC60" s="71">
        <f>+(S60-T60)*V60-'data 1'!$F$4</f>
        <v>85.345</v>
      </c>
      <c r="AD60" s="71">
        <f t="shared" si="6"/>
        <v>-18.51360293</v>
      </c>
      <c r="AE60" s="71">
        <f>+(Y60*V60-'data 1'!$I$21)+V60*(Z60-IF(D60="UNTUCA",IF(+((W60-3)*2.5+(X60-3)*3.1)&gt;0,+((W60-3)*1.5+(X60-3)*3.1),0),IF(+((W60-3)*1.5+(X60-3)*3.1)&gt;0,+((W60-3)*1.5+(X60-3)*3.1),0)))</f>
        <v>7.487918919</v>
      </c>
      <c r="AF60" s="71">
        <f t="shared" si="7"/>
        <v>64.16120515</v>
      </c>
      <c r="AG60" s="71">
        <f t="shared" si="8"/>
        <v>138.4805211</v>
      </c>
      <c r="AH60" s="71">
        <f t="shared" si="9"/>
        <v>224.495763</v>
      </c>
      <c r="AI60" s="69">
        <f t="shared" si="18"/>
        <v>102.7416026</v>
      </c>
      <c r="AJ60" s="70">
        <f t="shared" si="11"/>
        <v>216.3479231</v>
      </c>
      <c r="AK60" s="53">
        <f t="shared" si="12"/>
        <v>8.147839911</v>
      </c>
      <c r="AL60" s="65"/>
      <c r="AM60" s="65"/>
      <c r="AV60" s="65">
        <f t="shared" si="19"/>
        <v>12307.76206</v>
      </c>
    </row>
    <row r="61" ht="15.75" customHeight="1">
      <c r="A61" s="116">
        <v>0.0</v>
      </c>
      <c r="B61" s="841">
        <v>45456.0</v>
      </c>
      <c r="C61" s="841">
        <v>45454.0</v>
      </c>
      <c r="D61" s="2" t="s">
        <v>602</v>
      </c>
      <c r="E61" s="915"/>
      <c r="F61" s="2" t="s">
        <v>4670</v>
      </c>
      <c r="G61" s="13">
        <v>51.0</v>
      </c>
      <c r="H61" s="13" t="s">
        <v>47</v>
      </c>
      <c r="I61" s="6">
        <v>4.42</v>
      </c>
      <c r="J61" s="58">
        <v>1.5</v>
      </c>
      <c r="K61" s="59">
        <f t="shared" si="1"/>
        <v>4.3537</v>
      </c>
      <c r="L61" s="139">
        <v>0.41600000000000004</v>
      </c>
      <c r="M61" s="60">
        <v>0.39104</v>
      </c>
      <c r="N61" s="968">
        <v>0.39104</v>
      </c>
      <c r="O61" s="106">
        <f t="shared" si="15"/>
        <v>0.391</v>
      </c>
      <c r="P61" s="2">
        <v>88.0</v>
      </c>
      <c r="Q61" s="69">
        <v>87.88</v>
      </c>
      <c r="R61" s="65">
        <v>2316.905</v>
      </c>
      <c r="S61" s="3">
        <v>120.0</v>
      </c>
      <c r="U61" s="67">
        <v>130.0</v>
      </c>
      <c r="V61" s="67">
        <v>1.1023</v>
      </c>
      <c r="W61" s="58">
        <v>7.9</v>
      </c>
      <c r="X61" s="58">
        <v>11.9</v>
      </c>
      <c r="Y61" s="934">
        <v>30.0</v>
      </c>
      <c r="Z61" s="69">
        <f t="shared" si="20"/>
        <v>34.94</v>
      </c>
      <c r="AA61" s="70">
        <f t="shared" si="4"/>
        <v>64.94</v>
      </c>
      <c r="AB61" s="71">
        <f t="shared" si="5"/>
        <v>625.5886193</v>
      </c>
      <c r="AC61" s="71">
        <f>+(S61-T61)*V61-'data 1'!$F$4</f>
        <v>52.276</v>
      </c>
      <c r="AD61" s="71">
        <f t="shared" si="6"/>
        <v>-1.20338419</v>
      </c>
      <c r="AE61" s="71">
        <f>+(Y61*V61-'data 1'!$I$21)+V61*(Z61-IF(D61="UNTUCA",IF(+((W61-3)*2.5+(X61-3)*3.1)&gt;0,+((W61-3)*1.5+(X61-3)*3.1),0),IF(+((W61-3)*1.5+(X61-3)*3.1)&gt;0,+((W61-3)*1.5+(X61-3)*3.1),0)))</f>
        <v>7.487918919</v>
      </c>
      <c r="AF61" s="71">
        <f t="shared" si="7"/>
        <v>52.96143963</v>
      </c>
      <c r="AG61" s="71">
        <f t="shared" si="8"/>
        <v>111.5219744</v>
      </c>
      <c r="AH61" s="71">
        <f t="shared" si="9"/>
        <v>54.56962232</v>
      </c>
      <c r="AI61" s="69">
        <f t="shared" si="18"/>
        <v>70.55973335</v>
      </c>
      <c r="AJ61" s="70">
        <f t="shared" si="11"/>
        <v>51.36023458</v>
      </c>
      <c r="AK61" s="53">
        <f t="shared" si="12"/>
        <v>3.209387735</v>
      </c>
      <c r="AL61" s="65"/>
      <c r="AM61" s="65"/>
      <c r="AV61" s="65">
        <f t="shared" si="19"/>
        <v>2723.625172</v>
      </c>
    </row>
    <row r="62" ht="15.75" customHeight="1">
      <c r="A62" s="116" t="s">
        <v>5168</v>
      </c>
      <c r="B62" s="841">
        <v>45456.0</v>
      </c>
      <c r="C62" s="841">
        <v>45454.0</v>
      </c>
      <c r="D62" s="2" t="s">
        <v>602</v>
      </c>
      <c r="E62" s="915"/>
      <c r="F62" s="2" t="s">
        <v>4670</v>
      </c>
      <c r="G62" s="13">
        <v>11.0</v>
      </c>
      <c r="H62" s="13" t="s">
        <v>47</v>
      </c>
      <c r="I62" s="6">
        <v>1.1</v>
      </c>
      <c r="J62" s="58">
        <v>1.3</v>
      </c>
      <c r="K62" s="59">
        <f t="shared" si="1"/>
        <v>1.0857</v>
      </c>
      <c r="L62" s="139">
        <v>0.3</v>
      </c>
      <c r="M62" s="60">
        <v>0.285</v>
      </c>
      <c r="N62" s="968">
        <v>0.285</v>
      </c>
      <c r="O62" s="106">
        <f t="shared" si="15"/>
        <v>0.285</v>
      </c>
      <c r="P62" s="2">
        <v>88.0</v>
      </c>
      <c r="Q62" s="69">
        <v>87.79</v>
      </c>
      <c r="R62" s="65">
        <v>2316.905</v>
      </c>
      <c r="S62" s="3">
        <v>110.0</v>
      </c>
      <c r="U62" s="67">
        <v>130.0</v>
      </c>
      <c r="V62" s="67">
        <v>1.1023</v>
      </c>
      <c r="W62" s="58">
        <v>7.9</v>
      </c>
      <c r="X62" s="58">
        <v>11.9</v>
      </c>
      <c r="Y62" s="934">
        <v>30.0</v>
      </c>
      <c r="Z62" s="69">
        <f t="shared" si="20"/>
        <v>34.94</v>
      </c>
      <c r="AA62" s="70">
        <f t="shared" si="4"/>
        <v>64.94</v>
      </c>
      <c r="AB62" s="71">
        <f t="shared" si="5"/>
        <v>411.7484837</v>
      </c>
      <c r="AC62" s="71">
        <f>+(S62-T62)*V62-'data 1'!$F$4</f>
        <v>41.253</v>
      </c>
      <c r="AD62" s="71">
        <f t="shared" si="6"/>
        <v>-1.51869399</v>
      </c>
      <c r="AE62" s="71">
        <f>+(Y62*V62-'data 1'!$I$21)+V62*(Z62-IF(D62="UNTUCA",IF(+((W62-3)*2.5+(X62-3)*3.1)&gt;0,+((W62-3)*1.5+(X62-3)*3.1),0),IF(+((W62-3)*1.5+(X62-3)*3.1)&gt;0,+((W62-3)*1.5+(X62-3)*3.1),0)))</f>
        <v>7.487918919</v>
      </c>
      <c r="AF62" s="71">
        <f t="shared" si="7"/>
        <v>31.74432034</v>
      </c>
      <c r="AG62" s="71">
        <f t="shared" si="8"/>
        <v>78.96654526</v>
      </c>
      <c r="AH62" s="71">
        <f t="shared" si="9"/>
        <v>9.803591596</v>
      </c>
      <c r="AI62" s="69">
        <f t="shared" si="18"/>
        <v>50.83231114</v>
      </c>
      <c r="AJ62" s="70">
        <f t="shared" si="11"/>
        <v>9.335690368</v>
      </c>
      <c r="AK62" s="53">
        <f t="shared" si="12"/>
        <v>0.4679012278</v>
      </c>
      <c r="AL62" s="65"/>
      <c r="AM62" s="65"/>
      <c r="AV62" s="65">
        <f t="shared" si="19"/>
        <v>447.0353287</v>
      </c>
    </row>
    <row r="63" ht="15.75" customHeight="1">
      <c r="A63" s="116" t="s">
        <v>5169</v>
      </c>
      <c r="B63" s="841">
        <v>45459.0</v>
      </c>
      <c r="C63" s="841">
        <v>45455.0</v>
      </c>
      <c r="D63" s="67" t="s">
        <v>602</v>
      </c>
      <c r="E63" s="915"/>
      <c r="F63" s="67" t="s">
        <v>4476</v>
      </c>
      <c r="G63" s="916">
        <v>100.0</v>
      </c>
      <c r="H63" s="916" t="s">
        <v>47</v>
      </c>
      <c r="I63" s="59">
        <v>8.71</v>
      </c>
      <c r="J63" s="69">
        <v>1.6</v>
      </c>
      <c r="K63" s="59">
        <f t="shared" si="1"/>
        <v>8.57064</v>
      </c>
      <c r="L63" s="405">
        <v>0.47100000000000003</v>
      </c>
      <c r="M63" s="106">
        <v>0.48</v>
      </c>
      <c r="N63" s="135">
        <v>0.451</v>
      </c>
      <c r="O63" s="106">
        <f t="shared" si="15"/>
        <v>0.466</v>
      </c>
      <c r="P63" s="67">
        <v>90.0</v>
      </c>
      <c r="Q63" s="69">
        <v>88.21</v>
      </c>
      <c r="R63" s="70">
        <v>2316.905</v>
      </c>
      <c r="S63" s="134">
        <v>130.0</v>
      </c>
      <c r="T63" s="67"/>
      <c r="U63" s="67">
        <v>130.0</v>
      </c>
      <c r="V63" s="67">
        <v>1.1023</v>
      </c>
      <c r="W63" s="69">
        <v>8.0</v>
      </c>
      <c r="X63" s="69">
        <v>11.9</v>
      </c>
      <c r="Y63" s="934">
        <v>30.0</v>
      </c>
      <c r="Z63" s="69">
        <f t="shared" si="20"/>
        <v>35.09</v>
      </c>
      <c r="AA63" s="70">
        <f t="shared" si="4"/>
        <v>65.09</v>
      </c>
      <c r="AB63" s="71">
        <f t="shared" si="5"/>
        <v>795.968578</v>
      </c>
      <c r="AC63" s="71">
        <f>+(S63-T63)*V63-'data 1'!$F$4</f>
        <v>63.299</v>
      </c>
      <c r="AD63" s="71">
        <f t="shared" si="6"/>
        <v>-20.32374153</v>
      </c>
      <c r="AE63" s="71">
        <f>+(Y63*V63-'data 1'!$I$21)+V63*(Z63-IF(D63="UNTUCA",IF(+((W63-3)*2.5+(X63-3)*3.1)&gt;0,+((W63-3)*1.5+(X63-3)*3.1),0),IF(+((W63-3)*1.5+(X63-3)*3.1)&gt;0,+((W63-3)*1.5+(X63-3)*3.1),0)))</f>
        <v>7.487918919</v>
      </c>
      <c r="AF63" s="71">
        <f t="shared" si="7"/>
        <v>10.63206325</v>
      </c>
      <c r="AG63" s="71">
        <f t="shared" si="8"/>
        <v>61.09524064</v>
      </c>
      <c r="AH63" s="71">
        <f t="shared" si="9"/>
        <v>122.084647</v>
      </c>
      <c r="AI63" s="69">
        <f t="shared" si="18"/>
        <v>80.18853536</v>
      </c>
      <c r="AJ63" s="70">
        <f t="shared" si="11"/>
        <v>123.239733</v>
      </c>
      <c r="AK63" s="53">
        <f t="shared" si="12"/>
        <v>-1.155085996</v>
      </c>
      <c r="AL63" s="70"/>
      <c r="AM63" s="70"/>
      <c r="AN63" s="67"/>
      <c r="AO63" s="67"/>
      <c r="AP63" s="67"/>
      <c r="AQ63" s="67"/>
      <c r="AR63" s="67"/>
      <c r="AS63" s="67"/>
      <c r="AT63" s="67"/>
      <c r="AU63" s="67"/>
      <c r="AV63" s="65">
        <f t="shared" si="19"/>
        <v>6821.960133</v>
      </c>
      <c r="AW63" s="67"/>
      <c r="AX63" s="67"/>
    </row>
    <row r="64" ht="15.75" customHeight="1">
      <c r="A64" s="116" t="s">
        <v>5170</v>
      </c>
      <c r="B64" s="841">
        <v>45459.0</v>
      </c>
      <c r="C64" s="841">
        <v>45455.0</v>
      </c>
      <c r="D64" s="2" t="s">
        <v>602</v>
      </c>
      <c r="E64" s="915"/>
      <c r="F64" s="2" t="s">
        <v>4476</v>
      </c>
      <c r="G64" s="13">
        <v>86.0</v>
      </c>
      <c r="H64" s="13" t="s">
        <v>47</v>
      </c>
      <c r="I64" s="6">
        <v>8.08</v>
      </c>
      <c r="J64" s="58">
        <v>1.3</v>
      </c>
      <c r="K64" s="59">
        <f t="shared" si="1"/>
        <v>7.97496</v>
      </c>
      <c r="L64" s="139">
        <v>0.21</v>
      </c>
      <c r="M64" s="60">
        <v>0.19949999999999998</v>
      </c>
      <c r="N64" s="62">
        <v>0.19949999999999998</v>
      </c>
      <c r="O64" s="106">
        <f t="shared" si="15"/>
        <v>0.2</v>
      </c>
      <c r="P64" s="2">
        <v>90.0</v>
      </c>
      <c r="Q64" s="67">
        <v>88.67</v>
      </c>
      <c r="R64" s="65">
        <v>2316.905</v>
      </c>
      <c r="S64" s="3">
        <v>110.0</v>
      </c>
      <c r="U64" s="67">
        <v>130.0</v>
      </c>
      <c r="V64" s="67">
        <v>1.1023</v>
      </c>
      <c r="W64" s="58">
        <v>8.0</v>
      </c>
      <c r="X64" s="58">
        <v>11.9</v>
      </c>
      <c r="Y64" s="934">
        <v>25.0</v>
      </c>
      <c r="Z64" s="69">
        <f t="shared" si="20"/>
        <v>35.09</v>
      </c>
      <c r="AA64" s="70">
        <f t="shared" si="4"/>
        <v>60.09</v>
      </c>
      <c r="AB64" s="71">
        <f t="shared" si="5"/>
        <v>246.4223617</v>
      </c>
      <c r="AC64" s="71">
        <f>+(S64-T64)*V64-'data 1'!$F$4</f>
        <v>41.253</v>
      </c>
      <c r="AD64" s="71">
        <f t="shared" si="6"/>
        <v>-6.732876691</v>
      </c>
      <c r="AE64" s="71">
        <f>+(Y64*V64-'data 1'!$I$21)+V64*(Z64-IF(D64="UNTUCA",IF(+((W64-3)*2.5+(X64-3)*3.1)&gt;0,+((W64-3)*1.5+(X64-3)*3.1),0),IF(+((W64-3)*1.5+(X64-3)*3.1)&gt;0,+((W64-3)*1.5+(X64-3)*3.1),0)))</f>
        <v>1.976418919</v>
      </c>
      <c r="AF64" s="71">
        <f t="shared" si="7"/>
        <v>21.37501526</v>
      </c>
      <c r="AG64" s="71">
        <f t="shared" si="8"/>
        <v>57.87155749</v>
      </c>
      <c r="AH64" s="71">
        <f t="shared" si="9"/>
        <v>50.91357417</v>
      </c>
      <c r="AI64" s="69">
        <f t="shared" si="18"/>
        <v>35.93929514</v>
      </c>
      <c r="AJ64" s="70">
        <f t="shared" si="11"/>
        <v>49.21642769</v>
      </c>
      <c r="AK64" s="53">
        <f t="shared" si="12"/>
        <v>1.697146482</v>
      </c>
      <c r="AL64" s="65"/>
      <c r="AM64" s="65"/>
      <c r="AV64" s="65">
        <f t="shared" si="19"/>
        <v>1965.208477</v>
      </c>
    </row>
    <row r="65" ht="15.75" customHeight="1">
      <c r="A65" s="116" t="s">
        <v>5171</v>
      </c>
      <c r="B65" s="841">
        <v>45459.0</v>
      </c>
      <c r="C65" s="841">
        <v>45455.0</v>
      </c>
      <c r="D65" s="2" t="s">
        <v>602</v>
      </c>
      <c r="E65" s="915"/>
      <c r="F65" s="2" t="s">
        <v>4476</v>
      </c>
      <c r="G65" s="13">
        <v>88.0</v>
      </c>
      <c r="H65" s="13" t="s">
        <v>47</v>
      </c>
      <c r="I65" s="6">
        <v>8.4</v>
      </c>
      <c r="J65" s="58">
        <v>1.5</v>
      </c>
      <c r="K65" s="59">
        <f t="shared" si="1"/>
        <v>8.274</v>
      </c>
      <c r="L65" s="139">
        <v>0.14700000000000002</v>
      </c>
      <c r="M65" s="60">
        <v>0.13965000000000002</v>
      </c>
      <c r="N65" s="62">
        <v>0.13965000000000002</v>
      </c>
      <c r="O65" s="106">
        <f t="shared" si="15"/>
        <v>0.14</v>
      </c>
      <c r="P65" s="2">
        <v>90.0</v>
      </c>
      <c r="Q65" s="2">
        <v>88.55</v>
      </c>
      <c r="R65" s="65">
        <v>2316.905</v>
      </c>
      <c r="S65" s="3">
        <v>100.0</v>
      </c>
      <c r="U65" s="2">
        <v>130.0</v>
      </c>
      <c r="V65" s="2">
        <v>1.1023</v>
      </c>
      <c r="W65" s="58">
        <v>7.8</v>
      </c>
      <c r="X65" s="58">
        <v>11.7</v>
      </c>
      <c r="Y65" s="934">
        <v>25.0</v>
      </c>
      <c r="Z65" s="69">
        <f t="shared" si="20"/>
        <v>34.17</v>
      </c>
      <c r="AA65" s="70">
        <f t="shared" si="4"/>
        <v>59.17</v>
      </c>
      <c r="AB65" s="71">
        <f t="shared" si="5"/>
        <v>128.2857071</v>
      </c>
      <c r="AC65" s="71">
        <f>+(S65-T65)*V65-'data 1'!$F$4</f>
        <v>30.23</v>
      </c>
      <c r="AD65" s="71">
        <f t="shared" si="6"/>
        <v>-5.138248001</v>
      </c>
      <c r="AE65" s="71">
        <f>+(Y65*V65-'data 1'!$I$21)+V65*(Z65-IF(D65="UNTUCA",IF(+((W65-3)*2.5+(X65-3)*3.1)&gt;0,+((W65-3)*1.5+(X65-3)*3.1),0),IF(+((W65-3)*1.5+(X65-3)*3.1)&gt;0,+((W65-3)*1.5+(X65-3)*3.1),0)))</f>
        <v>1.976418919</v>
      </c>
      <c r="AF65" s="71">
        <f t="shared" si="7"/>
        <v>14.94226143</v>
      </c>
      <c r="AG65" s="71">
        <f t="shared" si="8"/>
        <v>42.01043235</v>
      </c>
      <c r="AH65" s="71">
        <f t="shared" si="9"/>
        <v>36.92584872</v>
      </c>
      <c r="AI65" s="69">
        <f t="shared" si="18"/>
        <v>25.12346012</v>
      </c>
      <c r="AJ65" s="70">
        <f t="shared" si="11"/>
        <v>35.74333989</v>
      </c>
      <c r="AK65" s="53">
        <f t="shared" si="12"/>
        <v>1.182508828</v>
      </c>
      <c r="AL65" s="65"/>
      <c r="AM65" s="65"/>
      <c r="AV65" s="65">
        <f t="shared" si="19"/>
        <v>1061.43594</v>
      </c>
    </row>
    <row r="66" ht="15.75" customHeight="1">
      <c r="A66" s="116" t="s">
        <v>5172</v>
      </c>
      <c r="B66" s="841">
        <v>45459.0</v>
      </c>
      <c r="C66" s="841">
        <v>45455.0</v>
      </c>
      <c r="D66" s="2" t="s">
        <v>602</v>
      </c>
      <c r="E66" s="915"/>
      <c r="F66" s="2" t="s">
        <v>4476</v>
      </c>
      <c r="G66" s="13">
        <v>88.0</v>
      </c>
      <c r="H66" s="13" t="s">
        <v>47</v>
      </c>
      <c r="I66" s="6">
        <v>8.64</v>
      </c>
      <c r="J66" s="58">
        <v>1.3</v>
      </c>
      <c r="K66" s="59">
        <f t="shared" si="1"/>
        <v>8.52768</v>
      </c>
      <c r="L66" s="139">
        <v>0.188</v>
      </c>
      <c r="M66" s="60">
        <v>0.17859999999999998</v>
      </c>
      <c r="N66" s="62">
        <v>0.17859999999999998</v>
      </c>
      <c r="O66" s="106">
        <f t="shared" si="15"/>
        <v>0.179</v>
      </c>
      <c r="P66" s="2">
        <v>90.0</v>
      </c>
      <c r="Q66" s="2">
        <v>88.67</v>
      </c>
      <c r="R66" s="65">
        <v>2316.905</v>
      </c>
      <c r="S66" s="3">
        <v>100.0</v>
      </c>
      <c r="U66" s="2">
        <v>130.0</v>
      </c>
      <c r="V66" s="2">
        <v>1.1023</v>
      </c>
      <c r="W66" s="58">
        <v>7.8</v>
      </c>
      <c r="X66" s="58">
        <v>11.8</v>
      </c>
      <c r="Y66" s="934">
        <v>25.0</v>
      </c>
      <c r="Z66" s="69">
        <f t="shared" si="20"/>
        <v>34.48</v>
      </c>
      <c r="AA66" s="70">
        <f t="shared" si="4"/>
        <v>59.48</v>
      </c>
      <c r="AB66" s="71">
        <f t="shared" si="5"/>
        <v>212.556945</v>
      </c>
      <c r="AC66" s="71">
        <f>+(S66-T66)*V66-'data 1'!$F$4</f>
        <v>30.23</v>
      </c>
      <c r="AD66" s="71">
        <f t="shared" si="6"/>
        <v>-6.027527704</v>
      </c>
      <c r="AE66" s="71">
        <f>+(Y66*V66-'data 1'!$I$21)+V66*(Z66-IF(D66="UNTUCA",IF(+((W66-3)*2.5+(X66-3)*3.1)&gt;0,+((W66-3)*1.5+(X66-3)*3.1),0),IF(+((W66-3)*1.5+(X66-3)*3.1)&gt;0,+((W66-3)*1.5+(X66-3)*3.1),0)))</f>
        <v>1.976418919</v>
      </c>
      <c r="AF66" s="71">
        <f t="shared" si="7"/>
        <v>19.23751373</v>
      </c>
      <c r="AG66" s="71">
        <f t="shared" si="8"/>
        <v>45.41640495</v>
      </c>
      <c r="AH66" s="71">
        <f t="shared" si="9"/>
        <v>48.73876521</v>
      </c>
      <c r="AI66" s="69">
        <f t="shared" si="18"/>
        <v>32.17422612</v>
      </c>
      <c r="AJ66" s="70">
        <f t="shared" si="11"/>
        <v>47.10158317</v>
      </c>
      <c r="AK66" s="53">
        <f t="shared" si="12"/>
        <v>1.637182031</v>
      </c>
      <c r="AL66" s="65"/>
      <c r="AM66" s="65"/>
      <c r="AV66" s="65">
        <f t="shared" si="19"/>
        <v>1812.617608</v>
      </c>
    </row>
    <row r="67" ht="15.75" customHeight="1">
      <c r="A67" s="116" t="s">
        <v>5173</v>
      </c>
      <c r="B67" s="841">
        <v>45457.0</v>
      </c>
      <c r="C67" s="841">
        <v>45456.0</v>
      </c>
      <c r="D67" s="978" t="s">
        <v>602</v>
      </c>
      <c r="E67" s="915"/>
      <c r="F67" s="67" t="s">
        <v>5118</v>
      </c>
      <c r="G67" s="916">
        <v>161.0</v>
      </c>
      <c r="H67" s="916" t="s">
        <v>47</v>
      </c>
      <c r="I67" s="59">
        <v>15.98</v>
      </c>
      <c r="J67" s="69">
        <v>1.0</v>
      </c>
      <c r="K67" s="59">
        <f t="shared" si="1"/>
        <v>15.8202</v>
      </c>
      <c r="L67" s="405">
        <v>0.2</v>
      </c>
      <c r="M67" s="106">
        <v>0.191</v>
      </c>
      <c r="N67" s="135">
        <v>0.195</v>
      </c>
      <c r="O67" s="106">
        <f t="shared" si="15"/>
        <v>0.193</v>
      </c>
      <c r="P67" s="67">
        <v>90.0</v>
      </c>
      <c r="Q67" s="67">
        <v>88.23</v>
      </c>
      <c r="R67" s="70">
        <v>2304.135</v>
      </c>
      <c r="S67" s="134">
        <v>100.0</v>
      </c>
      <c r="T67" s="67"/>
      <c r="U67" s="67">
        <v>130.0</v>
      </c>
      <c r="V67" s="67">
        <v>1.1023</v>
      </c>
      <c r="W67" s="69">
        <v>7.8</v>
      </c>
      <c r="X67" s="69">
        <v>11.9</v>
      </c>
      <c r="Y67" s="934">
        <v>30.0</v>
      </c>
      <c r="Z67" s="69">
        <f t="shared" si="20"/>
        <v>34.79</v>
      </c>
      <c r="AA67" s="70">
        <f t="shared" si="4"/>
        <v>64.79</v>
      </c>
      <c r="AB67" s="71">
        <f t="shared" si="5"/>
        <v>234.6325461</v>
      </c>
      <c r="AC67" s="71">
        <f>+(S67-T67)*V67-'data 1'!$F$4</f>
        <v>30.23</v>
      </c>
      <c r="AD67" s="71">
        <f t="shared" si="6"/>
        <v>-8.483783497</v>
      </c>
      <c r="AE67" s="71">
        <f>+(Y67*V67-'data 1'!$I$21)+V67*(Z67-IF(D67="UNTUCA",IF(+((W67-3)*2.5+(X67-3)*3.1)&gt;0,+((W67-3)*1.5+(X67-3)*3.1),0),IF(+((W67-3)*1.5+(X67-3)*3.1)&gt;0,+((W67-3)*1.5+(X67-3)*3.1),0)))</f>
        <v>7.487918919</v>
      </c>
      <c r="AF67" s="71">
        <f t="shared" si="7"/>
        <v>14.80132634</v>
      </c>
      <c r="AG67" s="71">
        <f t="shared" si="8"/>
        <v>44.03546177</v>
      </c>
      <c r="AH67" s="71">
        <f t="shared" si="9"/>
        <v>95.71220328</v>
      </c>
      <c r="AI67" s="69">
        <f t="shared" si="18"/>
        <v>36.5419702</v>
      </c>
      <c r="AJ67" s="70">
        <f t="shared" si="11"/>
        <v>94.2151746</v>
      </c>
      <c r="AK67" s="53">
        <f t="shared" si="12"/>
        <v>1.497028681</v>
      </c>
      <c r="AL67" s="70"/>
      <c r="AM67" s="70"/>
      <c r="AN67" s="67"/>
      <c r="AO67" s="67"/>
      <c r="AP67" s="67"/>
      <c r="AQ67" s="67"/>
      <c r="AR67" s="67"/>
      <c r="AS67" s="67"/>
      <c r="AT67" s="67"/>
      <c r="AV67" s="65">
        <f t="shared" si="19"/>
        <v>3711.933806</v>
      </c>
    </row>
    <row r="68" ht="15.75" customHeight="1">
      <c r="A68" s="116" t="s">
        <v>5174</v>
      </c>
      <c r="B68" s="841">
        <v>45457.0</v>
      </c>
      <c r="C68" s="841">
        <v>45456.0</v>
      </c>
      <c r="D68" s="978" t="s">
        <v>602</v>
      </c>
      <c r="E68" s="915"/>
      <c r="F68" s="67" t="s">
        <v>5118</v>
      </c>
      <c r="G68" s="916">
        <v>8.0</v>
      </c>
      <c r="H68" s="916" t="s">
        <v>40</v>
      </c>
      <c r="I68" s="59">
        <v>0.62</v>
      </c>
      <c r="J68" s="69">
        <v>25.0</v>
      </c>
      <c r="K68" s="59">
        <f t="shared" si="1"/>
        <v>0.465</v>
      </c>
      <c r="L68" s="405">
        <v>5.008</v>
      </c>
      <c r="M68" s="134">
        <v>4.808</v>
      </c>
      <c r="N68" s="917">
        <v>4.892</v>
      </c>
      <c r="O68" s="106">
        <f t="shared" si="15"/>
        <v>4.85</v>
      </c>
      <c r="P68" s="67">
        <v>90.0</v>
      </c>
      <c r="Q68" s="67">
        <v>85.47</v>
      </c>
      <c r="R68" s="70">
        <v>2304.135</v>
      </c>
      <c r="S68" s="134">
        <v>470.0</v>
      </c>
      <c r="T68" s="67"/>
      <c r="U68" s="67">
        <v>130.0</v>
      </c>
      <c r="V68" s="67">
        <v>1.1023</v>
      </c>
      <c r="W68" s="69">
        <v>8.5</v>
      </c>
      <c r="X68" s="69">
        <v>13.5</v>
      </c>
      <c r="Y68" s="934">
        <v>30.0</v>
      </c>
      <c r="Z68" s="69">
        <f t="shared" si="20"/>
        <v>40.8</v>
      </c>
      <c r="AA68" s="70">
        <f t="shared" si="4"/>
        <v>70.8</v>
      </c>
      <c r="AB68" s="71">
        <f t="shared" si="5"/>
        <v>9864.812591</v>
      </c>
      <c r="AC68" s="71">
        <f>+(S68-T68)*V68-'data 1'!$F$4</f>
        <v>438.081</v>
      </c>
      <c r="AD68" s="71">
        <f t="shared" si="6"/>
        <v>-543.6868602</v>
      </c>
      <c r="AE68" s="71">
        <f>+(Y68*V68-'data 1'!$I$21)+V68*(Z68-IF(D68="UNTUCA",IF(+((W68-3)*2.5+(X68-3)*3.1)&gt;0,+((W68-3)*1.5+(X68-3)*3.1),0),IF(+((W68-3)*1.5+(X68-3)*3.1)&gt;0,+((W68-3)*1.5+(X68-3)*3.1),0)))</f>
        <v>7.487918919</v>
      </c>
      <c r="AF68" s="71">
        <f t="shared" si="7"/>
        <v>323.6362094</v>
      </c>
      <c r="AG68" s="71">
        <f t="shared" si="8"/>
        <v>225.5182681</v>
      </c>
      <c r="AH68" s="71">
        <f t="shared" si="9"/>
        <v>68.24016155</v>
      </c>
      <c r="AI68" s="69">
        <f t="shared" si="18"/>
        <v>886.3876745</v>
      </c>
      <c r="AJ68" s="70">
        <f t="shared" si="11"/>
        <v>69.58990926</v>
      </c>
      <c r="AK68" s="53">
        <f t="shared" si="12"/>
        <v>-1.349747705</v>
      </c>
      <c r="AL68" s="70"/>
      <c r="AM68" s="70"/>
      <c r="AN68" s="67"/>
      <c r="AO68" s="67"/>
      <c r="AP68" s="67"/>
      <c r="AQ68" s="67"/>
      <c r="AR68" s="67"/>
      <c r="AS68" s="67"/>
      <c r="AT68" s="67"/>
      <c r="AV68" s="65">
        <f t="shared" si="19"/>
        <v>4587.137855</v>
      </c>
    </row>
    <row r="69" ht="15.75" customHeight="1">
      <c r="A69" s="116" t="s">
        <v>5175</v>
      </c>
      <c r="B69" s="841">
        <v>45457.0</v>
      </c>
      <c r="C69" s="841">
        <v>45456.0</v>
      </c>
      <c r="D69" s="978" t="s">
        <v>602</v>
      </c>
      <c r="E69" s="915"/>
      <c r="F69" s="67" t="s">
        <v>5118</v>
      </c>
      <c r="G69" s="916">
        <v>7.0</v>
      </c>
      <c r="H69" s="916" t="s">
        <v>47</v>
      </c>
      <c r="I69" s="59">
        <v>0.72</v>
      </c>
      <c r="J69" s="69">
        <v>1.2</v>
      </c>
      <c r="K69" s="59">
        <f t="shared" si="1"/>
        <v>0.71136</v>
      </c>
      <c r="L69" s="405">
        <v>2.103</v>
      </c>
      <c r="M69" s="134">
        <v>1.998</v>
      </c>
      <c r="N69" s="970">
        <v>1.998</v>
      </c>
      <c r="O69" s="106">
        <f t="shared" si="15"/>
        <v>1.998</v>
      </c>
      <c r="P69" s="67">
        <v>90.0</v>
      </c>
      <c r="Q69" s="67">
        <v>88.15</v>
      </c>
      <c r="R69" s="70">
        <v>2304.135</v>
      </c>
      <c r="S69" s="134">
        <v>240.0</v>
      </c>
      <c r="T69" s="67"/>
      <c r="U69" s="67">
        <v>130.0</v>
      </c>
      <c r="V69" s="67">
        <v>1.1023</v>
      </c>
      <c r="W69" s="69">
        <v>8.1</v>
      </c>
      <c r="X69" s="69">
        <v>12.0</v>
      </c>
      <c r="Y69" s="934">
        <v>30.0</v>
      </c>
      <c r="Z69" s="69">
        <f t="shared" si="20"/>
        <v>35.55</v>
      </c>
      <c r="AA69" s="70">
        <f t="shared" si="4"/>
        <v>65.55</v>
      </c>
      <c r="AB69" s="71">
        <f t="shared" si="5"/>
        <v>3972.666666</v>
      </c>
      <c r="AC69" s="71">
        <f>+(S69-T69)*V69-'data 1'!$F$4</f>
        <v>184.552</v>
      </c>
      <c r="AD69" s="71">
        <f t="shared" si="6"/>
        <v>-93.23893753</v>
      </c>
      <c r="AE69" s="71">
        <f>+(Y69*V69-'data 1'!$I$21)+V69*(Z69-IF(D69="UNTUCA",IF(+((W69-3)*2.5+(X69-3)*3.1)&gt;0,+((W69-3)*1.5+(X69-3)*3.1),0),IF(+((W69-3)*1.5+(X69-3)*3.1)&gt;0,+((W69-3)*1.5+(X69-3)*3.1),0)))</f>
        <v>7.487918919</v>
      </c>
      <c r="AF69" s="71">
        <f t="shared" si="7"/>
        <v>221.818585</v>
      </c>
      <c r="AG69" s="71">
        <f t="shared" si="8"/>
        <v>320.6195664</v>
      </c>
      <c r="AH69" s="71">
        <f t="shared" si="9"/>
        <v>45.21266426</v>
      </c>
      <c r="AI69" s="69">
        <f t="shared" si="18"/>
        <v>383.8904193</v>
      </c>
      <c r="AJ69" s="70">
        <f t="shared" si="11"/>
        <v>43.8567559</v>
      </c>
      <c r="AK69" s="53">
        <f t="shared" si="12"/>
        <v>1.355908362</v>
      </c>
      <c r="AL69" s="70"/>
      <c r="AM69" s="70"/>
      <c r="AN69" s="67"/>
      <c r="AO69" s="67"/>
      <c r="AP69" s="67"/>
      <c r="AQ69" s="67"/>
      <c r="AR69" s="67"/>
      <c r="AS69" s="67"/>
      <c r="AT69" s="67"/>
      <c r="AV69" s="65">
        <f t="shared" si="19"/>
        <v>2825.996159</v>
      </c>
    </row>
    <row r="70" ht="15.75" customHeight="1">
      <c r="A70" s="116" t="s">
        <v>5176</v>
      </c>
      <c r="B70" s="841">
        <v>45457.0</v>
      </c>
      <c r="C70" s="841">
        <v>45456.0</v>
      </c>
      <c r="D70" s="978" t="s">
        <v>602</v>
      </c>
      <c r="E70" s="915"/>
      <c r="F70" s="67" t="s">
        <v>5118</v>
      </c>
      <c r="G70" s="999">
        <v>71.0</v>
      </c>
      <c r="H70" s="916" t="s">
        <v>47</v>
      </c>
      <c r="I70" s="59">
        <v>6.73</v>
      </c>
      <c r="J70" s="69">
        <v>1.3</v>
      </c>
      <c r="K70" s="59">
        <f t="shared" si="1"/>
        <v>6.64251</v>
      </c>
      <c r="L70" s="405">
        <v>0.96</v>
      </c>
      <c r="M70" s="134">
        <v>0.912</v>
      </c>
      <c r="N70" s="969">
        <v>0.92</v>
      </c>
      <c r="O70" s="106">
        <f t="shared" si="15"/>
        <v>0.916</v>
      </c>
      <c r="P70" s="67">
        <v>90.0</v>
      </c>
      <c r="Q70" s="67">
        <v>88.09</v>
      </c>
      <c r="R70" s="70">
        <v>2304.135</v>
      </c>
      <c r="S70" s="134">
        <v>170.0</v>
      </c>
      <c r="T70" s="67"/>
      <c r="U70" s="67">
        <v>130.0</v>
      </c>
      <c r="V70" s="67">
        <v>1.1023</v>
      </c>
      <c r="W70" s="69">
        <v>7.9</v>
      </c>
      <c r="X70" s="69">
        <v>11.9</v>
      </c>
      <c r="Y70" s="934">
        <v>30.0</v>
      </c>
      <c r="Z70" s="69">
        <f t="shared" si="20"/>
        <v>34.94</v>
      </c>
      <c r="AA70" s="70">
        <f t="shared" si="4"/>
        <v>64.94</v>
      </c>
      <c r="AB70" s="71">
        <f t="shared" si="5"/>
        <v>1716.740642</v>
      </c>
      <c r="AC70" s="71">
        <f>+(S70-T70)*V70-'data 1'!$F$4</f>
        <v>107.391</v>
      </c>
      <c r="AD70" s="71">
        <f t="shared" si="6"/>
        <v>-43.94312266</v>
      </c>
      <c r="AE70" s="71">
        <f>+(Y70*V70-'data 1'!$I$21)+V70*(Z70-IF(D70="UNTUCA",IF(+((W70-3)*2.5+(X70-3)*3.1)&gt;0,+((W70-3)*1.5+(X70-3)*3.1),0),IF(+((W70-3)*1.5+(X70-3)*3.1)&gt;0,+((W70-3)*1.5+(X70-3)*3.1),0)))</f>
        <v>7.487918919</v>
      </c>
      <c r="AF70" s="71">
        <f t="shared" si="7"/>
        <v>92.88928103</v>
      </c>
      <c r="AG70" s="71">
        <f t="shared" si="8"/>
        <v>163.8250773</v>
      </c>
      <c r="AH70" s="71">
        <f t="shared" si="9"/>
        <v>192.5923929</v>
      </c>
      <c r="AI70" s="69">
        <f t="shared" si="18"/>
        <v>175.1231366</v>
      </c>
      <c r="AJ70" s="70">
        <f t="shared" si="11"/>
        <v>187.7497076</v>
      </c>
      <c r="AK70" s="53">
        <f t="shared" si="12"/>
        <v>4.842685325</v>
      </c>
      <c r="AL70" s="70"/>
      <c r="AM70" s="70"/>
      <c r="AN70" s="67"/>
      <c r="AO70" s="67"/>
      <c r="AP70" s="67"/>
      <c r="AQ70" s="67"/>
      <c r="AR70" s="67"/>
      <c r="AS70" s="67"/>
      <c r="AT70" s="67"/>
      <c r="AV70" s="65">
        <f t="shared" si="19"/>
        <v>11403.46688</v>
      </c>
    </row>
    <row r="71" ht="15.75" customHeight="1">
      <c r="A71" s="116" t="s">
        <v>5177</v>
      </c>
      <c r="B71" s="841">
        <v>45457.0</v>
      </c>
      <c r="C71" s="841">
        <v>45456.0</v>
      </c>
      <c r="D71" s="978" t="s">
        <v>602</v>
      </c>
      <c r="E71" s="915"/>
      <c r="F71" s="67" t="s">
        <v>5118</v>
      </c>
      <c r="G71" s="999">
        <v>149.0</v>
      </c>
      <c r="H71" s="916" t="s">
        <v>47</v>
      </c>
      <c r="I71" s="59">
        <v>14.51</v>
      </c>
      <c r="J71" s="69">
        <v>1.2</v>
      </c>
      <c r="K71" s="59">
        <f t="shared" si="1"/>
        <v>14.33588</v>
      </c>
      <c r="L71" s="405">
        <v>0.293</v>
      </c>
      <c r="M71" s="134">
        <v>0.278</v>
      </c>
      <c r="N71" s="917">
        <v>0.295</v>
      </c>
      <c r="O71" s="106">
        <f t="shared" si="15"/>
        <v>0.287</v>
      </c>
      <c r="P71" s="67">
        <v>90.0</v>
      </c>
      <c r="Q71" s="67">
        <v>88.75</v>
      </c>
      <c r="R71" s="70">
        <v>2304.135</v>
      </c>
      <c r="S71" s="134">
        <v>120.0</v>
      </c>
      <c r="T71" s="67"/>
      <c r="U71" s="67">
        <v>130.0</v>
      </c>
      <c r="V71" s="67">
        <v>1.1023</v>
      </c>
      <c r="W71" s="69">
        <v>7.9</v>
      </c>
      <c r="X71" s="69">
        <v>11.8</v>
      </c>
      <c r="Y71" s="934">
        <v>30.0</v>
      </c>
      <c r="Z71" s="69">
        <f t="shared" si="20"/>
        <v>34.63</v>
      </c>
      <c r="AA71" s="70">
        <f t="shared" si="4"/>
        <v>64.63</v>
      </c>
      <c r="AB71" s="71">
        <f t="shared" si="5"/>
        <v>415.5109604</v>
      </c>
      <c r="AC71" s="71">
        <f>+(S71-T71)*V71-'data 1'!$F$4</f>
        <v>52.276</v>
      </c>
      <c r="AD71" s="71">
        <f t="shared" si="6"/>
        <v>-8.777360751</v>
      </c>
      <c r="AE71" s="71">
        <f>+(Y71*V71-'data 1'!$I$21)+V71*(Z71-IF(D71="UNTUCA",IF(+((W71-3)*2.5+(X71-3)*3.1)&gt;0,+((W71-3)*1.5+(X71-3)*3.1),0),IF(+((W71-3)*1.5+(X71-3)*3.1)&gt;0,+((W71-3)*1.5+(X71-3)*3.1),0)))</f>
        <v>7.487918919</v>
      </c>
      <c r="AF71" s="71">
        <f t="shared" si="7"/>
        <v>12.76162348</v>
      </c>
      <c r="AG71" s="71">
        <f t="shared" si="8"/>
        <v>63.74818165</v>
      </c>
      <c r="AH71" s="71">
        <f t="shared" si="9"/>
        <v>127.811346</v>
      </c>
      <c r="AI71" s="69">
        <f t="shared" si="18"/>
        <v>53.8494989</v>
      </c>
      <c r="AJ71" s="70">
        <f t="shared" si="11"/>
        <v>126.9573452</v>
      </c>
      <c r="AK71" s="53">
        <f t="shared" si="12"/>
        <v>0.8540007254</v>
      </c>
      <c r="AL71" s="70"/>
      <c r="AM71" s="70"/>
      <c r="AN71" s="67"/>
      <c r="AO71" s="67"/>
      <c r="AP71" s="67"/>
      <c r="AQ71" s="67"/>
      <c r="AR71" s="67"/>
      <c r="AS71" s="67"/>
      <c r="AT71" s="67"/>
      <c r="AV71" s="65">
        <f t="shared" si="19"/>
        <v>5956.715267</v>
      </c>
    </row>
    <row r="72" ht="15.75" customHeight="1">
      <c r="A72" s="116" t="s">
        <v>5178</v>
      </c>
      <c r="B72" s="870"/>
      <c r="C72" s="841">
        <v>45459.0</v>
      </c>
      <c r="D72" s="978" t="s">
        <v>5179</v>
      </c>
      <c r="E72" s="915"/>
      <c r="F72" s="67" t="s">
        <v>5180</v>
      </c>
      <c r="G72" s="999">
        <v>150.0</v>
      </c>
      <c r="H72" s="916" t="s">
        <v>47</v>
      </c>
      <c r="I72" s="59">
        <v>15.7</v>
      </c>
      <c r="J72" s="69">
        <v>16.15</v>
      </c>
      <c r="K72" s="59">
        <f t="shared" si="1"/>
        <v>13.16445</v>
      </c>
      <c r="L72" s="405">
        <v>0.413</v>
      </c>
      <c r="M72" s="106">
        <v>0.39647999999999994</v>
      </c>
      <c r="N72" s="405">
        <v>0.4</v>
      </c>
      <c r="O72" s="106">
        <f t="shared" si="15"/>
        <v>0.398</v>
      </c>
      <c r="P72" s="67">
        <v>90.0</v>
      </c>
      <c r="Q72" s="69">
        <v>90.07148489322343</v>
      </c>
      <c r="R72" s="70">
        <v>2332.65</v>
      </c>
      <c r="S72" s="134">
        <v>130.0</v>
      </c>
      <c r="T72" s="67"/>
      <c r="U72" s="67">
        <v>100.0</v>
      </c>
      <c r="V72" s="67">
        <v>1.1023</v>
      </c>
      <c r="W72" s="69">
        <v>7.5</v>
      </c>
      <c r="X72" s="69">
        <v>10.6</v>
      </c>
      <c r="Y72" s="934"/>
      <c r="Z72" s="69">
        <f t="shared" si="20"/>
        <v>30.31</v>
      </c>
      <c r="AA72" s="70">
        <f t="shared" si="4"/>
        <v>30.31</v>
      </c>
      <c r="AB72" s="71">
        <f t="shared" si="5"/>
        <v>704.838431</v>
      </c>
      <c r="AC72" s="71">
        <f>+(S72-T72)*V72-'data 1'!$F$4</f>
        <v>63.299</v>
      </c>
      <c r="AD72" s="71">
        <f t="shared" si="6"/>
        <v>0.7265822405</v>
      </c>
      <c r="AE72" s="71">
        <f>+(Y72*V72-'data 1'!$I$21)+V72*(Z72-IF(D72="UNTUCA",IF(+((W72-3)*2.5+(X72-3)*3.1)&gt;0,+((W72-3)*1.5+(X72-3)*3.1),0),IF(+((W72-3)*1.5+(X72-3)*3.1)&gt;0,+((W72-3)*1.5+(X72-3)*3.1),0)))</f>
        <v>-25.58108108</v>
      </c>
      <c r="AF72" s="71">
        <f t="shared" si="7"/>
        <v>33.25056547</v>
      </c>
      <c r="AG72" s="71">
        <f t="shared" si="8"/>
        <v>71.69506663</v>
      </c>
      <c r="AH72" s="71">
        <f t="shared" si="9"/>
        <v>167.8994072</v>
      </c>
      <c r="AI72" s="69">
        <f t="shared" si="18"/>
        <v>53.04001211</v>
      </c>
      <c r="AJ72" s="70">
        <f t="shared" si="11"/>
        <v>161.6729527</v>
      </c>
      <c r="AK72" s="53">
        <f t="shared" si="12"/>
        <v>6.226454465</v>
      </c>
      <c r="AL72" s="65"/>
      <c r="AM72" s="65"/>
      <c r="AV72" s="65">
        <f t="shared" si="19"/>
        <v>9278.810283</v>
      </c>
    </row>
    <row r="73" ht="15.75" customHeight="1">
      <c r="A73" s="116" t="s">
        <v>5181</v>
      </c>
      <c r="B73" s="870"/>
      <c r="C73" s="841">
        <v>45459.0</v>
      </c>
      <c r="D73" s="978" t="s">
        <v>5179</v>
      </c>
      <c r="E73" s="915"/>
      <c r="F73" s="67" t="s">
        <v>5180</v>
      </c>
      <c r="G73" s="999">
        <v>151.0</v>
      </c>
      <c r="H73" s="916" t="s">
        <v>47</v>
      </c>
      <c r="I73" s="59">
        <v>15.63</v>
      </c>
      <c r="J73" s="69">
        <v>16.15</v>
      </c>
      <c r="K73" s="59">
        <f t="shared" si="1"/>
        <v>13.105755</v>
      </c>
      <c r="L73" s="405">
        <v>0.238</v>
      </c>
      <c r="M73" s="106">
        <v>0.22848</v>
      </c>
      <c r="N73" s="405">
        <v>0.248</v>
      </c>
      <c r="O73" s="106">
        <f t="shared" si="15"/>
        <v>0.238</v>
      </c>
      <c r="P73" s="67">
        <v>90.0</v>
      </c>
      <c r="Q73" s="69">
        <v>90.15484881425226</v>
      </c>
      <c r="R73" s="70">
        <v>2332.65</v>
      </c>
      <c r="S73" s="134">
        <v>110.0</v>
      </c>
      <c r="T73" s="67"/>
      <c r="U73" s="67">
        <v>100.0</v>
      </c>
      <c r="V73" s="67">
        <v>1.1023</v>
      </c>
      <c r="W73" s="69">
        <v>7.5</v>
      </c>
      <c r="X73" s="69">
        <v>10.6</v>
      </c>
      <c r="Y73" s="934"/>
      <c r="Z73" s="69">
        <f t="shared" si="20"/>
        <v>30.31</v>
      </c>
      <c r="AA73" s="70">
        <f t="shared" si="4"/>
        <v>30.31</v>
      </c>
      <c r="AB73" s="71">
        <f t="shared" si="5"/>
        <v>372.4932173</v>
      </c>
      <c r="AC73" s="71">
        <f>+(S73-T73)*V73-'data 1'!$F$4</f>
        <v>41.253</v>
      </c>
      <c r="AD73" s="71">
        <f t="shared" si="6"/>
        <v>0.9069958399</v>
      </c>
      <c r="AE73" s="71">
        <f>+(Y73*V73-'data 1'!$I$21)+V73*(Z73-IF(D73="UNTUCA",IF(+((W73-3)*2.5+(X73-3)*3.1)&gt;0,+((W73-3)*1.5+(X73-3)*3.1),0),IF(+((W73-3)*1.5+(X73-3)*3.1)&gt;0,+((W73-3)*1.5+(X73-3)*3.1),0)))</f>
        <v>-25.58108108</v>
      </c>
      <c r="AF73" s="71">
        <f t="shared" si="7"/>
        <v>0</v>
      </c>
      <c r="AG73" s="71">
        <f t="shared" si="8"/>
        <v>16.57891476</v>
      </c>
      <c r="AH73" s="71">
        <f t="shared" si="9"/>
        <v>96.41334722</v>
      </c>
      <c r="AI73" s="69">
        <f t="shared" si="18"/>
        <v>30.59371995</v>
      </c>
      <c r="AJ73" s="70">
        <f t="shared" si="11"/>
        <v>96.24774889</v>
      </c>
      <c r="AK73" s="53">
        <f t="shared" si="12"/>
        <v>0.165598331</v>
      </c>
      <c r="AL73" s="65"/>
      <c r="AM73" s="65"/>
      <c r="AV73" s="65">
        <f t="shared" si="19"/>
        <v>4881.804846</v>
      </c>
    </row>
    <row r="74" ht="15.75" customHeight="1">
      <c r="B74" s="870"/>
      <c r="C74" s="841"/>
      <c r="E74" s="915"/>
      <c r="G74" s="13"/>
      <c r="H74" s="13"/>
      <c r="I74" s="6"/>
      <c r="J74" s="58"/>
      <c r="K74" s="6"/>
      <c r="L74" s="139"/>
      <c r="M74" s="3"/>
      <c r="N74" s="191"/>
      <c r="O74" s="60"/>
      <c r="Q74" s="67"/>
      <c r="R74" s="65"/>
      <c r="S74" s="3"/>
      <c r="U74" s="67"/>
      <c r="V74" s="67"/>
      <c r="Z74" s="69"/>
      <c r="AA74" s="70"/>
      <c r="AB74" s="71"/>
      <c r="AC74" s="71"/>
      <c r="AD74" s="71"/>
      <c r="AE74" s="71"/>
      <c r="AF74" s="71"/>
      <c r="AG74" s="71"/>
      <c r="AH74" s="71"/>
      <c r="AK74" s="11"/>
      <c r="AL74" s="65"/>
      <c r="AM74" s="65"/>
      <c r="AV74" s="65">
        <f>SUM(AV5:AV73)</f>
        <v>421160.2897</v>
      </c>
      <c r="AW74" s="65">
        <f>+AV74*3.7</f>
        <v>1558293.072</v>
      </c>
      <c r="AX74" s="65">
        <f>+AW74*1.18</f>
        <v>1838785.825</v>
      </c>
    </row>
    <row r="75" ht="15.75" customHeight="1">
      <c r="B75" s="870"/>
      <c r="C75" s="841"/>
      <c r="E75" s="915"/>
      <c r="G75" s="13"/>
      <c r="H75" s="13"/>
      <c r="I75" s="6"/>
      <c r="J75" s="58"/>
      <c r="K75" s="6"/>
      <c r="L75" s="139"/>
      <c r="M75" s="3"/>
      <c r="N75" s="191"/>
      <c r="O75" s="60"/>
      <c r="Q75" s="67"/>
      <c r="R75" s="65"/>
      <c r="S75" s="3"/>
      <c r="U75" s="67"/>
      <c r="V75" s="67"/>
      <c r="Z75" s="69"/>
      <c r="AA75" s="70"/>
      <c r="AB75" s="71"/>
      <c r="AC75" s="71"/>
      <c r="AD75" s="71"/>
      <c r="AE75" s="71"/>
      <c r="AF75" s="71"/>
      <c r="AG75" s="71"/>
      <c r="AH75" s="71"/>
      <c r="AK75" s="11"/>
      <c r="AL75" s="65"/>
      <c r="AM75" s="65"/>
      <c r="AV75" s="65">
        <v>513252.63</v>
      </c>
    </row>
    <row r="76" ht="15.75" customHeight="1">
      <c r="B76" s="870"/>
      <c r="C76" s="841"/>
      <c r="E76" s="915"/>
      <c r="G76" s="13"/>
      <c r="H76" s="13"/>
      <c r="I76" s="6"/>
      <c r="J76" s="58"/>
      <c r="K76" s="6"/>
      <c r="L76" s="139"/>
      <c r="M76" s="3"/>
      <c r="N76" s="191"/>
      <c r="O76" s="60"/>
      <c r="Q76" s="67"/>
      <c r="R76" s="65"/>
      <c r="S76" s="3"/>
      <c r="U76" s="67"/>
      <c r="V76" s="67"/>
      <c r="Z76" s="69"/>
      <c r="AA76" s="70"/>
      <c r="AB76" s="71"/>
      <c r="AC76" s="71"/>
      <c r="AD76" s="71"/>
      <c r="AE76" s="71"/>
      <c r="AF76" s="71"/>
      <c r="AG76" s="71"/>
      <c r="AH76" s="71"/>
      <c r="AK76" s="11"/>
      <c r="AL76" s="65"/>
      <c r="AM76" s="65"/>
      <c r="AV76" s="65">
        <f>+AV75-AV74</f>
        <v>92092.34027</v>
      </c>
    </row>
    <row r="77" ht="15.75" customHeight="1">
      <c r="B77" s="870"/>
      <c r="C77" s="841"/>
      <c r="E77" s="915"/>
      <c r="G77" s="13"/>
      <c r="H77" s="13"/>
      <c r="I77" s="6"/>
      <c r="J77" s="58"/>
      <c r="K77" s="6"/>
      <c r="L77" s="139"/>
      <c r="M77" s="3"/>
      <c r="N77" s="191"/>
      <c r="O77" s="60"/>
      <c r="Q77" s="67"/>
      <c r="R77" s="65"/>
      <c r="S77" s="3"/>
      <c r="U77" s="67"/>
      <c r="V77" s="67"/>
      <c r="Z77" s="69"/>
      <c r="AA77" s="70"/>
      <c r="AB77" s="71"/>
      <c r="AC77" s="71"/>
      <c r="AD77" s="71"/>
      <c r="AE77" s="71"/>
      <c r="AF77" s="71"/>
      <c r="AG77" s="71"/>
      <c r="AH77" s="71"/>
      <c r="AK77" s="11"/>
      <c r="AL77" s="65"/>
      <c r="AM77" s="65"/>
      <c r="AV77" s="65">
        <f>+AV76/AV75</f>
        <v>0.1794288716</v>
      </c>
    </row>
    <row r="78" ht="15.75" customHeight="1">
      <c r="B78" s="870"/>
      <c r="C78" s="841"/>
      <c r="E78" s="915"/>
      <c r="G78" s="13"/>
      <c r="H78" s="13"/>
      <c r="I78" s="6"/>
      <c r="J78" s="58"/>
      <c r="K78" s="6"/>
      <c r="L78" s="139"/>
      <c r="M78" s="3"/>
      <c r="N78" s="191"/>
      <c r="O78" s="60"/>
      <c r="Q78" s="67"/>
      <c r="R78" s="65"/>
      <c r="S78" s="3"/>
      <c r="U78" s="67"/>
      <c r="V78" s="67"/>
      <c r="Z78" s="69"/>
      <c r="AA78" s="70"/>
      <c r="AB78" s="71"/>
      <c r="AC78" s="71"/>
      <c r="AD78" s="71"/>
      <c r="AE78" s="71"/>
      <c r="AF78" s="71"/>
      <c r="AG78" s="71"/>
      <c r="AH78" s="71"/>
      <c r="AK78" s="11"/>
      <c r="AL78" s="65"/>
      <c r="AM78" s="65"/>
      <c r="AV78" s="65"/>
    </row>
    <row r="79" ht="15.75" customHeight="1">
      <c r="B79" s="870"/>
      <c r="C79" s="841"/>
      <c r="E79" s="915"/>
      <c r="G79" s="13"/>
      <c r="H79" s="13"/>
      <c r="I79" s="6"/>
      <c r="J79" s="58"/>
      <c r="K79" s="6"/>
      <c r="L79" s="139"/>
      <c r="M79" s="3"/>
      <c r="N79" s="191"/>
      <c r="O79" s="60"/>
      <c r="Q79" s="67"/>
      <c r="R79" s="65"/>
      <c r="S79" s="3"/>
      <c r="U79" s="67"/>
      <c r="V79" s="67"/>
      <c r="Z79" s="69"/>
      <c r="AA79" s="70"/>
      <c r="AB79" s="71"/>
      <c r="AC79" s="71"/>
      <c r="AD79" s="71"/>
      <c r="AE79" s="71"/>
      <c r="AF79" s="71"/>
      <c r="AG79" s="71"/>
      <c r="AH79" s="71"/>
      <c r="AK79" s="11"/>
      <c r="AL79" s="65"/>
      <c r="AM79" s="65"/>
    </row>
    <row r="80" ht="15.75" customHeight="1">
      <c r="B80" s="870"/>
      <c r="C80" s="841"/>
      <c r="E80" s="915"/>
      <c r="G80" s="13"/>
      <c r="H80" s="13"/>
      <c r="I80" s="6"/>
      <c r="J80" s="58"/>
      <c r="K80" s="6"/>
      <c r="L80" s="139"/>
      <c r="M80" s="3"/>
      <c r="N80" s="191"/>
      <c r="O80" s="60"/>
      <c r="Q80" s="67"/>
      <c r="R80" s="65"/>
      <c r="S80" s="3"/>
      <c r="U80" s="67"/>
      <c r="V80" s="67"/>
      <c r="Z80" s="69"/>
      <c r="AA80" s="70"/>
      <c r="AB80" s="71"/>
      <c r="AC80" s="71"/>
      <c r="AD80" s="71"/>
      <c r="AE80" s="71"/>
      <c r="AF80" s="71"/>
      <c r="AG80" s="71"/>
      <c r="AH80" s="71"/>
      <c r="AK80" s="11"/>
      <c r="AL80" s="65"/>
      <c r="AM80" s="65"/>
    </row>
    <row r="81" ht="15.75" customHeight="1">
      <c r="B81" s="870"/>
      <c r="C81" s="841"/>
      <c r="E81" s="915"/>
      <c r="G81" s="13"/>
      <c r="H81" s="13"/>
      <c r="I81" s="6"/>
      <c r="J81" s="58"/>
      <c r="K81" s="6"/>
      <c r="L81" s="139"/>
      <c r="M81" s="3"/>
      <c r="N81" s="191"/>
      <c r="O81" s="60"/>
      <c r="Q81" s="67"/>
      <c r="R81" s="65"/>
      <c r="S81" s="3"/>
      <c r="U81" s="67"/>
      <c r="V81" s="67"/>
      <c r="Z81" s="69"/>
      <c r="AA81" s="70"/>
      <c r="AB81" s="71"/>
      <c r="AC81" s="71"/>
      <c r="AD81" s="71"/>
      <c r="AE81" s="71"/>
      <c r="AF81" s="71"/>
      <c r="AG81" s="71"/>
      <c r="AH81" s="71"/>
      <c r="AK81" s="11"/>
      <c r="AL81" s="65"/>
      <c r="AM81" s="65"/>
    </row>
    <row r="82" ht="15.75" customHeight="1">
      <c r="B82" s="870"/>
      <c r="C82" s="841"/>
      <c r="E82" s="915"/>
      <c r="G82" s="13"/>
      <c r="H82" s="13"/>
      <c r="I82" s="6"/>
      <c r="J82" s="58"/>
      <c r="K82" s="6"/>
      <c r="L82" s="139"/>
      <c r="M82" s="3"/>
      <c r="N82" s="191"/>
      <c r="O82" s="60"/>
      <c r="Q82" s="67"/>
      <c r="R82" s="65"/>
      <c r="S82" s="3"/>
      <c r="U82" s="67"/>
      <c r="V82" s="67"/>
      <c r="Z82" s="69"/>
      <c r="AA82" s="70"/>
      <c r="AB82" s="71"/>
      <c r="AC82" s="71"/>
      <c r="AD82" s="71"/>
      <c r="AE82" s="71"/>
      <c r="AF82" s="71"/>
      <c r="AG82" s="71"/>
      <c r="AH82" s="71"/>
      <c r="AK82" s="11"/>
      <c r="AL82" s="65"/>
      <c r="AM82" s="65"/>
    </row>
    <row r="83" ht="15.75" customHeight="1">
      <c r="B83" s="870"/>
      <c r="C83" s="841"/>
      <c r="E83" s="915"/>
      <c r="G83" s="13"/>
      <c r="H83" s="13"/>
      <c r="I83" s="6"/>
      <c r="J83" s="58"/>
      <c r="K83" s="6"/>
      <c r="L83" s="139"/>
      <c r="M83" s="3"/>
      <c r="N83" s="191"/>
      <c r="O83" s="60"/>
      <c r="Q83" s="67"/>
      <c r="R83" s="65"/>
      <c r="S83" s="3"/>
      <c r="U83" s="67"/>
      <c r="V83" s="67"/>
      <c r="Z83" s="69"/>
      <c r="AA83" s="70"/>
      <c r="AB83" s="71"/>
      <c r="AC83" s="71"/>
      <c r="AD83" s="71"/>
      <c r="AE83" s="71"/>
      <c r="AF83" s="71"/>
      <c r="AG83" s="71"/>
      <c r="AH83" s="71"/>
      <c r="AK83" s="11"/>
      <c r="AL83" s="65"/>
      <c r="AM83" s="65"/>
    </row>
    <row r="84" ht="15.75" customHeight="1">
      <c r="B84" s="870"/>
      <c r="C84" s="841"/>
      <c r="E84" s="915"/>
      <c r="G84" s="13"/>
      <c r="H84" s="13"/>
      <c r="I84" s="6"/>
      <c r="J84" s="58"/>
      <c r="K84" s="6"/>
      <c r="L84" s="139"/>
      <c r="M84" s="3"/>
      <c r="N84" s="191"/>
      <c r="O84" s="60"/>
      <c r="Q84" s="67"/>
      <c r="R84" s="65"/>
      <c r="S84" s="3"/>
      <c r="U84" s="67"/>
      <c r="V84" s="67"/>
      <c r="Z84" s="69"/>
      <c r="AA84" s="70"/>
      <c r="AB84" s="71"/>
      <c r="AC84" s="71"/>
      <c r="AD84" s="71"/>
      <c r="AE84" s="71"/>
      <c r="AF84" s="71"/>
      <c r="AG84" s="71"/>
      <c r="AH84" s="71"/>
      <c r="AK84" s="11"/>
      <c r="AL84" s="65"/>
      <c r="AM84" s="65"/>
    </row>
    <row r="85" ht="15.75" customHeight="1">
      <c r="B85" s="870"/>
      <c r="C85" s="841"/>
      <c r="E85" s="915"/>
      <c r="G85" s="13"/>
      <c r="H85" s="13"/>
      <c r="I85" s="6"/>
      <c r="J85" s="58"/>
      <c r="K85" s="6"/>
      <c r="L85" s="139"/>
      <c r="M85" s="3"/>
      <c r="N85" s="191"/>
      <c r="O85" s="60"/>
      <c r="Q85" s="67"/>
      <c r="R85" s="65"/>
      <c r="S85" s="3"/>
      <c r="U85" s="67"/>
      <c r="V85" s="67"/>
      <c r="Z85" s="69"/>
      <c r="AA85" s="70"/>
      <c r="AB85" s="71"/>
      <c r="AC85" s="71"/>
      <c r="AD85" s="71"/>
      <c r="AE85" s="71"/>
      <c r="AF85" s="71"/>
      <c r="AG85" s="71"/>
      <c r="AH85" s="71"/>
      <c r="AK85" s="11"/>
      <c r="AL85" s="65"/>
      <c r="AM85" s="65"/>
    </row>
    <row r="86" ht="15.75" customHeight="1">
      <c r="B86" s="870"/>
      <c r="C86" s="841"/>
      <c r="E86" s="915"/>
      <c r="G86" s="13"/>
      <c r="H86" s="13"/>
      <c r="I86" s="6"/>
      <c r="J86" s="58"/>
      <c r="K86" s="6"/>
      <c r="L86" s="139"/>
      <c r="M86" s="3"/>
      <c r="N86" s="191"/>
      <c r="O86" s="60"/>
      <c r="Q86" s="67"/>
      <c r="R86" s="65"/>
      <c r="S86" s="3"/>
      <c r="U86" s="67"/>
      <c r="V86" s="67"/>
      <c r="Z86" s="69"/>
      <c r="AA86" s="70"/>
      <c r="AB86" s="71"/>
      <c r="AC86" s="71"/>
      <c r="AD86" s="71"/>
      <c r="AE86" s="71"/>
      <c r="AF86" s="71"/>
      <c r="AG86" s="71"/>
      <c r="AH86" s="71"/>
      <c r="AK86" s="11"/>
      <c r="AL86" s="65"/>
      <c r="AM86" s="65"/>
    </row>
    <row r="87" ht="15.75" customHeight="1">
      <c r="B87" s="870"/>
      <c r="C87" s="841"/>
      <c r="E87" s="915"/>
      <c r="G87" s="13"/>
      <c r="H87" s="13"/>
      <c r="I87" s="6"/>
      <c r="J87" s="58"/>
      <c r="K87" s="6"/>
      <c r="L87" s="139"/>
      <c r="M87" s="3"/>
      <c r="N87" s="191"/>
      <c r="O87" s="60"/>
      <c r="Q87" s="67"/>
      <c r="R87" s="65"/>
      <c r="S87" s="3"/>
      <c r="U87" s="67"/>
      <c r="V87" s="67"/>
      <c r="Z87" s="69"/>
      <c r="AA87" s="70"/>
      <c r="AB87" s="71"/>
      <c r="AC87" s="71"/>
      <c r="AD87" s="71"/>
      <c r="AE87" s="71"/>
      <c r="AF87" s="71"/>
      <c r="AG87" s="71"/>
      <c r="AH87" s="71"/>
      <c r="AK87" s="11"/>
      <c r="AL87" s="65"/>
      <c r="AM87" s="65"/>
    </row>
    <row r="88" ht="15.75" customHeight="1">
      <c r="B88" s="870"/>
      <c r="C88" s="841"/>
      <c r="E88" s="915"/>
      <c r="G88" s="13"/>
      <c r="H88" s="13"/>
      <c r="I88" s="6"/>
      <c r="J88" s="58"/>
      <c r="K88" s="6"/>
      <c r="L88" s="139"/>
      <c r="M88" s="3"/>
      <c r="N88" s="191"/>
      <c r="O88" s="60"/>
      <c r="Q88" s="67"/>
      <c r="R88" s="65"/>
      <c r="S88" s="3"/>
      <c r="U88" s="67"/>
      <c r="V88" s="67"/>
      <c r="Z88" s="69"/>
      <c r="AA88" s="70"/>
      <c r="AB88" s="71"/>
      <c r="AC88" s="71"/>
      <c r="AD88" s="71"/>
      <c r="AE88" s="71"/>
      <c r="AF88" s="71"/>
      <c r="AG88" s="71"/>
      <c r="AH88" s="71"/>
      <c r="AK88" s="11"/>
      <c r="AL88" s="65"/>
      <c r="AM88" s="65"/>
    </row>
    <row r="89" ht="15.75" customHeight="1">
      <c r="B89" s="870"/>
      <c r="C89" s="841"/>
      <c r="E89" s="915"/>
      <c r="G89" s="13"/>
      <c r="H89" s="13"/>
      <c r="I89" s="6"/>
      <c r="J89" s="58"/>
      <c r="K89" s="6"/>
      <c r="L89" s="139"/>
      <c r="M89" s="3"/>
      <c r="N89" s="191"/>
      <c r="O89" s="60"/>
      <c r="Q89" s="67"/>
      <c r="R89" s="65"/>
      <c r="S89" s="3"/>
      <c r="U89" s="67"/>
      <c r="V89" s="67"/>
      <c r="Z89" s="69"/>
      <c r="AA89" s="70"/>
      <c r="AB89" s="71"/>
      <c r="AC89" s="71"/>
      <c r="AD89" s="71"/>
      <c r="AE89" s="71"/>
      <c r="AF89" s="71"/>
      <c r="AG89" s="71"/>
      <c r="AH89" s="71"/>
      <c r="AK89" s="11"/>
      <c r="AL89" s="65"/>
      <c r="AM89" s="65"/>
    </row>
    <row r="90" ht="15.75" customHeight="1">
      <c r="B90" s="870"/>
      <c r="C90" s="841"/>
      <c r="E90" s="915"/>
      <c r="G90" s="13"/>
      <c r="H90" s="13"/>
      <c r="I90" s="6"/>
      <c r="J90" s="58"/>
      <c r="K90" s="6"/>
      <c r="L90" s="139"/>
      <c r="M90" s="3"/>
      <c r="N90" s="191"/>
      <c r="O90" s="60"/>
      <c r="Q90" s="67"/>
      <c r="R90" s="65"/>
      <c r="S90" s="3"/>
      <c r="U90" s="67"/>
      <c r="V90" s="67"/>
      <c r="Z90" s="69"/>
      <c r="AA90" s="70"/>
      <c r="AB90" s="71"/>
      <c r="AC90" s="71"/>
      <c r="AD90" s="71"/>
      <c r="AE90" s="71"/>
      <c r="AF90" s="71"/>
      <c r="AG90" s="71"/>
      <c r="AH90" s="71"/>
      <c r="AK90" s="11"/>
      <c r="AL90" s="65"/>
      <c r="AM90" s="65"/>
    </row>
    <row r="91" ht="15.75" customHeight="1">
      <c r="B91" s="870"/>
      <c r="C91" s="841"/>
      <c r="E91" s="915"/>
      <c r="G91" s="13"/>
      <c r="H91" s="13"/>
      <c r="I91" s="6"/>
      <c r="J91" s="58"/>
      <c r="K91" s="6"/>
      <c r="L91" s="139"/>
      <c r="M91" s="3"/>
      <c r="N91" s="191"/>
      <c r="O91" s="60"/>
      <c r="Q91" s="67"/>
      <c r="R91" s="65"/>
      <c r="S91" s="3"/>
      <c r="U91" s="67"/>
      <c r="V91" s="67"/>
      <c r="Z91" s="69"/>
      <c r="AA91" s="70"/>
      <c r="AB91" s="71"/>
      <c r="AC91" s="71"/>
      <c r="AD91" s="71"/>
      <c r="AE91" s="71"/>
      <c r="AF91" s="71"/>
      <c r="AG91" s="71"/>
      <c r="AH91" s="71"/>
      <c r="AK91" s="11"/>
      <c r="AL91" s="65"/>
      <c r="AM91" s="65"/>
    </row>
    <row r="92" ht="15.75" customHeight="1">
      <c r="B92" s="870"/>
      <c r="C92" s="841"/>
      <c r="E92" s="915"/>
      <c r="G92" s="13"/>
      <c r="H92" s="13"/>
      <c r="I92" s="6"/>
      <c r="J92" s="58"/>
      <c r="K92" s="6"/>
      <c r="L92" s="139"/>
      <c r="M92" s="3"/>
      <c r="N92" s="191"/>
      <c r="O92" s="60"/>
      <c r="Q92" s="67"/>
      <c r="R92" s="65"/>
      <c r="S92" s="3"/>
      <c r="U92" s="67"/>
      <c r="V92" s="67"/>
      <c r="Z92" s="69"/>
      <c r="AA92" s="70"/>
      <c r="AB92" s="71"/>
      <c r="AC92" s="71"/>
      <c r="AD92" s="71"/>
      <c r="AE92" s="71"/>
      <c r="AF92" s="71"/>
      <c r="AG92" s="71"/>
      <c r="AH92" s="71"/>
      <c r="AK92" s="11"/>
      <c r="AL92" s="65"/>
      <c r="AM92" s="65"/>
    </row>
    <row r="93" ht="15.75" customHeight="1">
      <c r="B93" s="870"/>
      <c r="C93" s="841"/>
      <c r="E93" s="915"/>
      <c r="G93" s="13"/>
      <c r="H93" s="13"/>
      <c r="I93" s="6"/>
      <c r="J93" s="58"/>
      <c r="K93" s="6"/>
      <c r="L93" s="139"/>
      <c r="M93" s="3"/>
      <c r="N93" s="191"/>
      <c r="O93" s="60"/>
      <c r="Q93" s="67"/>
      <c r="R93" s="65"/>
      <c r="S93" s="3"/>
      <c r="U93" s="67"/>
      <c r="V93" s="67"/>
      <c r="Z93" s="69"/>
      <c r="AA93" s="70"/>
      <c r="AB93" s="71"/>
      <c r="AC93" s="71"/>
      <c r="AD93" s="71"/>
      <c r="AE93" s="71"/>
      <c r="AF93" s="71"/>
      <c r="AG93" s="71"/>
      <c r="AH93" s="71"/>
      <c r="AK93" s="11"/>
      <c r="AL93" s="65"/>
      <c r="AM93" s="65"/>
    </row>
    <row r="94" ht="15.75" customHeight="1">
      <c r="B94" s="870"/>
      <c r="C94" s="841"/>
      <c r="E94" s="915"/>
      <c r="G94" s="13"/>
      <c r="H94" s="13"/>
      <c r="I94" s="6"/>
      <c r="J94" s="58"/>
      <c r="K94" s="6"/>
      <c r="L94" s="139"/>
      <c r="M94" s="3"/>
      <c r="N94" s="191"/>
      <c r="O94" s="60"/>
      <c r="Q94" s="67"/>
      <c r="R94" s="65"/>
      <c r="S94" s="3"/>
      <c r="U94" s="67"/>
      <c r="V94" s="67"/>
      <c r="Z94" s="69"/>
      <c r="AA94" s="70"/>
      <c r="AB94" s="71"/>
      <c r="AC94" s="71"/>
      <c r="AD94" s="71"/>
      <c r="AE94" s="71"/>
      <c r="AF94" s="71"/>
      <c r="AG94" s="71"/>
      <c r="AH94" s="71"/>
      <c r="AK94" s="11"/>
      <c r="AL94" s="65"/>
      <c r="AM94" s="65"/>
    </row>
    <row r="95" ht="15.75" customHeight="1">
      <c r="B95" s="870"/>
      <c r="C95" s="841"/>
      <c r="E95" s="915"/>
      <c r="G95" s="13"/>
      <c r="H95" s="13"/>
      <c r="I95" s="6"/>
      <c r="J95" s="58"/>
      <c r="K95" s="6"/>
      <c r="L95" s="139"/>
      <c r="M95" s="3"/>
      <c r="N95" s="191"/>
      <c r="O95" s="60"/>
      <c r="Q95" s="67"/>
      <c r="R95" s="65"/>
      <c r="S95" s="3"/>
      <c r="U95" s="67"/>
      <c r="V95" s="67"/>
      <c r="Z95" s="69"/>
      <c r="AA95" s="70"/>
      <c r="AB95" s="71"/>
      <c r="AC95" s="71"/>
      <c r="AD95" s="71"/>
      <c r="AE95" s="71"/>
      <c r="AF95" s="71"/>
      <c r="AG95" s="71"/>
      <c r="AH95" s="71"/>
      <c r="AK95" s="11"/>
      <c r="AL95" s="65"/>
      <c r="AM95" s="65"/>
    </row>
    <row r="96" ht="15.75" customHeight="1">
      <c r="B96" s="870"/>
      <c r="C96" s="841"/>
      <c r="E96" s="915"/>
      <c r="G96" s="13"/>
      <c r="H96" s="13"/>
      <c r="I96" s="6"/>
      <c r="J96" s="58"/>
      <c r="K96" s="6"/>
      <c r="L96" s="139"/>
      <c r="M96" s="3"/>
      <c r="N96" s="191"/>
      <c r="O96" s="60"/>
      <c r="Q96" s="67"/>
      <c r="R96" s="65"/>
      <c r="S96" s="3"/>
      <c r="U96" s="67"/>
      <c r="V96" s="67"/>
      <c r="Z96" s="69"/>
      <c r="AA96" s="70"/>
      <c r="AB96" s="71"/>
      <c r="AC96" s="71"/>
      <c r="AD96" s="71"/>
      <c r="AE96" s="71"/>
      <c r="AF96" s="71"/>
      <c r="AG96" s="71"/>
      <c r="AH96" s="71"/>
      <c r="AK96" s="11"/>
      <c r="AL96" s="65"/>
      <c r="AM96" s="65"/>
    </row>
    <row r="97" ht="15.75" customHeight="1">
      <c r="B97" s="870"/>
      <c r="C97" s="841"/>
      <c r="E97" s="915"/>
      <c r="G97" s="13"/>
      <c r="H97" s="13"/>
      <c r="I97" s="6"/>
      <c r="J97" s="58"/>
      <c r="K97" s="6"/>
      <c r="L97" s="139"/>
      <c r="M97" s="3"/>
      <c r="N97" s="191"/>
      <c r="O97" s="60"/>
      <c r="Q97" s="67"/>
      <c r="R97" s="65"/>
      <c r="S97" s="3"/>
      <c r="U97" s="67"/>
      <c r="V97" s="67"/>
      <c r="Z97" s="69"/>
      <c r="AA97" s="70"/>
      <c r="AB97" s="71"/>
      <c r="AC97" s="71"/>
      <c r="AD97" s="71"/>
      <c r="AE97" s="71"/>
      <c r="AF97" s="71"/>
      <c r="AG97" s="71"/>
      <c r="AH97" s="71"/>
      <c r="AK97" s="11"/>
      <c r="AL97" s="65"/>
      <c r="AM97" s="65"/>
    </row>
    <row r="98" ht="15.75" customHeight="1">
      <c r="B98" s="870"/>
      <c r="C98" s="841"/>
      <c r="E98" s="915"/>
      <c r="G98" s="13"/>
      <c r="H98" s="13"/>
      <c r="I98" s="6"/>
      <c r="J98" s="58"/>
      <c r="K98" s="6"/>
      <c r="L98" s="139"/>
      <c r="M98" s="3"/>
      <c r="N98" s="191"/>
      <c r="O98" s="60"/>
      <c r="Q98" s="67"/>
      <c r="R98" s="65"/>
      <c r="S98" s="3"/>
      <c r="U98" s="67"/>
      <c r="V98" s="67"/>
      <c r="Z98" s="69"/>
      <c r="AA98" s="70"/>
      <c r="AB98" s="71"/>
      <c r="AC98" s="71"/>
      <c r="AD98" s="71"/>
      <c r="AE98" s="71"/>
      <c r="AF98" s="71"/>
      <c r="AG98" s="71"/>
      <c r="AH98" s="71"/>
      <c r="AK98" s="11"/>
      <c r="AL98" s="65"/>
      <c r="AM98" s="65"/>
    </row>
    <row r="99" ht="15.75" customHeight="1">
      <c r="B99" s="870"/>
      <c r="C99" s="841"/>
      <c r="E99" s="915"/>
      <c r="G99" s="13"/>
      <c r="H99" s="13"/>
      <c r="I99" s="6"/>
      <c r="J99" s="58"/>
      <c r="K99" s="6"/>
      <c r="L99" s="139"/>
      <c r="M99" s="3"/>
      <c r="N99" s="191"/>
      <c r="O99" s="60"/>
      <c r="Q99" s="67"/>
      <c r="R99" s="65"/>
      <c r="S99" s="3"/>
      <c r="U99" s="67"/>
      <c r="V99" s="67"/>
      <c r="Z99" s="69"/>
      <c r="AA99" s="70"/>
      <c r="AB99" s="71"/>
      <c r="AC99" s="71"/>
      <c r="AD99" s="71"/>
      <c r="AE99" s="71"/>
      <c r="AF99" s="71"/>
      <c r="AG99" s="71"/>
      <c r="AH99" s="71"/>
      <c r="AK99" s="11"/>
      <c r="AL99" s="65"/>
      <c r="AM99" s="65"/>
    </row>
    <row r="100" ht="15.75" customHeight="1">
      <c r="B100" s="870"/>
      <c r="C100" s="841"/>
      <c r="E100" s="915"/>
      <c r="G100" s="13"/>
      <c r="H100" s="13"/>
      <c r="I100" s="6"/>
      <c r="J100" s="58"/>
      <c r="K100" s="6"/>
      <c r="L100" s="139"/>
      <c r="M100" s="3"/>
      <c r="N100" s="191"/>
      <c r="O100" s="60"/>
      <c r="Q100" s="67"/>
      <c r="R100" s="65"/>
      <c r="S100" s="3"/>
      <c r="U100" s="67"/>
      <c r="V100" s="67"/>
      <c r="Z100" s="69"/>
      <c r="AA100" s="70"/>
      <c r="AB100" s="71"/>
      <c r="AC100" s="71"/>
      <c r="AD100" s="71"/>
      <c r="AE100" s="71"/>
      <c r="AF100" s="71"/>
      <c r="AG100" s="71"/>
      <c r="AH100" s="71"/>
      <c r="AK100" s="11"/>
      <c r="AL100" s="65"/>
      <c r="AM100" s="65"/>
    </row>
    <row r="101" ht="15.75" customHeight="1">
      <c r="B101" s="870"/>
      <c r="C101" s="841"/>
      <c r="E101" s="915"/>
      <c r="G101" s="13"/>
      <c r="H101" s="13"/>
      <c r="I101" s="6"/>
      <c r="J101" s="58"/>
      <c r="K101" s="6"/>
      <c r="L101" s="139"/>
      <c r="M101" s="3"/>
      <c r="N101" s="191"/>
      <c r="O101" s="60"/>
      <c r="Q101" s="67"/>
      <c r="R101" s="65"/>
      <c r="S101" s="3"/>
      <c r="U101" s="67"/>
      <c r="V101" s="67"/>
      <c r="Z101" s="69"/>
      <c r="AA101" s="70"/>
      <c r="AB101" s="71"/>
      <c r="AC101" s="71"/>
      <c r="AD101" s="71"/>
      <c r="AE101" s="71"/>
      <c r="AF101" s="71"/>
      <c r="AG101" s="71"/>
      <c r="AH101" s="71"/>
      <c r="AK101" s="11"/>
      <c r="AL101" s="65"/>
      <c r="AM101" s="65"/>
    </row>
    <row r="102" ht="15.75" customHeight="1">
      <c r="B102" s="870"/>
      <c r="C102" s="841"/>
      <c r="E102" s="915"/>
      <c r="G102" s="13"/>
      <c r="H102" s="13"/>
      <c r="I102" s="6"/>
      <c r="J102" s="58"/>
      <c r="K102" s="6"/>
      <c r="L102" s="139"/>
      <c r="M102" s="3"/>
      <c r="N102" s="191"/>
      <c r="O102" s="60"/>
      <c r="Q102" s="67"/>
      <c r="R102" s="65"/>
      <c r="S102" s="3"/>
      <c r="U102" s="67"/>
      <c r="V102" s="67"/>
      <c r="Z102" s="69"/>
      <c r="AA102" s="70"/>
      <c r="AB102" s="71"/>
      <c r="AC102" s="71"/>
      <c r="AD102" s="71"/>
      <c r="AE102" s="71"/>
      <c r="AF102" s="71"/>
      <c r="AG102" s="71"/>
      <c r="AH102" s="71"/>
      <c r="AK102" s="11"/>
      <c r="AL102" s="65"/>
      <c r="AM102" s="65"/>
    </row>
    <row r="103" ht="15.75" customHeight="1">
      <c r="B103" s="870"/>
      <c r="C103" s="841"/>
      <c r="E103" s="915"/>
      <c r="G103" s="13"/>
      <c r="H103" s="13"/>
      <c r="I103" s="6"/>
      <c r="J103" s="58"/>
      <c r="K103" s="6"/>
      <c r="L103" s="139"/>
      <c r="M103" s="3"/>
      <c r="N103" s="191"/>
      <c r="O103" s="60"/>
      <c r="Q103" s="67"/>
      <c r="R103" s="65"/>
      <c r="S103" s="3"/>
      <c r="U103" s="67"/>
      <c r="V103" s="67"/>
      <c r="Z103" s="69"/>
      <c r="AA103" s="70"/>
      <c r="AB103" s="71"/>
      <c r="AC103" s="71"/>
      <c r="AD103" s="71"/>
      <c r="AE103" s="71"/>
      <c r="AF103" s="71"/>
      <c r="AG103" s="71"/>
      <c r="AH103" s="71"/>
      <c r="AK103" s="11"/>
      <c r="AL103" s="65"/>
      <c r="AM103" s="65"/>
    </row>
    <row r="104" ht="15.75" customHeight="1">
      <c r="B104" s="870"/>
      <c r="C104" s="841"/>
      <c r="E104" s="915"/>
      <c r="G104" s="13"/>
      <c r="H104" s="13"/>
      <c r="I104" s="6"/>
      <c r="J104" s="58"/>
      <c r="K104" s="6"/>
      <c r="L104" s="139"/>
      <c r="M104" s="3"/>
      <c r="N104" s="191"/>
      <c r="O104" s="60"/>
      <c r="Q104" s="67"/>
      <c r="R104" s="65"/>
      <c r="S104" s="3"/>
      <c r="U104" s="67"/>
      <c r="V104" s="67"/>
      <c r="Z104" s="69"/>
      <c r="AA104" s="70"/>
      <c r="AB104" s="71"/>
      <c r="AC104" s="71"/>
      <c r="AD104" s="71"/>
      <c r="AE104" s="71"/>
      <c r="AF104" s="71"/>
      <c r="AG104" s="71"/>
      <c r="AH104" s="71"/>
      <c r="AK104" s="11"/>
      <c r="AL104" s="65"/>
      <c r="AM104" s="65"/>
    </row>
    <row r="105" ht="15.75" customHeight="1">
      <c r="B105" s="870"/>
      <c r="C105" s="841"/>
      <c r="E105" s="915"/>
      <c r="G105" s="13"/>
      <c r="H105" s="13"/>
      <c r="I105" s="6"/>
      <c r="J105" s="58"/>
      <c r="K105" s="6"/>
      <c r="L105" s="139"/>
      <c r="M105" s="3"/>
      <c r="N105" s="191"/>
      <c r="O105" s="60"/>
      <c r="Q105" s="67"/>
      <c r="R105" s="65"/>
      <c r="S105" s="3"/>
      <c r="U105" s="67"/>
      <c r="V105" s="67"/>
      <c r="Z105" s="69"/>
      <c r="AA105" s="70"/>
      <c r="AB105" s="71"/>
      <c r="AC105" s="71"/>
      <c r="AD105" s="71"/>
      <c r="AE105" s="71"/>
      <c r="AF105" s="71"/>
      <c r="AG105" s="71"/>
      <c r="AH105" s="71"/>
      <c r="AK105" s="11"/>
      <c r="AL105" s="65"/>
      <c r="AM105" s="65"/>
    </row>
    <row r="106" ht="15.75" customHeight="1">
      <c r="B106" s="870"/>
      <c r="C106" s="841"/>
      <c r="E106" s="915"/>
      <c r="G106" s="13"/>
      <c r="H106" s="13"/>
      <c r="I106" s="6"/>
      <c r="J106" s="58"/>
      <c r="K106" s="6"/>
      <c r="L106" s="139"/>
      <c r="M106" s="3"/>
      <c r="N106" s="191"/>
      <c r="O106" s="60"/>
      <c r="Q106" s="67"/>
      <c r="R106" s="65"/>
      <c r="S106" s="3"/>
      <c r="U106" s="67"/>
      <c r="V106" s="67"/>
      <c r="Z106" s="69"/>
      <c r="AA106" s="70"/>
      <c r="AB106" s="71"/>
      <c r="AC106" s="71"/>
      <c r="AD106" s="71"/>
      <c r="AE106" s="71"/>
      <c r="AF106" s="71"/>
      <c r="AG106" s="71"/>
      <c r="AH106" s="71"/>
      <c r="AK106" s="11"/>
      <c r="AL106" s="65"/>
      <c r="AM106" s="65"/>
    </row>
    <row r="107" ht="15.75" customHeight="1">
      <c r="B107" s="870"/>
      <c r="C107" s="841"/>
      <c r="E107" s="915"/>
      <c r="G107" s="13"/>
      <c r="H107" s="13"/>
      <c r="I107" s="6"/>
      <c r="J107" s="58"/>
      <c r="K107" s="6"/>
      <c r="L107" s="139"/>
      <c r="M107" s="3"/>
      <c r="N107" s="191"/>
      <c r="O107" s="60"/>
      <c r="Q107" s="67"/>
      <c r="R107" s="65"/>
      <c r="S107" s="3"/>
      <c r="U107" s="67"/>
      <c r="V107" s="67"/>
      <c r="Z107" s="69"/>
      <c r="AA107" s="70"/>
      <c r="AB107" s="71"/>
      <c r="AC107" s="71"/>
      <c r="AD107" s="71"/>
      <c r="AE107" s="71"/>
      <c r="AF107" s="71"/>
      <c r="AG107" s="71"/>
      <c r="AH107" s="71"/>
      <c r="AK107" s="11"/>
      <c r="AL107" s="65"/>
      <c r="AM107" s="65"/>
    </row>
    <row r="108" ht="15.75" customHeight="1">
      <c r="B108" s="870"/>
      <c r="C108" s="841"/>
      <c r="E108" s="915"/>
      <c r="G108" s="13"/>
      <c r="H108" s="13"/>
      <c r="I108" s="6"/>
      <c r="J108" s="58"/>
      <c r="K108" s="6"/>
      <c r="L108" s="139"/>
      <c r="M108" s="3"/>
      <c r="N108" s="191"/>
      <c r="O108" s="60"/>
      <c r="Q108" s="67"/>
      <c r="R108" s="65"/>
      <c r="S108" s="3"/>
      <c r="U108" s="67"/>
      <c r="V108" s="67"/>
      <c r="Z108" s="69"/>
      <c r="AA108" s="70"/>
      <c r="AB108" s="71"/>
      <c r="AC108" s="71"/>
      <c r="AD108" s="71"/>
      <c r="AE108" s="71"/>
      <c r="AF108" s="71"/>
      <c r="AG108" s="71"/>
      <c r="AH108" s="71"/>
      <c r="AK108" s="11"/>
      <c r="AL108" s="65"/>
      <c r="AM108" s="65"/>
    </row>
    <row r="109" ht="15.75" customHeight="1">
      <c r="B109" s="870"/>
      <c r="C109" s="841"/>
      <c r="E109" s="915"/>
      <c r="G109" s="13"/>
      <c r="H109" s="13"/>
      <c r="I109" s="6"/>
      <c r="J109" s="58"/>
      <c r="K109" s="6"/>
      <c r="L109" s="139"/>
      <c r="M109" s="3"/>
      <c r="N109" s="191"/>
      <c r="O109" s="60"/>
      <c r="Q109" s="67"/>
      <c r="R109" s="65"/>
      <c r="S109" s="3"/>
      <c r="U109" s="67"/>
      <c r="V109" s="67"/>
      <c r="Z109" s="69"/>
      <c r="AA109" s="70"/>
      <c r="AB109" s="71"/>
      <c r="AC109" s="71"/>
      <c r="AD109" s="71"/>
      <c r="AE109" s="71"/>
      <c r="AF109" s="71"/>
      <c r="AG109" s="71"/>
      <c r="AH109" s="71"/>
      <c r="AK109" s="11"/>
      <c r="AL109" s="65"/>
      <c r="AM109" s="65"/>
    </row>
    <row r="110" ht="15.75" customHeight="1">
      <c r="B110" s="870"/>
      <c r="C110" s="841"/>
      <c r="E110" s="915"/>
      <c r="G110" s="13"/>
      <c r="H110" s="13"/>
      <c r="I110" s="6"/>
      <c r="J110" s="58"/>
      <c r="K110" s="6"/>
      <c r="L110" s="139"/>
      <c r="M110" s="3"/>
      <c r="N110" s="191"/>
      <c r="O110" s="60"/>
      <c r="Q110" s="67"/>
      <c r="R110" s="65"/>
      <c r="S110" s="3"/>
      <c r="U110" s="67"/>
      <c r="V110" s="67"/>
      <c r="Z110" s="69"/>
      <c r="AA110" s="70"/>
      <c r="AB110" s="71"/>
      <c r="AC110" s="71"/>
      <c r="AD110" s="71"/>
      <c r="AE110" s="71"/>
      <c r="AF110" s="71"/>
      <c r="AG110" s="71"/>
      <c r="AH110" s="71"/>
      <c r="AK110" s="11"/>
      <c r="AL110" s="65"/>
      <c r="AM110" s="65"/>
    </row>
    <row r="111" ht="15.75" customHeight="1">
      <c r="B111" s="870"/>
      <c r="C111" s="841"/>
      <c r="E111" s="915"/>
      <c r="G111" s="13"/>
      <c r="H111" s="13"/>
      <c r="I111" s="6"/>
      <c r="J111" s="58"/>
      <c r="K111" s="6"/>
      <c r="L111" s="139"/>
      <c r="M111" s="3"/>
      <c r="N111" s="191"/>
      <c r="O111" s="60"/>
      <c r="Q111" s="67"/>
      <c r="R111" s="65"/>
      <c r="S111" s="3"/>
      <c r="U111" s="67"/>
      <c r="V111" s="67"/>
      <c r="Z111" s="69"/>
      <c r="AA111" s="70"/>
      <c r="AB111" s="71"/>
      <c r="AC111" s="71"/>
      <c r="AD111" s="71"/>
      <c r="AE111" s="71"/>
      <c r="AF111" s="71"/>
      <c r="AG111" s="71"/>
      <c r="AH111" s="71"/>
      <c r="AK111" s="11"/>
      <c r="AL111" s="65"/>
      <c r="AM111" s="65"/>
    </row>
    <row r="112" ht="15.75" customHeight="1">
      <c r="B112" s="870"/>
      <c r="C112" s="841"/>
      <c r="E112" s="915"/>
      <c r="G112" s="13"/>
      <c r="H112" s="13"/>
      <c r="I112" s="6"/>
      <c r="J112" s="58"/>
      <c r="K112" s="6"/>
      <c r="L112" s="139"/>
      <c r="M112" s="3"/>
      <c r="N112" s="191"/>
      <c r="O112" s="60"/>
      <c r="Q112" s="67"/>
      <c r="R112" s="65"/>
      <c r="S112" s="3"/>
      <c r="U112" s="67"/>
      <c r="V112" s="67"/>
      <c r="Z112" s="69"/>
      <c r="AA112" s="70"/>
      <c r="AB112" s="71"/>
      <c r="AC112" s="71"/>
      <c r="AD112" s="71"/>
      <c r="AE112" s="71"/>
      <c r="AF112" s="71"/>
      <c r="AG112" s="71"/>
      <c r="AH112" s="71"/>
      <c r="AK112" s="11"/>
      <c r="AL112" s="65"/>
      <c r="AM112" s="65"/>
    </row>
    <row r="113" ht="15.75" customHeight="1">
      <c r="B113" s="870"/>
      <c r="C113" s="841"/>
      <c r="E113" s="915"/>
      <c r="G113" s="13"/>
      <c r="H113" s="13"/>
      <c r="I113" s="6"/>
      <c r="J113" s="58"/>
      <c r="K113" s="6"/>
      <c r="L113" s="139"/>
      <c r="M113" s="3"/>
      <c r="N113" s="191"/>
      <c r="O113" s="60"/>
      <c r="Q113" s="67"/>
      <c r="R113" s="65"/>
      <c r="S113" s="3"/>
      <c r="U113" s="67"/>
      <c r="V113" s="67"/>
      <c r="Z113" s="69"/>
      <c r="AA113" s="70"/>
      <c r="AB113" s="71"/>
      <c r="AC113" s="71"/>
      <c r="AD113" s="71"/>
      <c r="AE113" s="71"/>
      <c r="AF113" s="71"/>
      <c r="AG113" s="71"/>
      <c r="AH113" s="71"/>
      <c r="AK113" s="11"/>
      <c r="AL113" s="65"/>
      <c r="AM113" s="65"/>
    </row>
    <row r="114" ht="15.75" customHeight="1">
      <c r="B114" s="870"/>
      <c r="C114" s="841"/>
      <c r="E114" s="915"/>
      <c r="G114" s="13"/>
      <c r="H114" s="13"/>
      <c r="I114" s="6"/>
      <c r="J114" s="58"/>
      <c r="K114" s="6"/>
      <c r="L114" s="139"/>
      <c r="M114" s="3"/>
      <c r="N114" s="191"/>
      <c r="O114" s="60"/>
      <c r="Q114" s="67"/>
      <c r="R114" s="65"/>
      <c r="S114" s="3"/>
      <c r="U114" s="67"/>
      <c r="V114" s="67"/>
      <c r="Z114" s="69"/>
      <c r="AA114" s="70"/>
      <c r="AB114" s="71"/>
      <c r="AC114" s="71"/>
      <c r="AD114" s="71"/>
      <c r="AE114" s="71"/>
      <c r="AF114" s="71"/>
      <c r="AG114" s="71"/>
      <c r="AH114" s="71"/>
      <c r="AK114" s="11"/>
      <c r="AL114" s="65"/>
      <c r="AM114" s="65"/>
    </row>
    <row r="115" ht="15.75" customHeight="1">
      <c r="B115" s="870"/>
      <c r="C115" s="841"/>
      <c r="E115" s="915"/>
      <c r="G115" s="13"/>
      <c r="H115" s="13"/>
      <c r="I115" s="6"/>
      <c r="J115" s="58"/>
      <c r="K115" s="6"/>
      <c r="L115" s="139"/>
      <c r="M115" s="3"/>
      <c r="N115" s="191"/>
      <c r="O115" s="60"/>
      <c r="Q115" s="67"/>
      <c r="R115" s="65"/>
      <c r="S115" s="3"/>
      <c r="U115" s="67"/>
      <c r="V115" s="67"/>
      <c r="Z115" s="69"/>
      <c r="AA115" s="70"/>
      <c r="AB115" s="71"/>
      <c r="AC115" s="71"/>
      <c r="AD115" s="71"/>
      <c r="AE115" s="71"/>
      <c r="AF115" s="71"/>
      <c r="AG115" s="71"/>
      <c r="AH115" s="71"/>
      <c r="AK115" s="11"/>
      <c r="AL115" s="65"/>
      <c r="AM115" s="65"/>
    </row>
    <row r="116" ht="15.75" customHeight="1">
      <c r="B116" s="870"/>
      <c r="C116" s="841"/>
      <c r="E116" s="915"/>
      <c r="G116" s="13"/>
      <c r="H116" s="13"/>
      <c r="I116" s="6"/>
      <c r="J116" s="58"/>
      <c r="K116" s="6"/>
      <c r="L116" s="139"/>
      <c r="M116" s="3"/>
      <c r="N116" s="191"/>
      <c r="O116" s="60"/>
      <c r="Q116" s="67"/>
      <c r="R116" s="65"/>
      <c r="S116" s="3"/>
      <c r="U116" s="67"/>
      <c r="V116" s="67"/>
      <c r="Z116" s="69"/>
      <c r="AA116" s="70"/>
      <c r="AB116" s="71"/>
      <c r="AC116" s="71"/>
      <c r="AD116" s="71"/>
      <c r="AE116" s="71"/>
      <c r="AF116" s="71"/>
      <c r="AG116" s="71"/>
      <c r="AH116" s="71"/>
      <c r="AK116" s="11"/>
      <c r="AL116" s="65"/>
      <c r="AM116" s="65"/>
    </row>
    <row r="117" ht="15.75" customHeight="1">
      <c r="B117" s="870"/>
      <c r="C117" s="841"/>
      <c r="E117" s="915"/>
      <c r="G117" s="13"/>
      <c r="H117" s="13"/>
      <c r="I117" s="6"/>
      <c r="J117" s="58"/>
      <c r="K117" s="6"/>
      <c r="L117" s="139"/>
      <c r="M117" s="3"/>
      <c r="N117" s="191"/>
      <c r="O117" s="60"/>
      <c r="Q117" s="67"/>
      <c r="R117" s="65"/>
      <c r="S117" s="3"/>
      <c r="U117" s="67"/>
      <c r="V117" s="67"/>
      <c r="Z117" s="69"/>
      <c r="AA117" s="70"/>
      <c r="AB117" s="71"/>
      <c r="AC117" s="71"/>
      <c r="AD117" s="71"/>
      <c r="AE117" s="71"/>
      <c r="AF117" s="71"/>
      <c r="AG117" s="71"/>
      <c r="AH117" s="71"/>
      <c r="AK117" s="11"/>
      <c r="AL117" s="65"/>
      <c r="AM117" s="65"/>
    </row>
    <row r="118" ht="15.75" customHeight="1">
      <c r="B118" s="870"/>
      <c r="C118" s="841"/>
      <c r="E118" s="915"/>
      <c r="G118" s="13"/>
      <c r="H118" s="13"/>
      <c r="I118" s="6"/>
      <c r="J118" s="58"/>
      <c r="K118" s="6"/>
      <c r="L118" s="139"/>
      <c r="M118" s="3"/>
      <c r="N118" s="191"/>
      <c r="O118" s="60"/>
      <c r="Q118" s="67"/>
      <c r="R118" s="65"/>
      <c r="S118" s="3"/>
      <c r="U118" s="67"/>
      <c r="V118" s="67"/>
      <c r="Z118" s="69"/>
      <c r="AA118" s="70"/>
      <c r="AB118" s="71"/>
      <c r="AC118" s="71"/>
      <c r="AD118" s="71"/>
      <c r="AE118" s="71"/>
      <c r="AF118" s="71"/>
      <c r="AG118" s="71"/>
      <c r="AH118" s="71"/>
      <c r="AK118" s="11"/>
      <c r="AL118" s="65"/>
      <c r="AM118" s="65"/>
    </row>
    <row r="119" ht="15.75" customHeight="1">
      <c r="B119" s="870"/>
      <c r="C119" s="841"/>
      <c r="E119" s="915"/>
      <c r="G119" s="13"/>
      <c r="H119" s="13"/>
      <c r="I119" s="6"/>
      <c r="J119" s="58"/>
      <c r="K119" s="6"/>
      <c r="L119" s="139"/>
      <c r="M119" s="3"/>
      <c r="N119" s="191"/>
      <c r="O119" s="60"/>
      <c r="Q119" s="67"/>
      <c r="R119" s="65"/>
      <c r="S119" s="3"/>
      <c r="U119" s="67"/>
      <c r="V119" s="67"/>
      <c r="Z119" s="69"/>
      <c r="AA119" s="70"/>
      <c r="AB119" s="71"/>
      <c r="AC119" s="71"/>
      <c r="AD119" s="71"/>
      <c r="AE119" s="71"/>
      <c r="AF119" s="71"/>
      <c r="AG119" s="71"/>
      <c r="AH119" s="71"/>
      <c r="AK119" s="11"/>
      <c r="AL119" s="65"/>
      <c r="AM119" s="65"/>
    </row>
    <row r="120" ht="15.75" customHeight="1">
      <c r="B120" s="870"/>
      <c r="C120" s="841"/>
      <c r="E120" s="915"/>
      <c r="G120" s="13"/>
      <c r="H120" s="13"/>
      <c r="I120" s="6"/>
      <c r="J120" s="58"/>
      <c r="K120" s="6"/>
      <c r="L120" s="139"/>
      <c r="M120" s="3"/>
      <c r="N120" s="191"/>
      <c r="O120" s="60"/>
      <c r="Q120" s="67"/>
      <c r="R120" s="65"/>
      <c r="S120" s="3"/>
      <c r="U120" s="67"/>
      <c r="V120" s="67"/>
      <c r="Z120" s="69"/>
      <c r="AA120" s="70"/>
      <c r="AB120" s="71"/>
      <c r="AC120" s="71"/>
      <c r="AD120" s="71"/>
      <c r="AE120" s="71"/>
      <c r="AF120" s="71"/>
      <c r="AG120" s="71"/>
      <c r="AH120" s="71"/>
      <c r="AK120" s="11"/>
      <c r="AL120" s="65"/>
      <c r="AM120" s="65"/>
    </row>
    <row r="121" ht="15.75" customHeight="1">
      <c r="B121" s="870"/>
      <c r="C121" s="841"/>
      <c r="E121" s="915"/>
      <c r="G121" s="13"/>
      <c r="H121" s="13"/>
      <c r="I121" s="6"/>
      <c r="J121" s="58"/>
      <c r="K121" s="6"/>
      <c r="L121" s="139"/>
      <c r="M121" s="3"/>
      <c r="N121" s="191"/>
      <c r="O121" s="60"/>
      <c r="Q121" s="67"/>
      <c r="R121" s="65"/>
      <c r="S121" s="3"/>
      <c r="U121" s="67"/>
      <c r="V121" s="67"/>
      <c r="Z121" s="69"/>
      <c r="AA121" s="70"/>
      <c r="AB121" s="71"/>
      <c r="AC121" s="71"/>
      <c r="AD121" s="71"/>
      <c r="AE121" s="71"/>
      <c r="AF121" s="71"/>
      <c r="AG121" s="71"/>
      <c r="AH121" s="71"/>
      <c r="AK121" s="11"/>
      <c r="AL121" s="65"/>
      <c r="AM121" s="65"/>
    </row>
    <row r="122" ht="15.75" customHeight="1">
      <c r="B122" s="870"/>
      <c r="C122" s="841"/>
      <c r="E122" s="915"/>
      <c r="G122" s="13"/>
      <c r="H122" s="13"/>
      <c r="I122" s="6"/>
      <c r="J122" s="58"/>
      <c r="K122" s="6"/>
      <c r="L122" s="139"/>
      <c r="M122" s="3"/>
      <c r="N122" s="191"/>
      <c r="O122" s="60"/>
      <c r="Q122" s="67"/>
      <c r="R122" s="65"/>
      <c r="S122" s="3"/>
      <c r="U122" s="67"/>
      <c r="V122" s="67"/>
      <c r="Z122" s="69"/>
      <c r="AA122" s="70"/>
      <c r="AB122" s="71"/>
      <c r="AC122" s="71"/>
      <c r="AD122" s="71"/>
      <c r="AE122" s="71"/>
      <c r="AF122" s="71"/>
      <c r="AG122" s="71"/>
      <c r="AH122" s="71"/>
      <c r="AK122" s="11"/>
      <c r="AL122" s="65"/>
      <c r="AM122" s="65"/>
    </row>
    <row r="123" ht="15.75" customHeight="1">
      <c r="B123" s="870"/>
      <c r="C123" s="841"/>
      <c r="E123" s="915"/>
      <c r="G123" s="13"/>
      <c r="H123" s="13"/>
      <c r="I123" s="6"/>
      <c r="J123" s="58"/>
      <c r="K123" s="6"/>
      <c r="L123" s="139"/>
      <c r="M123" s="3"/>
      <c r="N123" s="191"/>
      <c r="O123" s="60"/>
      <c r="Q123" s="67"/>
      <c r="R123" s="65"/>
      <c r="S123" s="3"/>
      <c r="U123" s="67"/>
      <c r="V123" s="67"/>
      <c r="Z123" s="69"/>
      <c r="AA123" s="70"/>
      <c r="AB123" s="71"/>
      <c r="AC123" s="71"/>
      <c r="AD123" s="71"/>
      <c r="AE123" s="71"/>
      <c r="AF123" s="71"/>
      <c r="AG123" s="71"/>
      <c r="AH123" s="71"/>
      <c r="AK123" s="11"/>
      <c r="AL123" s="65"/>
      <c r="AM123" s="65"/>
    </row>
    <row r="124" ht="15.75" customHeight="1">
      <c r="B124" s="870"/>
      <c r="C124" s="841"/>
      <c r="E124" s="915"/>
      <c r="G124" s="13"/>
      <c r="H124" s="13"/>
      <c r="I124" s="6"/>
      <c r="J124" s="58"/>
      <c r="K124" s="6"/>
      <c r="L124" s="139"/>
      <c r="M124" s="3"/>
      <c r="N124" s="191"/>
      <c r="O124" s="60"/>
      <c r="Q124" s="67"/>
      <c r="R124" s="65"/>
      <c r="S124" s="3"/>
      <c r="U124" s="67"/>
      <c r="V124" s="67"/>
      <c r="Z124" s="69"/>
      <c r="AA124" s="70"/>
      <c r="AB124" s="71"/>
      <c r="AC124" s="71"/>
      <c r="AD124" s="71"/>
      <c r="AE124" s="71"/>
      <c r="AF124" s="71"/>
      <c r="AG124" s="71"/>
      <c r="AH124" s="71"/>
      <c r="AK124" s="11"/>
      <c r="AL124" s="65"/>
      <c r="AM124" s="65"/>
    </row>
    <row r="125" ht="15.75" customHeight="1">
      <c r="B125" s="870"/>
      <c r="C125" s="841"/>
      <c r="E125" s="915"/>
      <c r="G125" s="13"/>
      <c r="H125" s="13"/>
      <c r="I125" s="6"/>
      <c r="J125" s="58"/>
      <c r="K125" s="6"/>
      <c r="L125" s="139"/>
      <c r="M125" s="3"/>
      <c r="N125" s="191"/>
      <c r="O125" s="60"/>
      <c r="Q125" s="67"/>
      <c r="R125" s="65"/>
      <c r="S125" s="3"/>
      <c r="U125" s="67"/>
      <c r="V125" s="67"/>
      <c r="Z125" s="69"/>
      <c r="AA125" s="70"/>
      <c r="AB125" s="71"/>
      <c r="AC125" s="71"/>
      <c r="AD125" s="71"/>
      <c r="AE125" s="71"/>
      <c r="AF125" s="71"/>
      <c r="AG125" s="71"/>
      <c r="AH125" s="71"/>
      <c r="AK125" s="11"/>
      <c r="AL125" s="65"/>
      <c r="AM125" s="65"/>
    </row>
    <row r="126" ht="15.75" customHeight="1">
      <c r="B126" s="870"/>
      <c r="C126" s="841"/>
      <c r="E126" s="915"/>
      <c r="G126" s="13"/>
      <c r="H126" s="13"/>
      <c r="I126" s="6"/>
      <c r="J126" s="58"/>
      <c r="K126" s="6"/>
      <c r="L126" s="139"/>
      <c r="M126" s="3"/>
      <c r="N126" s="191"/>
      <c r="O126" s="60"/>
      <c r="Q126" s="67"/>
      <c r="R126" s="65"/>
      <c r="S126" s="3"/>
      <c r="U126" s="67"/>
      <c r="V126" s="67"/>
      <c r="Z126" s="69"/>
      <c r="AA126" s="70"/>
      <c r="AB126" s="71"/>
      <c r="AC126" s="71"/>
      <c r="AD126" s="71"/>
      <c r="AE126" s="71"/>
      <c r="AF126" s="71"/>
      <c r="AG126" s="71"/>
      <c r="AH126" s="71"/>
      <c r="AK126" s="11"/>
      <c r="AL126" s="65"/>
      <c r="AM126" s="65"/>
    </row>
    <row r="127" ht="15.75" customHeight="1">
      <c r="B127" s="870"/>
      <c r="C127" s="841"/>
      <c r="E127" s="915"/>
      <c r="G127" s="13"/>
      <c r="H127" s="13"/>
      <c r="I127" s="6"/>
      <c r="J127" s="58"/>
      <c r="K127" s="6"/>
      <c r="L127" s="139"/>
      <c r="M127" s="3"/>
      <c r="N127" s="191"/>
      <c r="O127" s="60"/>
      <c r="Q127" s="67"/>
      <c r="R127" s="65"/>
      <c r="S127" s="3"/>
      <c r="U127" s="67"/>
      <c r="V127" s="67"/>
      <c r="Z127" s="69"/>
      <c r="AA127" s="70"/>
      <c r="AB127" s="71"/>
      <c r="AC127" s="71"/>
      <c r="AD127" s="71"/>
      <c r="AE127" s="71"/>
      <c r="AF127" s="71"/>
      <c r="AG127" s="71"/>
      <c r="AH127" s="71"/>
      <c r="AK127" s="11"/>
      <c r="AL127" s="65"/>
      <c r="AM127" s="65"/>
    </row>
    <row r="128" ht="15.75" customHeight="1">
      <c r="B128" s="870"/>
      <c r="C128" s="841"/>
      <c r="E128" s="915"/>
      <c r="G128" s="13"/>
      <c r="H128" s="13"/>
      <c r="I128" s="6"/>
      <c r="J128" s="58"/>
      <c r="K128" s="6"/>
      <c r="L128" s="139"/>
      <c r="M128" s="3"/>
      <c r="N128" s="191"/>
      <c r="O128" s="60"/>
      <c r="Q128" s="67"/>
      <c r="R128" s="65"/>
      <c r="S128" s="3"/>
      <c r="U128" s="67"/>
      <c r="V128" s="67"/>
      <c r="Z128" s="69"/>
      <c r="AA128" s="70"/>
      <c r="AB128" s="71"/>
      <c r="AC128" s="71"/>
      <c r="AD128" s="71"/>
      <c r="AE128" s="71"/>
      <c r="AF128" s="71"/>
      <c r="AG128" s="71"/>
      <c r="AH128" s="71"/>
      <c r="AK128" s="11"/>
      <c r="AL128" s="65"/>
      <c r="AM128" s="65"/>
    </row>
    <row r="129" ht="15.75" customHeight="1">
      <c r="B129" s="870"/>
      <c r="C129" s="841"/>
      <c r="E129" s="915"/>
      <c r="G129" s="13"/>
      <c r="H129" s="13"/>
      <c r="I129" s="6"/>
      <c r="J129" s="58"/>
      <c r="K129" s="6"/>
      <c r="L129" s="139"/>
      <c r="M129" s="3"/>
      <c r="N129" s="191"/>
      <c r="O129" s="60"/>
      <c r="Q129" s="67"/>
      <c r="R129" s="65"/>
      <c r="S129" s="3"/>
      <c r="U129" s="67"/>
      <c r="V129" s="67"/>
      <c r="Z129" s="69"/>
      <c r="AA129" s="70"/>
      <c r="AB129" s="71"/>
      <c r="AC129" s="71"/>
      <c r="AD129" s="71"/>
      <c r="AE129" s="71"/>
      <c r="AF129" s="71"/>
      <c r="AG129" s="71"/>
      <c r="AH129" s="71"/>
      <c r="AK129" s="11"/>
      <c r="AL129" s="65"/>
      <c r="AM129" s="65"/>
    </row>
    <row r="130" ht="15.75" customHeight="1">
      <c r="B130" s="870"/>
      <c r="C130" s="841"/>
      <c r="E130" s="915"/>
      <c r="G130" s="13"/>
      <c r="H130" s="13"/>
      <c r="I130" s="6"/>
      <c r="J130" s="58"/>
      <c r="K130" s="6"/>
      <c r="L130" s="139"/>
      <c r="M130" s="3"/>
      <c r="N130" s="191"/>
      <c r="O130" s="60"/>
      <c r="Q130" s="67"/>
      <c r="R130" s="65"/>
      <c r="S130" s="3"/>
      <c r="U130" s="67"/>
      <c r="V130" s="67"/>
      <c r="Z130" s="69"/>
      <c r="AA130" s="70"/>
      <c r="AB130" s="71"/>
      <c r="AC130" s="71"/>
      <c r="AD130" s="71"/>
      <c r="AE130" s="71"/>
      <c r="AF130" s="71"/>
      <c r="AG130" s="71"/>
      <c r="AH130" s="71"/>
      <c r="AK130" s="11"/>
      <c r="AL130" s="65"/>
      <c r="AM130" s="65"/>
    </row>
    <row r="131" ht="15.75" customHeight="1">
      <c r="B131" s="870"/>
      <c r="C131" s="841"/>
      <c r="E131" s="915"/>
      <c r="G131" s="13"/>
      <c r="H131" s="13"/>
      <c r="I131" s="6"/>
      <c r="J131" s="58"/>
      <c r="K131" s="6"/>
      <c r="L131" s="139"/>
      <c r="M131" s="3"/>
      <c r="N131" s="191"/>
      <c r="O131" s="60"/>
      <c r="Q131" s="67"/>
      <c r="R131" s="65"/>
      <c r="S131" s="3"/>
      <c r="U131" s="67"/>
      <c r="V131" s="67"/>
      <c r="Z131" s="69"/>
      <c r="AA131" s="70"/>
      <c r="AB131" s="71"/>
      <c r="AC131" s="71"/>
      <c r="AD131" s="71"/>
      <c r="AE131" s="71"/>
      <c r="AF131" s="71"/>
      <c r="AG131" s="71"/>
      <c r="AH131" s="71"/>
      <c r="AK131" s="11"/>
      <c r="AL131" s="65"/>
      <c r="AM131" s="65"/>
    </row>
    <row r="132" ht="15.75" customHeight="1">
      <c r="B132" s="870"/>
      <c r="C132" s="841"/>
      <c r="E132" s="915"/>
      <c r="G132" s="13"/>
      <c r="H132" s="13"/>
      <c r="I132" s="6"/>
      <c r="J132" s="58"/>
      <c r="K132" s="6"/>
      <c r="L132" s="139"/>
      <c r="M132" s="3"/>
      <c r="N132" s="191"/>
      <c r="O132" s="60"/>
      <c r="Q132" s="67"/>
      <c r="R132" s="65"/>
      <c r="S132" s="3"/>
      <c r="U132" s="67"/>
      <c r="V132" s="67"/>
      <c r="Z132" s="69"/>
      <c r="AA132" s="70"/>
      <c r="AB132" s="71"/>
      <c r="AC132" s="71"/>
      <c r="AD132" s="71"/>
      <c r="AE132" s="71"/>
      <c r="AF132" s="71"/>
      <c r="AG132" s="71"/>
      <c r="AH132" s="71"/>
      <c r="AK132" s="11"/>
      <c r="AL132" s="65"/>
      <c r="AM132" s="65"/>
    </row>
    <row r="133" ht="15.75" customHeight="1">
      <c r="B133" s="870"/>
      <c r="C133" s="841"/>
      <c r="E133" s="915"/>
      <c r="G133" s="13"/>
      <c r="H133" s="13"/>
      <c r="I133" s="6"/>
      <c r="J133" s="58"/>
      <c r="K133" s="6"/>
      <c r="L133" s="139"/>
      <c r="M133" s="3"/>
      <c r="N133" s="191"/>
      <c r="O133" s="60"/>
      <c r="Q133" s="67"/>
      <c r="R133" s="65"/>
      <c r="S133" s="3"/>
      <c r="U133" s="67"/>
      <c r="V133" s="67"/>
      <c r="Z133" s="69"/>
      <c r="AA133" s="70"/>
      <c r="AB133" s="71"/>
      <c r="AC133" s="71"/>
      <c r="AD133" s="71"/>
      <c r="AE133" s="71"/>
      <c r="AF133" s="71"/>
      <c r="AG133" s="71"/>
      <c r="AH133" s="71"/>
      <c r="AK133" s="11"/>
      <c r="AL133" s="65"/>
      <c r="AM133" s="65"/>
    </row>
    <row r="134" ht="15.75" customHeight="1">
      <c r="B134" s="870"/>
      <c r="C134" s="841"/>
      <c r="E134" s="915"/>
      <c r="G134" s="13"/>
      <c r="H134" s="13"/>
      <c r="I134" s="6"/>
      <c r="J134" s="58"/>
      <c r="K134" s="6"/>
      <c r="L134" s="139"/>
      <c r="M134" s="3"/>
      <c r="N134" s="191"/>
      <c r="O134" s="60"/>
      <c r="Q134" s="67"/>
      <c r="R134" s="65"/>
      <c r="S134" s="3"/>
      <c r="U134" s="67"/>
      <c r="V134" s="67"/>
      <c r="Z134" s="69"/>
      <c r="AA134" s="70"/>
      <c r="AB134" s="71"/>
      <c r="AC134" s="71"/>
      <c r="AD134" s="71"/>
      <c r="AE134" s="71"/>
      <c r="AF134" s="71"/>
      <c r="AG134" s="71"/>
      <c r="AH134" s="71"/>
      <c r="AK134" s="11"/>
      <c r="AL134" s="65"/>
      <c r="AM134" s="65"/>
    </row>
    <row r="135" ht="15.75" customHeight="1">
      <c r="B135" s="870"/>
      <c r="C135" s="841"/>
      <c r="E135" s="915"/>
      <c r="G135" s="13"/>
      <c r="H135" s="13"/>
      <c r="I135" s="6"/>
      <c r="J135" s="58"/>
      <c r="K135" s="6"/>
      <c r="L135" s="139"/>
      <c r="M135" s="3"/>
      <c r="N135" s="191"/>
      <c r="O135" s="60"/>
      <c r="Q135" s="67"/>
      <c r="R135" s="65"/>
      <c r="S135" s="3"/>
      <c r="U135" s="67"/>
      <c r="V135" s="67"/>
      <c r="Z135" s="69"/>
      <c r="AA135" s="70"/>
      <c r="AB135" s="71"/>
      <c r="AC135" s="71"/>
      <c r="AD135" s="71"/>
      <c r="AE135" s="71"/>
      <c r="AF135" s="71"/>
      <c r="AG135" s="71"/>
      <c r="AH135" s="71"/>
      <c r="AK135" s="11"/>
      <c r="AL135" s="65"/>
      <c r="AM135" s="65"/>
    </row>
    <row r="136" ht="15.75" customHeight="1">
      <c r="B136" s="870"/>
      <c r="C136" s="841"/>
      <c r="E136" s="915"/>
      <c r="G136" s="13"/>
      <c r="H136" s="13"/>
      <c r="I136" s="6"/>
      <c r="J136" s="58"/>
      <c r="K136" s="6"/>
      <c r="L136" s="139"/>
      <c r="M136" s="3"/>
      <c r="N136" s="191"/>
      <c r="O136" s="60"/>
      <c r="Q136" s="67"/>
      <c r="R136" s="65"/>
      <c r="S136" s="3"/>
      <c r="U136" s="67"/>
      <c r="V136" s="67"/>
      <c r="Z136" s="69"/>
      <c r="AA136" s="70"/>
      <c r="AB136" s="71"/>
      <c r="AC136" s="71"/>
      <c r="AD136" s="71"/>
      <c r="AE136" s="71"/>
      <c r="AF136" s="71"/>
      <c r="AG136" s="71"/>
      <c r="AH136" s="71"/>
      <c r="AK136" s="11"/>
      <c r="AL136" s="65"/>
      <c r="AM136" s="65"/>
    </row>
    <row r="137" ht="15.75" customHeight="1">
      <c r="B137" s="870"/>
      <c r="C137" s="841"/>
      <c r="E137" s="915"/>
      <c r="G137" s="13"/>
      <c r="H137" s="13"/>
      <c r="I137" s="6"/>
      <c r="J137" s="58"/>
      <c r="K137" s="6"/>
      <c r="L137" s="139"/>
      <c r="M137" s="3"/>
      <c r="N137" s="191"/>
      <c r="O137" s="60"/>
      <c r="Q137" s="67"/>
      <c r="R137" s="65"/>
      <c r="S137" s="3"/>
      <c r="U137" s="67"/>
      <c r="V137" s="67"/>
      <c r="Z137" s="69"/>
      <c r="AA137" s="70"/>
      <c r="AB137" s="71"/>
      <c r="AC137" s="71"/>
      <c r="AD137" s="71"/>
      <c r="AE137" s="71"/>
      <c r="AF137" s="71"/>
      <c r="AG137" s="71"/>
      <c r="AH137" s="71"/>
      <c r="AK137" s="11"/>
      <c r="AL137" s="65"/>
      <c r="AM137" s="65"/>
    </row>
    <row r="138" ht="15.75" customHeight="1">
      <c r="B138" s="870"/>
      <c r="C138" s="841"/>
      <c r="E138" s="915"/>
      <c r="G138" s="13"/>
      <c r="H138" s="13"/>
      <c r="I138" s="6"/>
      <c r="J138" s="58"/>
      <c r="K138" s="6"/>
      <c r="L138" s="139"/>
      <c r="M138" s="3"/>
      <c r="N138" s="191"/>
      <c r="O138" s="60"/>
      <c r="Q138" s="67"/>
      <c r="R138" s="65"/>
      <c r="S138" s="3"/>
      <c r="U138" s="67"/>
      <c r="V138" s="67"/>
      <c r="Z138" s="69"/>
      <c r="AA138" s="70"/>
      <c r="AB138" s="71"/>
      <c r="AC138" s="71"/>
      <c r="AD138" s="71"/>
      <c r="AE138" s="71"/>
      <c r="AF138" s="71"/>
      <c r="AG138" s="71"/>
      <c r="AH138" s="71"/>
      <c r="AK138" s="11"/>
      <c r="AL138" s="65"/>
      <c r="AM138" s="65"/>
    </row>
    <row r="139" ht="15.75" customHeight="1">
      <c r="B139" s="870"/>
      <c r="C139" s="841"/>
      <c r="E139" s="915"/>
      <c r="G139" s="13"/>
      <c r="H139" s="13"/>
      <c r="I139" s="6"/>
      <c r="J139" s="58"/>
      <c r="K139" s="6"/>
      <c r="L139" s="139"/>
      <c r="M139" s="3"/>
      <c r="N139" s="191"/>
      <c r="O139" s="60"/>
      <c r="Q139" s="67"/>
      <c r="R139" s="65"/>
      <c r="S139" s="3"/>
      <c r="U139" s="67"/>
      <c r="V139" s="67"/>
      <c r="Z139" s="69"/>
      <c r="AA139" s="70"/>
      <c r="AB139" s="71"/>
      <c r="AC139" s="71"/>
      <c r="AD139" s="71"/>
      <c r="AE139" s="71"/>
      <c r="AF139" s="71"/>
      <c r="AG139" s="71"/>
      <c r="AH139" s="71"/>
      <c r="AK139" s="11"/>
      <c r="AL139" s="65"/>
      <c r="AM139" s="65"/>
    </row>
    <row r="140" ht="15.75" customHeight="1">
      <c r="B140" s="870"/>
      <c r="C140" s="841"/>
      <c r="E140" s="915"/>
      <c r="G140" s="13"/>
      <c r="H140" s="13"/>
      <c r="I140" s="6"/>
      <c r="J140" s="58"/>
      <c r="K140" s="6"/>
      <c r="L140" s="139"/>
      <c r="M140" s="3"/>
      <c r="N140" s="191"/>
      <c r="O140" s="60"/>
      <c r="Q140" s="67"/>
      <c r="R140" s="65"/>
      <c r="S140" s="3"/>
      <c r="U140" s="67"/>
      <c r="V140" s="67"/>
      <c r="Z140" s="69"/>
      <c r="AA140" s="70"/>
      <c r="AB140" s="71"/>
      <c r="AC140" s="71"/>
      <c r="AD140" s="71"/>
      <c r="AE140" s="71"/>
      <c r="AF140" s="71"/>
      <c r="AG140" s="71"/>
      <c r="AH140" s="71"/>
      <c r="AK140" s="11"/>
      <c r="AL140" s="65"/>
      <c r="AM140" s="65"/>
    </row>
    <row r="141" ht="15.75" customHeight="1">
      <c r="B141" s="870"/>
      <c r="C141" s="841"/>
      <c r="E141" s="915"/>
      <c r="G141" s="13"/>
      <c r="H141" s="13"/>
      <c r="I141" s="6"/>
      <c r="J141" s="58"/>
      <c r="K141" s="6"/>
      <c r="L141" s="139"/>
      <c r="M141" s="3"/>
      <c r="N141" s="191"/>
      <c r="O141" s="60"/>
      <c r="Q141" s="67"/>
      <c r="R141" s="65"/>
      <c r="S141" s="3"/>
      <c r="U141" s="67"/>
      <c r="V141" s="67"/>
      <c r="Z141" s="69"/>
      <c r="AA141" s="70"/>
      <c r="AB141" s="71"/>
      <c r="AC141" s="71"/>
      <c r="AD141" s="71"/>
      <c r="AE141" s="71"/>
      <c r="AF141" s="71"/>
      <c r="AG141" s="71"/>
      <c r="AH141" s="71"/>
      <c r="AK141" s="11"/>
      <c r="AL141" s="65"/>
      <c r="AM141" s="65"/>
    </row>
    <row r="142" ht="15.75" customHeight="1">
      <c r="B142" s="870"/>
      <c r="C142" s="841"/>
      <c r="E142" s="915"/>
      <c r="G142" s="13"/>
      <c r="H142" s="13"/>
      <c r="I142" s="6"/>
      <c r="J142" s="58"/>
      <c r="K142" s="6"/>
      <c r="L142" s="139"/>
      <c r="M142" s="3"/>
      <c r="N142" s="191"/>
      <c r="O142" s="60"/>
      <c r="Q142" s="67"/>
      <c r="R142" s="65"/>
      <c r="S142" s="3"/>
      <c r="U142" s="67"/>
      <c r="V142" s="67"/>
      <c r="Z142" s="69"/>
      <c r="AA142" s="70"/>
      <c r="AB142" s="71"/>
      <c r="AC142" s="71"/>
      <c r="AD142" s="71"/>
      <c r="AE142" s="71"/>
      <c r="AF142" s="71"/>
      <c r="AG142" s="71"/>
      <c r="AH142" s="71"/>
      <c r="AK142" s="11"/>
      <c r="AL142" s="65"/>
      <c r="AM142" s="65"/>
    </row>
    <row r="143" ht="15.75" customHeight="1">
      <c r="B143" s="870"/>
      <c r="C143" s="841"/>
      <c r="E143" s="915"/>
      <c r="G143" s="13"/>
      <c r="H143" s="13"/>
      <c r="I143" s="6"/>
      <c r="J143" s="58"/>
      <c r="K143" s="6"/>
      <c r="L143" s="139"/>
      <c r="M143" s="3"/>
      <c r="N143" s="191"/>
      <c r="O143" s="60"/>
      <c r="Q143" s="67"/>
      <c r="R143" s="65"/>
      <c r="S143" s="3"/>
      <c r="U143" s="67"/>
      <c r="V143" s="67"/>
      <c r="Z143" s="69"/>
      <c r="AA143" s="70"/>
      <c r="AB143" s="71"/>
      <c r="AC143" s="71"/>
      <c r="AD143" s="71"/>
      <c r="AE143" s="71"/>
      <c r="AF143" s="71"/>
      <c r="AG143" s="71"/>
      <c r="AH143" s="71"/>
      <c r="AK143" s="11"/>
      <c r="AL143" s="65"/>
      <c r="AM143" s="65"/>
    </row>
    <row r="144" ht="15.75" customHeight="1">
      <c r="B144" s="870"/>
      <c r="C144" s="841"/>
      <c r="E144" s="915"/>
      <c r="G144" s="13"/>
      <c r="H144" s="13"/>
      <c r="I144" s="6"/>
      <c r="J144" s="58"/>
      <c r="K144" s="6"/>
      <c r="L144" s="139"/>
      <c r="M144" s="3"/>
      <c r="N144" s="191"/>
      <c r="O144" s="60"/>
      <c r="Q144" s="67"/>
      <c r="R144" s="65"/>
      <c r="S144" s="3"/>
      <c r="U144" s="67"/>
      <c r="V144" s="67"/>
      <c r="Z144" s="69"/>
      <c r="AA144" s="70"/>
      <c r="AB144" s="71"/>
      <c r="AC144" s="71"/>
      <c r="AD144" s="71"/>
      <c r="AE144" s="71"/>
      <c r="AF144" s="71"/>
      <c r="AG144" s="71"/>
      <c r="AH144" s="71"/>
      <c r="AK144" s="11"/>
      <c r="AL144" s="65"/>
      <c r="AM144" s="65"/>
    </row>
    <row r="145" ht="15.75" customHeight="1">
      <c r="B145" s="870"/>
      <c r="C145" s="841"/>
      <c r="E145" s="915"/>
      <c r="G145" s="13"/>
      <c r="H145" s="13"/>
      <c r="I145" s="6"/>
      <c r="J145" s="58"/>
      <c r="K145" s="6"/>
      <c r="L145" s="139"/>
      <c r="M145" s="3"/>
      <c r="N145" s="191"/>
      <c r="O145" s="60"/>
      <c r="Q145" s="67"/>
      <c r="R145" s="65"/>
      <c r="S145" s="3"/>
      <c r="U145" s="67"/>
      <c r="V145" s="67"/>
      <c r="Z145" s="69"/>
      <c r="AA145" s="70"/>
      <c r="AB145" s="71"/>
      <c r="AC145" s="71"/>
      <c r="AD145" s="71"/>
      <c r="AE145" s="71"/>
      <c r="AF145" s="71"/>
      <c r="AG145" s="71"/>
      <c r="AH145" s="71"/>
      <c r="AK145" s="11"/>
      <c r="AL145" s="65"/>
      <c r="AM145" s="65"/>
    </row>
    <row r="146" ht="15.75" customHeight="1">
      <c r="B146" s="870"/>
      <c r="C146" s="841"/>
      <c r="E146" s="915"/>
      <c r="G146" s="13"/>
      <c r="H146" s="13"/>
      <c r="I146" s="6"/>
      <c r="J146" s="58"/>
      <c r="K146" s="6"/>
      <c r="L146" s="139"/>
      <c r="M146" s="3"/>
      <c r="N146" s="191"/>
      <c r="O146" s="60"/>
      <c r="Q146" s="67"/>
      <c r="R146" s="65"/>
      <c r="S146" s="3"/>
      <c r="U146" s="67"/>
      <c r="V146" s="67"/>
      <c r="Z146" s="69"/>
      <c r="AA146" s="70"/>
      <c r="AB146" s="71"/>
      <c r="AC146" s="71"/>
      <c r="AD146" s="71"/>
      <c r="AE146" s="71"/>
      <c r="AF146" s="71"/>
      <c r="AG146" s="71"/>
      <c r="AH146" s="71"/>
      <c r="AK146" s="11"/>
      <c r="AL146" s="65"/>
      <c r="AM146" s="65"/>
    </row>
    <row r="147" ht="15.75" customHeight="1">
      <c r="B147" s="870"/>
      <c r="C147" s="841"/>
      <c r="E147" s="915"/>
      <c r="G147" s="13"/>
      <c r="H147" s="13"/>
      <c r="I147" s="6"/>
      <c r="J147" s="58"/>
      <c r="K147" s="6"/>
      <c r="L147" s="139"/>
      <c r="M147" s="3"/>
      <c r="N147" s="191"/>
      <c r="O147" s="60"/>
      <c r="Q147" s="67"/>
      <c r="R147" s="65"/>
      <c r="S147" s="3"/>
      <c r="U147" s="67"/>
      <c r="V147" s="67"/>
      <c r="Z147" s="69"/>
      <c r="AA147" s="70"/>
      <c r="AB147" s="71"/>
      <c r="AC147" s="71"/>
      <c r="AD147" s="71"/>
      <c r="AE147" s="71"/>
      <c r="AF147" s="71"/>
      <c r="AG147" s="71"/>
      <c r="AH147" s="71"/>
      <c r="AK147" s="11"/>
      <c r="AL147" s="65"/>
      <c r="AM147" s="65"/>
    </row>
    <row r="148" ht="15.75" customHeight="1">
      <c r="B148" s="870"/>
      <c r="C148" s="841"/>
      <c r="E148" s="915"/>
      <c r="G148" s="13"/>
      <c r="H148" s="13"/>
      <c r="I148" s="6"/>
      <c r="J148" s="58"/>
      <c r="K148" s="6"/>
      <c r="L148" s="139"/>
      <c r="M148" s="3"/>
      <c r="N148" s="191"/>
      <c r="O148" s="60"/>
      <c r="Q148" s="67"/>
      <c r="R148" s="65"/>
      <c r="S148" s="3"/>
      <c r="U148" s="67"/>
      <c r="V148" s="67"/>
      <c r="Z148" s="69"/>
      <c r="AA148" s="70"/>
      <c r="AB148" s="71"/>
      <c r="AC148" s="71"/>
      <c r="AD148" s="71"/>
      <c r="AE148" s="71"/>
      <c r="AF148" s="71"/>
      <c r="AG148" s="71"/>
      <c r="AH148" s="71"/>
      <c r="AK148" s="11"/>
      <c r="AL148" s="65"/>
      <c r="AM148" s="65"/>
    </row>
    <row r="149" ht="15.75" customHeight="1">
      <c r="B149" s="870"/>
      <c r="C149" s="841"/>
      <c r="E149" s="915"/>
      <c r="G149" s="13"/>
      <c r="H149" s="13"/>
      <c r="I149" s="6"/>
      <c r="J149" s="58"/>
      <c r="K149" s="6"/>
      <c r="L149" s="139"/>
      <c r="M149" s="3"/>
      <c r="N149" s="191"/>
      <c r="O149" s="60"/>
      <c r="Q149" s="67"/>
      <c r="R149" s="65"/>
      <c r="S149" s="3"/>
      <c r="U149" s="67"/>
      <c r="V149" s="67"/>
      <c r="Z149" s="69"/>
      <c r="AA149" s="70"/>
      <c r="AB149" s="71"/>
      <c r="AC149" s="71"/>
      <c r="AD149" s="71"/>
      <c r="AE149" s="71"/>
      <c r="AF149" s="71"/>
      <c r="AG149" s="71"/>
      <c r="AH149" s="71"/>
      <c r="AK149" s="11"/>
      <c r="AL149" s="65"/>
      <c r="AM149" s="65"/>
    </row>
    <row r="150" ht="15.75" customHeight="1">
      <c r="B150" s="870"/>
      <c r="C150" s="841"/>
      <c r="E150" s="915"/>
      <c r="G150" s="13"/>
      <c r="H150" s="13"/>
      <c r="I150" s="6"/>
      <c r="J150" s="58"/>
      <c r="K150" s="6"/>
      <c r="L150" s="139"/>
      <c r="M150" s="3"/>
      <c r="N150" s="191"/>
      <c r="O150" s="60"/>
      <c r="Q150" s="67"/>
      <c r="R150" s="65"/>
      <c r="S150" s="3"/>
      <c r="U150" s="67"/>
      <c r="V150" s="67"/>
      <c r="Z150" s="69"/>
      <c r="AA150" s="70"/>
      <c r="AB150" s="71"/>
      <c r="AC150" s="71"/>
      <c r="AD150" s="71"/>
      <c r="AE150" s="71"/>
      <c r="AF150" s="71"/>
      <c r="AG150" s="71"/>
      <c r="AH150" s="71"/>
      <c r="AK150" s="11"/>
      <c r="AL150" s="65"/>
      <c r="AM150" s="65"/>
    </row>
    <row r="151" ht="15.75" customHeight="1">
      <c r="B151" s="870"/>
      <c r="C151" s="841"/>
      <c r="E151" s="915"/>
      <c r="G151" s="13"/>
      <c r="H151" s="13"/>
      <c r="I151" s="6"/>
      <c r="J151" s="58"/>
      <c r="K151" s="6"/>
      <c r="L151" s="139"/>
      <c r="M151" s="3"/>
      <c r="N151" s="191"/>
      <c r="O151" s="60"/>
      <c r="Q151" s="67"/>
      <c r="R151" s="65"/>
      <c r="S151" s="3"/>
      <c r="U151" s="67"/>
      <c r="V151" s="67"/>
      <c r="Z151" s="69"/>
      <c r="AA151" s="70"/>
      <c r="AB151" s="71"/>
      <c r="AC151" s="71"/>
      <c r="AD151" s="71"/>
      <c r="AE151" s="71"/>
      <c r="AF151" s="71"/>
      <c r="AG151" s="71"/>
      <c r="AH151" s="71"/>
      <c r="AK151" s="11"/>
      <c r="AL151" s="65"/>
      <c r="AM151" s="65"/>
    </row>
    <row r="152" ht="15.75" customHeight="1">
      <c r="B152" s="870"/>
      <c r="C152" s="841"/>
      <c r="E152" s="915"/>
      <c r="G152" s="13"/>
      <c r="H152" s="13"/>
      <c r="I152" s="6"/>
      <c r="J152" s="58"/>
      <c r="K152" s="6"/>
      <c r="L152" s="139"/>
      <c r="M152" s="3"/>
      <c r="N152" s="191"/>
      <c r="O152" s="60"/>
      <c r="Q152" s="67"/>
      <c r="R152" s="65"/>
      <c r="S152" s="3"/>
      <c r="U152" s="67"/>
      <c r="V152" s="67"/>
      <c r="Z152" s="69"/>
      <c r="AA152" s="70"/>
      <c r="AB152" s="71"/>
      <c r="AC152" s="71"/>
      <c r="AD152" s="71"/>
      <c r="AE152" s="71"/>
      <c r="AF152" s="71"/>
      <c r="AG152" s="71"/>
      <c r="AH152" s="71"/>
      <c r="AK152" s="11"/>
      <c r="AL152" s="65"/>
      <c r="AM152" s="65"/>
    </row>
    <row r="153" ht="15.75" customHeight="1">
      <c r="B153" s="870"/>
      <c r="C153" s="841"/>
      <c r="E153" s="915"/>
      <c r="G153" s="13"/>
      <c r="H153" s="13"/>
      <c r="I153" s="6"/>
      <c r="J153" s="58"/>
      <c r="K153" s="6"/>
      <c r="L153" s="139"/>
      <c r="M153" s="3"/>
      <c r="N153" s="191"/>
      <c r="O153" s="60"/>
      <c r="Q153" s="67"/>
      <c r="R153" s="65"/>
      <c r="S153" s="3"/>
      <c r="U153" s="67"/>
      <c r="V153" s="67"/>
      <c r="Z153" s="69"/>
      <c r="AA153" s="70"/>
      <c r="AB153" s="71"/>
      <c r="AC153" s="71"/>
      <c r="AD153" s="71"/>
      <c r="AE153" s="71"/>
      <c r="AF153" s="71"/>
      <c r="AG153" s="71"/>
      <c r="AH153" s="71"/>
      <c r="AK153" s="11"/>
      <c r="AL153" s="65"/>
      <c r="AM153" s="65"/>
    </row>
    <row r="154" ht="15.75" customHeight="1">
      <c r="B154" s="870"/>
      <c r="C154" s="841"/>
      <c r="E154" s="915"/>
      <c r="G154" s="13"/>
      <c r="H154" s="13"/>
      <c r="I154" s="6"/>
      <c r="J154" s="58"/>
      <c r="K154" s="6"/>
      <c r="L154" s="139"/>
      <c r="M154" s="3"/>
      <c r="N154" s="191"/>
      <c r="O154" s="60"/>
      <c r="Q154" s="67"/>
      <c r="R154" s="65"/>
      <c r="S154" s="3"/>
      <c r="U154" s="67"/>
      <c r="V154" s="67"/>
      <c r="Z154" s="69"/>
      <c r="AA154" s="70"/>
      <c r="AB154" s="71"/>
      <c r="AC154" s="71"/>
      <c r="AD154" s="71"/>
      <c r="AE154" s="71"/>
      <c r="AF154" s="71"/>
      <c r="AG154" s="71"/>
      <c r="AH154" s="71"/>
      <c r="AK154" s="11"/>
      <c r="AL154" s="65"/>
      <c r="AM154" s="65"/>
    </row>
    <row r="155" ht="15.75" customHeight="1">
      <c r="B155" s="870"/>
      <c r="AB155" s="7"/>
      <c r="AC155" s="7"/>
      <c r="AD155" s="7"/>
      <c r="AE155" s="7"/>
      <c r="AF155" s="7"/>
      <c r="AG155" s="7"/>
      <c r="AH155" s="7"/>
      <c r="AK155" s="11"/>
      <c r="AL155" s="65"/>
      <c r="AM155" s="65"/>
    </row>
    <row r="156" ht="15.75" customHeight="1">
      <c r="B156" s="870"/>
      <c r="AB156" s="7"/>
      <c r="AC156" s="7"/>
      <c r="AD156" s="7"/>
      <c r="AE156" s="7"/>
      <c r="AF156" s="7"/>
      <c r="AG156" s="7"/>
      <c r="AH156" s="7"/>
      <c r="AK156" s="11"/>
      <c r="AL156" s="65"/>
      <c r="AM156" s="65"/>
    </row>
    <row r="157" ht="15.75" customHeight="1">
      <c r="B157" s="870"/>
      <c r="AB157" s="7"/>
      <c r="AC157" s="7"/>
      <c r="AD157" s="7"/>
      <c r="AE157" s="7"/>
      <c r="AF157" s="7"/>
      <c r="AG157" s="7"/>
      <c r="AH157" s="7"/>
      <c r="AK157" s="11"/>
      <c r="AL157" s="65"/>
      <c r="AM157" s="65"/>
    </row>
    <row r="158" ht="15.75" customHeight="1">
      <c r="B158" s="870"/>
      <c r="AB158" s="7"/>
      <c r="AC158" s="7"/>
      <c r="AD158" s="7"/>
      <c r="AE158" s="7"/>
      <c r="AF158" s="7"/>
      <c r="AG158" s="7"/>
      <c r="AH158" s="7"/>
      <c r="AK158" s="11"/>
      <c r="AL158" s="65"/>
      <c r="AM158" s="65"/>
    </row>
    <row r="159" ht="15.75" customHeight="1">
      <c r="B159" s="870"/>
      <c r="AB159" s="7"/>
      <c r="AC159" s="7"/>
      <c r="AD159" s="7"/>
      <c r="AE159" s="7"/>
      <c r="AF159" s="7"/>
      <c r="AG159" s="7"/>
      <c r="AH159" s="7"/>
      <c r="AK159" s="11"/>
      <c r="AL159" s="65"/>
      <c r="AM159" s="65"/>
    </row>
    <row r="160" ht="15.75" customHeight="1">
      <c r="B160" s="870"/>
      <c r="AB160" s="7"/>
      <c r="AC160" s="7"/>
      <c r="AD160" s="7"/>
      <c r="AE160" s="7"/>
      <c r="AF160" s="7"/>
      <c r="AG160" s="7"/>
      <c r="AH160" s="7"/>
      <c r="AK160" s="11"/>
      <c r="AL160" s="65"/>
      <c r="AM160" s="65"/>
    </row>
    <row r="161" ht="15.75" customHeight="1">
      <c r="B161" s="870"/>
      <c r="AB161" s="7"/>
      <c r="AC161" s="7"/>
      <c r="AD161" s="7"/>
      <c r="AE161" s="7"/>
      <c r="AF161" s="7"/>
      <c r="AG161" s="7"/>
      <c r="AH161" s="7"/>
      <c r="AK161" s="11"/>
      <c r="AL161" s="65"/>
      <c r="AM161" s="65"/>
    </row>
    <row r="162" ht="15.75" customHeight="1">
      <c r="B162" s="870"/>
      <c r="AB162" s="7"/>
      <c r="AC162" s="7"/>
      <c r="AD162" s="7"/>
      <c r="AE162" s="7"/>
      <c r="AF162" s="7"/>
      <c r="AG162" s="7"/>
      <c r="AH162" s="7"/>
      <c r="AK162" s="11"/>
      <c r="AL162" s="65"/>
      <c r="AM162" s="65"/>
    </row>
    <row r="163" ht="15.75" customHeight="1">
      <c r="B163" s="870"/>
      <c r="AB163" s="7"/>
      <c r="AC163" s="7"/>
      <c r="AD163" s="7"/>
      <c r="AE163" s="7"/>
      <c r="AF163" s="7"/>
      <c r="AG163" s="7"/>
      <c r="AH163" s="7"/>
      <c r="AK163" s="11"/>
      <c r="AL163" s="65"/>
      <c r="AM163" s="65"/>
    </row>
    <row r="164" ht="15.75" customHeight="1">
      <c r="B164" s="870"/>
      <c r="AB164" s="7"/>
      <c r="AC164" s="7"/>
      <c r="AD164" s="7"/>
      <c r="AE164" s="7"/>
      <c r="AF164" s="7"/>
      <c r="AG164" s="7"/>
      <c r="AH164" s="7"/>
      <c r="AK164" s="11"/>
      <c r="AL164" s="65"/>
      <c r="AM164" s="65"/>
    </row>
    <row r="165" ht="15.75" customHeight="1">
      <c r="B165" s="870"/>
      <c r="AB165" s="7"/>
      <c r="AC165" s="7"/>
      <c r="AD165" s="7"/>
      <c r="AE165" s="7"/>
      <c r="AF165" s="7"/>
      <c r="AG165" s="7"/>
      <c r="AH165" s="7"/>
      <c r="AK165" s="11"/>
      <c r="AL165" s="65"/>
      <c r="AM165" s="65"/>
    </row>
    <row r="166" ht="15.75" customHeight="1">
      <c r="B166" s="870"/>
      <c r="AB166" s="7"/>
      <c r="AC166" s="7"/>
      <c r="AD166" s="7"/>
      <c r="AE166" s="7"/>
      <c r="AF166" s="7"/>
      <c r="AG166" s="7"/>
      <c r="AH166" s="7"/>
      <c r="AK166" s="11"/>
      <c r="AL166" s="65"/>
      <c r="AM166" s="65"/>
    </row>
    <row r="167" ht="15.75" customHeight="1">
      <c r="B167" s="870"/>
      <c r="AB167" s="7"/>
      <c r="AC167" s="7"/>
      <c r="AD167" s="7"/>
      <c r="AE167" s="7"/>
      <c r="AF167" s="7"/>
      <c r="AG167" s="7"/>
      <c r="AH167" s="7"/>
      <c r="AK167" s="11"/>
      <c r="AL167" s="65"/>
      <c r="AM167" s="65"/>
    </row>
    <row r="168" ht="15.75" customHeight="1">
      <c r="B168" s="870"/>
      <c r="AB168" s="7"/>
      <c r="AC168" s="7"/>
      <c r="AD168" s="7"/>
      <c r="AE168" s="7"/>
      <c r="AF168" s="7"/>
      <c r="AG168" s="7"/>
      <c r="AH168" s="7"/>
      <c r="AK168" s="11"/>
      <c r="AL168" s="65"/>
      <c r="AM168" s="65"/>
    </row>
    <row r="169" ht="15.75" customHeight="1">
      <c r="B169" s="870"/>
      <c r="AB169" s="7"/>
      <c r="AC169" s="7"/>
      <c r="AD169" s="7"/>
      <c r="AE169" s="7"/>
      <c r="AF169" s="7"/>
      <c r="AG169" s="7"/>
      <c r="AH169" s="7"/>
      <c r="AK169" s="11"/>
      <c r="AL169" s="65"/>
      <c r="AM169" s="65"/>
    </row>
    <row r="170" ht="15.75" customHeight="1">
      <c r="B170" s="870"/>
      <c r="AB170" s="7"/>
      <c r="AC170" s="7"/>
      <c r="AD170" s="7"/>
      <c r="AE170" s="7"/>
      <c r="AF170" s="7"/>
      <c r="AG170" s="7"/>
      <c r="AH170" s="7"/>
      <c r="AK170" s="11"/>
      <c r="AL170" s="65"/>
      <c r="AM170" s="65"/>
    </row>
    <row r="171" ht="15.75" customHeight="1">
      <c r="B171" s="870"/>
      <c r="AB171" s="7"/>
      <c r="AC171" s="7"/>
      <c r="AD171" s="7"/>
      <c r="AE171" s="7"/>
      <c r="AF171" s="7"/>
      <c r="AG171" s="7"/>
      <c r="AH171" s="7"/>
      <c r="AK171" s="11"/>
      <c r="AL171" s="65"/>
      <c r="AM171" s="65"/>
    </row>
    <row r="172" ht="15.75" customHeight="1">
      <c r="B172" s="870"/>
      <c r="AB172" s="7"/>
      <c r="AC172" s="7"/>
      <c r="AD172" s="7"/>
      <c r="AE172" s="7"/>
      <c r="AF172" s="7"/>
      <c r="AG172" s="7"/>
      <c r="AH172" s="7"/>
      <c r="AK172" s="11"/>
      <c r="AL172" s="65"/>
      <c r="AM172" s="65"/>
    </row>
    <row r="173" ht="15.75" customHeight="1">
      <c r="B173" s="870"/>
      <c r="AB173" s="7"/>
      <c r="AC173" s="7"/>
      <c r="AD173" s="7"/>
      <c r="AE173" s="7"/>
      <c r="AF173" s="7"/>
      <c r="AG173" s="7"/>
      <c r="AH173" s="7"/>
      <c r="AK173" s="11"/>
      <c r="AL173" s="65"/>
      <c r="AM173" s="65"/>
    </row>
    <row r="174" ht="15.75" customHeight="1">
      <c r="B174" s="870"/>
      <c r="AB174" s="7"/>
      <c r="AC174" s="7"/>
      <c r="AD174" s="7"/>
      <c r="AE174" s="7"/>
      <c r="AF174" s="7"/>
      <c r="AG174" s="7"/>
      <c r="AH174" s="7"/>
      <c r="AK174" s="11"/>
      <c r="AL174" s="65"/>
      <c r="AM174" s="65"/>
    </row>
    <row r="175" ht="15.75" customHeight="1">
      <c r="B175" s="870"/>
      <c r="AB175" s="7"/>
      <c r="AC175" s="7"/>
      <c r="AD175" s="7"/>
      <c r="AE175" s="7"/>
      <c r="AF175" s="7"/>
      <c r="AG175" s="7"/>
      <c r="AH175" s="7"/>
      <c r="AK175" s="11"/>
      <c r="AL175" s="65"/>
      <c r="AM175" s="65"/>
    </row>
    <row r="176" ht="15.75" customHeight="1">
      <c r="B176" s="870"/>
      <c r="AB176" s="7"/>
      <c r="AC176" s="7"/>
      <c r="AD176" s="7"/>
      <c r="AE176" s="7"/>
      <c r="AF176" s="7"/>
      <c r="AG176" s="7"/>
      <c r="AH176" s="7"/>
      <c r="AK176" s="11"/>
      <c r="AL176" s="65"/>
      <c r="AM176" s="65"/>
    </row>
    <row r="177" ht="15.75" customHeight="1">
      <c r="B177" s="841"/>
      <c r="AB177" s="7"/>
      <c r="AC177" s="7"/>
      <c r="AD177" s="7"/>
      <c r="AE177" s="7"/>
      <c r="AF177" s="7"/>
      <c r="AG177" s="7"/>
      <c r="AH177" s="7"/>
      <c r="AK177" s="11"/>
      <c r="AL177" s="65"/>
      <c r="AM177" s="65"/>
    </row>
    <row r="178" ht="15.75" customHeight="1">
      <c r="B178" s="841"/>
      <c r="AB178" s="7"/>
      <c r="AC178" s="7"/>
      <c r="AD178" s="7"/>
      <c r="AE178" s="7"/>
      <c r="AF178" s="7"/>
      <c r="AG178" s="7"/>
      <c r="AH178" s="7"/>
      <c r="AK178" s="11"/>
      <c r="AL178" s="65"/>
      <c r="AM178" s="65"/>
    </row>
    <row r="179" ht="15.75" customHeight="1">
      <c r="B179" s="841"/>
      <c r="AB179" s="7"/>
      <c r="AC179" s="7"/>
      <c r="AD179" s="7"/>
      <c r="AE179" s="7"/>
      <c r="AF179" s="7"/>
      <c r="AG179" s="7"/>
      <c r="AH179" s="7"/>
      <c r="AK179" s="11"/>
      <c r="AL179" s="65"/>
      <c r="AM179" s="65"/>
    </row>
    <row r="180" ht="15.75" customHeight="1">
      <c r="B180" s="841"/>
      <c r="AB180" s="7"/>
      <c r="AC180" s="7"/>
      <c r="AD180" s="7"/>
      <c r="AE180" s="7"/>
      <c r="AF180" s="7"/>
      <c r="AG180" s="7"/>
      <c r="AH180" s="7"/>
      <c r="AK180" s="11"/>
      <c r="AL180" s="65"/>
      <c r="AM180" s="65"/>
    </row>
    <row r="181" ht="15.75" customHeight="1">
      <c r="B181" s="841"/>
      <c r="AB181" s="7"/>
      <c r="AC181" s="7"/>
      <c r="AD181" s="7"/>
      <c r="AE181" s="7"/>
      <c r="AF181" s="7"/>
      <c r="AG181" s="7"/>
      <c r="AH181" s="7"/>
      <c r="AK181" s="11"/>
      <c r="AL181" s="65"/>
      <c r="AM181" s="65"/>
    </row>
    <row r="182" ht="15.75" customHeight="1">
      <c r="B182" s="841"/>
      <c r="AB182" s="7"/>
      <c r="AC182" s="7"/>
      <c r="AD182" s="7"/>
      <c r="AE182" s="7"/>
      <c r="AF182" s="7"/>
      <c r="AG182" s="7"/>
      <c r="AH182" s="7"/>
      <c r="AK182" s="11"/>
      <c r="AL182" s="65"/>
      <c r="AM182" s="65"/>
    </row>
    <row r="183" ht="15.75" customHeight="1">
      <c r="B183" s="841"/>
      <c r="AB183" s="7"/>
      <c r="AC183" s="7"/>
      <c r="AD183" s="7"/>
      <c r="AE183" s="7"/>
      <c r="AF183" s="7"/>
      <c r="AG183" s="7"/>
      <c r="AH183" s="7"/>
      <c r="AK183" s="11"/>
      <c r="AL183" s="65"/>
      <c r="AM183" s="65"/>
    </row>
    <row r="184" ht="15.75" customHeight="1">
      <c r="B184" s="841"/>
      <c r="AB184" s="7"/>
      <c r="AC184" s="7"/>
      <c r="AD184" s="7"/>
      <c r="AE184" s="7"/>
      <c r="AF184" s="7"/>
      <c r="AG184" s="7"/>
      <c r="AH184" s="7"/>
      <c r="AK184" s="11"/>
      <c r="AL184" s="65"/>
      <c r="AM184" s="65"/>
    </row>
    <row r="185" ht="15.75" customHeight="1">
      <c r="B185" s="841"/>
      <c r="AB185" s="7"/>
      <c r="AC185" s="7"/>
      <c r="AD185" s="7"/>
      <c r="AE185" s="7"/>
      <c r="AF185" s="7"/>
      <c r="AG185" s="7"/>
      <c r="AH185" s="7"/>
      <c r="AK185" s="11"/>
      <c r="AL185" s="65"/>
      <c r="AM185" s="65"/>
    </row>
    <row r="186" ht="15.75" customHeight="1">
      <c r="B186" s="841"/>
      <c r="AB186" s="7"/>
      <c r="AC186" s="7"/>
      <c r="AD186" s="7"/>
      <c r="AE186" s="7"/>
      <c r="AF186" s="7"/>
      <c r="AG186" s="7"/>
      <c r="AH186" s="7"/>
      <c r="AK186" s="11"/>
      <c r="AL186" s="65"/>
      <c r="AM186" s="65"/>
    </row>
    <row r="187" ht="15.75" customHeight="1">
      <c r="B187" s="841"/>
      <c r="AB187" s="7"/>
      <c r="AC187" s="7"/>
      <c r="AD187" s="7"/>
      <c r="AE187" s="7"/>
      <c r="AF187" s="7"/>
      <c r="AG187" s="7"/>
      <c r="AH187" s="7"/>
      <c r="AK187" s="11"/>
      <c r="AL187" s="65"/>
      <c r="AM187" s="65"/>
    </row>
    <row r="188" ht="15.75" customHeight="1">
      <c r="B188" s="841"/>
      <c r="AB188" s="7"/>
      <c r="AC188" s="7"/>
      <c r="AD188" s="7"/>
      <c r="AE188" s="7"/>
      <c r="AF188" s="7"/>
      <c r="AG188" s="7"/>
      <c r="AH188" s="7"/>
      <c r="AK188" s="11"/>
      <c r="AL188" s="65"/>
      <c r="AM188" s="65"/>
    </row>
    <row r="189" ht="15.75" customHeight="1">
      <c r="B189" s="841"/>
      <c r="AB189" s="7"/>
      <c r="AC189" s="7"/>
      <c r="AD189" s="7"/>
      <c r="AE189" s="7"/>
      <c r="AF189" s="7"/>
      <c r="AG189" s="7"/>
      <c r="AH189" s="7"/>
      <c r="AK189" s="11"/>
      <c r="AL189" s="65"/>
      <c r="AM189" s="65"/>
    </row>
    <row r="190" ht="15.75" customHeight="1">
      <c r="B190" s="841"/>
      <c r="AB190" s="7"/>
      <c r="AC190" s="7"/>
      <c r="AD190" s="7"/>
      <c r="AE190" s="7"/>
      <c r="AF190" s="7"/>
      <c r="AG190" s="7"/>
      <c r="AH190" s="7"/>
      <c r="AK190" s="11"/>
      <c r="AL190" s="65"/>
      <c r="AM190" s="65"/>
    </row>
    <row r="191" ht="15.75" customHeight="1">
      <c r="B191" s="841"/>
      <c r="AB191" s="7"/>
      <c r="AC191" s="7"/>
      <c r="AD191" s="7"/>
      <c r="AE191" s="7"/>
      <c r="AF191" s="7"/>
      <c r="AG191" s="7"/>
      <c r="AH191" s="7"/>
      <c r="AK191" s="11"/>
      <c r="AL191" s="65"/>
      <c r="AM191" s="65"/>
    </row>
    <row r="192" ht="15.75" customHeight="1">
      <c r="B192" s="841"/>
      <c r="AB192" s="7"/>
      <c r="AC192" s="7"/>
      <c r="AD192" s="7"/>
      <c r="AE192" s="7"/>
      <c r="AF192" s="7"/>
      <c r="AG192" s="7"/>
      <c r="AH192" s="7"/>
      <c r="AK192" s="11"/>
      <c r="AL192" s="65"/>
      <c r="AM192" s="65"/>
    </row>
    <row r="193" ht="15.75" customHeight="1">
      <c r="B193" s="841"/>
      <c r="AB193" s="7"/>
      <c r="AC193" s="7"/>
      <c r="AD193" s="7"/>
      <c r="AE193" s="7"/>
      <c r="AF193" s="7"/>
      <c r="AG193" s="7"/>
      <c r="AH193" s="7"/>
      <c r="AK193" s="11"/>
      <c r="AL193" s="65"/>
      <c r="AM193" s="65"/>
    </row>
    <row r="194" ht="15.75" customHeight="1">
      <c r="B194" s="841"/>
      <c r="AB194" s="7"/>
      <c r="AC194" s="7"/>
      <c r="AD194" s="7"/>
      <c r="AE194" s="7"/>
      <c r="AF194" s="7"/>
      <c r="AG194" s="7"/>
      <c r="AH194" s="7"/>
      <c r="AK194" s="11"/>
      <c r="AL194" s="65"/>
      <c r="AM194" s="65"/>
    </row>
    <row r="195" ht="15.75" customHeight="1">
      <c r="B195" s="841"/>
      <c r="AB195" s="7"/>
      <c r="AC195" s="7"/>
      <c r="AD195" s="7"/>
      <c r="AE195" s="7"/>
      <c r="AF195" s="7"/>
      <c r="AG195" s="7"/>
      <c r="AH195" s="7"/>
      <c r="AK195" s="11"/>
      <c r="AL195" s="65"/>
      <c r="AM195" s="65"/>
    </row>
    <row r="196" ht="15.75" customHeight="1">
      <c r="B196" s="841"/>
      <c r="AB196" s="7"/>
      <c r="AC196" s="7"/>
      <c r="AD196" s="7"/>
      <c r="AE196" s="7"/>
      <c r="AF196" s="7"/>
      <c r="AG196" s="7"/>
      <c r="AH196" s="7"/>
      <c r="AK196" s="11"/>
      <c r="AL196" s="65"/>
      <c r="AM196" s="65"/>
    </row>
    <row r="197" ht="15.75" customHeight="1">
      <c r="B197" s="841"/>
      <c r="AB197" s="7"/>
      <c r="AC197" s="7"/>
      <c r="AD197" s="7"/>
      <c r="AE197" s="7"/>
      <c r="AF197" s="7"/>
      <c r="AG197" s="7"/>
      <c r="AH197" s="7"/>
      <c r="AK197" s="11"/>
      <c r="AL197" s="65"/>
      <c r="AM197" s="65"/>
    </row>
    <row r="198" ht="15.75" customHeight="1">
      <c r="B198" s="841"/>
      <c r="AB198" s="7"/>
      <c r="AC198" s="7"/>
      <c r="AD198" s="7"/>
      <c r="AE198" s="7"/>
      <c r="AF198" s="7"/>
      <c r="AG198" s="7"/>
      <c r="AH198" s="7"/>
      <c r="AK198" s="11"/>
      <c r="AL198" s="65"/>
      <c r="AM198" s="65"/>
    </row>
    <row r="199" ht="15.75" customHeight="1">
      <c r="B199" s="841"/>
      <c r="AB199" s="7"/>
      <c r="AC199" s="7"/>
      <c r="AD199" s="7"/>
      <c r="AE199" s="7"/>
      <c r="AF199" s="7"/>
      <c r="AG199" s="7"/>
      <c r="AH199" s="7"/>
      <c r="AK199" s="11"/>
      <c r="AL199" s="65"/>
      <c r="AM199" s="65"/>
    </row>
    <row r="200" ht="15.75" customHeight="1">
      <c r="B200" s="841"/>
      <c r="AB200" s="7"/>
      <c r="AC200" s="7"/>
      <c r="AD200" s="7"/>
      <c r="AE200" s="7"/>
      <c r="AF200" s="7"/>
      <c r="AG200" s="7"/>
      <c r="AH200" s="7"/>
      <c r="AK200" s="11"/>
      <c r="AL200" s="65"/>
      <c r="AM200" s="65"/>
    </row>
    <row r="201" ht="15.75" customHeight="1">
      <c r="B201" s="841"/>
      <c r="AB201" s="7"/>
      <c r="AC201" s="7"/>
      <c r="AD201" s="7"/>
      <c r="AE201" s="7"/>
      <c r="AF201" s="7"/>
      <c r="AG201" s="7"/>
      <c r="AH201" s="7"/>
      <c r="AK201" s="11"/>
      <c r="AL201" s="65"/>
      <c r="AM201" s="65"/>
    </row>
    <row r="202" ht="15.75" customHeight="1">
      <c r="B202" s="841"/>
      <c r="AB202" s="7"/>
      <c r="AC202" s="7"/>
      <c r="AD202" s="7"/>
      <c r="AE202" s="7"/>
      <c r="AF202" s="7"/>
      <c r="AG202" s="7"/>
      <c r="AH202" s="7"/>
      <c r="AK202" s="11"/>
      <c r="AL202" s="65"/>
      <c r="AM202" s="65"/>
    </row>
    <row r="203" ht="15.75" customHeight="1">
      <c r="B203" s="841"/>
      <c r="AB203" s="7"/>
      <c r="AC203" s="7"/>
      <c r="AD203" s="7"/>
      <c r="AE203" s="7"/>
      <c r="AF203" s="7"/>
      <c r="AG203" s="7"/>
      <c r="AH203" s="7"/>
      <c r="AK203" s="11"/>
      <c r="AL203" s="65"/>
      <c r="AM203" s="65"/>
    </row>
    <row r="204" ht="15.75" customHeight="1">
      <c r="B204" s="841"/>
      <c r="AB204" s="7"/>
      <c r="AC204" s="7"/>
      <c r="AD204" s="7"/>
      <c r="AE204" s="7"/>
      <c r="AF204" s="7"/>
      <c r="AG204" s="7"/>
      <c r="AH204" s="7"/>
      <c r="AK204" s="11"/>
      <c r="AL204" s="65"/>
      <c r="AM204" s="65"/>
    </row>
    <row r="205" ht="15.75" customHeight="1">
      <c r="B205" s="841"/>
      <c r="AB205" s="7"/>
      <c r="AC205" s="7"/>
      <c r="AD205" s="7"/>
      <c r="AE205" s="7"/>
      <c r="AF205" s="7"/>
      <c r="AG205" s="7"/>
      <c r="AH205" s="7"/>
      <c r="AK205" s="11"/>
      <c r="AL205" s="65"/>
      <c r="AM205" s="65"/>
    </row>
    <row r="206" ht="15.75" customHeight="1">
      <c r="B206" s="841"/>
      <c r="AB206" s="7"/>
      <c r="AC206" s="7"/>
      <c r="AD206" s="7"/>
      <c r="AE206" s="7"/>
      <c r="AF206" s="7"/>
      <c r="AG206" s="7"/>
      <c r="AH206" s="7"/>
      <c r="AK206" s="11"/>
      <c r="AL206" s="65"/>
      <c r="AM206" s="65"/>
    </row>
    <row r="207" ht="15.75" customHeight="1">
      <c r="B207" s="841"/>
      <c r="AB207" s="7"/>
      <c r="AC207" s="7"/>
      <c r="AD207" s="7"/>
      <c r="AE207" s="7"/>
      <c r="AF207" s="7"/>
      <c r="AG207" s="7"/>
      <c r="AH207" s="7"/>
      <c r="AK207" s="11"/>
      <c r="AL207" s="65"/>
      <c r="AM207" s="65"/>
    </row>
    <row r="208" ht="15.75" customHeight="1">
      <c r="B208" s="841"/>
      <c r="AB208" s="7"/>
      <c r="AC208" s="7"/>
      <c r="AD208" s="7"/>
      <c r="AE208" s="7"/>
      <c r="AF208" s="7"/>
      <c r="AG208" s="7"/>
      <c r="AH208" s="7"/>
      <c r="AK208" s="11"/>
      <c r="AL208" s="65"/>
      <c r="AM208" s="65"/>
    </row>
    <row r="209" ht="15.75" customHeight="1">
      <c r="B209" s="841"/>
      <c r="AB209" s="7"/>
      <c r="AC209" s="7"/>
      <c r="AD209" s="7"/>
      <c r="AE209" s="7"/>
      <c r="AF209" s="7"/>
      <c r="AG209" s="7"/>
      <c r="AH209" s="7"/>
      <c r="AK209" s="11"/>
      <c r="AL209" s="65"/>
      <c r="AM209" s="65"/>
    </row>
    <row r="210" ht="15.75" customHeight="1">
      <c r="B210" s="841"/>
      <c r="AB210" s="7"/>
      <c r="AC210" s="7"/>
      <c r="AD210" s="7"/>
      <c r="AE210" s="7"/>
      <c r="AF210" s="7"/>
      <c r="AG210" s="7"/>
      <c r="AH210" s="7"/>
      <c r="AK210" s="11"/>
      <c r="AL210" s="65"/>
      <c r="AM210" s="65"/>
    </row>
    <row r="211" ht="15.75" customHeight="1">
      <c r="B211" s="841"/>
      <c r="AB211" s="7"/>
      <c r="AC211" s="7"/>
      <c r="AD211" s="7"/>
      <c r="AE211" s="7"/>
      <c r="AF211" s="7"/>
      <c r="AG211" s="7"/>
      <c r="AH211" s="7"/>
      <c r="AK211" s="11"/>
      <c r="AL211" s="65"/>
      <c r="AM211" s="65"/>
    </row>
    <row r="212" ht="15.75" customHeight="1">
      <c r="B212" s="841"/>
      <c r="AB212" s="7"/>
      <c r="AC212" s="7"/>
      <c r="AD212" s="7"/>
      <c r="AE212" s="7"/>
      <c r="AF212" s="7"/>
      <c r="AG212" s="7"/>
      <c r="AH212" s="7"/>
      <c r="AK212" s="11"/>
      <c r="AL212" s="65"/>
      <c r="AM212" s="65"/>
    </row>
    <row r="213" ht="15.75" customHeight="1">
      <c r="B213" s="841"/>
      <c r="AB213" s="7"/>
      <c r="AC213" s="7"/>
      <c r="AD213" s="7"/>
      <c r="AE213" s="7"/>
      <c r="AF213" s="7"/>
      <c r="AG213" s="7"/>
      <c r="AH213" s="7"/>
      <c r="AK213" s="11"/>
      <c r="AL213" s="65"/>
      <c r="AM213" s="65"/>
    </row>
    <row r="214" ht="15.75" customHeight="1">
      <c r="B214" s="841"/>
      <c r="AB214" s="7"/>
      <c r="AC214" s="7"/>
      <c r="AD214" s="7"/>
      <c r="AE214" s="7"/>
      <c r="AF214" s="7"/>
      <c r="AG214" s="7"/>
      <c r="AH214" s="7"/>
      <c r="AK214" s="11"/>
      <c r="AL214" s="65"/>
      <c r="AM214" s="65"/>
    </row>
    <row r="215" ht="15.75" customHeight="1">
      <c r="B215" s="841"/>
      <c r="AB215" s="7"/>
      <c r="AC215" s="7"/>
      <c r="AD215" s="7"/>
      <c r="AE215" s="7"/>
      <c r="AF215" s="7"/>
      <c r="AG215" s="7"/>
      <c r="AH215" s="7"/>
      <c r="AK215" s="11"/>
      <c r="AL215" s="65"/>
      <c r="AM215" s="65"/>
    </row>
    <row r="216" ht="15.75" customHeight="1">
      <c r="B216" s="841"/>
      <c r="AB216" s="7"/>
      <c r="AC216" s="7"/>
      <c r="AD216" s="7"/>
      <c r="AE216" s="7"/>
      <c r="AF216" s="7"/>
      <c r="AG216" s="7"/>
      <c r="AH216" s="7"/>
      <c r="AK216" s="11"/>
      <c r="AL216" s="65"/>
      <c r="AM216" s="65"/>
    </row>
    <row r="217" ht="15.75" customHeight="1">
      <c r="B217" s="841"/>
      <c r="AB217" s="7"/>
      <c r="AC217" s="7"/>
      <c r="AD217" s="7"/>
      <c r="AE217" s="7"/>
      <c r="AF217" s="7"/>
      <c r="AG217" s="7"/>
      <c r="AH217" s="7"/>
      <c r="AK217" s="11"/>
      <c r="AL217" s="65"/>
      <c r="AM217" s="65"/>
    </row>
    <row r="218" ht="15.75" customHeight="1">
      <c r="B218" s="841"/>
      <c r="AB218" s="7"/>
      <c r="AC218" s="7"/>
      <c r="AD218" s="7"/>
      <c r="AE218" s="7"/>
      <c r="AF218" s="7"/>
      <c r="AG218" s="7"/>
      <c r="AH218" s="7"/>
      <c r="AK218" s="11"/>
      <c r="AL218" s="65"/>
      <c r="AM218" s="65"/>
    </row>
    <row r="219" ht="15.75" customHeight="1">
      <c r="B219" s="841"/>
      <c r="AB219" s="7"/>
      <c r="AC219" s="7"/>
      <c r="AD219" s="7"/>
      <c r="AE219" s="7"/>
      <c r="AF219" s="7"/>
      <c r="AG219" s="7"/>
      <c r="AH219" s="7"/>
      <c r="AK219" s="11"/>
      <c r="AL219" s="65"/>
      <c r="AM219" s="65"/>
    </row>
    <row r="220" ht="15.75" customHeight="1">
      <c r="B220" s="841"/>
      <c r="AB220" s="7"/>
      <c r="AC220" s="7"/>
      <c r="AD220" s="7"/>
      <c r="AE220" s="7"/>
      <c r="AF220" s="7"/>
      <c r="AG220" s="7"/>
      <c r="AH220" s="7"/>
      <c r="AK220" s="11"/>
      <c r="AL220" s="65"/>
      <c r="AM220" s="65"/>
    </row>
    <row r="221" ht="15.75" customHeight="1">
      <c r="B221" s="841"/>
      <c r="AB221" s="7"/>
      <c r="AC221" s="7"/>
      <c r="AD221" s="7"/>
      <c r="AE221" s="7"/>
      <c r="AF221" s="7"/>
      <c r="AG221" s="7"/>
      <c r="AH221" s="7"/>
      <c r="AK221" s="11"/>
      <c r="AL221" s="65"/>
      <c r="AM221" s="65"/>
    </row>
    <row r="222" ht="15.75" customHeight="1">
      <c r="B222" s="841"/>
      <c r="AB222" s="7"/>
      <c r="AC222" s="7"/>
      <c r="AD222" s="7"/>
      <c r="AE222" s="7"/>
      <c r="AF222" s="7"/>
      <c r="AG222" s="7"/>
      <c r="AH222" s="7"/>
      <c r="AK222" s="11"/>
      <c r="AL222" s="65"/>
      <c r="AM222" s="65"/>
    </row>
    <row r="223" ht="15.75" customHeight="1">
      <c r="B223" s="841"/>
      <c r="AB223" s="7"/>
      <c r="AC223" s="7"/>
      <c r="AD223" s="7"/>
      <c r="AE223" s="7"/>
      <c r="AF223" s="7"/>
      <c r="AG223" s="7"/>
      <c r="AH223" s="7"/>
      <c r="AK223" s="11"/>
      <c r="AL223" s="65"/>
      <c r="AM223" s="65"/>
    </row>
    <row r="224" ht="15.75" customHeight="1">
      <c r="B224" s="841"/>
      <c r="AB224" s="7"/>
      <c r="AC224" s="7"/>
      <c r="AD224" s="7"/>
      <c r="AE224" s="7"/>
      <c r="AF224" s="7"/>
      <c r="AG224" s="7"/>
      <c r="AH224" s="7"/>
      <c r="AK224" s="11"/>
      <c r="AL224" s="65"/>
      <c r="AM224" s="65"/>
    </row>
    <row r="225" ht="15.75" customHeight="1">
      <c r="B225" s="841"/>
      <c r="AB225" s="7"/>
      <c r="AC225" s="7"/>
      <c r="AD225" s="7"/>
      <c r="AE225" s="7"/>
      <c r="AF225" s="7"/>
      <c r="AG225" s="7"/>
      <c r="AH225" s="7"/>
      <c r="AK225" s="11"/>
      <c r="AL225" s="65"/>
      <c r="AM225" s="65"/>
    </row>
    <row r="226" ht="15.75" customHeight="1">
      <c r="B226" s="841"/>
      <c r="AB226" s="7"/>
      <c r="AC226" s="7"/>
      <c r="AD226" s="7"/>
      <c r="AE226" s="7"/>
      <c r="AF226" s="7"/>
      <c r="AG226" s="7"/>
      <c r="AH226" s="7"/>
      <c r="AK226" s="11"/>
      <c r="AL226" s="65"/>
      <c r="AM226" s="65"/>
    </row>
    <row r="227" ht="15.75" customHeight="1">
      <c r="B227" s="841"/>
      <c r="AB227" s="7"/>
      <c r="AC227" s="7"/>
      <c r="AD227" s="7"/>
      <c r="AE227" s="7"/>
      <c r="AF227" s="7"/>
      <c r="AG227" s="7"/>
      <c r="AH227" s="7"/>
      <c r="AK227" s="11"/>
      <c r="AL227" s="65"/>
      <c r="AM227" s="65"/>
    </row>
    <row r="228" ht="15.75" customHeight="1">
      <c r="B228" s="841"/>
      <c r="AB228" s="7"/>
      <c r="AC228" s="7"/>
      <c r="AD228" s="7"/>
      <c r="AE228" s="7"/>
      <c r="AF228" s="7"/>
      <c r="AG228" s="7"/>
      <c r="AH228" s="7"/>
      <c r="AK228" s="11"/>
      <c r="AL228" s="65"/>
      <c r="AM228" s="65"/>
    </row>
    <row r="229" ht="15.75" customHeight="1">
      <c r="B229" s="841"/>
      <c r="AB229" s="7"/>
      <c r="AC229" s="7"/>
      <c r="AD229" s="7"/>
      <c r="AE229" s="7"/>
      <c r="AF229" s="7"/>
      <c r="AG229" s="7"/>
      <c r="AH229" s="7"/>
      <c r="AK229" s="11"/>
      <c r="AL229" s="65"/>
      <c r="AM229" s="65"/>
    </row>
    <row r="230" ht="15.75" customHeight="1">
      <c r="B230" s="841"/>
      <c r="AB230" s="7"/>
      <c r="AC230" s="7"/>
      <c r="AD230" s="7"/>
      <c r="AE230" s="7"/>
      <c r="AF230" s="7"/>
      <c r="AG230" s="7"/>
      <c r="AH230" s="7"/>
      <c r="AK230" s="11"/>
      <c r="AL230" s="65"/>
      <c r="AM230" s="65"/>
    </row>
    <row r="231" ht="15.75" customHeight="1">
      <c r="B231" s="841"/>
      <c r="AB231" s="7"/>
      <c r="AC231" s="7"/>
      <c r="AD231" s="7"/>
      <c r="AE231" s="7"/>
      <c r="AF231" s="7"/>
      <c r="AG231" s="7"/>
      <c r="AH231" s="7"/>
      <c r="AK231" s="11"/>
      <c r="AL231" s="65"/>
      <c r="AM231" s="65"/>
    </row>
    <row r="232" ht="15.75" customHeight="1">
      <c r="B232" s="841"/>
      <c r="AB232" s="7"/>
      <c r="AC232" s="7"/>
      <c r="AD232" s="7"/>
      <c r="AE232" s="7"/>
      <c r="AF232" s="7"/>
      <c r="AG232" s="7"/>
      <c r="AH232" s="7"/>
      <c r="AK232" s="11"/>
      <c r="AL232" s="65"/>
      <c r="AM232" s="65"/>
    </row>
    <row r="233" ht="15.75" customHeight="1">
      <c r="B233" s="841"/>
      <c r="AB233" s="7"/>
      <c r="AC233" s="7"/>
      <c r="AD233" s="7"/>
      <c r="AE233" s="7"/>
      <c r="AF233" s="7"/>
      <c r="AG233" s="7"/>
      <c r="AH233" s="7"/>
      <c r="AK233" s="11"/>
      <c r="AL233" s="65"/>
      <c r="AM233" s="65"/>
    </row>
    <row r="234" ht="15.75" customHeight="1">
      <c r="B234" s="841"/>
      <c r="AB234" s="7"/>
      <c r="AC234" s="7"/>
      <c r="AD234" s="7"/>
      <c r="AE234" s="7"/>
      <c r="AF234" s="7"/>
      <c r="AG234" s="7"/>
      <c r="AH234" s="7"/>
      <c r="AK234" s="11"/>
      <c r="AL234" s="65"/>
      <c r="AM234" s="65"/>
    </row>
    <row r="235" ht="15.75" customHeight="1">
      <c r="B235" s="841"/>
      <c r="AB235" s="7"/>
      <c r="AC235" s="7"/>
      <c r="AD235" s="7"/>
      <c r="AE235" s="7"/>
      <c r="AF235" s="7"/>
      <c r="AG235" s="7"/>
      <c r="AH235" s="7"/>
      <c r="AK235" s="11"/>
      <c r="AL235" s="65"/>
      <c r="AM235" s="65"/>
    </row>
    <row r="236" ht="15.75" customHeight="1">
      <c r="B236" s="841"/>
      <c r="AB236" s="7"/>
      <c r="AC236" s="7"/>
      <c r="AD236" s="7"/>
      <c r="AE236" s="7"/>
      <c r="AF236" s="7"/>
      <c r="AG236" s="7"/>
      <c r="AH236" s="7"/>
      <c r="AK236" s="11"/>
      <c r="AL236" s="65"/>
      <c r="AM236" s="65"/>
    </row>
    <row r="237" ht="15.75" customHeight="1">
      <c r="B237" s="841"/>
      <c r="AB237" s="7"/>
      <c r="AC237" s="7"/>
      <c r="AD237" s="7"/>
      <c r="AE237" s="7"/>
      <c r="AF237" s="7"/>
      <c r="AG237" s="7"/>
      <c r="AH237" s="7"/>
      <c r="AK237" s="11"/>
      <c r="AL237" s="65"/>
      <c r="AM237" s="65"/>
    </row>
    <row r="238" ht="15.75" customHeight="1">
      <c r="B238" s="841"/>
      <c r="AB238" s="7"/>
      <c r="AC238" s="7"/>
      <c r="AD238" s="7"/>
      <c r="AE238" s="7"/>
      <c r="AF238" s="7"/>
      <c r="AG238" s="7"/>
      <c r="AH238" s="7"/>
      <c r="AK238" s="11"/>
      <c r="AL238" s="65"/>
      <c r="AM238" s="65"/>
    </row>
    <row r="239" ht="15.75" customHeight="1">
      <c r="B239" s="841"/>
      <c r="AB239" s="7"/>
      <c r="AC239" s="7"/>
      <c r="AD239" s="7"/>
      <c r="AE239" s="7"/>
      <c r="AF239" s="7"/>
      <c r="AG239" s="7"/>
      <c r="AH239" s="7"/>
      <c r="AK239" s="11"/>
      <c r="AL239" s="65"/>
      <c r="AM239" s="65"/>
    </row>
    <row r="240" ht="15.75" customHeight="1">
      <c r="B240" s="841"/>
      <c r="AB240" s="7"/>
      <c r="AC240" s="7"/>
      <c r="AD240" s="7"/>
      <c r="AE240" s="7"/>
      <c r="AF240" s="7"/>
      <c r="AG240" s="7"/>
      <c r="AH240" s="7"/>
      <c r="AK240" s="11"/>
      <c r="AL240" s="65"/>
      <c r="AM240" s="65"/>
    </row>
    <row r="241" ht="15.75" customHeight="1">
      <c r="B241" s="841"/>
      <c r="AB241" s="7"/>
      <c r="AC241" s="7"/>
      <c r="AD241" s="7"/>
      <c r="AE241" s="7"/>
      <c r="AF241" s="7"/>
      <c r="AG241" s="7"/>
      <c r="AH241" s="7"/>
      <c r="AK241" s="11"/>
      <c r="AL241" s="65"/>
      <c r="AM241" s="65"/>
    </row>
    <row r="242" ht="15.75" customHeight="1">
      <c r="B242" s="841"/>
      <c r="AB242" s="7"/>
      <c r="AC242" s="7"/>
      <c r="AD242" s="7"/>
      <c r="AE242" s="7"/>
      <c r="AF242" s="7"/>
      <c r="AG242" s="7"/>
      <c r="AH242" s="7"/>
      <c r="AK242" s="11"/>
      <c r="AL242" s="65"/>
      <c r="AM242" s="65"/>
    </row>
    <row r="243" ht="15.75" customHeight="1">
      <c r="B243" s="841"/>
      <c r="AB243" s="7"/>
      <c r="AC243" s="7"/>
      <c r="AD243" s="7"/>
      <c r="AE243" s="7"/>
      <c r="AF243" s="7"/>
      <c r="AG243" s="7"/>
      <c r="AH243" s="7"/>
      <c r="AK243" s="11"/>
      <c r="AL243" s="65"/>
      <c r="AM243" s="65"/>
    </row>
    <row r="244" ht="15.75" customHeight="1">
      <c r="B244" s="841"/>
      <c r="AB244" s="7"/>
      <c r="AC244" s="7"/>
      <c r="AD244" s="7"/>
      <c r="AE244" s="7"/>
      <c r="AF244" s="7"/>
      <c r="AG244" s="7"/>
      <c r="AH244" s="7"/>
      <c r="AK244" s="11"/>
      <c r="AL244" s="65"/>
      <c r="AM244" s="65"/>
    </row>
    <row r="245" ht="15.75" customHeight="1">
      <c r="B245" s="841"/>
      <c r="AB245" s="7"/>
      <c r="AC245" s="7"/>
      <c r="AD245" s="7"/>
      <c r="AE245" s="7"/>
      <c r="AF245" s="7"/>
      <c r="AG245" s="7"/>
      <c r="AH245" s="7"/>
      <c r="AK245" s="11"/>
      <c r="AL245" s="65"/>
      <c r="AM245" s="65"/>
    </row>
    <row r="246" ht="15.75" customHeight="1">
      <c r="B246" s="841"/>
      <c r="AB246" s="7"/>
      <c r="AC246" s="7"/>
      <c r="AD246" s="7"/>
      <c r="AE246" s="7"/>
      <c r="AF246" s="7"/>
      <c r="AG246" s="7"/>
      <c r="AH246" s="7"/>
      <c r="AK246" s="11"/>
      <c r="AL246" s="65"/>
      <c r="AM246" s="65"/>
    </row>
    <row r="247" ht="15.75" customHeight="1">
      <c r="B247" s="841"/>
      <c r="AB247" s="7"/>
      <c r="AC247" s="7"/>
      <c r="AD247" s="7"/>
      <c r="AE247" s="7"/>
      <c r="AF247" s="7"/>
      <c r="AG247" s="7"/>
      <c r="AH247" s="7"/>
      <c r="AK247" s="11"/>
      <c r="AL247" s="65"/>
      <c r="AM247" s="65"/>
    </row>
    <row r="248" ht="15.75" customHeight="1">
      <c r="B248" s="841"/>
      <c r="AB248" s="7"/>
      <c r="AC248" s="7"/>
      <c r="AD248" s="7"/>
      <c r="AE248" s="7"/>
      <c r="AF248" s="7"/>
      <c r="AG248" s="7"/>
      <c r="AH248" s="7"/>
      <c r="AK248" s="11"/>
      <c r="AL248" s="65"/>
      <c r="AM248" s="65"/>
    </row>
    <row r="249" ht="15.75" customHeight="1">
      <c r="B249" s="841"/>
      <c r="AB249" s="7"/>
      <c r="AC249" s="7"/>
      <c r="AD249" s="7"/>
      <c r="AE249" s="7"/>
      <c r="AF249" s="7"/>
      <c r="AG249" s="7"/>
      <c r="AH249" s="7"/>
      <c r="AK249" s="11"/>
      <c r="AL249" s="65"/>
      <c r="AM249" s="65"/>
    </row>
    <row r="250" ht="15.75" customHeight="1">
      <c r="B250" s="841"/>
      <c r="AB250" s="7"/>
      <c r="AC250" s="7"/>
      <c r="AD250" s="7"/>
      <c r="AE250" s="7"/>
      <c r="AF250" s="7"/>
      <c r="AG250" s="7"/>
      <c r="AH250" s="7"/>
      <c r="AK250" s="11"/>
      <c r="AL250" s="65"/>
      <c r="AM250" s="65"/>
    </row>
    <row r="251" ht="15.75" customHeight="1">
      <c r="B251" s="841"/>
      <c r="AB251" s="7"/>
      <c r="AC251" s="7"/>
      <c r="AD251" s="7"/>
      <c r="AE251" s="7"/>
      <c r="AF251" s="7"/>
      <c r="AG251" s="7"/>
      <c r="AH251" s="7"/>
      <c r="AK251" s="11"/>
      <c r="AL251" s="65"/>
      <c r="AM251" s="65"/>
    </row>
    <row r="252" ht="15.75" customHeight="1">
      <c r="B252" s="841"/>
      <c r="AB252" s="7"/>
      <c r="AC252" s="7"/>
      <c r="AD252" s="7"/>
      <c r="AE252" s="7"/>
      <c r="AF252" s="7"/>
      <c r="AG252" s="7"/>
      <c r="AH252" s="7"/>
      <c r="AK252" s="11"/>
      <c r="AL252" s="65"/>
      <c r="AM252" s="65"/>
    </row>
    <row r="253" ht="15.75" customHeight="1">
      <c r="B253" s="841"/>
      <c r="AB253" s="7"/>
      <c r="AC253" s="7"/>
      <c r="AD253" s="7"/>
      <c r="AE253" s="7"/>
      <c r="AF253" s="7"/>
      <c r="AG253" s="7"/>
      <c r="AH253" s="7"/>
      <c r="AK253" s="11"/>
      <c r="AL253" s="65"/>
      <c r="AM253" s="65"/>
    </row>
    <row r="254" ht="15.75" customHeight="1">
      <c r="B254" s="841"/>
      <c r="AB254" s="7"/>
      <c r="AC254" s="7"/>
      <c r="AD254" s="7"/>
      <c r="AE254" s="7"/>
      <c r="AF254" s="7"/>
      <c r="AG254" s="7"/>
      <c r="AH254" s="7"/>
      <c r="AK254" s="11"/>
      <c r="AL254" s="65"/>
      <c r="AM254" s="65"/>
    </row>
    <row r="255" ht="15.75" customHeight="1">
      <c r="B255" s="841"/>
      <c r="AB255" s="7"/>
      <c r="AC255" s="7"/>
      <c r="AD255" s="7"/>
      <c r="AE255" s="7"/>
      <c r="AF255" s="7"/>
      <c r="AG255" s="7"/>
      <c r="AH255" s="7"/>
      <c r="AK255" s="11"/>
      <c r="AL255" s="65"/>
      <c r="AM255" s="65"/>
    </row>
    <row r="256" ht="15.75" customHeight="1">
      <c r="B256" s="841"/>
      <c r="AB256" s="7"/>
      <c r="AC256" s="7"/>
      <c r="AD256" s="7"/>
      <c r="AE256" s="7"/>
      <c r="AF256" s="7"/>
      <c r="AG256" s="7"/>
      <c r="AH256" s="7"/>
      <c r="AK256" s="11"/>
      <c r="AL256" s="65"/>
      <c r="AM256" s="65"/>
    </row>
    <row r="257" ht="15.75" customHeight="1">
      <c r="B257" s="841"/>
      <c r="AB257" s="7"/>
      <c r="AC257" s="7"/>
      <c r="AD257" s="7"/>
      <c r="AE257" s="7"/>
      <c r="AF257" s="7"/>
      <c r="AG257" s="7"/>
      <c r="AH257" s="7"/>
      <c r="AK257" s="11"/>
      <c r="AL257" s="65"/>
      <c r="AM257" s="65"/>
    </row>
    <row r="258" ht="15.75" customHeight="1">
      <c r="B258" s="841"/>
      <c r="AB258" s="7"/>
      <c r="AC258" s="7"/>
      <c r="AD258" s="7"/>
      <c r="AE258" s="7"/>
      <c r="AF258" s="7"/>
      <c r="AG258" s="7"/>
      <c r="AH258" s="7"/>
      <c r="AK258" s="11"/>
      <c r="AL258" s="65"/>
      <c r="AM258" s="65"/>
    </row>
    <row r="259" ht="15.75" customHeight="1">
      <c r="B259" s="841"/>
      <c r="AB259" s="7"/>
      <c r="AC259" s="7"/>
      <c r="AD259" s="7"/>
      <c r="AE259" s="7"/>
      <c r="AF259" s="7"/>
      <c r="AG259" s="7"/>
      <c r="AH259" s="7"/>
      <c r="AK259" s="11"/>
      <c r="AL259" s="65"/>
      <c r="AM259" s="65"/>
    </row>
    <row r="260" ht="15.75" customHeight="1">
      <c r="B260" s="841"/>
      <c r="AB260" s="7"/>
      <c r="AC260" s="7"/>
      <c r="AD260" s="7"/>
      <c r="AE260" s="7"/>
      <c r="AF260" s="7"/>
      <c r="AG260" s="7"/>
      <c r="AH260" s="7"/>
      <c r="AK260" s="11"/>
      <c r="AL260" s="65"/>
      <c r="AM260" s="65"/>
    </row>
    <row r="261" ht="15.75" customHeight="1">
      <c r="B261" s="841"/>
      <c r="AB261" s="7"/>
      <c r="AC261" s="7"/>
      <c r="AD261" s="7"/>
      <c r="AE261" s="7"/>
      <c r="AF261" s="7"/>
      <c r="AG261" s="7"/>
      <c r="AH261" s="7"/>
      <c r="AK261" s="11"/>
      <c r="AL261" s="65"/>
      <c r="AM261" s="65"/>
    </row>
    <row r="262" ht="15.75" customHeight="1">
      <c r="B262" s="841"/>
      <c r="AB262" s="7"/>
      <c r="AC262" s="7"/>
      <c r="AD262" s="7"/>
      <c r="AE262" s="7"/>
      <c r="AF262" s="7"/>
      <c r="AG262" s="7"/>
      <c r="AH262" s="7"/>
      <c r="AK262" s="11"/>
      <c r="AL262" s="65"/>
      <c r="AM262" s="65"/>
    </row>
    <row r="263" ht="15.75" customHeight="1">
      <c r="B263" s="841"/>
      <c r="AB263" s="7"/>
      <c r="AC263" s="7"/>
      <c r="AD263" s="7"/>
      <c r="AE263" s="7"/>
      <c r="AF263" s="7"/>
      <c r="AG263" s="7"/>
      <c r="AH263" s="7"/>
      <c r="AK263" s="11"/>
      <c r="AL263" s="65"/>
      <c r="AM263" s="65"/>
    </row>
    <row r="264" ht="15.75" customHeight="1">
      <c r="B264" s="841"/>
      <c r="AB264" s="7"/>
      <c r="AC264" s="7"/>
      <c r="AD264" s="7"/>
      <c r="AE264" s="7"/>
      <c r="AF264" s="7"/>
      <c r="AG264" s="7"/>
      <c r="AH264" s="7"/>
      <c r="AK264" s="11"/>
      <c r="AL264" s="65"/>
      <c r="AM264" s="65"/>
    </row>
    <row r="265" ht="15.75" customHeight="1">
      <c r="B265" s="841"/>
      <c r="AB265" s="7"/>
      <c r="AC265" s="7"/>
      <c r="AD265" s="7"/>
      <c r="AE265" s="7"/>
      <c r="AF265" s="7"/>
      <c r="AG265" s="7"/>
      <c r="AH265" s="7"/>
      <c r="AK265" s="11"/>
      <c r="AL265" s="65"/>
      <c r="AM265" s="65"/>
    </row>
    <row r="266" ht="15.75" customHeight="1">
      <c r="B266" s="841"/>
      <c r="AB266" s="7"/>
      <c r="AC266" s="7"/>
      <c r="AD266" s="7"/>
      <c r="AE266" s="7"/>
      <c r="AF266" s="7"/>
      <c r="AG266" s="7"/>
      <c r="AH266" s="7"/>
      <c r="AK266" s="11"/>
      <c r="AL266" s="65"/>
      <c r="AM266" s="65"/>
    </row>
    <row r="267" ht="15.75" customHeight="1">
      <c r="B267" s="841"/>
      <c r="AB267" s="7"/>
      <c r="AC267" s="7"/>
      <c r="AD267" s="7"/>
      <c r="AE267" s="7"/>
      <c r="AF267" s="7"/>
      <c r="AG267" s="7"/>
      <c r="AH267" s="7"/>
      <c r="AK267" s="11"/>
      <c r="AL267" s="65"/>
      <c r="AM267" s="65"/>
    </row>
    <row r="268" ht="15.75" customHeight="1">
      <c r="AK268" s="11"/>
      <c r="AL268" s="65"/>
      <c r="AM268" s="65"/>
    </row>
    <row r="269" ht="15.75" customHeight="1">
      <c r="AK269" s="11"/>
      <c r="AL269" s="65"/>
      <c r="AM269" s="65"/>
    </row>
    <row r="270" ht="15.75" customHeight="1">
      <c r="AK270" s="11"/>
      <c r="AL270" s="65"/>
      <c r="AM270" s="65"/>
    </row>
    <row r="271" ht="15.75" customHeight="1">
      <c r="AK271" s="11"/>
      <c r="AL271" s="65"/>
      <c r="AM271" s="65"/>
    </row>
    <row r="272" ht="15.75" customHeight="1">
      <c r="AK272" s="11"/>
      <c r="AL272" s="65"/>
      <c r="AM272" s="65"/>
    </row>
    <row r="273" ht="15.75" customHeight="1">
      <c r="AK273" s="11"/>
      <c r="AL273" s="65"/>
      <c r="AM273" s="65"/>
    </row>
    <row r="274" ht="15.75" customHeight="1">
      <c r="AK274" s="11"/>
      <c r="AL274" s="65"/>
      <c r="AM274" s="65"/>
    </row>
    <row r="275" ht="15.75" customHeight="1">
      <c r="AK275" s="11"/>
      <c r="AL275" s="65"/>
      <c r="AM275" s="65"/>
    </row>
    <row r="276" ht="15.75" customHeight="1">
      <c r="AK276" s="11"/>
      <c r="AL276" s="65"/>
      <c r="AM276" s="65"/>
    </row>
    <row r="277" ht="15.75" customHeight="1">
      <c r="AK277" s="11"/>
      <c r="AL277" s="65"/>
      <c r="AM277" s="65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23.71"/>
    <col customWidth="1" min="5" max="5" width="12.43"/>
    <col customWidth="1" min="6" max="6" width="32.86"/>
    <col customWidth="1" min="7" max="7" width="10.29"/>
    <col customWidth="1" min="8" max="8" width="11.43"/>
    <col customWidth="1" min="9" max="11" width="10.71"/>
    <col customWidth="1" min="12" max="12" width="15.29"/>
    <col customWidth="1" min="13" max="13" width="18.29"/>
    <col customWidth="1" min="14" max="14" width="15.29"/>
    <col customWidth="1" min="15" max="15" width="17.43"/>
    <col customWidth="1" min="16" max="16" width="11.14"/>
    <col customWidth="1" min="17" max="17" width="12.71"/>
    <col customWidth="1" min="18" max="18" width="10.71"/>
    <col customWidth="1" min="19" max="19" width="11.71"/>
    <col customWidth="1" min="20" max="22" width="10.71"/>
    <col customWidth="1" min="23" max="24" width="11.43"/>
    <col customWidth="1" min="25" max="25" width="19.43"/>
    <col customWidth="1" min="26" max="26" width="18.14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2" width="15.57"/>
    <col customWidth="1" min="33" max="33" width="15.86"/>
    <col customWidth="1" min="34" max="34" width="10.29"/>
    <col customWidth="1" min="36" max="36" width="17.57"/>
    <col customWidth="1" min="37" max="37" width="14.43"/>
    <col customWidth="1" min="43" max="44" width="17.14"/>
  </cols>
  <sheetData>
    <row r="1" ht="15.75" customHeight="1">
      <c r="AB1" s="7"/>
      <c r="AC1" s="7"/>
      <c r="AD1" s="7"/>
      <c r="AE1" s="7"/>
      <c r="AF1" s="7"/>
      <c r="AG1" s="910" t="s">
        <v>4782</v>
      </c>
      <c r="AH1" s="7" t="s">
        <v>4750</v>
      </c>
      <c r="AI1" s="3" t="s">
        <v>4784</v>
      </c>
      <c r="AJ1" s="125" t="s">
        <v>3</v>
      </c>
      <c r="AK1" s="11"/>
    </row>
    <row r="2" ht="15.75" customHeight="1">
      <c r="G2" s="13"/>
      <c r="H2" s="13"/>
      <c r="I2" s="4">
        <f>SUM(I4:I69)</f>
        <v>419.18</v>
      </c>
      <c r="J2" s="4"/>
      <c r="K2" s="4">
        <f>SUM(K4:K69)</f>
        <v>387.677732</v>
      </c>
      <c r="L2" s="4">
        <f>SUMPRODUCT(K4:K69,L4:L69)/K2</f>
        <v>0.6142432946</v>
      </c>
      <c r="O2" s="58"/>
      <c r="Q2" s="65">
        <f>+SUMPRODUCT(Q4:Q69,AH4:AH69)/SUM(AH4:AH69)</f>
        <v>86.17482572</v>
      </c>
      <c r="R2" s="65">
        <f>+SUMPRODUCT(R4:R69,AH4:AH69)/SUM(AH4:AH69)</f>
        <v>2316.292995</v>
      </c>
      <c r="AB2" s="7"/>
      <c r="AC2" s="7"/>
      <c r="AD2" s="7"/>
      <c r="AE2" s="7"/>
      <c r="AF2" s="7"/>
      <c r="AG2" s="910">
        <f>SUMPRODUCT($AG4:$AG1015,$K4:$K1015)/SUM($K4:$K1015)</f>
        <v>71.6243454</v>
      </c>
      <c r="AH2" s="7">
        <f>SUM(AH4:AH69)</f>
        <v>7027.639873</v>
      </c>
      <c r="AI2" s="606">
        <v>2361.5</v>
      </c>
      <c r="AJ2" s="125" t="s">
        <v>5182</v>
      </c>
      <c r="AK2" s="11"/>
    </row>
    <row r="3" ht="15.75" customHeight="1">
      <c r="A3" s="880" t="s">
        <v>5</v>
      </c>
      <c r="B3" s="880" t="s">
        <v>6</v>
      </c>
      <c r="C3" s="880" t="s">
        <v>7</v>
      </c>
      <c r="D3" s="880" t="s">
        <v>8</v>
      </c>
      <c r="E3" s="880" t="s">
        <v>4880</v>
      </c>
      <c r="F3" s="880" t="s">
        <v>10</v>
      </c>
      <c r="G3" s="880" t="s">
        <v>11</v>
      </c>
      <c r="H3" s="881"/>
      <c r="I3" s="911" t="s">
        <v>12</v>
      </c>
      <c r="J3" s="911" t="s">
        <v>13</v>
      </c>
      <c r="K3" s="880" t="s">
        <v>14</v>
      </c>
      <c r="L3" s="892" t="s">
        <v>5183</v>
      </c>
      <c r="M3" s="887" t="s">
        <v>5184</v>
      </c>
      <c r="N3" s="887" t="s">
        <v>5185</v>
      </c>
      <c r="O3" s="881" t="s">
        <v>5186</v>
      </c>
      <c r="P3" s="892" t="s">
        <v>19</v>
      </c>
      <c r="Q3" s="892" t="s">
        <v>20</v>
      </c>
      <c r="R3" s="892" t="s">
        <v>21</v>
      </c>
      <c r="S3" s="892" t="s">
        <v>22</v>
      </c>
      <c r="T3" s="890" t="s">
        <v>23</v>
      </c>
      <c r="U3" s="890" t="s">
        <v>24</v>
      </c>
      <c r="V3" s="891" t="s">
        <v>25</v>
      </c>
      <c r="W3" s="892" t="s">
        <v>26</v>
      </c>
      <c r="X3" s="892" t="s">
        <v>27</v>
      </c>
      <c r="Y3" s="892" t="s">
        <v>5187</v>
      </c>
      <c r="Z3" s="881" t="s">
        <v>29</v>
      </c>
      <c r="AA3" s="881" t="s">
        <v>30</v>
      </c>
      <c r="AB3" s="893" t="s">
        <v>31</v>
      </c>
      <c r="AC3" s="894" t="s">
        <v>32</v>
      </c>
      <c r="AD3" s="895" t="s">
        <v>33</v>
      </c>
      <c r="AE3" s="895" t="s">
        <v>34</v>
      </c>
      <c r="AF3" s="895" t="s">
        <v>35</v>
      </c>
      <c r="AG3" s="912" t="s">
        <v>36</v>
      </c>
      <c r="AH3" s="912" t="s">
        <v>4750</v>
      </c>
      <c r="AI3" s="65">
        <f>SUMPRODUCT(K4:K69,AI4:AI69)/K2</f>
        <v>96.89514439</v>
      </c>
      <c r="AJ3" s="1000">
        <f t="shared" ref="AJ3:AK3" si="1">SUM(AJ4:AJ69)</f>
        <v>7058.066779</v>
      </c>
      <c r="AK3" s="11">
        <f t="shared" si="1"/>
        <v>-30.4269061</v>
      </c>
    </row>
    <row r="4" ht="15.75" customHeight="1">
      <c r="A4" s="1001" t="s">
        <v>5188</v>
      </c>
      <c r="B4" s="1002">
        <v>45394.0</v>
      </c>
      <c r="C4" s="1002">
        <v>45390.0</v>
      </c>
      <c r="D4" s="1003" t="s">
        <v>5189</v>
      </c>
      <c r="E4" s="1004"/>
      <c r="F4" s="1003"/>
      <c r="G4" s="1005" t="s">
        <v>4100</v>
      </c>
      <c r="H4" s="1006" t="s">
        <v>5002</v>
      </c>
      <c r="I4" s="1007">
        <v>20.16</v>
      </c>
      <c r="J4" s="1008">
        <v>14.18</v>
      </c>
      <c r="K4" s="1007">
        <f t="shared" ref="K4:K69" si="2">+I4-(I4*(J4/100))</f>
        <v>17.301312</v>
      </c>
      <c r="L4" s="1009">
        <v>0.183</v>
      </c>
      <c r="M4" s="1010">
        <f t="shared" ref="M4:M5" si="3">+L4-0.015</f>
        <v>0.168</v>
      </c>
      <c r="N4" s="1011">
        <v>0.207</v>
      </c>
      <c r="O4" s="1010">
        <f t="shared" ref="O4:O6" si="4">+ROUND((M4+N4)/2,3)</f>
        <v>0.188</v>
      </c>
      <c r="P4" s="562">
        <v>88.0</v>
      </c>
      <c r="Q4" s="1012">
        <v>88.99</v>
      </c>
      <c r="R4" s="1013">
        <v>2302.975</v>
      </c>
      <c r="S4" s="563">
        <v>100.0</v>
      </c>
      <c r="T4" s="562"/>
      <c r="U4" s="1003">
        <v>120.0</v>
      </c>
      <c r="V4" s="1003">
        <v>1.1023</v>
      </c>
      <c r="W4" s="1008">
        <v>6.8</v>
      </c>
      <c r="X4" s="1008">
        <v>13.02</v>
      </c>
      <c r="Y4" s="1008">
        <v>14.0</v>
      </c>
      <c r="Z4" s="1012">
        <f t="shared" ref="Z4:Z5" si="5">IF(D4="UNTUCA",IF(+((W4-3)*2.5+(X4-3)*3.1)&gt;0,+((W4-3)*1.5+(X4-3)*3.1),0),IF(+((W4-3)*1.5+(X4-3)*3.1)&gt;0,+((W4-3)*1.5+(X4-3)*3.1),0))</f>
        <v>36.762</v>
      </c>
      <c r="AA4" s="1014">
        <f t="shared" ref="AA4:AA69" si="6">+Y4+Z4</f>
        <v>50.762</v>
      </c>
      <c r="AB4" s="1015">
        <f t="shared" ref="AB4:AB69" si="7">+((O4*P4*(R4-U4)/100)-S4-AA4+T4)*V4</f>
        <v>231.912218</v>
      </c>
      <c r="AC4" s="1015">
        <f>+(S4-T4)*V4-'data 1'!$F$4</f>
        <v>30.23</v>
      </c>
      <c r="AD4" s="1015">
        <f t="shared" ref="AD4:AD69" si="8">+(Q4-P4)*(R4-U4)*L4*V4/100</f>
        <v>4.359481649</v>
      </c>
      <c r="AE4" s="1015">
        <f>+(Y4*V4-'data 1'!$I$21)+V4*(Z4-IF(D4="UNTUCA",IF(+((W4-3)*2.5+(X4-3)*3.1)&gt;0,+((W4-3)*1.5+(X4-3)*3.1),0),IF(+((W4-3)*1.5+(X4-3)*3.1)&gt;0,+((W4-3)*1.5+(X4-3)*3.1),0)))</f>
        <v>-10.14888108</v>
      </c>
      <c r="AF4" s="1015">
        <f t="shared" ref="AF4:AF69" si="9">(L4-O4)*(R4-U4)*Q4*V4/100</f>
        <v>-10.70680223</v>
      </c>
      <c r="AG4" s="1015">
        <f t="shared" ref="AG4:AG69" si="10">+AC4+AD4+AE4+AF4</f>
        <v>13.73379834</v>
      </c>
      <c r="AH4" s="1016">
        <f t="shared" ref="AH4:AH69" si="11">31.1035*L4*Q4*1.1023*K4/100</f>
        <v>96.60072898</v>
      </c>
      <c r="AI4" s="65">
        <f t="shared" ref="AI4:AI69" si="12">+((+$AI$2-R4+U4)*L4*Q4*V4)/100</f>
        <v>32.04727785</v>
      </c>
      <c r="AJ4" s="70">
        <f t="shared" ref="AJ4:AJ69" si="13">31.1035*1.1023*K4*P4*O4/100</f>
        <v>98.13606246</v>
      </c>
      <c r="AK4" s="11">
        <f t="shared" ref="AK4:AK69" si="14">+AH4-AJ4</f>
        <v>-1.535333477</v>
      </c>
      <c r="AM4" s="65"/>
      <c r="AO4" s="58"/>
      <c r="AP4" s="65">
        <f t="shared" ref="AP4:AP69" si="15">+AB4*K4</f>
        <v>4012.38564</v>
      </c>
      <c r="AQ4" s="65"/>
      <c r="AR4" s="65"/>
    </row>
    <row r="5" ht="15.75" customHeight="1">
      <c r="A5" s="1017" t="s">
        <v>5190</v>
      </c>
      <c r="B5" s="1018">
        <v>45394.0</v>
      </c>
      <c r="C5" s="1018">
        <v>45390.0</v>
      </c>
      <c r="D5" s="1019" t="s">
        <v>5189</v>
      </c>
      <c r="E5" s="1020"/>
      <c r="F5" s="1019"/>
      <c r="G5" s="1021" t="s">
        <v>4100</v>
      </c>
      <c r="H5" s="601" t="s">
        <v>5002</v>
      </c>
      <c r="I5" s="1022">
        <v>12.56</v>
      </c>
      <c r="J5" s="1023">
        <v>15.25</v>
      </c>
      <c r="K5" s="1022">
        <f t="shared" si="2"/>
        <v>10.6446</v>
      </c>
      <c r="L5" s="1024">
        <v>0.181</v>
      </c>
      <c r="M5" s="1025">
        <f t="shared" si="3"/>
        <v>0.166</v>
      </c>
      <c r="N5" s="1026">
        <v>0.197</v>
      </c>
      <c r="O5" s="1025">
        <f t="shared" si="4"/>
        <v>0.182</v>
      </c>
      <c r="P5" s="577">
        <v>88.0</v>
      </c>
      <c r="Q5" s="1027">
        <v>88.81</v>
      </c>
      <c r="R5" s="1028">
        <v>2302.975</v>
      </c>
      <c r="S5" s="578">
        <v>100.0</v>
      </c>
      <c r="T5" s="577"/>
      <c r="U5" s="1019">
        <v>120.0</v>
      </c>
      <c r="V5" s="1019">
        <v>1.1023</v>
      </c>
      <c r="W5" s="1023">
        <v>6.8</v>
      </c>
      <c r="X5" s="1023">
        <v>13.1</v>
      </c>
      <c r="Y5" s="1023">
        <v>14.0</v>
      </c>
      <c r="Z5" s="1027">
        <f t="shared" si="5"/>
        <v>37.01</v>
      </c>
      <c r="AA5" s="1029">
        <f t="shared" si="6"/>
        <v>51.01</v>
      </c>
      <c r="AB5" s="1030">
        <f t="shared" si="7"/>
        <v>218.9336187</v>
      </c>
      <c r="AC5" s="1030">
        <f>+(S5-T5)*V5-'data 1'!$F$4</f>
        <v>30.23</v>
      </c>
      <c r="AD5" s="1030">
        <f t="shared" si="8"/>
        <v>3.527866669</v>
      </c>
      <c r="AE5" s="1030">
        <f>+(Y5*V5-'data 1'!$I$21)+V5*(Z5-IF(D5="UNTUCA",IF(+((W5-3)*2.5+(X5-3)*3.1)&gt;0,+((W5-3)*1.5+(X5-3)*3.1),0),IF(+((W5-3)*1.5+(X5-3)*3.1)&gt;0,+((W5-3)*1.5+(X5-3)*3.1),0)))</f>
        <v>-10.14888108</v>
      </c>
      <c r="AF5" s="1030">
        <f t="shared" si="9"/>
        <v>-2.137029117</v>
      </c>
      <c r="AG5" s="1030">
        <f t="shared" si="10"/>
        <v>21.47195647</v>
      </c>
      <c r="AH5" s="1031">
        <f t="shared" si="11"/>
        <v>58.66497102</v>
      </c>
      <c r="AI5" s="65">
        <f t="shared" si="12"/>
        <v>31.63292081</v>
      </c>
      <c r="AJ5" s="70">
        <f t="shared" si="13"/>
        <v>58.45107134</v>
      </c>
      <c r="AK5" s="11">
        <f t="shared" si="14"/>
        <v>0.213899681</v>
      </c>
      <c r="AM5" s="65"/>
      <c r="AO5" s="58"/>
      <c r="AP5" s="65">
        <f t="shared" si="15"/>
        <v>2330.460798</v>
      </c>
      <c r="AQ5" s="65"/>
      <c r="AR5" s="65"/>
    </row>
    <row r="6" ht="15.75" customHeight="1">
      <c r="A6" s="1001" t="s">
        <v>5191</v>
      </c>
      <c r="B6" s="1002">
        <v>45398.0</v>
      </c>
      <c r="C6" s="1002">
        <v>45396.0</v>
      </c>
      <c r="D6" s="562" t="s">
        <v>5085</v>
      </c>
      <c r="E6" s="1004">
        <v>2.0169040231E10</v>
      </c>
      <c r="F6" s="1003" t="s">
        <v>5192</v>
      </c>
      <c r="G6" s="1006">
        <v>13.0</v>
      </c>
      <c r="H6" s="1006" t="s">
        <v>5002</v>
      </c>
      <c r="I6" s="1007">
        <v>1.28</v>
      </c>
      <c r="J6" s="1008">
        <v>3.0</v>
      </c>
      <c r="K6" s="1007">
        <f t="shared" si="2"/>
        <v>1.2416</v>
      </c>
      <c r="L6" s="1009">
        <v>0.382</v>
      </c>
      <c r="M6" s="563">
        <v>0.348</v>
      </c>
      <c r="N6" s="1032">
        <v>0.348</v>
      </c>
      <c r="O6" s="1010">
        <f t="shared" si="4"/>
        <v>0.348</v>
      </c>
      <c r="P6" s="1033">
        <v>90.0</v>
      </c>
      <c r="Q6" s="1003">
        <v>87.41</v>
      </c>
      <c r="R6" s="1013">
        <v>2333.88</v>
      </c>
      <c r="S6" s="563">
        <v>110.0</v>
      </c>
      <c r="T6" s="562"/>
      <c r="U6" s="1003">
        <v>120.0</v>
      </c>
      <c r="V6" s="1003">
        <v>1.1023</v>
      </c>
      <c r="W6" s="1003">
        <v>8.8</v>
      </c>
      <c r="X6" s="1003">
        <v>10.35</v>
      </c>
      <c r="Y6" s="562">
        <v>26.83</v>
      </c>
      <c r="Z6" s="1012">
        <f t="shared" ref="Z6:Z44" si="16">IF(D6="UNTUCA",IF(+((W6-3)*1.5+(X6-3)*3.1)&gt;0,+((W6-3)*1.5+(X6-3)*3.1),0),IF(+((W6-3)*1.5+(X6-3)*3.1)&gt;0,+((W6-3)*1.5+(X6-3)*3.1),0))</f>
        <v>31.485</v>
      </c>
      <c r="AA6" s="1014">
        <f t="shared" si="6"/>
        <v>58.315</v>
      </c>
      <c r="AB6" s="1015">
        <f t="shared" si="7"/>
        <v>578.7871037</v>
      </c>
      <c r="AC6" s="1015">
        <f>+(S6-T6)*V6-'data 1'!$F$4</f>
        <v>41.253</v>
      </c>
      <c r="AD6" s="1015">
        <f t="shared" si="8"/>
        <v>-24.14443302</v>
      </c>
      <c r="AE6" s="1015">
        <f>+(Y6*V6-'data 1'!$I$21)+V6*(Z6-IF(D6="UNTUCA",IF(+((W6-3)*2.5+(X6-3)*3.1)&gt;0,+((W6-3)*1.5+(X6-3)*3.1),0),IF(+((W6-3)*1.5+(X6-3)*3.1)&gt;0,+((W6-3)*1.5+(X6-3)*3.1),0)))</f>
        <v>3.993627919</v>
      </c>
      <c r="AF6" s="1015">
        <f t="shared" si="9"/>
        <v>72.52603273</v>
      </c>
      <c r="AG6" s="1015">
        <f t="shared" si="10"/>
        <v>93.62822763</v>
      </c>
      <c r="AH6" s="1016">
        <f t="shared" si="11"/>
        <v>14.21396548</v>
      </c>
      <c r="AI6" s="58">
        <f t="shared" si="12"/>
        <v>54.3337264</v>
      </c>
      <c r="AJ6" s="70">
        <f t="shared" si="13"/>
        <v>13.33252868</v>
      </c>
      <c r="AK6" s="11">
        <f t="shared" si="14"/>
        <v>0.8814367987</v>
      </c>
      <c r="AM6" s="65"/>
      <c r="AO6" s="58"/>
      <c r="AP6" s="65">
        <f t="shared" si="15"/>
        <v>718.6220679</v>
      </c>
      <c r="AQ6" s="65"/>
      <c r="AR6" s="65"/>
    </row>
    <row r="7" ht="15.75" customHeight="1">
      <c r="A7" s="1034" t="s">
        <v>5193</v>
      </c>
      <c r="B7" s="841">
        <v>45398.0</v>
      </c>
      <c r="C7" s="841">
        <v>45396.0</v>
      </c>
      <c r="D7" s="2" t="s">
        <v>5085</v>
      </c>
      <c r="E7" s="915">
        <v>2.0169040231E10</v>
      </c>
      <c r="F7" s="67" t="s">
        <v>5194</v>
      </c>
      <c r="G7" s="13">
        <v>41.0</v>
      </c>
      <c r="H7" s="13" t="s">
        <v>5002</v>
      </c>
      <c r="I7" s="6">
        <v>4.12</v>
      </c>
      <c r="J7" s="58">
        <v>3.4</v>
      </c>
      <c r="K7" s="6">
        <f t="shared" si="2"/>
        <v>3.97992</v>
      </c>
      <c r="L7" s="139">
        <v>0.267</v>
      </c>
      <c r="M7" s="3">
        <v>0.243</v>
      </c>
      <c r="N7" s="973"/>
      <c r="O7" s="60">
        <v>0.263</v>
      </c>
      <c r="P7" s="68">
        <v>87.0</v>
      </c>
      <c r="Q7" s="67">
        <v>86.28</v>
      </c>
      <c r="R7" s="65">
        <v>2333.88</v>
      </c>
      <c r="S7" s="3">
        <v>110.0</v>
      </c>
      <c r="T7" s="2"/>
      <c r="U7" s="67">
        <v>120.0</v>
      </c>
      <c r="V7" s="67">
        <v>1.1023</v>
      </c>
      <c r="W7" s="67">
        <v>8.8</v>
      </c>
      <c r="X7" s="67">
        <v>10.28</v>
      </c>
      <c r="Y7" s="2">
        <v>27.83</v>
      </c>
      <c r="Z7" s="69">
        <f t="shared" si="16"/>
        <v>31.268</v>
      </c>
      <c r="AA7" s="70">
        <f t="shared" si="6"/>
        <v>59.098</v>
      </c>
      <c r="AB7" s="71">
        <f t="shared" si="7"/>
        <v>371.9820288</v>
      </c>
      <c r="AC7" s="71">
        <f>+(S7-T7)*V7-'data 1'!$F$4</f>
        <v>41.253</v>
      </c>
      <c r="AD7" s="71">
        <f t="shared" si="8"/>
        <v>-4.691347918</v>
      </c>
      <c r="AE7" s="71">
        <f>+(Y7*V7-'data 1'!$I$21)+V7*(Z7-IF(D7="UNTUCA",IF(+((W7-3)*2.5+(X7-3)*3.1)&gt;0,+((W7-3)*1.5+(X7-3)*3.1),0),IF(+((W7-3)*1.5+(X7-3)*3.1)&gt;0,+((W7-3)*1.5+(X7-3)*3.1),0)))</f>
        <v>5.095927919</v>
      </c>
      <c r="AF7" s="71">
        <f t="shared" si="9"/>
        <v>8.42217017</v>
      </c>
      <c r="AG7" s="71">
        <f t="shared" si="10"/>
        <v>50.07975017</v>
      </c>
      <c r="AH7" s="1035">
        <f t="shared" si="11"/>
        <v>31.43437353</v>
      </c>
      <c r="AI7" s="58">
        <f t="shared" si="12"/>
        <v>37.48576741</v>
      </c>
      <c r="AJ7" s="70">
        <f t="shared" si="13"/>
        <v>31.22183418</v>
      </c>
      <c r="AK7" s="11">
        <f t="shared" si="14"/>
        <v>0.2125393511</v>
      </c>
      <c r="AM7" s="65"/>
      <c r="AO7" s="58"/>
      <c r="AP7" s="65">
        <f t="shared" si="15"/>
        <v>1480.458716</v>
      </c>
      <c r="AQ7" s="65"/>
      <c r="AR7" s="65"/>
    </row>
    <row r="8" ht="15.75" customHeight="1">
      <c r="A8" s="1034" t="s">
        <v>5195</v>
      </c>
      <c r="B8" s="841">
        <v>45398.0</v>
      </c>
      <c r="C8" s="841">
        <v>45396.0</v>
      </c>
      <c r="D8" s="67" t="s">
        <v>5085</v>
      </c>
      <c r="E8" s="915">
        <v>2.0169040231E10</v>
      </c>
      <c r="F8" s="67" t="s">
        <v>5196</v>
      </c>
      <c r="G8" s="916">
        <v>50.0</v>
      </c>
      <c r="H8" s="916" t="s">
        <v>4987</v>
      </c>
      <c r="I8" s="59">
        <v>4.4</v>
      </c>
      <c r="J8" s="69">
        <v>28.0</v>
      </c>
      <c r="K8" s="59">
        <f t="shared" si="2"/>
        <v>3.168</v>
      </c>
      <c r="L8" s="1036">
        <v>2.987</v>
      </c>
      <c r="M8" s="134">
        <v>2.596</v>
      </c>
      <c r="N8" s="134">
        <v>2.954</v>
      </c>
      <c r="O8" s="106">
        <f t="shared" ref="O8:O11" si="17">+ROUND((M8+N8)/2,3)</f>
        <v>2.775</v>
      </c>
      <c r="P8" s="67">
        <v>88.0</v>
      </c>
      <c r="Q8" s="67">
        <v>80.59</v>
      </c>
      <c r="R8" s="70">
        <v>2333.88</v>
      </c>
      <c r="S8" s="134">
        <v>320.0</v>
      </c>
      <c r="T8" s="67"/>
      <c r="U8" s="67">
        <v>130.0</v>
      </c>
      <c r="V8" s="67">
        <v>1.1023</v>
      </c>
      <c r="W8" s="67">
        <v>7.9</v>
      </c>
      <c r="X8" s="67">
        <v>13.2</v>
      </c>
      <c r="Y8" s="67">
        <v>100.0</v>
      </c>
      <c r="Z8" s="69">
        <f t="shared" si="16"/>
        <v>38.97</v>
      </c>
      <c r="AA8" s="70">
        <f t="shared" si="6"/>
        <v>138.97</v>
      </c>
      <c r="AB8" s="71">
        <f t="shared" si="7"/>
        <v>5426.518137</v>
      </c>
      <c r="AC8" s="71">
        <f>+(S8-T8)*V8-'data 1'!$F$4</f>
        <v>272.736</v>
      </c>
      <c r="AD8" s="71">
        <f t="shared" si="8"/>
        <v>-537.7014179</v>
      </c>
      <c r="AE8" s="71">
        <f>+(Y8*V8-'data 1'!$I$21)+V8*(Z8-IF(D8="UNTUCA",IF(+((W8-3)*2.5+(X8-3)*3.1)&gt;0,+((W8-3)*1.5+(X8-3)*3.1),0),IF(+((W8-3)*1.5+(X8-3)*3.1)&gt;0,+((W8-3)*1.5+(X8-3)*3.1),0)))</f>
        <v>84.64891892</v>
      </c>
      <c r="AF8" s="71">
        <f t="shared" si="9"/>
        <v>415.0541569</v>
      </c>
      <c r="AG8" s="71">
        <f t="shared" si="10"/>
        <v>234.7376579</v>
      </c>
      <c r="AH8" s="1035">
        <f t="shared" si="11"/>
        <v>261.4632292</v>
      </c>
      <c r="AI8" s="69">
        <f t="shared" si="12"/>
        <v>418.2418712</v>
      </c>
      <c r="AJ8" s="70">
        <f t="shared" si="13"/>
        <v>265.240539</v>
      </c>
      <c r="AK8" s="11">
        <f t="shared" si="14"/>
        <v>-3.77730985</v>
      </c>
      <c r="AM8" s="65"/>
      <c r="AO8" s="58"/>
      <c r="AP8" s="65">
        <f t="shared" si="15"/>
        <v>17191.20946</v>
      </c>
      <c r="AQ8" s="65"/>
      <c r="AR8" s="65"/>
    </row>
    <row r="9" ht="15.75" customHeight="1">
      <c r="A9" s="1034" t="s">
        <v>5197</v>
      </c>
      <c r="B9" s="841">
        <v>45398.0</v>
      </c>
      <c r="C9" s="841">
        <v>45396.0</v>
      </c>
      <c r="D9" s="67" t="s">
        <v>5085</v>
      </c>
      <c r="E9" s="915">
        <v>2.0169040231E10</v>
      </c>
      <c r="F9" s="67" t="s">
        <v>5196</v>
      </c>
      <c r="G9" s="916">
        <v>55.0</v>
      </c>
      <c r="H9" s="916" t="s">
        <v>4987</v>
      </c>
      <c r="I9" s="59">
        <v>4.94</v>
      </c>
      <c r="J9" s="69">
        <v>27.0</v>
      </c>
      <c r="K9" s="59">
        <f t="shared" si="2"/>
        <v>3.6062</v>
      </c>
      <c r="L9" s="1036">
        <v>3.197</v>
      </c>
      <c r="M9" s="134">
        <v>2.843</v>
      </c>
      <c r="N9" s="134">
        <v>3.184</v>
      </c>
      <c r="O9" s="106">
        <f t="shared" si="17"/>
        <v>3.014</v>
      </c>
      <c r="P9" s="67">
        <v>88.0</v>
      </c>
      <c r="Q9" s="67">
        <v>80.08</v>
      </c>
      <c r="R9" s="70">
        <v>2333.88</v>
      </c>
      <c r="S9" s="134">
        <v>320.0</v>
      </c>
      <c r="T9" s="67"/>
      <c r="U9" s="67">
        <v>130.0</v>
      </c>
      <c r="V9" s="67">
        <v>1.1023</v>
      </c>
      <c r="W9" s="67">
        <v>7.9</v>
      </c>
      <c r="X9" s="67">
        <v>13.1</v>
      </c>
      <c r="Y9" s="67">
        <v>100.0</v>
      </c>
      <c r="Z9" s="69">
        <f t="shared" si="16"/>
        <v>38.66</v>
      </c>
      <c r="AA9" s="70">
        <f t="shared" si="6"/>
        <v>138.66</v>
      </c>
      <c r="AB9" s="71">
        <f t="shared" si="7"/>
        <v>5937.797992</v>
      </c>
      <c r="AC9" s="71">
        <f>+(S9-T9)*V9-'data 1'!$F$4</f>
        <v>272.736</v>
      </c>
      <c r="AD9" s="71">
        <f t="shared" si="8"/>
        <v>-615.1139396</v>
      </c>
      <c r="AE9" s="71">
        <f>+(Y9*V9-'data 1'!$I$21)+V9*(Z9-IF(D9="UNTUCA",IF(+((W9-3)*2.5+(X9-3)*3.1)&gt;0,+((W9-3)*1.5+(X9-3)*3.1),0),IF(+((W9-3)*1.5+(X9-3)*3.1)&gt;0,+((W9-3)*1.5+(X9-3)*3.1),0)))</f>
        <v>84.64891892</v>
      </c>
      <c r="AF9" s="71">
        <f t="shared" si="9"/>
        <v>356.0105806</v>
      </c>
      <c r="AG9" s="71">
        <f t="shared" si="10"/>
        <v>98.28155995</v>
      </c>
      <c r="AH9" s="1035">
        <f t="shared" si="11"/>
        <v>316.5377996</v>
      </c>
      <c r="AI9" s="69">
        <f t="shared" si="12"/>
        <v>444.8133687</v>
      </c>
      <c r="AJ9" s="70">
        <f t="shared" si="13"/>
        <v>327.9327556</v>
      </c>
      <c r="AK9" s="11">
        <f t="shared" si="14"/>
        <v>-11.39495604</v>
      </c>
      <c r="AM9" s="65"/>
      <c r="AO9" s="58"/>
      <c r="AP9" s="65">
        <f t="shared" si="15"/>
        <v>21412.88712</v>
      </c>
      <c r="AQ9" s="65"/>
      <c r="AR9" s="65"/>
    </row>
    <row r="10" ht="15.75" customHeight="1">
      <c r="A10" s="1034" t="s">
        <v>5198</v>
      </c>
      <c r="B10" s="841">
        <v>45398.0</v>
      </c>
      <c r="C10" s="841">
        <v>45396.0</v>
      </c>
      <c r="D10" s="67" t="s">
        <v>5085</v>
      </c>
      <c r="E10" s="915">
        <v>2.0169040231E10</v>
      </c>
      <c r="F10" s="67" t="s">
        <v>5196</v>
      </c>
      <c r="G10" s="916">
        <v>27.0</v>
      </c>
      <c r="H10" s="916" t="s">
        <v>4987</v>
      </c>
      <c r="I10" s="59">
        <v>2.61</v>
      </c>
      <c r="J10" s="69">
        <v>25.0</v>
      </c>
      <c r="K10" s="59">
        <f t="shared" si="2"/>
        <v>1.9575</v>
      </c>
      <c r="L10" s="1036">
        <v>1.303</v>
      </c>
      <c r="M10" s="106">
        <v>1.12</v>
      </c>
      <c r="N10" s="106">
        <v>1.326</v>
      </c>
      <c r="O10" s="106">
        <f t="shared" si="17"/>
        <v>1.223</v>
      </c>
      <c r="P10" s="67">
        <v>88.0</v>
      </c>
      <c r="Q10" s="67">
        <v>80.07</v>
      </c>
      <c r="R10" s="70">
        <v>2333.88</v>
      </c>
      <c r="S10" s="134">
        <v>180.0</v>
      </c>
      <c r="T10" s="67"/>
      <c r="U10" s="67">
        <v>130.0</v>
      </c>
      <c r="V10" s="67">
        <v>1.1023</v>
      </c>
      <c r="W10" s="67">
        <v>7.9</v>
      </c>
      <c r="X10" s="67">
        <v>13.15</v>
      </c>
      <c r="Y10" s="67">
        <v>100.0</v>
      </c>
      <c r="Z10" s="69">
        <f t="shared" si="16"/>
        <v>38.815</v>
      </c>
      <c r="AA10" s="70">
        <f t="shared" si="6"/>
        <v>138.815</v>
      </c>
      <c r="AB10" s="71">
        <f t="shared" si="7"/>
        <v>2263.119797</v>
      </c>
      <c r="AC10" s="71">
        <f>+(S10-T10)*V10-'data 1'!$F$4</f>
        <v>118.414</v>
      </c>
      <c r="AD10" s="71">
        <f t="shared" si="8"/>
        <v>-251.0182827</v>
      </c>
      <c r="AE10" s="71">
        <f>+(Y10*V10-'data 1'!$I$21)+V10*(Z10-IF(D10="UNTUCA",IF(+((W10-3)*2.5+(X10-3)*3.1)&gt;0,+((W10-3)*1.5+(X10-3)*3.1),0),IF(+((W10-3)*1.5+(X10-3)*3.1)&gt;0,+((W10-3)*1.5+(X10-3)*3.1),0)))</f>
        <v>84.64891892</v>
      </c>
      <c r="AF10" s="71">
        <f t="shared" si="9"/>
        <v>155.613606</v>
      </c>
      <c r="AG10" s="71">
        <f t="shared" si="10"/>
        <v>107.6582422</v>
      </c>
      <c r="AH10" s="1035">
        <f t="shared" si="11"/>
        <v>70.0204801</v>
      </c>
      <c r="AI10" s="69">
        <f t="shared" si="12"/>
        <v>181.2697663</v>
      </c>
      <c r="AJ10" s="70">
        <f t="shared" si="13"/>
        <v>72.23039156</v>
      </c>
      <c r="AK10" s="11">
        <f t="shared" si="14"/>
        <v>-2.209911461</v>
      </c>
      <c r="AM10" s="65"/>
      <c r="AO10" s="58"/>
      <c r="AP10" s="65">
        <f t="shared" si="15"/>
        <v>4430.057002</v>
      </c>
      <c r="AQ10" s="65"/>
      <c r="AR10" s="65"/>
    </row>
    <row r="11" ht="15.75" customHeight="1">
      <c r="A11" s="1034" t="s">
        <v>5199</v>
      </c>
      <c r="B11" s="841">
        <v>45398.0</v>
      </c>
      <c r="C11" s="841">
        <v>45396.0</v>
      </c>
      <c r="D11" s="67" t="s">
        <v>5085</v>
      </c>
      <c r="E11" s="915">
        <v>2.0169040231E10</v>
      </c>
      <c r="F11" s="67" t="s">
        <v>5200</v>
      </c>
      <c r="G11" s="916">
        <v>98.0</v>
      </c>
      <c r="H11" s="916" t="s">
        <v>4987</v>
      </c>
      <c r="I11" s="59">
        <v>8.63</v>
      </c>
      <c r="J11" s="69">
        <v>25.0</v>
      </c>
      <c r="K11" s="59">
        <f t="shared" si="2"/>
        <v>6.4725</v>
      </c>
      <c r="L11" s="1037">
        <v>0.792</v>
      </c>
      <c r="M11" s="134">
        <v>0.741</v>
      </c>
      <c r="N11" s="405">
        <v>0.88</v>
      </c>
      <c r="O11" s="106">
        <f t="shared" si="17"/>
        <v>0.811</v>
      </c>
      <c r="P11" s="67">
        <v>88.0</v>
      </c>
      <c r="Q11" s="67">
        <v>80.13</v>
      </c>
      <c r="R11" s="70">
        <v>2333.88</v>
      </c>
      <c r="S11" s="134">
        <v>140.0</v>
      </c>
      <c r="T11" s="67"/>
      <c r="U11" s="67">
        <v>120.0</v>
      </c>
      <c r="V11" s="67">
        <v>1.1023</v>
      </c>
      <c r="W11" s="67">
        <v>7.8</v>
      </c>
      <c r="X11" s="67">
        <v>12.8</v>
      </c>
      <c r="Y11" s="67">
        <v>100.0</v>
      </c>
      <c r="Z11" s="69">
        <f t="shared" si="16"/>
        <v>37.58</v>
      </c>
      <c r="AA11" s="70">
        <f t="shared" si="6"/>
        <v>137.58</v>
      </c>
      <c r="AB11" s="71">
        <f t="shared" si="7"/>
        <v>1435.659637</v>
      </c>
      <c r="AC11" s="71">
        <f>+(S11-T11)*V11-'data 1'!$F$4</f>
        <v>74.322</v>
      </c>
      <c r="AD11" s="71">
        <f t="shared" si="8"/>
        <v>-152.1086102</v>
      </c>
      <c r="AE11" s="71">
        <f>+(Y11*V11-'data 1'!$I$21)+V11*(Z11-IF(D11="UNTUCA",IF(+((W11-3)*2.5+(X11-3)*3.1)&gt;0,+((W11-3)*1.5+(X11-3)*3.1),0),IF(+((W11-3)*1.5+(X11-3)*3.1)&gt;0,+((W11-3)*1.5+(X11-3)*3.1),0)))</f>
        <v>84.64891892</v>
      </c>
      <c r="AF11" s="71">
        <f t="shared" si="9"/>
        <v>-37.15374773</v>
      </c>
      <c r="AG11" s="71">
        <f t="shared" si="10"/>
        <v>-30.29143902</v>
      </c>
      <c r="AH11" s="1035">
        <f t="shared" si="11"/>
        <v>140.8320343</v>
      </c>
      <c r="AI11" s="69">
        <f t="shared" si="12"/>
        <v>103.267897</v>
      </c>
      <c r="AJ11" s="70">
        <f t="shared" si="13"/>
        <v>158.3742804</v>
      </c>
      <c r="AK11" s="11">
        <f t="shared" si="14"/>
        <v>-17.54224613</v>
      </c>
      <c r="AM11" s="65"/>
      <c r="AO11" s="58"/>
      <c r="AP11" s="65">
        <f t="shared" si="15"/>
        <v>9292.306998</v>
      </c>
      <c r="AQ11" s="65"/>
      <c r="AR11" s="65"/>
    </row>
    <row r="12" ht="15.75" customHeight="1">
      <c r="A12" s="1034" t="s">
        <v>5201</v>
      </c>
      <c r="B12" s="1002">
        <v>45401.0</v>
      </c>
      <c r="C12" s="1002">
        <v>45401.0</v>
      </c>
      <c r="D12" s="1003" t="s">
        <v>5085</v>
      </c>
      <c r="E12" s="1004">
        <v>2.0169040231E10</v>
      </c>
      <c r="F12" s="1003" t="s">
        <v>5202</v>
      </c>
      <c r="G12" s="1006">
        <v>75.0</v>
      </c>
      <c r="H12" s="1006" t="s">
        <v>5002</v>
      </c>
      <c r="I12" s="1007">
        <v>6.69</v>
      </c>
      <c r="J12" s="1008">
        <v>1.1</v>
      </c>
      <c r="K12" s="1007">
        <f t="shared" si="2"/>
        <v>6.61641</v>
      </c>
      <c r="L12" s="1009">
        <v>0.375</v>
      </c>
      <c r="M12" s="1010">
        <v>0.603</v>
      </c>
      <c r="N12" s="60">
        <v>0.659</v>
      </c>
      <c r="O12" s="1010">
        <v>0.635</v>
      </c>
      <c r="P12" s="1003">
        <v>88.0</v>
      </c>
      <c r="Q12" s="1003">
        <v>88.62</v>
      </c>
      <c r="R12" s="1013">
        <v>2327.0</v>
      </c>
      <c r="S12" s="1038">
        <v>140.0</v>
      </c>
      <c r="T12" s="562"/>
      <c r="U12" s="1003">
        <v>120.0</v>
      </c>
      <c r="V12" s="1003">
        <v>1.1023</v>
      </c>
      <c r="W12" s="1008">
        <v>7.9</v>
      </c>
      <c r="X12" s="1008">
        <v>11.6</v>
      </c>
      <c r="Y12" s="562">
        <v>46.0</v>
      </c>
      <c r="Z12" s="1012">
        <f t="shared" si="16"/>
        <v>34.01</v>
      </c>
      <c r="AA12" s="1014">
        <f t="shared" si="6"/>
        <v>80.01</v>
      </c>
      <c r="AB12" s="1015">
        <f t="shared" si="7"/>
        <v>1116.918262</v>
      </c>
      <c r="AC12" s="1015">
        <f>+(S12-T12)*V12-'data 1'!$F$4</f>
        <v>74.322</v>
      </c>
      <c r="AD12" s="1015">
        <f t="shared" si="8"/>
        <v>5.656204433</v>
      </c>
      <c r="AE12" s="1015">
        <f>+(Y12*V12-'data 1'!$I$21)+V12*(Z12-IF(D12="UNTUCA",IF(+((W12-3)*2.5+(X12-3)*3.1)&gt;0,+((W12-3)*1.5+(X12-3)*3.1),0),IF(+((W12-3)*1.5+(X12-3)*3.1)&gt;0,+((W12-3)*1.5+(X12-3)*3.1),0)))</f>
        <v>25.12471892</v>
      </c>
      <c r="AF12" s="1015">
        <f t="shared" si="9"/>
        <v>-560.5408068</v>
      </c>
      <c r="AG12" s="1015">
        <f t="shared" si="10"/>
        <v>-455.4378834</v>
      </c>
      <c r="AH12" s="1016">
        <f t="shared" si="11"/>
        <v>75.38665821</v>
      </c>
      <c r="AI12" s="69">
        <f t="shared" si="12"/>
        <v>56.59672544</v>
      </c>
      <c r="AJ12" s="70">
        <f t="shared" si="13"/>
        <v>126.7616478</v>
      </c>
      <c r="AK12" s="11">
        <f t="shared" si="14"/>
        <v>-51.3749896</v>
      </c>
      <c r="AM12" s="65"/>
      <c r="AO12" s="58"/>
      <c r="AP12" s="65">
        <f t="shared" si="15"/>
        <v>7389.989156</v>
      </c>
      <c r="AQ12" s="65"/>
      <c r="AR12" s="65"/>
    </row>
    <row r="13" ht="15.75" customHeight="1">
      <c r="A13" s="1034" t="s">
        <v>5203</v>
      </c>
      <c r="B13" s="841">
        <v>45401.0</v>
      </c>
      <c r="C13" s="841">
        <v>45401.0</v>
      </c>
      <c r="D13" s="67" t="s">
        <v>5085</v>
      </c>
      <c r="E13" s="915">
        <v>2.0169040231E10</v>
      </c>
      <c r="F13" s="67" t="s">
        <v>5202</v>
      </c>
      <c r="G13" s="13">
        <v>76.0</v>
      </c>
      <c r="H13" s="13" t="s">
        <v>5002</v>
      </c>
      <c r="I13" s="6">
        <v>6.73</v>
      </c>
      <c r="J13" s="58">
        <v>1.5</v>
      </c>
      <c r="K13" s="6">
        <f t="shared" si="2"/>
        <v>6.62905</v>
      </c>
      <c r="L13" s="139">
        <v>0.342</v>
      </c>
      <c r="M13" s="60">
        <v>0.334</v>
      </c>
      <c r="N13" s="60">
        <v>0.373</v>
      </c>
      <c r="O13" s="60">
        <v>0.355</v>
      </c>
      <c r="P13" s="67">
        <v>88.0</v>
      </c>
      <c r="Q13" s="67">
        <v>88.66</v>
      </c>
      <c r="R13" s="65">
        <v>2327.0</v>
      </c>
      <c r="S13" s="143">
        <v>110.0</v>
      </c>
      <c r="T13" s="2"/>
      <c r="U13" s="67">
        <v>120.0</v>
      </c>
      <c r="V13" s="67">
        <v>1.1023</v>
      </c>
      <c r="W13" s="58">
        <v>7.8</v>
      </c>
      <c r="X13" s="58">
        <v>11.8</v>
      </c>
      <c r="Y13" s="2">
        <v>26.83</v>
      </c>
      <c r="Z13" s="69">
        <f t="shared" si="16"/>
        <v>34.48</v>
      </c>
      <c r="AA13" s="70">
        <f t="shared" si="6"/>
        <v>61.31</v>
      </c>
      <c r="AB13" s="71">
        <f t="shared" si="7"/>
        <v>571.1642406</v>
      </c>
      <c r="AC13" s="71">
        <f>+(S13-T13)*V13-'data 1'!$F$4</f>
        <v>41.253</v>
      </c>
      <c r="AD13" s="71">
        <f t="shared" si="8"/>
        <v>5.491262213</v>
      </c>
      <c r="AE13" s="71">
        <f>+(Y13*V13-'data 1'!$I$21)+V13*(Z13-IF(D13="UNTUCA",IF(+((W13-3)*2.5+(X13-3)*3.1)&gt;0,+((W13-3)*1.5+(X13-3)*3.1),0),IF(+((W13-3)*1.5+(X13-3)*3.1)&gt;0,+((W13-3)*1.5+(X13-3)*3.1),0)))</f>
        <v>3.993627919</v>
      </c>
      <c r="AF13" s="71">
        <f t="shared" si="9"/>
        <v>-28.03969077</v>
      </c>
      <c r="AG13" s="71">
        <f t="shared" si="10"/>
        <v>22.69819936</v>
      </c>
      <c r="AH13" s="1035">
        <f t="shared" si="11"/>
        <v>68.91506927</v>
      </c>
      <c r="AI13" s="69">
        <f t="shared" si="12"/>
        <v>51.63951137</v>
      </c>
      <c r="AJ13" s="70">
        <f t="shared" si="13"/>
        <v>71.00213194</v>
      </c>
      <c r="AK13" s="11">
        <f t="shared" si="14"/>
        <v>-2.087062667</v>
      </c>
      <c r="AM13" s="65"/>
      <c r="AO13" s="58"/>
      <c r="AP13" s="65">
        <f t="shared" si="15"/>
        <v>3786.276309</v>
      </c>
      <c r="AQ13" s="65"/>
      <c r="AR13" s="65"/>
    </row>
    <row r="14" ht="15.75" customHeight="1">
      <c r="A14" s="1034" t="s">
        <v>5204</v>
      </c>
      <c r="B14" s="841">
        <v>45401.0</v>
      </c>
      <c r="C14" s="841">
        <v>45401.0</v>
      </c>
      <c r="D14" s="67" t="s">
        <v>5085</v>
      </c>
      <c r="E14" s="915">
        <v>2.0169040231E10</v>
      </c>
      <c r="F14" s="67" t="s">
        <v>5202</v>
      </c>
      <c r="G14" s="13">
        <v>76.0</v>
      </c>
      <c r="H14" s="13" t="s">
        <v>5002</v>
      </c>
      <c r="I14" s="6">
        <v>6.9</v>
      </c>
      <c r="J14" s="58">
        <v>1.0</v>
      </c>
      <c r="K14" s="6">
        <f t="shared" si="2"/>
        <v>6.831</v>
      </c>
      <c r="L14" s="139">
        <v>0.383</v>
      </c>
      <c r="M14" s="60">
        <v>0.366</v>
      </c>
      <c r="N14" s="61">
        <v>0.366</v>
      </c>
      <c r="O14" s="60">
        <v>0.368</v>
      </c>
      <c r="P14" s="67">
        <v>88.0</v>
      </c>
      <c r="Q14" s="67">
        <v>88.31</v>
      </c>
      <c r="R14" s="65">
        <v>2327.0</v>
      </c>
      <c r="S14" s="143">
        <v>110.0</v>
      </c>
      <c r="T14" s="2"/>
      <c r="U14" s="67">
        <v>120.0</v>
      </c>
      <c r="V14" s="67">
        <v>1.1023</v>
      </c>
      <c r="W14" s="58">
        <v>7.9</v>
      </c>
      <c r="X14" s="58">
        <v>11.7</v>
      </c>
      <c r="Y14" s="2">
        <v>26.83</v>
      </c>
      <c r="Z14" s="69">
        <f t="shared" si="16"/>
        <v>34.32</v>
      </c>
      <c r="AA14" s="70">
        <f t="shared" si="6"/>
        <v>61.15</v>
      </c>
      <c r="AB14" s="71">
        <f t="shared" si="7"/>
        <v>599.1715672</v>
      </c>
      <c r="AC14" s="71">
        <f>+(S14-T14)*V14-'data 1'!$F$4</f>
        <v>41.253</v>
      </c>
      <c r="AD14" s="71">
        <f t="shared" si="8"/>
        <v>2.888435064</v>
      </c>
      <c r="AE14" s="71">
        <f>+(Y14*V14-'data 1'!$I$21)+V14*(Z14-IF(D14="UNTUCA",IF(+((W14-3)*2.5+(X14-3)*3.1)&gt;0,+((W14-3)*1.5+(X14-3)*3.1),0),IF(+((W14-3)*1.5+(X14-3)*3.1)&gt;0,+((W14-3)*1.5+(X14-3)*3.1),0)))</f>
        <v>3.993627919</v>
      </c>
      <c r="AF14" s="71">
        <f t="shared" si="9"/>
        <v>32.22576861</v>
      </c>
      <c r="AG14" s="71">
        <f t="shared" si="10"/>
        <v>80.36083159</v>
      </c>
      <c r="AH14" s="1035">
        <f t="shared" si="11"/>
        <v>79.21401264</v>
      </c>
      <c r="AI14" s="69">
        <f t="shared" si="12"/>
        <v>57.60191871</v>
      </c>
      <c r="AJ14" s="70">
        <f t="shared" si="13"/>
        <v>75.84445683</v>
      </c>
      <c r="AK14" s="11">
        <f t="shared" si="14"/>
        <v>3.369555811</v>
      </c>
      <c r="AM14" s="65"/>
      <c r="AO14" s="58"/>
      <c r="AP14" s="65">
        <f t="shared" si="15"/>
        <v>4092.940976</v>
      </c>
      <c r="AQ14" s="65"/>
      <c r="AR14" s="65"/>
    </row>
    <row r="15" ht="15.75" customHeight="1">
      <c r="A15" s="1034" t="s">
        <v>5205</v>
      </c>
      <c r="B15" s="841">
        <v>45401.0</v>
      </c>
      <c r="C15" s="841">
        <v>45401.0</v>
      </c>
      <c r="D15" s="67" t="s">
        <v>5085</v>
      </c>
      <c r="E15" s="915">
        <v>2.0169040231E10</v>
      </c>
      <c r="F15" s="67" t="s">
        <v>5206</v>
      </c>
      <c r="G15" s="13">
        <v>10.0</v>
      </c>
      <c r="H15" s="13" t="s">
        <v>5002</v>
      </c>
      <c r="I15" s="6">
        <v>0.79</v>
      </c>
      <c r="J15" s="58">
        <v>1.0</v>
      </c>
      <c r="K15" s="6">
        <f t="shared" si="2"/>
        <v>0.7821</v>
      </c>
      <c r="L15" s="139">
        <v>0.528</v>
      </c>
      <c r="M15" s="60">
        <v>0.504</v>
      </c>
      <c r="N15" s="60">
        <v>0.504</v>
      </c>
      <c r="O15" s="60">
        <f t="shared" ref="O15:O48" si="18">+ROUND((M15+N15)/2,3)</f>
        <v>0.504</v>
      </c>
      <c r="P15" s="67">
        <v>90.0</v>
      </c>
      <c r="Q15" s="67">
        <v>88.28</v>
      </c>
      <c r="R15" s="65">
        <v>2327.0</v>
      </c>
      <c r="S15" s="1039">
        <v>143.2</v>
      </c>
      <c r="T15" s="2"/>
      <c r="U15" s="67">
        <v>120.0</v>
      </c>
      <c r="V15" s="67">
        <v>1.1023</v>
      </c>
      <c r="W15" s="58">
        <v>7.85</v>
      </c>
      <c r="X15" s="58">
        <v>12.3</v>
      </c>
      <c r="Y15" s="2">
        <v>26.83</v>
      </c>
      <c r="Z15" s="69">
        <f t="shared" si="16"/>
        <v>36.105</v>
      </c>
      <c r="AA15" s="70">
        <f t="shared" si="6"/>
        <v>62.935</v>
      </c>
      <c r="AB15" s="71">
        <f t="shared" si="7"/>
        <v>876.2846285</v>
      </c>
      <c r="AC15" s="71">
        <f>+(S15-T15)*V15-'data 1'!$F$4</f>
        <v>77.84936</v>
      </c>
      <c r="AD15" s="71">
        <f t="shared" si="8"/>
        <v>-22.09349943</v>
      </c>
      <c r="AE15" s="71">
        <f>+(Y15*V15-'data 1'!$I$21)+V15*(Z15-IF(D15="UNTUCA",IF(+((W15-3)*2.5+(X15-3)*3.1)&gt;0,+((W15-3)*1.5+(X15-3)*3.1),0),IF(+((W15-3)*1.5+(X15-3)*3.1)&gt;0,+((W15-3)*1.5+(X15-3)*3.1),0)))</f>
        <v>3.993627919</v>
      </c>
      <c r="AF15" s="71">
        <f t="shared" si="9"/>
        <v>51.54371379</v>
      </c>
      <c r="AG15" s="71">
        <f t="shared" si="10"/>
        <v>111.2932023</v>
      </c>
      <c r="AH15" s="1035">
        <f t="shared" si="11"/>
        <v>12.49877938</v>
      </c>
      <c r="AI15" s="69">
        <f t="shared" si="12"/>
        <v>79.38245725</v>
      </c>
      <c r="AJ15" s="70">
        <f t="shared" si="13"/>
        <v>12.16310346</v>
      </c>
      <c r="AK15" s="11">
        <f t="shared" si="14"/>
        <v>0.3356759136</v>
      </c>
      <c r="AM15" s="65"/>
      <c r="AO15" s="58"/>
      <c r="AP15" s="65">
        <f t="shared" si="15"/>
        <v>685.3422079</v>
      </c>
      <c r="AQ15" s="65"/>
      <c r="AR15" s="65"/>
    </row>
    <row r="16" ht="15.75" customHeight="1">
      <c r="A16" s="1034" t="s">
        <v>5207</v>
      </c>
      <c r="B16" s="841">
        <v>45401.0</v>
      </c>
      <c r="C16" s="841">
        <v>45401.0</v>
      </c>
      <c r="D16" s="67" t="s">
        <v>5085</v>
      </c>
      <c r="E16" s="915">
        <v>2.0169040231E10</v>
      </c>
      <c r="F16" s="67" t="s">
        <v>5208</v>
      </c>
      <c r="G16" s="13">
        <v>35.0</v>
      </c>
      <c r="H16" s="13" t="s">
        <v>5002</v>
      </c>
      <c r="I16" s="6">
        <v>3.11</v>
      </c>
      <c r="J16" s="58">
        <v>1.2</v>
      </c>
      <c r="K16" s="6">
        <f t="shared" si="2"/>
        <v>3.07268</v>
      </c>
      <c r="L16" s="139">
        <v>0.406</v>
      </c>
      <c r="M16" s="60">
        <v>0.378</v>
      </c>
      <c r="N16" s="191">
        <v>0.378</v>
      </c>
      <c r="O16" s="60">
        <f t="shared" si="18"/>
        <v>0.378</v>
      </c>
      <c r="P16" s="67">
        <v>90.0</v>
      </c>
      <c r="Q16" s="67">
        <v>88.09</v>
      </c>
      <c r="R16" s="65">
        <v>2327.0</v>
      </c>
      <c r="S16" s="3">
        <v>110.0</v>
      </c>
      <c r="T16" s="2"/>
      <c r="U16" s="67">
        <v>120.0</v>
      </c>
      <c r="V16" s="67">
        <v>1.1023</v>
      </c>
      <c r="W16" s="58">
        <v>7.9</v>
      </c>
      <c r="X16" s="58">
        <v>12.4</v>
      </c>
      <c r="Y16" s="2">
        <v>26.83</v>
      </c>
      <c r="Z16" s="69">
        <f t="shared" si="16"/>
        <v>36.49</v>
      </c>
      <c r="AA16" s="70">
        <f t="shared" si="6"/>
        <v>63.32</v>
      </c>
      <c r="AB16" s="71">
        <f t="shared" si="7"/>
        <v>636.5797932</v>
      </c>
      <c r="AC16" s="71">
        <f>+(S16-T16)*V16-'data 1'!$F$4</f>
        <v>41.253</v>
      </c>
      <c r="AD16" s="71">
        <f t="shared" si="8"/>
        <v>-18.86520555</v>
      </c>
      <c r="AE16" s="71">
        <f>+(Y16*V16-'data 1'!$I$21)+V16*(Z16-IF(D16="UNTUCA",IF(+((W16-3)*2.5+(X16-3)*3.1)&gt;0,+((W16-3)*1.5+(X16-3)*3.1),0),IF(+((W16-3)*1.5+(X16-3)*3.1)&gt;0,+((W16-3)*1.5+(X16-3)*3.1),0)))</f>
        <v>3.993627919</v>
      </c>
      <c r="AF16" s="71">
        <f t="shared" si="9"/>
        <v>60.00490906</v>
      </c>
      <c r="AG16" s="71">
        <f t="shared" si="10"/>
        <v>86.38633144</v>
      </c>
      <c r="AH16" s="1035">
        <f t="shared" si="11"/>
        <v>37.67723695</v>
      </c>
      <c r="AI16" s="69">
        <f t="shared" si="12"/>
        <v>60.90892502</v>
      </c>
      <c r="AJ16" s="70">
        <f t="shared" si="13"/>
        <v>35.8393985</v>
      </c>
      <c r="AK16" s="11">
        <f t="shared" si="14"/>
        <v>1.837838455</v>
      </c>
      <c r="AM16" s="65"/>
      <c r="AO16" s="58"/>
      <c r="AP16" s="65">
        <f t="shared" si="15"/>
        <v>1956.005999</v>
      </c>
      <c r="AQ16" s="65"/>
      <c r="AR16" s="65"/>
    </row>
    <row r="17" ht="15.75" customHeight="1">
      <c r="A17" s="1034" t="s">
        <v>5209</v>
      </c>
      <c r="B17" s="841">
        <v>45401.0</v>
      </c>
      <c r="C17" s="841">
        <v>45401.0</v>
      </c>
      <c r="D17" s="67" t="s">
        <v>5085</v>
      </c>
      <c r="E17" s="915">
        <v>2.0169040231E10</v>
      </c>
      <c r="F17" s="67" t="s">
        <v>4973</v>
      </c>
      <c r="G17" s="13">
        <v>57.0</v>
      </c>
      <c r="H17" s="916" t="s">
        <v>4987</v>
      </c>
      <c r="I17" s="6">
        <v>4.96</v>
      </c>
      <c r="J17" s="58">
        <v>23.3</v>
      </c>
      <c r="K17" s="6">
        <f t="shared" si="2"/>
        <v>3.80432</v>
      </c>
      <c r="L17" s="139">
        <v>0.707</v>
      </c>
      <c r="M17" s="60">
        <v>0.679</v>
      </c>
      <c r="N17" s="1040">
        <v>0.816</v>
      </c>
      <c r="O17" s="60">
        <f t="shared" si="18"/>
        <v>0.748</v>
      </c>
      <c r="P17" s="67">
        <v>88.0</v>
      </c>
      <c r="Q17" s="67">
        <v>85.13</v>
      </c>
      <c r="R17" s="65">
        <v>2327.0</v>
      </c>
      <c r="S17" s="1039">
        <v>140.0</v>
      </c>
      <c r="T17" s="2"/>
      <c r="U17" s="67">
        <v>120.0</v>
      </c>
      <c r="V17" s="67">
        <v>1.1023</v>
      </c>
      <c r="W17" s="58">
        <v>7.8</v>
      </c>
      <c r="X17" s="58">
        <v>13.2</v>
      </c>
      <c r="Y17" s="2"/>
      <c r="Z17" s="69">
        <f t="shared" si="16"/>
        <v>38.82</v>
      </c>
      <c r="AA17" s="70">
        <f t="shared" si="6"/>
        <v>38.82</v>
      </c>
      <c r="AB17" s="71">
        <f t="shared" si="7"/>
        <v>1404.237254</v>
      </c>
      <c r="AC17" s="71">
        <f>+(S17-T17)*V17-'data 1'!$F$4</f>
        <v>74.322</v>
      </c>
      <c r="AD17" s="71">
        <f t="shared" si="8"/>
        <v>-49.36321657</v>
      </c>
      <c r="AE17" s="71">
        <f>+(Y17*V17-'data 1'!$I$21)+V17*(Z17-IF(D17="UNTUCA",IF(+((W17-3)*2.5+(X17-3)*3.1)&gt;0,+((W17-3)*1.5+(X17-3)*3.1),0),IF(+((W17-3)*1.5+(X17-3)*3.1)&gt;0,+((W17-3)*1.5+(X17-3)*3.1),0)))</f>
        <v>-25.58108108</v>
      </c>
      <c r="AF17" s="71">
        <f t="shared" si="9"/>
        <v>-84.91191405</v>
      </c>
      <c r="AG17" s="71">
        <f t="shared" si="10"/>
        <v>-85.5342117</v>
      </c>
      <c r="AH17" s="1035">
        <f t="shared" si="11"/>
        <v>78.50334403</v>
      </c>
      <c r="AI17" s="69">
        <f t="shared" si="12"/>
        <v>102.5015277</v>
      </c>
      <c r="AJ17" s="70">
        <f t="shared" si="13"/>
        <v>85.85594637</v>
      </c>
      <c r="AK17" s="11">
        <f t="shared" si="14"/>
        <v>-7.352602345</v>
      </c>
      <c r="AM17" s="65"/>
      <c r="AO17" s="58"/>
      <c r="AP17" s="65">
        <f t="shared" si="15"/>
        <v>5342.16787</v>
      </c>
      <c r="AQ17" s="65"/>
      <c r="AR17" s="65"/>
    </row>
    <row r="18" ht="15.75" customHeight="1">
      <c r="A18" s="1017" t="s">
        <v>5210</v>
      </c>
      <c r="B18" s="1018">
        <v>45401.0</v>
      </c>
      <c r="C18" s="1018">
        <v>45401.0</v>
      </c>
      <c r="D18" s="1019" t="s">
        <v>5085</v>
      </c>
      <c r="E18" s="1020">
        <v>2.0169040231E10</v>
      </c>
      <c r="F18" s="1019" t="s">
        <v>5211</v>
      </c>
      <c r="G18" s="601">
        <v>74.0</v>
      </c>
      <c r="H18" s="1021" t="s">
        <v>4987</v>
      </c>
      <c r="I18" s="1022">
        <v>6.64</v>
      </c>
      <c r="J18" s="1023">
        <v>23.2</v>
      </c>
      <c r="K18" s="1022">
        <f t="shared" si="2"/>
        <v>5.09952</v>
      </c>
      <c r="L18" s="1024">
        <v>0.873</v>
      </c>
      <c r="M18" s="1025">
        <v>0.794</v>
      </c>
      <c r="N18" s="1041">
        <v>0.794</v>
      </c>
      <c r="O18" s="1025">
        <f t="shared" si="18"/>
        <v>0.794</v>
      </c>
      <c r="P18" s="1019">
        <v>90.0</v>
      </c>
      <c r="Q18" s="1019">
        <v>85.16</v>
      </c>
      <c r="R18" s="1028">
        <v>2327.0</v>
      </c>
      <c r="S18" s="578">
        <v>130.0</v>
      </c>
      <c r="T18" s="577"/>
      <c r="U18" s="1019">
        <v>120.0</v>
      </c>
      <c r="V18" s="1019">
        <v>1.1023</v>
      </c>
      <c r="W18" s="1023">
        <v>7.8</v>
      </c>
      <c r="X18" s="1023">
        <v>13.15</v>
      </c>
      <c r="Y18" s="577">
        <v>26.83</v>
      </c>
      <c r="Z18" s="1027">
        <f t="shared" si="16"/>
        <v>38.665</v>
      </c>
      <c r="AA18" s="1029">
        <f t="shared" si="6"/>
        <v>65.495</v>
      </c>
      <c r="AB18" s="1030">
        <f t="shared" si="7"/>
        <v>1522.967663</v>
      </c>
      <c r="AC18" s="1030">
        <f>+(S18-T18)*V18-'data 1'!$F$4</f>
        <v>63.299</v>
      </c>
      <c r="AD18" s="1030">
        <f t="shared" si="8"/>
        <v>-102.7925751</v>
      </c>
      <c r="AE18" s="1030">
        <f>+(Y18*V18-'data 1'!$I$21)+V18*(Z18-IF(D18="UNTUCA",IF(+((W18-3)*2.5+(X18-3)*3.1)&gt;0,+((W18-3)*1.5+(X18-3)*3.1),0),IF(+((W18-3)*1.5+(X18-3)*3.1)&gt;0,+((W18-3)*1.5+(X18-3)*3.1),0)))</f>
        <v>3.993627919</v>
      </c>
      <c r="AF18" s="1030">
        <f t="shared" si="9"/>
        <v>163.668418</v>
      </c>
      <c r="AG18" s="1030">
        <f t="shared" si="10"/>
        <v>128.1684708</v>
      </c>
      <c r="AH18" s="1031">
        <f t="shared" si="11"/>
        <v>129.9835115</v>
      </c>
      <c r="AI18" s="69">
        <f t="shared" si="12"/>
        <v>126.6129675</v>
      </c>
      <c r="AJ18" s="70">
        <f t="shared" si="13"/>
        <v>124.9399652</v>
      </c>
      <c r="AK18" s="11">
        <f t="shared" si="14"/>
        <v>5.043546302</v>
      </c>
      <c r="AM18" s="65"/>
      <c r="AO18" s="58"/>
      <c r="AP18" s="65">
        <f t="shared" si="15"/>
        <v>7766.404055</v>
      </c>
      <c r="AQ18" s="65"/>
      <c r="AR18" s="65"/>
    </row>
    <row r="19" ht="15.75" customHeight="1">
      <c r="A19" s="1034" t="s">
        <v>5212</v>
      </c>
      <c r="B19" s="841">
        <v>45405.0</v>
      </c>
      <c r="C19" s="841">
        <v>45405.0</v>
      </c>
      <c r="D19" s="67" t="s">
        <v>5085</v>
      </c>
      <c r="E19" s="915"/>
      <c r="F19" s="67" t="s">
        <v>5213</v>
      </c>
      <c r="G19" s="916">
        <v>63.0</v>
      </c>
      <c r="H19" s="916" t="s">
        <v>5002</v>
      </c>
      <c r="I19" s="59">
        <v>5.83</v>
      </c>
      <c r="J19" s="69">
        <v>1.25</v>
      </c>
      <c r="K19" s="59">
        <f t="shared" si="2"/>
        <v>5.757125</v>
      </c>
      <c r="L19" s="405">
        <v>0.316</v>
      </c>
      <c r="M19" s="106">
        <v>0.3</v>
      </c>
      <c r="N19" s="191">
        <v>0.338</v>
      </c>
      <c r="O19" s="106">
        <f t="shared" si="18"/>
        <v>0.319</v>
      </c>
      <c r="P19" s="67">
        <v>89.0</v>
      </c>
      <c r="Q19" s="69">
        <v>87.51</v>
      </c>
      <c r="R19" s="70">
        <v>2322.13</v>
      </c>
      <c r="S19" s="134">
        <v>110.0</v>
      </c>
      <c r="T19" s="67"/>
      <c r="U19" s="67">
        <v>120.0</v>
      </c>
      <c r="V19" s="67">
        <v>1.1023</v>
      </c>
      <c r="W19" s="69">
        <v>7.9</v>
      </c>
      <c r="X19" s="69">
        <v>9.6</v>
      </c>
      <c r="Y19" s="67">
        <v>26.83</v>
      </c>
      <c r="Z19" s="69">
        <f t="shared" si="16"/>
        <v>27.81</v>
      </c>
      <c r="AA19" s="70">
        <f t="shared" si="6"/>
        <v>54.64</v>
      </c>
      <c r="AB19" s="71">
        <f t="shared" si="7"/>
        <v>507.6827046</v>
      </c>
      <c r="AC19" s="71">
        <f>+(S19-T19)*V19-'data 1'!$F$4</f>
        <v>41.253</v>
      </c>
      <c r="AD19" s="71">
        <f t="shared" si="8"/>
        <v>-11.42920735</v>
      </c>
      <c r="AE19" s="71">
        <f>+(Y19*V19-'data 1'!$I$21)+V19*(Z19-IF(D19="UNTUCA",IF(+((W19-3)*2.5+(X19-3)*3.1)&gt;0,+((W19-3)*1.5+(X19-3)*3.1),0),IF(+((W19-3)*1.5+(X19-3)*3.1)&gt;0,+((W19-3)*1.5+(X19-3)*3.1),0)))</f>
        <v>3.993627919</v>
      </c>
      <c r="AF19" s="71">
        <f t="shared" si="9"/>
        <v>-6.372673957</v>
      </c>
      <c r="AG19" s="71">
        <f t="shared" si="10"/>
        <v>27.44474661</v>
      </c>
      <c r="AH19" s="71">
        <f t="shared" si="11"/>
        <v>54.58326306</v>
      </c>
      <c r="AI19" s="69">
        <f t="shared" si="12"/>
        <v>48.57928814</v>
      </c>
      <c r="AJ19" s="70">
        <f t="shared" si="13"/>
        <v>56.03965049</v>
      </c>
      <c r="AK19" s="11">
        <f t="shared" si="14"/>
        <v>-1.456387437</v>
      </c>
      <c r="AL19" s="67"/>
      <c r="AM19" s="65"/>
      <c r="AO19" s="58"/>
      <c r="AP19" s="65">
        <f t="shared" si="15"/>
        <v>2922.792791</v>
      </c>
      <c r="AQ19" s="65"/>
      <c r="AR19" s="65"/>
    </row>
    <row r="20" ht="15.75" customHeight="1">
      <c r="A20" s="1034" t="s">
        <v>5214</v>
      </c>
      <c r="B20" s="841">
        <v>45405.0</v>
      </c>
      <c r="C20" s="841">
        <v>45405.0</v>
      </c>
      <c r="D20" s="2" t="s">
        <v>5215</v>
      </c>
      <c r="E20" s="915">
        <v>2.0606534923E10</v>
      </c>
      <c r="F20" s="67" t="s">
        <v>5216</v>
      </c>
      <c r="G20" s="13">
        <v>15.0</v>
      </c>
      <c r="H20" s="13" t="s">
        <v>5002</v>
      </c>
      <c r="I20" s="6">
        <v>1.39</v>
      </c>
      <c r="J20" s="58">
        <v>26.3</v>
      </c>
      <c r="K20" s="6">
        <f t="shared" si="2"/>
        <v>1.02443</v>
      </c>
      <c r="L20" s="139">
        <v>1.54</v>
      </c>
      <c r="M20" s="60">
        <v>1.463</v>
      </c>
      <c r="N20" s="61">
        <v>1.463</v>
      </c>
      <c r="O20" s="60">
        <f t="shared" si="18"/>
        <v>1.463</v>
      </c>
      <c r="P20" s="67">
        <v>88.0</v>
      </c>
      <c r="Q20" s="69">
        <v>85.69</v>
      </c>
      <c r="R20" s="65">
        <v>2322.13</v>
      </c>
      <c r="S20" s="871">
        <v>220.0</v>
      </c>
      <c r="U20" s="67">
        <v>120.0</v>
      </c>
      <c r="V20" s="67">
        <v>1.1023</v>
      </c>
      <c r="W20" s="58">
        <v>8.2</v>
      </c>
      <c r="X20" s="58">
        <v>13.5</v>
      </c>
      <c r="Y20" s="2">
        <v>26.83</v>
      </c>
      <c r="Z20" s="69">
        <f t="shared" si="16"/>
        <v>40.35</v>
      </c>
      <c r="AA20" s="70">
        <f t="shared" si="6"/>
        <v>67.18</v>
      </c>
      <c r="AB20" s="71">
        <f t="shared" si="7"/>
        <v>2808.583511</v>
      </c>
      <c r="AC20" s="71">
        <f>+(S20-T20)*V20-'data 1'!$F$4</f>
        <v>162.506</v>
      </c>
      <c r="AD20" s="71">
        <f t="shared" si="8"/>
        <v>-86.3526086</v>
      </c>
      <c r="AE20" s="71">
        <f>+(Y20*V20-'data 1'!$I$21)+V20*(Z20-IF(D20="UNTUCA",IF(+((W20-3)*2.5+(X20-3)*3.1)&gt;0,+((W20-3)*1.5+(X20-3)*3.1),0),IF(+((W20-3)*1.5+(X20-3)*3.1)&gt;0,+((W20-3)*1.5+(X20-3)*3.1),0)))</f>
        <v>3.993627919</v>
      </c>
      <c r="AF20" s="71">
        <f t="shared" si="9"/>
        <v>160.1635288</v>
      </c>
      <c r="AG20" s="71">
        <f t="shared" si="10"/>
        <v>240.3105481</v>
      </c>
      <c r="AH20" s="71">
        <f t="shared" si="11"/>
        <v>46.34919771</v>
      </c>
      <c r="AI20" s="58">
        <f t="shared" si="12"/>
        <v>231.8233854</v>
      </c>
      <c r="AJ20" s="70">
        <f t="shared" si="13"/>
        <v>45.21872947</v>
      </c>
      <c r="AK20" s="11">
        <f t="shared" si="14"/>
        <v>1.130468237</v>
      </c>
      <c r="AM20" s="65"/>
      <c r="AO20" s="58"/>
      <c r="AP20" s="65">
        <f t="shared" si="15"/>
        <v>2877.197207</v>
      </c>
      <c r="AQ20" s="65"/>
      <c r="AR20" s="65"/>
    </row>
    <row r="21" ht="15.75" customHeight="1">
      <c r="A21" s="1034" t="s">
        <v>5217</v>
      </c>
      <c r="B21" s="841">
        <v>45405.0</v>
      </c>
      <c r="C21" s="841">
        <v>45405.0</v>
      </c>
      <c r="D21" s="67" t="s">
        <v>5085</v>
      </c>
      <c r="E21" s="915"/>
      <c r="F21" s="67" t="s">
        <v>5213</v>
      </c>
      <c r="G21" s="916">
        <v>62.0</v>
      </c>
      <c r="H21" s="916" t="s">
        <v>5002</v>
      </c>
      <c r="I21" s="59">
        <v>5.64</v>
      </c>
      <c r="J21" s="69">
        <v>2.0</v>
      </c>
      <c r="K21" s="59">
        <f t="shared" si="2"/>
        <v>5.5272</v>
      </c>
      <c r="L21" s="405">
        <v>0.263</v>
      </c>
      <c r="M21" s="106">
        <v>0.25</v>
      </c>
      <c r="N21" s="191">
        <v>0.286</v>
      </c>
      <c r="O21" s="106">
        <f t="shared" si="18"/>
        <v>0.268</v>
      </c>
      <c r="P21" s="67">
        <v>89.0</v>
      </c>
      <c r="Q21" s="69">
        <v>87.47</v>
      </c>
      <c r="R21" s="70">
        <v>2322.13</v>
      </c>
      <c r="S21" s="134">
        <v>110.0</v>
      </c>
      <c r="T21" s="67"/>
      <c r="U21" s="67">
        <v>120.0</v>
      </c>
      <c r="V21" s="67">
        <v>1.1023</v>
      </c>
      <c r="W21" s="69">
        <v>7.9</v>
      </c>
      <c r="X21" s="69">
        <v>9.8</v>
      </c>
      <c r="Y21" s="67">
        <v>26.83</v>
      </c>
      <c r="Z21" s="69">
        <f t="shared" si="16"/>
        <v>28.43</v>
      </c>
      <c r="AA21" s="70">
        <f t="shared" si="6"/>
        <v>55.26</v>
      </c>
      <c r="AB21" s="71">
        <f t="shared" si="7"/>
        <v>396.8192341</v>
      </c>
      <c r="AC21" s="71">
        <f>+(S21-T21)*V21-'data 1'!$F$4</f>
        <v>41.253</v>
      </c>
      <c r="AD21" s="71">
        <f t="shared" si="8"/>
        <v>-9.767646645</v>
      </c>
      <c r="AE21" s="71">
        <f>+(Y21*V21-'data 1'!$I$21)+V21*(Z21-IF(D21="UNTUCA",IF(+((W21-3)*2.5+(X21-3)*3.1)&gt;0,+((W21-3)*1.5+(X21-3)*3.1),0),IF(+((W21-3)*1.5+(X21-3)*3.1)&gt;0,+((W21-3)*1.5+(X21-3)*3.1),0)))</f>
        <v>3.993627919</v>
      </c>
      <c r="AF21" s="71">
        <f t="shared" si="9"/>
        <v>-10.61626845</v>
      </c>
      <c r="AG21" s="71">
        <f t="shared" si="10"/>
        <v>24.86271283</v>
      </c>
      <c r="AH21" s="71">
        <f t="shared" si="11"/>
        <v>43.59424132</v>
      </c>
      <c r="AI21" s="69">
        <f t="shared" si="12"/>
        <v>40.41301528</v>
      </c>
      <c r="AJ21" s="70">
        <f t="shared" si="13"/>
        <v>45.20006399</v>
      </c>
      <c r="AK21" s="11">
        <f t="shared" si="14"/>
        <v>-1.605822666</v>
      </c>
      <c r="AL21" s="67"/>
      <c r="AM21" s="65"/>
      <c r="AO21" s="58"/>
      <c r="AP21" s="65">
        <f t="shared" si="15"/>
        <v>2193.299271</v>
      </c>
      <c r="AQ21" s="65"/>
      <c r="AR21" s="65"/>
    </row>
    <row r="22" ht="15.75" customHeight="1">
      <c r="A22" s="1034" t="s">
        <v>5218</v>
      </c>
      <c r="B22" s="841">
        <v>45405.0</v>
      </c>
      <c r="C22" s="841">
        <v>45405.0</v>
      </c>
      <c r="D22" s="67" t="s">
        <v>5085</v>
      </c>
      <c r="E22" s="915"/>
      <c r="F22" s="67" t="s">
        <v>5213</v>
      </c>
      <c r="G22" s="916">
        <v>62.0</v>
      </c>
      <c r="H22" s="916" t="s">
        <v>5002</v>
      </c>
      <c r="I22" s="59">
        <v>5.51</v>
      </c>
      <c r="J22" s="69">
        <v>0.65</v>
      </c>
      <c r="K22" s="59">
        <f t="shared" si="2"/>
        <v>5.474185</v>
      </c>
      <c r="L22" s="405">
        <v>0.237</v>
      </c>
      <c r="M22" s="106">
        <v>0.225</v>
      </c>
      <c r="N22" s="191">
        <v>0.246</v>
      </c>
      <c r="O22" s="106">
        <f t="shared" si="18"/>
        <v>0.236</v>
      </c>
      <c r="P22" s="67">
        <v>89.0</v>
      </c>
      <c r="Q22" s="69">
        <v>87.76</v>
      </c>
      <c r="R22" s="70">
        <v>2322.13</v>
      </c>
      <c r="S22" s="134">
        <v>110.0</v>
      </c>
      <c r="T22" s="67"/>
      <c r="U22" s="67">
        <v>120.0</v>
      </c>
      <c r="V22" s="67">
        <v>1.1023</v>
      </c>
      <c r="W22" s="69">
        <v>7.9</v>
      </c>
      <c r="X22" s="69">
        <v>9.8</v>
      </c>
      <c r="Y22" s="67">
        <v>26.83</v>
      </c>
      <c r="Z22" s="69">
        <f t="shared" si="16"/>
        <v>28.43</v>
      </c>
      <c r="AA22" s="70">
        <f t="shared" si="6"/>
        <v>55.26</v>
      </c>
      <c r="AB22" s="71">
        <f t="shared" si="7"/>
        <v>327.6866571</v>
      </c>
      <c r="AC22" s="71">
        <f>+(S22-T22)*V22-'data 1'!$F$4</f>
        <v>41.253</v>
      </c>
      <c r="AD22" s="71">
        <f t="shared" si="8"/>
        <v>-7.133666334</v>
      </c>
      <c r="AE22" s="71">
        <f>+(Y22*V22-'data 1'!$I$21)+V22*(Z22-IF(D22="UNTUCA",IF(+((W22-3)*2.5+(X22-3)*3.1)&gt;0,+((W22-3)*1.5+(X22-3)*3.1),0),IF(+((W22-3)*1.5+(X22-3)*3.1)&gt;0,+((W22-3)*1.5+(X22-3)*3.1),0)))</f>
        <v>3.993627919</v>
      </c>
      <c r="AF22" s="71">
        <f t="shared" si="9"/>
        <v>2.130293172</v>
      </c>
      <c r="AG22" s="71">
        <f t="shared" si="10"/>
        <v>40.24325476</v>
      </c>
      <c r="AH22" s="71">
        <f t="shared" si="11"/>
        <v>39.03673623</v>
      </c>
      <c r="AI22" s="69">
        <f t="shared" si="12"/>
        <v>36.53855268</v>
      </c>
      <c r="AJ22" s="70">
        <f t="shared" si="13"/>
        <v>39.42126435</v>
      </c>
      <c r="AK22" s="11">
        <f t="shared" si="14"/>
        <v>-0.3845281203</v>
      </c>
      <c r="AL22" s="67"/>
      <c r="AM22" s="65"/>
      <c r="AO22" s="58"/>
      <c r="AP22" s="65">
        <f t="shared" si="15"/>
        <v>1793.817383</v>
      </c>
      <c r="AQ22" s="65"/>
      <c r="AR22" s="65"/>
    </row>
    <row r="23" ht="15.75" customHeight="1">
      <c r="A23" s="1034" t="s">
        <v>5219</v>
      </c>
      <c r="B23" s="841">
        <v>45405.0</v>
      </c>
      <c r="C23" s="841">
        <v>45405.0</v>
      </c>
      <c r="D23" s="2" t="s">
        <v>5215</v>
      </c>
      <c r="E23" s="915">
        <v>2.0606534923E10</v>
      </c>
      <c r="F23" s="2" t="s">
        <v>5220</v>
      </c>
      <c r="G23" s="13">
        <v>14.0</v>
      </c>
      <c r="H23" s="13" t="s">
        <v>5002</v>
      </c>
      <c r="I23" s="6">
        <v>1.26</v>
      </c>
      <c r="J23" s="58">
        <v>1.25</v>
      </c>
      <c r="K23" s="6">
        <f t="shared" si="2"/>
        <v>1.24425</v>
      </c>
      <c r="L23" s="139">
        <v>0.339</v>
      </c>
      <c r="M23" s="60">
        <v>0.322</v>
      </c>
      <c r="N23" s="61">
        <v>0.322</v>
      </c>
      <c r="O23" s="60">
        <f t="shared" si="18"/>
        <v>0.322</v>
      </c>
      <c r="P23" s="67">
        <v>88.0</v>
      </c>
      <c r="Q23" s="69">
        <v>88.15</v>
      </c>
      <c r="R23" s="65">
        <v>2322.13</v>
      </c>
      <c r="S23" s="3">
        <v>130.0</v>
      </c>
      <c r="U23" s="67">
        <v>120.0</v>
      </c>
      <c r="V23" s="67">
        <v>1.1023</v>
      </c>
      <c r="W23" s="58">
        <v>7.8</v>
      </c>
      <c r="X23" s="58">
        <v>12.8</v>
      </c>
      <c r="Y23" s="2">
        <v>26.83</v>
      </c>
      <c r="Z23" s="69">
        <f t="shared" si="16"/>
        <v>37.58</v>
      </c>
      <c r="AA23" s="70">
        <f t="shared" si="6"/>
        <v>64.41</v>
      </c>
      <c r="AB23" s="71">
        <f t="shared" si="7"/>
        <v>473.5321593</v>
      </c>
      <c r="AC23" s="71">
        <f>+(S23-T23)*V23-'data 1'!$F$4</f>
        <v>63.299</v>
      </c>
      <c r="AD23" s="71">
        <f t="shared" si="8"/>
        <v>1.234336917</v>
      </c>
      <c r="AE23" s="71">
        <f>+(Y23*V23-'data 1'!$I$21)+V23*(Z23-IF(D23="UNTUCA",IF(+((W23-3)*2.5+(X23-3)*3.1)&gt;0,+((W23-3)*1.5+(X23-3)*3.1),0),IF(+((W23-3)*1.5+(X23-3)*3.1)&gt;0,+((W23-3)*1.5+(X23-3)*3.1),0)))</f>
        <v>3.993627919</v>
      </c>
      <c r="AF23" s="71">
        <f t="shared" si="9"/>
        <v>36.37592107</v>
      </c>
      <c r="AG23" s="71">
        <f t="shared" si="10"/>
        <v>104.9028859</v>
      </c>
      <c r="AH23" s="71">
        <f t="shared" si="11"/>
        <v>12.74790251</v>
      </c>
      <c r="AI23" s="58">
        <f t="shared" si="12"/>
        <v>52.49626374</v>
      </c>
      <c r="AJ23" s="70">
        <f t="shared" si="13"/>
        <v>12.08802258</v>
      </c>
      <c r="AK23" s="11">
        <f t="shared" si="14"/>
        <v>0.659879931</v>
      </c>
      <c r="AM23" s="65"/>
      <c r="AO23" s="58"/>
      <c r="AP23" s="65">
        <f t="shared" si="15"/>
        <v>589.1923892</v>
      </c>
      <c r="AQ23" s="65"/>
      <c r="AR23" s="65"/>
    </row>
    <row r="24" ht="15.75" customHeight="1">
      <c r="A24" s="1034" t="s">
        <v>5221</v>
      </c>
      <c r="B24" s="841">
        <v>45405.0</v>
      </c>
      <c r="C24" s="841">
        <v>45405.0</v>
      </c>
      <c r="D24" s="2" t="s">
        <v>5085</v>
      </c>
      <c r="E24" s="915"/>
      <c r="F24" s="2" t="s">
        <v>5089</v>
      </c>
      <c r="G24" s="13">
        <v>100.0</v>
      </c>
      <c r="H24" s="13" t="s">
        <v>5002</v>
      </c>
      <c r="I24" s="6">
        <v>9.38</v>
      </c>
      <c r="J24" s="58">
        <v>2.0</v>
      </c>
      <c r="K24" s="6">
        <f t="shared" si="2"/>
        <v>9.1924</v>
      </c>
      <c r="L24" s="139">
        <v>0.504</v>
      </c>
      <c r="M24" s="60">
        <v>0.479</v>
      </c>
      <c r="N24" s="61">
        <v>0.479</v>
      </c>
      <c r="O24" s="60">
        <f t="shared" si="18"/>
        <v>0.479</v>
      </c>
      <c r="P24" s="67">
        <v>88.0</v>
      </c>
      <c r="Q24" s="69">
        <v>87.78</v>
      </c>
      <c r="R24" s="65">
        <v>2322.13</v>
      </c>
      <c r="S24" s="871">
        <v>120.0</v>
      </c>
      <c r="U24" s="67">
        <v>120.0</v>
      </c>
      <c r="V24" s="67">
        <v>1.1023</v>
      </c>
      <c r="W24" s="58">
        <v>7.9</v>
      </c>
      <c r="X24" s="58">
        <v>11.9</v>
      </c>
      <c r="Y24" s="2">
        <v>26.83</v>
      </c>
      <c r="Z24" s="69">
        <f t="shared" si="16"/>
        <v>34.94</v>
      </c>
      <c r="AA24" s="70">
        <f t="shared" si="6"/>
        <v>61.77</v>
      </c>
      <c r="AB24" s="71">
        <f t="shared" si="7"/>
        <v>822.8359066</v>
      </c>
      <c r="AC24" s="71">
        <f>+(S24-T24)*V24-'data 1'!$F$4</f>
        <v>52.276</v>
      </c>
      <c r="AD24" s="71">
        <f t="shared" si="8"/>
        <v>-2.691509878</v>
      </c>
      <c r="AE24" s="71">
        <f>+(Y24*V24-'data 1'!$I$21)+V24*(Z24-IF(D24="UNTUCA",IF(+((W24-3)*2.5+(X24-3)*3.1)&gt;0,+((W24-3)*1.5+(X24-3)*3.1),0),IF(+((W24-3)*1.5+(X24-3)*3.1)&gt;0,+((W24-3)*1.5+(X24-3)*3.1),0)))</f>
        <v>3.993627919</v>
      </c>
      <c r="AF24" s="71">
        <f t="shared" si="9"/>
        <v>53.26946634</v>
      </c>
      <c r="AG24" s="71">
        <f t="shared" si="10"/>
        <v>106.8475844</v>
      </c>
      <c r="AH24" s="71">
        <f t="shared" si="11"/>
        <v>139.4325263</v>
      </c>
      <c r="AI24" s="58">
        <f t="shared" si="12"/>
        <v>77.71994651</v>
      </c>
      <c r="AJ24" s="70">
        <f t="shared" si="13"/>
        <v>132.8483513</v>
      </c>
      <c r="AK24" s="11">
        <f t="shared" si="14"/>
        <v>6.584175071</v>
      </c>
      <c r="AM24" s="65"/>
      <c r="AO24" s="58"/>
      <c r="AP24" s="65">
        <f t="shared" si="15"/>
        <v>7563.836788</v>
      </c>
      <c r="AQ24" s="65"/>
      <c r="AR24" s="65"/>
    </row>
    <row r="25" ht="15.75" customHeight="1">
      <c r="A25" s="1034" t="s">
        <v>5222</v>
      </c>
      <c r="B25" s="841">
        <v>45405.0</v>
      </c>
      <c r="C25" s="841">
        <v>45405.0</v>
      </c>
      <c r="D25" s="2" t="s">
        <v>5085</v>
      </c>
      <c r="E25" s="915"/>
      <c r="F25" s="2" t="s">
        <v>5089</v>
      </c>
      <c r="G25" s="13">
        <v>100.0</v>
      </c>
      <c r="H25" s="13" t="s">
        <v>5002</v>
      </c>
      <c r="I25" s="6">
        <v>9.52</v>
      </c>
      <c r="J25" s="58">
        <v>1.0</v>
      </c>
      <c r="K25" s="6">
        <f t="shared" si="2"/>
        <v>9.4248</v>
      </c>
      <c r="L25" s="139">
        <v>1.07</v>
      </c>
      <c r="M25" s="60">
        <v>1.017</v>
      </c>
      <c r="N25" s="61">
        <v>1.017</v>
      </c>
      <c r="O25" s="60">
        <f t="shared" si="18"/>
        <v>1.017</v>
      </c>
      <c r="P25" s="67">
        <v>88.0</v>
      </c>
      <c r="Q25" s="69">
        <v>87.66</v>
      </c>
      <c r="R25" s="65">
        <v>2322.13</v>
      </c>
      <c r="S25" s="871">
        <v>180.0</v>
      </c>
      <c r="U25" s="67">
        <v>120.0</v>
      </c>
      <c r="V25" s="67">
        <v>1.1023</v>
      </c>
      <c r="W25" s="58">
        <v>7.9</v>
      </c>
      <c r="X25" s="58">
        <v>12.8</v>
      </c>
      <c r="Y25" s="2">
        <v>26.83</v>
      </c>
      <c r="Z25" s="69">
        <f t="shared" si="16"/>
        <v>37.73</v>
      </c>
      <c r="AA25" s="70">
        <f t="shared" si="6"/>
        <v>64.56</v>
      </c>
      <c r="AB25" s="71">
        <f t="shared" si="7"/>
        <v>1902.854485</v>
      </c>
      <c r="AC25" s="71">
        <f>+(S25-T25)*V25-'data 1'!$F$4</f>
        <v>118.414</v>
      </c>
      <c r="AD25" s="71">
        <f t="shared" si="8"/>
        <v>-8.830909937</v>
      </c>
      <c r="AE25" s="71">
        <f>+(Y25*V25-'data 1'!$I$21)+V25*(Z25-IF(D25="UNTUCA",IF(+((W25-3)*2.5+(X25-3)*3.1)&gt;0,+((W25-3)*1.5+(X25-3)*3.1),0),IF(+((W25-3)*1.5+(X25-3)*3.1)&gt;0,+((W25-3)*1.5+(X25-3)*3.1),0)))</f>
        <v>3.993627919</v>
      </c>
      <c r="AF25" s="71">
        <f t="shared" si="9"/>
        <v>112.7768855</v>
      </c>
      <c r="AG25" s="71">
        <f t="shared" si="10"/>
        <v>226.3536035</v>
      </c>
      <c r="AH25" s="71">
        <f t="shared" si="11"/>
        <v>303.0864049</v>
      </c>
      <c r="AI25" s="58">
        <f t="shared" si="12"/>
        <v>164.7751152</v>
      </c>
      <c r="AJ25" s="70">
        <f t="shared" si="13"/>
        <v>289.1910428</v>
      </c>
      <c r="AK25" s="11">
        <f t="shared" si="14"/>
        <v>13.89536205</v>
      </c>
      <c r="AM25" s="65"/>
      <c r="AO25" s="58"/>
      <c r="AP25" s="65">
        <f t="shared" si="15"/>
        <v>17934.02295</v>
      </c>
      <c r="AQ25" s="65"/>
      <c r="AR25" s="65"/>
    </row>
    <row r="26" ht="15.75" customHeight="1">
      <c r="A26" s="1034" t="s">
        <v>5223</v>
      </c>
      <c r="B26" s="841">
        <v>45405.0</v>
      </c>
      <c r="C26" s="841">
        <v>45405.0</v>
      </c>
      <c r="D26" s="2" t="s">
        <v>5085</v>
      </c>
      <c r="E26" s="915"/>
      <c r="F26" s="2" t="s">
        <v>5089</v>
      </c>
      <c r="G26" s="13">
        <v>15.0</v>
      </c>
      <c r="H26" s="13" t="s">
        <v>5002</v>
      </c>
      <c r="I26" s="6">
        <v>1.5</v>
      </c>
      <c r="J26" s="58">
        <v>1.5</v>
      </c>
      <c r="K26" s="6">
        <f t="shared" si="2"/>
        <v>1.4775</v>
      </c>
      <c r="L26" s="139">
        <v>0.697</v>
      </c>
      <c r="M26" s="60">
        <v>0.662</v>
      </c>
      <c r="N26" s="61">
        <v>0.662</v>
      </c>
      <c r="O26" s="60">
        <f t="shared" si="18"/>
        <v>0.662</v>
      </c>
      <c r="P26" s="67">
        <v>88.0</v>
      </c>
      <c r="Q26" s="69">
        <v>87.56</v>
      </c>
      <c r="R26" s="65">
        <v>2322.13</v>
      </c>
      <c r="S26" s="871">
        <v>140.0</v>
      </c>
      <c r="U26" s="67">
        <v>120.0</v>
      </c>
      <c r="V26" s="67">
        <v>1.1023</v>
      </c>
      <c r="W26" s="58">
        <v>7.9</v>
      </c>
      <c r="X26" s="58">
        <v>11.9</v>
      </c>
      <c r="Y26" s="2">
        <v>26.83</v>
      </c>
      <c r="Z26" s="69">
        <f t="shared" si="16"/>
        <v>34.94</v>
      </c>
      <c r="AA26" s="70">
        <f t="shared" si="6"/>
        <v>61.77</v>
      </c>
      <c r="AB26" s="71">
        <f t="shared" si="7"/>
        <v>1191.699675</v>
      </c>
      <c r="AC26" s="71">
        <f>+(S26-T26)*V26-'data 1'!$F$4</f>
        <v>74.322</v>
      </c>
      <c r="AD26" s="71">
        <f t="shared" si="8"/>
        <v>-7.444374545</v>
      </c>
      <c r="AE26" s="71">
        <f>+(Y26*V26-'data 1'!$I$21)+V26*(Z26-IF(D26="UNTUCA",IF(+((W26-3)*2.5+(X26-3)*3.1)&gt;0,+((W26-3)*1.5+(X26-3)*3.1),0),IF(+((W26-3)*1.5+(X26-3)*3.1)&gt;0,+((W26-3)*1.5+(X26-3)*3.1),0)))</f>
        <v>3.993627919</v>
      </c>
      <c r="AF26" s="71">
        <f t="shared" si="9"/>
        <v>74.39034247</v>
      </c>
      <c r="AG26" s="71">
        <f t="shared" si="10"/>
        <v>145.2615958</v>
      </c>
      <c r="AH26" s="71">
        <f t="shared" si="11"/>
        <v>30.91541565</v>
      </c>
      <c r="AI26" s="58">
        <f t="shared" si="12"/>
        <v>107.2123736</v>
      </c>
      <c r="AJ26" s="70">
        <f t="shared" si="13"/>
        <v>29.51054434</v>
      </c>
      <c r="AK26" s="11">
        <f t="shared" si="14"/>
        <v>1.404871307</v>
      </c>
      <c r="AM26" s="65"/>
      <c r="AO26" s="58"/>
      <c r="AP26" s="65">
        <f t="shared" si="15"/>
        <v>1760.736269</v>
      </c>
      <c r="AQ26" s="65"/>
      <c r="AR26" s="65"/>
    </row>
    <row r="27" ht="15.75" customHeight="1">
      <c r="A27" s="1034" t="s">
        <v>5224</v>
      </c>
      <c r="B27" s="841">
        <v>45405.0</v>
      </c>
      <c r="C27" s="841">
        <v>45405.0</v>
      </c>
      <c r="D27" s="2" t="s">
        <v>5215</v>
      </c>
      <c r="E27" s="915">
        <v>2.0606534923E10</v>
      </c>
      <c r="F27" s="2" t="s">
        <v>4822</v>
      </c>
      <c r="G27" s="13">
        <v>64.0</v>
      </c>
      <c r="H27" s="13" t="s">
        <v>5002</v>
      </c>
      <c r="I27" s="6">
        <v>7.65</v>
      </c>
      <c r="J27" s="58">
        <v>1.0</v>
      </c>
      <c r="K27" s="6">
        <f t="shared" si="2"/>
        <v>7.5735</v>
      </c>
      <c r="L27" s="139">
        <v>0.952</v>
      </c>
      <c r="M27" s="60">
        <v>0.93</v>
      </c>
      <c r="N27" s="405">
        <v>0.93</v>
      </c>
      <c r="O27" s="60">
        <f t="shared" si="18"/>
        <v>0.93</v>
      </c>
      <c r="P27" s="67">
        <v>88.0</v>
      </c>
      <c r="Q27" s="69">
        <v>85.16</v>
      </c>
      <c r="R27" s="65">
        <v>2322.13</v>
      </c>
      <c r="S27" s="3">
        <v>170.0</v>
      </c>
      <c r="U27" s="67">
        <v>120.0</v>
      </c>
      <c r="V27" s="67">
        <v>1.1023</v>
      </c>
      <c r="W27" s="58">
        <v>7.7</v>
      </c>
      <c r="X27" s="58">
        <v>9.8</v>
      </c>
      <c r="Y27" s="2">
        <v>26.83</v>
      </c>
      <c r="Z27" s="69">
        <f t="shared" si="16"/>
        <v>28.13</v>
      </c>
      <c r="AA27" s="70">
        <f t="shared" si="6"/>
        <v>54.96</v>
      </c>
      <c r="AB27" s="71">
        <f t="shared" si="7"/>
        <v>1738.617217</v>
      </c>
      <c r="AC27" s="71">
        <f>+(S27-T27)*V27-'data 1'!$F$4</f>
        <v>107.391</v>
      </c>
      <c r="AD27" s="71">
        <f t="shared" si="8"/>
        <v>-65.62934188</v>
      </c>
      <c r="AE27" s="71">
        <f>+(Y27*V27-'data 1'!$I$21)+V27*(Z27-IF(D27="UNTUCA",IF(+((W27-3)*2.5+(X27-3)*3.1)&gt;0,+((W27-3)*1.5+(X27-3)*3.1),0),IF(+((W27-3)*1.5+(X27-3)*3.1)&gt;0,+((W27-3)*1.5+(X27-3)*3.1),0)))</f>
        <v>3.993627919</v>
      </c>
      <c r="AF27" s="71">
        <f t="shared" si="9"/>
        <v>45.47797247</v>
      </c>
      <c r="AG27" s="71">
        <f t="shared" si="10"/>
        <v>91.2332585</v>
      </c>
      <c r="AH27" s="71">
        <f t="shared" si="11"/>
        <v>210.5126994</v>
      </c>
      <c r="AI27" s="58">
        <f t="shared" si="12"/>
        <v>142.4226234</v>
      </c>
      <c r="AJ27" s="70">
        <f t="shared" si="13"/>
        <v>212.5060602</v>
      </c>
      <c r="AK27" s="11">
        <f t="shared" si="14"/>
        <v>-1.993360854</v>
      </c>
      <c r="AM27" s="65"/>
      <c r="AO27" s="58"/>
      <c r="AP27" s="65">
        <f t="shared" si="15"/>
        <v>13167.41749</v>
      </c>
      <c r="AQ27" s="65"/>
      <c r="AR27" s="65"/>
    </row>
    <row r="28" ht="15.75" customHeight="1">
      <c r="A28" s="1034" t="s">
        <v>5225</v>
      </c>
      <c r="B28" s="841">
        <v>45405.0</v>
      </c>
      <c r="C28" s="841">
        <v>45405.0</v>
      </c>
      <c r="D28" s="2" t="s">
        <v>5215</v>
      </c>
      <c r="E28" s="915">
        <v>2.0606534923E10</v>
      </c>
      <c r="F28" s="2" t="s">
        <v>4822</v>
      </c>
      <c r="G28" s="13">
        <v>63.0</v>
      </c>
      <c r="H28" s="13" t="s">
        <v>5002</v>
      </c>
      <c r="I28" s="6">
        <v>7.3</v>
      </c>
      <c r="J28" s="58">
        <v>1.2</v>
      </c>
      <c r="K28" s="6">
        <f t="shared" si="2"/>
        <v>7.2124</v>
      </c>
      <c r="L28" s="139">
        <v>0.822</v>
      </c>
      <c r="M28" s="60">
        <v>0.801</v>
      </c>
      <c r="N28" s="191">
        <v>0.801</v>
      </c>
      <c r="O28" s="60">
        <f t="shared" si="18"/>
        <v>0.801</v>
      </c>
      <c r="P28" s="67">
        <v>88.0</v>
      </c>
      <c r="Q28" s="69">
        <v>85.37</v>
      </c>
      <c r="R28" s="65">
        <v>2322.13</v>
      </c>
      <c r="S28" s="3">
        <v>160.0</v>
      </c>
      <c r="U28" s="67">
        <v>120.0</v>
      </c>
      <c r="V28" s="67">
        <v>1.1023</v>
      </c>
      <c r="W28" s="58">
        <v>7.7</v>
      </c>
      <c r="X28" s="58">
        <v>9.85</v>
      </c>
      <c r="Y28" s="2">
        <v>26.83</v>
      </c>
      <c r="Z28" s="69">
        <f t="shared" si="16"/>
        <v>28.285</v>
      </c>
      <c r="AA28" s="70">
        <f t="shared" si="6"/>
        <v>55.115</v>
      </c>
      <c r="AB28" s="71">
        <f t="shared" si="7"/>
        <v>1473.910015</v>
      </c>
      <c r="AC28" s="71">
        <f>+(S28-T28)*V28-'data 1'!$F$4</f>
        <v>96.368</v>
      </c>
      <c r="AD28" s="71">
        <f t="shared" si="8"/>
        <v>-52.47716041</v>
      </c>
      <c r="AE28" s="71">
        <f>+(Y28*V28-'data 1'!$I$21)+V28*(Z28-IF(D28="UNTUCA",IF(+((W28-3)*2.5+(X28-3)*3.1)&gt;0,+((W28-3)*1.5+(X28-3)*3.1),0),IF(+((W28-3)*1.5+(X28-3)*3.1)&gt;0,+((W28-3)*1.5+(X28-3)*3.1),0)))</f>
        <v>3.993627919</v>
      </c>
      <c r="AF28" s="71">
        <f t="shared" si="9"/>
        <v>43.51784059</v>
      </c>
      <c r="AG28" s="71">
        <f t="shared" si="10"/>
        <v>91.4023081</v>
      </c>
      <c r="AH28" s="71">
        <f t="shared" si="11"/>
        <v>173.5265662</v>
      </c>
      <c r="AI28" s="58">
        <f t="shared" si="12"/>
        <v>123.2774036</v>
      </c>
      <c r="AJ28" s="70">
        <f t="shared" si="13"/>
        <v>174.302679</v>
      </c>
      <c r="AK28" s="11">
        <f t="shared" si="14"/>
        <v>-0.776112797</v>
      </c>
      <c r="AM28" s="65"/>
      <c r="AO28" s="58"/>
      <c r="AP28" s="65">
        <f t="shared" si="15"/>
        <v>10630.42859</v>
      </c>
      <c r="AQ28" s="65"/>
      <c r="AR28" s="65"/>
    </row>
    <row r="29" ht="15.75" customHeight="1">
      <c r="A29" s="1034" t="s">
        <v>5226</v>
      </c>
      <c r="B29" s="841">
        <v>45405.0</v>
      </c>
      <c r="C29" s="841">
        <v>45405.0</v>
      </c>
      <c r="D29" s="67" t="s">
        <v>5093</v>
      </c>
      <c r="E29" s="915"/>
      <c r="F29" s="67" t="s">
        <v>5227</v>
      </c>
      <c r="G29" s="916"/>
      <c r="H29" s="916" t="s">
        <v>4100</v>
      </c>
      <c r="I29" s="59">
        <v>11.54</v>
      </c>
      <c r="J29" s="69">
        <v>13.4</v>
      </c>
      <c r="K29" s="59">
        <f t="shared" si="2"/>
        <v>9.99364</v>
      </c>
      <c r="L29" s="405">
        <v>0.236</v>
      </c>
      <c r="M29" s="106">
        <v>0.215</v>
      </c>
      <c r="N29" s="106">
        <f>0.215+0.01</f>
        <v>0.225</v>
      </c>
      <c r="O29" s="106">
        <f t="shared" si="18"/>
        <v>0.22</v>
      </c>
      <c r="P29" s="67">
        <v>90.0</v>
      </c>
      <c r="Q29" s="69">
        <v>88.6</v>
      </c>
      <c r="R29" s="70">
        <v>2322.13</v>
      </c>
      <c r="S29" s="134">
        <v>130.0</v>
      </c>
      <c r="T29" s="67"/>
      <c r="U29" s="67">
        <v>120.0</v>
      </c>
      <c r="V29" s="67">
        <v>1.1023</v>
      </c>
      <c r="W29" s="69">
        <v>6.8</v>
      </c>
      <c r="X29" s="69">
        <v>10.8</v>
      </c>
      <c r="Y29" s="67">
        <v>15.0</v>
      </c>
      <c r="Z29" s="69">
        <f t="shared" si="16"/>
        <v>29.88</v>
      </c>
      <c r="AA29" s="70">
        <f t="shared" si="6"/>
        <v>44.88</v>
      </c>
      <c r="AB29" s="71">
        <f t="shared" si="7"/>
        <v>287.85654</v>
      </c>
      <c r="AC29" s="71">
        <f>+(S29-T29)*V29-'data 1'!$F$4</f>
        <v>63.299</v>
      </c>
      <c r="AD29" s="71">
        <f t="shared" si="8"/>
        <v>-8.020155698</v>
      </c>
      <c r="AE29" s="71">
        <f>+(Y29*V29-'data 1'!$I$21)+V29*(Z29-IF(D29="UNTUCA",IF(+((W29-3)*2.5+(X29-3)*3.1)&gt;0,+((W29-3)*1.5+(X29-3)*3.1),0),IF(+((W29-3)*1.5+(X29-3)*3.1)&gt;0,+((W29-3)*1.5+(X29-3)*3.1),0)))</f>
        <v>-9.046581081</v>
      </c>
      <c r="AF29" s="71">
        <f t="shared" si="9"/>
        <v>34.41093438</v>
      </c>
      <c r="AG29" s="71">
        <f t="shared" si="10"/>
        <v>80.6431976</v>
      </c>
      <c r="AH29" s="71">
        <f t="shared" si="11"/>
        <v>71.64378055</v>
      </c>
      <c r="AI29" s="69">
        <f t="shared" si="12"/>
        <v>36.73263682</v>
      </c>
      <c r="AJ29" s="70">
        <f t="shared" si="13"/>
        <v>67.84189344</v>
      </c>
      <c r="AK29" s="11">
        <f t="shared" si="14"/>
        <v>3.801887119</v>
      </c>
      <c r="AL29" s="67"/>
      <c r="AM29" s="65"/>
      <c r="AO29" s="58"/>
      <c r="AP29" s="65">
        <f t="shared" si="15"/>
        <v>2876.734632</v>
      </c>
      <c r="AQ29" s="65"/>
      <c r="AR29" s="65"/>
    </row>
    <row r="30" ht="15.75" customHeight="1">
      <c r="A30" s="1034" t="s">
        <v>5228</v>
      </c>
      <c r="B30" s="841">
        <v>45405.0</v>
      </c>
      <c r="C30" s="841">
        <v>45405.0</v>
      </c>
      <c r="D30" s="2" t="s">
        <v>5215</v>
      </c>
      <c r="E30" s="915">
        <v>2.0606534923E10</v>
      </c>
      <c r="F30" s="2" t="s">
        <v>4822</v>
      </c>
      <c r="G30" s="13">
        <v>20.0</v>
      </c>
      <c r="H30" s="13" t="s">
        <v>5002</v>
      </c>
      <c r="I30" s="6">
        <v>2.23</v>
      </c>
      <c r="J30" s="58">
        <v>1.5</v>
      </c>
      <c r="K30" s="6">
        <f t="shared" si="2"/>
        <v>2.19655</v>
      </c>
      <c r="L30" s="139">
        <v>1.5</v>
      </c>
      <c r="M30" s="60">
        <v>1.459</v>
      </c>
      <c r="N30" s="191">
        <v>1.459</v>
      </c>
      <c r="O30" s="60">
        <f t="shared" si="18"/>
        <v>1.459</v>
      </c>
      <c r="P30" s="2">
        <v>88.0</v>
      </c>
      <c r="Q30" s="69">
        <v>85.67</v>
      </c>
      <c r="R30" s="65">
        <v>2322.13</v>
      </c>
      <c r="S30" s="3">
        <v>220.0</v>
      </c>
      <c r="U30" s="67">
        <v>120.0</v>
      </c>
      <c r="V30" s="67">
        <v>1.1023</v>
      </c>
      <c r="W30" s="58">
        <v>7.9</v>
      </c>
      <c r="X30" s="58">
        <v>9.9</v>
      </c>
      <c r="Y30" s="2">
        <v>26.83</v>
      </c>
      <c r="Z30" s="69">
        <f t="shared" si="16"/>
        <v>28.74</v>
      </c>
      <c r="AA30" s="70">
        <f t="shared" si="6"/>
        <v>55.57</v>
      </c>
      <c r="AB30" s="71">
        <f t="shared" si="7"/>
        <v>2812.836739</v>
      </c>
      <c r="AC30" s="71">
        <f>+(S30-T30)*V30-'data 1'!$F$4</f>
        <v>162.506</v>
      </c>
      <c r="AD30" s="71">
        <f t="shared" si="8"/>
        <v>-84.83790607</v>
      </c>
      <c r="AE30" s="71">
        <f>+(Y30*V30-'data 1'!$I$21)+V30*(Z30-IF(D30="UNTUCA",IF(+((W30-3)*2.5+(X30-3)*3.1)&gt;0,+((W30-3)*1.5+(X30-3)*3.1),0),IF(+((W30-3)*1.5+(X30-3)*3.1)&gt;0,+((W30-3)*1.5+(X30-3)*3.1),0)))</f>
        <v>3.993627919</v>
      </c>
      <c r="AF30" s="71">
        <f t="shared" si="9"/>
        <v>85.26197423</v>
      </c>
      <c r="AG30" s="71">
        <f t="shared" si="10"/>
        <v>166.9236961</v>
      </c>
      <c r="AH30" s="71">
        <f t="shared" si="11"/>
        <v>96.7765618</v>
      </c>
      <c r="AI30" s="58">
        <f t="shared" si="12"/>
        <v>225.7492967</v>
      </c>
      <c r="AJ30" s="70">
        <f t="shared" si="13"/>
        <v>96.69146199</v>
      </c>
      <c r="AK30" s="11">
        <f t="shared" si="14"/>
        <v>0.08509981311</v>
      </c>
      <c r="AM30" s="65"/>
      <c r="AO30" s="58"/>
      <c r="AP30" s="65">
        <f t="shared" si="15"/>
        <v>6178.536538</v>
      </c>
      <c r="AQ30" s="65"/>
      <c r="AR30" s="65"/>
    </row>
    <row r="31" ht="15.75" customHeight="1">
      <c r="A31" s="1034" t="s">
        <v>5229</v>
      </c>
      <c r="B31" s="841">
        <v>45405.0</v>
      </c>
      <c r="C31" s="841">
        <v>45405.0</v>
      </c>
      <c r="D31" s="2" t="s">
        <v>5085</v>
      </c>
      <c r="E31" s="915"/>
      <c r="F31" s="2" t="s">
        <v>5230</v>
      </c>
      <c r="G31" s="13">
        <v>95.0</v>
      </c>
      <c r="H31" s="13" t="s">
        <v>5002</v>
      </c>
      <c r="I31" s="6">
        <v>9.23</v>
      </c>
      <c r="J31" s="58">
        <v>1.2</v>
      </c>
      <c r="K31" s="6">
        <f t="shared" si="2"/>
        <v>9.11924</v>
      </c>
      <c r="L31" s="139">
        <v>0.406</v>
      </c>
      <c r="M31" s="60">
        <v>0.386</v>
      </c>
      <c r="N31" s="191">
        <v>0.403</v>
      </c>
      <c r="O31" s="60">
        <f t="shared" si="18"/>
        <v>0.395</v>
      </c>
      <c r="P31" s="2">
        <v>90.0</v>
      </c>
      <c r="Q31" s="69">
        <v>88.35</v>
      </c>
      <c r="R31" s="65">
        <v>2322.13</v>
      </c>
      <c r="S31" s="3">
        <v>120.0</v>
      </c>
      <c r="U31" s="67">
        <v>120.0</v>
      </c>
      <c r="V31" s="67">
        <v>1.1023</v>
      </c>
      <c r="W31" s="58">
        <v>7.9</v>
      </c>
      <c r="X31" s="58">
        <v>11.9</v>
      </c>
      <c r="Y31" s="2">
        <v>26.83</v>
      </c>
      <c r="Z31" s="69">
        <f t="shared" si="16"/>
        <v>34.94</v>
      </c>
      <c r="AA31" s="70">
        <f t="shared" si="6"/>
        <v>61.77</v>
      </c>
      <c r="AB31" s="71">
        <f t="shared" si="7"/>
        <v>662.5784371</v>
      </c>
      <c r="AC31" s="71">
        <f>+(S31-T31)*V31-'data 1'!$F$4</f>
        <v>52.276</v>
      </c>
      <c r="AD31" s="71">
        <f t="shared" si="8"/>
        <v>-16.26120552</v>
      </c>
      <c r="AE31" s="71">
        <f>+(Y31*V31-'data 1'!$I$21)+V31*(Z31-IF(D31="UNTUCA",IF(+((W31-3)*2.5+(X31-3)*3.1)&gt;0,+((W31-3)*1.5+(X31-3)*3.1),0),IF(+((W31-3)*1.5+(X31-3)*3.1)&gt;0,+((W31-3)*1.5+(X31-3)*3.1),0)))</f>
        <v>3.993627919</v>
      </c>
      <c r="AF31" s="71">
        <f t="shared" si="9"/>
        <v>23.59076367</v>
      </c>
      <c r="AG31" s="71">
        <f t="shared" si="10"/>
        <v>63.59918607</v>
      </c>
      <c r="AH31" s="71">
        <f t="shared" si="11"/>
        <v>112.1502645</v>
      </c>
      <c r="AI31" s="58">
        <f t="shared" si="12"/>
        <v>63.01427842</v>
      </c>
      <c r="AJ31" s="70">
        <f t="shared" si="13"/>
        <v>111.1494505</v>
      </c>
      <c r="AK31" s="11">
        <f t="shared" si="14"/>
        <v>1.000814039</v>
      </c>
      <c r="AM31" s="65"/>
      <c r="AO31" s="58"/>
      <c r="AP31" s="65">
        <f t="shared" si="15"/>
        <v>6042.211787</v>
      </c>
      <c r="AQ31" s="65"/>
      <c r="AR31" s="65"/>
    </row>
    <row r="32" ht="15.75" customHeight="1">
      <c r="A32" s="1034" t="s">
        <v>5231</v>
      </c>
      <c r="B32" s="841">
        <v>45405.0</v>
      </c>
      <c r="C32" s="841">
        <v>45405.0</v>
      </c>
      <c r="D32" s="67" t="s">
        <v>5093</v>
      </c>
      <c r="E32" s="915"/>
      <c r="F32" s="67" t="s">
        <v>5227</v>
      </c>
      <c r="G32" s="916">
        <v>39.0</v>
      </c>
      <c r="H32" s="916" t="s">
        <v>5002</v>
      </c>
      <c r="I32" s="59">
        <v>3.91</v>
      </c>
      <c r="J32" s="69">
        <v>10.7</v>
      </c>
      <c r="K32" s="59">
        <f t="shared" si="2"/>
        <v>3.49163</v>
      </c>
      <c r="L32" s="405">
        <v>0.238</v>
      </c>
      <c r="M32" s="106">
        <v>0.217</v>
      </c>
      <c r="N32" s="106">
        <f>0.217+0.01</f>
        <v>0.227</v>
      </c>
      <c r="O32" s="106">
        <f t="shared" si="18"/>
        <v>0.222</v>
      </c>
      <c r="P32" s="67">
        <v>90.0</v>
      </c>
      <c r="Q32" s="69">
        <v>88.45</v>
      </c>
      <c r="R32" s="70">
        <v>2322.13</v>
      </c>
      <c r="S32" s="134">
        <v>130.0</v>
      </c>
      <c r="T32" s="67"/>
      <c r="U32" s="67">
        <v>120.0</v>
      </c>
      <c r="V32" s="67">
        <v>1.1023</v>
      </c>
      <c r="W32" s="69">
        <v>6.8</v>
      </c>
      <c r="X32" s="69">
        <v>10.9</v>
      </c>
      <c r="Y32" s="67">
        <v>15.0</v>
      </c>
      <c r="Z32" s="69">
        <f t="shared" si="16"/>
        <v>30.19</v>
      </c>
      <c r="AA32" s="70">
        <f t="shared" si="6"/>
        <v>45.19</v>
      </c>
      <c r="AB32" s="71">
        <f t="shared" si="7"/>
        <v>291.8841612</v>
      </c>
      <c r="AC32" s="71">
        <f>+(S32-T32)*V32-'data 1'!$F$4</f>
        <v>63.299</v>
      </c>
      <c r="AD32" s="71">
        <f t="shared" si="8"/>
        <v>-8.954707739</v>
      </c>
      <c r="AE32" s="71">
        <f>+(Y32*V32-'data 1'!$I$21)+V32*(Z32-IF(D32="UNTUCA",IF(+((W32-3)*2.5+(X32-3)*3.1)&gt;0,+((W32-3)*1.5+(X32-3)*3.1),0),IF(+((W32-3)*1.5+(X32-3)*3.1)&gt;0,+((W32-3)*1.5+(X32-3)*3.1),0)))</f>
        <v>-9.046581081</v>
      </c>
      <c r="AF32" s="71">
        <f t="shared" si="9"/>
        <v>34.35267659</v>
      </c>
      <c r="AG32" s="71">
        <f t="shared" si="10"/>
        <v>79.65038777</v>
      </c>
      <c r="AH32" s="71">
        <f t="shared" si="11"/>
        <v>25.20066957</v>
      </c>
      <c r="AI32" s="69">
        <f t="shared" si="12"/>
        <v>36.98121489</v>
      </c>
      <c r="AJ32" s="70">
        <f t="shared" si="13"/>
        <v>23.91843552</v>
      </c>
      <c r="AK32" s="11">
        <f t="shared" si="14"/>
        <v>1.282234048</v>
      </c>
      <c r="AL32" s="67"/>
      <c r="AM32" s="65"/>
      <c r="AO32" s="58"/>
      <c r="AP32" s="65">
        <f t="shared" si="15"/>
        <v>1019.151494</v>
      </c>
      <c r="AQ32" s="65"/>
      <c r="AR32" s="65"/>
    </row>
    <row r="33" ht="15.75" customHeight="1">
      <c r="A33" s="1034" t="s">
        <v>5232</v>
      </c>
      <c r="B33" s="841">
        <v>45405.0</v>
      </c>
      <c r="C33" s="841">
        <v>45405.0</v>
      </c>
      <c r="D33" s="2" t="s">
        <v>5085</v>
      </c>
      <c r="E33" s="915"/>
      <c r="F33" s="2" t="s">
        <v>5230</v>
      </c>
      <c r="G33" s="13">
        <v>95.0</v>
      </c>
      <c r="H33" s="13" t="s">
        <v>5002</v>
      </c>
      <c r="I33" s="6">
        <v>8.93</v>
      </c>
      <c r="J33" s="58">
        <v>1.5</v>
      </c>
      <c r="K33" s="6">
        <f t="shared" si="2"/>
        <v>8.79605</v>
      </c>
      <c r="L33" s="139">
        <v>0.773</v>
      </c>
      <c r="M33" s="60">
        <v>0.734</v>
      </c>
      <c r="N33" s="61">
        <v>0.734</v>
      </c>
      <c r="O33" s="60">
        <f t="shared" si="18"/>
        <v>0.734</v>
      </c>
      <c r="P33" s="2">
        <v>90.0</v>
      </c>
      <c r="Q33" s="69">
        <v>88.12</v>
      </c>
      <c r="R33" s="65">
        <v>2322.13</v>
      </c>
      <c r="S33" s="3">
        <v>150.0</v>
      </c>
      <c r="U33" s="67">
        <v>120.0</v>
      </c>
      <c r="V33" s="67">
        <v>1.1023</v>
      </c>
      <c r="W33" s="58">
        <v>7.9</v>
      </c>
      <c r="X33" s="58">
        <v>11.95</v>
      </c>
      <c r="Y33" s="2">
        <v>26.83</v>
      </c>
      <c r="Z33" s="69">
        <f t="shared" si="16"/>
        <v>35.095</v>
      </c>
      <c r="AA33" s="70">
        <f t="shared" si="6"/>
        <v>61.925</v>
      </c>
      <c r="AB33" s="71">
        <f t="shared" si="7"/>
        <v>1369.940731</v>
      </c>
      <c r="AC33" s="71">
        <f>+(S33-T33)*V33-'data 1'!$F$4</f>
        <v>85.345</v>
      </c>
      <c r="AD33" s="71">
        <f t="shared" si="8"/>
        <v>-35.27606255</v>
      </c>
      <c r="AE33" s="71">
        <f>+(Y33*V33-'data 1'!$I$21)+V33*(Z33-IF(D33="UNTUCA",IF(+((W33-3)*2.5+(X33-3)*3.1)&gt;0,+((W33-3)*1.5+(X33-3)*3.1),0),IF(+((W33-3)*1.5+(X33-3)*3.1)&gt;0,+((W33-3)*1.5+(X33-3)*3.1),0)))</f>
        <v>3.993627919</v>
      </c>
      <c r="AF33" s="71">
        <f t="shared" si="9"/>
        <v>83.42224178</v>
      </c>
      <c r="AG33" s="71">
        <f t="shared" si="10"/>
        <v>137.4848072</v>
      </c>
      <c r="AH33" s="71">
        <f t="shared" si="11"/>
        <v>205.4237917</v>
      </c>
      <c r="AI33" s="58">
        <f t="shared" si="12"/>
        <v>119.6631311</v>
      </c>
      <c r="AJ33" s="70">
        <f t="shared" si="13"/>
        <v>199.2210974</v>
      </c>
      <c r="AK33" s="11">
        <f t="shared" si="14"/>
        <v>6.202694282</v>
      </c>
      <c r="AM33" s="65"/>
      <c r="AO33" s="58"/>
      <c r="AP33" s="65">
        <f t="shared" si="15"/>
        <v>12050.06716</v>
      </c>
      <c r="AQ33" s="65"/>
      <c r="AR33" s="65"/>
    </row>
    <row r="34" ht="15.75" customHeight="1">
      <c r="A34" s="1034" t="s">
        <v>5233</v>
      </c>
      <c r="B34" s="841">
        <v>45405.0</v>
      </c>
      <c r="C34" s="841">
        <v>45405.0</v>
      </c>
      <c r="D34" s="67" t="s">
        <v>5093</v>
      </c>
      <c r="E34" s="915"/>
      <c r="F34" s="67" t="s">
        <v>5227</v>
      </c>
      <c r="G34" s="916">
        <v>192.0</v>
      </c>
      <c r="H34" s="916" t="s">
        <v>5002</v>
      </c>
      <c r="I34" s="59">
        <v>19.75</v>
      </c>
      <c r="J34" s="69">
        <v>13.4</v>
      </c>
      <c r="K34" s="59">
        <f t="shared" si="2"/>
        <v>17.1035</v>
      </c>
      <c r="L34" s="405">
        <v>0.478</v>
      </c>
      <c r="M34" s="106">
        <v>0.454</v>
      </c>
      <c r="N34" s="106">
        <f>0.454+0.01</f>
        <v>0.464</v>
      </c>
      <c r="O34" s="106">
        <f t="shared" si="18"/>
        <v>0.459</v>
      </c>
      <c r="P34" s="67">
        <v>90.0</v>
      </c>
      <c r="Q34" s="69">
        <v>86.68</v>
      </c>
      <c r="R34" s="70">
        <v>2322.13</v>
      </c>
      <c r="S34" s="134">
        <v>130.0</v>
      </c>
      <c r="T34" s="67"/>
      <c r="U34" s="67">
        <v>120.0</v>
      </c>
      <c r="V34" s="67">
        <v>1.1023</v>
      </c>
      <c r="W34" s="69">
        <v>6.8</v>
      </c>
      <c r="X34" s="69">
        <v>11.5</v>
      </c>
      <c r="Y34" s="67">
        <v>15.0</v>
      </c>
      <c r="Z34" s="69">
        <f t="shared" si="16"/>
        <v>32.05</v>
      </c>
      <c r="AA34" s="70">
        <f t="shared" si="6"/>
        <v>47.05</v>
      </c>
      <c r="AB34" s="71">
        <f t="shared" si="7"/>
        <v>807.5999881</v>
      </c>
      <c r="AC34" s="71">
        <f>+(S34-T34)*V34-'data 1'!$F$4</f>
        <v>63.299</v>
      </c>
      <c r="AD34" s="71">
        <f t="shared" si="8"/>
        <v>-38.52199239</v>
      </c>
      <c r="AE34" s="71">
        <f>+(Y34*V34-'data 1'!$I$21)+V34*(Z34-IF(D34="UNTUCA",IF(+((W34-3)*2.5+(X34-3)*3.1)&gt;0,+((W34-3)*1.5+(X34-3)*3.1),0),IF(+((W34-3)*1.5+(X34-3)*3.1)&gt;0,+((W34-3)*1.5+(X34-3)*3.1),0)))</f>
        <v>-9.046581081</v>
      </c>
      <c r="AF34" s="71">
        <f t="shared" si="9"/>
        <v>39.97746617</v>
      </c>
      <c r="AG34" s="71">
        <f t="shared" si="10"/>
        <v>55.7078927</v>
      </c>
      <c r="AH34" s="71">
        <f t="shared" si="11"/>
        <v>242.9634023</v>
      </c>
      <c r="AI34" s="69">
        <f t="shared" si="12"/>
        <v>72.78689266</v>
      </c>
      <c r="AJ34" s="70">
        <f t="shared" si="13"/>
        <v>242.2418956</v>
      </c>
      <c r="AK34" s="11">
        <f t="shared" si="14"/>
        <v>0.7215067255</v>
      </c>
      <c r="AL34" s="67"/>
      <c r="AM34" s="65"/>
      <c r="AO34" s="58"/>
      <c r="AP34" s="65">
        <f t="shared" si="15"/>
        <v>13812.7864</v>
      </c>
      <c r="AQ34" s="65"/>
      <c r="AR34" s="65"/>
    </row>
    <row r="35" ht="15.75" customHeight="1">
      <c r="A35" s="1034" t="s">
        <v>5234</v>
      </c>
      <c r="B35" s="841">
        <v>45405.0</v>
      </c>
      <c r="C35" s="841">
        <v>45405.0</v>
      </c>
      <c r="D35" s="2" t="s">
        <v>5085</v>
      </c>
      <c r="E35" s="915"/>
      <c r="F35" s="2" t="s">
        <v>5235</v>
      </c>
      <c r="G35" s="13">
        <v>42.0</v>
      </c>
      <c r="H35" s="13" t="s">
        <v>5002</v>
      </c>
      <c r="I35" s="6">
        <v>4.0</v>
      </c>
      <c r="J35" s="58">
        <v>1.0</v>
      </c>
      <c r="K35" s="6">
        <f t="shared" si="2"/>
        <v>3.96</v>
      </c>
      <c r="L35" s="139">
        <v>0.294</v>
      </c>
      <c r="M35" s="60">
        <v>0.279</v>
      </c>
      <c r="N35" s="61">
        <v>0.279</v>
      </c>
      <c r="O35" s="60">
        <f t="shared" si="18"/>
        <v>0.279</v>
      </c>
      <c r="P35" s="2">
        <v>88.0</v>
      </c>
      <c r="Q35" s="67">
        <v>88.28</v>
      </c>
      <c r="R35" s="65">
        <v>2322.13</v>
      </c>
      <c r="S35" s="3">
        <v>95.0</v>
      </c>
      <c r="U35" s="67">
        <v>120.0</v>
      </c>
      <c r="V35" s="67">
        <v>1.1023</v>
      </c>
      <c r="W35" s="58">
        <v>7.9</v>
      </c>
      <c r="X35" s="2">
        <v>9.5</v>
      </c>
      <c r="Y35" s="2">
        <v>26.83</v>
      </c>
      <c r="Z35" s="69">
        <f t="shared" si="16"/>
        <v>27.5</v>
      </c>
      <c r="AA35" s="70">
        <f t="shared" si="6"/>
        <v>54.33</v>
      </c>
      <c r="AB35" s="71">
        <f t="shared" si="7"/>
        <v>431.3707284</v>
      </c>
      <c r="AC35" s="71">
        <f>+(S35-T35)*V35-'data 1'!$F$4</f>
        <v>24.7185</v>
      </c>
      <c r="AD35" s="71">
        <f t="shared" si="8"/>
        <v>1.998242182</v>
      </c>
      <c r="AE35" s="71">
        <f>+(Y35*V35-'data 1'!$I$21)+V35*(Z35-IF(D35="UNTUCA",IF(+((W35-3)*2.5+(X35-3)*3.1)&gt;0,+((W35-3)*1.5+(X35-3)*3.1),0),IF(+((W35-3)*1.5+(X35-3)*3.1)&gt;0,+((W35-3)*1.5+(X35-3)*3.1),0)))</f>
        <v>3.993627919</v>
      </c>
      <c r="AF35" s="71">
        <f t="shared" si="9"/>
        <v>32.1437354</v>
      </c>
      <c r="AG35" s="71">
        <f t="shared" si="10"/>
        <v>62.8541055</v>
      </c>
      <c r="AH35" s="71">
        <f t="shared" si="11"/>
        <v>35.23821574</v>
      </c>
      <c r="AI35" s="58">
        <f t="shared" si="12"/>
        <v>45.59487558</v>
      </c>
      <c r="AJ35" s="70">
        <f t="shared" si="13"/>
        <v>33.33428396</v>
      </c>
      <c r="AK35" s="11">
        <f t="shared" si="14"/>
        <v>1.903931781</v>
      </c>
      <c r="AM35" s="65"/>
      <c r="AO35" s="58"/>
      <c r="AP35" s="65">
        <f t="shared" si="15"/>
        <v>1708.228084</v>
      </c>
      <c r="AQ35" s="65"/>
      <c r="AR35" s="65"/>
    </row>
    <row r="36" ht="15.75" customHeight="1">
      <c r="A36" s="1034" t="s">
        <v>5236</v>
      </c>
      <c r="B36" s="841">
        <v>45405.0</v>
      </c>
      <c r="C36" s="841">
        <v>45405.0</v>
      </c>
      <c r="D36" s="2" t="s">
        <v>5085</v>
      </c>
      <c r="E36" s="915"/>
      <c r="F36" s="2" t="s">
        <v>5235</v>
      </c>
      <c r="G36" s="13">
        <v>48.0</v>
      </c>
      <c r="H36" s="13" t="s">
        <v>5002</v>
      </c>
      <c r="I36" s="6">
        <v>4.57</v>
      </c>
      <c r="J36" s="58">
        <v>1.2</v>
      </c>
      <c r="K36" s="6">
        <f t="shared" si="2"/>
        <v>4.51516</v>
      </c>
      <c r="L36" s="139">
        <v>0.302</v>
      </c>
      <c r="M36" s="60">
        <v>0.287</v>
      </c>
      <c r="N36" s="61">
        <v>0.287</v>
      </c>
      <c r="O36" s="60">
        <f t="shared" si="18"/>
        <v>0.287</v>
      </c>
      <c r="P36" s="67">
        <v>88.0</v>
      </c>
      <c r="Q36" s="67">
        <v>88.11</v>
      </c>
      <c r="R36" s="65">
        <v>2322.13</v>
      </c>
      <c r="S36" s="3">
        <v>95.0</v>
      </c>
      <c r="U36" s="67">
        <v>120.0</v>
      </c>
      <c r="V36" s="67">
        <v>1.1023</v>
      </c>
      <c r="W36" s="58">
        <v>7.9</v>
      </c>
      <c r="X36" s="2">
        <v>9.5</v>
      </c>
      <c r="Y36" s="2">
        <v>26.83</v>
      </c>
      <c r="Z36" s="69">
        <f t="shared" si="16"/>
        <v>27.5</v>
      </c>
      <c r="AA36" s="70">
        <f t="shared" si="6"/>
        <v>54.33</v>
      </c>
      <c r="AB36" s="71">
        <f t="shared" si="7"/>
        <v>448.45968</v>
      </c>
      <c r="AC36" s="71">
        <f>+(S36-T36)*V36-'data 1'!$F$4</f>
        <v>24.7185</v>
      </c>
      <c r="AD36" s="71">
        <f t="shared" si="8"/>
        <v>0.806384904</v>
      </c>
      <c r="AE36" s="71">
        <f>+(Y36*V36-'data 1'!$I$21)+V36*(Z36-IF(D36="UNTUCA",IF(+((W36-3)*2.5+(X36-3)*3.1)&gt;0,+((W36-3)*1.5+(X36-3)*3.1),0),IF(+((W36-3)*1.5+(X36-3)*3.1)&gt;0,+((W36-3)*1.5+(X36-3)*3.1),0)))</f>
        <v>3.993627919</v>
      </c>
      <c r="AF36" s="71">
        <f t="shared" si="9"/>
        <v>32.0818365</v>
      </c>
      <c r="AG36" s="71">
        <f t="shared" si="10"/>
        <v>61.60034932</v>
      </c>
      <c r="AH36" s="71">
        <f t="shared" si="11"/>
        <v>41.19214031</v>
      </c>
      <c r="AI36" s="58">
        <f t="shared" si="12"/>
        <v>46.74536167</v>
      </c>
      <c r="AJ36" s="70">
        <f t="shared" si="13"/>
        <v>39.09730145</v>
      </c>
      <c r="AK36" s="11">
        <f t="shared" si="14"/>
        <v>2.094838861</v>
      </c>
      <c r="AM36" s="65"/>
      <c r="AO36" s="58"/>
      <c r="AP36" s="65">
        <f t="shared" si="15"/>
        <v>2024.867209</v>
      </c>
      <c r="AQ36" s="65"/>
      <c r="AR36" s="65"/>
    </row>
    <row r="37" ht="15.75" customHeight="1">
      <c r="A37" s="1034" t="s">
        <v>5237</v>
      </c>
      <c r="B37" s="841">
        <v>45406.0</v>
      </c>
      <c r="C37" s="841">
        <v>45406.0</v>
      </c>
      <c r="D37" s="2" t="s">
        <v>5093</v>
      </c>
      <c r="E37" s="915"/>
      <c r="F37" s="2" t="s">
        <v>5238</v>
      </c>
      <c r="G37" s="13" t="s">
        <v>4235</v>
      </c>
      <c r="H37" s="13" t="s">
        <v>5002</v>
      </c>
      <c r="I37" s="6">
        <v>36.61</v>
      </c>
      <c r="J37" s="58">
        <v>9.0</v>
      </c>
      <c r="K37" s="6">
        <f t="shared" si="2"/>
        <v>33.3151</v>
      </c>
      <c r="L37" s="139">
        <v>0.291</v>
      </c>
      <c r="M37" s="60">
        <v>0.268</v>
      </c>
      <c r="N37" s="191">
        <v>0.284</v>
      </c>
      <c r="O37" s="60">
        <f t="shared" si="18"/>
        <v>0.276</v>
      </c>
      <c r="P37" s="2">
        <v>90.0</v>
      </c>
      <c r="Q37" s="67">
        <v>86.42</v>
      </c>
      <c r="R37" s="65">
        <v>2315.95</v>
      </c>
      <c r="S37" s="3">
        <v>120.0</v>
      </c>
      <c r="U37" s="67">
        <v>120.0</v>
      </c>
      <c r="V37" s="67">
        <v>1.1023</v>
      </c>
      <c r="W37" s="58">
        <v>6.8</v>
      </c>
      <c r="X37" s="2">
        <v>11.6</v>
      </c>
      <c r="Y37" s="2">
        <v>26.83</v>
      </c>
      <c r="Z37" s="69">
        <f t="shared" si="16"/>
        <v>32.36</v>
      </c>
      <c r="AA37" s="70">
        <f t="shared" si="6"/>
        <v>59.19</v>
      </c>
      <c r="AB37" s="71">
        <f t="shared" si="7"/>
        <v>403.7548312</v>
      </c>
      <c r="AC37" s="71">
        <f>+(S37-T37)*V37-'data 1'!$F$4</f>
        <v>52.276</v>
      </c>
      <c r="AD37" s="71">
        <f t="shared" si="8"/>
        <v>-25.21728173</v>
      </c>
      <c r="AE37" s="71">
        <f>+(Y37*V37-'data 1'!$I$21)+V37*(Z37-IF(D37="UNTUCA",IF(+((W37-3)*2.5+(X37-3)*3.1)&gt;0,+((W37-3)*1.5+(X37-3)*3.1),0),IF(+((W37-3)*1.5+(X37-3)*3.1)&gt;0,+((W37-3)*1.5+(X37-3)*3.1),0)))</f>
        <v>3.993627919</v>
      </c>
      <c r="AF37" s="71">
        <f t="shared" si="9"/>
        <v>31.37818186</v>
      </c>
      <c r="AG37" s="71">
        <f t="shared" si="10"/>
        <v>62.43052806</v>
      </c>
      <c r="AH37" s="71">
        <f t="shared" si="11"/>
        <v>287.248283</v>
      </c>
      <c r="AI37" s="58">
        <f t="shared" si="12"/>
        <v>45.89192165</v>
      </c>
      <c r="AJ37" s="70">
        <f t="shared" si="13"/>
        <v>283.727729</v>
      </c>
      <c r="AK37" s="11">
        <f t="shared" si="14"/>
        <v>3.520553971</v>
      </c>
      <c r="AM37" s="65"/>
      <c r="AO37" s="58"/>
      <c r="AP37" s="65">
        <f t="shared" si="15"/>
        <v>13451.13258</v>
      </c>
      <c r="AQ37" s="65"/>
      <c r="AR37" s="65"/>
    </row>
    <row r="38" ht="15.75" customHeight="1">
      <c r="A38" s="1034" t="s">
        <v>5239</v>
      </c>
      <c r="B38" s="841">
        <v>45406.0</v>
      </c>
      <c r="C38" s="841">
        <v>45406.0</v>
      </c>
      <c r="D38" s="67" t="s">
        <v>5085</v>
      </c>
      <c r="E38" s="915"/>
      <c r="F38" s="67" t="s">
        <v>5086</v>
      </c>
      <c r="G38" s="916">
        <v>53.0</v>
      </c>
      <c r="H38" s="916" t="s">
        <v>5002</v>
      </c>
      <c r="I38" s="59">
        <v>5.02</v>
      </c>
      <c r="J38" s="69">
        <v>1.3</v>
      </c>
      <c r="K38" s="59">
        <f t="shared" si="2"/>
        <v>4.95474</v>
      </c>
      <c r="L38" s="405">
        <v>0.201</v>
      </c>
      <c r="M38" s="106">
        <v>0.191</v>
      </c>
      <c r="N38" s="106">
        <v>0.191</v>
      </c>
      <c r="O38" s="106">
        <f t="shared" si="18"/>
        <v>0.191</v>
      </c>
      <c r="P38" s="67">
        <v>88.0</v>
      </c>
      <c r="Q38" s="67">
        <v>87.57</v>
      </c>
      <c r="R38" s="70">
        <v>2315.95</v>
      </c>
      <c r="S38" s="134">
        <v>95.0</v>
      </c>
      <c r="T38" s="67"/>
      <c r="U38" s="67">
        <v>120.0</v>
      </c>
      <c r="V38" s="67">
        <v>1.1023</v>
      </c>
      <c r="W38" s="69">
        <v>6.9</v>
      </c>
      <c r="X38" s="67">
        <v>10.5</v>
      </c>
      <c r="Y38" s="67">
        <v>26.83</v>
      </c>
      <c r="Z38" s="69">
        <f t="shared" si="16"/>
        <v>29.1</v>
      </c>
      <c r="AA38" s="70">
        <f t="shared" si="6"/>
        <v>55.93</v>
      </c>
      <c r="AB38" s="71">
        <f t="shared" si="7"/>
        <v>240.4835837</v>
      </c>
      <c r="AC38" s="71">
        <f>+(S38-T38)*V38-'data 1'!$F$4</f>
        <v>24.7185</v>
      </c>
      <c r="AD38" s="71">
        <f t="shared" si="8"/>
        <v>-2.092120851</v>
      </c>
      <c r="AE38" s="71">
        <f>+(Y38*V38-'data 1'!$I$21)+V38*(Z38-IF(D38="UNTUCA",IF(+((W38-3)*2.5+(X38-3)*3.1)&gt;0,+((W38-3)*1.5+(X38-3)*3.1),0),IF(+((W38-3)*1.5+(X38-3)*3.1)&gt;0,+((W38-3)*1.5+(X38-3)*3.1),0)))</f>
        <v>3.993627919</v>
      </c>
      <c r="AF38" s="71">
        <f t="shared" si="9"/>
        <v>21.19715641</v>
      </c>
      <c r="AG38" s="71">
        <f t="shared" si="10"/>
        <v>47.81716348</v>
      </c>
      <c r="AH38" s="71">
        <f t="shared" si="11"/>
        <v>29.90069935</v>
      </c>
      <c r="AI38" s="69">
        <f t="shared" si="12"/>
        <v>32.12035967</v>
      </c>
      <c r="AJ38" s="70">
        <f t="shared" si="13"/>
        <v>28.55262086</v>
      </c>
      <c r="AK38" s="11">
        <f t="shared" si="14"/>
        <v>1.348078494</v>
      </c>
      <c r="AL38" s="67"/>
      <c r="AM38" s="65"/>
      <c r="AO38" s="58"/>
      <c r="AP38" s="65">
        <f t="shared" si="15"/>
        <v>1191.533632</v>
      </c>
      <c r="AQ38" s="65"/>
      <c r="AR38" s="65"/>
    </row>
    <row r="39" ht="15.75" customHeight="1">
      <c r="A39" s="1034" t="s">
        <v>5240</v>
      </c>
      <c r="B39" s="841">
        <v>45406.0</v>
      </c>
      <c r="C39" s="841">
        <v>45406.0</v>
      </c>
      <c r="D39" s="67" t="s">
        <v>5085</v>
      </c>
      <c r="E39" s="915"/>
      <c r="F39" s="67" t="s">
        <v>5086</v>
      </c>
      <c r="G39" s="916">
        <v>53.0</v>
      </c>
      <c r="H39" s="916" t="s">
        <v>5002</v>
      </c>
      <c r="I39" s="59">
        <v>4.8</v>
      </c>
      <c r="J39" s="69">
        <v>0.9</v>
      </c>
      <c r="K39" s="59">
        <f t="shared" si="2"/>
        <v>4.7568</v>
      </c>
      <c r="L39" s="405">
        <v>0.218</v>
      </c>
      <c r="M39" s="106">
        <v>0.207</v>
      </c>
      <c r="N39" s="106">
        <v>0.207</v>
      </c>
      <c r="O39" s="106">
        <f t="shared" si="18"/>
        <v>0.207</v>
      </c>
      <c r="P39" s="67">
        <v>88.0</v>
      </c>
      <c r="Q39" s="67">
        <v>87.31</v>
      </c>
      <c r="R39" s="70">
        <v>2315.95</v>
      </c>
      <c r="S39" s="134">
        <v>95.0</v>
      </c>
      <c r="T39" s="67"/>
      <c r="U39" s="67">
        <v>120.0</v>
      </c>
      <c r="V39" s="67">
        <v>1.1023</v>
      </c>
      <c r="W39" s="69">
        <v>6.9</v>
      </c>
      <c r="X39" s="67">
        <v>10.2</v>
      </c>
      <c r="Y39" s="67">
        <v>26.83</v>
      </c>
      <c r="Z39" s="69">
        <f t="shared" si="16"/>
        <v>28.17</v>
      </c>
      <c r="AA39" s="70">
        <f t="shared" si="6"/>
        <v>55</v>
      </c>
      <c r="AB39" s="71">
        <f t="shared" si="7"/>
        <v>275.59071</v>
      </c>
      <c r="AC39" s="71">
        <f>+(S39-T39)*V39-'data 1'!$F$4</f>
        <v>24.7185</v>
      </c>
      <c r="AD39" s="71">
        <f t="shared" si="8"/>
        <v>-3.641060029</v>
      </c>
      <c r="AE39" s="71">
        <f>+(Y39*V39-'data 1'!$I$21)+V39*(Z39-IF(D39="UNTUCA",IF(+((W39-3)*2.5+(X39-3)*3.1)&gt;0,+((W39-3)*1.5+(X39-3)*3.1),0),IF(+((W39-3)*1.5+(X39-3)*3.1)&gt;0,+((W39-3)*1.5+(X39-3)*3.1),0)))</f>
        <v>3.993627919</v>
      </c>
      <c r="AF39" s="71">
        <f t="shared" si="9"/>
        <v>23.24764302</v>
      </c>
      <c r="AG39" s="71">
        <f t="shared" si="10"/>
        <v>48.31871091</v>
      </c>
      <c r="AH39" s="71">
        <f t="shared" si="11"/>
        <v>31.04162463</v>
      </c>
      <c r="AI39" s="69">
        <f t="shared" si="12"/>
        <v>34.73357407</v>
      </c>
      <c r="AJ39" s="70">
        <f t="shared" si="13"/>
        <v>29.70824376</v>
      </c>
      <c r="AK39" s="11">
        <f t="shared" si="14"/>
        <v>1.33338087</v>
      </c>
      <c r="AL39" s="67"/>
      <c r="AM39" s="65"/>
      <c r="AO39" s="58"/>
      <c r="AP39" s="65">
        <f t="shared" si="15"/>
        <v>1310.929889</v>
      </c>
      <c r="AQ39" s="65"/>
      <c r="AR39" s="65"/>
    </row>
    <row r="40" ht="15.75" customHeight="1">
      <c r="A40" s="1034" t="s">
        <v>5241</v>
      </c>
      <c r="B40" s="841">
        <v>45406.0</v>
      </c>
      <c r="C40" s="841">
        <v>45406.0</v>
      </c>
      <c r="D40" s="67" t="s">
        <v>5085</v>
      </c>
      <c r="E40" s="915"/>
      <c r="F40" s="67" t="s">
        <v>5086</v>
      </c>
      <c r="G40" s="916">
        <v>53.0</v>
      </c>
      <c r="H40" s="916" t="s">
        <v>5002</v>
      </c>
      <c r="I40" s="59">
        <v>4.98</v>
      </c>
      <c r="J40" s="69">
        <v>1.0</v>
      </c>
      <c r="K40" s="59">
        <f t="shared" si="2"/>
        <v>4.9302</v>
      </c>
      <c r="L40" s="405">
        <v>0.216</v>
      </c>
      <c r="M40" s="106">
        <v>0.205</v>
      </c>
      <c r="N40" s="106">
        <v>0.205</v>
      </c>
      <c r="O40" s="106">
        <f t="shared" si="18"/>
        <v>0.205</v>
      </c>
      <c r="P40" s="67">
        <v>88.0</v>
      </c>
      <c r="Q40" s="67">
        <v>87.61</v>
      </c>
      <c r="R40" s="70">
        <v>2315.95</v>
      </c>
      <c r="S40" s="134">
        <v>95.0</v>
      </c>
      <c r="T40" s="67"/>
      <c r="U40" s="67">
        <v>120.0</v>
      </c>
      <c r="V40" s="67">
        <v>1.1023</v>
      </c>
      <c r="W40" s="69">
        <v>6.9</v>
      </c>
      <c r="X40" s="67">
        <v>10.4</v>
      </c>
      <c r="Y40" s="67">
        <v>26.83</v>
      </c>
      <c r="Z40" s="69">
        <f t="shared" si="16"/>
        <v>28.79</v>
      </c>
      <c r="AA40" s="70">
        <f t="shared" si="6"/>
        <v>55.62</v>
      </c>
      <c r="AB40" s="71">
        <f t="shared" si="7"/>
        <v>270.6470356</v>
      </c>
      <c r="AC40" s="71">
        <f>+(S40-T40)*V40-'data 1'!$F$4</f>
        <v>24.7185</v>
      </c>
      <c r="AD40" s="71">
        <f t="shared" si="8"/>
        <v>-2.039109805</v>
      </c>
      <c r="AE40" s="71">
        <f>+(Y40*V40-'data 1'!$I$21)+V40*(Z40-IF(D40="UNTUCA",IF(+((W40-3)*2.5+(X40-3)*3.1)&gt;0,+((W40-3)*1.5+(X40-3)*3.1),0),IF(+((W40-3)*1.5+(X40-3)*3.1)&gt;0,+((W40-3)*1.5+(X40-3)*3.1),0)))</f>
        <v>3.993627919</v>
      </c>
      <c r="AF40" s="71">
        <f t="shared" si="9"/>
        <v>23.32752268</v>
      </c>
      <c r="AG40" s="71">
        <f t="shared" si="10"/>
        <v>50.00054079</v>
      </c>
      <c r="AH40" s="71">
        <f t="shared" si="11"/>
        <v>31.98755445</v>
      </c>
      <c r="AI40" s="69">
        <f t="shared" si="12"/>
        <v>34.5331682</v>
      </c>
      <c r="AJ40" s="70">
        <f t="shared" si="13"/>
        <v>30.49370116</v>
      </c>
      <c r="AK40" s="11">
        <f t="shared" si="14"/>
        <v>1.493853289</v>
      </c>
      <c r="AL40" s="67"/>
      <c r="AM40" s="65"/>
      <c r="AO40" s="58"/>
      <c r="AP40" s="65">
        <f t="shared" si="15"/>
        <v>1334.344015</v>
      </c>
      <c r="AQ40" s="65"/>
      <c r="AR40" s="65"/>
    </row>
    <row r="41" ht="15.75" customHeight="1">
      <c r="A41" s="1034" t="s">
        <v>5242</v>
      </c>
      <c r="B41" s="841">
        <v>45406.0</v>
      </c>
      <c r="C41" s="841">
        <v>45406.0</v>
      </c>
      <c r="D41" s="67" t="s">
        <v>5085</v>
      </c>
      <c r="E41" s="915"/>
      <c r="F41" s="2" t="s">
        <v>5243</v>
      </c>
      <c r="G41" s="13">
        <v>52.0</v>
      </c>
      <c r="H41" s="13" t="s">
        <v>5002</v>
      </c>
      <c r="I41" s="6">
        <v>3.91</v>
      </c>
      <c r="J41" s="58">
        <v>18.4</v>
      </c>
      <c r="K41" s="6">
        <f t="shared" si="2"/>
        <v>3.19056</v>
      </c>
      <c r="L41" s="139">
        <v>2.026</v>
      </c>
      <c r="M41" s="60">
        <v>1.925</v>
      </c>
      <c r="N41" s="191">
        <v>2.099</v>
      </c>
      <c r="O41" s="60">
        <f t="shared" si="18"/>
        <v>2.012</v>
      </c>
      <c r="P41" s="68">
        <v>88.0</v>
      </c>
      <c r="Q41" s="67">
        <v>80.66</v>
      </c>
      <c r="R41" s="65">
        <v>2315.95</v>
      </c>
      <c r="S41" s="3">
        <v>270.0</v>
      </c>
      <c r="U41" s="67">
        <v>120.0</v>
      </c>
      <c r="V41" s="67">
        <v>1.1023</v>
      </c>
      <c r="W41" s="58">
        <v>8.0</v>
      </c>
      <c r="X41" s="2">
        <v>13.5</v>
      </c>
      <c r="Y41" s="2">
        <v>55.0</v>
      </c>
      <c r="Z41" s="69">
        <f t="shared" si="16"/>
        <v>40.05</v>
      </c>
      <c r="AA41" s="70">
        <f t="shared" si="6"/>
        <v>95.05</v>
      </c>
      <c r="AB41" s="71">
        <f t="shared" si="7"/>
        <v>3883.415281</v>
      </c>
      <c r="AC41" s="71">
        <f>+(S41-T41)*V41-'data 1'!$F$4</f>
        <v>217.621</v>
      </c>
      <c r="AD41" s="71">
        <f t="shared" si="8"/>
        <v>-359.9629114</v>
      </c>
      <c r="AE41" s="71">
        <f>+(Y41*V41-'data 1'!$I$21)+V41*(Z41-IF(D41="UNTUCA",IF(+((W41-3)*2.5+(X41-3)*3.1)&gt;0,+((W41-3)*1.5+(X41-3)*3.1),0),IF(+((W41-3)*1.5+(X41-3)*3.1)&gt;0,+((W41-3)*1.5+(X41-3)*3.1),0)))</f>
        <v>35.04541892</v>
      </c>
      <c r="AF41" s="71">
        <f t="shared" si="9"/>
        <v>27.33433471</v>
      </c>
      <c r="AG41" s="71">
        <f t="shared" si="10"/>
        <v>-79.96215773</v>
      </c>
      <c r="AH41" s="71">
        <f t="shared" si="11"/>
        <v>178.7613575</v>
      </c>
      <c r="AI41" s="58">
        <f t="shared" si="12"/>
        <v>298.2130546</v>
      </c>
      <c r="AJ41" s="70">
        <f t="shared" si="13"/>
        <v>193.6808284</v>
      </c>
      <c r="AK41" s="11">
        <f t="shared" si="14"/>
        <v>-14.91947084</v>
      </c>
      <c r="AM41" s="65"/>
      <c r="AO41" s="58"/>
      <c r="AP41" s="65">
        <f t="shared" si="15"/>
        <v>12390.26946</v>
      </c>
      <c r="AQ41" s="65"/>
      <c r="AR41" s="65"/>
    </row>
    <row r="42" ht="15.75" customHeight="1">
      <c r="A42" s="1034" t="s">
        <v>5244</v>
      </c>
      <c r="B42" s="841">
        <v>45406.0</v>
      </c>
      <c r="C42" s="841">
        <v>45406.0</v>
      </c>
      <c r="D42" s="67" t="s">
        <v>5085</v>
      </c>
      <c r="E42" s="915"/>
      <c r="F42" s="2" t="s">
        <v>5243</v>
      </c>
      <c r="G42" s="13">
        <v>20.0</v>
      </c>
      <c r="H42" s="13" t="s">
        <v>5002</v>
      </c>
      <c r="I42" s="6">
        <v>1.62</v>
      </c>
      <c r="J42" s="58">
        <v>19.5</v>
      </c>
      <c r="K42" s="6">
        <f t="shared" si="2"/>
        <v>1.3041</v>
      </c>
      <c r="L42" s="139">
        <v>1.722</v>
      </c>
      <c r="M42" s="60">
        <v>1.636</v>
      </c>
      <c r="N42" s="191">
        <v>1.678</v>
      </c>
      <c r="O42" s="60">
        <f t="shared" si="18"/>
        <v>1.657</v>
      </c>
      <c r="P42" s="68">
        <v>88.0</v>
      </c>
      <c r="Q42" s="67">
        <v>80.79</v>
      </c>
      <c r="R42" s="65">
        <v>2315.95</v>
      </c>
      <c r="S42" s="3">
        <v>240.0</v>
      </c>
      <c r="U42" s="67">
        <v>120.0</v>
      </c>
      <c r="V42" s="67">
        <v>1.1023</v>
      </c>
      <c r="W42" s="58">
        <v>8.0</v>
      </c>
      <c r="X42" s="2">
        <v>13.6</v>
      </c>
      <c r="Y42" s="2">
        <v>55.0</v>
      </c>
      <c r="Z42" s="69">
        <f t="shared" si="16"/>
        <v>40.36</v>
      </c>
      <c r="AA42" s="70">
        <f t="shared" si="6"/>
        <v>95.36</v>
      </c>
      <c r="AB42" s="71">
        <f t="shared" si="7"/>
        <v>3159.948476</v>
      </c>
      <c r="AC42" s="71">
        <f>+(S42-T42)*V42-'data 1'!$F$4</f>
        <v>184.552</v>
      </c>
      <c r="AD42" s="71">
        <f t="shared" si="8"/>
        <v>-300.531962</v>
      </c>
      <c r="AE42" s="71">
        <f>+(Y42*V42-'data 1'!$I$21)+V42*(Z42-IF(D42="UNTUCA",IF(+((W42-3)*2.5+(X42-3)*3.1)&gt;0,+((W42-3)*1.5+(X42-3)*3.1),0),IF(+((W42-3)*1.5+(X42-3)*3.1)&gt;0,+((W42-3)*1.5+(X42-3)*3.1),0)))</f>
        <v>35.04541892</v>
      </c>
      <c r="AF42" s="71">
        <f t="shared" si="9"/>
        <v>127.1139515</v>
      </c>
      <c r="AG42" s="71">
        <f t="shared" si="10"/>
        <v>46.17940844</v>
      </c>
      <c r="AH42" s="71">
        <f t="shared" si="11"/>
        <v>62.20291243</v>
      </c>
      <c r="AI42" s="58">
        <f t="shared" si="12"/>
        <v>253.8748897</v>
      </c>
      <c r="AJ42" s="70">
        <f t="shared" si="13"/>
        <v>65.19662955</v>
      </c>
      <c r="AK42" s="11">
        <f t="shared" si="14"/>
        <v>-2.993717128</v>
      </c>
      <c r="AM42" s="65"/>
      <c r="AO42" s="58"/>
      <c r="AP42" s="65">
        <f t="shared" si="15"/>
        <v>4120.888808</v>
      </c>
      <c r="AQ42" s="65"/>
      <c r="AR42" s="65"/>
    </row>
    <row r="43" ht="15.75" customHeight="1">
      <c r="A43" s="1034" t="s">
        <v>5245</v>
      </c>
      <c r="B43" s="841">
        <v>45406.0</v>
      </c>
      <c r="C43" s="841">
        <v>45406.0</v>
      </c>
      <c r="D43" s="67" t="s">
        <v>5085</v>
      </c>
      <c r="E43" s="915"/>
      <c r="F43" s="2" t="s">
        <v>4386</v>
      </c>
      <c r="G43" s="13">
        <v>109.0</v>
      </c>
      <c r="H43" s="13" t="s">
        <v>5002</v>
      </c>
      <c r="I43" s="6">
        <v>10.17</v>
      </c>
      <c r="J43" s="58">
        <v>2.95</v>
      </c>
      <c r="K43" s="6">
        <f t="shared" si="2"/>
        <v>9.869985</v>
      </c>
      <c r="L43" s="139">
        <v>2.072</v>
      </c>
      <c r="M43" s="60">
        <v>1.973</v>
      </c>
      <c r="N43" s="60">
        <v>1.973</v>
      </c>
      <c r="O43" s="60">
        <f t="shared" si="18"/>
        <v>1.973</v>
      </c>
      <c r="P43" s="68">
        <v>90.0</v>
      </c>
      <c r="Q43" s="67">
        <v>86.69</v>
      </c>
      <c r="R43" s="65">
        <v>2315.95</v>
      </c>
      <c r="S43" s="3">
        <v>270.0</v>
      </c>
      <c r="U43" s="67">
        <v>120.0</v>
      </c>
      <c r="V43" s="67">
        <v>1.1023</v>
      </c>
      <c r="W43" s="58">
        <v>7.9</v>
      </c>
      <c r="X43" s="2">
        <v>11.5</v>
      </c>
      <c r="Y43" s="2">
        <v>26.83</v>
      </c>
      <c r="Z43" s="69">
        <f t="shared" si="16"/>
        <v>33.7</v>
      </c>
      <c r="AA43" s="70">
        <f t="shared" si="6"/>
        <v>60.53</v>
      </c>
      <c r="AB43" s="71">
        <f t="shared" si="7"/>
        <v>3933.908539</v>
      </c>
      <c r="AC43" s="71">
        <f>+(S43-T43)*V43-'data 1'!$F$4</f>
        <v>217.621</v>
      </c>
      <c r="AD43" s="71">
        <f t="shared" si="8"/>
        <v>-166.012198</v>
      </c>
      <c r="AE43" s="71">
        <f>+(Y43*V43-'data 1'!$I$21)+V43*(Z43-IF(D43="UNTUCA",IF(+((W43-3)*2.5+(X43-3)*3.1)&gt;0,+((W43-3)*1.5+(X43-3)*3.1),0),IF(+((W43-3)*1.5+(X43-3)*3.1)&gt;0,+((W43-3)*1.5+(X43-3)*3.1),0)))</f>
        <v>3.993627919</v>
      </c>
      <c r="AF43" s="71">
        <f t="shared" si="9"/>
        <v>207.7430255</v>
      </c>
      <c r="AG43" s="71">
        <f t="shared" si="10"/>
        <v>263.3454555</v>
      </c>
      <c r="AH43" s="71">
        <f t="shared" si="11"/>
        <v>607.8330576</v>
      </c>
      <c r="AI43" s="58">
        <f t="shared" si="12"/>
        <v>327.7839969</v>
      </c>
      <c r="AJ43" s="70">
        <f t="shared" si="13"/>
        <v>600.8902491</v>
      </c>
      <c r="AK43" s="11">
        <f t="shared" si="14"/>
        <v>6.942808506</v>
      </c>
      <c r="AM43" s="65"/>
      <c r="AO43" s="58"/>
      <c r="AP43" s="65">
        <f t="shared" si="15"/>
        <v>38827.61827</v>
      </c>
      <c r="AQ43" s="65"/>
      <c r="AR43" s="65"/>
    </row>
    <row r="44" ht="15.75" customHeight="1">
      <c r="A44" s="1034" t="s">
        <v>5246</v>
      </c>
      <c r="B44" s="841">
        <v>45406.0</v>
      </c>
      <c r="C44" s="841">
        <v>45406.0</v>
      </c>
      <c r="D44" s="67" t="s">
        <v>5085</v>
      </c>
      <c r="E44" s="915"/>
      <c r="F44" s="2" t="s">
        <v>4386</v>
      </c>
      <c r="G44" s="13">
        <v>55.0</v>
      </c>
      <c r="H44" s="13" t="s">
        <v>5002</v>
      </c>
      <c r="I44" s="6">
        <v>5.4</v>
      </c>
      <c r="J44" s="58">
        <v>2.4</v>
      </c>
      <c r="K44" s="6">
        <f t="shared" si="2"/>
        <v>5.2704</v>
      </c>
      <c r="L44" s="139">
        <v>0.365</v>
      </c>
      <c r="M44" s="60">
        <v>0.347</v>
      </c>
      <c r="N44" s="60">
        <v>0.347</v>
      </c>
      <c r="O44" s="60">
        <f t="shared" si="18"/>
        <v>0.347</v>
      </c>
      <c r="P44" s="68">
        <v>90.0</v>
      </c>
      <c r="Q44" s="67">
        <v>87.72</v>
      </c>
      <c r="R44" s="65">
        <v>2315.95</v>
      </c>
      <c r="S44" s="3">
        <v>110.0</v>
      </c>
      <c r="U44" s="67">
        <v>120.0</v>
      </c>
      <c r="V44" s="67">
        <v>1.1023</v>
      </c>
      <c r="W44" s="58">
        <v>7.9</v>
      </c>
      <c r="X44" s="2">
        <v>10.5</v>
      </c>
      <c r="Y44" s="2">
        <v>26.83</v>
      </c>
      <c r="Z44" s="69">
        <f t="shared" si="16"/>
        <v>30.6</v>
      </c>
      <c r="AA44" s="70">
        <f t="shared" si="6"/>
        <v>57.43</v>
      </c>
      <c r="AB44" s="71">
        <f t="shared" si="7"/>
        <v>571.3939434</v>
      </c>
      <c r="AC44" s="71">
        <f>+(S44-T44)*V44-'data 1'!$F$4</f>
        <v>41.253</v>
      </c>
      <c r="AD44" s="71">
        <f t="shared" si="8"/>
        <v>-20.14419729</v>
      </c>
      <c r="AE44" s="71">
        <f>+(Y44*V44-'data 1'!$I$21)+V44*(Z44-IF(D44="UNTUCA",IF(+((W44-3)*2.5+(X44-3)*3.1)&gt;0,+((W44-3)*1.5+(X44-3)*3.1),0),IF(+((W44-3)*1.5+(X44-3)*3.1)&gt;0,+((W44-3)*1.5+(X44-3)*3.1),0)))</f>
        <v>3.993627919</v>
      </c>
      <c r="AF44" s="71">
        <f t="shared" si="9"/>
        <v>38.22023763</v>
      </c>
      <c r="AG44" s="71">
        <f t="shared" si="10"/>
        <v>63.32266826</v>
      </c>
      <c r="AH44" s="71">
        <f t="shared" si="11"/>
        <v>57.85543113</v>
      </c>
      <c r="AI44" s="58">
        <f t="shared" si="12"/>
        <v>58.42792727</v>
      </c>
      <c r="AJ44" s="70">
        <f t="shared" si="13"/>
        <v>56.43189458</v>
      </c>
      <c r="AK44" s="11">
        <f t="shared" si="14"/>
        <v>1.423536553</v>
      </c>
      <c r="AM44" s="65"/>
      <c r="AO44" s="58"/>
      <c r="AP44" s="65">
        <f t="shared" si="15"/>
        <v>3011.474639</v>
      </c>
      <c r="AQ44" s="65"/>
      <c r="AR44" s="65"/>
    </row>
    <row r="45" ht="15.75" customHeight="1">
      <c r="A45" s="1034" t="s">
        <v>5247</v>
      </c>
      <c r="B45" s="841">
        <v>45406.0</v>
      </c>
      <c r="C45" s="841">
        <v>45406.0</v>
      </c>
      <c r="D45" s="67" t="s">
        <v>5085</v>
      </c>
      <c r="E45" s="915"/>
      <c r="F45" s="67" t="s">
        <v>4670</v>
      </c>
      <c r="G45" s="916">
        <v>35.0</v>
      </c>
      <c r="H45" s="916" t="s">
        <v>5002</v>
      </c>
      <c r="I45" s="59">
        <v>3.12</v>
      </c>
      <c r="J45" s="69">
        <v>28.0</v>
      </c>
      <c r="K45" s="59">
        <f t="shared" si="2"/>
        <v>2.2464</v>
      </c>
      <c r="L45" s="405">
        <v>2.251</v>
      </c>
      <c r="M45" s="106">
        <v>2.148</v>
      </c>
      <c r="N45" s="969">
        <v>2.3948</v>
      </c>
      <c r="O45" s="106">
        <f t="shared" si="18"/>
        <v>2.271</v>
      </c>
      <c r="P45" s="67">
        <v>90.0</v>
      </c>
      <c r="Q45" s="67">
        <v>87.38</v>
      </c>
      <c r="R45" s="70">
        <v>2315.95</v>
      </c>
      <c r="S45" s="134">
        <v>300.0</v>
      </c>
      <c r="T45" s="67"/>
      <c r="U45" s="67">
        <v>120.0</v>
      </c>
      <c r="V45" s="67">
        <v>1.1023</v>
      </c>
      <c r="W45" s="69">
        <v>8.1</v>
      </c>
      <c r="X45" s="67">
        <v>12.3</v>
      </c>
      <c r="Y45" s="67">
        <v>49.0</v>
      </c>
      <c r="Z45" s="69">
        <v>30.0</v>
      </c>
      <c r="AA45" s="70">
        <f t="shared" si="6"/>
        <v>79</v>
      </c>
      <c r="AB45" s="71">
        <f t="shared" si="7"/>
        <v>4529.683821</v>
      </c>
      <c r="AC45" s="71">
        <f>+(S45-T45)*V45-'data 1'!$F$4</f>
        <v>250.69</v>
      </c>
      <c r="AD45" s="71">
        <f t="shared" si="8"/>
        <v>-142.7575352</v>
      </c>
      <c r="AE45" s="71">
        <f>+(Y45*V45-'data 1'!$I$21)+V45*(Z45-IF(D45="UNTUCA",IF(+((W45-3)*2.5+(X45-3)*3.1)&gt;0,+((W45-3)*1.5+(X45-3)*3.1),0),IF(+((W45-3)*1.5+(X45-3)*3.1)&gt;0,+((W45-3)*1.5+(X45-3)*3.1),0)))</f>
        <v>21.28871492</v>
      </c>
      <c r="AF45" s="71">
        <f t="shared" si="9"/>
        <v>-42.30233019</v>
      </c>
      <c r="AG45" s="71">
        <f t="shared" si="10"/>
        <v>86.91884949</v>
      </c>
      <c r="AH45" s="71">
        <f t="shared" si="11"/>
        <v>151.4899056</v>
      </c>
      <c r="AI45" s="69">
        <f t="shared" si="12"/>
        <v>358.9355943</v>
      </c>
      <c r="AJ45" s="70">
        <f t="shared" si="13"/>
        <v>157.4185122</v>
      </c>
      <c r="AK45" s="53">
        <f t="shared" si="14"/>
        <v>-5.928606525</v>
      </c>
      <c r="AL45" s="67"/>
      <c r="AM45" s="70"/>
      <c r="AN45" s="67"/>
      <c r="AO45" s="69"/>
      <c r="AP45" s="65">
        <f t="shared" si="15"/>
        <v>10175.48173</v>
      </c>
      <c r="AQ45" s="70"/>
      <c r="AR45" s="70"/>
    </row>
    <row r="46" ht="15.75" customHeight="1">
      <c r="A46" s="1034" t="s">
        <v>5248</v>
      </c>
      <c r="B46" s="841">
        <v>45407.0</v>
      </c>
      <c r="C46" s="841">
        <v>45407.0</v>
      </c>
      <c r="D46" s="2" t="s">
        <v>5093</v>
      </c>
      <c r="E46" s="915"/>
      <c r="F46" s="2" t="s">
        <v>5249</v>
      </c>
      <c r="G46" s="13">
        <v>47.0</v>
      </c>
      <c r="H46" s="13" t="s">
        <v>5002</v>
      </c>
      <c r="I46" s="6">
        <v>4.46</v>
      </c>
      <c r="J46" s="58">
        <v>11.3</v>
      </c>
      <c r="K46" s="6">
        <f t="shared" si="2"/>
        <v>3.95602</v>
      </c>
      <c r="L46" s="139">
        <v>0.404</v>
      </c>
      <c r="M46" s="60">
        <v>0.368</v>
      </c>
      <c r="N46" s="973">
        <v>0.375</v>
      </c>
      <c r="O46" s="60">
        <f t="shared" si="18"/>
        <v>0.372</v>
      </c>
      <c r="P46" s="68">
        <v>90.0</v>
      </c>
      <c r="Q46" s="67">
        <v>87.64</v>
      </c>
      <c r="R46" s="65">
        <v>2322.49</v>
      </c>
      <c r="S46" s="3">
        <v>130.0</v>
      </c>
      <c r="T46" s="2">
        <v>-5.0</v>
      </c>
      <c r="U46" s="67">
        <v>120.0</v>
      </c>
      <c r="V46" s="67">
        <v>1.1023</v>
      </c>
      <c r="W46" s="58">
        <v>7.3</v>
      </c>
      <c r="X46" s="2">
        <v>8.2</v>
      </c>
      <c r="Y46" s="2">
        <v>26.83</v>
      </c>
      <c r="Z46" s="69">
        <f t="shared" ref="Z46:Z55" si="19">IF(D46="UNTUCA",IF(+((W46-3)*1.5+(X46-3)*3.1)&gt;0,+((W46-3)*1.5+(X46-3)*3.1),0),IF(+((W46-3)*1.5+(X46-3)*3.1)&gt;0,+((W46-3)*1.5+(X46-3)*3.1),0))</f>
        <v>22.57</v>
      </c>
      <c r="AA46" s="70">
        <f t="shared" si="6"/>
        <v>49.4</v>
      </c>
      <c r="AB46" s="71">
        <f t="shared" si="7"/>
        <v>609.5649026</v>
      </c>
      <c r="AC46" s="71">
        <f>+(S46-T46)*V46-'data 1'!$F$4</f>
        <v>68.8105</v>
      </c>
      <c r="AD46" s="71">
        <f t="shared" si="8"/>
        <v>-23.14766139</v>
      </c>
      <c r="AE46" s="71">
        <f>+(Y46*V46-'data 1'!$I$21)+V46*(Z46-IF(D46="UNTUCA",IF(+((W46-3)*2.5+(X46-3)*3.1)&gt;0,+((W46-3)*1.5+(X46-3)*3.1),0),IF(+((W46-3)*1.5+(X46-3)*3.1)&gt;0,+((W46-3)*1.5+(X46-3)*3.1),0)))</f>
        <v>3.993627919</v>
      </c>
      <c r="AF46" s="71">
        <f t="shared" si="9"/>
        <v>68.08729801</v>
      </c>
      <c r="AG46" s="71">
        <f t="shared" si="10"/>
        <v>117.7437645</v>
      </c>
      <c r="AH46" s="71">
        <f t="shared" si="11"/>
        <v>48.02322058</v>
      </c>
      <c r="AI46" s="58">
        <f t="shared" si="12"/>
        <v>62.0594581</v>
      </c>
      <c r="AJ46" s="70">
        <f t="shared" si="13"/>
        <v>45.41015634</v>
      </c>
      <c r="AK46" s="11">
        <f t="shared" si="14"/>
        <v>2.613064241</v>
      </c>
      <c r="AM46" s="65"/>
      <c r="AO46" s="58"/>
      <c r="AP46" s="65">
        <f t="shared" si="15"/>
        <v>2411.450946</v>
      </c>
      <c r="AQ46" s="65"/>
      <c r="AR46" s="65"/>
    </row>
    <row r="47" ht="15.75" customHeight="1">
      <c r="A47" s="1034" t="s">
        <v>5250</v>
      </c>
      <c r="B47" s="841">
        <v>45407.0</v>
      </c>
      <c r="C47" s="841">
        <v>45407.0</v>
      </c>
      <c r="D47" s="2" t="s">
        <v>5093</v>
      </c>
      <c r="E47" s="915"/>
      <c r="F47" s="2" t="s">
        <v>5249</v>
      </c>
      <c r="G47" s="13">
        <v>34.0</v>
      </c>
      <c r="H47" s="13" t="s">
        <v>5002</v>
      </c>
      <c r="I47" s="6">
        <v>3.16</v>
      </c>
      <c r="J47" s="58">
        <v>11.3</v>
      </c>
      <c r="K47" s="6">
        <f t="shared" si="2"/>
        <v>2.80292</v>
      </c>
      <c r="L47" s="139">
        <v>0.568</v>
      </c>
      <c r="M47" s="60">
        <v>0.541</v>
      </c>
      <c r="N47" s="973">
        <v>0.55</v>
      </c>
      <c r="O47" s="60">
        <f t="shared" si="18"/>
        <v>0.546</v>
      </c>
      <c r="P47" s="68">
        <v>90.0</v>
      </c>
      <c r="Q47" s="67">
        <v>87.24</v>
      </c>
      <c r="R47" s="65">
        <v>2322.49</v>
      </c>
      <c r="S47" s="3">
        <v>150.0</v>
      </c>
      <c r="T47" s="2">
        <v>-5.0</v>
      </c>
      <c r="U47" s="67">
        <v>120.0</v>
      </c>
      <c r="V47" s="67">
        <v>1.1023</v>
      </c>
      <c r="W47" s="58">
        <v>7.3</v>
      </c>
      <c r="X47" s="2">
        <v>8.3</v>
      </c>
      <c r="Y47" s="2">
        <v>26.83</v>
      </c>
      <c r="Z47" s="69">
        <f t="shared" si="19"/>
        <v>22.88</v>
      </c>
      <c r="AA47" s="70">
        <f t="shared" si="6"/>
        <v>49.71</v>
      </c>
      <c r="AB47" s="71">
        <f t="shared" si="7"/>
        <v>967.3714098</v>
      </c>
      <c r="AC47" s="71">
        <f>+(S47-T47)*V47-'data 1'!$F$4</f>
        <v>90.8565</v>
      </c>
      <c r="AD47" s="71">
        <f t="shared" si="8"/>
        <v>-38.06020914</v>
      </c>
      <c r="AE47" s="71">
        <f>+(Y47*V47-'data 1'!$I$21)+V47*(Z47-IF(D47="UNTUCA",IF(+((W47-3)*2.5+(X47-3)*3.1)&gt;0,+((W47-3)*1.5+(X47-3)*3.1),0),IF(+((W47-3)*1.5+(X47-3)*3.1)&gt;0,+((W47-3)*1.5+(X47-3)*3.1),0)))</f>
        <v>3.993627919</v>
      </c>
      <c r="AF47" s="71">
        <f t="shared" si="9"/>
        <v>46.59637056</v>
      </c>
      <c r="AG47" s="71">
        <f t="shared" si="10"/>
        <v>103.3862893</v>
      </c>
      <c r="AH47" s="71">
        <f t="shared" si="11"/>
        <v>47.61938304</v>
      </c>
      <c r="AI47" s="58">
        <f t="shared" si="12"/>
        <v>86.85368267</v>
      </c>
      <c r="AJ47" s="70">
        <f t="shared" si="13"/>
        <v>47.22314682</v>
      </c>
      <c r="AK47" s="11">
        <f t="shared" si="14"/>
        <v>0.3962362209</v>
      </c>
      <c r="AM47" s="65"/>
      <c r="AO47" s="58"/>
      <c r="AP47" s="65">
        <f t="shared" si="15"/>
        <v>2711.464672</v>
      </c>
      <c r="AQ47" s="65"/>
      <c r="AR47" s="65"/>
    </row>
    <row r="48" ht="15.75" customHeight="1">
      <c r="A48" s="1034" t="s">
        <v>5251</v>
      </c>
      <c r="B48" s="841">
        <v>45407.0</v>
      </c>
      <c r="C48" s="841">
        <v>45407.0</v>
      </c>
      <c r="D48" s="2" t="s">
        <v>5093</v>
      </c>
      <c r="E48" s="915"/>
      <c r="F48" s="2" t="s">
        <v>5249</v>
      </c>
      <c r="G48" s="13">
        <v>270.0</v>
      </c>
      <c r="H48" s="13" t="s">
        <v>5002</v>
      </c>
      <c r="I48" s="6">
        <v>21.88</v>
      </c>
      <c r="J48" s="58">
        <v>9.8</v>
      </c>
      <c r="K48" s="6">
        <f t="shared" si="2"/>
        <v>19.73576</v>
      </c>
      <c r="L48" s="139">
        <v>0.273</v>
      </c>
      <c r="M48" s="60">
        <v>0.248</v>
      </c>
      <c r="N48" s="973">
        <v>0.255</v>
      </c>
      <c r="O48" s="60">
        <f t="shared" si="18"/>
        <v>0.252</v>
      </c>
      <c r="P48" s="68">
        <v>90.0</v>
      </c>
      <c r="Q48" s="67">
        <v>87.87</v>
      </c>
      <c r="R48" s="65">
        <v>2322.49</v>
      </c>
      <c r="S48" s="3">
        <v>120.0</v>
      </c>
      <c r="T48" s="2">
        <v>-5.0</v>
      </c>
      <c r="U48" s="67">
        <v>120.0</v>
      </c>
      <c r="V48" s="67">
        <v>1.1023</v>
      </c>
      <c r="W48" s="58">
        <v>7.3</v>
      </c>
      <c r="X48" s="2">
        <v>8.2</v>
      </c>
      <c r="Y48" s="2">
        <v>26.83</v>
      </c>
      <c r="Z48" s="69">
        <f t="shared" si="19"/>
        <v>22.57</v>
      </c>
      <c r="AA48" s="70">
        <f t="shared" si="6"/>
        <v>49.4</v>
      </c>
      <c r="AB48" s="71">
        <f t="shared" si="7"/>
        <v>358.3849921</v>
      </c>
      <c r="AC48" s="71">
        <f>+(S48-T48)*V48-'data 1'!$F$4</f>
        <v>57.7875</v>
      </c>
      <c r="AD48" s="71">
        <f t="shared" si="8"/>
        <v>-14.11744171</v>
      </c>
      <c r="AE48" s="71">
        <f>+(Y48*V48-'data 1'!$I$21)+V48*(Z48-IF(D48="UNTUCA",IF(+((W48-3)*2.5+(X48-3)*3.1)&gt;0,+((W48-3)*1.5+(X48-3)*3.1),0),IF(+((W48-3)*1.5+(X48-3)*3.1)&gt;0,+((W48-3)*1.5+(X48-3)*3.1),0)))</f>
        <v>3.993627919</v>
      </c>
      <c r="AF48" s="71">
        <f t="shared" si="9"/>
        <v>44.79955229</v>
      </c>
      <c r="AG48" s="71">
        <f t="shared" si="10"/>
        <v>92.4632385</v>
      </c>
      <c r="AH48" s="71">
        <f t="shared" si="11"/>
        <v>162.3178187</v>
      </c>
      <c r="AI48" s="58">
        <f t="shared" si="12"/>
        <v>42.04627422</v>
      </c>
      <c r="AJ48" s="70">
        <f t="shared" si="13"/>
        <v>153.4638095</v>
      </c>
      <c r="AK48" s="11">
        <f t="shared" si="14"/>
        <v>8.854009232</v>
      </c>
      <c r="AM48" s="65"/>
      <c r="AO48" s="58"/>
      <c r="AP48" s="65">
        <f t="shared" si="15"/>
        <v>7073.000191</v>
      </c>
      <c r="AQ48" s="65"/>
      <c r="AR48" s="65"/>
    </row>
    <row r="49" ht="15.75" customHeight="1">
      <c r="A49" s="1034" t="s">
        <v>5252</v>
      </c>
      <c r="B49" s="841">
        <v>45416.0</v>
      </c>
      <c r="C49" s="841">
        <v>45412.0</v>
      </c>
      <c r="D49" s="67" t="s">
        <v>5085</v>
      </c>
      <c r="E49" s="915"/>
      <c r="F49" s="67" t="s">
        <v>5253</v>
      </c>
      <c r="G49" s="916">
        <v>57.0</v>
      </c>
      <c r="H49" s="916"/>
      <c r="I49" s="59">
        <v>5.43</v>
      </c>
      <c r="J49" s="69">
        <v>1.2</v>
      </c>
      <c r="K49" s="59">
        <f t="shared" si="2"/>
        <v>5.36484</v>
      </c>
      <c r="L49" s="405">
        <v>0.437</v>
      </c>
      <c r="M49" s="106">
        <v>0.41952</v>
      </c>
      <c r="N49" s="969">
        <v>0.418</v>
      </c>
      <c r="O49" s="106">
        <v>0.42</v>
      </c>
      <c r="P49" s="934">
        <v>90.0</v>
      </c>
      <c r="Q49" s="67">
        <v>88.12</v>
      </c>
      <c r="R49" s="70">
        <v>2286.21</v>
      </c>
      <c r="S49" s="134">
        <v>130.0</v>
      </c>
      <c r="T49" s="67"/>
      <c r="U49" s="67">
        <v>120.0</v>
      </c>
      <c r="V49" s="67">
        <v>1.1023</v>
      </c>
      <c r="W49" s="69">
        <v>7.9</v>
      </c>
      <c r="X49" s="69">
        <v>11.95</v>
      </c>
      <c r="Y49" s="67">
        <v>27.83</v>
      </c>
      <c r="Z49" s="69">
        <f t="shared" si="19"/>
        <v>35.095</v>
      </c>
      <c r="AA49" s="70">
        <f t="shared" si="6"/>
        <v>62.925</v>
      </c>
      <c r="AB49" s="71">
        <f t="shared" si="7"/>
        <v>689.9321935</v>
      </c>
      <c r="AC49" s="71">
        <f>+(S49-T49)*V49-'data 1'!$F$4</f>
        <v>63.299</v>
      </c>
      <c r="AD49" s="71">
        <f t="shared" si="8"/>
        <v>-19.61731881</v>
      </c>
      <c r="AE49" s="71">
        <f>+(Y49*V49-'data 1'!$I$21)+V49*(Z49-IF(D49="UNTUCA",IF(+((W49-3)*2.5+(X49-3)*3.1)&gt;0,+((W49-3)*1.5+(X49-3)*3.1),0),IF(+((W49-3)*1.5+(X49-3)*3.1)&gt;0,+((W49-3)*1.5+(X49-3)*3.1),0)))</f>
        <v>5.095927919</v>
      </c>
      <c r="AF49" s="71">
        <f t="shared" si="9"/>
        <v>35.7703981</v>
      </c>
      <c r="AG49" s="71">
        <f t="shared" si="10"/>
        <v>84.54800722</v>
      </c>
      <c r="AH49" s="71">
        <f t="shared" si="11"/>
        <v>70.83073834</v>
      </c>
      <c r="AI49" s="69">
        <f t="shared" si="12"/>
        <v>82.89641293</v>
      </c>
      <c r="AJ49" s="70">
        <f t="shared" si="13"/>
        <v>69.52766482</v>
      </c>
      <c r="AK49" s="11">
        <f t="shared" si="14"/>
        <v>1.303073515</v>
      </c>
      <c r="AL49" s="67"/>
      <c r="AM49" s="65"/>
      <c r="AO49" s="58"/>
      <c r="AP49" s="65">
        <f t="shared" si="15"/>
        <v>3701.375829</v>
      </c>
      <c r="AQ49" s="65"/>
      <c r="AR49" s="65"/>
    </row>
    <row r="50" ht="15.75" customHeight="1">
      <c r="A50" s="1034" t="s">
        <v>5254</v>
      </c>
      <c r="B50" s="841">
        <v>45416.0</v>
      </c>
      <c r="C50" s="841">
        <v>45412.0</v>
      </c>
      <c r="D50" s="67" t="s">
        <v>5085</v>
      </c>
      <c r="E50" s="915"/>
      <c r="F50" s="67" t="s">
        <v>5253</v>
      </c>
      <c r="G50" s="916">
        <v>108.0</v>
      </c>
      <c r="H50" s="916"/>
      <c r="I50" s="59">
        <v>10.13</v>
      </c>
      <c r="J50" s="69">
        <v>1.1</v>
      </c>
      <c r="K50" s="59">
        <f t="shared" si="2"/>
        <v>10.01857</v>
      </c>
      <c r="L50" s="405">
        <v>0.49000000000000005</v>
      </c>
      <c r="M50" s="106">
        <v>0.45955</v>
      </c>
      <c r="N50" s="969">
        <v>0.49</v>
      </c>
      <c r="O50" s="106">
        <v>0.475</v>
      </c>
      <c r="P50" s="934">
        <v>90.0</v>
      </c>
      <c r="Q50" s="67">
        <v>88.37</v>
      </c>
      <c r="R50" s="70">
        <v>2286.21</v>
      </c>
      <c r="S50" s="134">
        <v>130.0</v>
      </c>
      <c r="T50" s="67"/>
      <c r="U50" s="67">
        <v>120.0</v>
      </c>
      <c r="V50" s="67">
        <v>1.1023</v>
      </c>
      <c r="W50" s="69">
        <v>7.9</v>
      </c>
      <c r="X50" s="69">
        <v>11.9</v>
      </c>
      <c r="Y50" s="67">
        <v>27.83</v>
      </c>
      <c r="Z50" s="69">
        <f t="shared" si="19"/>
        <v>34.94</v>
      </c>
      <c r="AA50" s="70">
        <f t="shared" si="6"/>
        <v>62.77</v>
      </c>
      <c r="AB50" s="71">
        <f t="shared" si="7"/>
        <v>808.2998075</v>
      </c>
      <c r="AC50" s="71">
        <f>+(S50-T50)*V50-'data 1'!$F$4</f>
        <v>63.299</v>
      </c>
      <c r="AD50" s="71">
        <f t="shared" si="8"/>
        <v>-19.07146469</v>
      </c>
      <c r="AE50" s="71">
        <f>+(Y50*V50-'data 1'!$I$21)+V50*(Z50-IF(D50="UNTUCA",IF(+((W50-3)*2.5+(X50-3)*3.1)&gt;0,+((W50-3)*1.5+(X50-3)*3.1),0),IF(+((W50-3)*1.5+(X50-3)*3.1)&gt;0,+((W50-3)*1.5+(X50-3)*3.1),0)))</f>
        <v>5.095927919</v>
      </c>
      <c r="AF50" s="71">
        <f t="shared" si="9"/>
        <v>31.65165897</v>
      </c>
      <c r="AG50" s="71">
        <f t="shared" si="10"/>
        <v>80.9751222</v>
      </c>
      <c r="AH50" s="71">
        <f t="shared" si="11"/>
        <v>148.7358779</v>
      </c>
      <c r="AI50" s="69">
        <f t="shared" si="12"/>
        <v>93.2139148</v>
      </c>
      <c r="AJ50" s="70">
        <f t="shared" si="13"/>
        <v>146.8422145</v>
      </c>
      <c r="AK50" s="11">
        <f t="shared" si="14"/>
        <v>1.893663458</v>
      </c>
      <c r="AL50" s="67"/>
      <c r="AM50" s="65"/>
      <c r="AO50" s="58"/>
      <c r="AP50" s="65">
        <f t="shared" si="15"/>
        <v>8098.008202</v>
      </c>
      <c r="AQ50" s="65"/>
      <c r="AR50" s="65"/>
    </row>
    <row r="51" ht="15.75" customHeight="1">
      <c r="A51" s="1034" t="s">
        <v>5255</v>
      </c>
      <c r="B51" s="841">
        <v>45418.0</v>
      </c>
      <c r="C51" s="841">
        <v>45412.0</v>
      </c>
      <c r="D51" s="67" t="s">
        <v>4466</v>
      </c>
      <c r="E51" s="915"/>
      <c r="F51" s="67" t="s">
        <v>5256</v>
      </c>
      <c r="G51" s="916">
        <v>16.0</v>
      </c>
      <c r="H51" s="916"/>
      <c r="I51" s="59">
        <v>1.45</v>
      </c>
      <c r="J51" s="69">
        <v>1.5</v>
      </c>
      <c r="K51" s="59">
        <f t="shared" si="2"/>
        <v>1.42825</v>
      </c>
      <c r="L51" s="405">
        <v>0.143</v>
      </c>
      <c r="M51" s="968">
        <v>0.143</v>
      </c>
      <c r="N51" s="968">
        <v>0.143</v>
      </c>
      <c r="O51" s="968">
        <v>0.143</v>
      </c>
      <c r="P51" s="934">
        <v>85.0</v>
      </c>
      <c r="Q51" s="67">
        <v>88.66</v>
      </c>
      <c r="R51" s="70">
        <v>2286.21</v>
      </c>
      <c r="S51" s="134">
        <v>95.0</v>
      </c>
      <c r="T51" s="67"/>
      <c r="U51" s="67">
        <v>120.0</v>
      </c>
      <c r="V51" s="67">
        <v>1.1023</v>
      </c>
      <c r="W51" s="69">
        <v>7.8</v>
      </c>
      <c r="X51" s="69">
        <v>12.8</v>
      </c>
      <c r="Y51" s="67">
        <v>27.83</v>
      </c>
      <c r="Z51" s="69">
        <f t="shared" si="19"/>
        <v>37.58</v>
      </c>
      <c r="AA51" s="70">
        <f t="shared" si="6"/>
        <v>65.41</v>
      </c>
      <c r="AB51" s="71">
        <f t="shared" si="7"/>
        <v>113.4187615</v>
      </c>
      <c r="AC51" s="71">
        <f>+(S51-T51)*V51-'data 1'!$F$4</f>
        <v>24.7185</v>
      </c>
      <c r="AD51" s="71">
        <f t="shared" si="8"/>
        <v>12.49733716</v>
      </c>
      <c r="AE51" s="71">
        <f>+(Y51*V51-'data 1'!$I$21)+V51*(Z51-IF(D51="UNTUCA",IF(+((W51-3)*2.5+(X51-3)*3.1)&gt;0,+((W51-3)*1.5+(X51-3)*3.1),0),IF(+((W51-3)*1.5+(X51-3)*3.1)&gt;0,+((W51-3)*1.5+(X51-3)*3.1),0)))</f>
        <v>5.095927919</v>
      </c>
      <c r="AF51" s="71">
        <f t="shared" si="9"/>
        <v>0</v>
      </c>
      <c r="AG51" s="71">
        <f t="shared" si="10"/>
        <v>42.31176508</v>
      </c>
      <c r="AH51" s="71">
        <f t="shared" si="11"/>
        <v>6.208362492</v>
      </c>
      <c r="AI51" s="69">
        <f t="shared" si="12"/>
        <v>27.29251623</v>
      </c>
      <c r="AJ51" s="70">
        <f t="shared" si="13"/>
        <v>5.952073221</v>
      </c>
      <c r="AK51" s="53">
        <f t="shared" si="14"/>
        <v>0.2562892705</v>
      </c>
      <c r="AL51" s="67"/>
      <c r="AM51" s="70"/>
      <c r="AN51" s="67"/>
      <c r="AO51" s="69"/>
      <c r="AP51" s="65">
        <f t="shared" si="15"/>
        <v>161.9903462</v>
      </c>
      <c r="AQ51" s="70"/>
      <c r="AR51" s="70"/>
    </row>
    <row r="52" ht="15.75" customHeight="1">
      <c r="A52" s="1034" t="s">
        <v>5257</v>
      </c>
      <c r="B52" s="841"/>
      <c r="C52" s="841">
        <v>45412.0</v>
      </c>
      <c r="D52" s="67" t="s">
        <v>5085</v>
      </c>
      <c r="E52" s="915"/>
      <c r="F52" s="67" t="s">
        <v>5258</v>
      </c>
      <c r="G52" s="916">
        <v>50.0</v>
      </c>
      <c r="H52" s="916"/>
      <c r="I52" s="59">
        <v>4.76</v>
      </c>
      <c r="J52" s="69">
        <v>1.3</v>
      </c>
      <c r="K52" s="59">
        <f t="shared" si="2"/>
        <v>4.69812</v>
      </c>
      <c r="L52" s="405">
        <v>0.34600000000000003</v>
      </c>
      <c r="M52" s="106">
        <v>0.3287</v>
      </c>
      <c r="N52" s="968">
        <v>0.329</v>
      </c>
      <c r="O52" s="106">
        <f t="shared" ref="O52:O60" si="20">+ROUND((M52+N52)/2,3)</f>
        <v>0.329</v>
      </c>
      <c r="P52" s="934">
        <v>90.0</v>
      </c>
      <c r="Q52" s="67">
        <v>88.54</v>
      </c>
      <c r="R52" s="70">
        <v>2286.21</v>
      </c>
      <c r="S52" s="134">
        <v>110.0</v>
      </c>
      <c r="T52" s="67"/>
      <c r="U52" s="67">
        <v>120.0</v>
      </c>
      <c r="V52" s="67">
        <v>1.1023</v>
      </c>
      <c r="W52" s="69">
        <v>7.9</v>
      </c>
      <c r="X52" s="69">
        <v>11.5</v>
      </c>
      <c r="Y52" s="67">
        <v>27.83</v>
      </c>
      <c r="Z52" s="69">
        <f t="shared" si="19"/>
        <v>33.7</v>
      </c>
      <c r="AA52" s="70">
        <f t="shared" si="6"/>
        <v>61.53</v>
      </c>
      <c r="AB52" s="71">
        <f t="shared" si="7"/>
        <v>517.9539941</v>
      </c>
      <c r="AC52" s="71">
        <f>+(S52-T52)*V52-'data 1'!$F$4</f>
        <v>41.253</v>
      </c>
      <c r="AD52" s="71">
        <f t="shared" si="8"/>
        <v>-12.06227758</v>
      </c>
      <c r="AE52" s="71">
        <f>+(Y52*V52-'data 1'!$I$21)+V52*(Z52-IF(D52="UNTUCA",IF(+((W52-3)*2.5+(X52-3)*3.1)&gt;0,+((W52-3)*1.5+(X52-3)*3.1),0),IF(+((W52-3)*1.5+(X52-3)*3.1)&gt;0,+((W52-3)*1.5+(X52-3)*3.1),0)))</f>
        <v>5.095927919</v>
      </c>
      <c r="AF52" s="71">
        <f t="shared" si="9"/>
        <v>35.94088797</v>
      </c>
      <c r="AG52" s="71">
        <f t="shared" si="10"/>
        <v>70.22753831</v>
      </c>
      <c r="AH52" s="71">
        <f t="shared" si="11"/>
        <v>49.34564058</v>
      </c>
      <c r="AI52" s="69">
        <f t="shared" si="12"/>
        <v>65.94705853</v>
      </c>
      <c r="AJ52" s="70">
        <f t="shared" si="13"/>
        <v>47.69486041</v>
      </c>
      <c r="AK52" s="11">
        <f t="shared" si="14"/>
        <v>1.650780167</v>
      </c>
      <c r="AL52" s="67"/>
      <c r="AM52" s="65"/>
      <c r="AO52" s="58"/>
      <c r="AP52" s="65">
        <f t="shared" si="15"/>
        <v>2433.410019</v>
      </c>
      <c r="AQ52" s="65"/>
      <c r="AR52" s="65"/>
    </row>
    <row r="53" ht="15.75" customHeight="1">
      <c r="A53" s="1034" t="s">
        <v>5259</v>
      </c>
      <c r="B53" s="841"/>
      <c r="C53" s="841">
        <v>45412.0</v>
      </c>
      <c r="D53" s="67" t="s">
        <v>5085</v>
      </c>
      <c r="E53" s="915"/>
      <c r="F53" s="67" t="s">
        <v>4707</v>
      </c>
      <c r="G53" s="916">
        <v>20.0</v>
      </c>
      <c r="H53" s="916"/>
      <c r="I53" s="59">
        <v>1.81</v>
      </c>
      <c r="J53" s="69">
        <v>1.6</v>
      </c>
      <c r="K53" s="59">
        <f t="shared" si="2"/>
        <v>1.78104</v>
      </c>
      <c r="L53" s="405">
        <v>0.203</v>
      </c>
      <c r="M53" s="106">
        <v>0.19285</v>
      </c>
      <c r="N53" s="968">
        <v>0.193</v>
      </c>
      <c r="O53" s="106">
        <f t="shared" si="20"/>
        <v>0.193</v>
      </c>
      <c r="P53" s="934">
        <v>88.0</v>
      </c>
      <c r="Q53" s="67">
        <v>88.29</v>
      </c>
      <c r="R53" s="70">
        <v>2286.21</v>
      </c>
      <c r="S53" s="134">
        <v>95.0</v>
      </c>
      <c r="T53" s="67"/>
      <c r="U53" s="67">
        <v>120.0</v>
      </c>
      <c r="V53" s="67">
        <v>1.1023</v>
      </c>
      <c r="W53" s="69">
        <v>7.8</v>
      </c>
      <c r="X53" s="69">
        <v>11.5</v>
      </c>
      <c r="Y53" s="67">
        <v>27.83</v>
      </c>
      <c r="Z53" s="69">
        <f t="shared" si="19"/>
        <v>33.55</v>
      </c>
      <c r="AA53" s="70">
        <f t="shared" si="6"/>
        <v>61.38</v>
      </c>
      <c r="AB53" s="71">
        <f t="shared" si="7"/>
        <v>233.168534</v>
      </c>
      <c r="AC53" s="71">
        <f>+(S53-T53)*V53-'data 1'!$F$4</f>
        <v>24.7185</v>
      </c>
      <c r="AD53" s="71">
        <f t="shared" si="8"/>
        <v>1.40570568</v>
      </c>
      <c r="AE53" s="71">
        <f>+(Y53*V53-'data 1'!$I$21)+V53*(Z53-IF(D53="UNTUCA",IF(+((W53-3)*2.5+(X53-3)*3.1)&gt;0,+((W53-3)*1.5+(X53-3)*3.1),0),IF(+((W53-3)*1.5+(X53-3)*3.1)&gt;0,+((W53-3)*1.5+(X53-3)*3.1),0)))</f>
        <v>5.095927919</v>
      </c>
      <c r="AF53" s="71">
        <f t="shared" si="9"/>
        <v>21.08200348</v>
      </c>
      <c r="AG53" s="71">
        <f t="shared" si="10"/>
        <v>52.30213707</v>
      </c>
      <c r="AH53" s="71">
        <f t="shared" si="11"/>
        <v>10.94435816</v>
      </c>
      <c r="AI53" s="69">
        <f t="shared" si="12"/>
        <v>38.58223372</v>
      </c>
      <c r="AJ53" s="70">
        <f t="shared" si="13"/>
        <v>10.3710499</v>
      </c>
      <c r="AK53" s="11">
        <f t="shared" si="14"/>
        <v>0.5733082676</v>
      </c>
      <c r="AL53" s="67"/>
      <c r="AM53" s="65"/>
      <c r="AO53" s="58"/>
      <c r="AP53" s="65">
        <f t="shared" si="15"/>
        <v>415.2824858</v>
      </c>
      <c r="AQ53" s="65"/>
      <c r="AR53" s="65"/>
    </row>
    <row r="54" ht="15.75" customHeight="1">
      <c r="A54" s="1034" t="s">
        <v>5260</v>
      </c>
      <c r="B54" s="841"/>
      <c r="C54" s="841">
        <v>45412.0</v>
      </c>
      <c r="D54" s="2" t="s">
        <v>5085</v>
      </c>
      <c r="E54" s="915"/>
      <c r="F54" s="2" t="s">
        <v>5261</v>
      </c>
      <c r="G54" s="13">
        <v>28.0</v>
      </c>
      <c r="H54" s="13"/>
      <c r="I54" s="6">
        <v>2.5</v>
      </c>
      <c r="J54" s="58">
        <v>1.5</v>
      </c>
      <c r="K54" s="6">
        <f t="shared" si="2"/>
        <v>2.4625</v>
      </c>
      <c r="L54" s="139">
        <v>0.239</v>
      </c>
      <c r="M54" s="60">
        <v>0.23179999999999998</v>
      </c>
      <c r="N54" s="968">
        <v>0.238</v>
      </c>
      <c r="O54" s="60">
        <f t="shared" si="20"/>
        <v>0.235</v>
      </c>
      <c r="P54" s="994">
        <v>88.0</v>
      </c>
      <c r="Q54" s="69">
        <v>88.4</v>
      </c>
      <c r="R54" s="65">
        <v>2286.21</v>
      </c>
      <c r="S54" s="3">
        <v>95.0</v>
      </c>
      <c r="U54" s="67">
        <v>120.0</v>
      </c>
      <c r="V54" s="67">
        <v>1.1023</v>
      </c>
      <c r="W54" s="58">
        <v>7.9</v>
      </c>
      <c r="X54" s="58">
        <v>11.6</v>
      </c>
      <c r="Y54" s="2">
        <v>27.83</v>
      </c>
      <c r="Z54" s="69">
        <f t="shared" si="19"/>
        <v>34.01</v>
      </c>
      <c r="AA54" s="70">
        <f t="shared" si="6"/>
        <v>61.84</v>
      </c>
      <c r="AB54" s="71">
        <f t="shared" si="7"/>
        <v>320.9150549</v>
      </c>
      <c r="AC54" s="71">
        <f>+(S54-T54)*V54-'data 1'!$F$4</f>
        <v>24.7185</v>
      </c>
      <c r="AD54" s="71">
        <f t="shared" si="8"/>
        <v>2.282749499</v>
      </c>
      <c r="AE54" s="71">
        <f>+(Y54*V54-'data 1'!$I$21)+V54*(Z54-IF(D54="UNTUCA",IF(+((W54-3)*2.5+(X54-3)*3.1)&gt;0,+((W54-3)*1.5+(X54-3)*3.1),0),IF(+((W54-3)*1.5+(X54-3)*3.1)&gt;0,+((W54-3)*1.5+(X54-3)*3.1),0)))</f>
        <v>5.095927919</v>
      </c>
      <c r="AF54" s="71">
        <f t="shared" si="9"/>
        <v>8.443307769</v>
      </c>
      <c r="AG54" s="71">
        <f t="shared" si="10"/>
        <v>40.54048519</v>
      </c>
      <c r="AH54" s="71">
        <f t="shared" si="11"/>
        <v>17.83756113</v>
      </c>
      <c r="AI54" s="58">
        <f t="shared" si="12"/>
        <v>45.48099725</v>
      </c>
      <c r="AJ54" s="70">
        <f t="shared" si="13"/>
        <v>17.45966244</v>
      </c>
      <c r="AK54" s="11">
        <f t="shared" si="14"/>
        <v>0.3778986899</v>
      </c>
      <c r="AM54" s="65"/>
      <c r="AO54" s="58"/>
      <c r="AP54" s="65">
        <f t="shared" si="15"/>
        <v>790.2533228</v>
      </c>
      <c r="AQ54" s="65"/>
      <c r="AR54" s="65"/>
    </row>
    <row r="55" ht="15.75" customHeight="1">
      <c r="A55" s="1034" t="s">
        <v>5262</v>
      </c>
      <c r="B55" s="841">
        <v>45418.0</v>
      </c>
      <c r="C55" s="841">
        <v>45412.0</v>
      </c>
      <c r="D55" s="2" t="s">
        <v>5085</v>
      </c>
      <c r="E55" s="915"/>
      <c r="F55" s="2" t="s">
        <v>5263</v>
      </c>
      <c r="G55" s="13">
        <v>11.0</v>
      </c>
      <c r="H55" s="13"/>
      <c r="I55" s="6">
        <v>0.86</v>
      </c>
      <c r="J55" s="58">
        <v>9.1</v>
      </c>
      <c r="K55" s="6">
        <f t="shared" si="2"/>
        <v>0.78174</v>
      </c>
      <c r="L55" s="139">
        <v>0.975</v>
      </c>
      <c r="M55" s="60">
        <v>0.934</v>
      </c>
      <c r="N55" s="62">
        <v>0.934</v>
      </c>
      <c r="O55" s="60">
        <f t="shared" si="20"/>
        <v>0.934</v>
      </c>
      <c r="P55" s="994">
        <v>87.5</v>
      </c>
      <c r="Q55" s="67">
        <v>82.76</v>
      </c>
      <c r="R55" s="65">
        <v>2286.21</v>
      </c>
      <c r="S55" s="3">
        <v>170.0</v>
      </c>
      <c r="U55" s="67">
        <v>120.0</v>
      </c>
      <c r="V55" s="67">
        <v>1.1023</v>
      </c>
      <c r="W55" s="58">
        <v>7.8</v>
      </c>
      <c r="X55" s="58">
        <v>12.9</v>
      </c>
      <c r="Y55" s="2">
        <v>49.0</v>
      </c>
      <c r="Z55" s="69">
        <f t="shared" si="19"/>
        <v>37.89</v>
      </c>
      <c r="AA55" s="70">
        <f t="shared" si="6"/>
        <v>86.89</v>
      </c>
      <c r="AB55" s="71">
        <f t="shared" si="7"/>
        <v>1668.270559</v>
      </c>
      <c r="AC55" s="71">
        <f>+(S55-T55)*V55-'data 1'!$F$4</f>
        <v>107.391</v>
      </c>
      <c r="AD55" s="71">
        <f t="shared" si="8"/>
        <v>-110.3527909</v>
      </c>
      <c r="AE55" s="71">
        <f>+(Y55*V55-'data 1'!$I$21)+V55*(Z55-IF(D55="UNTUCA",IF(+((W55-3)*2.5+(X55-3)*3.1)&gt;0,+((W55-3)*1.5+(X55-3)*3.1),0),IF(+((W55-3)*1.5+(X55-3)*3.1)&gt;0,+((W55-3)*1.5+(X55-3)*3.1),0)))</f>
        <v>28.43161892</v>
      </c>
      <c r="AF55" s="71">
        <f t="shared" si="9"/>
        <v>81.02232519</v>
      </c>
      <c r="AG55" s="71">
        <f t="shared" si="10"/>
        <v>106.4921532</v>
      </c>
      <c r="AH55" s="71">
        <f t="shared" si="11"/>
        <v>21.62701101</v>
      </c>
      <c r="AI55" s="58">
        <f t="shared" si="12"/>
        <v>173.7020366</v>
      </c>
      <c r="AJ55" s="70">
        <f t="shared" si="13"/>
        <v>21.90414638</v>
      </c>
      <c r="AK55" s="11">
        <f t="shared" si="14"/>
        <v>-0.2771353607</v>
      </c>
      <c r="AM55" s="65"/>
      <c r="AO55" s="58"/>
      <c r="AP55" s="65">
        <f t="shared" si="15"/>
        <v>1304.153826</v>
      </c>
      <c r="AQ55" s="65"/>
      <c r="AR55" s="65"/>
    </row>
    <row r="56" ht="15.75" customHeight="1">
      <c r="A56" s="1034" t="s">
        <v>5264</v>
      </c>
      <c r="B56" s="841">
        <v>45418.0</v>
      </c>
      <c r="C56" s="841">
        <v>45412.0</v>
      </c>
      <c r="D56" s="2" t="s">
        <v>5085</v>
      </c>
      <c r="E56" s="915"/>
      <c r="F56" s="2" t="s">
        <v>5265</v>
      </c>
      <c r="G56" s="13">
        <v>20.0</v>
      </c>
      <c r="H56" s="13"/>
      <c r="I56" s="6">
        <v>1.74</v>
      </c>
      <c r="J56" s="58">
        <v>24.0</v>
      </c>
      <c r="K56" s="6">
        <f t="shared" si="2"/>
        <v>1.3224</v>
      </c>
      <c r="L56" s="139">
        <v>1.176</v>
      </c>
      <c r="M56" s="60">
        <v>1.1172</v>
      </c>
      <c r="N56" s="62">
        <v>1.1172</v>
      </c>
      <c r="O56" s="60">
        <f t="shared" si="20"/>
        <v>1.117</v>
      </c>
      <c r="P56" s="994">
        <v>88.0</v>
      </c>
      <c r="Q56" s="67">
        <v>82.44</v>
      </c>
      <c r="R56" s="65">
        <v>2286.21</v>
      </c>
      <c r="S56" s="3">
        <v>190.0</v>
      </c>
      <c r="U56" s="67">
        <v>140.0</v>
      </c>
      <c r="V56" s="67">
        <v>1.1023</v>
      </c>
      <c r="W56" s="58">
        <v>7.8</v>
      </c>
      <c r="X56" s="58">
        <v>12.9</v>
      </c>
      <c r="Y56" s="2">
        <v>27.83</v>
      </c>
      <c r="Z56" s="69">
        <f>IF(D56="UNTUCA",IF(+((W56-3)*1.5+(X56-3)*3.1)&gt;0,+((W56-3)*1.5+(X56-3)*3.1),0),IF(+((W56-3)*1.5+(X56-3)*3.1)&gt;0,+((W56-3)*1.5+(X56-3)*3.1),0))+5</f>
        <v>42.89</v>
      </c>
      <c r="AA56" s="70">
        <f t="shared" si="6"/>
        <v>70.72</v>
      </c>
      <c r="AB56" s="71">
        <f t="shared" si="7"/>
        <v>2038.062952</v>
      </c>
      <c r="AC56" s="71">
        <f>+(S56-T56)*V56-'data 1'!$F$4</f>
        <v>129.437</v>
      </c>
      <c r="AD56" s="71">
        <f t="shared" si="8"/>
        <v>-154.6871133</v>
      </c>
      <c r="AE56" s="71">
        <f>+(Y56*V56-'data 1'!$I$21)+V56*(Z56-IF(D56="UNTUCA",IF(+((W56-3)*2.5+(X56-3)*3.1)&gt;0,+((W56-3)*1.5+(X56-3)*3.1),0),IF(+((W56-3)*1.5+(X56-3)*3.1)&gt;0,+((W56-3)*1.5+(X56-3)*3.1),0)))</f>
        <v>10.60742792</v>
      </c>
      <c r="AF56" s="71">
        <f t="shared" si="9"/>
        <v>115.0699743</v>
      </c>
      <c r="AG56" s="71">
        <f t="shared" si="10"/>
        <v>100.427289</v>
      </c>
      <c r="AH56" s="71">
        <f t="shared" si="11"/>
        <v>43.95590385</v>
      </c>
      <c r="AI56" s="58">
        <f t="shared" si="12"/>
        <v>230.0747559</v>
      </c>
      <c r="AJ56" s="70">
        <f t="shared" si="13"/>
        <v>44.56642065</v>
      </c>
      <c r="AK56" s="11">
        <f t="shared" si="14"/>
        <v>-0.6105168001</v>
      </c>
      <c r="AM56" s="65"/>
      <c r="AO56" s="58"/>
      <c r="AP56" s="65">
        <f t="shared" si="15"/>
        <v>2695.134448</v>
      </c>
      <c r="AQ56" s="65"/>
      <c r="AR56" s="65"/>
    </row>
    <row r="57" ht="15.75" customHeight="1">
      <c r="A57" s="202" t="s">
        <v>5266</v>
      </c>
      <c r="B57" s="932">
        <v>45418.0</v>
      </c>
      <c r="C57" s="932">
        <v>45413.0</v>
      </c>
      <c r="D57" s="68" t="s">
        <v>5085</v>
      </c>
      <c r="E57" s="972"/>
      <c r="F57" s="68" t="s">
        <v>5058</v>
      </c>
      <c r="G57" s="19">
        <v>100.0</v>
      </c>
      <c r="H57" s="19"/>
      <c r="I57" s="145">
        <v>9.16</v>
      </c>
      <c r="J57" s="130">
        <v>1.2</v>
      </c>
      <c r="K57" s="145">
        <f t="shared" si="2"/>
        <v>9.05008</v>
      </c>
      <c r="L57" s="973">
        <v>1.097</v>
      </c>
      <c r="M57" s="61">
        <v>1.0364499999999999</v>
      </c>
      <c r="N57" s="114">
        <v>1.1436</v>
      </c>
      <c r="O57" s="61">
        <f t="shared" si="20"/>
        <v>1.09</v>
      </c>
      <c r="P57" s="976">
        <v>88.0</v>
      </c>
      <c r="Q57" s="68">
        <v>88.45</v>
      </c>
      <c r="R57" s="433">
        <v>2305.56</v>
      </c>
      <c r="S57" s="143">
        <v>180.0</v>
      </c>
      <c r="T57" s="68"/>
      <c r="U57" s="68">
        <v>120.0</v>
      </c>
      <c r="V57" s="68">
        <v>1.1023</v>
      </c>
      <c r="W57" s="130">
        <v>8.0</v>
      </c>
      <c r="X57" s="130">
        <v>11.4</v>
      </c>
      <c r="Y57" s="68">
        <v>27.83</v>
      </c>
      <c r="Z57" s="130">
        <f t="shared" ref="Z57:Z60" si="21">IF(D57="UNTUCA",IF(+((W57-3)*1.5+(X57-3)*3.1)&gt;0,+((W57-3)*1.5+(X57-3)*3.1),0),IF(+((W57-3)*1.5+(X57-3)*3.1)&gt;0,+((W57-3)*1.5+(X57-3)*3.1),0))</f>
        <v>33.54</v>
      </c>
      <c r="AA57" s="433">
        <f t="shared" si="6"/>
        <v>61.37</v>
      </c>
      <c r="AB57" s="108">
        <f t="shared" si="7"/>
        <v>2044.787611</v>
      </c>
      <c r="AC57" s="108">
        <f>+(S57-T57)*V57-'data 1'!$F$4</f>
        <v>118.414</v>
      </c>
      <c r="AD57" s="108">
        <f t="shared" si="8"/>
        <v>11.89273337</v>
      </c>
      <c r="AE57" s="108">
        <f>+(Y57*V57-'data 1'!$I$21)+V57*(Z57-IF(D57="UNTUCA",IF(+((W57-3)*2.5+(X57-3)*3.1)&gt;0,+((W57-3)*1.5+(X57-3)*3.1),0),IF(+((W57-3)*1.5+(X57-3)*3.1)&gt;0,+((W57-3)*1.5+(X57-3)*3.1),0)))</f>
        <v>5.095927919</v>
      </c>
      <c r="AF57" s="108">
        <f t="shared" si="9"/>
        <v>14.91620757</v>
      </c>
      <c r="AG57" s="108">
        <f t="shared" si="10"/>
        <v>150.3188689</v>
      </c>
      <c r="AH57" s="108">
        <f t="shared" si="11"/>
        <v>301.0689392</v>
      </c>
      <c r="AI57" s="130">
        <f t="shared" si="12"/>
        <v>188.178005</v>
      </c>
      <c r="AJ57" s="433">
        <f t="shared" si="13"/>
        <v>297.6258561</v>
      </c>
      <c r="AK57" s="933">
        <f t="shared" si="14"/>
        <v>3.443083103</v>
      </c>
      <c r="AL57" s="68" t="s">
        <v>5267</v>
      </c>
      <c r="AM57" s="433"/>
      <c r="AN57" s="68"/>
      <c r="AO57" s="130"/>
      <c r="AP57" s="65">
        <f t="shared" si="15"/>
        <v>18505.49146</v>
      </c>
      <c r="AQ57" s="433"/>
      <c r="AR57" s="433"/>
    </row>
    <row r="58" ht="15.75" customHeight="1">
      <c r="A58" s="1034" t="s">
        <v>5268</v>
      </c>
      <c r="B58" s="841"/>
      <c r="C58" s="841">
        <v>45413.0</v>
      </c>
      <c r="D58" s="2" t="s">
        <v>5085</v>
      </c>
      <c r="E58" s="915"/>
      <c r="F58" s="2" t="s">
        <v>5269</v>
      </c>
      <c r="G58" s="13">
        <v>16.0</v>
      </c>
      <c r="H58" s="13"/>
      <c r="I58" s="6">
        <v>1.57</v>
      </c>
      <c r="J58" s="58">
        <v>1.1</v>
      </c>
      <c r="K58" s="6">
        <f t="shared" si="2"/>
        <v>1.55273</v>
      </c>
      <c r="L58" s="139">
        <v>0.544</v>
      </c>
      <c r="M58" s="60">
        <v>0.5168</v>
      </c>
      <c r="N58" s="62">
        <v>0.5168</v>
      </c>
      <c r="O58" s="60">
        <f t="shared" si="20"/>
        <v>0.517</v>
      </c>
      <c r="P58" s="994">
        <v>90.0</v>
      </c>
      <c r="Q58" s="67">
        <v>88.32</v>
      </c>
      <c r="R58" s="65">
        <v>2305.56</v>
      </c>
      <c r="S58" s="3">
        <v>130.0</v>
      </c>
      <c r="U58" s="67">
        <v>120.0</v>
      </c>
      <c r="V58" s="67">
        <v>1.1023</v>
      </c>
      <c r="W58" s="58">
        <v>7.9</v>
      </c>
      <c r="X58" s="58">
        <v>11.8</v>
      </c>
      <c r="Y58" s="2">
        <v>27.83</v>
      </c>
      <c r="Z58" s="69">
        <f t="shared" si="21"/>
        <v>34.63</v>
      </c>
      <c r="AA58" s="70">
        <f t="shared" si="6"/>
        <v>62.46</v>
      </c>
      <c r="AB58" s="71">
        <f t="shared" si="7"/>
        <v>908.8254813</v>
      </c>
      <c r="AC58" s="71">
        <f>+(S58-T58)*V58-'data 1'!$F$4</f>
        <v>63.299</v>
      </c>
      <c r="AD58" s="71">
        <f t="shared" si="8"/>
        <v>-22.01763777</v>
      </c>
      <c r="AE58" s="71">
        <f>+(Y58*V58-'data 1'!$I$21)+V58*(Z58-IF(D58="UNTUCA",IF(+((W58-3)*2.5+(X58-3)*3.1)&gt;0,+((W58-3)*1.5+(X58-3)*3.1),0),IF(+((W58-3)*1.5+(X58-3)*3.1)&gt;0,+((W58-3)*1.5+(X58-3)*3.1),0)))</f>
        <v>5.095927919</v>
      </c>
      <c r="AF58" s="71">
        <f t="shared" si="9"/>
        <v>57.44938258</v>
      </c>
      <c r="AG58" s="71">
        <f t="shared" si="10"/>
        <v>103.8266727</v>
      </c>
      <c r="AH58" s="71">
        <f t="shared" si="11"/>
        <v>25.57778741</v>
      </c>
      <c r="AI58" s="58">
        <f t="shared" si="12"/>
        <v>93.1799247</v>
      </c>
      <c r="AJ58" s="70">
        <f t="shared" si="13"/>
        <v>24.77068781</v>
      </c>
      <c r="AK58" s="11">
        <f t="shared" si="14"/>
        <v>0.8070995997</v>
      </c>
      <c r="AM58" s="65"/>
      <c r="AO58" s="58"/>
      <c r="AP58" s="65">
        <f t="shared" si="15"/>
        <v>1411.16059</v>
      </c>
      <c r="AQ58" s="65"/>
      <c r="AR58" s="65"/>
    </row>
    <row r="59" ht="15.75" customHeight="1">
      <c r="A59" s="1034" t="s">
        <v>5270</v>
      </c>
      <c r="B59" s="841">
        <v>45417.0</v>
      </c>
      <c r="C59" s="841">
        <v>45413.0</v>
      </c>
      <c r="D59" s="2" t="s">
        <v>5085</v>
      </c>
      <c r="E59" s="915"/>
      <c r="F59" s="2" t="s">
        <v>5269</v>
      </c>
      <c r="G59" s="13">
        <v>16.0</v>
      </c>
      <c r="H59" s="13"/>
      <c r="I59" s="6">
        <v>1.68</v>
      </c>
      <c r="J59" s="58">
        <v>1.0</v>
      </c>
      <c r="K59" s="6">
        <f t="shared" si="2"/>
        <v>1.6632</v>
      </c>
      <c r="L59" s="139">
        <v>0.554</v>
      </c>
      <c r="M59" s="60">
        <v>0.5263</v>
      </c>
      <c r="N59" s="62">
        <v>0.5263</v>
      </c>
      <c r="O59" s="60">
        <f t="shared" si="20"/>
        <v>0.526</v>
      </c>
      <c r="P59" s="994">
        <v>90.0</v>
      </c>
      <c r="Q59" s="67">
        <v>88.71</v>
      </c>
      <c r="R59" s="65">
        <v>2305.56</v>
      </c>
      <c r="S59" s="3">
        <v>130.0</v>
      </c>
      <c r="U59" s="67">
        <v>120.0</v>
      </c>
      <c r="V59" s="67">
        <v>1.1023</v>
      </c>
      <c r="W59" s="58">
        <v>7.9</v>
      </c>
      <c r="X59" s="58">
        <v>11.7</v>
      </c>
      <c r="Y59" s="2">
        <v>27.83</v>
      </c>
      <c r="Z59" s="69">
        <f t="shared" si="21"/>
        <v>34.32</v>
      </c>
      <c r="AA59" s="70">
        <f t="shared" si="6"/>
        <v>62.15</v>
      </c>
      <c r="AB59" s="71">
        <f t="shared" si="7"/>
        <v>928.6812508</v>
      </c>
      <c r="AC59" s="71">
        <f>+(S59-T59)*V59-'data 1'!$F$4</f>
        <v>63.299</v>
      </c>
      <c r="AD59" s="71">
        <f t="shared" si="8"/>
        <v>-17.21717985</v>
      </c>
      <c r="AE59" s="71">
        <f>+(Y59*V59-'data 1'!$I$21)+V59*(Z59-IF(D59="UNTUCA",IF(+((W59-3)*2.5+(X59-3)*3.1)&gt;0,+((W59-3)*1.5+(X59-3)*3.1),0),IF(+((W59-3)*1.5+(X59-3)*3.1)&gt;0,+((W59-3)*1.5+(X59-3)*3.1),0)))</f>
        <v>5.095927919</v>
      </c>
      <c r="AF59" s="71">
        <f t="shared" si="9"/>
        <v>59.84021588</v>
      </c>
      <c r="AG59" s="71">
        <f t="shared" si="10"/>
        <v>111.017964</v>
      </c>
      <c r="AH59" s="71">
        <f t="shared" si="11"/>
        <v>28.02437202</v>
      </c>
      <c r="AI59" s="58">
        <f t="shared" si="12"/>
        <v>95.31181483</v>
      </c>
      <c r="AJ59" s="70">
        <f t="shared" si="13"/>
        <v>26.99490474</v>
      </c>
      <c r="AK59" s="11">
        <f t="shared" si="14"/>
        <v>1.029467286</v>
      </c>
      <c r="AM59" s="65"/>
      <c r="AO59" s="58"/>
      <c r="AP59" s="65">
        <f t="shared" si="15"/>
        <v>1544.582656</v>
      </c>
      <c r="AQ59" s="65"/>
      <c r="AR59" s="65"/>
    </row>
    <row r="60" ht="15.75" customHeight="1">
      <c r="A60" s="1034" t="s">
        <v>5271</v>
      </c>
      <c r="B60" s="841">
        <v>45417.0</v>
      </c>
      <c r="C60" s="841">
        <v>45413.0</v>
      </c>
      <c r="D60" s="2" t="s">
        <v>5085</v>
      </c>
      <c r="E60" s="915"/>
      <c r="F60" s="2" t="s">
        <v>4639</v>
      </c>
      <c r="G60" s="13">
        <v>21.0</v>
      </c>
      <c r="H60" s="13"/>
      <c r="I60" s="6">
        <v>1.65</v>
      </c>
      <c r="J60" s="58">
        <v>1.3</v>
      </c>
      <c r="K60" s="6">
        <f t="shared" si="2"/>
        <v>1.62855</v>
      </c>
      <c r="L60" s="139">
        <v>1.022</v>
      </c>
      <c r="M60" s="60">
        <v>0.9709</v>
      </c>
      <c r="N60" s="62">
        <v>0.9709</v>
      </c>
      <c r="O60" s="60">
        <f t="shared" si="20"/>
        <v>0.971</v>
      </c>
      <c r="P60" s="994">
        <v>90.0</v>
      </c>
      <c r="Q60" s="67">
        <v>88.66</v>
      </c>
      <c r="R60" s="65">
        <v>2305.56</v>
      </c>
      <c r="S60" s="3">
        <v>170.0</v>
      </c>
      <c r="U60" s="67">
        <v>120.0</v>
      </c>
      <c r="V60" s="67">
        <v>1.1023</v>
      </c>
      <c r="W60" s="58">
        <v>7.9</v>
      </c>
      <c r="X60" s="58">
        <v>11.85</v>
      </c>
      <c r="Y60" s="2">
        <v>27.83</v>
      </c>
      <c r="Z60" s="69">
        <f t="shared" si="21"/>
        <v>34.785</v>
      </c>
      <c r="AA60" s="70">
        <f t="shared" si="6"/>
        <v>62.615</v>
      </c>
      <c r="AB60" s="71">
        <f t="shared" si="7"/>
        <v>1848.938368</v>
      </c>
      <c r="AC60" s="71">
        <f>+(S60-T60)*V60-'data 1'!$F$4</f>
        <v>107.391</v>
      </c>
      <c r="AD60" s="71">
        <f t="shared" si="8"/>
        <v>-32.99272865</v>
      </c>
      <c r="AE60" s="71">
        <f>+(Y60*V60-'data 1'!$I$21)+V60*(Z60-IF(D60="UNTUCA",IF(+((W60-3)*2.5+(X60-3)*3.1)&gt;0,+((W60-3)*1.5+(X60-3)*3.1),0),IF(+((W60-3)*1.5+(X60-3)*3.1)&gt;0,+((W60-3)*1.5+(X60-3)*3.1),0)))</f>
        <v>5.095927919</v>
      </c>
      <c r="AF60" s="71">
        <f t="shared" si="9"/>
        <v>108.9332458</v>
      </c>
      <c r="AG60" s="71">
        <f t="shared" si="10"/>
        <v>188.4274451</v>
      </c>
      <c r="AH60" s="71">
        <f t="shared" si="11"/>
        <v>50.59280854</v>
      </c>
      <c r="AI60" s="58">
        <f t="shared" si="12"/>
        <v>175.7288301</v>
      </c>
      <c r="AJ60" s="70">
        <f t="shared" si="13"/>
        <v>48.7946161</v>
      </c>
      <c r="AK60" s="11">
        <f t="shared" si="14"/>
        <v>1.798192437</v>
      </c>
      <c r="AM60" s="65"/>
      <c r="AO60" s="58"/>
      <c r="AP60" s="65">
        <f t="shared" si="15"/>
        <v>3011.088579</v>
      </c>
      <c r="AQ60" s="65"/>
      <c r="AR60" s="65"/>
    </row>
    <row r="61" ht="15.75" customHeight="1">
      <c r="A61" s="1034" t="s">
        <v>5272</v>
      </c>
      <c r="B61" s="841"/>
      <c r="C61" s="841">
        <v>45413.0</v>
      </c>
      <c r="D61" s="67" t="s">
        <v>5085</v>
      </c>
      <c r="E61" s="915"/>
      <c r="F61" s="67" t="s">
        <v>4670</v>
      </c>
      <c r="G61" s="916">
        <v>100.0</v>
      </c>
      <c r="H61" s="916"/>
      <c r="I61" s="59">
        <v>8.43</v>
      </c>
      <c r="J61" s="69">
        <v>1.1</v>
      </c>
      <c r="K61" s="59">
        <f t="shared" si="2"/>
        <v>8.33727</v>
      </c>
      <c r="L61" s="1036">
        <v>0.4965</v>
      </c>
      <c r="M61" s="106">
        <v>0.472</v>
      </c>
      <c r="N61" s="111">
        <v>0.4737</v>
      </c>
      <c r="O61" s="106">
        <v>0.474</v>
      </c>
      <c r="P61" s="934">
        <v>89.5</v>
      </c>
      <c r="Q61" s="67">
        <v>87.89</v>
      </c>
      <c r="R61" s="70">
        <v>2305.56</v>
      </c>
      <c r="S61" s="134">
        <v>120.0</v>
      </c>
      <c r="T61" s="67"/>
      <c r="U61" s="67">
        <v>120.0</v>
      </c>
      <c r="V61" s="67">
        <v>1.1023</v>
      </c>
      <c r="W61" s="69">
        <v>8.3</v>
      </c>
      <c r="X61" s="69">
        <v>12.0</v>
      </c>
      <c r="Y61" s="67">
        <v>27.83</v>
      </c>
      <c r="Z61" s="69">
        <v>30.0</v>
      </c>
      <c r="AA61" s="70">
        <f t="shared" si="6"/>
        <v>57.83</v>
      </c>
      <c r="AB61" s="71">
        <f t="shared" si="7"/>
        <v>826.008636</v>
      </c>
      <c r="AC61" s="71">
        <f>+(S61-T61)*V61-'data 1'!$F$4</f>
        <v>52.276</v>
      </c>
      <c r="AD61" s="71">
        <f t="shared" si="8"/>
        <v>-19.25784425</v>
      </c>
      <c r="AE61" s="71">
        <f>+(Y61*V61-'data 1'!$I$21)+V61*(Z61-IF(D61="UNTUCA",IF(+((W61-3)*2.5+(X61-3)*3.1)&gt;0,+((W61-3)*1.5+(X61-3)*3.1),0),IF(+((W61-3)*1.5+(X61-3)*3.1)&gt;0,+((W61-3)*1.5+(X61-3)*3.1),0)))</f>
        <v>-1.352527081</v>
      </c>
      <c r="AF61" s="71">
        <f t="shared" si="9"/>
        <v>47.64140092</v>
      </c>
      <c r="AG61" s="71">
        <f t="shared" si="10"/>
        <v>79.30702959</v>
      </c>
      <c r="AH61" s="71">
        <f t="shared" si="11"/>
        <v>124.735954</v>
      </c>
      <c r="AI61" s="69">
        <f t="shared" si="12"/>
        <v>84.6297606</v>
      </c>
      <c r="AJ61" s="70">
        <f t="shared" si="13"/>
        <v>121.2646765</v>
      </c>
      <c r="AK61" s="53">
        <f t="shared" si="14"/>
        <v>3.471277471</v>
      </c>
      <c r="AL61" s="67"/>
      <c r="AM61" s="70"/>
      <c r="AN61" s="67"/>
      <c r="AO61" s="69"/>
      <c r="AP61" s="65">
        <f t="shared" si="15"/>
        <v>6886.65702</v>
      </c>
      <c r="AQ61" s="70"/>
      <c r="AR61" s="70"/>
    </row>
    <row r="62" ht="15.75" customHeight="1">
      <c r="A62" s="1034" t="s">
        <v>5273</v>
      </c>
      <c r="B62" s="841"/>
      <c r="C62" s="841">
        <v>45413.0</v>
      </c>
      <c r="D62" s="67" t="s">
        <v>5085</v>
      </c>
      <c r="E62" s="915"/>
      <c r="F62" s="67" t="s">
        <v>4670</v>
      </c>
      <c r="G62" s="916">
        <v>90.0</v>
      </c>
      <c r="H62" s="916"/>
      <c r="I62" s="59">
        <v>7.67</v>
      </c>
      <c r="J62" s="69">
        <v>1.2</v>
      </c>
      <c r="K62" s="59">
        <f t="shared" si="2"/>
        <v>7.57796</v>
      </c>
      <c r="L62" s="1036">
        <v>0.349</v>
      </c>
      <c r="M62" s="106">
        <v>0.332</v>
      </c>
      <c r="N62" s="111">
        <v>0.3735</v>
      </c>
      <c r="O62" s="106">
        <f t="shared" ref="O62:O69" si="22">+ROUND((M62+N62)/2,3)</f>
        <v>0.353</v>
      </c>
      <c r="P62" s="934">
        <v>90.0</v>
      </c>
      <c r="Q62" s="67">
        <v>87.55</v>
      </c>
      <c r="R62" s="70">
        <v>2305.56</v>
      </c>
      <c r="S62" s="134">
        <v>110.0</v>
      </c>
      <c r="T62" s="67"/>
      <c r="U62" s="67">
        <v>120.0</v>
      </c>
      <c r="V62" s="67">
        <v>1.1023</v>
      </c>
      <c r="W62" s="69">
        <v>8.1</v>
      </c>
      <c r="X62" s="69">
        <v>12.1</v>
      </c>
      <c r="Y62" s="67">
        <v>27.83</v>
      </c>
      <c r="Z62" s="69">
        <v>30.0</v>
      </c>
      <c r="AA62" s="70">
        <f t="shared" si="6"/>
        <v>57.83</v>
      </c>
      <c r="AB62" s="71">
        <f t="shared" si="7"/>
        <v>580.3856547</v>
      </c>
      <c r="AC62" s="71">
        <f>+(S62-T62)*V62-'data 1'!$F$4</f>
        <v>41.253</v>
      </c>
      <c r="AD62" s="71">
        <f t="shared" si="8"/>
        <v>-20.59937541</v>
      </c>
      <c r="AE62" s="71">
        <f>+(Y62*V62-'data 1'!$I$21)+V62*(Z62-IF(D62="UNTUCA",IF(+((W62-3)*2.5+(X62-3)*3.1)&gt;0,+((W62-3)*1.5+(X62-3)*3.1),0),IF(+((W62-3)*1.5+(X62-3)*3.1)&gt;0,+((W62-3)*1.5+(X62-3)*3.1),0)))</f>
        <v>-1.363550081</v>
      </c>
      <c r="AF62" s="71">
        <f t="shared" si="9"/>
        <v>-8.436818044</v>
      </c>
      <c r="AG62" s="71">
        <f t="shared" si="10"/>
        <v>10.85325647</v>
      </c>
      <c r="AH62" s="71">
        <f t="shared" si="11"/>
        <v>79.38582367</v>
      </c>
      <c r="AI62" s="69">
        <f t="shared" si="12"/>
        <v>59.2578612</v>
      </c>
      <c r="AJ62" s="70">
        <f t="shared" si="13"/>
        <v>82.54268516</v>
      </c>
      <c r="AK62" s="53">
        <f t="shared" si="14"/>
        <v>-3.156861492</v>
      </c>
      <c r="AL62" s="67"/>
      <c r="AM62" s="70"/>
      <c r="AN62" s="67"/>
      <c r="AO62" s="69"/>
      <c r="AP62" s="65">
        <f t="shared" si="15"/>
        <v>4398.139276</v>
      </c>
      <c r="AQ62" s="70"/>
      <c r="AR62" s="70"/>
    </row>
    <row r="63" ht="15.75" customHeight="1">
      <c r="A63" s="116" t="s">
        <v>5274</v>
      </c>
      <c r="B63" s="841">
        <v>45418.0</v>
      </c>
      <c r="C63" s="841">
        <v>45413.0</v>
      </c>
      <c r="D63" s="2" t="s">
        <v>4466</v>
      </c>
      <c r="E63" s="915"/>
      <c r="F63" s="2" t="s">
        <v>5275</v>
      </c>
      <c r="G63" s="13">
        <v>47.0</v>
      </c>
      <c r="H63" s="13"/>
      <c r="I63" s="6">
        <v>4.2</v>
      </c>
      <c r="J63" s="58">
        <v>1.1</v>
      </c>
      <c r="K63" s="6">
        <f t="shared" si="2"/>
        <v>4.1538</v>
      </c>
      <c r="L63" s="60">
        <v>0.245</v>
      </c>
      <c r="M63" s="60">
        <v>0.245</v>
      </c>
      <c r="N63" s="60">
        <v>0.245</v>
      </c>
      <c r="O63" s="60">
        <f t="shared" si="22"/>
        <v>0.245</v>
      </c>
      <c r="P63" s="994">
        <v>87.5</v>
      </c>
      <c r="Q63" s="67">
        <v>88.77</v>
      </c>
      <c r="R63" s="65">
        <v>2305.56</v>
      </c>
      <c r="S63" s="3">
        <v>110.0</v>
      </c>
      <c r="U63" s="67">
        <v>120.0</v>
      </c>
      <c r="V63" s="67">
        <v>1.1023</v>
      </c>
      <c r="W63" s="58">
        <v>7.8</v>
      </c>
      <c r="X63" s="58">
        <v>11.4</v>
      </c>
      <c r="Y63" s="2">
        <v>27.83</v>
      </c>
      <c r="Z63" s="69">
        <f t="shared" ref="Z63:Z64" si="23">IF(D63="UNTUCA",IF(+((W63-3)*1.5+(X63-3)*3.1)&gt;0,+((W63-3)*1.5+(X63-3)*3.1),0),IF(+((W63-3)*1.5+(X63-3)*3.1)&gt;0,+((W63-3)*1.5+(X63-3)*3.1),0))</f>
        <v>33.24</v>
      </c>
      <c r="AA63" s="70">
        <f t="shared" si="6"/>
        <v>61.07</v>
      </c>
      <c r="AB63" s="71">
        <f t="shared" si="7"/>
        <v>327.8895242</v>
      </c>
      <c r="AC63" s="71">
        <f>+(S63-T63)*V63-'data 1'!$F$4</f>
        <v>41.253</v>
      </c>
      <c r="AD63" s="71">
        <f t="shared" si="8"/>
        <v>7.496047785</v>
      </c>
      <c r="AE63" s="71">
        <f>+(Y63*V63-'data 1'!$I$21)+V63*(Z63-IF(D63="UNTUCA",IF(+((W63-3)*2.5+(X63-3)*3.1)&gt;0,+((W63-3)*1.5+(X63-3)*3.1),0),IF(+((W63-3)*1.5+(X63-3)*3.1)&gt;0,+((W63-3)*1.5+(X63-3)*3.1),0)))</f>
        <v>5.095927919</v>
      </c>
      <c r="AF63" s="71">
        <f t="shared" si="9"/>
        <v>0</v>
      </c>
      <c r="AG63" s="71">
        <f t="shared" si="10"/>
        <v>53.8449757</v>
      </c>
      <c r="AH63" s="71">
        <f t="shared" si="11"/>
        <v>30.97326266</v>
      </c>
      <c r="AI63" s="58">
        <f t="shared" si="12"/>
        <v>42.17904081</v>
      </c>
      <c r="AJ63" s="70">
        <f t="shared" si="13"/>
        <v>30.5301395</v>
      </c>
      <c r="AK63" s="11">
        <f t="shared" si="14"/>
        <v>0.4431231676</v>
      </c>
      <c r="AM63" s="65"/>
      <c r="AO63" s="58"/>
      <c r="AP63" s="65">
        <f t="shared" si="15"/>
        <v>1361.987506</v>
      </c>
      <c r="AQ63" s="65"/>
      <c r="AR63" s="65"/>
    </row>
    <row r="64" ht="15.75" customHeight="1">
      <c r="A64" s="116" t="s">
        <v>5276</v>
      </c>
      <c r="B64" s="841">
        <v>45418.0</v>
      </c>
      <c r="C64" s="841">
        <v>45413.0</v>
      </c>
      <c r="D64" s="2" t="s">
        <v>4466</v>
      </c>
      <c r="E64" s="915"/>
      <c r="F64" s="2" t="s">
        <v>5275</v>
      </c>
      <c r="G64" s="13">
        <v>46.0</v>
      </c>
      <c r="H64" s="13"/>
      <c r="I64" s="6">
        <v>4.16</v>
      </c>
      <c r="J64" s="58">
        <v>1.0</v>
      </c>
      <c r="K64" s="6">
        <f t="shared" si="2"/>
        <v>4.1184</v>
      </c>
      <c r="L64" s="60">
        <v>0.259</v>
      </c>
      <c r="M64" s="60">
        <v>0.259</v>
      </c>
      <c r="N64" s="60">
        <v>0.259</v>
      </c>
      <c r="O64" s="60">
        <f t="shared" si="22"/>
        <v>0.259</v>
      </c>
      <c r="P64" s="994">
        <v>87.5</v>
      </c>
      <c r="Q64" s="67">
        <v>88.43</v>
      </c>
      <c r="R64" s="65">
        <v>2305.56</v>
      </c>
      <c r="S64" s="3">
        <v>110.0</v>
      </c>
      <c r="U64" s="67">
        <v>120.0</v>
      </c>
      <c r="V64" s="67">
        <v>1.1023</v>
      </c>
      <c r="W64" s="58">
        <v>7.85</v>
      </c>
      <c r="X64" s="58">
        <v>11.4</v>
      </c>
      <c r="Y64" s="2">
        <v>27.83</v>
      </c>
      <c r="Z64" s="69">
        <f t="shared" si="23"/>
        <v>33.315</v>
      </c>
      <c r="AA64" s="70">
        <f t="shared" si="6"/>
        <v>61.145</v>
      </c>
      <c r="AB64" s="71">
        <f t="shared" si="7"/>
        <v>357.3188508</v>
      </c>
      <c r="AC64" s="71">
        <f>+(S64-T64)*V64-'data 1'!$F$4</f>
        <v>41.253</v>
      </c>
      <c r="AD64" s="71">
        <f t="shared" si="8"/>
        <v>5.802902233</v>
      </c>
      <c r="AE64" s="71">
        <f>+(Y64*V64-'data 1'!$I$21)+V64*(Z64-IF(D64="UNTUCA",IF(+((W64-3)*2.5+(X64-3)*3.1)&gt;0,+((W64-3)*1.5+(X64-3)*3.1),0),IF(+((W64-3)*1.5+(X64-3)*3.1)&gt;0,+((W64-3)*1.5+(X64-3)*3.1),0)))</f>
        <v>5.095927919</v>
      </c>
      <c r="AF64" s="71">
        <f t="shared" si="9"/>
        <v>0</v>
      </c>
      <c r="AG64" s="71">
        <f t="shared" si="10"/>
        <v>52.15183015</v>
      </c>
      <c r="AH64" s="71">
        <f t="shared" si="11"/>
        <v>32.33977422</v>
      </c>
      <c r="AI64" s="58">
        <f t="shared" si="12"/>
        <v>44.41848933</v>
      </c>
      <c r="AJ64" s="70">
        <f t="shared" si="13"/>
        <v>31.99966351</v>
      </c>
      <c r="AK64" s="11">
        <f t="shared" si="14"/>
        <v>0.3401107093</v>
      </c>
      <c r="AM64" s="65"/>
      <c r="AO64" s="58"/>
      <c r="AP64" s="65">
        <f t="shared" si="15"/>
        <v>1471.581955</v>
      </c>
      <c r="AQ64" s="65"/>
      <c r="AR64" s="65"/>
    </row>
    <row r="65" ht="15.75" customHeight="1">
      <c r="A65" s="1034" t="s">
        <v>5277</v>
      </c>
      <c r="B65" s="841">
        <v>45418.0</v>
      </c>
      <c r="C65" s="841">
        <v>45413.0</v>
      </c>
      <c r="D65" s="67" t="s">
        <v>5085</v>
      </c>
      <c r="E65" s="915"/>
      <c r="F65" s="67" t="s">
        <v>4670</v>
      </c>
      <c r="G65" s="916">
        <v>60.0</v>
      </c>
      <c r="H65" s="916"/>
      <c r="I65" s="59">
        <v>5.22</v>
      </c>
      <c r="J65" s="69">
        <v>1.5</v>
      </c>
      <c r="K65" s="59">
        <f t="shared" si="2"/>
        <v>5.1417</v>
      </c>
      <c r="L65" s="405">
        <v>0.418</v>
      </c>
      <c r="M65" s="106">
        <v>0.401</v>
      </c>
      <c r="N65" s="111">
        <v>0.4449</v>
      </c>
      <c r="O65" s="106">
        <f t="shared" si="22"/>
        <v>0.423</v>
      </c>
      <c r="P65" s="934">
        <v>89.5</v>
      </c>
      <c r="Q65" s="67">
        <v>87.79</v>
      </c>
      <c r="R65" s="70">
        <v>2305.56</v>
      </c>
      <c r="S65" s="134">
        <v>120.0</v>
      </c>
      <c r="T65" s="67"/>
      <c r="U65" s="67">
        <v>120.0</v>
      </c>
      <c r="V65" s="67">
        <v>1.1023</v>
      </c>
      <c r="W65" s="69">
        <v>8.2</v>
      </c>
      <c r="X65" s="69">
        <v>12.15</v>
      </c>
      <c r="Y65" s="67">
        <v>27.83</v>
      </c>
      <c r="Z65" s="69">
        <v>30.0</v>
      </c>
      <c r="AA65" s="70">
        <f t="shared" si="6"/>
        <v>57.83</v>
      </c>
      <c r="AB65" s="71">
        <f t="shared" si="7"/>
        <v>716.0433134</v>
      </c>
      <c r="AC65" s="71">
        <f>+(S65-T65)*V65-'data 1'!$F$4</f>
        <v>52.276</v>
      </c>
      <c r="AD65" s="71">
        <f t="shared" si="8"/>
        <v>-17.22007082</v>
      </c>
      <c r="AE65" s="71">
        <f>+(Y65*V65-'data 1'!$I$21)+V65*(Z65-IF(D65="UNTUCA",IF(+((W65-3)*2.5+(X65-3)*3.1)&gt;0,+((W65-3)*1.5+(X65-3)*3.1),0),IF(+((W65-3)*1.5+(X65-3)*3.1)&gt;0,+((W65-3)*1.5+(X65-3)*3.1),0)))</f>
        <v>-1.699751581</v>
      </c>
      <c r="AF65" s="71">
        <f t="shared" si="9"/>
        <v>-10.57493227</v>
      </c>
      <c r="AG65" s="71">
        <f t="shared" si="10"/>
        <v>22.78124533</v>
      </c>
      <c r="AH65" s="71">
        <f t="shared" si="11"/>
        <v>64.68999738</v>
      </c>
      <c r="AI65" s="69">
        <f t="shared" si="12"/>
        <v>71.16815807</v>
      </c>
      <c r="AJ65" s="70">
        <f t="shared" si="13"/>
        <v>66.73892477</v>
      </c>
      <c r="AK65" s="53">
        <f t="shared" si="14"/>
        <v>-2.048927387</v>
      </c>
      <c r="AL65" s="67"/>
      <c r="AM65" s="70"/>
      <c r="AN65" s="67"/>
      <c r="AO65" s="69"/>
      <c r="AP65" s="65">
        <f t="shared" si="15"/>
        <v>3681.679904</v>
      </c>
      <c r="AQ65" s="70"/>
      <c r="AR65" s="70"/>
    </row>
    <row r="66" ht="15.75" customHeight="1">
      <c r="A66" s="116" t="s">
        <v>5278</v>
      </c>
      <c r="B66" s="841">
        <v>45416.0</v>
      </c>
      <c r="C66" s="841">
        <v>45414.0</v>
      </c>
      <c r="D66" s="2" t="s">
        <v>5085</v>
      </c>
      <c r="E66" s="915"/>
      <c r="F66" s="2" t="s">
        <v>4747</v>
      </c>
      <c r="G66" s="13">
        <v>81.0</v>
      </c>
      <c r="H66" s="13"/>
      <c r="I66" s="6">
        <v>6.73</v>
      </c>
      <c r="J66" s="58">
        <v>1.0</v>
      </c>
      <c r="K66" s="6">
        <f t="shared" si="2"/>
        <v>6.6627</v>
      </c>
      <c r="L66" s="139">
        <v>1.1179999999999999</v>
      </c>
      <c r="M66" s="60">
        <v>1.0578249999999998</v>
      </c>
      <c r="N66" s="968">
        <v>1.0578249999999998</v>
      </c>
      <c r="O66" s="60">
        <f t="shared" si="22"/>
        <v>1.058</v>
      </c>
      <c r="P66" s="994">
        <v>89.5</v>
      </c>
      <c r="Q66" s="67">
        <v>87.73</v>
      </c>
      <c r="R66" s="65">
        <v>2303.8</v>
      </c>
      <c r="S66" s="3">
        <v>180.0</v>
      </c>
      <c r="U66" s="67">
        <v>120.0</v>
      </c>
      <c r="V66" s="67">
        <v>1.1023</v>
      </c>
      <c r="W66" s="58">
        <v>7.8</v>
      </c>
      <c r="X66" s="58">
        <v>12.5</v>
      </c>
      <c r="Y66" s="2">
        <v>30.0</v>
      </c>
      <c r="Z66" s="69">
        <f t="shared" ref="Z66:Z69" si="24">IF(D66="UNTUCA",IF(+((W66-3)*1.5+(X66-3)*3.1)&gt;0,+((W66-3)*1.5+(X66-3)*3.1),0),IF(+((W66-3)*1.5+(X66-3)*3.1)&gt;0,+((W66-3)*1.5+(X66-3)*3.1),0))-6</f>
        <v>30.65</v>
      </c>
      <c r="AA66" s="70">
        <f t="shared" si="6"/>
        <v>60.65</v>
      </c>
      <c r="AB66" s="71">
        <f t="shared" si="7"/>
        <v>2014.135852</v>
      </c>
      <c r="AC66" s="71">
        <f>+(S66-T66)*V66-'data 1'!$F$4</f>
        <v>118.414</v>
      </c>
      <c r="AD66" s="71">
        <f t="shared" si="8"/>
        <v>-47.63517214</v>
      </c>
      <c r="AE66" s="71">
        <f>+(Y66*V66-'data 1'!$I$21)+V66*(Z66-IF(D66="UNTUCA",IF(+((W66-3)*2.5+(X66-3)*3.1)&gt;0,+((W66-3)*1.5+(X66-3)*3.1),0),IF(+((W66-3)*1.5+(X66-3)*3.1)&gt;0,+((W66-3)*1.5+(X66-3)*3.1),0)))</f>
        <v>0.8741189189</v>
      </c>
      <c r="AF66" s="71">
        <f t="shared" si="9"/>
        <v>126.7103378</v>
      </c>
      <c r="AG66" s="71">
        <f t="shared" si="10"/>
        <v>198.3632846</v>
      </c>
      <c r="AH66" s="71">
        <f t="shared" si="11"/>
        <v>224.0522249</v>
      </c>
      <c r="AI66" s="58">
        <f t="shared" si="12"/>
        <v>192.1220306</v>
      </c>
      <c r="AJ66" s="70">
        <f t="shared" si="13"/>
        <v>216.3057335</v>
      </c>
      <c r="AK66" s="11">
        <f t="shared" si="14"/>
        <v>7.746491482</v>
      </c>
      <c r="AM66" s="65"/>
      <c r="AO66" s="58"/>
      <c r="AP66" s="65">
        <f t="shared" si="15"/>
        <v>13419.58294</v>
      </c>
      <c r="AQ66" s="65"/>
      <c r="AR66" s="65"/>
    </row>
    <row r="67" ht="15.75" customHeight="1">
      <c r="A67" s="116" t="s">
        <v>5279</v>
      </c>
      <c r="B67" s="841">
        <v>45416.0</v>
      </c>
      <c r="C67" s="841">
        <v>45414.0</v>
      </c>
      <c r="D67" s="2" t="s">
        <v>5085</v>
      </c>
      <c r="E67" s="915"/>
      <c r="F67" s="2" t="s">
        <v>4747</v>
      </c>
      <c r="G67" s="13">
        <v>80.0</v>
      </c>
      <c r="H67" s="13"/>
      <c r="I67" s="6">
        <v>6.57</v>
      </c>
      <c r="J67" s="58">
        <v>1.0</v>
      </c>
      <c r="K67" s="6">
        <f t="shared" si="2"/>
        <v>6.5043</v>
      </c>
      <c r="L67" s="139">
        <v>0.86</v>
      </c>
      <c r="M67" s="60">
        <v>0.819375</v>
      </c>
      <c r="N67" s="405">
        <v>0.856</v>
      </c>
      <c r="O67" s="60">
        <f t="shared" si="22"/>
        <v>0.838</v>
      </c>
      <c r="P67" s="994">
        <v>89.5</v>
      </c>
      <c r="Q67" s="67">
        <v>87.55</v>
      </c>
      <c r="R67" s="65">
        <v>2303.8</v>
      </c>
      <c r="S67" s="3">
        <v>160.0</v>
      </c>
      <c r="U67" s="67">
        <v>120.0</v>
      </c>
      <c r="V67" s="67">
        <v>1.1023</v>
      </c>
      <c r="W67" s="58">
        <v>7.8</v>
      </c>
      <c r="X67" s="58">
        <v>12.5</v>
      </c>
      <c r="Y67" s="2">
        <v>30.0</v>
      </c>
      <c r="Z67" s="69">
        <f t="shared" si="24"/>
        <v>30.65</v>
      </c>
      <c r="AA67" s="70">
        <f t="shared" si="6"/>
        <v>60.65</v>
      </c>
      <c r="AB67" s="71">
        <f t="shared" si="7"/>
        <v>1562.203632</v>
      </c>
      <c r="AC67" s="71">
        <f>+(S67-T67)*V67-'data 1'!$F$4</f>
        <v>96.368</v>
      </c>
      <c r="AD67" s="71">
        <f t="shared" si="8"/>
        <v>-40.36878995</v>
      </c>
      <c r="AE67" s="71">
        <f>+(Y67*V67-'data 1'!$I$21)+V67*(Z67-IF(D67="UNTUCA",IF(+((W67-3)*2.5+(X67-3)*3.1)&gt;0,+((W67-3)*1.5+(X67-3)*3.1),0),IF(+((W67-3)*1.5+(X67-3)*3.1)&gt;0,+((W67-3)*1.5+(X67-3)*3.1),0)))</f>
        <v>0.8741189189</v>
      </c>
      <c r="AF67" s="71">
        <f t="shared" si="9"/>
        <v>46.36513198</v>
      </c>
      <c r="AG67" s="71">
        <f t="shared" si="10"/>
        <v>103.2384609</v>
      </c>
      <c r="AH67" s="71">
        <f t="shared" si="11"/>
        <v>167.9052343</v>
      </c>
      <c r="AI67" s="58">
        <f t="shared" si="12"/>
        <v>147.4829571</v>
      </c>
      <c r="AJ67" s="70">
        <f t="shared" si="13"/>
        <v>167.2540671</v>
      </c>
      <c r="AK67" s="11">
        <f t="shared" si="14"/>
        <v>0.6511671525</v>
      </c>
      <c r="AM67" s="65"/>
      <c r="AO67" s="58"/>
      <c r="AP67" s="65">
        <f t="shared" si="15"/>
        <v>10161.04108</v>
      </c>
      <c r="AQ67" s="65"/>
      <c r="AR67" s="65"/>
    </row>
    <row r="68" ht="15.75" customHeight="1">
      <c r="A68" s="116" t="s">
        <v>5280</v>
      </c>
      <c r="B68" s="841">
        <v>45416.0</v>
      </c>
      <c r="C68" s="841">
        <v>45414.0</v>
      </c>
      <c r="D68" s="2" t="s">
        <v>5085</v>
      </c>
      <c r="E68" s="915"/>
      <c r="F68" s="2" t="s">
        <v>4747</v>
      </c>
      <c r="G68" s="13">
        <v>75.0</v>
      </c>
      <c r="H68" s="13"/>
      <c r="I68" s="6">
        <v>5.87</v>
      </c>
      <c r="J68" s="58">
        <v>30.25</v>
      </c>
      <c r="K68" s="6">
        <f t="shared" si="2"/>
        <v>4.094325</v>
      </c>
      <c r="L68" s="139">
        <v>1.504</v>
      </c>
      <c r="M68" s="60">
        <v>1.4259499999999998</v>
      </c>
      <c r="N68" s="405">
        <v>1.54</v>
      </c>
      <c r="O68" s="60">
        <f t="shared" si="22"/>
        <v>1.483</v>
      </c>
      <c r="P68" s="994">
        <v>89.5</v>
      </c>
      <c r="Q68" s="67">
        <v>80.61</v>
      </c>
      <c r="R68" s="65">
        <v>2303.8</v>
      </c>
      <c r="S68" s="3">
        <v>220.0</v>
      </c>
      <c r="U68" s="67">
        <v>120.0</v>
      </c>
      <c r="V68" s="67">
        <v>1.1023</v>
      </c>
      <c r="W68" s="58">
        <v>7.9</v>
      </c>
      <c r="X68" s="58">
        <v>13.2</v>
      </c>
      <c r="Y68" s="2">
        <v>30.0</v>
      </c>
      <c r="Z68" s="69">
        <f t="shared" si="24"/>
        <v>32.97</v>
      </c>
      <c r="AA68" s="70">
        <f t="shared" si="6"/>
        <v>62.97</v>
      </c>
      <c r="AB68" s="71">
        <f t="shared" si="7"/>
        <v>2883.126258</v>
      </c>
      <c r="AC68" s="71">
        <f>+(S68-T68)*V68-'data 1'!$F$4</f>
        <v>162.506</v>
      </c>
      <c r="AD68" s="71">
        <f t="shared" si="8"/>
        <v>-321.8564867</v>
      </c>
      <c r="AE68" s="71">
        <f>+(Y68*V68-'data 1'!$I$21)+V68*(Z68-IF(D68="UNTUCA",IF(+((W68-3)*2.5+(X68-3)*3.1)&gt;0,+((W68-3)*1.5+(X68-3)*3.1),0),IF(+((W68-3)*1.5+(X68-3)*3.1)&gt;0,+((W68-3)*1.5+(X68-3)*3.1),0)))</f>
        <v>0.8741189189</v>
      </c>
      <c r="AF68" s="71">
        <f t="shared" si="9"/>
        <v>40.7493687</v>
      </c>
      <c r="AG68" s="71">
        <f t="shared" si="10"/>
        <v>-117.7269991</v>
      </c>
      <c r="AH68" s="71">
        <f t="shared" si="11"/>
        <v>170.1876886</v>
      </c>
      <c r="AI68" s="58">
        <f t="shared" si="12"/>
        <v>237.4783335</v>
      </c>
      <c r="AJ68" s="70">
        <f t="shared" si="13"/>
        <v>186.318324</v>
      </c>
      <c r="AK68" s="11">
        <f t="shared" si="14"/>
        <v>-16.13063539</v>
      </c>
      <c r="AM68" s="65"/>
      <c r="AO68" s="58"/>
      <c r="AP68" s="65">
        <f t="shared" si="15"/>
        <v>11804.45592</v>
      </c>
      <c r="AQ68" s="65"/>
      <c r="AR68" s="65"/>
    </row>
    <row r="69" ht="15.75" customHeight="1">
      <c r="A69" s="116" t="s">
        <v>5281</v>
      </c>
      <c r="B69" s="841">
        <v>45416.0</v>
      </c>
      <c r="C69" s="841">
        <v>45414.0</v>
      </c>
      <c r="D69" s="2" t="s">
        <v>5085</v>
      </c>
      <c r="E69" s="915"/>
      <c r="F69" s="2" t="s">
        <v>4747</v>
      </c>
      <c r="G69" s="13">
        <v>101.0</v>
      </c>
      <c r="H69" s="13"/>
      <c r="I69" s="6">
        <v>8.8</v>
      </c>
      <c r="J69" s="58">
        <v>1.0</v>
      </c>
      <c r="K69" s="6">
        <f t="shared" si="2"/>
        <v>8.712</v>
      </c>
      <c r="L69" s="139">
        <v>1.157</v>
      </c>
      <c r="M69" s="60">
        <v>1.096775</v>
      </c>
      <c r="N69" s="968">
        <v>1.096775</v>
      </c>
      <c r="O69" s="60">
        <f t="shared" si="22"/>
        <v>1.097</v>
      </c>
      <c r="P69" s="994">
        <v>89.5</v>
      </c>
      <c r="Q69" s="67">
        <v>88.55</v>
      </c>
      <c r="R69" s="65">
        <v>2303.8</v>
      </c>
      <c r="S69" s="3">
        <v>190.0</v>
      </c>
      <c r="U69" s="67">
        <v>120.0</v>
      </c>
      <c r="V69" s="67">
        <v>1.1023</v>
      </c>
      <c r="W69" s="58">
        <v>7.8</v>
      </c>
      <c r="X69" s="58">
        <v>12.4</v>
      </c>
      <c r="Y69" s="2">
        <v>30.0</v>
      </c>
      <c r="Z69" s="69">
        <f t="shared" si="24"/>
        <v>30.34</v>
      </c>
      <c r="AA69" s="70">
        <f t="shared" si="6"/>
        <v>60.34</v>
      </c>
      <c r="AB69" s="71">
        <f t="shared" si="7"/>
        <v>2087.477976</v>
      </c>
      <c r="AC69" s="71">
        <f>+(S69-T69)*V69-'data 1'!$F$4</f>
        <v>129.437</v>
      </c>
      <c r="AD69" s="71">
        <f t="shared" si="8"/>
        <v>-26.45876892</v>
      </c>
      <c r="AE69" s="71">
        <f>+(Y69*V69-'data 1'!$I$21)+V69*(Z69-IF(D69="UNTUCA",IF(+((W69-3)*2.5+(X69-3)*3.1)&gt;0,+((W69-3)*1.5+(X69-3)*3.1),0),IF(+((W69-3)*1.5+(X69-3)*3.1)&gt;0,+((W69-3)*1.5+(X69-3)*3.1),0)))</f>
        <v>0.8741189189</v>
      </c>
      <c r="AF69" s="71">
        <f t="shared" si="9"/>
        <v>127.8946816</v>
      </c>
      <c r="AG69" s="71">
        <f t="shared" si="10"/>
        <v>231.7470316</v>
      </c>
      <c r="AH69" s="71">
        <f t="shared" si="11"/>
        <v>306.0193304</v>
      </c>
      <c r="AI69" s="58">
        <f t="shared" si="12"/>
        <v>200.6823415</v>
      </c>
      <c r="AJ69" s="70">
        <f t="shared" si="13"/>
        <v>293.2625448</v>
      </c>
      <c r="AK69" s="11">
        <f t="shared" si="14"/>
        <v>12.75678554</v>
      </c>
      <c r="AM69" s="65"/>
      <c r="AO69" s="58"/>
      <c r="AP69" s="65">
        <f t="shared" si="15"/>
        <v>18186.10813</v>
      </c>
      <c r="AQ69" s="65"/>
      <c r="AR69" s="65"/>
    </row>
    <row r="70" ht="15.75" customHeight="1">
      <c r="C70" s="841"/>
      <c r="E70" s="915"/>
      <c r="G70" s="13"/>
      <c r="H70" s="13"/>
      <c r="I70" s="6"/>
      <c r="J70" s="58"/>
      <c r="K70" s="6"/>
      <c r="L70" s="139"/>
      <c r="M70" s="3"/>
      <c r="N70" s="191"/>
      <c r="O70" s="60"/>
      <c r="Q70" s="67"/>
      <c r="R70" s="65"/>
      <c r="S70" s="3"/>
      <c r="U70" s="67"/>
      <c r="V70" s="67"/>
      <c r="Z70" s="69"/>
      <c r="AA70" s="70"/>
      <c r="AB70" s="71"/>
      <c r="AC70" s="71"/>
      <c r="AD70" s="71"/>
      <c r="AE70" s="71"/>
      <c r="AF70" s="71"/>
      <c r="AG70" s="71"/>
      <c r="AH70" s="71"/>
      <c r="AK70" s="11"/>
      <c r="AP70" s="65">
        <f>SUM(AP4:AP69)</f>
        <v>412485.5931</v>
      </c>
      <c r="AQ70" s="65">
        <f>AP70*1.18</f>
        <v>486732.9999</v>
      </c>
    </row>
    <row r="71" ht="15.75" customHeight="1">
      <c r="C71" s="841"/>
      <c r="E71" s="915"/>
      <c r="G71" s="13"/>
      <c r="H71" s="13"/>
      <c r="I71" s="6"/>
      <c r="J71" s="58"/>
      <c r="K71" s="6"/>
      <c r="L71" s="139"/>
      <c r="M71" s="3"/>
      <c r="N71" s="191"/>
      <c r="O71" s="60"/>
      <c r="Q71" s="67"/>
      <c r="R71" s="65"/>
      <c r="S71" s="3"/>
      <c r="U71" s="67"/>
      <c r="V71" s="67"/>
      <c r="Z71" s="69"/>
      <c r="AA71" s="70"/>
      <c r="AB71" s="71"/>
      <c r="AC71" s="71"/>
      <c r="AD71" s="71"/>
      <c r="AE71" s="71"/>
      <c r="AF71" s="71"/>
      <c r="AG71" s="71"/>
      <c r="AH71" s="71"/>
      <c r="AK71" s="11"/>
      <c r="AP71" s="65">
        <f>503828</f>
        <v>503828</v>
      </c>
    </row>
    <row r="72" ht="15.75" customHeight="1">
      <c r="C72" s="841"/>
      <c r="E72" s="915"/>
      <c r="G72" s="13"/>
      <c r="H72" s="13"/>
      <c r="I72" s="6"/>
      <c r="J72" s="58"/>
      <c r="K72" s="6"/>
      <c r="L72" s="139"/>
      <c r="M72" s="3"/>
      <c r="N72" s="191"/>
      <c r="O72" s="60"/>
      <c r="Q72" s="67"/>
      <c r="R72" s="65"/>
      <c r="S72" s="3"/>
      <c r="U72" s="67"/>
      <c r="V72" s="67"/>
      <c r="Z72" s="69"/>
      <c r="AA72" s="70"/>
      <c r="AB72" s="71"/>
      <c r="AC72" s="71"/>
      <c r="AD72" s="71"/>
      <c r="AE72" s="71"/>
      <c r="AF72" s="71"/>
      <c r="AG72" s="71"/>
      <c r="AH72" s="71"/>
      <c r="AK72" s="11"/>
      <c r="AP72" s="65">
        <f>+AP71-AP70</f>
        <v>91342.40686</v>
      </c>
    </row>
    <row r="73" ht="15.75" customHeight="1">
      <c r="C73" s="841"/>
      <c r="E73" s="915"/>
      <c r="G73" s="13"/>
      <c r="H73" s="13"/>
      <c r="I73" s="6"/>
      <c r="J73" s="58"/>
      <c r="K73" s="6"/>
      <c r="L73" s="139"/>
      <c r="M73" s="3"/>
      <c r="N73" s="191"/>
      <c r="O73" s="60"/>
      <c r="Q73" s="67"/>
      <c r="R73" s="65"/>
      <c r="S73" s="3"/>
      <c r="U73" s="67"/>
      <c r="V73" s="67"/>
      <c r="Z73" s="69"/>
      <c r="AA73" s="70"/>
      <c r="AB73" s="71"/>
      <c r="AC73" s="71"/>
      <c r="AD73" s="71"/>
      <c r="AE73" s="71"/>
      <c r="AF73" s="71"/>
      <c r="AG73" s="71"/>
      <c r="AH73" s="71"/>
      <c r="AK73" s="11"/>
    </row>
    <row r="74" ht="15.75" customHeight="1">
      <c r="C74" s="841"/>
      <c r="E74" s="915"/>
      <c r="G74" s="13"/>
      <c r="H74" s="13"/>
      <c r="I74" s="6"/>
      <c r="J74" s="58"/>
      <c r="K74" s="6"/>
      <c r="L74" s="139"/>
      <c r="M74" s="3"/>
      <c r="N74" s="191"/>
      <c r="O74" s="60"/>
      <c r="Q74" s="67"/>
      <c r="R74" s="65"/>
      <c r="S74" s="3"/>
      <c r="U74" s="67"/>
      <c r="V74" s="67"/>
      <c r="Z74" s="69"/>
      <c r="AA74" s="70"/>
      <c r="AB74" s="71"/>
      <c r="AC74" s="71"/>
      <c r="AD74" s="71"/>
      <c r="AE74" s="71"/>
      <c r="AF74" s="71"/>
      <c r="AG74" s="71"/>
      <c r="AH74" s="71"/>
      <c r="AK74" s="11"/>
      <c r="AP74" s="65">
        <f>+AP72/AP71</f>
        <v>0.1812968054</v>
      </c>
    </row>
    <row r="75" ht="15.75" customHeight="1">
      <c r="C75" s="841"/>
      <c r="E75" s="915"/>
      <c r="G75" s="13"/>
      <c r="H75" s="13"/>
      <c r="I75" s="6"/>
      <c r="J75" s="58"/>
      <c r="K75" s="6"/>
      <c r="L75" s="139"/>
      <c r="M75" s="3"/>
      <c r="N75" s="191"/>
      <c r="O75" s="60"/>
      <c r="Q75" s="67"/>
      <c r="R75" s="65"/>
      <c r="S75" s="3"/>
      <c r="U75" s="67"/>
      <c r="V75" s="67"/>
      <c r="Z75" s="69"/>
      <c r="AA75" s="70"/>
      <c r="AB75" s="71"/>
      <c r="AC75" s="71"/>
      <c r="AD75" s="71"/>
      <c r="AE75" s="71"/>
      <c r="AF75" s="71"/>
      <c r="AG75" s="71"/>
      <c r="AH75" s="71"/>
      <c r="AK75" s="11"/>
    </row>
    <row r="76" ht="15.75" customHeight="1">
      <c r="C76" s="841"/>
      <c r="E76" s="915"/>
      <c r="G76" s="13"/>
      <c r="H76" s="13"/>
      <c r="I76" s="6"/>
      <c r="J76" s="58"/>
      <c r="K76" s="6"/>
      <c r="L76" s="139"/>
      <c r="M76" s="3"/>
      <c r="N76" s="191"/>
      <c r="O76" s="60"/>
      <c r="Q76" s="67"/>
      <c r="R76" s="65"/>
      <c r="S76" s="3"/>
      <c r="U76" s="67"/>
      <c r="V76" s="67"/>
      <c r="Z76" s="69"/>
      <c r="AA76" s="70"/>
      <c r="AB76" s="71"/>
      <c r="AC76" s="71"/>
      <c r="AD76" s="71"/>
      <c r="AE76" s="71"/>
      <c r="AF76" s="71"/>
      <c r="AG76" s="71"/>
      <c r="AH76" s="71"/>
      <c r="AK76" s="11"/>
    </row>
    <row r="77" ht="15.75" customHeight="1">
      <c r="C77" s="841"/>
      <c r="E77" s="915"/>
      <c r="G77" s="13"/>
      <c r="H77" s="13"/>
      <c r="I77" s="6"/>
      <c r="J77" s="58"/>
      <c r="K77" s="6"/>
      <c r="L77" s="139"/>
      <c r="M77" s="3"/>
      <c r="N77" s="191"/>
      <c r="O77" s="60"/>
      <c r="Q77" s="67"/>
      <c r="R77" s="65"/>
      <c r="S77" s="3"/>
      <c r="U77" s="67"/>
      <c r="V77" s="67"/>
      <c r="Z77" s="69"/>
      <c r="AA77" s="70"/>
      <c r="AB77" s="71"/>
      <c r="AC77" s="71"/>
      <c r="AD77" s="71"/>
      <c r="AE77" s="71"/>
      <c r="AF77" s="71"/>
      <c r="AG77" s="71"/>
      <c r="AH77" s="71"/>
      <c r="AK77" s="11"/>
    </row>
    <row r="78" ht="15.75" customHeight="1">
      <c r="C78" s="841"/>
      <c r="E78" s="915"/>
      <c r="G78" s="13"/>
      <c r="H78" s="13"/>
      <c r="I78" s="6"/>
      <c r="J78" s="58"/>
      <c r="K78" s="6"/>
      <c r="L78" s="139"/>
      <c r="M78" s="3"/>
      <c r="N78" s="191"/>
      <c r="O78" s="60"/>
      <c r="Q78" s="67"/>
      <c r="R78" s="65"/>
      <c r="S78" s="3"/>
      <c r="U78" s="67"/>
      <c r="V78" s="67"/>
      <c r="Z78" s="69"/>
      <c r="AA78" s="70"/>
      <c r="AB78" s="71"/>
      <c r="AC78" s="71"/>
      <c r="AD78" s="71"/>
      <c r="AE78" s="71"/>
      <c r="AF78" s="71"/>
      <c r="AG78" s="71"/>
      <c r="AH78" s="71"/>
      <c r="AK78" s="11"/>
    </row>
    <row r="79" ht="15.75" customHeight="1">
      <c r="C79" s="841"/>
      <c r="E79" s="915"/>
      <c r="G79" s="13"/>
      <c r="H79" s="13"/>
      <c r="I79" s="6"/>
      <c r="J79" s="58"/>
      <c r="K79" s="6"/>
      <c r="L79" s="139"/>
      <c r="M79" s="3"/>
      <c r="N79" s="191"/>
      <c r="O79" s="60"/>
      <c r="Q79" s="67"/>
      <c r="R79" s="65"/>
      <c r="S79" s="3"/>
      <c r="U79" s="67"/>
      <c r="V79" s="67"/>
      <c r="Z79" s="69"/>
      <c r="AA79" s="70"/>
      <c r="AB79" s="71"/>
      <c r="AC79" s="71"/>
      <c r="AD79" s="71"/>
      <c r="AE79" s="71"/>
      <c r="AF79" s="71"/>
      <c r="AG79" s="71"/>
      <c r="AH79" s="71"/>
      <c r="AK79" s="11"/>
    </row>
    <row r="80" ht="15.75" customHeight="1">
      <c r="C80" s="841"/>
      <c r="E80" s="915"/>
      <c r="G80" s="13"/>
      <c r="H80" s="13"/>
      <c r="I80" s="6"/>
      <c r="J80" s="58"/>
      <c r="K80" s="6"/>
      <c r="L80" s="139"/>
      <c r="M80" s="3"/>
      <c r="N80" s="191"/>
      <c r="O80" s="60"/>
      <c r="Q80" s="67"/>
      <c r="R80" s="65"/>
      <c r="S80" s="3"/>
      <c r="U80" s="67"/>
      <c r="V80" s="67"/>
      <c r="Z80" s="69"/>
      <c r="AA80" s="70"/>
      <c r="AB80" s="71"/>
      <c r="AC80" s="71"/>
      <c r="AD80" s="71"/>
      <c r="AE80" s="71"/>
      <c r="AF80" s="71"/>
      <c r="AG80" s="71"/>
      <c r="AH80" s="71"/>
      <c r="AK80" s="11"/>
    </row>
    <row r="81" ht="15.75" customHeight="1">
      <c r="C81" s="841"/>
      <c r="E81" s="915"/>
      <c r="G81" s="13"/>
      <c r="H81" s="13"/>
      <c r="I81" s="6"/>
      <c r="J81" s="58"/>
      <c r="K81" s="6"/>
      <c r="L81" s="139"/>
      <c r="M81" s="3"/>
      <c r="N81" s="191"/>
      <c r="O81" s="60"/>
      <c r="Q81" s="67"/>
      <c r="R81" s="65"/>
      <c r="S81" s="3"/>
      <c r="U81" s="67"/>
      <c r="V81" s="67"/>
      <c r="Z81" s="69"/>
      <c r="AA81" s="70"/>
      <c r="AB81" s="71"/>
      <c r="AC81" s="71"/>
      <c r="AD81" s="71"/>
      <c r="AE81" s="71"/>
      <c r="AF81" s="71"/>
      <c r="AG81" s="71"/>
      <c r="AH81" s="71"/>
      <c r="AK81" s="11"/>
    </row>
    <row r="82" ht="15.75" customHeight="1">
      <c r="C82" s="841"/>
      <c r="E82" s="915"/>
      <c r="G82" s="13"/>
      <c r="H82" s="13"/>
      <c r="I82" s="6"/>
      <c r="J82" s="58"/>
      <c r="K82" s="6"/>
      <c r="L82" s="139"/>
      <c r="M82" s="3"/>
      <c r="N82" s="191"/>
      <c r="O82" s="60"/>
      <c r="Q82" s="67"/>
      <c r="R82" s="65"/>
      <c r="S82" s="3"/>
      <c r="U82" s="67"/>
      <c r="V82" s="67"/>
      <c r="Z82" s="69"/>
      <c r="AA82" s="70"/>
      <c r="AB82" s="71"/>
      <c r="AC82" s="71"/>
      <c r="AD82" s="71"/>
      <c r="AE82" s="71"/>
      <c r="AF82" s="71"/>
      <c r="AG82" s="71"/>
      <c r="AH82" s="71"/>
      <c r="AK82" s="11"/>
    </row>
    <row r="83" ht="15.75" customHeight="1">
      <c r="C83" s="841"/>
      <c r="E83" s="915"/>
      <c r="G83" s="13"/>
      <c r="H83" s="13"/>
      <c r="I83" s="6"/>
      <c r="J83" s="58"/>
      <c r="K83" s="6"/>
      <c r="L83" s="139"/>
      <c r="M83" s="3"/>
      <c r="N83" s="191"/>
      <c r="O83" s="60"/>
      <c r="Q83" s="67"/>
      <c r="R83" s="65"/>
      <c r="S83" s="3"/>
      <c r="U83" s="67"/>
      <c r="V83" s="67"/>
      <c r="Z83" s="69"/>
      <c r="AA83" s="70"/>
      <c r="AB83" s="71"/>
      <c r="AC83" s="71"/>
      <c r="AD83" s="71"/>
      <c r="AE83" s="71"/>
      <c r="AF83" s="71"/>
      <c r="AG83" s="71"/>
      <c r="AH83" s="71"/>
      <c r="AK83" s="11"/>
    </row>
    <row r="84" ht="15.75" customHeight="1">
      <c r="C84" s="841"/>
      <c r="E84" s="915"/>
      <c r="G84" s="13"/>
      <c r="H84" s="13"/>
      <c r="I84" s="6"/>
      <c r="J84" s="58"/>
      <c r="K84" s="6"/>
      <c r="L84" s="139"/>
      <c r="M84" s="3"/>
      <c r="N84" s="191"/>
      <c r="O84" s="60"/>
      <c r="Q84" s="67"/>
      <c r="R84" s="65"/>
      <c r="S84" s="3"/>
      <c r="U84" s="67"/>
      <c r="V84" s="67"/>
      <c r="Z84" s="69"/>
      <c r="AA84" s="70"/>
      <c r="AB84" s="71"/>
      <c r="AC84" s="71"/>
      <c r="AD84" s="71"/>
      <c r="AE84" s="71"/>
      <c r="AF84" s="71"/>
      <c r="AG84" s="71"/>
      <c r="AH84" s="71"/>
      <c r="AK84" s="11"/>
    </row>
    <row r="85" ht="15.75" customHeight="1">
      <c r="C85" s="841"/>
      <c r="E85" s="915"/>
      <c r="G85" s="13"/>
      <c r="H85" s="13"/>
      <c r="I85" s="6"/>
      <c r="J85" s="58"/>
      <c r="K85" s="6"/>
      <c r="L85" s="139"/>
      <c r="M85" s="3"/>
      <c r="N85" s="191"/>
      <c r="O85" s="60"/>
      <c r="Q85" s="67"/>
      <c r="R85" s="65"/>
      <c r="S85" s="3"/>
      <c r="U85" s="67"/>
      <c r="V85" s="67"/>
      <c r="Z85" s="69"/>
      <c r="AA85" s="70"/>
      <c r="AB85" s="71"/>
      <c r="AC85" s="71"/>
      <c r="AD85" s="71"/>
      <c r="AE85" s="71"/>
      <c r="AF85" s="71"/>
      <c r="AG85" s="71"/>
      <c r="AH85" s="71"/>
      <c r="AK85" s="11"/>
    </row>
    <row r="86" ht="15.75" customHeight="1">
      <c r="C86" s="841"/>
      <c r="E86" s="915"/>
      <c r="G86" s="13"/>
      <c r="H86" s="13"/>
      <c r="I86" s="6"/>
      <c r="J86" s="58"/>
      <c r="K86" s="6"/>
      <c r="L86" s="139"/>
      <c r="M86" s="3"/>
      <c r="N86" s="191"/>
      <c r="O86" s="60"/>
      <c r="Q86" s="67"/>
      <c r="R86" s="65"/>
      <c r="S86" s="3"/>
      <c r="U86" s="67"/>
      <c r="V86" s="67"/>
      <c r="Z86" s="69"/>
      <c r="AA86" s="70"/>
      <c r="AB86" s="71"/>
      <c r="AC86" s="71"/>
      <c r="AD86" s="71"/>
      <c r="AE86" s="71"/>
      <c r="AF86" s="71"/>
      <c r="AG86" s="71"/>
      <c r="AH86" s="71"/>
      <c r="AK86" s="11"/>
    </row>
    <row r="87" ht="15.75" customHeight="1">
      <c r="C87" s="841"/>
      <c r="E87" s="915"/>
      <c r="G87" s="13"/>
      <c r="H87" s="13"/>
      <c r="I87" s="6"/>
      <c r="J87" s="58"/>
      <c r="K87" s="6"/>
      <c r="L87" s="139"/>
      <c r="M87" s="3"/>
      <c r="N87" s="191"/>
      <c r="O87" s="60"/>
      <c r="Q87" s="67"/>
      <c r="R87" s="65"/>
      <c r="S87" s="3"/>
      <c r="U87" s="67"/>
      <c r="V87" s="67"/>
      <c r="Z87" s="69"/>
      <c r="AA87" s="70"/>
      <c r="AB87" s="71"/>
      <c r="AC87" s="71"/>
      <c r="AD87" s="71"/>
      <c r="AE87" s="71"/>
      <c r="AF87" s="71"/>
      <c r="AG87" s="71"/>
      <c r="AH87" s="71"/>
      <c r="AK87" s="11"/>
    </row>
    <row r="88" ht="15.75" customHeight="1">
      <c r="C88" s="841"/>
      <c r="E88" s="915"/>
      <c r="G88" s="13"/>
      <c r="H88" s="13"/>
      <c r="I88" s="6"/>
      <c r="J88" s="58"/>
      <c r="K88" s="6"/>
      <c r="L88" s="139"/>
      <c r="M88" s="3"/>
      <c r="N88" s="191"/>
      <c r="O88" s="60"/>
      <c r="Q88" s="67"/>
      <c r="R88" s="65"/>
      <c r="S88" s="3"/>
      <c r="U88" s="67"/>
      <c r="V88" s="67"/>
      <c r="Z88" s="69"/>
      <c r="AA88" s="70"/>
      <c r="AB88" s="71"/>
      <c r="AC88" s="71"/>
      <c r="AD88" s="71"/>
      <c r="AE88" s="71"/>
      <c r="AF88" s="71"/>
      <c r="AG88" s="71"/>
      <c r="AH88" s="71"/>
      <c r="AK88" s="11"/>
    </row>
    <row r="89" ht="15.75" customHeight="1">
      <c r="C89" s="841"/>
      <c r="E89" s="915"/>
      <c r="G89" s="13"/>
      <c r="H89" s="13"/>
      <c r="I89" s="6"/>
      <c r="J89" s="58"/>
      <c r="K89" s="6"/>
      <c r="L89" s="139"/>
      <c r="M89" s="3"/>
      <c r="N89" s="191"/>
      <c r="O89" s="60"/>
      <c r="Q89" s="67"/>
      <c r="R89" s="65"/>
      <c r="S89" s="3"/>
      <c r="U89" s="67"/>
      <c r="V89" s="67"/>
      <c r="Z89" s="69"/>
      <c r="AA89" s="70"/>
      <c r="AB89" s="71"/>
      <c r="AC89" s="71"/>
      <c r="AD89" s="71"/>
      <c r="AE89" s="71"/>
      <c r="AF89" s="71"/>
      <c r="AG89" s="71"/>
      <c r="AH89" s="71"/>
      <c r="AK89" s="11"/>
    </row>
    <row r="90" ht="15.75" customHeight="1">
      <c r="C90" s="841"/>
      <c r="E90" s="915"/>
      <c r="G90" s="13"/>
      <c r="H90" s="13"/>
      <c r="I90" s="6"/>
      <c r="J90" s="58"/>
      <c r="K90" s="6"/>
      <c r="L90" s="139"/>
      <c r="M90" s="3"/>
      <c r="N90" s="191"/>
      <c r="O90" s="60"/>
      <c r="Q90" s="67"/>
      <c r="R90" s="65"/>
      <c r="S90" s="3"/>
      <c r="U90" s="67"/>
      <c r="V90" s="67"/>
      <c r="Z90" s="69"/>
      <c r="AA90" s="70"/>
      <c r="AB90" s="71"/>
      <c r="AC90" s="71"/>
      <c r="AD90" s="71"/>
      <c r="AE90" s="71"/>
      <c r="AF90" s="71"/>
      <c r="AG90" s="71"/>
      <c r="AH90" s="71"/>
      <c r="AK90" s="11"/>
    </row>
    <row r="91" ht="15.75" customHeight="1">
      <c r="C91" s="841"/>
      <c r="E91" s="915"/>
      <c r="G91" s="13"/>
      <c r="H91" s="13"/>
      <c r="I91" s="6"/>
      <c r="J91" s="58"/>
      <c r="K91" s="6"/>
      <c r="L91" s="139"/>
      <c r="M91" s="3"/>
      <c r="N91" s="191"/>
      <c r="O91" s="60"/>
      <c r="Q91" s="67"/>
      <c r="R91" s="65"/>
      <c r="S91" s="3"/>
      <c r="U91" s="67"/>
      <c r="V91" s="67"/>
      <c r="Z91" s="69"/>
      <c r="AA91" s="70"/>
      <c r="AB91" s="71"/>
      <c r="AC91" s="71"/>
      <c r="AD91" s="71"/>
      <c r="AE91" s="71"/>
      <c r="AF91" s="71"/>
      <c r="AG91" s="71"/>
      <c r="AH91" s="71"/>
      <c r="AK91" s="11"/>
    </row>
    <row r="92" ht="15.75" customHeight="1">
      <c r="C92" s="841"/>
      <c r="E92" s="915"/>
      <c r="G92" s="13"/>
      <c r="H92" s="13"/>
      <c r="I92" s="6"/>
      <c r="J92" s="58"/>
      <c r="K92" s="6"/>
      <c r="L92" s="139"/>
      <c r="M92" s="3"/>
      <c r="N92" s="191"/>
      <c r="O92" s="60"/>
      <c r="Q92" s="67"/>
      <c r="R92" s="65"/>
      <c r="S92" s="3"/>
      <c r="U92" s="67"/>
      <c r="V92" s="67"/>
      <c r="Z92" s="69"/>
      <c r="AA92" s="70"/>
      <c r="AB92" s="71"/>
      <c r="AC92" s="71"/>
      <c r="AD92" s="71"/>
      <c r="AE92" s="71"/>
      <c r="AF92" s="71"/>
      <c r="AG92" s="71"/>
      <c r="AH92" s="71"/>
      <c r="AK92" s="11"/>
    </row>
    <row r="93" ht="15.75" customHeight="1">
      <c r="C93" s="841"/>
      <c r="E93" s="915"/>
      <c r="G93" s="13"/>
      <c r="H93" s="13"/>
      <c r="I93" s="6"/>
      <c r="J93" s="58"/>
      <c r="K93" s="6"/>
      <c r="L93" s="139"/>
      <c r="M93" s="3"/>
      <c r="N93" s="191"/>
      <c r="O93" s="60"/>
      <c r="Q93" s="67"/>
      <c r="R93" s="65"/>
      <c r="S93" s="3"/>
      <c r="U93" s="67"/>
      <c r="V93" s="67"/>
      <c r="Z93" s="69"/>
      <c r="AA93" s="70"/>
      <c r="AB93" s="71"/>
      <c r="AC93" s="71"/>
      <c r="AD93" s="71"/>
      <c r="AE93" s="71"/>
      <c r="AF93" s="71"/>
      <c r="AG93" s="71"/>
      <c r="AH93" s="71"/>
      <c r="AK93" s="11"/>
    </row>
    <row r="94" ht="15.75" customHeight="1">
      <c r="C94" s="841"/>
      <c r="E94" s="915"/>
      <c r="G94" s="13"/>
      <c r="H94" s="13"/>
      <c r="I94" s="6"/>
      <c r="J94" s="58"/>
      <c r="K94" s="6"/>
      <c r="L94" s="139"/>
      <c r="M94" s="3"/>
      <c r="N94" s="191"/>
      <c r="O94" s="60"/>
      <c r="Q94" s="67"/>
      <c r="R94" s="65"/>
      <c r="S94" s="3"/>
      <c r="U94" s="67"/>
      <c r="V94" s="67"/>
      <c r="Z94" s="69"/>
      <c r="AA94" s="70"/>
      <c r="AB94" s="71"/>
      <c r="AC94" s="71"/>
      <c r="AD94" s="71"/>
      <c r="AE94" s="71"/>
      <c r="AF94" s="71"/>
      <c r="AG94" s="71"/>
      <c r="AH94" s="71"/>
      <c r="AK94" s="11"/>
    </row>
    <row r="95" ht="15.75" customHeight="1">
      <c r="C95" s="841"/>
      <c r="E95" s="915"/>
      <c r="G95" s="13"/>
      <c r="H95" s="13"/>
      <c r="I95" s="6"/>
      <c r="J95" s="58"/>
      <c r="K95" s="6"/>
      <c r="L95" s="139"/>
      <c r="M95" s="3"/>
      <c r="N95" s="191"/>
      <c r="O95" s="60"/>
      <c r="Q95" s="67"/>
      <c r="R95" s="65"/>
      <c r="S95" s="3"/>
      <c r="U95" s="67"/>
      <c r="V95" s="67"/>
      <c r="Z95" s="69"/>
      <c r="AA95" s="70"/>
      <c r="AB95" s="71"/>
      <c r="AC95" s="71"/>
      <c r="AD95" s="71"/>
      <c r="AE95" s="71"/>
      <c r="AF95" s="71"/>
      <c r="AG95" s="71"/>
      <c r="AH95" s="71"/>
      <c r="AK95" s="11"/>
    </row>
    <row r="96" ht="15.75" customHeight="1">
      <c r="C96" s="841"/>
      <c r="E96" s="915"/>
      <c r="G96" s="13"/>
      <c r="H96" s="13"/>
      <c r="I96" s="6"/>
      <c r="J96" s="58"/>
      <c r="K96" s="6"/>
      <c r="L96" s="139"/>
      <c r="M96" s="3"/>
      <c r="N96" s="191"/>
      <c r="O96" s="60"/>
      <c r="Q96" s="67"/>
      <c r="R96" s="65"/>
      <c r="S96" s="3"/>
      <c r="U96" s="67"/>
      <c r="V96" s="67"/>
      <c r="Z96" s="69"/>
      <c r="AA96" s="70"/>
      <c r="AB96" s="71"/>
      <c r="AC96" s="71"/>
      <c r="AD96" s="71"/>
      <c r="AE96" s="71"/>
      <c r="AF96" s="71"/>
      <c r="AG96" s="71"/>
      <c r="AH96" s="71"/>
      <c r="AK96" s="11"/>
    </row>
    <row r="97" ht="15.75" customHeight="1">
      <c r="C97" s="841"/>
      <c r="E97" s="915"/>
      <c r="G97" s="13"/>
      <c r="H97" s="13"/>
      <c r="I97" s="6"/>
      <c r="J97" s="58"/>
      <c r="K97" s="6"/>
      <c r="L97" s="139"/>
      <c r="M97" s="3"/>
      <c r="N97" s="191"/>
      <c r="O97" s="60"/>
      <c r="Q97" s="67"/>
      <c r="R97" s="65"/>
      <c r="S97" s="3"/>
      <c r="U97" s="67"/>
      <c r="V97" s="67"/>
      <c r="Z97" s="69"/>
      <c r="AA97" s="70"/>
      <c r="AB97" s="71"/>
      <c r="AC97" s="71"/>
      <c r="AD97" s="71"/>
      <c r="AE97" s="71"/>
      <c r="AF97" s="71"/>
      <c r="AG97" s="71"/>
      <c r="AH97" s="71"/>
      <c r="AK97" s="11"/>
    </row>
    <row r="98" ht="15.75" customHeight="1">
      <c r="C98" s="841"/>
      <c r="E98" s="915"/>
      <c r="G98" s="13"/>
      <c r="H98" s="13"/>
      <c r="I98" s="6"/>
      <c r="J98" s="58"/>
      <c r="K98" s="6"/>
      <c r="L98" s="139"/>
      <c r="M98" s="3"/>
      <c r="N98" s="191"/>
      <c r="O98" s="60"/>
      <c r="Q98" s="67"/>
      <c r="R98" s="65"/>
      <c r="S98" s="3"/>
      <c r="U98" s="67"/>
      <c r="V98" s="67"/>
      <c r="Z98" s="69"/>
      <c r="AA98" s="70"/>
      <c r="AB98" s="71"/>
      <c r="AC98" s="71"/>
      <c r="AD98" s="71"/>
      <c r="AE98" s="71"/>
      <c r="AF98" s="71"/>
      <c r="AG98" s="71"/>
      <c r="AH98" s="71"/>
      <c r="AK98" s="11"/>
    </row>
    <row r="99" ht="15.75" customHeight="1">
      <c r="C99" s="841"/>
      <c r="E99" s="915"/>
      <c r="G99" s="13"/>
      <c r="H99" s="13"/>
      <c r="I99" s="6"/>
      <c r="J99" s="58"/>
      <c r="K99" s="6"/>
      <c r="L99" s="139"/>
      <c r="M99" s="3"/>
      <c r="N99" s="191"/>
      <c r="O99" s="60"/>
      <c r="Q99" s="67"/>
      <c r="R99" s="65"/>
      <c r="S99" s="3"/>
      <c r="U99" s="67"/>
      <c r="V99" s="67"/>
      <c r="Z99" s="69"/>
      <c r="AA99" s="70"/>
      <c r="AB99" s="71"/>
      <c r="AC99" s="71"/>
      <c r="AD99" s="71"/>
      <c r="AE99" s="71"/>
      <c r="AF99" s="71"/>
      <c r="AG99" s="71"/>
      <c r="AH99" s="71"/>
      <c r="AK99" s="11"/>
    </row>
    <row r="100" ht="15.75" customHeight="1">
      <c r="C100" s="841"/>
      <c r="E100" s="915"/>
      <c r="G100" s="13"/>
      <c r="H100" s="13"/>
      <c r="I100" s="6"/>
      <c r="J100" s="58"/>
      <c r="K100" s="6"/>
      <c r="L100" s="139"/>
      <c r="M100" s="3"/>
      <c r="N100" s="191"/>
      <c r="O100" s="60"/>
      <c r="Q100" s="67"/>
      <c r="R100" s="65"/>
      <c r="S100" s="3"/>
      <c r="U100" s="67"/>
      <c r="V100" s="67"/>
      <c r="Z100" s="69"/>
      <c r="AA100" s="70"/>
      <c r="AB100" s="71"/>
      <c r="AC100" s="71"/>
      <c r="AD100" s="71"/>
      <c r="AE100" s="71"/>
      <c r="AF100" s="71"/>
      <c r="AG100" s="71"/>
      <c r="AH100" s="71"/>
      <c r="AK100" s="11"/>
    </row>
    <row r="101" ht="15.75" customHeight="1">
      <c r="C101" s="841"/>
      <c r="E101" s="915"/>
      <c r="G101" s="13"/>
      <c r="H101" s="13"/>
      <c r="I101" s="6"/>
      <c r="J101" s="58"/>
      <c r="K101" s="6"/>
      <c r="L101" s="139"/>
      <c r="M101" s="3"/>
      <c r="N101" s="191"/>
      <c r="O101" s="60"/>
      <c r="Q101" s="67"/>
      <c r="R101" s="65"/>
      <c r="S101" s="3"/>
      <c r="U101" s="67"/>
      <c r="V101" s="67"/>
      <c r="Z101" s="69"/>
      <c r="AA101" s="70"/>
      <c r="AB101" s="71"/>
      <c r="AC101" s="71"/>
      <c r="AD101" s="71"/>
      <c r="AE101" s="71"/>
      <c r="AF101" s="71"/>
      <c r="AG101" s="71"/>
      <c r="AH101" s="71"/>
      <c r="AK101" s="11"/>
    </row>
    <row r="102" ht="15.75" customHeight="1">
      <c r="C102" s="841"/>
      <c r="E102" s="915"/>
      <c r="G102" s="13"/>
      <c r="H102" s="13"/>
      <c r="I102" s="6"/>
      <c r="J102" s="58"/>
      <c r="K102" s="6"/>
      <c r="L102" s="139"/>
      <c r="M102" s="3"/>
      <c r="N102" s="191"/>
      <c r="O102" s="60"/>
      <c r="Q102" s="67"/>
      <c r="R102" s="65"/>
      <c r="S102" s="3"/>
      <c r="U102" s="67"/>
      <c r="V102" s="67"/>
      <c r="Z102" s="69"/>
      <c r="AA102" s="70"/>
      <c r="AB102" s="71"/>
      <c r="AC102" s="71"/>
      <c r="AD102" s="71"/>
      <c r="AE102" s="71"/>
      <c r="AF102" s="71"/>
      <c r="AG102" s="71"/>
      <c r="AH102" s="71"/>
      <c r="AK102" s="11"/>
    </row>
    <row r="103" ht="15.75" customHeight="1">
      <c r="C103" s="841"/>
      <c r="E103" s="915"/>
      <c r="G103" s="13"/>
      <c r="H103" s="13"/>
      <c r="I103" s="6"/>
      <c r="J103" s="58"/>
      <c r="K103" s="6"/>
      <c r="L103" s="139"/>
      <c r="M103" s="3"/>
      <c r="N103" s="191"/>
      <c r="O103" s="60"/>
      <c r="Q103" s="67"/>
      <c r="R103" s="65"/>
      <c r="S103" s="3"/>
      <c r="U103" s="67"/>
      <c r="V103" s="67"/>
      <c r="Z103" s="69"/>
      <c r="AA103" s="70"/>
      <c r="AB103" s="71"/>
      <c r="AC103" s="71"/>
      <c r="AD103" s="71"/>
      <c r="AE103" s="71"/>
      <c r="AF103" s="71"/>
      <c r="AG103" s="71"/>
      <c r="AH103" s="71"/>
      <c r="AK103" s="11"/>
    </row>
    <row r="104" ht="15.75" customHeight="1">
      <c r="C104" s="841"/>
      <c r="E104" s="915"/>
      <c r="G104" s="13"/>
      <c r="H104" s="13"/>
      <c r="I104" s="6"/>
      <c r="J104" s="58"/>
      <c r="K104" s="6"/>
      <c r="L104" s="139"/>
      <c r="M104" s="3"/>
      <c r="N104" s="191"/>
      <c r="O104" s="60"/>
      <c r="Q104" s="67"/>
      <c r="R104" s="65"/>
      <c r="S104" s="3"/>
      <c r="U104" s="67"/>
      <c r="V104" s="67"/>
      <c r="Z104" s="69"/>
      <c r="AA104" s="70"/>
      <c r="AB104" s="71"/>
      <c r="AC104" s="71"/>
      <c r="AD104" s="71"/>
      <c r="AE104" s="71"/>
      <c r="AF104" s="71"/>
      <c r="AG104" s="71"/>
      <c r="AH104" s="71"/>
      <c r="AK104" s="11"/>
    </row>
    <row r="105" ht="15.75" customHeight="1">
      <c r="C105" s="841"/>
      <c r="E105" s="915"/>
      <c r="G105" s="13"/>
      <c r="H105" s="13"/>
      <c r="I105" s="6"/>
      <c r="J105" s="58"/>
      <c r="K105" s="6"/>
      <c r="L105" s="139"/>
      <c r="M105" s="3"/>
      <c r="N105" s="191"/>
      <c r="O105" s="60"/>
      <c r="Q105" s="67"/>
      <c r="R105" s="65"/>
      <c r="S105" s="3"/>
      <c r="U105" s="67"/>
      <c r="V105" s="67"/>
      <c r="Z105" s="69"/>
      <c r="AA105" s="70"/>
      <c r="AB105" s="71"/>
      <c r="AC105" s="71"/>
      <c r="AD105" s="71"/>
      <c r="AE105" s="71"/>
      <c r="AF105" s="71"/>
      <c r="AG105" s="71"/>
      <c r="AH105" s="71"/>
      <c r="AK105" s="11"/>
    </row>
    <row r="106" ht="15.75" customHeight="1">
      <c r="C106" s="841"/>
      <c r="E106" s="915"/>
      <c r="G106" s="13"/>
      <c r="H106" s="13"/>
      <c r="I106" s="6"/>
      <c r="J106" s="58"/>
      <c r="K106" s="6"/>
      <c r="L106" s="139"/>
      <c r="M106" s="3"/>
      <c r="N106" s="191"/>
      <c r="O106" s="60"/>
      <c r="Q106" s="67"/>
      <c r="R106" s="65"/>
      <c r="S106" s="3"/>
      <c r="U106" s="67"/>
      <c r="V106" s="67"/>
      <c r="Z106" s="69"/>
      <c r="AA106" s="70"/>
      <c r="AB106" s="71"/>
      <c r="AC106" s="71"/>
      <c r="AD106" s="71"/>
      <c r="AE106" s="71"/>
      <c r="AF106" s="71"/>
      <c r="AG106" s="71"/>
      <c r="AH106" s="71"/>
      <c r="AK106" s="11"/>
    </row>
    <row r="107" ht="15.75" customHeight="1">
      <c r="C107" s="841"/>
      <c r="E107" s="915"/>
      <c r="G107" s="13"/>
      <c r="H107" s="13"/>
      <c r="I107" s="6"/>
      <c r="J107" s="58"/>
      <c r="K107" s="6"/>
      <c r="L107" s="139"/>
      <c r="M107" s="3"/>
      <c r="N107" s="191"/>
      <c r="O107" s="60"/>
      <c r="Q107" s="67"/>
      <c r="R107" s="65"/>
      <c r="S107" s="3"/>
      <c r="U107" s="67"/>
      <c r="V107" s="67"/>
      <c r="Z107" s="69"/>
      <c r="AA107" s="70"/>
      <c r="AB107" s="71"/>
      <c r="AC107" s="71"/>
      <c r="AD107" s="71"/>
      <c r="AE107" s="71"/>
      <c r="AF107" s="71"/>
      <c r="AG107" s="71"/>
      <c r="AH107" s="71"/>
      <c r="AK107" s="11"/>
    </row>
    <row r="108" ht="15.75" customHeight="1">
      <c r="C108" s="841"/>
      <c r="E108" s="915"/>
      <c r="G108" s="13"/>
      <c r="H108" s="13"/>
      <c r="I108" s="6"/>
      <c r="J108" s="58"/>
      <c r="K108" s="6"/>
      <c r="L108" s="139"/>
      <c r="M108" s="3"/>
      <c r="N108" s="191"/>
      <c r="O108" s="60"/>
      <c r="Q108" s="67"/>
      <c r="R108" s="65"/>
      <c r="S108" s="3"/>
      <c r="U108" s="67"/>
      <c r="V108" s="67"/>
      <c r="Z108" s="69"/>
      <c r="AA108" s="70"/>
      <c r="AB108" s="71"/>
      <c r="AC108" s="71"/>
      <c r="AD108" s="71"/>
      <c r="AE108" s="71"/>
      <c r="AF108" s="71"/>
      <c r="AG108" s="71"/>
      <c r="AH108" s="71"/>
      <c r="AK108" s="11"/>
    </row>
    <row r="109" ht="15.75" customHeight="1">
      <c r="C109" s="841"/>
      <c r="E109" s="915"/>
      <c r="G109" s="13"/>
      <c r="H109" s="13"/>
      <c r="I109" s="6"/>
      <c r="J109" s="58"/>
      <c r="K109" s="6"/>
      <c r="L109" s="139"/>
      <c r="M109" s="3"/>
      <c r="N109" s="191"/>
      <c r="O109" s="60"/>
      <c r="Q109" s="67"/>
      <c r="R109" s="65"/>
      <c r="S109" s="3"/>
      <c r="U109" s="67"/>
      <c r="V109" s="67"/>
      <c r="Z109" s="69"/>
      <c r="AA109" s="70"/>
      <c r="AB109" s="71"/>
      <c r="AC109" s="71"/>
      <c r="AD109" s="71"/>
      <c r="AE109" s="71"/>
      <c r="AF109" s="71"/>
      <c r="AG109" s="71"/>
      <c r="AH109" s="71"/>
      <c r="AK109" s="11"/>
    </row>
    <row r="110" ht="15.75" customHeight="1">
      <c r="C110" s="841"/>
      <c r="E110" s="915"/>
      <c r="G110" s="13"/>
      <c r="H110" s="13"/>
      <c r="I110" s="6"/>
      <c r="J110" s="58"/>
      <c r="K110" s="6"/>
      <c r="L110" s="139"/>
      <c r="M110" s="3"/>
      <c r="N110" s="191"/>
      <c r="O110" s="60"/>
      <c r="Q110" s="67"/>
      <c r="R110" s="65"/>
      <c r="S110" s="3"/>
      <c r="U110" s="67"/>
      <c r="V110" s="67"/>
      <c r="Z110" s="69"/>
      <c r="AA110" s="70"/>
      <c r="AB110" s="71"/>
      <c r="AC110" s="71"/>
      <c r="AD110" s="71"/>
      <c r="AE110" s="71"/>
      <c r="AF110" s="71"/>
      <c r="AG110" s="71"/>
      <c r="AH110" s="71"/>
      <c r="AK110" s="11"/>
    </row>
    <row r="111" ht="15.75" customHeight="1">
      <c r="C111" s="841"/>
      <c r="E111" s="915"/>
      <c r="G111" s="13"/>
      <c r="H111" s="13"/>
      <c r="I111" s="6"/>
      <c r="J111" s="58"/>
      <c r="K111" s="6"/>
      <c r="L111" s="139"/>
      <c r="M111" s="3"/>
      <c r="N111" s="191"/>
      <c r="O111" s="60"/>
      <c r="Q111" s="67"/>
      <c r="R111" s="65"/>
      <c r="S111" s="3"/>
      <c r="U111" s="67"/>
      <c r="V111" s="67"/>
      <c r="Z111" s="69"/>
      <c r="AA111" s="70"/>
      <c r="AB111" s="71"/>
      <c r="AC111" s="71"/>
      <c r="AD111" s="71"/>
      <c r="AE111" s="71"/>
      <c r="AF111" s="71"/>
      <c r="AG111" s="71"/>
      <c r="AH111" s="71"/>
      <c r="AK111" s="11"/>
    </row>
    <row r="112" ht="15.75" customHeight="1">
      <c r="C112" s="841"/>
      <c r="E112" s="915"/>
      <c r="G112" s="13"/>
      <c r="H112" s="13"/>
      <c r="I112" s="6"/>
      <c r="J112" s="58"/>
      <c r="K112" s="6"/>
      <c r="L112" s="139"/>
      <c r="M112" s="3"/>
      <c r="N112" s="191"/>
      <c r="O112" s="60"/>
      <c r="Q112" s="67"/>
      <c r="R112" s="65"/>
      <c r="S112" s="3"/>
      <c r="U112" s="67"/>
      <c r="V112" s="67"/>
      <c r="Z112" s="69"/>
      <c r="AA112" s="70"/>
      <c r="AB112" s="71"/>
      <c r="AC112" s="71"/>
      <c r="AD112" s="71"/>
      <c r="AE112" s="71"/>
      <c r="AF112" s="71"/>
      <c r="AG112" s="71"/>
      <c r="AH112" s="71"/>
      <c r="AK112" s="11"/>
    </row>
    <row r="113" ht="15.75" customHeight="1">
      <c r="C113" s="841"/>
      <c r="E113" s="915"/>
      <c r="G113" s="13"/>
      <c r="H113" s="13"/>
      <c r="I113" s="6"/>
      <c r="J113" s="58"/>
      <c r="K113" s="6"/>
      <c r="L113" s="139"/>
      <c r="M113" s="3"/>
      <c r="N113" s="191"/>
      <c r="O113" s="60"/>
      <c r="Q113" s="67"/>
      <c r="R113" s="65"/>
      <c r="S113" s="3"/>
      <c r="U113" s="67"/>
      <c r="V113" s="67"/>
      <c r="Z113" s="69"/>
      <c r="AA113" s="70"/>
      <c r="AB113" s="71"/>
      <c r="AC113" s="71"/>
      <c r="AD113" s="71"/>
      <c r="AE113" s="71"/>
      <c r="AF113" s="71"/>
      <c r="AG113" s="71"/>
      <c r="AH113" s="71"/>
      <c r="AK113" s="11"/>
    </row>
    <row r="114" ht="15.75" customHeight="1">
      <c r="C114" s="841"/>
      <c r="E114" s="915"/>
      <c r="G114" s="13"/>
      <c r="H114" s="13"/>
      <c r="I114" s="6"/>
      <c r="J114" s="58"/>
      <c r="K114" s="6"/>
      <c r="L114" s="139"/>
      <c r="M114" s="3"/>
      <c r="N114" s="191"/>
      <c r="O114" s="60"/>
      <c r="Q114" s="67"/>
      <c r="R114" s="65"/>
      <c r="S114" s="3"/>
      <c r="U114" s="67"/>
      <c r="V114" s="67"/>
      <c r="Z114" s="69"/>
      <c r="AA114" s="70"/>
      <c r="AB114" s="71"/>
      <c r="AC114" s="71"/>
      <c r="AD114" s="71"/>
      <c r="AE114" s="71"/>
      <c r="AF114" s="71"/>
      <c r="AG114" s="71"/>
      <c r="AH114" s="71"/>
      <c r="AK114" s="11"/>
    </row>
    <row r="115" ht="15.75" customHeight="1">
      <c r="C115" s="841"/>
      <c r="E115" s="915"/>
      <c r="G115" s="13"/>
      <c r="H115" s="13"/>
      <c r="I115" s="6"/>
      <c r="J115" s="58"/>
      <c r="K115" s="6"/>
      <c r="L115" s="139"/>
      <c r="M115" s="3"/>
      <c r="N115" s="191"/>
      <c r="O115" s="60"/>
      <c r="Q115" s="67"/>
      <c r="R115" s="65"/>
      <c r="S115" s="3"/>
      <c r="U115" s="67"/>
      <c r="V115" s="67"/>
      <c r="Z115" s="69"/>
      <c r="AA115" s="70"/>
      <c r="AB115" s="71"/>
      <c r="AC115" s="71"/>
      <c r="AD115" s="71"/>
      <c r="AE115" s="71"/>
      <c r="AF115" s="71"/>
      <c r="AG115" s="71"/>
      <c r="AH115" s="71"/>
      <c r="AK115" s="11"/>
    </row>
    <row r="116" ht="15.75" customHeight="1">
      <c r="C116" s="841"/>
      <c r="E116" s="915"/>
      <c r="G116" s="13"/>
      <c r="H116" s="13"/>
      <c r="I116" s="6"/>
      <c r="J116" s="58"/>
      <c r="K116" s="6"/>
      <c r="L116" s="139"/>
      <c r="M116" s="3"/>
      <c r="N116" s="191"/>
      <c r="O116" s="60"/>
      <c r="Q116" s="67"/>
      <c r="R116" s="65"/>
      <c r="S116" s="3"/>
      <c r="U116" s="67"/>
      <c r="V116" s="67"/>
      <c r="Z116" s="69"/>
      <c r="AA116" s="70"/>
      <c r="AB116" s="71"/>
      <c r="AC116" s="71"/>
      <c r="AD116" s="71"/>
      <c r="AE116" s="71"/>
      <c r="AF116" s="71"/>
      <c r="AG116" s="71"/>
      <c r="AH116" s="71"/>
      <c r="AK116" s="11"/>
    </row>
    <row r="117" ht="15.75" customHeight="1">
      <c r="C117" s="841"/>
      <c r="E117" s="915"/>
      <c r="G117" s="13"/>
      <c r="H117" s="13"/>
      <c r="I117" s="6"/>
      <c r="J117" s="58"/>
      <c r="K117" s="6"/>
      <c r="L117" s="139"/>
      <c r="M117" s="3"/>
      <c r="N117" s="191"/>
      <c r="O117" s="60"/>
      <c r="Q117" s="67"/>
      <c r="R117" s="65"/>
      <c r="S117" s="3"/>
      <c r="U117" s="67"/>
      <c r="V117" s="67"/>
      <c r="Z117" s="69"/>
      <c r="AA117" s="70"/>
      <c r="AB117" s="71"/>
      <c r="AC117" s="71"/>
      <c r="AD117" s="71"/>
      <c r="AE117" s="71"/>
      <c r="AF117" s="71"/>
      <c r="AG117" s="71"/>
      <c r="AH117" s="71"/>
      <c r="AK117" s="11"/>
    </row>
    <row r="118" ht="15.75" customHeight="1">
      <c r="C118" s="841"/>
      <c r="E118" s="915"/>
      <c r="G118" s="13"/>
      <c r="H118" s="13"/>
      <c r="I118" s="6"/>
      <c r="J118" s="58"/>
      <c r="K118" s="6"/>
      <c r="L118" s="139"/>
      <c r="M118" s="3"/>
      <c r="N118" s="191"/>
      <c r="O118" s="60"/>
      <c r="Q118" s="67"/>
      <c r="R118" s="65"/>
      <c r="S118" s="3"/>
      <c r="U118" s="67"/>
      <c r="V118" s="67"/>
      <c r="Z118" s="69"/>
      <c r="AA118" s="70"/>
      <c r="AB118" s="71"/>
      <c r="AC118" s="71"/>
      <c r="AD118" s="71"/>
      <c r="AE118" s="71"/>
      <c r="AF118" s="71"/>
      <c r="AG118" s="71"/>
      <c r="AH118" s="71"/>
      <c r="AK118" s="11"/>
    </row>
    <row r="119" ht="15.75" customHeight="1">
      <c r="C119" s="841"/>
      <c r="E119" s="915"/>
      <c r="G119" s="13"/>
      <c r="H119" s="13"/>
      <c r="I119" s="6"/>
      <c r="J119" s="58"/>
      <c r="K119" s="6"/>
      <c r="L119" s="139"/>
      <c r="M119" s="3"/>
      <c r="N119" s="191"/>
      <c r="O119" s="60"/>
      <c r="Q119" s="67"/>
      <c r="R119" s="65"/>
      <c r="S119" s="3"/>
      <c r="U119" s="67"/>
      <c r="V119" s="67"/>
      <c r="Z119" s="69"/>
      <c r="AA119" s="70"/>
      <c r="AB119" s="71"/>
      <c r="AC119" s="71"/>
      <c r="AD119" s="71"/>
      <c r="AE119" s="71"/>
      <c r="AF119" s="71"/>
      <c r="AG119" s="71"/>
      <c r="AH119" s="71"/>
      <c r="AK119" s="11"/>
    </row>
    <row r="120" ht="15.75" customHeight="1">
      <c r="C120" s="841"/>
      <c r="E120" s="915"/>
      <c r="G120" s="13"/>
      <c r="H120" s="13"/>
      <c r="I120" s="6"/>
      <c r="J120" s="58"/>
      <c r="K120" s="6"/>
      <c r="L120" s="139"/>
      <c r="M120" s="3"/>
      <c r="N120" s="191"/>
      <c r="O120" s="60"/>
      <c r="Q120" s="67"/>
      <c r="R120" s="65"/>
      <c r="S120" s="3"/>
      <c r="U120" s="67"/>
      <c r="V120" s="67"/>
      <c r="Z120" s="69"/>
      <c r="AA120" s="70"/>
      <c r="AB120" s="71"/>
      <c r="AC120" s="71"/>
      <c r="AD120" s="71"/>
      <c r="AE120" s="71"/>
      <c r="AF120" s="71"/>
      <c r="AG120" s="71"/>
      <c r="AH120" s="71"/>
      <c r="AK120" s="11"/>
    </row>
    <row r="121" ht="15.75" customHeight="1">
      <c r="C121" s="841"/>
      <c r="E121" s="915"/>
      <c r="G121" s="13"/>
      <c r="H121" s="13"/>
      <c r="I121" s="6"/>
      <c r="J121" s="58"/>
      <c r="K121" s="6"/>
      <c r="L121" s="139"/>
      <c r="M121" s="3"/>
      <c r="N121" s="191"/>
      <c r="O121" s="60"/>
      <c r="Q121" s="67"/>
      <c r="R121" s="65"/>
      <c r="S121" s="3"/>
      <c r="U121" s="67"/>
      <c r="V121" s="67"/>
      <c r="Z121" s="69"/>
      <c r="AA121" s="70"/>
      <c r="AB121" s="71"/>
      <c r="AC121" s="71"/>
      <c r="AD121" s="71"/>
      <c r="AE121" s="71"/>
      <c r="AF121" s="71"/>
      <c r="AG121" s="71"/>
      <c r="AH121" s="71"/>
      <c r="AK121" s="11"/>
    </row>
    <row r="122" ht="15.75" customHeight="1">
      <c r="C122" s="841"/>
      <c r="E122" s="915"/>
      <c r="G122" s="13"/>
      <c r="H122" s="13"/>
      <c r="I122" s="6"/>
      <c r="J122" s="58"/>
      <c r="K122" s="6"/>
      <c r="L122" s="139"/>
      <c r="M122" s="3"/>
      <c r="N122" s="191"/>
      <c r="O122" s="60"/>
      <c r="Q122" s="67"/>
      <c r="R122" s="65"/>
      <c r="S122" s="3"/>
      <c r="U122" s="67"/>
      <c r="V122" s="67"/>
      <c r="Z122" s="69"/>
      <c r="AA122" s="70"/>
      <c r="AB122" s="71"/>
      <c r="AC122" s="71"/>
      <c r="AD122" s="71"/>
      <c r="AE122" s="71"/>
      <c r="AF122" s="71"/>
      <c r="AG122" s="71"/>
      <c r="AH122" s="71"/>
      <c r="AK122" s="11"/>
    </row>
    <row r="123" ht="15.75" customHeight="1">
      <c r="C123" s="841"/>
      <c r="E123" s="915"/>
      <c r="G123" s="13"/>
      <c r="H123" s="13"/>
      <c r="I123" s="6"/>
      <c r="J123" s="58"/>
      <c r="K123" s="6"/>
      <c r="L123" s="139"/>
      <c r="M123" s="3"/>
      <c r="N123" s="191"/>
      <c r="O123" s="60"/>
      <c r="Q123" s="67"/>
      <c r="R123" s="65"/>
      <c r="S123" s="3"/>
      <c r="U123" s="67"/>
      <c r="V123" s="67"/>
      <c r="Z123" s="69"/>
      <c r="AA123" s="70"/>
      <c r="AB123" s="71"/>
      <c r="AC123" s="71"/>
      <c r="AD123" s="71"/>
      <c r="AE123" s="71"/>
      <c r="AF123" s="71"/>
      <c r="AG123" s="71"/>
      <c r="AH123" s="71"/>
      <c r="AK123" s="11"/>
    </row>
    <row r="124" ht="15.75" customHeight="1">
      <c r="C124" s="841"/>
      <c r="E124" s="915"/>
      <c r="G124" s="13"/>
      <c r="H124" s="13"/>
      <c r="I124" s="6"/>
      <c r="J124" s="58"/>
      <c r="K124" s="6"/>
      <c r="L124" s="139"/>
      <c r="M124" s="3"/>
      <c r="N124" s="191"/>
      <c r="O124" s="60"/>
      <c r="Q124" s="67"/>
      <c r="R124" s="65"/>
      <c r="S124" s="3"/>
      <c r="U124" s="67"/>
      <c r="V124" s="67"/>
      <c r="Z124" s="69"/>
      <c r="AA124" s="70"/>
      <c r="AB124" s="71"/>
      <c r="AC124" s="71"/>
      <c r="AD124" s="71"/>
      <c r="AE124" s="71"/>
      <c r="AF124" s="71"/>
      <c r="AG124" s="71"/>
      <c r="AH124" s="71"/>
      <c r="AK124" s="11"/>
    </row>
    <row r="125" ht="15.75" customHeight="1">
      <c r="C125" s="841"/>
      <c r="E125" s="915"/>
      <c r="G125" s="13"/>
      <c r="H125" s="13"/>
      <c r="I125" s="6"/>
      <c r="J125" s="58"/>
      <c r="K125" s="6"/>
      <c r="L125" s="139"/>
      <c r="M125" s="3"/>
      <c r="N125" s="191"/>
      <c r="O125" s="60"/>
      <c r="Q125" s="67"/>
      <c r="R125" s="65"/>
      <c r="S125" s="3"/>
      <c r="U125" s="67"/>
      <c r="V125" s="67"/>
      <c r="Z125" s="69"/>
      <c r="AA125" s="70"/>
      <c r="AB125" s="71"/>
      <c r="AC125" s="71"/>
      <c r="AD125" s="71"/>
      <c r="AE125" s="71"/>
      <c r="AF125" s="71"/>
      <c r="AG125" s="71"/>
      <c r="AH125" s="71"/>
      <c r="AK125" s="11"/>
    </row>
    <row r="126" ht="15.75" customHeight="1">
      <c r="C126" s="841"/>
      <c r="E126" s="915"/>
      <c r="G126" s="13"/>
      <c r="H126" s="13"/>
      <c r="I126" s="6"/>
      <c r="J126" s="58"/>
      <c r="K126" s="6"/>
      <c r="L126" s="139"/>
      <c r="M126" s="3"/>
      <c r="N126" s="191"/>
      <c r="O126" s="60"/>
      <c r="Q126" s="67"/>
      <c r="R126" s="65"/>
      <c r="S126" s="3"/>
      <c r="U126" s="67"/>
      <c r="V126" s="67"/>
      <c r="Z126" s="69"/>
      <c r="AA126" s="70"/>
      <c r="AB126" s="71"/>
      <c r="AC126" s="71"/>
      <c r="AD126" s="71"/>
      <c r="AE126" s="71"/>
      <c r="AF126" s="71"/>
      <c r="AG126" s="71"/>
      <c r="AH126" s="71"/>
      <c r="AK126" s="11"/>
    </row>
    <row r="127" ht="15.75" customHeight="1">
      <c r="C127" s="841"/>
      <c r="E127" s="915"/>
      <c r="G127" s="13"/>
      <c r="H127" s="13"/>
      <c r="I127" s="6"/>
      <c r="J127" s="58"/>
      <c r="K127" s="6"/>
      <c r="L127" s="139"/>
      <c r="M127" s="3"/>
      <c r="N127" s="191"/>
      <c r="O127" s="60"/>
      <c r="Q127" s="67"/>
      <c r="R127" s="65"/>
      <c r="S127" s="3"/>
      <c r="U127" s="67"/>
      <c r="V127" s="67"/>
      <c r="Z127" s="69"/>
      <c r="AA127" s="70"/>
      <c r="AB127" s="71"/>
      <c r="AC127" s="71"/>
      <c r="AD127" s="71"/>
      <c r="AE127" s="71"/>
      <c r="AF127" s="71"/>
      <c r="AG127" s="71"/>
      <c r="AH127" s="71"/>
      <c r="AK127" s="11"/>
    </row>
    <row r="128" ht="15.75" customHeight="1">
      <c r="C128" s="841"/>
      <c r="E128" s="915"/>
      <c r="G128" s="13"/>
      <c r="H128" s="13"/>
      <c r="I128" s="6"/>
      <c r="J128" s="58"/>
      <c r="K128" s="6"/>
      <c r="L128" s="139"/>
      <c r="M128" s="3"/>
      <c r="N128" s="191"/>
      <c r="O128" s="60"/>
      <c r="Q128" s="67"/>
      <c r="R128" s="65"/>
      <c r="S128" s="3"/>
      <c r="U128" s="67"/>
      <c r="V128" s="67"/>
      <c r="Z128" s="69"/>
      <c r="AA128" s="70"/>
      <c r="AB128" s="71"/>
      <c r="AC128" s="71"/>
      <c r="AD128" s="71"/>
      <c r="AE128" s="71"/>
      <c r="AF128" s="71"/>
      <c r="AG128" s="71"/>
      <c r="AH128" s="71"/>
      <c r="AK128" s="11"/>
    </row>
    <row r="129" ht="15.75" customHeight="1">
      <c r="C129" s="841"/>
      <c r="E129" s="915"/>
      <c r="G129" s="13"/>
      <c r="H129" s="13"/>
      <c r="I129" s="6"/>
      <c r="J129" s="58"/>
      <c r="K129" s="6"/>
      <c r="L129" s="139"/>
      <c r="M129" s="3"/>
      <c r="N129" s="191"/>
      <c r="O129" s="60"/>
      <c r="Q129" s="67"/>
      <c r="R129" s="65"/>
      <c r="S129" s="3"/>
      <c r="U129" s="67"/>
      <c r="V129" s="67"/>
      <c r="Z129" s="69"/>
      <c r="AA129" s="70"/>
      <c r="AB129" s="71"/>
      <c r="AC129" s="71"/>
      <c r="AD129" s="71"/>
      <c r="AE129" s="71"/>
      <c r="AF129" s="71"/>
      <c r="AG129" s="71"/>
      <c r="AH129" s="71"/>
      <c r="AK129" s="11"/>
    </row>
    <row r="130" ht="15.75" customHeight="1">
      <c r="C130" s="841"/>
      <c r="E130" s="915"/>
      <c r="G130" s="13"/>
      <c r="H130" s="13"/>
      <c r="I130" s="6"/>
      <c r="J130" s="58"/>
      <c r="K130" s="6"/>
      <c r="L130" s="139"/>
      <c r="M130" s="3"/>
      <c r="N130" s="191"/>
      <c r="O130" s="60"/>
      <c r="Q130" s="67"/>
      <c r="R130" s="65"/>
      <c r="S130" s="3"/>
      <c r="U130" s="67"/>
      <c r="V130" s="67"/>
      <c r="Z130" s="69"/>
      <c r="AA130" s="70"/>
      <c r="AB130" s="71"/>
      <c r="AC130" s="71"/>
      <c r="AD130" s="71"/>
      <c r="AE130" s="71"/>
      <c r="AF130" s="71"/>
      <c r="AG130" s="71"/>
      <c r="AH130" s="71"/>
      <c r="AK130" s="11"/>
    </row>
    <row r="131" ht="15.75" customHeight="1">
      <c r="C131" s="841"/>
      <c r="E131" s="915"/>
      <c r="G131" s="13"/>
      <c r="H131" s="13"/>
      <c r="I131" s="6"/>
      <c r="J131" s="58"/>
      <c r="K131" s="6"/>
      <c r="L131" s="139"/>
      <c r="M131" s="3"/>
      <c r="N131" s="191"/>
      <c r="O131" s="60"/>
      <c r="Q131" s="67"/>
      <c r="R131" s="65"/>
      <c r="S131" s="3"/>
      <c r="U131" s="67"/>
      <c r="V131" s="67"/>
      <c r="Z131" s="69"/>
      <c r="AA131" s="70"/>
      <c r="AB131" s="71"/>
      <c r="AC131" s="71"/>
      <c r="AD131" s="71"/>
      <c r="AE131" s="71"/>
      <c r="AF131" s="71"/>
      <c r="AG131" s="71"/>
      <c r="AH131" s="71"/>
      <c r="AK131" s="11"/>
    </row>
    <row r="132" ht="15.75" customHeight="1">
      <c r="C132" s="841"/>
      <c r="E132" s="915"/>
      <c r="G132" s="13"/>
      <c r="H132" s="13"/>
      <c r="I132" s="6"/>
      <c r="J132" s="58"/>
      <c r="K132" s="6"/>
      <c r="L132" s="139"/>
      <c r="M132" s="3"/>
      <c r="N132" s="191"/>
      <c r="O132" s="60"/>
      <c r="Q132" s="67"/>
      <c r="R132" s="65"/>
      <c r="S132" s="3"/>
      <c r="U132" s="67"/>
      <c r="V132" s="67"/>
      <c r="Z132" s="69"/>
      <c r="AA132" s="70"/>
      <c r="AB132" s="71"/>
      <c r="AC132" s="71"/>
      <c r="AD132" s="71"/>
      <c r="AE132" s="71"/>
      <c r="AF132" s="71"/>
      <c r="AG132" s="71"/>
      <c r="AH132" s="71"/>
      <c r="AK132" s="11"/>
    </row>
    <row r="133" ht="15.75" customHeight="1">
      <c r="C133" s="841"/>
      <c r="E133" s="915"/>
      <c r="G133" s="13"/>
      <c r="H133" s="13"/>
      <c r="I133" s="6"/>
      <c r="J133" s="58"/>
      <c r="K133" s="6"/>
      <c r="L133" s="139"/>
      <c r="M133" s="3"/>
      <c r="N133" s="191"/>
      <c r="O133" s="60"/>
      <c r="Q133" s="67"/>
      <c r="R133" s="65"/>
      <c r="S133" s="3"/>
      <c r="U133" s="67"/>
      <c r="V133" s="67"/>
      <c r="Z133" s="69"/>
      <c r="AA133" s="70"/>
      <c r="AB133" s="71"/>
      <c r="AC133" s="71"/>
      <c r="AD133" s="71"/>
      <c r="AE133" s="71"/>
      <c r="AF133" s="71"/>
      <c r="AG133" s="71"/>
      <c r="AH133" s="71"/>
      <c r="AK133" s="11"/>
    </row>
    <row r="134" ht="15.75" customHeight="1">
      <c r="C134" s="841"/>
      <c r="E134" s="915"/>
      <c r="G134" s="13"/>
      <c r="H134" s="13"/>
      <c r="I134" s="6"/>
      <c r="J134" s="58"/>
      <c r="K134" s="6"/>
      <c r="L134" s="139"/>
      <c r="M134" s="3"/>
      <c r="N134" s="191"/>
      <c r="O134" s="60"/>
      <c r="Q134" s="67"/>
      <c r="R134" s="65"/>
      <c r="S134" s="3"/>
      <c r="U134" s="67"/>
      <c r="V134" s="67"/>
      <c r="Z134" s="69"/>
      <c r="AA134" s="70"/>
      <c r="AB134" s="71"/>
      <c r="AC134" s="71"/>
      <c r="AD134" s="71"/>
      <c r="AE134" s="71"/>
      <c r="AF134" s="71"/>
      <c r="AG134" s="71"/>
      <c r="AH134" s="71"/>
      <c r="AK134" s="11"/>
    </row>
    <row r="135" ht="15.75" customHeight="1">
      <c r="C135" s="841"/>
      <c r="E135" s="915"/>
      <c r="G135" s="13"/>
      <c r="H135" s="13"/>
      <c r="I135" s="6"/>
      <c r="J135" s="58"/>
      <c r="K135" s="6"/>
      <c r="L135" s="139"/>
      <c r="M135" s="3"/>
      <c r="N135" s="191"/>
      <c r="O135" s="60"/>
      <c r="Q135" s="67"/>
      <c r="R135" s="65"/>
      <c r="S135" s="3"/>
      <c r="U135" s="67"/>
      <c r="V135" s="67"/>
      <c r="Z135" s="69"/>
      <c r="AA135" s="70"/>
      <c r="AB135" s="71"/>
      <c r="AC135" s="71"/>
      <c r="AD135" s="71"/>
      <c r="AE135" s="71"/>
      <c r="AF135" s="71"/>
      <c r="AG135" s="71"/>
      <c r="AH135" s="71"/>
      <c r="AK135" s="11"/>
    </row>
    <row r="136" ht="15.75" customHeight="1">
      <c r="C136" s="841"/>
      <c r="E136" s="915"/>
      <c r="G136" s="13"/>
      <c r="H136" s="13"/>
      <c r="I136" s="6"/>
      <c r="J136" s="58"/>
      <c r="K136" s="6"/>
      <c r="L136" s="139"/>
      <c r="M136" s="3"/>
      <c r="N136" s="191"/>
      <c r="O136" s="60"/>
      <c r="Q136" s="67"/>
      <c r="R136" s="65"/>
      <c r="S136" s="3"/>
      <c r="U136" s="67"/>
      <c r="V136" s="67"/>
      <c r="Z136" s="69"/>
      <c r="AA136" s="70"/>
      <c r="AB136" s="71"/>
      <c r="AC136" s="71"/>
      <c r="AD136" s="71"/>
      <c r="AE136" s="71"/>
      <c r="AF136" s="71"/>
      <c r="AG136" s="71"/>
      <c r="AH136" s="71"/>
      <c r="AK136" s="11"/>
    </row>
    <row r="137" ht="15.75" customHeight="1">
      <c r="C137" s="841"/>
      <c r="E137" s="915"/>
      <c r="G137" s="13"/>
      <c r="H137" s="13"/>
      <c r="I137" s="6"/>
      <c r="J137" s="58"/>
      <c r="K137" s="6"/>
      <c r="L137" s="139"/>
      <c r="M137" s="3"/>
      <c r="N137" s="191"/>
      <c r="O137" s="60"/>
      <c r="Q137" s="67"/>
      <c r="R137" s="65"/>
      <c r="S137" s="3"/>
      <c r="U137" s="67"/>
      <c r="V137" s="67"/>
      <c r="Z137" s="69"/>
      <c r="AA137" s="70"/>
      <c r="AB137" s="71"/>
      <c r="AC137" s="71"/>
      <c r="AD137" s="71"/>
      <c r="AE137" s="71"/>
      <c r="AF137" s="71"/>
      <c r="AG137" s="71"/>
      <c r="AH137" s="71"/>
      <c r="AK137" s="11"/>
    </row>
    <row r="138" ht="15.75" customHeight="1">
      <c r="C138" s="841"/>
      <c r="E138" s="915"/>
      <c r="G138" s="13"/>
      <c r="H138" s="13"/>
      <c r="I138" s="6"/>
      <c r="J138" s="58"/>
      <c r="K138" s="6"/>
      <c r="L138" s="139"/>
      <c r="M138" s="3"/>
      <c r="N138" s="191"/>
      <c r="O138" s="60"/>
      <c r="Q138" s="67"/>
      <c r="R138" s="65"/>
      <c r="S138" s="3"/>
      <c r="U138" s="67"/>
      <c r="V138" s="67"/>
      <c r="Z138" s="69"/>
      <c r="AA138" s="70"/>
      <c r="AB138" s="71"/>
      <c r="AC138" s="71"/>
      <c r="AD138" s="71"/>
      <c r="AE138" s="71"/>
      <c r="AF138" s="71"/>
      <c r="AG138" s="71"/>
      <c r="AH138" s="71"/>
      <c r="AK138" s="11"/>
    </row>
    <row r="139" ht="15.75" customHeight="1">
      <c r="C139" s="841"/>
      <c r="E139" s="915"/>
      <c r="G139" s="13"/>
      <c r="H139" s="13"/>
      <c r="I139" s="6"/>
      <c r="J139" s="58"/>
      <c r="K139" s="6"/>
      <c r="L139" s="139"/>
      <c r="M139" s="3"/>
      <c r="N139" s="191"/>
      <c r="O139" s="60"/>
      <c r="Q139" s="67"/>
      <c r="R139" s="65"/>
      <c r="S139" s="3"/>
      <c r="U139" s="67"/>
      <c r="V139" s="67"/>
      <c r="Z139" s="69"/>
      <c r="AA139" s="70"/>
      <c r="AB139" s="71"/>
      <c r="AC139" s="71"/>
      <c r="AD139" s="71"/>
      <c r="AE139" s="71"/>
      <c r="AF139" s="71"/>
      <c r="AG139" s="71"/>
      <c r="AH139" s="71"/>
      <c r="AK139" s="11"/>
    </row>
    <row r="140" ht="15.75" customHeight="1">
      <c r="C140" s="841"/>
      <c r="E140" s="915"/>
      <c r="G140" s="13"/>
      <c r="H140" s="13"/>
      <c r="I140" s="6"/>
      <c r="J140" s="58"/>
      <c r="K140" s="6"/>
      <c r="L140" s="139"/>
      <c r="M140" s="3"/>
      <c r="N140" s="191"/>
      <c r="O140" s="60"/>
      <c r="Q140" s="67"/>
      <c r="R140" s="65"/>
      <c r="S140" s="3"/>
      <c r="U140" s="67"/>
      <c r="V140" s="67"/>
      <c r="Z140" s="69"/>
      <c r="AA140" s="70"/>
      <c r="AB140" s="71"/>
      <c r="AC140" s="71"/>
      <c r="AD140" s="71"/>
      <c r="AE140" s="71"/>
      <c r="AF140" s="71"/>
      <c r="AG140" s="71"/>
      <c r="AH140" s="71"/>
      <c r="AK140" s="11"/>
    </row>
    <row r="141" ht="15.75" customHeight="1">
      <c r="C141" s="841"/>
      <c r="E141" s="915"/>
      <c r="G141" s="13"/>
      <c r="H141" s="13"/>
      <c r="I141" s="6"/>
      <c r="J141" s="58"/>
      <c r="K141" s="6"/>
      <c r="L141" s="139"/>
      <c r="M141" s="3"/>
      <c r="N141" s="191"/>
      <c r="O141" s="60"/>
      <c r="Q141" s="67"/>
      <c r="R141" s="65"/>
      <c r="S141" s="3"/>
      <c r="U141" s="67"/>
      <c r="V141" s="67"/>
      <c r="Z141" s="69"/>
      <c r="AA141" s="70"/>
      <c r="AB141" s="71"/>
      <c r="AC141" s="71"/>
      <c r="AD141" s="71"/>
      <c r="AE141" s="71"/>
      <c r="AF141" s="71"/>
      <c r="AG141" s="71"/>
      <c r="AH141" s="71"/>
      <c r="AK141" s="11"/>
    </row>
    <row r="142" ht="15.75" customHeight="1">
      <c r="C142" s="841"/>
      <c r="E142" s="915"/>
      <c r="G142" s="13"/>
      <c r="H142" s="13"/>
      <c r="I142" s="6"/>
      <c r="J142" s="58"/>
      <c r="K142" s="6"/>
      <c r="L142" s="139"/>
      <c r="M142" s="3"/>
      <c r="N142" s="191"/>
      <c r="O142" s="60"/>
      <c r="Q142" s="67"/>
      <c r="R142" s="65"/>
      <c r="S142" s="3"/>
      <c r="U142" s="67"/>
      <c r="V142" s="67"/>
      <c r="Z142" s="69"/>
      <c r="AA142" s="70"/>
      <c r="AB142" s="71"/>
      <c r="AC142" s="71"/>
      <c r="AD142" s="71"/>
      <c r="AE142" s="71"/>
      <c r="AF142" s="71"/>
      <c r="AG142" s="71"/>
      <c r="AH142" s="71"/>
      <c r="AK142" s="11"/>
    </row>
    <row r="143" ht="15.75" customHeight="1">
      <c r="C143" s="841"/>
      <c r="E143" s="915"/>
      <c r="G143" s="13"/>
      <c r="H143" s="13"/>
      <c r="I143" s="6"/>
      <c r="J143" s="58"/>
      <c r="K143" s="6"/>
      <c r="L143" s="139"/>
      <c r="M143" s="3"/>
      <c r="N143" s="191"/>
      <c r="O143" s="60"/>
      <c r="Q143" s="67"/>
      <c r="R143" s="65"/>
      <c r="S143" s="3"/>
      <c r="U143" s="67"/>
      <c r="V143" s="67"/>
      <c r="Z143" s="69"/>
      <c r="AA143" s="70"/>
      <c r="AB143" s="71"/>
      <c r="AC143" s="71"/>
      <c r="AD143" s="71"/>
      <c r="AE143" s="71"/>
      <c r="AF143" s="71"/>
      <c r="AG143" s="71"/>
      <c r="AH143" s="71"/>
      <c r="AK143" s="11"/>
    </row>
    <row r="144" ht="15.75" customHeight="1">
      <c r="C144" s="841"/>
      <c r="E144" s="915"/>
      <c r="G144" s="13"/>
      <c r="H144" s="13"/>
      <c r="I144" s="6"/>
      <c r="J144" s="58"/>
      <c r="K144" s="6"/>
      <c r="L144" s="139"/>
      <c r="M144" s="3"/>
      <c r="N144" s="191"/>
      <c r="O144" s="60"/>
      <c r="Q144" s="67"/>
      <c r="R144" s="65"/>
      <c r="S144" s="3"/>
      <c r="U144" s="67"/>
      <c r="V144" s="67"/>
      <c r="Z144" s="69"/>
      <c r="AA144" s="70"/>
      <c r="AB144" s="71"/>
      <c r="AC144" s="71"/>
      <c r="AD144" s="71"/>
      <c r="AE144" s="71"/>
      <c r="AF144" s="71"/>
      <c r="AG144" s="71"/>
      <c r="AH144" s="71"/>
      <c r="AK144" s="11"/>
    </row>
    <row r="145" ht="15.75" customHeight="1">
      <c r="C145" s="841"/>
      <c r="E145" s="915"/>
      <c r="G145" s="13"/>
      <c r="H145" s="13"/>
      <c r="I145" s="6"/>
      <c r="J145" s="58"/>
      <c r="K145" s="6"/>
      <c r="L145" s="139"/>
      <c r="M145" s="3"/>
      <c r="N145" s="191"/>
      <c r="O145" s="60"/>
      <c r="Q145" s="67"/>
      <c r="R145" s="65"/>
      <c r="S145" s="3"/>
      <c r="U145" s="67"/>
      <c r="V145" s="67"/>
      <c r="Z145" s="69"/>
      <c r="AA145" s="70"/>
      <c r="AB145" s="71"/>
      <c r="AC145" s="71"/>
      <c r="AD145" s="71"/>
      <c r="AE145" s="71"/>
      <c r="AF145" s="71"/>
      <c r="AG145" s="71"/>
      <c r="AH145" s="71"/>
      <c r="AK145" s="11"/>
    </row>
    <row r="146" ht="15.75" customHeight="1">
      <c r="C146" s="841"/>
      <c r="E146" s="915"/>
      <c r="G146" s="13"/>
      <c r="H146" s="13"/>
      <c r="I146" s="6"/>
      <c r="J146" s="58"/>
      <c r="K146" s="6"/>
      <c r="L146" s="139"/>
      <c r="M146" s="3"/>
      <c r="N146" s="191"/>
      <c r="O146" s="60"/>
      <c r="Q146" s="67"/>
      <c r="R146" s="65"/>
      <c r="S146" s="3"/>
      <c r="U146" s="67"/>
      <c r="V146" s="67"/>
      <c r="Z146" s="69"/>
      <c r="AA146" s="70"/>
      <c r="AB146" s="71"/>
      <c r="AC146" s="71"/>
      <c r="AD146" s="71"/>
      <c r="AE146" s="71"/>
      <c r="AF146" s="71"/>
      <c r="AG146" s="71"/>
      <c r="AH146" s="71"/>
      <c r="AK146" s="11"/>
    </row>
    <row r="147" ht="15.75" customHeight="1">
      <c r="C147" s="841"/>
      <c r="E147" s="915"/>
      <c r="G147" s="13"/>
      <c r="H147" s="13"/>
      <c r="I147" s="6"/>
      <c r="J147" s="58"/>
      <c r="K147" s="6"/>
      <c r="L147" s="139"/>
      <c r="M147" s="3"/>
      <c r="N147" s="191"/>
      <c r="O147" s="60"/>
      <c r="Q147" s="67"/>
      <c r="R147" s="65"/>
      <c r="S147" s="3"/>
      <c r="U147" s="67"/>
      <c r="V147" s="67"/>
      <c r="Z147" s="69"/>
      <c r="AA147" s="70"/>
      <c r="AB147" s="71"/>
      <c r="AC147" s="71"/>
      <c r="AD147" s="71"/>
      <c r="AE147" s="71"/>
      <c r="AF147" s="71"/>
      <c r="AG147" s="71"/>
      <c r="AH147" s="71"/>
      <c r="AK147" s="11"/>
    </row>
    <row r="148" ht="15.75" customHeight="1">
      <c r="C148" s="841"/>
      <c r="E148" s="915"/>
      <c r="G148" s="13"/>
      <c r="H148" s="13"/>
      <c r="I148" s="6"/>
      <c r="J148" s="58"/>
      <c r="K148" s="6"/>
      <c r="L148" s="139"/>
      <c r="M148" s="3"/>
      <c r="N148" s="191"/>
      <c r="O148" s="60"/>
      <c r="Q148" s="67"/>
      <c r="R148" s="65"/>
      <c r="S148" s="3"/>
      <c r="U148" s="67"/>
      <c r="V148" s="67"/>
      <c r="Z148" s="69"/>
      <c r="AA148" s="70"/>
      <c r="AB148" s="71"/>
      <c r="AC148" s="71"/>
      <c r="AD148" s="71"/>
      <c r="AE148" s="71"/>
      <c r="AF148" s="71"/>
      <c r="AG148" s="71"/>
      <c r="AH148" s="71"/>
      <c r="AK148" s="11"/>
    </row>
    <row r="149" ht="15.75" customHeight="1">
      <c r="C149" s="841"/>
      <c r="E149" s="915"/>
      <c r="G149" s="13"/>
      <c r="H149" s="13"/>
      <c r="I149" s="6"/>
      <c r="J149" s="58"/>
      <c r="K149" s="6"/>
      <c r="L149" s="139"/>
      <c r="M149" s="3"/>
      <c r="N149" s="191"/>
      <c r="O149" s="60"/>
      <c r="Q149" s="67"/>
      <c r="R149" s="65"/>
      <c r="S149" s="3"/>
      <c r="U149" s="67"/>
      <c r="V149" s="67"/>
      <c r="Z149" s="69"/>
      <c r="AA149" s="70"/>
      <c r="AB149" s="71"/>
      <c r="AC149" s="71"/>
      <c r="AD149" s="71"/>
      <c r="AE149" s="71"/>
      <c r="AF149" s="71"/>
      <c r="AG149" s="71"/>
      <c r="AH149" s="71"/>
      <c r="AK149" s="11"/>
    </row>
    <row r="150" ht="15.75" customHeight="1">
      <c r="C150" s="841"/>
      <c r="E150" s="915"/>
      <c r="G150" s="13"/>
      <c r="H150" s="13"/>
      <c r="I150" s="6"/>
      <c r="J150" s="58"/>
      <c r="K150" s="6"/>
      <c r="L150" s="139"/>
      <c r="M150" s="3"/>
      <c r="N150" s="191"/>
      <c r="O150" s="60"/>
      <c r="Q150" s="67"/>
      <c r="R150" s="65"/>
      <c r="S150" s="3"/>
      <c r="U150" s="67"/>
      <c r="V150" s="67"/>
      <c r="Z150" s="69"/>
      <c r="AA150" s="70"/>
      <c r="AB150" s="71"/>
      <c r="AC150" s="71"/>
      <c r="AD150" s="71"/>
      <c r="AE150" s="71"/>
      <c r="AF150" s="71"/>
      <c r="AG150" s="71"/>
      <c r="AH150" s="71"/>
      <c r="AK150" s="11"/>
    </row>
    <row r="151" ht="15.75" customHeight="1">
      <c r="C151" s="841"/>
      <c r="E151" s="915"/>
      <c r="G151" s="13"/>
      <c r="H151" s="13"/>
      <c r="I151" s="6"/>
      <c r="J151" s="58"/>
      <c r="K151" s="6"/>
      <c r="L151" s="139"/>
      <c r="M151" s="3"/>
      <c r="N151" s="191"/>
      <c r="O151" s="60"/>
      <c r="Q151" s="67"/>
      <c r="R151" s="65"/>
      <c r="S151" s="3"/>
      <c r="U151" s="67"/>
      <c r="V151" s="67"/>
      <c r="Z151" s="69"/>
      <c r="AA151" s="70"/>
      <c r="AB151" s="71"/>
      <c r="AC151" s="71"/>
      <c r="AD151" s="71"/>
      <c r="AE151" s="71"/>
      <c r="AF151" s="71"/>
      <c r="AG151" s="71"/>
      <c r="AH151" s="71"/>
      <c r="AK151" s="11"/>
    </row>
    <row r="152" ht="15.75" customHeight="1">
      <c r="C152" s="841"/>
      <c r="E152" s="915"/>
      <c r="G152" s="13"/>
      <c r="H152" s="13"/>
      <c r="I152" s="6"/>
      <c r="J152" s="58"/>
      <c r="K152" s="6"/>
      <c r="L152" s="139"/>
      <c r="M152" s="3"/>
      <c r="N152" s="191"/>
      <c r="O152" s="60"/>
      <c r="Q152" s="67"/>
      <c r="R152" s="65"/>
      <c r="S152" s="3"/>
      <c r="U152" s="67"/>
      <c r="V152" s="67"/>
      <c r="Z152" s="69"/>
      <c r="AA152" s="70"/>
      <c r="AB152" s="71"/>
      <c r="AC152" s="71"/>
      <c r="AD152" s="71"/>
      <c r="AE152" s="71"/>
      <c r="AF152" s="71"/>
      <c r="AG152" s="71"/>
      <c r="AH152" s="71"/>
      <c r="AK152" s="11"/>
    </row>
    <row r="153" ht="15.75" customHeight="1">
      <c r="C153" s="841"/>
      <c r="E153" s="915"/>
      <c r="G153" s="13"/>
      <c r="H153" s="13"/>
      <c r="I153" s="6"/>
      <c r="J153" s="58"/>
      <c r="K153" s="6"/>
      <c r="L153" s="139"/>
      <c r="M153" s="3"/>
      <c r="N153" s="191"/>
      <c r="O153" s="60"/>
      <c r="Q153" s="67"/>
      <c r="R153" s="65"/>
      <c r="S153" s="3"/>
      <c r="U153" s="67"/>
      <c r="V153" s="67"/>
      <c r="Z153" s="69"/>
      <c r="AA153" s="70"/>
      <c r="AB153" s="71"/>
      <c r="AC153" s="71"/>
      <c r="AD153" s="71"/>
      <c r="AE153" s="71"/>
      <c r="AF153" s="71"/>
      <c r="AG153" s="71"/>
      <c r="AH153" s="71"/>
      <c r="AK153" s="11"/>
    </row>
    <row r="154" ht="15.75" customHeight="1">
      <c r="C154" s="841"/>
      <c r="E154" s="915"/>
      <c r="G154" s="13"/>
      <c r="H154" s="13"/>
      <c r="I154" s="6"/>
      <c r="J154" s="58"/>
      <c r="K154" s="6"/>
      <c r="L154" s="139"/>
      <c r="M154" s="3"/>
      <c r="N154" s="191"/>
      <c r="O154" s="60"/>
      <c r="Q154" s="67"/>
      <c r="R154" s="65"/>
      <c r="S154" s="3"/>
      <c r="U154" s="67"/>
      <c r="V154" s="67"/>
      <c r="Z154" s="69"/>
      <c r="AA154" s="70"/>
      <c r="AB154" s="71"/>
      <c r="AC154" s="71"/>
      <c r="AD154" s="71"/>
      <c r="AE154" s="71"/>
      <c r="AF154" s="71"/>
      <c r="AG154" s="71"/>
      <c r="AH154" s="71"/>
      <c r="AK154" s="11"/>
    </row>
    <row r="155" ht="15.75" customHeight="1">
      <c r="C155" s="841"/>
      <c r="E155" s="915"/>
      <c r="G155" s="13"/>
      <c r="H155" s="13"/>
      <c r="I155" s="6"/>
      <c r="J155" s="58"/>
      <c r="K155" s="6"/>
      <c r="L155" s="139"/>
      <c r="M155" s="3"/>
      <c r="N155" s="191"/>
      <c r="O155" s="60"/>
      <c r="Q155" s="67"/>
      <c r="R155" s="65"/>
      <c r="S155" s="3"/>
      <c r="U155" s="67"/>
      <c r="V155" s="67"/>
      <c r="Z155" s="69"/>
      <c r="AA155" s="70"/>
      <c r="AB155" s="71"/>
      <c r="AC155" s="71"/>
      <c r="AD155" s="71"/>
      <c r="AE155" s="71"/>
      <c r="AF155" s="71"/>
      <c r="AG155" s="71"/>
      <c r="AH155" s="71"/>
      <c r="AK155" s="11"/>
    </row>
    <row r="156" ht="15.75" customHeight="1">
      <c r="C156" s="841"/>
      <c r="E156" s="915"/>
      <c r="G156" s="13"/>
      <c r="H156" s="13"/>
      <c r="I156" s="6"/>
      <c r="J156" s="58"/>
      <c r="K156" s="6"/>
      <c r="L156" s="139"/>
      <c r="M156" s="3"/>
      <c r="N156" s="191"/>
      <c r="O156" s="60"/>
      <c r="Q156" s="67"/>
      <c r="R156" s="65"/>
      <c r="S156" s="3"/>
      <c r="U156" s="67"/>
      <c r="V156" s="67"/>
      <c r="Z156" s="69"/>
      <c r="AA156" s="70"/>
      <c r="AB156" s="71"/>
      <c r="AC156" s="71"/>
      <c r="AD156" s="71"/>
      <c r="AE156" s="71"/>
      <c r="AF156" s="71"/>
      <c r="AG156" s="71"/>
      <c r="AH156" s="71"/>
      <c r="AK156" s="11"/>
    </row>
    <row r="157" ht="15.75" customHeight="1">
      <c r="C157" s="841"/>
      <c r="E157" s="915"/>
      <c r="G157" s="13"/>
      <c r="H157" s="13"/>
      <c r="I157" s="6"/>
      <c r="J157" s="58"/>
      <c r="K157" s="6"/>
      <c r="L157" s="139"/>
      <c r="M157" s="3"/>
      <c r="N157" s="191"/>
      <c r="O157" s="60"/>
      <c r="Q157" s="67"/>
      <c r="R157" s="65"/>
      <c r="S157" s="3"/>
      <c r="U157" s="67"/>
      <c r="V157" s="67"/>
      <c r="Z157" s="69"/>
      <c r="AA157" s="70"/>
      <c r="AB157" s="71"/>
      <c r="AC157" s="71"/>
      <c r="AD157" s="71"/>
      <c r="AE157" s="71"/>
      <c r="AF157" s="71"/>
      <c r="AG157" s="71"/>
      <c r="AH157" s="71"/>
      <c r="AK157" s="11"/>
    </row>
    <row r="158" ht="15.75" customHeight="1">
      <c r="C158" s="841"/>
      <c r="E158" s="915"/>
      <c r="G158" s="13"/>
      <c r="H158" s="13"/>
      <c r="I158" s="6"/>
      <c r="J158" s="58"/>
      <c r="K158" s="6"/>
      <c r="L158" s="139"/>
      <c r="M158" s="3"/>
      <c r="N158" s="191"/>
      <c r="O158" s="60"/>
      <c r="Q158" s="67"/>
      <c r="R158" s="65"/>
      <c r="S158" s="3"/>
      <c r="U158" s="67"/>
      <c r="V158" s="67"/>
      <c r="Z158" s="69"/>
      <c r="AA158" s="70"/>
      <c r="AB158" s="71"/>
      <c r="AC158" s="71"/>
      <c r="AD158" s="71"/>
      <c r="AE158" s="71"/>
      <c r="AF158" s="71"/>
      <c r="AG158" s="71"/>
      <c r="AH158" s="71"/>
      <c r="AK158" s="11"/>
    </row>
    <row r="159" ht="15.75" customHeight="1">
      <c r="C159" s="841"/>
      <c r="E159" s="915"/>
      <c r="G159" s="13"/>
      <c r="H159" s="13"/>
      <c r="I159" s="6"/>
      <c r="J159" s="58"/>
      <c r="K159" s="6"/>
      <c r="L159" s="139"/>
      <c r="M159" s="3"/>
      <c r="N159" s="191"/>
      <c r="O159" s="60"/>
      <c r="Q159" s="67"/>
      <c r="R159" s="65"/>
      <c r="S159" s="3"/>
      <c r="U159" s="67"/>
      <c r="V159" s="67"/>
      <c r="Z159" s="69"/>
      <c r="AA159" s="70"/>
      <c r="AB159" s="71"/>
      <c r="AC159" s="71"/>
      <c r="AD159" s="71"/>
      <c r="AE159" s="71"/>
      <c r="AF159" s="71"/>
      <c r="AG159" s="71"/>
      <c r="AH159" s="71"/>
      <c r="AK159" s="11"/>
    </row>
    <row r="160" ht="15.75" customHeight="1">
      <c r="C160" s="841"/>
      <c r="E160" s="915"/>
      <c r="G160" s="13"/>
      <c r="H160" s="13"/>
      <c r="I160" s="6"/>
      <c r="J160" s="58"/>
      <c r="K160" s="6"/>
      <c r="L160" s="139"/>
      <c r="M160" s="3"/>
      <c r="N160" s="191"/>
      <c r="O160" s="60"/>
      <c r="Q160" s="67"/>
      <c r="R160" s="65"/>
      <c r="S160" s="3"/>
      <c r="U160" s="67"/>
      <c r="V160" s="67"/>
      <c r="Z160" s="69"/>
      <c r="AA160" s="70"/>
      <c r="AB160" s="71"/>
      <c r="AC160" s="71"/>
      <c r="AD160" s="71"/>
      <c r="AE160" s="71"/>
      <c r="AF160" s="71"/>
      <c r="AG160" s="71"/>
      <c r="AH160" s="71"/>
      <c r="AK160" s="11"/>
    </row>
    <row r="161" ht="15.75" customHeight="1">
      <c r="C161" s="841"/>
      <c r="E161" s="915"/>
      <c r="G161" s="13"/>
      <c r="H161" s="13"/>
      <c r="I161" s="6"/>
      <c r="J161" s="58"/>
      <c r="K161" s="6"/>
      <c r="L161" s="139"/>
      <c r="M161" s="3"/>
      <c r="N161" s="191"/>
      <c r="O161" s="60"/>
      <c r="Q161" s="67"/>
      <c r="R161" s="65"/>
      <c r="S161" s="3"/>
      <c r="U161" s="67"/>
      <c r="V161" s="67"/>
      <c r="Z161" s="69"/>
      <c r="AA161" s="70"/>
      <c r="AB161" s="71"/>
      <c r="AC161" s="71"/>
      <c r="AD161" s="71"/>
      <c r="AE161" s="71"/>
      <c r="AF161" s="71"/>
      <c r="AG161" s="71"/>
      <c r="AH161" s="71"/>
      <c r="AK161" s="11"/>
    </row>
    <row r="162" ht="15.75" customHeight="1">
      <c r="C162" s="841"/>
      <c r="E162" s="915"/>
      <c r="G162" s="13"/>
      <c r="H162" s="13"/>
      <c r="I162" s="6"/>
      <c r="J162" s="58"/>
      <c r="K162" s="6"/>
      <c r="L162" s="139"/>
      <c r="M162" s="3"/>
      <c r="N162" s="191"/>
      <c r="O162" s="60"/>
      <c r="Q162" s="67"/>
      <c r="R162" s="65"/>
      <c r="S162" s="3"/>
      <c r="U162" s="67"/>
      <c r="V162" s="67"/>
      <c r="Z162" s="69"/>
      <c r="AA162" s="70"/>
      <c r="AB162" s="71"/>
      <c r="AC162" s="71"/>
      <c r="AD162" s="71"/>
      <c r="AE162" s="71"/>
      <c r="AF162" s="71"/>
      <c r="AG162" s="71"/>
      <c r="AH162" s="71"/>
      <c r="AK162" s="11"/>
    </row>
    <row r="163" ht="15.75" customHeight="1">
      <c r="C163" s="841"/>
      <c r="E163" s="915"/>
      <c r="G163" s="13"/>
      <c r="H163" s="13"/>
      <c r="I163" s="6"/>
      <c r="J163" s="58"/>
      <c r="K163" s="6"/>
      <c r="L163" s="139"/>
      <c r="M163" s="3"/>
      <c r="N163" s="191"/>
      <c r="O163" s="60"/>
      <c r="Q163" s="67"/>
      <c r="R163" s="65"/>
      <c r="S163" s="3"/>
      <c r="U163" s="67"/>
      <c r="V163" s="67"/>
      <c r="Z163" s="69"/>
      <c r="AA163" s="70"/>
      <c r="AB163" s="71"/>
      <c r="AC163" s="71"/>
      <c r="AD163" s="71"/>
      <c r="AE163" s="71"/>
      <c r="AF163" s="71"/>
      <c r="AG163" s="71"/>
      <c r="AH163" s="71"/>
      <c r="AK163" s="11"/>
    </row>
    <row r="164" ht="15.75" customHeight="1">
      <c r="C164" s="841"/>
      <c r="E164" s="915"/>
      <c r="G164" s="13"/>
      <c r="H164" s="13"/>
      <c r="I164" s="6"/>
      <c r="J164" s="58"/>
      <c r="K164" s="6"/>
      <c r="L164" s="139"/>
      <c r="M164" s="3"/>
      <c r="N164" s="191"/>
      <c r="O164" s="60"/>
      <c r="Q164" s="67"/>
      <c r="R164" s="65"/>
      <c r="S164" s="3"/>
      <c r="U164" s="67"/>
      <c r="V164" s="67"/>
      <c r="Z164" s="69"/>
      <c r="AA164" s="70"/>
      <c r="AB164" s="71"/>
      <c r="AC164" s="71"/>
      <c r="AD164" s="71"/>
      <c r="AE164" s="71"/>
      <c r="AF164" s="71"/>
      <c r="AG164" s="71"/>
      <c r="AH164" s="71"/>
      <c r="AK164" s="11"/>
    </row>
    <row r="165" ht="15.75" customHeight="1">
      <c r="C165" s="841"/>
      <c r="E165" s="915"/>
      <c r="G165" s="13"/>
      <c r="H165" s="13"/>
      <c r="I165" s="6"/>
      <c r="J165" s="58"/>
      <c r="K165" s="6"/>
      <c r="L165" s="139"/>
      <c r="M165" s="3"/>
      <c r="N165" s="191"/>
      <c r="O165" s="60"/>
      <c r="Q165" s="67"/>
      <c r="R165" s="65"/>
      <c r="S165" s="3"/>
      <c r="U165" s="67"/>
      <c r="V165" s="67"/>
      <c r="Z165" s="69"/>
      <c r="AA165" s="70"/>
      <c r="AB165" s="71"/>
      <c r="AC165" s="71"/>
      <c r="AD165" s="71"/>
      <c r="AE165" s="71"/>
      <c r="AF165" s="71"/>
      <c r="AG165" s="71"/>
      <c r="AH165" s="71"/>
      <c r="AK165" s="11"/>
    </row>
    <row r="166" ht="15.75" customHeight="1">
      <c r="C166" s="841"/>
      <c r="E166" s="915"/>
      <c r="G166" s="13"/>
      <c r="H166" s="13"/>
      <c r="I166" s="6"/>
      <c r="J166" s="58"/>
      <c r="K166" s="6"/>
      <c r="L166" s="139"/>
      <c r="M166" s="3"/>
      <c r="N166" s="191"/>
      <c r="O166" s="60"/>
      <c r="Q166" s="67"/>
      <c r="R166" s="65"/>
      <c r="S166" s="3"/>
      <c r="U166" s="67"/>
      <c r="V166" s="67"/>
      <c r="Z166" s="69"/>
      <c r="AA166" s="70"/>
      <c r="AB166" s="71"/>
      <c r="AC166" s="71"/>
      <c r="AD166" s="71"/>
      <c r="AE166" s="71"/>
      <c r="AF166" s="71"/>
      <c r="AG166" s="71"/>
      <c r="AH166" s="71"/>
      <c r="AK166" s="11"/>
    </row>
    <row r="167" ht="15.75" customHeight="1">
      <c r="C167" s="841"/>
      <c r="E167" s="915"/>
      <c r="G167" s="13"/>
      <c r="H167" s="13"/>
      <c r="I167" s="6"/>
      <c r="J167" s="58"/>
      <c r="K167" s="6"/>
      <c r="L167" s="139"/>
      <c r="M167" s="3"/>
      <c r="N167" s="191"/>
      <c r="O167" s="60"/>
      <c r="Q167" s="67"/>
      <c r="R167" s="65"/>
      <c r="S167" s="3"/>
      <c r="U167" s="67"/>
      <c r="V167" s="67"/>
      <c r="Z167" s="69"/>
      <c r="AA167" s="70"/>
      <c r="AB167" s="71"/>
      <c r="AC167" s="71"/>
      <c r="AD167" s="71"/>
      <c r="AE167" s="71"/>
      <c r="AF167" s="71"/>
      <c r="AG167" s="71"/>
      <c r="AH167" s="71"/>
      <c r="AK167" s="11"/>
    </row>
    <row r="168" ht="15.75" customHeight="1">
      <c r="C168" s="841"/>
      <c r="E168" s="915"/>
      <c r="G168" s="13"/>
      <c r="H168" s="13"/>
      <c r="I168" s="6"/>
      <c r="J168" s="58"/>
      <c r="K168" s="6"/>
      <c r="L168" s="139"/>
      <c r="M168" s="3"/>
      <c r="N168" s="191"/>
      <c r="O168" s="60"/>
      <c r="Q168" s="67"/>
      <c r="R168" s="65"/>
      <c r="S168" s="3"/>
      <c r="U168" s="67"/>
      <c r="V168" s="67"/>
      <c r="Z168" s="69"/>
      <c r="AA168" s="70"/>
      <c r="AB168" s="71"/>
      <c r="AC168" s="71"/>
      <c r="AD168" s="71"/>
      <c r="AE168" s="71"/>
      <c r="AF168" s="71"/>
      <c r="AG168" s="71"/>
      <c r="AH168" s="71"/>
      <c r="AK168" s="11"/>
    </row>
    <row r="169" ht="15.75" customHeight="1">
      <c r="C169" s="841"/>
      <c r="E169" s="915"/>
      <c r="G169" s="13"/>
      <c r="H169" s="13"/>
      <c r="I169" s="6"/>
      <c r="J169" s="58"/>
      <c r="K169" s="6"/>
      <c r="L169" s="139"/>
      <c r="M169" s="3"/>
      <c r="N169" s="191"/>
      <c r="O169" s="60"/>
      <c r="Q169" s="67"/>
      <c r="R169" s="65"/>
      <c r="S169" s="3"/>
      <c r="U169" s="67"/>
      <c r="V169" s="67"/>
      <c r="Z169" s="69"/>
      <c r="AA169" s="70"/>
      <c r="AB169" s="71"/>
      <c r="AC169" s="71"/>
      <c r="AD169" s="71"/>
      <c r="AE169" s="71"/>
      <c r="AF169" s="71"/>
      <c r="AG169" s="71"/>
      <c r="AH169" s="71"/>
      <c r="AK169" s="11"/>
    </row>
    <row r="170" ht="15.75" customHeight="1">
      <c r="C170" s="841"/>
      <c r="E170" s="915"/>
      <c r="G170" s="13"/>
      <c r="H170" s="13"/>
      <c r="I170" s="6"/>
      <c r="J170" s="58"/>
      <c r="K170" s="6"/>
      <c r="L170" s="139"/>
      <c r="M170" s="3"/>
      <c r="N170" s="191"/>
      <c r="O170" s="60"/>
      <c r="Q170" s="67"/>
      <c r="R170" s="65"/>
      <c r="S170" s="3"/>
      <c r="U170" s="67"/>
      <c r="V170" s="67"/>
      <c r="Z170" s="69"/>
      <c r="AA170" s="70"/>
      <c r="AB170" s="71"/>
      <c r="AC170" s="71"/>
      <c r="AD170" s="71"/>
      <c r="AE170" s="71"/>
      <c r="AF170" s="71"/>
      <c r="AG170" s="71"/>
      <c r="AH170" s="71"/>
      <c r="AK170" s="11"/>
    </row>
    <row r="171" ht="15.75" customHeight="1">
      <c r="C171" s="841"/>
      <c r="E171" s="915"/>
      <c r="G171" s="13"/>
      <c r="H171" s="13"/>
      <c r="I171" s="6"/>
      <c r="J171" s="58"/>
      <c r="K171" s="6"/>
      <c r="L171" s="139"/>
      <c r="M171" s="3"/>
      <c r="N171" s="191"/>
      <c r="O171" s="60"/>
      <c r="Q171" s="67"/>
      <c r="R171" s="65"/>
      <c r="S171" s="3"/>
      <c r="U171" s="67"/>
      <c r="V171" s="67"/>
      <c r="Z171" s="69"/>
      <c r="AA171" s="70"/>
      <c r="AB171" s="71"/>
      <c r="AC171" s="71"/>
      <c r="AD171" s="71"/>
      <c r="AE171" s="71"/>
      <c r="AF171" s="71"/>
      <c r="AG171" s="71"/>
      <c r="AH171" s="71"/>
      <c r="AK171" s="11"/>
    </row>
    <row r="172" ht="15.75" customHeight="1">
      <c r="C172" s="841"/>
      <c r="E172" s="915"/>
      <c r="G172" s="13"/>
      <c r="H172" s="13"/>
      <c r="I172" s="6"/>
      <c r="J172" s="58"/>
      <c r="K172" s="6"/>
      <c r="L172" s="139"/>
      <c r="M172" s="3"/>
      <c r="N172" s="191"/>
      <c r="O172" s="60"/>
      <c r="Q172" s="67"/>
      <c r="R172" s="65"/>
      <c r="S172" s="3"/>
      <c r="U172" s="67"/>
      <c r="V172" s="67"/>
      <c r="Z172" s="69"/>
      <c r="AA172" s="70"/>
      <c r="AB172" s="71"/>
      <c r="AC172" s="71"/>
      <c r="AD172" s="71"/>
      <c r="AE172" s="71"/>
      <c r="AF172" s="71"/>
      <c r="AG172" s="71"/>
      <c r="AH172" s="71"/>
      <c r="AK172" s="11"/>
    </row>
    <row r="173" ht="15.75" customHeight="1">
      <c r="C173" s="841"/>
      <c r="E173" s="915"/>
      <c r="G173" s="13"/>
      <c r="H173" s="13"/>
      <c r="I173" s="6"/>
      <c r="J173" s="58"/>
      <c r="K173" s="6"/>
      <c r="L173" s="139"/>
      <c r="M173" s="3"/>
      <c r="N173" s="191"/>
      <c r="O173" s="60"/>
      <c r="Q173" s="67"/>
      <c r="R173" s="65"/>
      <c r="S173" s="3"/>
      <c r="U173" s="67"/>
      <c r="V173" s="67"/>
      <c r="Z173" s="69"/>
      <c r="AA173" s="70"/>
      <c r="AB173" s="71"/>
      <c r="AC173" s="71"/>
      <c r="AD173" s="71"/>
      <c r="AE173" s="71"/>
      <c r="AF173" s="71"/>
      <c r="AG173" s="71"/>
      <c r="AH173" s="71"/>
      <c r="AK173" s="11"/>
    </row>
    <row r="174" ht="15.75" customHeight="1">
      <c r="C174" s="841"/>
      <c r="E174" s="915"/>
      <c r="G174" s="13"/>
      <c r="H174" s="13"/>
      <c r="I174" s="6"/>
      <c r="J174" s="58"/>
      <c r="K174" s="6"/>
      <c r="L174" s="139"/>
      <c r="M174" s="3"/>
      <c r="N174" s="191"/>
      <c r="O174" s="60"/>
      <c r="Q174" s="67"/>
      <c r="R174" s="65"/>
      <c r="S174" s="3"/>
      <c r="U174" s="67"/>
      <c r="V174" s="67"/>
      <c r="Z174" s="69"/>
      <c r="AA174" s="70"/>
      <c r="AB174" s="71"/>
      <c r="AC174" s="71"/>
      <c r="AD174" s="71"/>
      <c r="AE174" s="71"/>
      <c r="AF174" s="71"/>
      <c r="AG174" s="71"/>
      <c r="AH174" s="71"/>
      <c r="AK174" s="11"/>
    </row>
    <row r="175" ht="15.75" customHeight="1">
      <c r="C175" s="841"/>
      <c r="E175" s="915"/>
      <c r="G175" s="13"/>
      <c r="H175" s="13"/>
      <c r="I175" s="6"/>
      <c r="J175" s="58"/>
      <c r="K175" s="6"/>
      <c r="L175" s="139"/>
      <c r="M175" s="3"/>
      <c r="N175" s="191"/>
      <c r="O175" s="60"/>
      <c r="Q175" s="67"/>
      <c r="R175" s="65"/>
      <c r="S175" s="3"/>
      <c r="U175" s="67"/>
      <c r="V175" s="67"/>
      <c r="Z175" s="69"/>
      <c r="AA175" s="70"/>
      <c r="AB175" s="71"/>
      <c r="AC175" s="71"/>
      <c r="AD175" s="71"/>
      <c r="AE175" s="71"/>
      <c r="AF175" s="71"/>
      <c r="AG175" s="71"/>
      <c r="AH175" s="71"/>
      <c r="AK175" s="11"/>
    </row>
    <row r="176" ht="15.75" customHeight="1">
      <c r="C176" s="841"/>
      <c r="E176" s="915"/>
      <c r="G176" s="13"/>
      <c r="H176" s="13"/>
      <c r="I176" s="6"/>
      <c r="J176" s="58"/>
      <c r="K176" s="6"/>
      <c r="L176" s="139"/>
      <c r="M176" s="3"/>
      <c r="N176" s="191"/>
      <c r="O176" s="60"/>
      <c r="Q176" s="67"/>
      <c r="R176" s="65"/>
      <c r="S176" s="3"/>
      <c r="U176" s="67"/>
      <c r="V176" s="67"/>
      <c r="Z176" s="69"/>
      <c r="AA176" s="70"/>
      <c r="AB176" s="71"/>
      <c r="AC176" s="71"/>
      <c r="AD176" s="71"/>
      <c r="AE176" s="71"/>
      <c r="AF176" s="71"/>
      <c r="AG176" s="71"/>
      <c r="AH176" s="71"/>
      <c r="AK176" s="11"/>
    </row>
    <row r="177" ht="15.75" customHeight="1">
      <c r="C177" s="841"/>
      <c r="E177" s="915"/>
      <c r="G177" s="13"/>
      <c r="H177" s="13"/>
      <c r="I177" s="6"/>
      <c r="J177" s="58"/>
      <c r="K177" s="6"/>
      <c r="L177" s="139"/>
      <c r="M177" s="3"/>
      <c r="N177" s="191"/>
      <c r="O177" s="60"/>
      <c r="Q177" s="67"/>
      <c r="R177" s="65"/>
      <c r="S177" s="3"/>
      <c r="U177" s="67"/>
      <c r="V177" s="67"/>
      <c r="Z177" s="69"/>
      <c r="AA177" s="70"/>
      <c r="AB177" s="71"/>
      <c r="AC177" s="71"/>
      <c r="AD177" s="71"/>
      <c r="AE177" s="71"/>
      <c r="AF177" s="71"/>
      <c r="AG177" s="71"/>
      <c r="AH177" s="71"/>
      <c r="AK177" s="11"/>
    </row>
    <row r="178" ht="15.75" customHeight="1">
      <c r="C178" s="841"/>
      <c r="E178" s="915"/>
      <c r="G178" s="13"/>
      <c r="H178" s="13"/>
      <c r="I178" s="6"/>
      <c r="J178" s="58"/>
      <c r="K178" s="6"/>
      <c r="L178" s="139"/>
      <c r="M178" s="3"/>
      <c r="N178" s="191"/>
      <c r="O178" s="60"/>
      <c r="Q178" s="67"/>
      <c r="R178" s="65"/>
      <c r="S178" s="3"/>
      <c r="U178" s="67"/>
      <c r="V178" s="67"/>
      <c r="Z178" s="69"/>
      <c r="AA178" s="70"/>
      <c r="AB178" s="71"/>
      <c r="AC178" s="71"/>
      <c r="AD178" s="71"/>
      <c r="AE178" s="71"/>
      <c r="AF178" s="71"/>
      <c r="AG178" s="71"/>
      <c r="AH178" s="71"/>
      <c r="AK178" s="11"/>
    </row>
    <row r="179" ht="15.75" customHeight="1">
      <c r="C179" s="841"/>
      <c r="E179" s="915"/>
      <c r="G179" s="13"/>
      <c r="H179" s="13"/>
      <c r="I179" s="6"/>
      <c r="J179" s="58"/>
      <c r="K179" s="6"/>
      <c r="L179" s="139"/>
      <c r="M179" s="3"/>
      <c r="N179" s="191"/>
      <c r="O179" s="60"/>
      <c r="Q179" s="67"/>
      <c r="R179" s="65"/>
      <c r="S179" s="3"/>
      <c r="U179" s="67"/>
      <c r="V179" s="67"/>
      <c r="Z179" s="69"/>
      <c r="AA179" s="70"/>
      <c r="AB179" s="71"/>
      <c r="AC179" s="71"/>
      <c r="AD179" s="71"/>
      <c r="AE179" s="71"/>
      <c r="AF179" s="71"/>
      <c r="AG179" s="71"/>
      <c r="AH179" s="71"/>
      <c r="AK179" s="11"/>
    </row>
    <row r="180" ht="15.75" customHeight="1">
      <c r="C180" s="841"/>
      <c r="E180" s="915"/>
      <c r="G180" s="13"/>
      <c r="H180" s="13"/>
      <c r="I180" s="6"/>
      <c r="J180" s="58"/>
      <c r="K180" s="6"/>
      <c r="L180" s="139"/>
      <c r="M180" s="3"/>
      <c r="N180" s="191"/>
      <c r="O180" s="60"/>
      <c r="Q180" s="67"/>
      <c r="R180" s="65"/>
      <c r="S180" s="3"/>
      <c r="U180" s="67"/>
      <c r="V180" s="67"/>
      <c r="Z180" s="69"/>
      <c r="AA180" s="70"/>
      <c r="AB180" s="71"/>
      <c r="AC180" s="71"/>
      <c r="AD180" s="71"/>
      <c r="AE180" s="71"/>
      <c r="AF180" s="71"/>
      <c r="AG180" s="71"/>
      <c r="AH180" s="71"/>
      <c r="AK180" s="11"/>
    </row>
    <row r="181" ht="15.75" customHeight="1">
      <c r="C181" s="841"/>
      <c r="E181" s="915"/>
      <c r="G181" s="13"/>
      <c r="H181" s="13"/>
      <c r="I181" s="6"/>
      <c r="J181" s="58"/>
      <c r="K181" s="6"/>
      <c r="L181" s="139"/>
      <c r="M181" s="3"/>
      <c r="N181" s="191"/>
      <c r="O181" s="60"/>
      <c r="Q181" s="67"/>
      <c r="R181" s="65"/>
      <c r="S181" s="3"/>
      <c r="U181" s="67"/>
      <c r="V181" s="67"/>
      <c r="Z181" s="69"/>
      <c r="AA181" s="70"/>
      <c r="AB181" s="71"/>
      <c r="AC181" s="71"/>
      <c r="AD181" s="71"/>
      <c r="AE181" s="71"/>
      <c r="AF181" s="71"/>
      <c r="AG181" s="71"/>
      <c r="AH181" s="71"/>
      <c r="AK181" s="11"/>
    </row>
    <row r="182" ht="15.75" customHeight="1">
      <c r="C182" s="841"/>
      <c r="E182" s="915"/>
      <c r="G182" s="13"/>
      <c r="H182" s="13"/>
      <c r="I182" s="6"/>
      <c r="J182" s="58"/>
      <c r="K182" s="6"/>
      <c r="L182" s="139"/>
      <c r="M182" s="3"/>
      <c r="N182" s="191"/>
      <c r="O182" s="60"/>
      <c r="Q182" s="67"/>
      <c r="R182" s="65"/>
      <c r="S182" s="3"/>
      <c r="U182" s="67"/>
      <c r="V182" s="67"/>
      <c r="Z182" s="69"/>
      <c r="AA182" s="70"/>
      <c r="AB182" s="71"/>
      <c r="AC182" s="71"/>
      <c r="AD182" s="71"/>
      <c r="AE182" s="71"/>
      <c r="AF182" s="71"/>
      <c r="AG182" s="71"/>
      <c r="AH182" s="71"/>
      <c r="AK182" s="11"/>
    </row>
    <row r="183" ht="15.75" customHeight="1">
      <c r="C183" s="841"/>
      <c r="E183" s="915"/>
      <c r="G183" s="13"/>
      <c r="H183" s="13"/>
      <c r="I183" s="6"/>
      <c r="J183" s="58"/>
      <c r="K183" s="6"/>
      <c r="L183" s="139"/>
      <c r="M183" s="3"/>
      <c r="N183" s="191"/>
      <c r="O183" s="60"/>
      <c r="Q183" s="67"/>
      <c r="R183" s="65"/>
      <c r="S183" s="3"/>
      <c r="U183" s="67"/>
      <c r="V183" s="67"/>
      <c r="Z183" s="69"/>
      <c r="AA183" s="70"/>
      <c r="AB183" s="71"/>
      <c r="AC183" s="71"/>
      <c r="AD183" s="71"/>
      <c r="AE183" s="71"/>
      <c r="AF183" s="71"/>
      <c r="AG183" s="71"/>
      <c r="AH183" s="71"/>
      <c r="AK183" s="11"/>
    </row>
    <row r="184" ht="15.75" customHeight="1">
      <c r="C184" s="841"/>
      <c r="E184" s="915"/>
      <c r="G184" s="13"/>
      <c r="H184" s="13"/>
      <c r="I184" s="6"/>
      <c r="J184" s="58"/>
      <c r="K184" s="6"/>
      <c r="L184" s="139"/>
      <c r="M184" s="3"/>
      <c r="N184" s="191"/>
      <c r="O184" s="60"/>
      <c r="Q184" s="67"/>
      <c r="R184" s="65"/>
      <c r="S184" s="3"/>
      <c r="U184" s="67"/>
      <c r="V184" s="67"/>
      <c r="Z184" s="69"/>
      <c r="AA184" s="70"/>
      <c r="AB184" s="71"/>
      <c r="AC184" s="71"/>
      <c r="AD184" s="71"/>
      <c r="AE184" s="71"/>
      <c r="AF184" s="71"/>
      <c r="AG184" s="71"/>
      <c r="AH184" s="71"/>
      <c r="AK184" s="11"/>
    </row>
    <row r="185" ht="15.75" customHeight="1">
      <c r="C185" s="841"/>
      <c r="E185" s="915"/>
      <c r="G185" s="13"/>
      <c r="H185" s="13"/>
      <c r="I185" s="6"/>
      <c r="J185" s="58"/>
      <c r="K185" s="6"/>
      <c r="L185" s="139"/>
      <c r="M185" s="3"/>
      <c r="N185" s="191"/>
      <c r="O185" s="60"/>
      <c r="Q185" s="67"/>
      <c r="R185" s="65"/>
      <c r="S185" s="3"/>
      <c r="U185" s="67"/>
      <c r="V185" s="67"/>
      <c r="Z185" s="69"/>
      <c r="AA185" s="70"/>
      <c r="AB185" s="71"/>
      <c r="AC185" s="71"/>
      <c r="AD185" s="71"/>
      <c r="AE185" s="71"/>
      <c r="AF185" s="71"/>
      <c r="AG185" s="71"/>
      <c r="AH185" s="71"/>
      <c r="AK185" s="11"/>
    </row>
    <row r="186" ht="15.75" customHeight="1">
      <c r="C186" s="841"/>
      <c r="E186" s="915"/>
      <c r="G186" s="13"/>
      <c r="H186" s="13"/>
      <c r="I186" s="6"/>
      <c r="J186" s="58"/>
      <c r="K186" s="6"/>
      <c r="L186" s="139"/>
      <c r="M186" s="3"/>
      <c r="N186" s="191"/>
      <c r="O186" s="60"/>
      <c r="Q186" s="67"/>
      <c r="R186" s="65"/>
      <c r="S186" s="3"/>
      <c r="U186" s="67"/>
      <c r="V186" s="67"/>
      <c r="Z186" s="69"/>
      <c r="AA186" s="70"/>
      <c r="AB186" s="71"/>
      <c r="AC186" s="71"/>
      <c r="AD186" s="71"/>
      <c r="AE186" s="71"/>
      <c r="AF186" s="71"/>
      <c r="AG186" s="71"/>
      <c r="AH186" s="71"/>
      <c r="AK186" s="11"/>
    </row>
    <row r="187" ht="15.75" customHeight="1">
      <c r="C187" s="841"/>
      <c r="E187" s="915"/>
      <c r="G187" s="13"/>
      <c r="H187" s="13"/>
      <c r="I187" s="6"/>
      <c r="J187" s="58"/>
      <c r="K187" s="6"/>
      <c r="L187" s="139"/>
      <c r="M187" s="3"/>
      <c r="N187" s="191"/>
      <c r="O187" s="60"/>
      <c r="Q187" s="67"/>
      <c r="R187" s="65"/>
      <c r="S187" s="3"/>
      <c r="U187" s="67"/>
      <c r="V187" s="67"/>
      <c r="Z187" s="69"/>
      <c r="AA187" s="70"/>
      <c r="AB187" s="71"/>
      <c r="AC187" s="71"/>
      <c r="AD187" s="71"/>
      <c r="AE187" s="71"/>
      <c r="AF187" s="71"/>
      <c r="AG187" s="71"/>
      <c r="AH187" s="71"/>
      <c r="AK187" s="11"/>
    </row>
    <row r="188" ht="15.75" customHeight="1">
      <c r="C188" s="841"/>
      <c r="E188" s="915"/>
      <c r="G188" s="13"/>
      <c r="H188" s="13"/>
      <c r="I188" s="6"/>
      <c r="J188" s="58"/>
      <c r="K188" s="6"/>
      <c r="L188" s="139"/>
      <c r="M188" s="3"/>
      <c r="N188" s="191"/>
      <c r="O188" s="60"/>
      <c r="Q188" s="67"/>
      <c r="R188" s="65"/>
      <c r="S188" s="3"/>
      <c r="U188" s="67"/>
      <c r="V188" s="67"/>
      <c r="Z188" s="69"/>
      <c r="AA188" s="70"/>
      <c r="AB188" s="71"/>
      <c r="AC188" s="71"/>
      <c r="AD188" s="71"/>
      <c r="AE188" s="71"/>
      <c r="AF188" s="71"/>
      <c r="AG188" s="71"/>
      <c r="AH188" s="71"/>
      <c r="AK188" s="11"/>
    </row>
    <row r="189" ht="15.75" customHeight="1">
      <c r="C189" s="841"/>
      <c r="E189" s="915"/>
      <c r="G189" s="13"/>
      <c r="H189" s="13"/>
      <c r="I189" s="6"/>
      <c r="J189" s="58"/>
      <c r="K189" s="6"/>
      <c r="L189" s="139"/>
      <c r="M189" s="3"/>
      <c r="N189" s="191"/>
      <c r="O189" s="60"/>
      <c r="Q189" s="67"/>
      <c r="R189" s="65"/>
      <c r="S189" s="3"/>
      <c r="U189" s="67"/>
      <c r="V189" s="67"/>
      <c r="Z189" s="69"/>
      <c r="AA189" s="70"/>
      <c r="AB189" s="71"/>
      <c r="AC189" s="71"/>
      <c r="AD189" s="71"/>
      <c r="AE189" s="71"/>
      <c r="AF189" s="71"/>
      <c r="AG189" s="71"/>
      <c r="AH189" s="71"/>
      <c r="AK189" s="11"/>
    </row>
    <row r="190" ht="15.75" customHeight="1">
      <c r="C190" s="841"/>
      <c r="E190" s="915"/>
      <c r="G190" s="13"/>
      <c r="H190" s="13"/>
      <c r="I190" s="6"/>
      <c r="J190" s="58"/>
      <c r="K190" s="6"/>
      <c r="L190" s="139"/>
      <c r="M190" s="3"/>
      <c r="N190" s="191"/>
      <c r="O190" s="60"/>
      <c r="Q190" s="67"/>
      <c r="R190" s="65"/>
      <c r="S190" s="3"/>
      <c r="U190" s="67"/>
      <c r="V190" s="67"/>
      <c r="Z190" s="69"/>
      <c r="AA190" s="70"/>
      <c r="AB190" s="71"/>
      <c r="AC190" s="71"/>
      <c r="AD190" s="71"/>
      <c r="AE190" s="71"/>
      <c r="AF190" s="71"/>
      <c r="AG190" s="71"/>
      <c r="AH190" s="71"/>
      <c r="AK190" s="11"/>
    </row>
    <row r="191" ht="15.75" customHeight="1">
      <c r="C191" s="841"/>
      <c r="E191" s="915"/>
      <c r="G191" s="13"/>
      <c r="H191" s="13"/>
      <c r="I191" s="6"/>
      <c r="J191" s="58"/>
      <c r="K191" s="6"/>
      <c r="L191" s="139"/>
      <c r="M191" s="3"/>
      <c r="N191" s="191"/>
      <c r="O191" s="60"/>
      <c r="Q191" s="67"/>
      <c r="R191" s="65"/>
      <c r="S191" s="3"/>
      <c r="U191" s="67"/>
      <c r="V191" s="67"/>
      <c r="Z191" s="69"/>
      <c r="AA191" s="70"/>
      <c r="AB191" s="71"/>
      <c r="AC191" s="71"/>
      <c r="AD191" s="71"/>
      <c r="AE191" s="71"/>
      <c r="AF191" s="71"/>
      <c r="AG191" s="71"/>
      <c r="AH191" s="71"/>
      <c r="AK191" s="11"/>
    </row>
    <row r="192" ht="15.75" customHeight="1">
      <c r="C192" s="841"/>
      <c r="E192" s="915"/>
      <c r="G192" s="13"/>
      <c r="H192" s="13"/>
      <c r="I192" s="6"/>
      <c r="J192" s="58"/>
      <c r="K192" s="6"/>
      <c r="L192" s="139"/>
      <c r="M192" s="3"/>
      <c r="N192" s="191"/>
      <c r="O192" s="60"/>
      <c r="Q192" s="67"/>
      <c r="R192" s="65"/>
      <c r="S192" s="3"/>
      <c r="U192" s="67"/>
      <c r="V192" s="67"/>
      <c r="Z192" s="69"/>
      <c r="AA192" s="70"/>
      <c r="AB192" s="71"/>
      <c r="AC192" s="71"/>
      <c r="AD192" s="71"/>
      <c r="AE192" s="71"/>
      <c r="AF192" s="71"/>
      <c r="AG192" s="71"/>
      <c r="AH192" s="71"/>
      <c r="AK192" s="11"/>
    </row>
    <row r="193" ht="15.75" customHeight="1">
      <c r="C193" s="841"/>
      <c r="E193" s="915"/>
      <c r="G193" s="13"/>
      <c r="H193" s="13"/>
      <c r="I193" s="6"/>
      <c r="J193" s="58"/>
      <c r="K193" s="6"/>
      <c r="L193" s="139"/>
      <c r="M193" s="3"/>
      <c r="N193" s="191"/>
      <c r="O193" s="60"/>
      <c r="Q193" s="67"/>
      <c r="R193" s="65"/>
      <c r="S193" s="3"/>
      <c r="U193" s="67"/>
      <c r="V193" s="67"/>
      <c r="Z193" s="69"/>
      <c r="AA193" s="70"/>
      <c r="AB193" s="71"/>
      <c r="AC193" s="71"/>
      <c r="AD193" s="71"/>
      <c r="AE193" s="71"/>
      <c r="AF193" s="71"/>
      <c r="AG193" s="71"/>
      <c r="AH193" s="71"/>
      <c r="AK193" s="11"/>
    </row>
    <row r="194" ht="15.75" customHeight="1">
      <c r="C194" s="841"/>
      <c r="E194" s="915"/>
      <c r="G194" s="13"/>
      <c r="H194" s="13"/>
      <c r="I194" s="6"/>
      <c r="J194" s="58"/>
      <c r="K194" s="6"/>
      <c r="L194" s="139"/>
      <c r="M194" s="3"/>
      <c r="N194" s="191"/>
      <c r="O194" s="60"/>
      <c r="Q194" s="67"/>
      <c r="R194" s="65"/>
      <c r="S194" s="3"/>
      <c r="U194" s="67"/>
      <c r="V194" s="67"/>
      <c r="Z194" s="69"/>
      <c r="AA194" s="70"/>
      <c r="AB194" s="71"/>
      <c r="AC194" s="71"/>
      <c r="AD194" s="71"/>
      <c r="AE194" s="71"/>
      <c r="AF194" s="71"/>
      <c r="AG194" s="71"/>
      <c r="AH194" s="71"/>
      <c r="AK194" s="11"/>
    </row>
    <row r="195" ht="15.75" customHeight="1">
      <c r="C195" s="841"/>
      <c r="E195" s="915"/>
      <c r="G195" s="13"/>
      <c r="H195" s="13"/>
      <c r="I195" s="6"/>
      <c r="J195" s="58"/>
      <c r="K195" s="6"/>
      <c r="L195" s="139"/>
      <c r="M195" s="3"/>
      <c r="N195" s="191"/>
      <c r="O195" s="60"/>
      <c r="Q195" s="67"/>
      <c r="R195" s="65"/>
      <c r="S195" s="3"/>
      <c r="U195" s="67"/>
      <c r="V195" s="67"/>
      <c r="Z195" s="69"/>
      <c r="AA195" s="70"/>
      <c r="AB195" s="71"/>
      <c r="AC195" s="71"/>
      <c r="AD195" s="71"/>
      <c r="AE195" s="71"/>
      <c r="AF195" s="71"/>
      <c r="AG195" s="71"/>
      <c r="AH195" s="71"/>
      <c r="AK195" s="11"/>
    </row>
    <row r="196" ht="15.75" customHeight="1">
      <c r="C196" s="841"/>
      <c r="E196" s="915"/>
      <c r="G196" s="13"/>
      <c r="H196" s="13"/>
      <c r="I196" s="6"/>
      <c r="J196" s="58"/>
      <c r="K196" s="6"/>
      <c r="L196" s="139"/>
      <c r="M196" s="3"/>
      <c r="N196" s="191"/>
      <c r="O196" s="60"/>
      <c r="Q196" s="67"/>
      <c r="R196" s="65"/>
      <c r="S196" s="3"/>
      <c r="U196" s="67"/>
      <c r="V196" s="67"/>
      <c r="Z196" s="69"/>
      <c r="AA196" s="70"/>
      <c r="AB196" s="71"/>
      <c r="AC196" s="71"/>
      <c r="AD196" s="71"/>
      <c r="AE196" s="71"/>
      <c r="AF196" s="71"/>
      <c r="AG196" s="71"/>
      <c r="AH196" s="71"/>
      <c r="AK196" s="11"/>
    </row>
    <row r="197" ht="15.75" customHeight="1">
      <c r="C197" s="841"/>
      <c r="E197" s="915"/>
      <c r="G197" s="13"/>
      <c r="H197" s="13"/>
      <c r="I197" s="6"/>
      <c r="J197" s="58"/>
      <c r="K197" s="6"/>
      <c r="L197" s="139"/>
      <c r="M197" s="3"/>
      <c r="N197" s="191"/>
      <c r="O197" s="60"/>
      <c r="Q197" s="67"/>
      <c r="R197" s="65"/>
      <c r="S197" s="3"/>
      <c r="U197" s="67"/>
      <c r="V197" s="67"/>
      <c r="Z197" s="69"/>
      <c r="AA197" s="70"/>
      <c r="AB197" s="71"/>
      <c r="AC197" s="71"/>
      <c r="AD197" s="71"/>
      <c r="AE197" s="71"/>
      <c r="AF197" s="71"/>
      <c r="AG197" s="71"/>
      <c r="AH197" s="71"/>
      <c r="AK197" s="11"/>
    </row>
    <row r="198" ht="15.75" customHeight="1">
      <c r="C198" s="841"/>
      <c r="E198" s="915"/>
      <c r="G198" s="13"/>
      <c r="H198" s="13"/>
      <c r="I198" s="6"/>
      <c r="J198" s="58"/>
      <c r="K198" s="6"/>
      <c r="L198" s="139"/>
      <c r="M198" s="3"/>
      <c r="N198" s="191"/>
      <c r="O198" s="60"/>
      <c r="Q198" s="67"/>
      <c r="R198" s="65"/>
      <c r="S198" s="3"/>
      <c r="U198" s="67"/>
      <c r="V198" s="67"/>
      <c r="Z198" s="69"/>
      <c r="AA198" s="70"/>
      <c r="AB198" s="71"/>
      <c r="AC198" s="71"/>
      <c r="AD198" s="71"/>
      <c r="AE198" s="71"/>
      <c r="AF198" s="71"/>
      <c r="AG198" s="71"/>
      <c r="AH198" s="71"/>
      <c r="AK198" s="11"/>
    </row>
    <row r="199" ht="15.75" customHeight="1">
      <c r="C199" s="841"/>
      <c r="E199" s="915"/>
      <c r="G199" s="13"/>
      <c r="H199" s="13"/>
      <c r="I199" s="6"/>
      <c r="J199" s="58"/>
      <c r="K199" s="6"/>
      <c r="L199" s="139"/>
      <c r="M199" s="3"/>
      <c r="N199" s="191"/>
      <c r="O199" s="60"/>
      <c r="Q199" s="67"/>
      <c r="R199" s="65"/>
      <c r="S199" s="3"/>
      <c r="U199" s="67"/>
      <c r="V199" s="67"/>
      <c r="Z199" s="69"/>
      <c r="AA199" s="70"/>
      <c r="AB199" s="71"/>
      <c r="AC199" s="71"/>
      <c r="AD199" s="71"/>
      <c r="AE199" s="71"/>
      <c r="AF199" s="71"/>
      <c r="AG199" s="71"/>
      <c r="AH199" s="71"/>
      <c r="AK199" s="11"/>
    </row>
    <row r="200" ht="15.75" customHeight="1">
      <c r="C200" s="841"/>
      <c r="E200" s="915"/>
      <c r="G200" s="13"/>
      <c r="H200" s="13"/>
      <c r="I200" s="6"/>
      <c r="J200" s="58"/>
      <c r="K200" s="6"/>
      <c r="L200" s="139"/>
      <c r="M200" s="3"/>
      <c r="N200" s="191"/>
      <c r="O200" s="60"/>
      <c r="Q200" s="67"/>
      <c r="R200" s="65"/>
      <c r="S200" s="3"/>
      <c r="U200" s="67"/>
      <c r="V200" s="67"/>
      <c r="Z200" s="69"/>
      <c r="AA200" s="70"/>
      <c r="AB200" s="71"/>
      <c r="AC200" s="71"/>
      <c r="AD200" s="71"/>
      <c r="AE200" s="71"/>
      <c r="AF200" s="71"/>
      <c r="AG200" s="71"/>
      <c r="AH200" s="71"/>
      <c r="AK200" s="11"/>
    </row>
    <row r="201" ht="15.75" customHeight="1">
      <c r="C201" s="841"/>
      <c r="E201" s="915"/>
      <c r="G201" s="13"/>
      <c r="H201" s="13"/>
      <c r="I201" s="6"/>
      <c r="J201" s="58"/>
      <c r="K201" s="6"/>
      <c r="L201" s="139"/>
      <c r="M201" s="3"/>
      <c r="N201" s="191"/>
      <c r="O201" s="60"/>
      <c r="Q201" s="67"/>
      <c r="R201" s="65"/>
      <c r="S201" s="3"/>
      <c r="U201" s="67"/>
      <c r="V201" s="67"/>
      <c r="Z201" s="69"/>
      <c r="AA201" s="70"/>
      <c r="AB201" s="71"/>
      <c r="AC201" s="71"/>
      <c r="AD201" s="71"/>
      <c r="AE201" s="71"/>
      <c r="AF201" s="71"/>
      <c r="AG201" s="71"/>
      <c r="AH201" s="71"/>
      <c r="AK201" s="11"/>
    </row>
    <row r="202" ht="15.75" customHeight="1">
      <c r="C202" s="841"/>
      <c r="E202" s="915"/>
      <c r="G202" s="13"/>
      <c r="H202" s="13"/>
      <c r="I202" s="6"/>
      <c r="J202" s="58"/>
      <c r="K202" s="6"/>
      <c r="L202" s="139"/>
      <c r="M202" s="3"/>
      <c r="N202" s="191"/>
      <c r="O202" s="60"/>
      <c r="Q202" s="67"/>
      <c r="R202" s="65"/>
      <c r="S202" s="3"/>
      <c r="U202" s="67"/>
      <c r="V202" s="67"/>
      <c r="Z202" s="69"/>
      <c r="AA202" s="70"/>
      <c r="AB202" s="71"/>
      <c r="AC202" s="71"/>
      <c r="AD202" s="71"/>
      <c r="AE202" s="71"/>
      <c r="AF202" s="71"/>
      <c r="AG202" s="71"/>
      <c r="AH202" s="71"/>
      <c r="AK202" s="11"/>
    </row>
    <row r="203" ht="15.75" customHeight="1">
      <c r="C203" s="841"/>
      <c r="E203" s="915"/>
      <c r="G203" s="13"/>
      <c r="H203" s="13"/>
      <c r="I203" s="6"/>
      <c r="J203" s="58"/>
      <c r="K203" s="6"/>
      <c r="L203" s="139"/>
      <c r="M203" s="3"/>
      <c r="N203" s="191"/>
      <c r="O203" s="60"/>
      <c r="Q203" s="67"/>
      <c r="R203" s="65"/>
      <c r="S203" s="3"/>
      <c r="U203" s="67"/>
      <c r="V203" s="67"/>
      <c r="Z203" s="69"/>
      <c r="AA203" s="70"/>
      <c r="AB203" s="71"/>
      <c r="AC203" s="71"/>
      <c r="AD203" s="71"/>
      <c r="AE203" s="71"/>
      <c r="AF203" s="71"/>
      <c r="AG203" s="71"/>
      <c r="AH203" s="71"/>
      <c r="AK203" s="11"/>
    </row>
    <row r="204" ht="15.75" customHeight="1">
      <c r="C204" s="841"/>
      <c r="E204" s="915"/>
      <c r="G204" s="13"/>
      <c r="H204" s="13"/>
      <c r="I204" s="6"/>
      <c r="J204" s="58"/>
      <c r="K204" s="6"/>
      <c r="L204" s="139"/>
      <c r="M204" s="3"/>
      <c r="N204" s="191"/>
      <c r="O204" s="60"/>
      <c r="Q204" s="67"/>
      <c r="R204" s="65"/>
      <c r="S204" s="3"/>
      <c r="U204" s="67"/>
      <c r="V204" s="67"/>
      <c r="Z204" s="69"/>
      <c r="AA204" s="70"/>
      <c r="AB204" s="71"/>
      <c r="AC204" s="71"/>
      <c r="AD204" s="71"/>
      <c r="AE204" s="71"/>
      <c r="AF204" s="71"/>
      <c r="AG204" s="71"/>
      <c r="AH204" s="71"/>
      <c r="AK204" s="11"/>
    </row>
    <row r="205" ht="15.75" customHeight="1">
      <c r="C205" s="841"/>
      <c r="E205" s="915"/>
      <c r="G205" s="13"/>
      <c r="H205" s="13"/>
      <c r="I205" s="6"/>
      <c r="J205" s="58"/>
      <c r="K205" s="6"/>
      <c r="L205" s="139"/>
      <c r="M205" s="3"/>
      <c r="N205" s="191"/>
      <c r="O205" s="60"/>
      <c r="Q205" s="67"/>
      <c r="R205" s="65"/>
      <c r="S205" s="3"/>
      <c r="U205" s="67"/>
      <c r="V205" s="67"/>
      <c r="Z205" s="69"/>
      <c r="AA205" s="70"/>
      <c r="AB205" s="71"/>
      <c r="AC205" s="71"/>
      <c r="AD205" s="71"/>
      <c r="AE205" s="71"/>
      <c r="AF205" s="71"/>
      <c r="AG205" s="71"/>
      <c r="AH205" s="71"/>
      <c r="AK205" s="11"/>
    </row>
    <row r="206" ht="15.75" customHeight="1">
      <c r="C206" s="841"/>
      <c r="E206" s="915"/>
      <c r="G206" s="13"/>
      <c r="H206" s="13"/>
      <c r="I206" s="6"/>
      <c r="J206" s="58"/>
      <c r="K206" s="6"/>
      <c r="L206" s="139"/>
      <c r="M206" s="3"/>
      <c r="N206" s="191"/>
      <c r="O206" s="60"/>
      <c r="Q206" s="67"/>
      <c r="R206" s="65"/>
      <c r="S206" s="3"/>
      <c r="U206" s="67"/>
      <c r="V206" s="67"/>
      <c r="Z206" s="69"/>
      <c r="AA206" s="70"/>
      <c r="AB206" s="71"/>
      <c r="AC206" s="71"/>
      <c r="AD206" s="71"/>
      <c r="AE206" s="71"/>
      <c r="AF206" s="71"/>
      <c r="AG206" s="71"/>
      <c r="AH206" s="71"/>
      <c r="AK206" s="11"/>
    </row>
    <row r="207" ht="15.75" customHeight="1">
      <c r="C207" s="841"/>
      <c r="E207" s="915"/>
      <c r="G207" s="13"/>
      <c r="H207" s="13"/>
      <c r="I207" s="6"/>
      <c r="J207" s="58"/>
      <c r="K207" s="6"/>
      <c r="L207" s="139"/>
      <c r="M207" s="3"/>
      <c r="N207" s="191"/>
      <c r="O207" s="60"/>
      <c r="Q207" s="67"/>
      <c r="R207" s="65"/>
      <c r="S207" s="3"/>
      <c r="U207" s="67"/>
      <c r="V207" s="67"/>
      <c r="Z207" s="69"/>
      <c r="AA207" s="70"/>
      <c r="AB207" s="71"/>
      <c r="AC207" s="71"/>
      <c r="AD207" s="71"/>
      <c r="AE207" s="71"/>
      <c r="AF207" s="71"/>
      <c r="AG207" s="71"/>
      <c r="AH207" s="71"/>
      <c r="AK207" s="11"/>
    </row>
    <row r="208" ht="15.75" customHeight="1">
      <c r="C208" s="841"/>
      <c r="E208" s="915"/>
      <c r="G208" s="13"/>
      <c r="H208" s="13"/>
      <c r="I208" s="6"/>
      <c r="J208" s="58"/>
      <c r="K208" s="6"/>
      <c r="L208" s="139"/>
      <c r="M208" s="3"/>
      <c r="N208" s="191"/>
      <c r="O208" s="60"/>
      <c r="Q208" s="67"/>
      <c r="R208" s="65"/>
      <c r="S208" s="3"/>
      <c r="U208" s="67"/>
      <c r="V208" s="67"/>
      <c r="Z208" s="69"/>
      <c r="AA208" s="70"/>
      <c r="AB208" s="71"/>
      <c r="AC208" s="71"/>
      <c r="AD208" s="71"/>
      <c r="AE208" s="71"/>
      <c r="AF208" s="71"/>
      <c r="AG208" s="71"/>
      <c r="AH208" s="71"/>
      <c r="AK208" s="11"/>
    </row>
    <row r="209" ht="15.75" customHeight="1">
      <c r="C209" s="841"/>
      <c r="E209" s="915"/>
      <c r="G209" s="13"/>
      <c r="H209" s="13"/>
      <c r="I209" s="6"/>
      <c r="J209" s="58"/>
      <c r="K209" s="6"/>
      <c r="L209" s="139"/>
      <c r="M209" s="3"/>
      <c r="N209" s="191"/>
      <c r="O209" s="60"/>
      <c r="Q209" s="67"/>
      <c r="R209" s="65"/>
      <c r="S209" s="3"/>
      <c r="U209" s="67"/>
      <c r="V209" s="67"/>
      <c r="Z209" s="69"/>
      <c r="AA209" s="70"/>
      <c r="AB209" s="71"/>
      <c r="AC209" s="71"/>
      <c r="AD209" s="71"/>
      <c r="AE209" s="71"/>
      <c r="AF209" s="71"/>
      <c r="AG209" s="71"/>
      <c r="AH209" s="71"/>
      <c r="AK209" s="11"/>
    </row>
    <row r="210" ht="15.75" customHeight="1">
      <c r="C210" s="841"/>
      <c r="E210" s="915"/>
      <c r="G210" s="13"/>
      <c r="H210" s="13"/>
      <c r="I210" s="6"/>
      <c r="J210" s="58"/>
      <c r="K210" s="6"/>
      <c r="L210" s="139"/>
      <c r="M210" s="3"/>
      <c r="N210" s="191"/>
      <c r="O210" s="60"/>
      <c r="Q210" s="67"/>
      <c r="R210" s="65"/>
      <c r="S210" s="3"/>
      <c r="U210" s="67"/>
      <c r="V210" s="67"/>
      <c r="Z210" s="69"/>
      <c r="AA210" s="70"/>
      <c r="AB210" s="71"/>
      <c r="AC210" s="71"/>
      <c r="AD210" s="71"/>
      <c r="AE210" s="71"/>
      <c r="AF210" s="71"/>
      <c r="AG210" s="71"/>
      <c r="AH210" s="71"/>
      <c r="AK210" s="11"/>
    </row>
    <row r="211" ht="15.75" customHeight="1">
      <c r="C211" s="841"/>
      <c r="E211" s="915"/>
      <c r="G211" s="13"/>
      <c r="H211" s="13"/>
      <c r="I211" s="6"/>
      <c r="J211" s="58"/>
      <c r="K211" s="6"/>
      <c r="L211" s="139"/>
      <c r="M211" s="3"/>
      <c r="N211" s="191"/>
      <c r="O211" s="60"/>
      <c r="Q211" s="67"/>
      <c r="R211" s="65"/>
      <c r="S211" s="3"/>
      <c r="U211" s="67"/>
      <c r="V211" s="67"/>
      <c r="Z211" s="69"/>
      <c r="AA211" s="70"/>
      <c r="AB211" s="71"/>
      <c r="AC211" s="71"/>
      <c r="AD211" s="71"/>
      <c r="AE211" s="71"/>
      <c r="AF211" s="71"/>
      <c r="AG211" s="71"/>
      <c r="AH211" s="71"/>
      <c r="AK211" s="11"/>
    </row>
    <row r="212" ht="15.75" customHeight="1">
      <c r="C212" s="841"/>
      <c r="E212" s="915"/>
      <c r="G212" s="13"/>
      <c r="H212" s="13"/>
      <c r="I212" s="6"/>
      <c r="J212" s="58"/>
      <c r="K212" s="6"/>
      <c r="L212" s="139"/>
      <c r="M212" s="3"/>
      <c r="N212" s="191"/>
      <c r="O212" s="60"/>
      <c r="Q212" s="67"/>
      <c r="R212" s="65"/>
      <c r="S212" s="3"/>
      <c r="U212" s="67"/>
      <c r="V212" s="67"/>
      <c r="Z212" s="69"/>
      <c r="AA212" s="70"/>
      <c r="AB212" s="71"/>
      <c r="AC212" s="71"/>
      <c r="AD212" s="71"/>
      <c r="AE212" s="71"/>
      <c r="AF212" s="71"/>
      <c r="AG212" s="71"/>
      <c r="AH212" s="71"/>
      <c r="AK212" s="11"/>
    </row>
    <row r="213" ht="15.75" customHeight="1">
      <c r="C213" s="841"/>
      <c r="E213" s="915"/>
      <c r="G213" s="13"/>
      <c r="H213" s="13"/>
      <c r="I213" s="6"/>
      <c r="J213" s="58"/>
      <c r="K213" s="6"/>
      <c r="L213" s="139"/>
      <c r="M213" s="3"/>
      <c r="N213" s="191"/>
      <c r="O213" s="60"/>
      <c r="Q213" s="67"/>
      <c r="R213" s="65"/>
      <c r="S213" s="3"/>
      <c r="U213" s="67"/>
      <c r="V213" s="67"/>
      <c r="Z213" s="69"/>
      <c r="AA213" s="70"/>
      <c r="AB213" s="71"/>
      <c r="AC213" s="71"/>
      <c r="AD213" s="71"/>
      <c r="AE213" s="71"/>
      <c r="AF213" s="71"/>
      <c r="AG213" s="71"/>
      <c r="AH213" s="71"/>
      <c r="AK213" s="11"/>
    </row>
    <row r="214" ht="15.75" customHeight="1">
      <c r="C214" s="841"/>
      <c r="E214" s="915"/>
      <c r="G214" s="13"/>
      <c r="H214" s="13"/>
      <c r="I214" s="6"/>
      <c r="J214" s="58"/>
      <c r="K214" s="6"/>
      <c r="L214" s="139"/>
      <c r="M214" s="3"/>
      <c r="N214" s="191"/>
      <c r="O214" s="60"/>
      <c r="Q214" s="67"/>
      <c r="R214" s="65"/>
      <c r="S214" s="3"/>
      <c r="U214" s="67"/>
      <c r="V214" s="67"/>
      <c r="Z214" s="69"/>
      <c r="AA214" s="70"/>
      <c r="AB214" s="71"/>
      <c r="AC214" s="71"/>
      <c r="AD214" s="71"/>
      <c r="AE214" s="71"/>
      <c r="AF214" s="71"/>
      <c r="AG214" s="71"/>
      <c r="AH214" s="71"/>
      <c r="AK214" s="11"/>
    </row>
    <row r="215" ht="15.75" customHeight="1">
      <c r="C215" s="841"/>
      <c r="E215" s="915"/>
      <c r="G215" s="13"/>
      <c r="H215" s="13"/>
      <c r="I215" s="6"/>
      <c r="J215" s="58"/>
      <c r="K215" s="6"/>
      <c r="L215" s="139"/>
      <c r="M215" s="3"/>
      <c r="N215" s="191"/>
      <c r="O215" s="60"/>
      <c r="Q215" s="67"/>
      <c r="R215" s="65"/>
      <c r="S215" s="3"/>
      <c r="U215" s="67"/>
      <c r="V215" s="67"/>
      <c r="Z215" s="69"/>
      <c r="AA215" s="70"/>
      <c r="AB215" s="71"/>
      <c r="AC215" s="71"/>
      <c r="AD215" s="71"/>
      <c r="AE215" s="71"/>
      <c r="AF215" s="71"/>
      <c r="AG215" s="71"/>
      <c r="AH215" s="71"/>
      <c r="AK215" s="11"/>
    </row>
    <row r="216" ht="15.75" customHeight="1">
      <c r="C216" s="841"/>
      <c r="E216" s="915"/>
      <c r="G216" s="13"/>
      <c r="H216" s="13"/>
      <c r="I216" s="6"/>
      <c r="J216" s="58"/>
      <c r="K216" s="6"/>
      <c r="L216" s="139"/>
      <c r="M216" s="3"/>
      <c r="N216" s="191"/>
      <c r="O216" s="60"/>
      <c r="Q216" s="67"/>
      <c r="R216" s="65"/>
      <c r="S216" s="3"/>
      <c r="U216" s="67"/>
      <c r="V216" s="67"/>
      <c r="Z216" s="69"/>
      <c r="AA216" s="70"/>
      <c r="AB216" s="71"/>
      <c r="AC216" s="71"/>
      <c r="AD216" s="71"/>
      <c r="AE216" s="71"/>
      <c r="AF216" s="71"/>
      <c r="AG216" s="71"/>
      <c r="AH216" s="71"/>
      <c r="AK216" s="11"/>
    </row>
    <row r="217" ht="15.75" customHeight="1">
      <c r="C217" s="841"/>
      <c r="E217" s="915"/>
      <c r="G217" s="13"/>
      <c r="H217" s="13"/>
      <c r="I217" s="6"/>
      <c r="J217" s="58"/>
      <c r="K217" s="6"/>
      <c r="L217" s="139"/>
      <c r="M217" s="3"/>
      <c r="N217" s="191"/>
      <c r="O217" s="60"/>
      <c r="Q217" s="67"/>
      <c r="R217" s="65"/>
      <c r="S217" s="3"/>
      <c r="U217" s="67"/>
      <c r="V217" s="67"/>
      <c r="Z217" s="69"/>
      <c r="AA217" s="70"/>
      <c r="AB217" s="71"/>
      <c r="AC217" s="71"/>
      <c r="AD217" s="71"/>
      <c r="AE217" s="71"/>
      <c r="AF217" s="71"/>
      <c r="AG217" s="71"/>
      <c r="AH217" s="71"/>
      <c r="AK217" s="11"/>
    </row>
    <row r="218" ht="15.75" customHeight="1">
      <c r="C218" s="841"/>
      <c r="E218" s="915"/>
      <c r="G218" s="13"/>
      <c r="H218" s="13"/>
      <c r="I218" s="6"/>
      <c r="J218" s="58"/>
      <c r="K218" s="6"/>
      <c r="L218" s="139"/>
      <c r="M218" s="3"/>
      <c r="N218" s="191"/>
      <c r="O218" s="60"/>
      <c r="Q218" s="67"/>
      <c r="R218" s="65"/>
      <c r="S218" s="3"/>
      <c r="U218" s="67"/>
      <c r="V218" s="67"/>
      <c r="Z218" s="69"/>
      <c r="AA218" s="70"/>
      <c r="AB218" s="71"/>
      <c r="AC218" s="71"/>
      <c r="AD218" s="71"/>
      <c r="AE218" s="71"/>
      <c r="AF218" s="71"/>
      <c r="AG218" s="71"/>
      <c r="AH218" s="71"/>
      <c r="AK218" s="11"/>
    </row>
    <row r="219" ht="15.75" customHeight="1">
      <c r="C219" s="841"/>
      <c r="E219" s="915"/>
      <c r="G219" s="13"/>
      <c r="H219" s="13"/>
      <c r="I219" s="6"/>
      <c r="J219" s="58"/>
      <c r="K219" s="6"/>
      <c r="L219" s="139"/>
      <c r="M219" s="3"/>
      <c r="N219" s="191"/>
      <c r="O219" s="60"/>
      <c r="Q219" s="67"/>
      <c r="R219" s="65"/>
      <c r="S219" s="3"/>
      <c r="U219" s="67"/>
      <c r="V219" s="67"/>
      <c r="Z219" s="69"/>
      <c r="AA219" s="70"/>
      <c r="AB219" s="71"/>
      <c r="AC219" s="71"/>
      <c r="AD219" s="71"/>
      <c r="AE219" s="71"/>
      <c r="AF219" s="71"/>
      <c r="AG219" s="71"/>
      <c r="AH219" s="71"/>
      <c r="AK219" s="11"/>
    </row>
    <row r="220" ht="15.75" customHeight="1">
      <c r="C220" s="841"/>
      <c r="E220" s="915"/>
      <c r="G220" s="13"/>
      <c r="H220" s="13"/>
      <c r="I220" s="6"/>
      <c r="J220" s="58"/>
      <c r="K220" s="6"/>
      <c r="L220" s="139"/>
      <c r="M220" s="3"/>
      <c r="N220" s="191"/>
      <c r="O220" s="60"/>
      <c r="Q220" s="67"/>
      <c r="R220" s="65"/>
      <c r="S220" s="3"/>
      <c r="U220" s="67"/>
      <c r="V220" s="67"/>
      <c r="Z220" s="69"/>
      <c r="AA220" s="70"/>
      <c r="AB220" s="71"/>
      <c r="AC220" s="71"/>
      <c r="AD220" s="71"/>
      <c r="AE220" s="71"/>
      <c r="AF220" s="71"/>
      <c r="AG220" s="71"/>
      <c r="AH220" s="71"/>
      <c r="AK220" s="11"/>
    </row>
    <row r="221" ht="15.75" customHeight="1">
      <c r="C221" s="841"/>
      <c r="E221" s="915"/>
      <c r="G221" s="13"/>
      <c r="H221" s="13"/>
      <c r="I221" s="6"/>
      <c r="J221" s="58"/>
      <c r="K221" s="6"/>
      <c r="L221" s="139"/>
      <c r="M221" s="3"/>
      <c r="N221" s="191"/>
      <c r="O221" s="60"/>
      <c r="Q221" s="67"/>
      <c r="R221" s="65"/>
      <c r="S221" s="3"/>
      <c r="U221" s="67"/>
      <c r="V221" s="67"/>
      <c r="Z221" s="69"/>
      <c r="AA221" s="70"/>
      <c r="AB221" s="71"/>
      <c r="AC221" s="71"/>
      <c r="AD221" s="71"/>
      <c r="AE221" s="71"/>
      <c r="AF221" s="71"/>
      <c r="AG221" s="71"/>
      <c r="AH221" s="71"/>
      <c r="AK221" s="11"/>
    </row>
    <row r="222" ht="15.75" customHeight="1">
      <c r="C222" s="841"/>
      <c r="E222" s="915"/>
      <c r="G222" s="13"/>
      <c r="H222" s="13"/>
      <c r="I222" s="6"/>
      <c r="J222" s="58"/>
      <c r="K222" s="6"/>
      <c r="L222" s="139"/>
      <c r="M222" s="3"/>
      <c r="N222" s="191"/>
      <c r="O222" s="60"/>
      <c r="Q222" s="67"/>
      <c r="R222" s="65"/>
      <c r="S222" s="3"/>
      <c r="U222" s="67"/>
      <c r="V222" s="67"/>
      <c r="Z222" s="69"/>
      <c r="AA222" s="70"/>
      <c r="AB222" s="71"/>
      <c r="AC222" s="71"/>
      <c r="AD222" s="71"/>
      <c r="AE222" s="71"/>
      <c r="AF222" s="71"/>
      <c r="AG222" s="71"/>
      <c r="AH222" s="71"/>
      <c r="AK222" s="11"/>
    </row>
    <row r="223" ht="15.75" customHeight="1">
      <c r="C223" s="841"/>
      <c r="E223" s="915"/>
      <c r="G223" s="13"/>
      <c r="H223" s="13"/>
      <c r="I223" s="6"/>
      <c r="J223" s="58"/>
      <c r="K223" s="6"/>
      <c r="L223" s="139"/>
      <c r="M223" s="3"/>
      <c r="N223" s="191"/>
      <c r="O223" s="60"/>
      <c r="Q223" s="67"/>
      <c r="R223" s="65"/>
      <c r="S223" s="3"/>
      <c r="U223" s="67"/>
      <c r="V223" s="67"/>
      <c r="Z223" s="69"/>
      <c r="AA223" s="70"/>
      <c r="AB223" s="71"/>
      <c r="AC223" s="71"/>
      <c r="AD223" s="71"/>
      <c r="AE223" s="71"/>
      <c r="AF223" s="71"/>
      <c r="AG223" s="71"/>
      <c r="AH223" s="71"/>
      <c r="AK223" s="11"/>
    </row>
    <row r="224" ht="15.75" customHeight="1">
      <c r="C224" s="841"/>
      <c r="E224" s="915"/>
      <c r="G224" s="13"/>
      <c r="H224" s="13"/>
      <c r="I224" s="6"/>
      <c r="J224" s="58"/>
      <c r="K224" s="6"/>
      <c r="L224" s="139"/>
      <c r="M224" s="3"/>
      <c r="N224" s="191"/>
      <c r="O224" s="60"/>
      <c r="Q224" s="67"/>
      <c r="R224" s="65"/>
      <c r="S224" s="3"/>
      <c r="U224" s="67"/>
      <c r="V224" s="67"/>
      <c r="Z224" s="69"/>
      <c r="AA224" s="70"/>
      <c r="AB224" s="71"/>
      <c r="AC224" s="71"/>
      <c r="AD224" s="71"/>
      <c r="AE224" s="71"/>
      <c r="AF224" s="71"/>
      <c r="AG224" s="71"/>
      <c r="AH224" s="71"/>
      <c r="AK224" s="11"/>
    </row>
    <row r="225" ht="15.75" customHeight="1">
      <c r="C225" s="841"/>
      <c r="E225" s="915"/>
      <c r="G225" s="13"/>
      <c r="H225" s="13"/>
      <c r="I225" s="6"/>
      <c r="J225" s="58"/>
      <c r="K225" s="6"/>
      <c r="L225" s="139"/>
      <c r="M225" s="3"/>
      <c r="N225" s="191"/>
      <c r="O225" s="60"/>
      <c r="Q225" s="67"/>
      <c r="R225" s="65"/>
      <c r="S225" s="3"/>
      <c r="U225" s="67"/>
      <c r="V225" s="67"/>
      <c r="Z225" s="69"/>
      <c r="AA225" s="70"/>
      <c r="AB225" s="71"/>
      <c r="AC225" s="71"/>
      <c r="AD225" s="71"/>
      <c r="AE225" s="71"/>
      <c r="AF225" s="71"/>
      <c r="AG225" s="71"/>
      <c r="AH225" s="71"/>
      <c r="AK225" s="11"/>
    </row>
    <row r="226" ht="15.75" customHeight="1">
      <c r="C226" s="841"/>
      <c r="E226" s="915"/>
      <c r="G226" s="13"/>
      <c r="H226" s="13"/>
      <c r="I226" s="6"/>
      <c r="J226" s="58"/>
      <c r="K226" s="6"/>
      <c r="L226" s="139"/>
      <c r="M226" s="3"/>
      <c r="N226" s="191"/>
      <c r="O226" s="60"/>
      <c r="Q226" s="67"/>
      <c r="R226" s="65"/>
      <c r="S226" s="3"/>
      <c r="U226" s="67"/>
      <c r="V226" s="67"/>
      <c r="Z226" s="69"/>
      <c r="AA226" s="70"/>
      <c r="AB226" s="71"/>
      <c r="AC226" s="71"/>
      <c r="AD226" s="71"/>
      <c r="AE226" s="71"/>
      <c r="AF226" s="71"/>
      <c r="AG226" s="71"/>
      <c r="AH226" s="71"/>
      <c r="AK226" s="11"/>
    </row>
    <row r="227" ht="15.75" customHeight="1">
      <c r="C227" s="841"/>
      <c r="E227" s="915"/>
      <c r="G227" s="13"/>
      <c r="H227" s="13"/>
      <c r="I227" s="6"/>
      <c r="J227" s="58"/>
      <c r="K227" s="6"/>
      <c r="L227" s="139"/>
      <c r="M227" s="3"/>
      <c r="N227" s="191"/>
      <c r="O227" s="60"/>
      <c r="Q227" s="67"/>
      <c r="R227" s="65"/>
      <c r="S227" s="3"/>
      <c r="U227" s="67"/>
      <c r="V227" s="67"/>
      <c r="Z227" s="69"/>
      <c r="AA227" s="70"/>
      <c r="AB227" s="71"/>
      <c r="AC227" s="71"/>
      <c r="AD227" s="71"/>
      <c r="AE227" s="71"/>
      <c r="AF227" s="71"/>
      <c r="AG227" s="71"/>
      <c r="AH227" s="71"/>
      <c r="AK227" s="11"/>
    </row>
    <row r="228" ht="15.75" customHeight="1">
      <c r="C228" s="841"/>
      <c r="E228" s="915"/>
      <c r="G228" s="13"/>
      <c r="H228" s="13"/>
      <c r="I228" s="6"/>
      <c r="J228" s="58"/>
      <c r="K228" s="6"/>
      <c r="L228" s="139"/>
      <c r="M228" s="3"/>
      <c r="N228" s="191"/>
      <c r="O228" s="60"/>
      <c r="Q228" s="67"/>
      <c r="R228" s="65"/>
      <c r="S228" s="3"/>
      <c r="U228" s="67"/>
      <c r="V228" s="67"/>
      <c r="Z228" s="69"/>
      <c r="AA228" s="70"/>
      <c r="AB228" s="71"/>
      <c r="AC228" s="71"/>
      <c r="AD228" s="71"/>
      <c r="AE228" s="71"/>
      <c r="AF228" s="71"/>
      <c r="AG228" s="71"/>
      <c r="AH228" s="71"/>
      <c r="AK228" s="11"/>
    </row>
    <row r="229" ht="15.75" customHeight="1">
      <c r="C229" s="841"/>
      <c r="E229" s="915"/>
      <c r="G229" s="13"/>
      <c r="H229" s="13"/>
      <c r="I229" s="6"/>
      <c r="J229" s="58"/>
      <c r="K229" s="6"/>
      <c r="L229" s="139"/>
      <c r="M229" s="3"/>
      <c r="N229" s="191"/>
      <c r="O229" s="60"/>
      <c r="Q229" s="67"/>
      <c r="R229" s="65"/>
      <c r="S229" s="3"/>
      <c r="U229" s="67"/>
      <c r="V229" s="67"/>
      <c r="Z229" s="69"/>
      <c r="AA229" s="70"/>
      <c r="AB229" s="71"/>
      <c r="AC229" s="71"/>
      <c r="AD229" s="71"/>
      <c r="AE229" s="71"/>
      <c r="AF229" s="71"/>
      <c r="AG229" s="71"/>
      <c r="AH229" s="71"/>
      <c r="AK229" s="11"/>
    </row>
    <row r="230" ht="15.75" customHeight="1">
      <c r="C230" s="841"/>
      <c r="E230" s="915"/>
      <c r="G230" s="13"/>
      <c r="H230" s="13"/>
      <c r="I230" s="6"/>
      <c r="J230" s="58"/>
      <c r="K230" s="6"/>
      <c r="L230" s="139"/>
      <c r="M230" s="3"/>
      <c r="N230" s="191"/>
      <c r="O230" s="60"/>
      <c r="Q230" s="67"/>
      <c r="R230" s="65"/>
      <c r="S230" s="3"/>
      <c r="U230" s="67"/>
      <c r="V230" s="67"/>
      <c r="Z230" s="69"/>
      <c r="AA230" s="70"/>
      <c r="AB230" s="71"/>
      <c r="AC230" s="71"/>
      <c r="AD230" s="71"/>
      <c r="AE230" s="71"/>
      <c r="AF230" s="71"/>
      <c r="AG230" s="71"/>
      <c r="AH230" s="71"/>
      <c r="AK230" s="11"/>
    </row>
    <row r="231" ht="15.75" customHeight="1">
      <c r="C231" s="841"/>
      <c r="E231" s="915"/>
      <c r="G231" s="13"/>
      <c r="H231" s="13"/>
      <c r="I231" s="6"/>
      <c r="J231" s="58"/>
      <c r="K231" s="6"/>
      <c r="L231" s="139"/>
      <c r="M231" s="3"/>
      <c r="N231" s="191"/>
      <c r="O231" s="60"/>
      <c r="Q231" s="67"/>
      <c r="R231" s="65"/>
      <c r="S231" s="3"/>
      <c r="U231" s="67"/>
      <c r="V231" s="67"/>
      <c r="Z231" s="69"/>
      <c r="AA231" s="70"/>
      <c r="AB231" s="71"/>
      <c r="AC231" s="71"/>
      <c r="AD231" s="71"/>
      <c r="AE231" s="71"/>
      <c r="AF231" s="71"/>
      <c r="AG231" s="71"/>
      <c r="AH231" s="71"/>
      <c r="AK231" s="11"/>
    </row>
    <row r="232" ht="15.75" customHeight="1">
      <c r="C232" s="841"/>
      <c r="E232" s="915"/>
      <c r="G232" s="13"/>
      <c r="H232" s="13"/>
      <c r="I232" s="6"/>
      <c r="J232" s="58"/>
      <c r="K232" s="6"/>
      <c r="L232" s="139"/>
      <c r="M232" s="3"/>
      <c r="N232" s="191"/>
      <c r="O232" s="60"/>
      <c r="Q232" s="67"/>
      <c r="R232" s="65"/>
      <c r="S232" s="3"/>
      <c r="U232" s="67"/>
      <c r="V232" s="67"/>
      <c r="Z232" s="69"/>
      <c r="AA232" s="70"/>
      <c r="AB232" s="71"/>
      <c r="AC232" s="71"/>
      <c r="AD232" s="71"/>
      <c r="AE232" s="71"/>
      <c r="AF232" s="71"/>
      <c r="AG232" s="71"/>
      <c r="AH232" s="71"/>
      <c r="AK232" s="11"/>
    </row>
    <row r="233" ht="15.75" customHeight="1">
      <c r="C233" s="841"/>
      <c r="E233" s="915"/>
      <c r="G233" s="13"/>
      <c r="H233" s="13"/>
      <c r="I233" s="6"/>
      <c r="J233" s="58"/>
      <c r="K233" s="6"/>
      <c r="L233" s="139"/>
      <c r="M233" s="3"/>
      <c r="N233" s="191"/>
      <c r="O233" s="60"/>
      <c r="Q233" s="67"/>
      <c r="R233" s="65"/>
      <c r="S233" s="3"/>
      <c r="U233" s="67"/>
      <c r="V233" s="67"/>
      <c r="Z233" s="69"/>
      <c r="AA233" s="70"/>
      <c r="AB233" s="71"/>
      <c r="AC233" s="71"/>
      <c r="AD233" s="71"/>
      <c r="AE233" s="71"/>
      <c r="AF233" s="71"/>
      <c r="AG233" s="71"/>
      <c r="AH233" s="71"/>
      <c r="AK233" s="11"/>
    </row>
    <row r="234" ht="15.75" customHeight="1">
      <c r="C234" s="841"/>
      <c r="E234" s="915"/>
      <c r="G234" s="13"/>
      <c r="H234" s="13"/>
      <c r="I234" s="6"/>
      <c r="J234" s="58"/>
      <c r="K234" s="6"/>
      <c r="L234" s="139"/>
      <c r="M234" s="3"/>
      <c r="N234" s="191"/>
      <c r="O234" s="60"/>
      <c r="Q234" s="67"/>
      <c r="R234" s="65"/>
      <c r="S234" s="3"/>
      <c r="U234" s="67"/>
      <c r="V234" s="67"/>
      <c r="Z234" s="69"/>
      <c r="AA234" s="70"/>
      <c r="AB234" s="71"/>
      <c r="AC234" s="71"/>
      <c r="AD234" s="71"/>
      <c r="AE234" s="71"/>
      <c r="AF234" s="71"/>
      <c r="AG234" s="71"/>
      <c r="AH234" s="71"/>
      <c r="AK234" s="11"/>
    </row>
    <row r="235" ht="15.75" customHeight="1">
      <c r="C235" s="841"/>
      <c r="E235" s="915"/>
      <c r="G235" s="13"/>
      <c r="H235" s="13"/>
      <c r="I235" s="6"/>
      <c r="J235" s="58"/>
      <c r="K235" s="6"/>
      <c r="L235" s="139"/>
      <c r="M235" s="3"/>
      <c r="N235" s="191"/>
      <c r="O235" s="60"/>
      <c r="Q235" s="67"/>
      <c r="R235" s="65"/>
      <c r="S235" s="3"/>
      <c r="U235" s="67"/>
      <c r="V235" s="67"/>
      <c r="Z235" s="69"/>
      <c r="AA235" s="70"/>
      <c r="AB235" s="71"/>
      <c r="AC235" s="71"/>
      <c r="AD235" s="71"/>
      <c r="AE235" s="71"/>
      <c r="AF235" s="71"/>
      <c r="AG235" s="71"/>
      <c r="AH235" s="71"/>
      <c r="AK235" s="11"/>
    </row>
    <row r="236" ht="15.75" customHeight="1">
      <c r="C236" s="841"/>
      <c r="E236" s="915"/>
      <c r="G236" s="13"/>
      <c r="H236" s="13"/>
      <c r="I236" s="6"/>
      <c r="J236" s="58"/>
      <c r="K236" s="6"/>
      <c r="L236" s="139"/>
      <c r="M236" s="3"/>
      <c r="N236" s="191"/>
      <c r="O236" s="60"/>
      <c r="Q236" s="67"/>
      <c r="R236" s="65"/>
      <c r="S236" s="3"/>
      <c r="U236" s="67"/>
      <c r="V236" s="67"/>
      <c r="Z236" s="69"/>
      <c r="AA236" s="70"/>
      <c r="AB236" s="71"/>
      <c r="AC236" s="71"/>
      <c r="AD236" s="71"/>
      <c r="AE236" s="71"/>
      <c r="AF236" s="71"/>
      <c r="AG236" s="71"/>
      <c r="AH236" s="71"/>
      <c r="AK236" s="11"/>
    </row>
    <row r="237" ht="15.75" customHeight="1">
      <c r="C237" s="841"/>
      <c r="E237" s="915"/>
      <c r="G237" s="13"/>
      <c r="H237" s="13"/>
      <c r="I237" s="6"/>
      <c r="J237" s="58"/>
      <c r="K237" s="6"/>
      <c r="L237" s="139"/>
      <c r="M237" s="3"/>
      <c r="N237" s="191"/>
      <c r="O237" s="60"/>
      <c r="Q237" s="67"/>
      <c r="R237" s="65"/>
      <c r="S237" s="3"/>
      <c r="U237" s="67"/>
      <c r="V237" s="67"/>
      <c r="Z237" s="69"/>
      <c r="AA237" s="70"/>
      <c r="AB237" s="71"/>
      <c r="AC237" s="71"/>
      <c r="AD237" s="71"/>
      <c r="AE237" s="71"/>
      <c r="AF237" s="71"/>
      <c r="AG237" s="71"/>
      <c r="AH237" s="71"/>
      <c r="AK237" s="11"/>
    </row>
    <row r="238" ht="15.75" customHeight="1">
      <c r="C238" s="841"/>
      <c r="E238" s="915"/>
      <c r="G238" s="13"/>
      <c r="H238" s="13"/>
      <c r="I238" s="6"/>
      <c r="J238" s="58"/>
      <c r="K238" s="6"/>
      <c r="L238" s="139"/>
      <c r="M238" s="3"/>
      <c r="N238" s="191"/>
      <c r="O238" s="60"/>
      <c r="Q238" s="67"/>
      <c r="R238" s="65"/>
      <c r="S238" s="3"/>
      <c r="U238" s="67"/>
      <c r="V238" s="67"/>
      <c r="Z238" s="69"/>
      <c r="AA238" s="70"/>
      <c r="AB238" s="71"/>
      <c r="AC238" s="71"/>
      <c r="AD238" s="71"/>
      <c r="AE238" s="71"/>
      <c r="AF238" s="71"/>
      <c r="AG238" s="71"/>
      <c r="AH238" s="71"/>
      <c r="AK238" s="11"/>
    </row>
    <row r="239" ht="15.75" customHeight="1">
      <c r="AB239" s="7"/>
      <c r="AC239" s="7"/>
      <c r="AD239" s="7"/>
      <c r="AE239" s="7"/>
      <c r="AF239" s="7"/>
      <c r="AG239" s="7"/>
      <c r="AH239" s="7"/>
      <c r="AK239" s="11"/>
    </row>
    <row r="240" ht="15.75" customHeight="1">
      <c r="AB240" s="7"/>
      <c r="AC240" s="7"/>
      <c r="AD240" s="7"/>
      <c r="AE240" s="7"/>
      <c r="AF240" s="7"/>
      <c r="AG240" s="7"/>
      <c r="AH240" s="7"/>
      <c r="AK240" s="11"/>
    </row>
    <row r="241" ht="15.75" customHeight="1">
      <c r="AB241" s="7"/>
      <c r="AC241" s="7"/>
      <c r="AD241" s="7"/>
      <c r="AE241" s="7"/>
      <c r="AF241" s="7"/>
      <c r="AG241" s="7"/>
      <c r="AH241" s="7"/>
      <c r="AK241" s="11"/>
    </row>
    <row r="242" ht="15.75" customHeight="1">
      <c r="AB242" s="7"/>
      <c r="AC242" s="7"/>
      <c r="AD242" s="7"/>
      <c r="AE242" s="7"/>
      <c r="AF242" s="7"/>
      <c r="AG242" s="7"/>
      <c r="AH242" s="7"/>
      <c r="AK242" s="11"/>
    </row>
    <row r="243" ht="15.75" customHeight="1">
      <c r="AB243" s="7"/>
      <c r="AC243" s="7"/>
      <c r="AD243" s="7"/>
      <c r="AE243" s="7"/>
      <c r="AF243" s="7"/>
      <c r="AG243" s="7"/>
      <c r="AH243" s="7"/>
      <c r="AK243" s="11"/>
    </row>
    <row r="244" ht="15.75" customHeight="1">
      <c r="AB244" s="7"/>
      <c r="AC244" s="7"/>
      <c r="AD244" s="7"/>
      <c r="AE244" s="7"/>
      <c r="AF244" s="7"/>
      <c r="AG244" s="7"/>
      <c r="AH244" s="7"/>
      <c r="AK244" s="11"/>
    </row>
    <row r="245" ht="15.75" customHeight="1">
      <c r="AB245" s="7"/>
      <c r="AC245" s="7"/>
      <c r="AD245" s="7"/>
      <c r="AE245" s="7"/>
      <c r="AF245" s="7"/>
      <c r="AG245" s="7"/>
      <c r="AH245" s="7"/>
      <c r="AK245" s="11"/>
    </row>
    <row r="246" ht="15.75" customHeight="1">
      <c r="AB246" s="7"/>
      <c r="AC246" s="7"/>
      <c r="AD246" s="7"/>
      <c r="AE246" s="7"/>
      <c r="AF246" s="7"/>
      <c r="AG246" s="7"/>
      <c r="AH246" s="7"/>
      <c r="AK246" s="11"/>
    </row>
    <row r="247" ht="15.75" customHeight="1">
      <c r="AB247" s="7"/>
      <c r="AC247" s="7"/>
      <c r="AD247" s="7"/>
      <c r="AE247" s="7"/>
      <c r="AF247" s="7"/>
      <c r="AG247" s="7"/>
      <c r="AH247" s="7"/>
      <c r="AK247" s="11"/>
    </row>
    <row r="248" ht="15.75" customHeight="1">
      <c r="AB248" s="7"/>
      <c r="AC248" s="7"/>
      <c r="AD248" s="7"/>
      <c r="AE248" s="7"/>
      <c r="AF248" s="7"/>
      <c r="AG248" s="7"/>
      <c r="AH248" s="7"/>
      <c r="AK248" s="11"/>
    </row>
    <row r="249" ht="15.75" customHeight="1">
      <c r="AB249" s="7"/>
      <c r="AC249" s="7"/>
      <c r="AD249" s="7"/>
      <c r="AE249" s="7"/>
      <c r="AF249" s="7"/>
      <c r="AG249" s="7"/>
      <c r="AH249" s="7"/>
      <c r="AK249" s="11"/>
    </row>
    <row r="250" ht="15.75" customHeight="1">
      <c r="AB250" s="7"/>
      <c r="AC250" s="7"/>
      <c r="AD250" s="7"/>
      <c r="AE250" s="7"/>
      <c r="AF250" s="7"/>
      <c r="AG250" s="7"/>
      <c r="AH250" s="7"/>
      <c r="AK250" s="11"/>
    </row>
    <row r="251" ht="15.75" customHeight="1">
      <c r="AB251" s="7"/>
      <c r="AC251" s="7"/>
      <c r="AD251" s="7"/>
      <c r="AE251" s="7"/>
      <c r="AF251" s="7"/>
      <c r="AG251" s="7"/>
      <c r="AH251" s="7"/>
      <c r="AK251" s="11"/>
    </row>
    <row r="252" ht="15.75" customHeight="1">
      <c r="AB252" s="7"/>
      <c r="AC252" s="7"/>
      <c r="AD252" s="7"/>
      <c r="AE252" s="7"/>
      <c r="AF252" s="7"/>
      <c r="AG252" s="7"/>
      <c r="AH252" s="7"/>
      <c r="AK252" s="11"/>
    </row>
    <row r="253" ht="15.75" customHeight="1">
      <c r="AB253" s="7"/>
      <c r="AC253" s="7"/>
      <c r="AD253" s="7"/>
      <c r="AE253" s="7"/>
      <c r="AF253" s="7"/>
      <c r="AG253" s="7"/>
      <c r="AH253" s="7"/>
      <c r="AK253" s="11"/>
    </row>
    <row r="254" ht="15.75" customHeight="1">
      <c r="AB254" s="7"/>
      <c r="AC254" s="7"/>
      <c r="AD254" s="7"/>
      <c r="AE254" s="7"/>
      <c r="AF254" s="7"/>
      <c r="AG254" s="7"/>
      <c r="AH254" s="7"/>
      <c r="AK254" s="11"/>
    </row>
    <row r="255" ht="15.75" customHeight="1">
      <c r="AB255" s="7"/>
      <c r="AC255" s="7"/>
      <c r="AD255" s="7"/>
      <c r="AE255" s="7"/>
      <c r="AF255" s="7"/>
      <c r="AG255" s="7"/>
      <c r="AH255" s="7"/>
      <c r="AK255" s="11"/>
    </row>
    <row r="256" ht="15.75" customHeight="1">
      <c r="AB256" s="7"/>
      <c r="AC256" s="7"/>
      <c r="AD256" s="7"/>
      <c r="AE256" s="7"/>
      <c r="AF256" s="7"/>
      <c r="AG256" s="7"/>
      <c r="AH256" s="7"/>
      <c r="AK256" s="11"/>
    </row>
    <row r="257" ht="15.75" customHeight="1">
      <c r="AB257" s="7"/>
      <c r="AC257" s="7"/>
      <c r="AD257" s="7"/>
      <c r="AE257" s="7"/>
      <c r="AF257" s="7"/>
      <c r="AG257" s="7"/>
      <c r="AH257" s="7"/>
      <c r="AK257" s="11"/>
    </row>
    <row r="258" ht="15.75" customHeight="1">
      <c r="AB258" s="7"/>
      <c r="AC258" s="7"/>
      <c r="AD258" s="7"/>
      <c r="AE258" s="7"/>
      <c r="AF258" s="7"/>
      <c r="AG258" s="7"/>
      <c r="AH258" s="7"/>
      <c r="AK258" s="11"/>
    </row>
    <row r="259" ht="15.75" customHeight="1">
      <c r="AB259" s="7"/>
      <c r="AC259" s="7"/>
      <c r="AD259" s="7"/>
      <c r="AE259" s="7"/>
      <c r="AF259" s="7"/>
      <c r="AG259" s="7"/>
      <c r="AH259" s="7"/>
      <c r="AK259" s="11"/>
    </row>
    <row r="260" ht="15.75" customHeight="1">
      <c r="AB260" s="7"/>
      <c r="AC260" s="7"/>
      <c r="AD260" s="7"/>
      <c r="AE260" s="7"/>
      <c r="AF260" s="7"/>
      <c r="AG260" s="7"/>
      <c r="AH260" s="7"/>
      <c r="AK260" s="11"/>
    </row>
    <row r="261" ht="15.75" customHeight="1">
      <c r="AB261" s="7"/>
      <c r="AC261" s="7"/>
      <c r="AD261" s="7"/>
      <c r="AE261" s="7"/>
      <c r="AF261" s="7"/>
      <c r="AG261" s="7"/>
      <c r="AH261" s="7"/>
      <c r="AK261" s="11"/>
    </row>
    <row r="262" ht="15.75" customHeight="1">
      <c r="AB262" s="7"/>
      <c r="AC262" s="7"/>
      <c r="AD262" s="7"/>
      <c r="AE262" s="7"/>
      <c r="AF262" s="7"/>
      <c r="AG262" s="7"/>
      <c r="AH262" s="7"/>
      <c r="AK262" s="11"/>
    </row>
    <row r="263" ht="15.75" customHeight="1">
      <c r="AB263" s="7"/>
      <c r="AC263" s="7"/>
      <c r="AD263" s="7"/>
      <c r="AE263" s="7"/>
      <c r="AF263" s="7"/>
      <c r="AG263" s="7"/>
      <c r="AH263" s="7"/>
      <c r="AK263" s="11"/>
    </row>
    <row r="264" ht="15.75" customHeight="1">
      <c r="AB264" s="7"/>
      <c r="AC264" s="7"/>
      <c r="AD264" s="7"/>
      <c r="AE264" s="7"/>
      <c r="AF264" s="7"/>
      <c r="AG264" s="7"/>
      <c r="AH264" s="7"/>
      <c r="AK264" s="11"/>
    </row>
    <row r="265" ht="15.75" customHeight="1">
      <c r="AB265" s="7"/>
      <c r="AC265" s="7"/>
      <c r="AD265" s="7"/>
      <c r="AE265" s="7"/>
      <c r="AF265" s="7"/>
      <c r="AG265" s="7"/>
      <c r="AH265" s="7"/>
      <c r="AK265" s="11"/>
    </row>
    <row r="266" ht="15.75" customHeight="1">
      <c r="AB266" s="7"/>
      <c r="AC266" s="7"/>
      <c r="AD266" s="7"/>
      <c r="AE266" s="7"/>
      <c r="AF266" s="7"/>
      <c r="AG266" s="7"/>
      <c r="AH266" s="7"/>
      <c r="AK266" s="11"/>
    </row>
    <row r="267" ht="15.75" customHeight="1">
      <c r="AB267" s="7"/>
      <c r="AC267" s="7"/>
      <c r="AD267" s="7"/>
      <c r="AE267" s="7"/>
      <c r="AF267" s="7"/>
      <c r="AG267" s="7"/>
      <c r="AH267" s="7"/>
      <c r="AK267" s="11"/>
    </row>
    <row r="268" ht="15.75" customHeight="1">
      <c r="AB268" s="7"/>
      <c r="AC268" s="7"/>
      <c r="AD268" s="7"/>
      <c r="AE268" s="7"/>
      <c r="AF268" s="7"/>
      <c r="AG268" s="7"/>
      <c r="AH268" s="7"/>
      <c r="AK268" s="11"/>
    </row>
    <row r="269" ht="15.75" customHeight="1">
      <c r="AB269" s="7"/>
      <c r="AC269" s="7"/>
      <c r="AD269" s="7"/>
      <c r="AE269" s="7"/>
      <c r="AF269" s="7"/>
      <c r="AG269" s="7"/>
      <c r="AH269" s="7"/>
      <c r="AK269" s="11"/>
    </row>
    <row r="270" ht="15.75" customHeight="1">
      <c r="AK270" s="11"/>
    </row>
    <row r="271" ht="15.75" customHeight="1">
      <c r="AK271" s="11"/>
    </row>
    <row r="272" ht="15.75" customHeight="1">
      <c r="AK272" s="11"/>
    </row>
    <row r="273" ht="15.75" customHeight="1">
      <c r="AK273" s="11"/>
    </row>
    <row r="274" ht="15.75" customHeight="1">
      <c r="AK274" s="11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23.71"/>
    <col customWidth="1" min="5" max="5" width="12.43"/>
    <col customWidth="1" min="6" max="6" width="32.86"/>
    <col customWidth="1" min="7" max="7" width="10.29"/>
    <col customWidth="1" min="8" max="8" width="11.43"/>
    <col customWidth="1" min="9" max="11" width="10.71"/>
    <col customWidth="1" min="12" max="12" width="15.29"/>
    <col customWidth="1" min="13" max="13" width="18.29"/>
    <col customWidth="1" min="14" max="14" width="15.29"/>
    <col customWidth="1" min="15" max="15" width="17.43"/>
    <col customWidth="1" min="16" max="16" width="11.14"/>
    <col customWidth="1" min="17" max="17" width="12.71"/>
    <col customWidth="1" min="18" max="18" width="10.71"/>
    <col customWidth="1" min="19" max="19" width="11.71"/>
    <col customWidth="1" min="20" max="22" width="10.71"/>
    <col customWidth="1" min="23" max="24" width="11.43"/>
    <col customWidth="1" min="25" max="25" width="19.43"/>
    <col customWidth="1" min="26" max="26" width="18.14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2" width="15.57"/>
    <col customWidth="1" min="33" max="33" width="15.86"/>
    <col customWidth="1" min="34" max="34" width="10.29"/>
  </cols>
  <sheetData>
    <row r="1" ht="15.75" customHeight="1">
      <c r="AB1" s="7"/>
      <c r="AC1" s="7"/>
      <c r="AD1" s="7"/>
      <c r="AE1" s="7"/>
      <c r="AF1" s="7"/>
      <c r="AG1" s="910" t="s">
        <v>4782</v>
      </c>
      <c r="AH1" s="7" t="s">
        <v>4750</v>
      </c>
      <c r="AI1" s="3" t="s">
        <v>4784</v>
      </c>
      <c r="AJ1" s="125" t="s">
        <v>3</v>
      </c>
    </row>
    <row r="2" ht="15.75" customHeight="1">
      <c r="G2" s="13"/>
      <c r="H2" s="13"/>
      <c r="I2" s="4">
        <f>SUM(I4:I50)</f>
        <v>306.89</v>
      </c>
      <c r="J2" s="4"/>
      <c r="K2" s="4">
        <f>SUM(K4:K50)</f>
        <v>278.88074</v>
      </c>
      <c r="Q2" s="58">
        <f>+SUMPRODUCT(Q4:Q863,AH4:AH863)/SUM(AH4:AH863)</f>
        <v>88.5671136</v>
      </c>
      <c r="R2" s="65">
        <f>+SUMPRODUCT(R4:R863,AH4:AH863)/SUM(AH4:AH863)</f>
        <v>2174.825439</v>
      </c>
      <c r="AB2" s="7"/>
      <c r="AC2" s="7"/>
      <c r="AD2" s="7"/>
      <c r="AE2" s="7"/>
      <c r="AF2" s="7"/>
      <c r="AG2" s="910">
        <f>SUMPRODUCT($AG4:$AG1021,$K4:$K1021)/SUM($K4:$K1021)</f>
        <v>109.5661648</v>
      </c>
      <c r="AH2" s="7">
        <f>SUM(AH4:AH1032)</f>
        <v>5725.002015</v>
      </c>
      <c r="AI2" s="433">
        <v>2298.5</v>
      </c>
      <c r="AJ2" s="125" t="s">
        <v>5182</v>
      </c>
    </row>
    <row r="3" ht="15.75" customHeight="1">
      <c r="A3" s="880" t="s">
        <v>5</v>
      </c>
      <c r="B3" s="880" t="s">
        <v>6</v>
      </c>
      <c r="C3" s="880" t="s">
        <v>7</v>
      </c>
      <c r="D3" s="880" t="s">
        <v>8</v>
      </c>
      <c r="E3" s="880" t="s">
        <v>4880</v>
      </c>
      <c r="F3" s="880" t="s">
        <v>10</v>
      </c>
      <c r="G3" s="880" t="s">
        <v>11</v>
      </c>
      <c r="H3" s="881"/>
      <c r="I3" s="911" t="s">
        <v>12</v>
      </c>
      <c r="J3" s="911" t="s">
        <v>13</v>
      </c>
      <c r="K3" s="880" t="s">
        <v>14</v>
      </c>
      <c r="L3" s="892" t="s">
        <v>5183</v>
      </c>
      <c r="M3" s="887" t="s">
        <v>5184</v>
      </c>
      <c r="N3" s="887" t="s">
        <v>5185</v>
      </c>
      <c r="O3" s="881" t="s">
        <v>5186</v>
      </c>
      <c r="P3" s="892" t="s">
        <v>19</v>
      </c>
      <c r="Q3" s="892" t="s">
        <v>20</v>
      </c>
      <c r="R3" s="892" t="s">
        <v>21</v>
      </c>
      <c r="S3" s="892" t="s">
        <v>22</v>
      </c>
      <c r="T3" s="890" t="s">
        <v>23</v>
      </c>
      <c r="U3" s="890" t="s">
        <v>24</v>
      </c>
      <c r="V3" s="891" t="s">
        <v>25</v>
      </c>
      <c r="W3" s="892" t="s">
        <v>26</v>
      </c>
      <c r="X3" s="892" t="s">
        <v>27</v>
      </c>
      <c r="Y3" s="892" t="s">
        <v>5187</v>
      </c>
      <c r="Z3" s="881" t="s">
        <v>29</v>
      </c>
      <c r="AA3" s="881" t="s">
        <v>30</v>
      </c>
      <c r="AB3" s="893" t="s">
        <v>31</v>
      </c>
      <c r="AC3" s="894" t="s">
        <v>32</v>
      </c>
      <c r="AD3" s="895" t="s">
        <v>33</v>
      </c>
      <c r="AE3" s="895" t="s">
        <v>34</v>
      </c>
      <c r="AF3" s="895" t="s">
        <v>35</v>
      </c>
      <c r="AG3" s="912" t="s">
        <v>36</v>
      </c>
      <c r="AH3" s="912" t="s">
        <v>4750</v>
      </c>
      <c r="AI3" s="65">
        <f>SUMPRODUCT(K4:K1032,AI4:AI1032)/K2</f>
        <v>154.6353013</v>
      </c>
      <c r="AJ3" s="1000">
        <f>SUM(AJ4:AJ950)</f>
        <v>5688.201699</v>
      </c>
    </row>
    <row r="4" ht="15.75" customHeight="1">
      <c r="A4" s="1042" t="s">
        <v>5282</v>
      </c>
      <c r="B4" s="1043">
        <v>45341.0</v>
      </c>
      <c r="C4" s="1044">
        <v>45323.0</v>
      </c>
      <c r="D4" s="2" t="s">
        <v>5093</v>
      </c>
      <c r="E4" s="915">
        <v>1.0460498487E10</v>
      </c>
      <c r="F4" s="2" t="s">
        <v>4758</v>
      </c>
      <c r="G4" s="2"/>
      <c r="H4" s="13"/>
      <c r="I4" s="5">
        <v>8.57</v>
      </c>
      <c r="J4" s="58">
        <v>18.5</v>
      </c>
      <c r="K4" s="5">
        <f t="shared" ref="K4:K48" si="1">+I4-(I4*(J4/100))</f>
        <v>6.98455</v>
      </c>
      <c r="L4" s="3">
        <v>0.066</v>
      </c>
      <c r="M4" s="3">
        <v>0.066</v>
      </c>
      <c r="N4" s="134">
        <v>0.066</v>
      </c>
      <c r="O4" s="111">
        <f t="shared" ref="O4:O10" si="2">+(M4+N4)/2</f>
        <v>0.066</v>
      </c>
      <c r="P4" s="2">
        <v>88.0</v>
      </c>
      <c r="Q4" s="65">
        <v>91.05</v>
      </c>
      <c r="R4" s="65">
        <v>2030.07</v>
      </c>
      <c r="S4" s="1045">
        <v>120.0</v>
      </c>
      <c r="U4" s="2">
        <v>100.0</v>
      </c>
      <c r="V4" s="1046">
        <v>1.1023</v>
      </c>
      <c r="W4" s="65">
        <v>5.0</v>
      </c>
      <c r="X4" s="65">
        <v>6.1</v>
      </c>
      <c r="Y4" s="429">
        <v>25.0</v>
      </c>
      <c r="Z4" s="429">
        <f t="shared" ref="Z4:Z5" si="3">IF(+((W4-3)*2+(X4-3)*3.1)&gt;0,+((W4-3)*2+(X4-3)*3.1),0)</f>
        <v>13.61</v>
      </c>
      <c r="AA4" s="429">
        <f t="shared" ref="AA4:AA48" si="4">+Y4+Z4</f>
        <v>38.61</v>
      </c>
      <c r="AB4" s="1047"/>
      <c r="AC4" s="1047">
        <f>+(S4*V4)-'data 1'!$F$4-T4*V4</f>
        <v>52.276</v>
      </c>
      <c r="AD4" s="1047">
        <f t="shared" ref="AD4:AD48" si="5">+(Q4-P4)*(R4-U4)*L4*V4/100</f>
        <v>4.282690032</v>
      </c>
      <c r="AE4" s="1047">
        <f>+(AA4*V4)-Z4-'data 1'!$I$21</f>
        <v>3.368721919</v>
      </c>
      <c r="AF4" s="1047">
        <f t="shared" ref="AF4:AF48" si="6">(L4-O4)*(R4-U4)*Q4*V4/100</f>
        <v>0</v>
      </c>
      <c r="AG4" s="1047">
        <f t="shared" ref="AG4:AG48" si="7">+AC4+AD4+AE4+AF4</f>
        <v>59.92741195</v>
      </c>
      <c r="AH4" s="1047">
        <f t="shared" ref="AH4:AH48" si="8">31.1035*L4*Q4*1.1023*K4/100</f>
        <v>14.39035095</v>
      </c>
      <c r="AI4" s="65">
        <f t="shared" ref="AI4:AI48" si="9">+((+$AI$2-R4+U4)*L4*Q4*V4)/100</f>
        <v>24.40499254</v>
      </c>
      <c r="AJ4" s="986">
        <f t="shared" ref="AJ4:AJ48" si="10">1.1023*31.1035*K4*P4*O4/100</f>
        <v>13.90830185</v>
      </c>
      <c r="AK4" s="65"/>
      <c r="AL4" s="65">
        <f t="shared" ref="AL4:AL48" si="11">+K4*AB4</f>
        <v>0</v>
      </c>
    </row>
    <row r="5" ht="15.75" customHeight="1">
      <c r="A5" s="1042" t="s">
        <v>5283</v>
      </c>
      <c r="B5" s="1043">
        <v>45341.0</v>
      </c>
      <c r="C5" s="1044">
        <v>45323.0</v>
      </c>
      <c r="D5" s="2" t="s">
        <v>5093</v>
      </c>
      <c r="E5" s="915">
        <v>1.0460498487E10</v>
      </c>
      <c r="F5" s="2" t="s">
        <v>4758</v>
      </c>
      <c r="G5" s="2"/>
      <c r="H5" s="13"/>
      <c r="I5" s="5">
        <v>10.35</v>
      </c>
      <c r="J5" s="58">
        <v>18.85</v>
      </c>
      <c r="K5" s="5">
        <f t="shared" si="1"/>
        <v>8.399025</v>
      </c>
      <c r="L5" s="3">
        <v>0.081</v>
      </c>
      <c r="M5" s="3">
        <v>0.081</v>
      </c>
      <c r="N5" s="134">
        <v>0.081</v>
      </c>
      <c r="O5" s="111">
        <f t="shared" si="2"/>
        <v>0.081</v>
      </c>
      <c r="P5" s="2">
        <v>88.0</v>
      </c>
      <c r="Q5" s="65">
        <v>90.89</v>
      </c>
      <c r="R5" s="65">
        <v>2030.07</v>
      </c>
      <c r="S5" s="3">
        <v>120.0</v>
      </c>
      <c r="U5" s="2">
        <v>100.0</v>
      </c>
      <c r="V5" s="1046">
        <v>1.1023</v>
      </c>
      <c r="W5" s="65">
        <v>5.0</v>
      </c>
      <c r="X5" s="65">
        <v>6.1</v>
      </c>
      <c r="Y5" s="429">
        <v>25.0</v>
      </c>
      <c r="Z5" s="429">
        <f t="shared" si="3"/>
        <v>13.61</v>
      </c>
      <c r="AA5" s="429">
        <f t="shared" si="4"/>
        <v>38.61</v>
      </c>
      <c r="AB5" s="1047"/>
      <c r="AC5" s="1047">
        <f>+(S5*V5)-'data 1'!$F$4-T5*V5</f>
        <v>52.276</v>
      </c>
      <c r="AD5" s="1047">
        <f t="shared" si="5"/>
        <v>4.980302581</v>
      </c>
      <c r="AE5" s="1047">
        <f>+(AA5*V5)-Z5-'data 1'!$I$21</f>
        <v>3.368721919</v>
      </c>
      <c r="AF5" s="1047">
        <f t="shared" si="6"/>
        <v>0</v>
      </c>
      <c r="AG5" s="1047">
        <f t="shared" si="7"/>
        <v>60.6250245</v>
      </c>
      <c r="AH5" s="1047">
        <f t="shared" si="8"/>
        <v>21.20015643</v>
      </c>
      <c r="AI5" s="65">
        <f t="shared" si="9"/>
        <v>29.89894855</v>
      </c>
      <c r="AJ5" s="986">
        <f t="shared" si="10"/>
        <v>20.5260619</v>
      </c>
      <c r="AK5" s="65"/>
      <c r="AL5" s="65">
        <f t="shared" si="11"/>
        <v>0</v>
      </c>
    </row>
    <row r="6" ht="15.75" customHeight="1">
      <c r="A6" s="1042" t="s">
        <v>5284</v>
      </c>
      <c r="B6" s="1048">
        <v>45371.0</v>
      </c>
      <c r="C6" s="841">
        <v>45366.0</v>
      </c>
      <c r="D6" s="67" t="s">
        <v>5085</v>
      </c>
      <c r="E6" s="915">
        <v>2.0169040231E10</v>
      </c>
      <c r="F6" s="67" t="s">
        <v>5285</v>
      </c>
      <c r="G6" s="916"/>
      <c r="H6" s="916"/>
      <c r="I6" s="59">
        <v>6.53</v>
      </c>
      <c r="J6" s="69">
        <v>1.15</v>
      </c>
      <c r="K6" s="1049">
        <f t="shared" si="1"/>
        <v>6.454905</v>
      </c>
      <c r="L6" s="405">
        <v>2.355</v>
      </c>
      <c r="M6" s="191">
        <v>2.261</v>
      </c>
      <c r="N6" s="191">
        <v>2.261</v>
      </c>
      <c r="O6" s="111">
        <f t="shared" si="2"/>
        <v>2.261</v>
      </c>
      <c r="P6" s="67">
        <v>87.0</v>
      </c>
      <c r="Q6" s="70">
        <v>87.146145941027</v>
      </c>
      <c r="R6" s="70">
        <v>2156.01</v>
      </c>
      <c r="S6" s="134">
        <v>290.0</v>
      </c>
      <c r="T6" s="67"/>
      <c r="U6" s="67">
        <v>110.0</v>
      </c>
      <c r="V6" s="67">
        <v>1.1023</v>
      </c>
      <c r="W6" s="69">
        <v>8.1</v>
      </c>
      <c r="X6" s="69">
        <v>9.5</v>
      </c>
      <c r="Y6" s="1050">
        <v>25.93</v>
      </c>
      <c r="Z6" s="69">
        <f t="shared" ref="Z6:Z28" si="12">IF(D6="UNTUCA",IF(+((W6-2)*2.5+(X6-2)*4)&gt;0,+((W6-2)*2.5+(X6-2)*4),0),IF(+((W6-3)*1.5+(X6-3)*3.1)&gt;0,+((W6-3)*1.5+(X6-3)*3.1),0))</f>
        <v>45.25</v>
      </c>
      <c r="AA6" s="70">
        <f t="shared" si="4"/>
        <v>71.18</v>
      </c>
      <c r="AB6" s="71">
        <f t="shared" ref="AB6:AB48" si="13">+((O6*P6*(R6-U6)/100)-S6-AA6+T6)*V6</f>
        <v>4038.237349</v>
      </c>
      <c r="AC6" s="71">
        <f>+(S6*V6)-'data 1'!$F$4-T6*V6</f>
        <v>239.667</v>
      </c>
      <c r="AD6" s="71">
        <f t="shared" si="5"/>
        <v>7.762207156</v>
      </c>
      <c r="AE6" s="71">
        <f>+(AA6*V6)-Z6-'data 1'!$I$21+((W6-2)*2.5+(X6-2)*4)-((W6-3)*1.5+(X6-3)*3.1)</f>
        <v>25.08063292</v>
      </c>
      <c r="AF6" s="71">
        <f t="shared" si="6"/>
        <v>184.7496389</v>
      </c>
      <c r="AG6" s="71">
        <f t="shared" si="7"/>
        <v>457.2594789</v>
      </c>
      <c r="AH6" s="71">
        <f t="shared" si="8"/>
        <v>454.1904735</v>
      </c>
      <c r="AI6" s="65">
        <f t="shared" si="9"/>
        <v>571.1932759</v>
      </c>
      <c r="AJ6" s="986">
        <f t="shared" si="10"/>
        <v>435.3301427</v>
      </c>
      <c r="AK6" s="65"/>
      <c r="AL6" s="65">
        <f t="shared" si="11"/>
        <v>26066.43846</v>
      </c>
    </row>
    <row r="7" ht="15.75" customHeight="1">
      <c r="A7" s="1042" t="s">
        <v>5286</v>
      </c>
      <c r="B7" s="1048">
        <v>45371.0</v>
      </c>
      <c r="C7" s="1048">
        <v>45366.0</v>
      </c>
      <c r="D7" s="1051" t="s">
        <v>5085</v>
      </c>
      <c r="E7" s="1052">
        <v>2.0169040231E10</v>
      </c>
      <c r="F7" s="91" t="s">
        <v>4670</v>
      </c>
      <c r="G7" s="1053">
        <v>37.0</v>
      </c>
      <c r="H7" s="1053"/>
      <c r="I7" s="1054">
        <v>3.62</v>
      </c>
      <c r="J7" s="1055">
        <v>11.0</v>
      </c>
      <c r="K7" s="1056">
        <f t="shared" si="1"/>
        <v>3.2218</v>
      </c>
      <c r="L7" s="1057">
        <v>1.601</v>
      </c>
      <c r="M7" s="1058">
        <v>1.537</v>
      </c>
      <c r="N7" s="1059">
        <v>1.537</v>
      </c>
      <c r="O7" s="1060">
        <f t="shared" si="2"/>
        <v>1.537</v>
      </c>
      <c r="P7" s="1051">
        <v>86.0</v>
      </c>
      <c r="Q7" s="1061">
        <v>87.07813031030902</v>
      </c>
      <c r="R7" s="1061">
        <v>2156.01</v>
      </c>
      <c r="S7" s="1062">
        <v>230.0</v>
      </c>
      <c r="T7" s="1051"/>
      <c r="U7" s="1051">
        <v>110.0</v>
      </c>
      <c r="V7" s="1051">
        <v>1.1023</v>
      </c>
      <c r="W7" s="1061">
        <v>7.9</v>
      </c>
      <c r="X7" s="1061">
        <v>9.6</v>
      </c>
      <c r="Y7" s="1063">
        <v>25.93</v>
      </c>
      <c r="Z7" s="69">
        <f t="shared" si="12"/>
        <v>45.15</v>
      </c>
      <c r="AA7" s="1061">
        <f t="shared" si="4"/>
        <v>71.08</v>
      </c>
      <c r="AB7" s="1064">
        <f t="shared" si="13"/>
        <v>2649.242399</v>
      </c>
      <c r="AC7" s="1064">
        <f>+(S7*V7)-'data 1'!$F$4-T7*V7</f>
        <v>173.529</v>
      </c>
      <c r="AD7" s="1064">
        <f t="shared" si="5"/>
        <v>38.92872207</v>
      </c>
      <c r="AE7" s="71">
        <f>+(AA7*V7)-Z7-'data 1'!$I$21+((W7-2)*2.5+(X7-2)*4)-((W7-3)*1.5+(X7-3)*3.1)</f>
        <v>24.96040292</v>
      </c>
      <c r="AF7" s="1064">
        <f t="shared" si="6"/>
        <v>125.6888142</v>
      </c>
      <c r="AG7" s="1064">
        <f t="shared" si="7"/>
        <v>363.1069392</v>
      </c>
      <c r="AH7" s="1064">
        <f t="shared" si="8"/>
        <v>153.9955155</v>
      </c>
      <c r="AI7" s="65">
        <f t="shared" si="9"/>
        <v>388.0113389</v>
      </c>
      <c r="AJ7" s="986">
        <f t="shared" si="10"/>
        <v>146.0091139</v>
      </c>
      <c r="AK7" s="65"/>
      <c r="AL7" s="65">
        <f t="shared" si="11"/>
        <v>8535.329161</v>
      </c>
    </row>
    <row r="8" ht="15.75" customHeight="1">
      <c r="A8" s="1042" t="s">
        <v>5287</v>
      </c>
      <c r="B8" s="1048">
        <v>45371.0</v>
      </c>
      <c r="C8" s="1048">
        <v>45366.0</v>
      </c>
      <c r="D8" s="1051" t="s">
        <v>5085</v>
      </c>
      <c r="E8" s="1052">
        <v>2.0169040231E10</v>
      </c>
      <c r="F8" s="1051" t="s">
        <v>5288</v>
      </c>
      <c r="G8" s="1053"/>
      <c r="H8" s="1053"/>
      <c r="I8" s="1054">
        <v>10.97</v>
      </c>
      <c r="J8" s="1055">
        <v>0.45</v>
      </c>
      <c r="K8" s="1056">
        <f t="shared" si="1"/>
        <v>10.920635</v>
      </c>
      <c r="L8" s="1057">
        <v>0.791</v>
      </c>
      <c r="M8" s="1058">
        <v>0.759</v>
      </c>
      <c r="N8" s="1058">
        <v>0.797</v>
      </c>
      <c r="O8" s="1060">
        <f t="shared" si="2"/>
        <v>0.778</v>
      </c>
      <c r="P8" s="1051">
        <v>90.0</v>
      </c>
      <c r="Q8" s="1061">
        <v>87.88772258714091</v>
      </c>
      <c r="R8" s="1061">
        <v>2156.01</v>
      </c>
      <c r="S8" s="1062">
        <v>150.0</v>
      </c>
      <c r="T8" s="1051"/>
      <c r="U8" s="1051">
        <v>110.0</v>
      </c>
      <c r="V8" s="1051">
        <v>1.1023</v>
      </c>
      <c r="W8" s="1065">
        <v>7.1</v>
      </c>
      <c r="X8" s="1065">
        <v>8.7</v>
      </c>
      <c r="Y8" s="1063">
        <v>25.93</v>
      </c>
      <c r="Z8" s="69">
        <f t="shared" si="12"/>
        <v>39.55</v>
      </c>
      <c r="AA8" s="1061">
        <f t="shared" si="4"/>
        <v>65.48</v>
      </c>
      <c r="AB8" s="1064">
        <f t="shared" si="13"/>
        <v>1341.649235</v>
      </c>
      <c r="AC8" s="1064">
        <f>+(S8*V8)-'data 1'!$F$4-T8*V8</f>
        <v>85.345</v>
      </c>
      <c r="AD8" s="1064">
        <f t="shared" si="5"/>
        <v>-37.68209134</v>
      </c>
      <c r="AE8" s="71">
        <f>+(AA8*V8)-Z8-'data 1'!$I$21+((W8-2)*2.5+(X8-2)*4)-((W8-3)*1.5+(X8-3)*3.1)</f>
        <v>22.77752292</v>
      </c>
      <c r="AF8" s="1064">
        <f t="shared" si="6"/>
        <v>25.76790571</v>
      </c>
      <c r="AG8" s="1064">
        <f t="shared" si="7"/>
        <v>96.20833728</v>
      </c>
      <c r="AH8" s="1064">
        <f t="shared" si="8"/>
        <v>260.2925006</v>
      </c>
      <c r="AI8" s="65">
        <f t="shared" si="9"/>
        <v>193.4856158</v>
      </c>
      <c r="AJ8" s="986">
        <f t="shared" si="10"/>
        <v>262.1676298</v>
      </c>
      <c r="AK8" s="65"/>
      <c r="AL8" s="65">
        <f t="shared" si="11"/>
        <v>14651.6616</v>
      </c>
    </row>
    <row r="9" ht="15.75" customHeight="1">
      <c r="A9" s="1042" t="s">
        <v>5289</v>
      </c>
      <c r="B9" s="1048">
        <v>45371.0</v>
      </c>
      <c r="C9" s="1048">
        <v>45366.0</v>
      </c>
      <c r="D9" s="1051" t="s">
        <v>5085</v>
      </c>
      <c r="E9" s="1052">
        <v>2.0169040231E10</v>
      </c>
      <c r="F9" s="1051" t="s">
        <v>5288</v>
      </c>
      <c r="G9" s="1053"/>
      <c r="H9" s="1053"/>
      <c r="I9" s="1054">
        <v>11.27</v>
      </c>
      <c r="J9" s="1055">
        <v>0.9</v>
      </c>
      <c r="K9" s="1056">
        <f t="shared" si="1"/>
        <v>11.16857</v>
      </c>
      <c r="L9" s="1057">
        <v>0.743</v>
      </c>
      <c r="M9" s="1058">
        <v>0.713</v>
      </c>
      <c r="N9" s="1058">
        <v>0.713</v>
      </c>
      <c r="O9" s="1060">
        <f t="shared" si="2"/>
        <v>0.713</v>
      </c>
      <c r="P9" s="1051">
        <v>90.0</v>
      </c>
      <c r="Q9" s="1061">
        <v>87.83490945877435</v>
      </c>
      <c r="R9" s="1061">
        <v>2156.01</v>
      </c>
      <c r="S9" s="1062">
        <v>150.0</v>
      </c>
      <c r="T9" s="1051"/>
      <c r="U9" s="1051">
        <v>110.0</v>
      </c>
      <c r="V9" s="1051">
        <v>1.1023</v>
      </c>
      <c r="W9" s="1065">
        <v>7.1</v>
      </c>
      <c r="X9" s="1065">
        <v>8.7</v>
      </c>
      <c r="Y9" s="1063">
        <v>25.93</v>
      </c>
      <c r="Z9" s="69">
        <f t="shared" si="12"/>
        <v>39.55</v>
      </c>
      <c r="AA9" s="1061">
        <f t="shared" si="4"/>
        <v>65.48</v>
      </c>
      <c r="AB9" s="1064">
        <f t="shared" si="13"/>
        <v>1209.713201</v>
      </c>
      <c r="AC9" s="1064">
        <f>+(S9*V9)-'data 1'!$F$4-T9*V9</f>
        <v>85.345</v>
      </c>
      <c r="AD9" s="1064">
        <f t="shared" si="5"/>
        <v>-36.28043085</v>
      </c>
      <c r="AE9" s="71">
        <f>+(AA9*V9)-Z9-'data 1'!$I$21+((W9-2)*2.5+(X9-2)*4)-((W9-3)*1.5+(X9-3)*3.1)</f>
        <v>22.77752292</v>
      </c>
      <c r="AF9" s="1064">
        <f t="shared" si="6"/>
        <v>59.42866468</v>
      </c>
      <c r="AG9" s="1064">
        <f t="shared" si="7"/>
        <v>131.2707568</v>
      </c>
      <c r="AH9" s="1064">
        <f t="shared" si="8"/>
        <v>249.8979028</v>
      </c>
      <c r="AI9" s="65">
        <f t="shared" si="9"/>
        <v>181.635177</v>
      </c>
      <c r="AJ9" s="986">
        <f t="shared" si="10"/>
        <v>245.718966</v>
      </c>
      <c r="AK9" s="65"/>
      <c r="AL9" s="65">
        <f t="shared" si="11"/>
        <v>13510.76657</v>
      </c>
    </row>
    <row r="10" ht="15.75" customHeight="1">
      <c r="A10" s="1001" t="s">
        <v>5290</v>
      </c>
      <c r="B10" s="1066"/>
      <c r="C10" s="1066">
        <v>45368.0</v>
      </c>
      <c r="D10" s="1067" t="s">
        <v>5085</v>
      </c>
      <c r="E10" s="1068">
        <v>2.0169040231E10</v>
      </c>
      <c r="F10" s="1067" t="s">
        <v>5285</v>
      </c>
      <c r="G10" s="1069">
        <v>70.0</v>
      </c>
      <c r="H10" s="1069"/>
      <c r="I10" s="1070">
        <v>6.2</v>
      </c>
      <c r="J10" s="1071">
        <v>1.0</v>
      </c>
      <c r="K10" s="1072">
        <f t="shared" si="1"/>
        <v>6.138</v>
      </c>
      <c r="L10" s="1073">
        <v>1.609</v>
      </c>
      <c r="M10" s="1073">
        <v>1.54464</v>
      </c>
      <c r="N10" s="1073">
        <v>1.54464</v>
      </c>
      <c r="O10" s="1074">
        <f t="shared" si="2"/>
        <v>1.54464</v>
      </c>
      <c r="P10" s="1067">
        <v>90.0</v>
      </c>
      <c r="Q10" s="1075">
        <v>91.74</v>
      </c>
      <c r="R10" s="1075">
        <v>2157.575</v>
      </c>
      <c r="S10" s="1076">
        <v>230.0</v>
      </c>
      <c r="T10" s="1067"/>
      <c r="U10" s="1067">
        <v>110.0</v>
      </c>
      <c r="V10" s="1067">
        <v>1.1023</v>
      </c>
      <c r="W10" s="1071">
        <v>7.1</v>
      </c>
      <c r="X10" s="1071">
        <v>9.15</v>
      </c>
      <c r="Y10" s="1077">
        <v>26.63</v>
      </c>
      <c r="Z10" s="1071">
        <f t="shared" si="12"/>
        <v>41.35</v>
      </c>
      <c r="AA10" s="1075">
        <f t="shared" si="4"/>
        <v>67.98</v>
      </c>
      <c r="AB10" s="1078">
        <f t="shared" si="13"/>
        <v>2809.222158</v>
      </c>
      <c r="AC10" s="1078">
        <f>+(S10*V10)-'data 1'!$F$4-T10*V10</f>
        <v>173.529</v>
      </c>
      <c r="AD10" s="1078">
        <f t="shared" si="5"/>
        <v>63.18949989</v>
      </c>
      <c r="AE10" s="1078">
        <f>+(AA10*V10)-Z10-'data 1'!$I$21+((W10-2)*2.5+(X10-2)*4)-((W10-3)*1.5+(X10-3)*3.1)</f>
        <v>24.13827292</v>
      </c>
      <c r="AF10" s="1078">
        <f t="shared" si="6"/>
        <v>133.2644763</v>
      </c>
      <c r="AG10" s="1078">
        <f t="shared" si="7"/>
        <v>394.1212491</v>
      </c>
      <c r="AH10" s="1079">
        <f t="shared" si="8"/>
        <v>310.6352476</v>
      </c>
      <c r="AI10" s="65">
        <f t="shared" si="9"/>
        <v>408.2803892</v>
      </c>
      <c r="AJ10" s="986">
        <f t="shared" si="10"/>
        <v>292.5537976</v>
      </c>
      <c r="AK10" s="65"/>
      <c r="AL10" s="65">
        <f t="shared" si="11"/>
        <v>17243.0056</v>
      </c>
    </row>
    <row r="11" ht="15.75" customHeight="1">
      <c r="A11" s="1034" t="s">
        <v>5291</v>
      </c>
      <c r="B11" s="1080"/>
      <c r="C11" s="1080">
        <v>45368.0</v>
      </c>
      <c r="D11" s="1081" t="s">
        <v>5085</v>
      </c>
      <c r="E11" s="1082">
        <v>2.0169040231E10</v>
      </c>
      <c r="F11" s="1081" t="s">
        <v>5292</v>
      </c>
      <c r="G11" s="1083">
        <v>45.0</v>
      </c>
      <c r="H11" s="1083"/>
      <c r="I11" s="1084">
        <v>3.64</v>
      </c>
      <c r="J11" s="1085">
        <v>35.3</v>
      </c>
      <c r="K11" s="1086">
        <f t="shared" si="1"/>
        <v>2.35508</v>
      </c>
      <c r="L11" s="1087">
        <v>1.112</v>
      </c>
      <c r="M11" s="1087">
        <v>1.06752</v>
      </c>
      <c r="N11" s="1087">
        <v>1.06752</v>
      </c>
      <c r="O11" s="1087">
        <v>1.068</v>
      </c>
      <c r="P11" s="1081">
        <v>90.0</v>
      </c>
      <c r="Q11" s="1088">
        <v>86.61</v>
      </c>
      <c r="R11" s="1088">
        <v>2157.575</v>
      </c>
      <c r="S11" s="1089">
        <v>180.0</v>
      </c>
      <c r="T11" s="1081"/>
      <c r="U11" s="1081">
        <v>110.0</v>
      </c>
      <c r="V11" s="1081">
        <v>1.1023</v>
      </c>
      <c r="W11" s="1085">
        <v>7.5</v>
      </c>
      <c r="X11" s="1085">
        <v>12.05</v>
      </c>
      <c r="Y11" s="1081">
        <v>26.38</v>
      </c>
      <c r="Z11" s="1085">
        <f t="shared" si="12"/>
        <v>53.95</v>
      </c>
      <c r="AA11" s="1088">
        <f t="shared" si="4"/>
        <v>80.33</v>
      </c>
      <c r="AB11" s="1090">
        <f t="shared" si="13"/>
        <v>1882.506937</v>
      </c>
      <c r="AC11" s="1090">
        <f>+(S11*V11)-'data 1'!$F$4-T11*V11</f>
        <v>118.414</v>
      </c>
      <c r="AD11" s="1090">
        <f t="shared" si="5"/>
        <v>-85.08325794</v>
      </c>
      <c r="AE11" s="1090">
        <f>+(AA11*V11)-Z11-'data 1'!$I$21+((W11-2)*2.5+(X11-2)*4)-((W11-3)*1.5+(X11-3)*3.1)</f>
        <v>28.16167792</v>
      </c>
      <c r="AF11" s="1090">
        <f t="shared" si="6"/>
        <v>86.0122564</v>
      </c>
      <c r="AG11" s="1090">
        <f t="shared" si="7"/>
        <v>147.5046764</v>
      </c>
      <c r="AH11" s="1091">
        <f t="shared" si="8"/>
        <v>77.76560578</v>
      </c>
      <c r="AI11" s="65">
        <f t="shared" si="9"/>
        <v>266.3891708</v>
      </c>
      <c r="AJ11" s="986">
        <f t="shared" si="10"/>
        <v>77.61193222</v>
      </c>
      <c r="AK11" s="65"/>
      <c r="AL11" s="65">
        <f t="shared" si="11"/>
        <v>4433.454437</v>
      </c>
    </row>
    <row r="12" ht="15.75" customHeight="1">
      <c r="A12" s="1034" t="s">
        <v>5293</v>
      </c>
      <c r="B12" s="1080"/>
      <c r="C12" s="1080">
        <v>45368.0</v>
      </c>
      <c r="D12" s="1081" t="s">
        <v>5085</v>
      </c>
      <c r="E12" s="1082">
        <v>2.0169040231E10</v>
      </c>
      <c r="F12" s="1081" t="s">
        <v>5292</v>
      </c>
      <c r="G12" s="1083">
        <v>50.0</v>
      </c>
      <c r="H12" s="1083"/>
      <c r="I12" s="1084">
        <v>4.06</v>
      </c>
      <c r="J12" s="1085">
        <v>41.0</v>
      </c>
      <c r="K12" s="1086">
        <f t="shared" si="1"/>
        <v>2.3954</v>
      </c>
      <c r="L12" s="1087">
        <v>1.12</v>
      </c>
      <c r="M12" s="1087">
        <v>1.0752000000000002</v>
      </c>
      <c r="N12" s="1087">
        <v>1.0752000000000002</v>
      </c>
      <c r="O12" s="1087">
        <v>1.083</v>
      </c>
      <c r="P12" s="1081">
        <v>90.0</v>
      </c>
      <c r="Q12" s="1088">
        <v>86.14</v>
      </c>
      <c r="R12" s="1088">
        <v>2157.575</v>
      </c>
      <c r="S12" s="1089">
        <v>180.0</v>
      </c>
      <c r="T12" s="1081"/>
      <c r="U12" s="1081">
        <v>110.0</v>
      </c>
      <c r="V12" s="1081">
        <v>1.1023</v>
      </c>
      <c r="W12" s="1085">
        <v>7.5</v>
      </c>
      <c r="X12" s="1085">
        <v>12.0</v>
      </c>
      <c r="Y12" s="1081">
        <v>26.38</v>
      </c>
      <c r="Z12" s="1085">
        <f t="shared" si="12"/>
        <v>53.75</v>
      </c>
      <c r="AA12" s="1088">
        <f t="shared" si="4"/>
        <v>80.13</v>
      </c>
      <c r="AB12" s="1090">
        <f t="shared" si="13"/>
        <v>1913.197463</v>
      </c>
      <c r="AC12" s="1090">
        <f>+(S12*V12)-'data 1'!$F$4-T12*V12</f>
        <v>118.414</v>
      </c>
      <c r="AD12" s="1090">
        <f t="shared" si="5"/>
        <v>-97.57643639</v>
      </c>
      <c r="AE12" s="1090">
        <f>+(AA12*V12)-Z12-'data 1'!$I$21+((W12-2)*2.5+(X12-2)*4)-((W12-3)*1.5+(X12-3)*3.1)</f>
        <v>28.09621792</v>
      </c>
      <c r="AF12" s="1090">
        <f t="shared" si="6"/>
        <v>71.93598875</v>
      </c>
      <c r="AG12" s="1090">
        <f t="shared" si="7"/>
        <v>120.8697703</v>
      </c>
      <c r="AH12" s="1091">
        <f t="shared" si="8"/>
        <v>79.23371237</v>
      </c>
      <c r="AI12" s="65">
        <f t="shared" si="9"/>
        <v>266.8496456</v>
      </c>
      <c r="AJ12" s="986">
        <f t="shared" si="10"/>
        <v>80.04939991</v>
      </c>
      <c r="AK12" s="65"/>
      <c r="AL12" s="65">
        <f t="shared" si="11"/>
        <v>4582.873203</v>
      </c>
    </row>
    <row r="13" ht="15.75" customHeight="1">
      <c r="A13" s="1034" t="s">
        <v>5294</v>
      </c>
      <c r="B13" s="1080"/>
      <c r="C13" s="1080">
        <v>45368.0</v>
      </c>
      <c r="D13" s="1081" t="s">
        <v>5085</v>
      </c>
      <c r="E13" s="1082">
        <v>2.0169040231E10</v>
      </c>
      <c r="F13" s="1081" t="s">
        <v>5292</v>
      </c>
      <c r="G13" s="1083">
        <v>50.0</v>
      </c>
      <c r="H13" s="1083"/>
      <c r="I13" s="1084">
        <v>4.48</v>
      </c>
      <c r="J13" s="1085">
        <v>36.1</v>
      </c>
      <c r="K13" s="1086">
        <f t="shared" si="1"/>
        <v>2.86272</v>
      </c>
      <c r="L13" s="1087">
        <v>0.976</v>
      </c>
      <c r="M13" s="1087">
        <v>0.9369599999999999</v>
      </c>
      <c r="N13" s="1087">
        <v>0.9369599999999999</v>
      </c>
      <c r="O13" s="1087">
        <v>0.942</v>
      </c>
      <c r="P13" s="1081">
        <v>90.0</v>
      </c>
      <c r="Q13" s="1088">
        <v>85.48</v>
      </c>
      <c r="R13" s="1088">
        <v>2157.575</v>
      </c>
      <c r="S13" s="1089">
        <v>170.0</v>
      </c>
      <c r="T13" s="1081"/>
      <c r="U13" s="1081">
        <v>110.0</v>
      </c>
      <c r="V13" s="1081">
        <v>1.1023</v>
      </c>
      <c r="W13" s="1085">
        <v>7.5</v>
      </c>
      <c r="X13" s="1085">
        <v>12.1</v>
      </c>
      <c r="Y13" s="1081">
        <v>26.38</v>
      </c>
      <c r="Z13" s="1085">
        <f t="shared" si="12"/>
        <v>54.15</v>
      </c>
      <c r="AA13" s="1088">
        <f t="shared" si="4"/>
        <v>80.53</v>
      </c>
      <c r="AB13" s="1090">
        <f t="shared" si="13"/>
        <v>1637.360923</v>
      </c>
      <c r="AC13" s="1090">
        <f>+(S13*V13)-'data 1'!$F$4-T13*V13</f>
        <v>107.391</v>
      </c>
      <c r="AD13" s="1090">
        <f t="shared" si="5"/>
        <v>-99.56985582</v>
      </c>
      <c r="AE13" s="1090">
        <f>+(AA13*V13)-Z13-'data 1'!$I$21+((W13-2)*2.5+(X13-2)*4)-((W13-3)*1.5+(X13-3)*3.1)</f>
        <v>28.22713792</v>
      </c>
      <c r="AF13" s="1090">
        <f t="shared" si="6"/>
        <v>65.5968608</v>
      </c>
      <c r="AG13" s="1090">
        <f t="shared" si="7"/>
        <v>101.6451429</v>
      </c>
      <c r="AH13" s="1091">
        <f t="shared" si="8"/>
        <v>81.88460768</v>
      </c>
      <c r="AI13" s="65">
        <f t="shared" si="9"/>
        <v>230.7586935</v>
      </c>
      <c r="AJ13" s="986">
        <f t="shared" si="10"/>
        <v>83.21111734</v>
      </c>
      <c r="AK13" s="65"/>
      <c r="AL13" s="65">
        <f t="shared" si="11"/>
        <v>4687.305861</v>
      </c>
    </row>
    <row r="14" ht="15.75" customHeight="1">
      <c r="A14" s="1034" t="s">
        <v>5295</v>
      </c>
      <c r="B14" s="1092"/>
      <c r="C14" s="1092">
        <v>45368.0</v>
      </c>
      <c r="D14" s="519" t="s">
        <v>5085</v>
      </c>
      <c r="E14" s="1082">
        <v>2.0169040231E10</v>
      </c>
      <c r="F14" s="519" t="s">
        <v>5296</v>
      </c>
      <c r="G14" s="1093">
        <v>25.0</v>
      </c>
      <c r="H14" s="1093"/>
      <c r="I14" s="1094">
        <v>2.34</v>
      </c>
      <c r="J14" s="1095">
        <v>35.3</v>
      </c>
      <c r="K14" s="1096">
        <f t="shared" si="1"/>
        <v>1.51398</v>
      </c>
      <c r="L14" s="1097">
        <v>1.828</v>
      </c>
      <c r="M14" s="1097">
        <v>1.75488</v>
      </c>
      <c r="N14" s="1097">
        <v>1.75488</v>
      </c>
      <c r="O14" s="1087">
        <f t="shared" ref="O14:O19" si="14">+(M14+N14)/2</f>
        <v>1.75488</v>
      </c>
      <c r="P14" s="519">
        <v>90.0</v>
      </c>
      <c r="Q14" s="1098">
        <v>85.08</v>
      </c>
      <c r="R14" s="1098">
        <v>2157.575</v>
      </c>
      <c r="S14" s="1099">
        <v>250.0</v>
      </c>
      <c r="T14" s="519"/>
      <c r="U14" s="519">
        <v>110.0</v>
      </c>
      <c r="V14" s="519">
        <v>1.1023</v>
      </c>
      <c r="W14" s="1095">
        <v>7.5</v>
      </c>
      <c r="X14" s="1095">
        <v>12.05</v>
      </c>
      <c r="Y14" s="519">
        <v>26.38</v>
      </c>
      <c r="Z14" s="1095">
        <f t="shared" si="12"/>
        <v>53.95</v>
      </c>
      <c r="AA14" s="1098">
        <f t="shared" si="4"/>
        <v>80.33</v>
      </c>
      <c r="AB14" s="1100">
        <f t="shared" si="13"/>
        <v>3200.631197</v>
      </c>
      <c r="AC14" s="1100">
        <f>+(S14*V14)-'data 1'!$F$4-T14*V14</f>
        <v>195.575</v>
      </c>
      <c r="AD14" s="1100">
        <f t="shared" si="5"/>
        <v>-202.9929336</v>
      </c>
      <c r="AE14" s="1100">
        <f>+(AA14*V14)-Z14-'data 1'!$I$21+((W14-2)*2.5+(X14-2)*4)-((W14-3)*1.5+(X14-3)*3.1)</f>
        <v>28.16167792</v>
      </c>
      <c r="AF14" s="1100">
        <f t="shared" si="6"/>
        <v>140.4116975</v>
      </c>
      <c r="AG14" s="1100">
        <f t="shared" si="7"/>
        <v>161.1554418</v>
      </c>
      <c r="AH14" s="1101">
        <f t="shared" si="8"/>
        <v>80.72961475</v>
      </c>
      <c r="AI14" s="65">
        <f t="shared" si="9"/>
        <v>430.1772242</v>
      </c>
      <c r="AJ14" s="986">
        <f t="shared" si="10"/>
        <v>81.98211935</v>
      </c>
      <c r="AK14" s="65"/>
      <c r="AL14" s="65">
        <f t="shared" si="11"/>
        <v>4845.69162</v>
      </c>
    </row>
    <row r="15" ht="15.75" customHeight="1">
      <c r="A15" s="1034" t="s">
        <v>5297</v>
      </c>
      <c r="B15" s="1092"/>
      <c r="C15" s="1092">
        <v>45368.0</v>
      </c>
      <c r="D15" s="519" t="s">
        <v>5085</v>
      </c>
      <c r="E15" s="1082">
        <v>2.0169040231E10</v>
      </c>
      <c r="F15" s="519" t="s">
        <v>5298</v>
      </c>
      <c r="G15" s="1093">
        <v>18.0</v>
      </c>
      <c r="H15" s="1093"/>
      <c r="I15" s="1094">
        <v>1.6</v>
      </c>
      <c r="J15" s="1095">
        <v>0.9</v>
      </c>
      <c r="K15" s="1096">
        <f t="shared" si="1"/>
        <v>1.5856</v>
      </c>
      <c r="L15" s="1097">
        <v>0.171</v>
      </c>
      <c r="M15" s="1097">
        <v>0.16416</v>
      </c>
      <c r="N15" s="1097">
        <v>0.16416</v>
      </c>
      <c r="O15" s="1087">
        <f t="shared" si="14"/>
        <v>0.16416</v>
      </c>
      <c r="P15" s="519">
        <v>90.0</v>
      </c>
      <c r="Q15" s="1098">
        <v>91.1</v>
      </c>
      <c r="R15" s="1098">
        <v>2157.575</v>
      </c>
      <c r="S15" s="1099">
        <v>95.0</v>
      </c>
      <c r="T15" s="519"/>
      <c r="U15" s="519">
        <v>110.0</v>
      </c>
      <c r="V15" s="519">
        <v>1.1023</v>
      </c>
      <c r="W15" s="1095">
        <v>6.9</v>
      </c>
      <c r="X15" s="1095">
        <v>7.5</v>
      </c>
      <c r="Y15" s="519">
        <v>26.38</v>
      </c>
      <c r="Z15" s="1095">
        <f t="shared" si="12"/>
        <v>34.25</v>
      </c>
      <c r="AA15" s="1098">
        <f t="shared" si="4"/>
        <v>60.63</v>
      </c>
      <c r="AB15" s="1100">
        <f t="shared" si="13"/>
        <v>161.9134528</v>
      </c>
      <c r="AC15" s="1100">
        <f>+(S15*V15)-'data 1'!$F$4-T15*V15</f>
        <v>24.7185</v>
      </c>
      <c r="AD15" s="1100">
        <f t="shared" si="5"/>
        <v>4.245495856</v>
      </c>
      <c r="AE15" s="1100">
        <f>+(AA15*V15)-Z15-'data 1'!$I$21+((W15-2)*2.5+(X15-2)*4)-((W15-3)*1.5+(X15-3)*3.1)</f>
        <v>21.45136792</v>
      </c>
      <c r="AF15" s="1100">
        <f t="shared" si="6"/>
        <v>14.06416991</v>
      </c>
      <c r="AG15" s="1100">
        <f t="shared" si="7"/>
        <v>64.47953368</v>
      </c>
      <c r="AH15" s="1101">
        <f t="shared" si="8"/>
        <v>8.468708684</v>
      </c>
      <c r="AI15" s="65">
        <f t="shared" si="9"/>
        <v>43.08818767</v>
      </c>
      <c r="AJ15" s="986">
        <f t="shared" si="10"/>
        <v>8.031793966</v>
      </c>
      <c r="AK15" s="65"/>
      <c r="AL15" s="65">
        <f t="shared" si="11"/>
        <v>256.7299708</v>
      </c>
    </row>
    <row r="16" ht="15.75" customHeight="1">
      <c r="A16" s="1034" t="s">
        <v>5299</v>
      </c>
      <c r="B16" s="1046"/>
      <c r="C16" s="1043">
        <v>45370.0</v>
      </c>
      <c r="D16" s="1046" t="s">
        <v>5085</v>
      </c>
      <c r="E16" s="1102">
        <v>2.0169040231E10</v>
      </c>
      <c r="F16" s="1046" t="s">
        <v>5300</v>
      </c>
      <c r="G16" s="1103">
        <v>30.0</v>
      </c>
      <c r="H16" s="1103"/>
      <c r="I16" s="1104">
        <v>2.31</v>
      </c>
      <c r="J16" s="1105">
        <v>22.7</v>
      </c>
      <c r="K16" s="1104">
        <f t="shared" si="1"/>
        <v>1.78563</v>
      </c>
      <c r="L16" s="1106">
        <v>2.098</v>
      </c>
      <c r="M16" s="1045">
        <v>2.014</v>
      </c>
      <c r="N16" s="1104">
        <v>2.034</v>
      </c>
      <c r="O16" s="1107">
        <f t="shared" si="14"/>
        <v>2.024</v>
      </c>
      <c r="P16" s="1046">
        <v>90.0</v>
      </c>
      <c r="Q16" s="1046">
        <v>85.59</v>
      </c>
      <c r="R16" s="1108">
        <v>2152.545</v>
      </c>
      <c r="S16" s="1045">
        <v>280.0</v>
      </c>
      <c r="T16" s="1046"/>
      <c r="U16" s="1046">
        <v>110.0</v>
      </c>
      <c r="V16" s="1046">
        <v>1.1023</v>
      </c>
      <c r="W16" s="1105">
        <v>7.8</v>
      </c>
      <c r="X16" s="1105">
        <v>11.34</v>
      </c>
      <c r="Y16" s="1046">
        <v>26.71</v>
      </c>
      <c r="Z16" s="1105">
        <f t="shared" si="12"/>
        <v>51.86</v>
      </c>
      <c r="AA16" s="1108">
        <f t="shared" si="4"/>
        <v>78.57</v>
      </c>
      <c r="AB16" s="1109">
        <f t="shared" si="13"/>
        <v>3706.075868</v>
      </c>
      <c r="AC16" s="1109">
        <f>+(S16*V16)-'data 1'!$F$4-T16*V16</f>
        <v>228.644</v>
      </c>
      <c r="AD16" s="1109">
        <f t="shared" si="5"/>
        <v>-208.3125878</v>
      </c>
      <c r="AE16" s="1109">
        <f>+(AA16*V16)-Z16-'data 1'!$I$21+((W16-2)*2.5+(X16-2)*4)-((W16-3)*1.5+(X16-3)*3.1)</f>
        <v>27.97262992</v>
      </c>
      <c r="AF16" s="1109">
        <f t="shared" si="6"/>
        <v>142.6021873</v>
      </c>
      <c r="AG16" s="1109">
        <f t="shared" si="7"/>
        <v>190.9062294</v>
      </c>
      <c r="AH16" s="1110">
        <f t="shared" si="8"/>
        <v>109.9332464</v>
      </c>
      <c r="AI16" s="65">
        <f t="shared" si="9"/>
        <v>506.6312045</v>
      </c>
      <c r="AJ16" s="986">
        <f t="shared" si="10"/>
        <v>111.5202054</v>
      </c>
      <c r="AK16" s="65"/>
      <c r="AL16" s="65">
        <f t="shared" si="11"/>
        <v>6617.680252</v>
      </c>
    </row>
    <row r="17" ht="15.75" customHeight="1">
      <c r="A17" s="1034" t="s">
        <v>5301</v>
      </c>
      <c r="B17" s="2"/>
      <c r="C17" s="841">
        <v>45372.0</v>
      </c>
      <c r="D17" s="2" t="s">
        <v>5093</v>
      </c>
      <c r="E17" s="915">
        <v>1.0460498487E10</v>
      </c>
      <c r="F17" s="67" t="s">
        <v>4756</v>
      </c>
      <c r="G17" s="13" t="s">
        <v>4100</v>
      </c>
      <c r="H17" s="13"/>
      <c r="I17" s="6">
        <v>17.33</v>
      </c>
      <c r="J17" s="58">
        <v>9.0</v>
      </c>
      <c r="K17" s="6">
        <f t="shared" si="1"/>
        <v>15.7703</v>
      </c>
      <c r="L17" s="139">
        <v>0.446</v>
      </c>
      <c r="M17" s="3">
        <v>0.421</v>
      </c>
      <c r="N17" s="191">
        <f>+M17+0.02</f>
        <v>0.441</v>
      </c>
      <c r="O17" s="60">
        <f t="shared" si="14"/>
        <v>0.431</v>
      </c>
      <c r="P17" s="2">
        <v>90.0</v>
      </c>
      <c r="Q17" s="67">
        <v>91.15</v>
      </c>
      <c r="R17" s="65">
        <v>2166.445</v>
      </c>
      <c r="S17" s="3">
        <v>130.0</v>
      </c>
      <c r="T17" s="2"/>
      <c r="U17" s="67">
        <v>100.0</v>
      </c>
      <c r="V17" s="67">
        <v>1.1023</v>
      </c>
      <c r="W17" s="58">
        <v>5.7</v>
      </c>
      <c r="X17" s="58">
        <v>6.8</v>
      </c>
      <c r="Y17" s="2">
        <v>25.0</v>
      </c>
      <c r="Z17" s="69">
        <f t="shared" si="12"/>
        <v>15.83</v>
      </c>
      <c r="AA17" s="70">
        <f t="shared" si="4"/>
        <v>40.83</v>
      </c>
      <c r="AB17" s="71">
        <f t="shared" si="13"/>
        <v>695.2691283</v>
      </c>
      <c r="AC17" s="71">
        <f>+(S17*V17)-'data 1'!$F$4-T17*V17</f>
        <v>63.299</v>
      </c>
      <c r="AD17" s="71">
        <f t="shared" si="5"/>
        <v>11.68305328</v>
      </c>
      <c r="AE17" s="71">
        <f>+(AA17*V17)-Z17-'data 1'!$I$21+((W17-2)*2.5+(X17-2)*4)-((W17-3)*1.5+(X17-3)*3.1)</f>
        <v>16.21582792</v>
      </c>
      <c r="AF17" s="71">
        <f t="shared" si="6"/>
        <v>31.14379917</v>
      </c>
      <c r="AG17" s="71">
        <f t="shared" si="7"/>
        <v>122.3416804</v>
      </c>
      <c r="AH17" s="1035">
        <f t="shared" si="8"/>
        <v>219.8065127</v>
      </c>
      <c r="AI17" s="65">
        <f t="shared" si="9"/>
        <v>103.9877711</v>
      </c>
      <c r="AJ17" s="986">
        <f t="shared" si="10"/>
        <v>209.7339827</v>
      </c>
      <c r="AK17" s="65"/>
      <c r="AL17" s="65">
        <f t="shared" si="11"/>
        <v>10964.60273</v>
      </c>
    </row>
    <row r="18" ht="15.75" customHeight="1">
      <c r="A18" s="1034" t="s">
        <v>5302</v>
      </c>
      <c r="B18" s="2"/>
      <c r="C18" s="841">
        <v>45372.0</v>
      </c>
      <c r="D18" s="2" t="s">
        <v>5093</v>
      </c>
      <c r="E18" s="915">
        <v>1.0460498487E10</v>
      </c>
      <c r="F18" s="67" t="s">
        <v>4168</v>
      </c>
      <c r="G18" s="13">
        <v>50.0</v>
      </c>
      <c r="H18" s="13"/>
      <c r="I18" s="6">
        <v>4.25</v>
      </c>
      <c r="J18" s="58">
        <v>9.5</v>
      </c>
      <c r="K18" s="6">
        <f t="shared" si="1"/>
        <v>3.84625</v>
      </c>
      <c r="L18" s="139">
        <v>0.3</v>
      </c>
      <c r="M18" s="3">
        <v>0.275</v>
      </c>
      <c r="N18" s="3">
        <v>0.275</v>
      </c>
      <c r="O18" s="60">
        <f t="shared" si="14"/>
        <v>0.275</v>
      </c>
      <c r="P18" s="2">
        <v>90.0</v>
      </c>
      <c r="Q18" s="67">
        <v>90.89</v>
      </c>
      <c r="R18" s="65">
        <v>2166.445</v>
      </c>
      <c r="S18" s="3">
        <v>120.0</v>
      </c>
      <c r="T18" s="2"/>
      <c r="U18" s="67">
        <v>100.0</v>
      </c>
      <c r="V18" s="67">
        <v>1.1023</v>
      </c>
      <c r="W18" s="58">
        <v>5.5</v>
      </c>
      <c r="X18" s="58">
        <v>6.4</v>
      </c>
      <c r="Y18" s="2">
        <v>25.0</v>
      </c>
      <c r="Z18" s="69">
        <f t="shared" si="12"/>
        <v>14.29</v>
      </c>
      <c r="AA18" s="70">
        <f t="shared" si="4"/>
        <v>39.29</v>
      </c>
      <c r="AB18" s="71">
        <f t="shared" si="13"/>
        <v>388.1806081</v>
      </c>
      <c r="AC18" s="71">
        <f>+(S18*V18)-'data 1'!$F$4-T18*V18</f>
        <v>52.276</v>
      </c>
      <c r="AD18" s="71">
        <f t="shared" si="5"/>
        <v>6.081839004</v>
      </c>
      <c r="AE18" s="71">
        <f>+(AA18*V18)-Z18-'data 1'!$I$21+((W18-2)*2.5+(X18-2)*4)-((W18-3)*1.5+(X18-3)*3.1)</f>
        <v>15.49828592</v>
      </c>
      <c r="AF18" s="71">
        <f t="shared" si="6"/>
        <v>51.7582722</v>
      </c>
      <c r="AG18" s="71">
        <f t="shared" si="7"/>
        <v>125.6143971</v>
      </c>
      <c r="AH18" s="1035">
        <f t="shared" si="8"/>
        <v>35.95704029</v>
      </c>
      <c r="AI18" s="65">
        <f t="shared" si="9"/>
        <v>69.74741174</v>
      </c>
      <c r="AJ18" s="986">
        <f t="shared" si="10"/>
        <v>32.63786801</v>
      </c>
      <c r="AK18" s="65"/>
      <c r="AL18" s="65">
        <f t="shared" si="11"/>
        <v>1493.039664</v>
      </c>
    </row>
    <row r="19" ht="15.75" customHeight="1">
      <c r="A19" s="1017" t="s">
        <v>5303</v>
      </c>
      <c r="B19" s="577"/>
      <c r="C19" s="1018">
        <v>45372.0</v>
      </c>
      <c r="D19" s="577" t="s">
        <v>5093</v>
      </c>
      <c r="E19" s="1020">
        <v>1.0460498487E10</v>
      </c>
      <c r="F19" s="1019" t="s">
        <v>4756</v>
      </c>
      <c r="G19" s="601" t="s">
        <v>4100</v>
      </c>
      <c r="H19" s="601"/>
      <c r="I19" s="1022">
        <v>20.19</v>
      </c>
      <c r="J19" s="1023">
        <v>9.0</v>
      </c>
      <c r="K19" s="1022">
        <f t="shared" si="1"/>
        <v>18.3729</v>
      </c>
      <c r="L19" s="1024">
        <v>0.446</v>
      </c>
      <c r="M19" s="578">
        <v>0.421</v>
      </c>
      <c r="N19" s="1111">
        <f>+M19+0.02</f>
        <v>0.441</v>
      </c>
      <c r="O19" s="1025">
        <f t="shared" si="14"/>
        <v>0.431</v>
      </c>
      <c r="P19" s="577">
        <v>90.0</v>
      </c>
      <c r="Q19" s="1019">
        <v>91.82</v>
      </c>
      <c r="R19" s="1028">
        <v>2166.445</v>
      </c>
      <c r="S19" s="578">
        <v>130.0</v>
      </c>
      <c r="T19" s="577"/>
      <c r="U19" s="1019">
        <v>100.0</v>
      </c>
      <c r="V19" s="1019">
        <v>1.1023</v>
      </c>
      <c r="W19" s="1023">
        <v>5.7</v>
      </c>
      <c r="X19" s="1023">
        <v>6.8</v>
      </c>
      <c r="Y19" s="577">
        <v>25.0</v>
      </c>
      <c r="Z19" s="1027">
        <f t="shared" si="12"/>
        <v>15.83</v>
      </c>
      <c r="AA19" s="1029">
        <f t="shared" si="4"/>
        <v>40.83</v>
      </c>
      <c r="AB19" s="1030">
        <f t="shared" si="13"/>
        <v>695.2691283</v>
      </c>
      <c r="AC19" s="1030">
        <f>+(S19*V19)-'data 1'!$F$4-T19*V19</f>
        <v>63.299</v>
      </c>
      <c r="AD19" s="1030">
        <f t="shared" si="5"/>
        <v>18.48970171</v>
      </c>
      <c r="AE19" s="1030">
        <f>+(AA19*V19)-Z19-'data 1'!$I$21+((W19-2)*2.5+(X19-2)*4)-((W19-3)*1.5+(X19-3)*3.1)</f>
        <v>16.21582792</v>
      </c>
      <c r="AF19" s="1030">
        <f t="shared" si="6"/>
        <v>31.37272232</v>
      </c>
      <c r="AG19" s="1030">
        <f t="shared" si="7"/>
        <v>129.3772519</v>
      </c>
      <c r="AH19" s="1031">
        <f t="shared" si="8"/>
        <v>257.9638962</v>
      </c>
      <c r="AI19" s="65">
        <f t="shared" si="9"/>
        <v>104.7521354</v>
      </c>
      <c r="AJ19" s="986">
        <f t="shared" si="10"/>
        <v>244.3467462</v>
      </c>
      <c r="AK19" s="65"/>
      <c r="AL19" s="65">
        <f t="shared" si="11"/>
        <v>12774.11017</v>
      </c>
    </row>
    <row r="20" ht="15.75" customHeight="1">
      <c r="A20" s="1034" t="s">
        <v>5304</v>
      </c>
      <c r="B20" s="2"/>
      <c r="C20" s="841">
        <v>45375.0</v>
      </c>
      <c r="D20" s="2" t="s">
        <v>5085</v>
      </c>
      <c r="E20" s="915">
        <v>2.0169040231E10</v>
      </c>
      <c r="F20" s="67" t="s">
        <v>5305</v>
      </c>
      <c r="G20" s="13">
        <v>110.0</v>
      </c>
      <c r="H20" s="13"/>
      <c r="I20" s="6">
        <v>9.7</v>
      </c>
      <c r="J20" s="58">
        <v>0.45</v>
      </c>
      <c r="K20" s="6">
        <f t="shared" si="1"/>
        <v>9.65635</v>
      </c>
      <c r="L20" s="3">
        <v>0.727</v>
      </c>
      <c r="M20" s="3">
        <v>0.698</v>
      </c>
      <c r="N20" s="191">
        <v>0.731</v>
      </c>
      <c r="O20" s="60">
        <v>0.72</v>
      </c>
      <c r="P20" s="2">
        <v>90.0</v>
      </c>
      <c r="Q20" s="69">
        <v>88.7</v>
      </c>
      <c r="R20" s="65">
        <v>2171.805</v>
      </c>
      <c r="S20" s="3">
        <v>140.0</v>
      </c>
      <c r="T20" s="2"/>
      <c r="U20" s="67">
        <v>110.0</v>
      </c>
      <c r="V20" s="67">
        <v>1.1023</v>
      </c>
      <c r="W20" s="58">
        <v>7.1</v>
      </c>
      <c r="X20" s="58">
        <v>10.7</v>
      </c>
      <c r="Y20" s="2">
        <v>26.88</v>
      </c>
      <c r="Z20" s="69">
        <f t="shared" si="12"/>
        <v>47.55</v>
      </c>
      <c r="AA20" s="70">
        <f t="shared" si="4"/>
        <v>74.43</v>
      </c>
      <c r="AB20" s="71">
        <f t="shared" si="13"/>
        <v>1236.361329</v>
      </c>
      <c r="AC20" s="71">
        <f>+(S20*V20)-'data 1'!$F$4-T20*V20</f>
        <v>74.322</v>
      </c>
      <c r="AD20" s="71">
        <f t="shared" si="5"/>
        <v>-21.47954903</v>
      </c>
      <c r="AE20" s="71">
        <f>+(AA20*V20)-Z20-'data 1'!$I$21+((W20-2)*2.5+(X20-2)*4)-((W20-3)*1.5+(X20-3)*3.1)</f>
        <v>26.44310792</v>
      </c>
      <c r="AF20" s="71">
        <f t="shared" si="6"/>
        <v>14.11136599</v>
      </c>
      <c r="AG20" s="71">
        <f t="shared" si="7"/>
        <v>93.39692487</v>
      </c>
      <c r="AH20" s="1035">
        <f t="shared" si="8"/>
        <v>213.4912591</v>
      </c>
      <c r="AI20" s="65">
        <f t="shared" si="9"/>
        <v>168.2468423</v>
      </c>
      <c r="AJ20" s="986">
        <f t="shared" si="10"/>
        <v>214.5344661</v>
      </c>
      <c r="AK20" s="65"/>
      <c r="AL20" s="65">
        <f t="shared" si="11"/>
        <v>11938.73772</v>
      </c>
    </row>
    <row r="21" ht="15.75" customHeight="1">
      <c r="A21" s="1034" t="s">
        <v>5306</v>
      </c>
      <c r="B21" s="2"/>
      <c r="C21" s="841">
        <v>45375.0</v>
      </c>
      <c r="D21" s="2" t="s">
        <v>5085</v>
      </c>
      <c r="E21" s="915">
        <v>2.0169040231E10</v>
      </c>
      <c r="F21" s="67" t="s">
        <v>5305</v>
      </c>
      <c r="G21" s="13">
        <v>27.0</v>
      </c>
      <c r="H21" s="13"/>
      <c r="I21" s="6">
        <v>2.54</v>
      </c>
      <c r="J21" s="58">
        <v>2.1</v>
      </c>
      <c r="K21" s="6">
        <f t="shared" si="1"/>
        <v>2.48666</v>
      </c>
      <c r="L21" s="3">
        <v>0.306</v>
      </c>
      <c r="M21" s="3">
        <v>0.294</v>
      </c>
      <c r="N21" s="1112">
        <v>0.294</v>
      </c>
      <c r="O21" s="60">
        <f>+(M21+N21)/2</f>
        <v>0.294</v>
      </c>
      <c r="P21" s="2">
        <v>90.0</v>
      </c>
      <c r="Q21" s="69">
        <v>88.77</v>
      </c>
      <c r="R21" s="65">
        <v>2171.805</v>
      </c>
      <c r="S21" s="3">
        <v>110.0</v>
      </c>
      <c r="T21" s="2"/>
      <c r="U21" s="67">
        <v>110.0</v>
      </c>
      <c r="V21" s="67">
        <v>1.1023</v>
      </c>
      <c r="W21" s="58">
        <v>7.0</v>
      </c>
      <c r="X21" s="58">
        <v>9.1</v>
      </c>
      <c r="Y21" s="2">
        <v>26.88</v>
      </c>
      <c r="Z21" s="69">
        <f t="shared" si="12"/>
        <v>40.9</v>
      </c>
      <c r="AA21" s="70">
        <f t="shared" si="4"/>
        <v>67.78</v>
      </c>
      <c r="AB21" s="71">
        <f t="shared" si="13"/>
        <v>405.3968426</v>
      </c>
      <c r="AC21" s="71">
        <f>+(S21*V21)-'data 1'!$F$4-T21*V21</f>
        <v>41.253</v>
      </c>
      <c r="AD21" s="71">
        <f t="shared" si="5"/>
        <v>-8.554092335</v>
      </c>
      <c r="AE21" s="71">
        <f>+(AA21*V21)-Z21-'data 1'!$I$21+((W21-2)*2.5+(X21-2)*4)-((W21-3)*1.5+(X21-3)*3.1)</f>
        <v>24.22281292</v>
      </c>
      <c r="AF21" s="71">
        <f t="shared" si="6"/>
        <v>24.21000403</v>
      </c>
      <c r="AG21" s="71">
        <f t="shared" si="7"/>
        <v>81.13172462</v>
      </c>
      <c r="AH21" s="1035">
        <f t="shared" si="8"/>
        <v>23.15864386</v>
      </c>
      <c r="AI21" s="65">
        <f t="shared" si="9"/>
        <v>70.87230173</v>
      </c>
      <c r="AJ21" s="986">
        <f t="shared" si="10"/>
        <v>22.55876487</v>
      </c>
      <c r="AK21" s="65"/>
      <c r="AL21" s="65">
        <f t="shared" si="11"/>
        <v>1008.084113</v>
      </c>
    </row>
    <row r="22" ht="15.75" customHeight="1">
      <c r="A22" s="1034" t="s">
        <v>5307</v>
      </c>
      <c r="B22" s="2"/>
      <c r="C22" s="841">
        <v>45375.0</v>
      </c>
      <c r="D22" s="2" t="s">
        <v>5085</v>
      </c>
      <c r="E22" s="915">
        <v>2.0169040231E10</v>
      </c>
      <c r="F22" s="67" t="s">
        <v>5308</v>
      </c>
      <c r="G22" s="916">
        <v>44.0</v>
      </c>
      <c r="H22" s="13"/>
      <c r="I22" s="6">
        <v>3.21</v>
      </c>
      <c r="J22" s="58">
        <v>5.4</v>
      </c>
      <c r="K22" s="6">
        <f t="shared" si="1"/>
        <v>3.03666</v>
      </c>
      <c r="L22" s="3">
        <v>1.961</v>
      </c>
      <c r="M22" s="191">
        <v>1.762</v>
      </c>
      <c r="N22" s="191">
        <v>1.878</v>
      </c>
      <c r="O22" s="60">
        <v>1.84</v>
      </c>
      <c r="P22" s="2">
        <v>90.0</v>
      </c>
      <c r="Q22" s="69">
        <v>86.85</v>
      </c>
      <c r="R22" s="65">
        <v>2171.805</v>
      </c>
      <c r="S22" s="3">
        <v>270.0</v>
      </c>
      <c r="T22" s="2">
        <v>45.0</v>
      </c>
      <c r="U22" s="67">
        <v>110.0</v>
      </c>
      <c r="V22" s="67">
        <v>1.1023</v>
      </c>
      <c r="W22" s="58">
        <v>7.5</v>
      </c>
      <c r="X22" s="58">
        <v>12.07</v>
      </c>
      <c r="Y22" s="2">
        <v>26.88</v>
      </c>
      <c r="Z22" s="69">
        <f t="shared" si="12"/>
        <v>54.03</v>
      </c>
      <c r="AA22" s="70">
        <f t="shared" si="4"/>
        <v>80.91</v>
      </c>
      <c r="AB22" s="71">
        <f t="shared" si="13"/>
        <v>3426.432398</v>
      </c>
      <c r="AC22" s="71">
        <f>+(S22*V22)-'data 1'!$F$4-T22*V22</f>
        <v>168.0175</v>
      </c>
      <c r="AD22" s="71">
        <f t="shared" si="5"/>
        <v>-140.3897961</v>
      </c>
      <c r="AE22" s="71">
        <f>+(AA22*V22)-Z22-'data 1'!$I$21+((W22-2)*2.5+(X22-2)*4)-((W22-3)*1.5+(X22-3)*3.1)</f>
        <v>28.73901192</v>
      </c>
      <c r="AF22" s="71">
        <f t="shared" si="6"/>
        <v>238.8375398</v>
      </c>
      <c r="AG22" s="71">
        <f t="shared" si="7"/>
        <v>295.2042556</v>
      </c>
      <c r="AH22" s="1035">
        <f t="shared" si="8"/>
        <v>177.3179307</v>
      </c>
      <c r="AI22" s="65">
        <f t="shared" si="9"/>
        <v>444.3613809</v>
      </c>
      <c r="AJ22" s="986">
        <f t="shared" si="10"/>
        <v>172.4112381</v>
      </c>
      <c r="AK22" s="65"/>
      <c r="AL22" s="65">
        <f t="shared" si="11"/>
        <v>10404.91021</v>
      </c>
    </row>
    <row r="23" ht="15.75" customHeight="1">
      <c r="A23" s="1034" t="s">
        <v>5309</v>
      </c>
      <c r="B23" s="2"/>
      <c r="C23" s="841">
        <v>45375.0</v>
      </c>
      <c r="D23" s="2" t="s">
        <v>5085</v>
      </c>
      <c r="E23" s="915">
        <v>2.0169040231E10</v>
      </c>
      <c r="F23" s="2" t="s">
        <v>5310</v>
      </c>
      <c r="G23" s="916">
        <v>50.0</v>
      </c>
      <c r="H23" s="13" t="s">
        <v>4987</v>
      </c>
      <c r="I23" s="6">
        <v>5.1</v>
      </c>
      <c r="J23" s="58">
        <v>26.0</v>
      </c>
      <c r="K23" s="6">
        <f t="shared" si="1"/>
        <v>3.774</v>
      </c>
      <c r="L23" s="3">
        <v>3.569</v>
      </c>
      <c r="M23" s="3">
        <v>3.416</v>
      </c>
      <c r="N23" s="191">
        <v>3.358</v>
      </c>
      <c r="O23" s="60">
        <f t="shared" ref="O23:O24" si="15">+(M23+N23)/2</f>
        <v>3.387</v>
      </c>
      <c r="P23" s="2">
        <v>90.0</v>
      </c>
      <c r="Q23" s="69">
        <v>86.31</v>
      </c>
      <c r="R23" s="65">
        <v>2171.805</v>
      </c>
      <c r="S23" s="3">
        <v>400.0</v>
      </c>
      <c r="T23" s="2"/>
      <c r="U23" s="67">
        <v>110.0</v>
      </c>
      <c r="V23" s="67">
        <v>1.1023</v>
      </c>
      <c r="W23" s="58">
        <v>7.9</v>
      </c>
      <c r="X23" s="58">
        <v>12.06</v>
      </c>
      <c r="Y23" s="2">
        <v>26.88</v>
      </c>
      <c r="Z23" s="69">
        <f t="shared" si="12"/>
        <v>54.99</v>
      </c>
      <c r="AA23" s="70">
        <f t="shared" si="4"/>
        <v>81.87</v>
      </c>
      <c r="AB23" s="71">
        <f t="shared" si="13"/>
        <v>6396.790399</v>
      </c>
      <c r="AC23" s="71">
        <f>+(S23*V23)-'data 1'!$F$4-T23*V23</f>
        <v>360.92</v>
      </c>
      <c r="AD23" s="71">
        <f t="shared" si="5"/>
        <v>-299.3093681</v>
      </c>
      <c r="AE23" s="71">
        <f>+(AA23*V23)-Z23-'data 1'!$I$21+((W23-2)*2.5+(X23-2)*4)-((W23-3)*1.5+(X23-3)*3.1)</f>
        <v>29.22821992</v>
      </c>
      <c r="AF23" s="71">
        <f t="shared" si="6"/>
        <v>357.009605</v>
      </c>
      <c r="AG23" s="71">
        <f t="shared" si="7"/>
        <v>447.8484568</v>
      </c>
      <c r="AH23" s="1035">
        <f t="shared" si="8"/>
        <v>398.5828697</v>
      </c>
      <c r="AI23" s="65">
        <f t="shared" si="9"/>
        <v>803.7047885</v>
      </c>
      <c r="AJ23" s="986">
        <f t="shared" si="10"/>
        <v>394.428848</v>
      </c>
      <c r="AK23" s="65"/>
      <c r="AL23" s="65">
        <f t="shared" si="11"/>
        <v>24141.48697</v>
      </c>
    </row>
    <row r="24" ht="15.75" customHeight="1">
      <c r="A24" s="1034" t="s">
        <v>5311</v>
      </c>
      <c r="B24" s="2"/>
      <c r="C24" s="841">
        <v>45375.0</v>
      </c>
      <c r="D24" s="2" t="s">
        <v>5085</v>
      </c>
      <c r="E24" s="915">
        <v>2.0169040231E10</v>
      </c>
      <c r="F24" s="2" t="s">
        <v>5310</v>
      </c>
      <c r="G24" s="916">
        <v>53.0</v>
      </c>
      <c r="H24" s="13" t="s">
        <v>4987</v>
      </c>
      <c r="I24" s="6">
        <v>4.94</v>
      </c>
      <c r="J24" s="58">
        <v>28.0</v>
      </c>
      <c r="K24" s="6">
        <f t="shared" si="1"/>
        <v>3.5568</v>
      </c>
      <c r="L24" s="3">
        <v>4.297</v>
      </c>
      <c r="M24" s="3">
        <v>4.931</v>
      </c>
      <c r="N24" s="191">
        <v>5.124</v>
      </c>
      <c r="O24" s="60">
        <f t="shared" si="15"/>
        <v>5.0275</v>
      </c>
      <c r="P24" s="2">
        <v>90.0</v>
      </c>
      <c r="Q24" s="69">
        <v>86.18</v>
      </c>
      <c r="R24" s="65">
        <v>2171.805</v>
      </c>
      <c r="S24" s="3">
        <v>570.0</v>
      </c>
      <c r="T24" s="2"/>
      <c r="U24" s="67">
        <v>120.0</v>
      </c>
      <c r="V24" s="67">
        <v>1.1023</v>
      </c>
      <c r="W24" s="58">
        <v>8.3</v>
      </c>
      <c r="X24" s="58">
        <v>12.99</v>
      </c>
      <c r="Y24" s="2">
        <v>26.88</v>
      </c>
      <c r="Z24" s="69">
        <f t="shared" si="12"/>
        <v>59.71</v>
      </c>
      <c r="AA24" s="70">
        <f t="shared" si="4"/>
        <v>86.59</v>
      </c>
      <c r="AB24" s="71">
        <f t="shared" si="13"/>
        <v>9509.888965</v>
      </c>
      <c r="AC24" s="71">
        <f>+(S24*V24)-'data 1'!$F$4-T24*V24</f>
        <v>548.311</v>
      </c>
      <c r="AD24" s="71">
        <f t="shared" si="5"/>
        <v>-371.2484147</v>
      </c>
      <c r="AE24" s="71">
        <f>+(AA24*V24)-Z24-'data 1'!$I$21+((W24-2)*2.5+(X24-2)*4)-((W24-3)*1.5+(X24-3)*3.1)</f>
        <v>30.94807592</v>
      </c>
      <c r="AF24" s="71">
        <f t="shared" si="6"/>
        <v>-1423.844629</v>
      </c>
      <c r="AG24" s="71">
        <f t="shared" si="7"/>
        <v>-1215.833967</v>
      </c>
      <c r="AH24" s="1035">
        <f t="shared" si="8"/>
        <v>451.5858841</v>
      </c>
      <c r="AI24" s="65">
        <f t="shared" si="9"/>
        <v>1007.005861</v>
      </c>
      <c r="AJ24" s="986">
        <f t="shared" si="10"/>
        <v>551.7763771</v>
      </c>
      <c r="AK24" s="65"/>
      <c r="AL24" s="65">
        <f t="shared" si="11"/>
        <v>33824.77307</v>
      </c>
    </row>
    <row r="25" ht="15.75" customHeight="1">
      <c r="A25" s="1034" t="s">
        <v>5312</v>
      </c>
      <c r="B25" s="841">
        <v>45386.0</v>
      </c>
      <c r="C25" s="841">
        <v>45375.0</v>
      </c>
      <c r="D25" s="67" t="s">
        <v>5085</v>
      </c>
      <c r="E25" s="915">
        <v>2.0169040231E10</v>
      </c>
      <c r="F25" s="67" t="s">
        <v>5313</v>
      </c>
      <c r="G25" s="916">
        <v>40.0</v>
      </c>
      <c r="H25" s="13"/>
      <c r="I25" s="6">
        <v>3.5</v>
      </c>
      <c r="J25" s="58">
        <v>29.0</v>
      </c>
      <c r="K25" s="6">
        <f t="shared" si="1"/>
        <v>2.485</v>
      </c>
      <c r="L25" s="3">
        <v>0.917</v>
      </c>
      <c r="M25" s="60">
        <v>0.849</v>
      </c>
      <c r="N25" s="1113">
        <v>0.917</v>
      </c>
      <c r="O25" s="60">
        <v>0.9</v>
      </c>
      <c r="P25" s="2">
        <v>90.0</v>
      </c>
      <c r="Q25" s="69">
        <v>86.06</v>
      </c>
      <c r="R25" s="65">
        <v>2171.805</v>
      </c>
      <c r="S25" s="3">
        <v>170.0</v>
      </c>
      <c r="T25" s="2"/>
      <c r="U25" s="67">
        <v>110.0</v>
      </c>
      <c r="V25" s="67">
        <v>1.1023</v>
      </c>
      <c r="W25" s="58">
        <v>7.5</v>
      </c>
      <c r="X25" s="58">
        <v>11.1</v>
      </c>
      <c r="Y25" s="2">
        <v>26.88</v>
      </c>
      <c r="Z25" s="69">
        <f t="shared" si="12"/>
        <v>50.15</v>
      </c>
      <c r="AA25" s="70">
        <f t="shared" si="4"/>
        <v>77.03</v>
      </c>
      <c r="AB25" s="71">
        <f t="shared" si="13"/>
        <v>1568.608229</v>
      </c>
      <c r="AC25" s="71">
        <f>+(S25*V25)-'data 1'!$F$4-T25*V25</f>
        <v>107.391</v>
      </c>
      <c r="AD25" s="71">
        <f t="shared" si="5"/>
        <v>-82.1131955</v>
      </c>
      <c r="AE25" s="71">
        <f>+(AA25*V25)-Z25-'data 1'!$I$21+((W25-2)*2.5+(X25-2)*4)-((W25-3)*1.5+(X25-3)*3.1)</f>
        <v>27.46908792</v>
      </c>
      <c r="AF25" s="71">
        <f t="shared" si="6"/>
        <v>33.25046009</v>
      </c>
      <c r="AG25" s="71">
        <f t="shared" si="7"/>
        <v>85.9973525</v>
      </c>
      <c r="AH25" s="1035">
        <f t="shared" si="8"/>
        <v>67.23666126</v>
      </c>
      <c r="AI25" s="65">
        <f t="shared" si="9"/>
        <v>205.9015276</v>
      </c>
      <c r="AJ25" s="986">
        <f t="shared" si="10"/>
        <v>69.01134334</v>
      </c>
      <c r="AK25" s="65"/>
      <c r="AL25" s="65">
        <f t="shared" si="11"/>
        <v>3897.991448</v>
      </c>
    </row>
    <row r="26" ht="15.75" customHeight="1">
      <c r="A26" s="1034" t="s">
        <v>5314</v>
      </c>
      <c r="B26" s="841">
        <v>45387.0</v>
      </c>
      <c r="C26" s="841">
        <v>45375.0</v>
      </c>
      <c r="D26" s="67" t="s">
        <v>5085</v>
      </c>
      <c r="E26" s="915">
        <v>2.0169040231E10</v>
      </c>
      <c r="F26" s="67" t="s">
        <v>5313</v>
      </c>
      <c r="G26" s="916">
        <v>40.0</v>
      </c>
      <c r="H26" s="13"/>
      <c r="I26" s="6">
        <v>3.44</v>
      </c>
      <c r="J26" s="58">
        <v>33.0</v>
      </c>
      <c r="K26" s="6">
        <f t="shared" si="1"/>
        <v>2.3048</v>
      </c>
      <c r="L26" s="3">
        <v>0.631</v>
      </c>
      <c r="M26" s="3">
        <v>0.606</v>
      </c>
      <c r="N26" s="1113">
        <v>0.62</v>
      </c>
      <c r="O26" s="60">
        <v>0.62</v>
      </c>
      <c r="P26" s="2">
        <v>90.0</v>
      </c>
      <c r="Q26" s="69">
        <v>86.77</v>
      </c>
      <c r="R26" s="65">
        <v>2171.805</v>
      </c>
      <c r="S26" s="3">
        <v>140.0</v>
      </c>
      <c r="T26" s="2"/>
      <c r="U26" s="67">
        <v>110.0</v>
      </c>
      <c r="V26" s="67">
        <v>1.1023</v>
      </c>
      <c r="W26" s="58">
        <v>7.0</v>
      </c>
      <c r="X26" s="58">
        <v>10.5</v>
      </c>
      <c r="Y26" s="2">
        <v>26.88</v>
      </c>
      <c r="Z26" s="69">
        <f t="shared" si="12"/>
        <v>46.5</v>
      </c>
      <c r="AA26" s="70">
        <f t="shared" si="4"/>
        <v>73.38</v>
      </c>
      <c r="AB26" s="71">
        <f t="shared" si="13"/>
        <v>1032.973256</v>
      </c>
      <c r="AC26" s="71">
        <f>+(S26*V26)-'data 1'!$F$4-T26*V26</f>
        <v>74.322</v>
      </c>
      <c r="AD26" s="71">
        <f t="shared" si="5"/>
        <v>-46.32114408</v>
      </c>
      <c r="AE26" s="71">
        <f>+(AA26*V26)-Z26-'data 1'!$I$21+((W26-2)*2.5+(X26-2)*4)-((W26-3)*1.5+(X26-3)*3.1)</f>
        <v>26.05569292</v>
      </c>
      <c r="AF26" s="71">
        <f t="shared" si="6"/>
        <v>21.69250362</v>
      </c>
      <c r="AG26" s="71">
        <f t="shared" si="7"/>
        <v>75.74905245</v>
      </c>
      <c r="AH26" s="1035">
        <f t="shared" si="8"/>
        <v>43.26545459</v>
      </c>
      <c r="AI26" s="65">
        <f t="shared" si="9"/>
        <v>142.8525009</v>
      </c>
      <c r="AJ26" s="986">
        <f t="shared" si="10"/>
        <v>44.09369701</v>
      </c>
      <c r="AK26" s="65"/>
      <c r="AL26" s="65">
        <f t="shared" si="11"/>
        <v>2380.796759</v>
      </c>
    </row>
    <row r="27" ht="15.75" customHeight="1">
      <c r="A27" s="1034" t="s">
        <v>5315</v>
      </c>
      <c r="B27" s="2"/>
      <c r="C27" s="841">
        <v>45375.0</v>
      </c>
      <c r="D27" s="67" t="s">
        <v>5085</v>
      </c>
      <c r="E27" s="915">
        <v>2.0169040231E10</v>
      </c>
      <c r="F27" s="67" t="s">
        <v>5316</v>
      </c>
      <c r="G27" s="916">
        <v>60.0</v>
      </c>
      <c r="H27" s="13"/>
      <c r="I27" s="6">
        <v>5.2</v>
      </c>
      <c r="J27" s="58">
        <v>1.6</v>
      </c>
      <c r="K27" s="6">
        <f t="shared" si="1"/>
        <v>5.1168</v>
      </c>
      <c r="L27" s="3">
        <v>0.182</v>
      </c>
      <c r="M27" s="3">
        <v>0.175</v>
      </c>
      <c r="N27" s="1112">
        <v>0.175</v>
      </c>
      <c r="O27" s="60">
        <f t="shared" ref="O27:O39" si="16">+(M27+N27)/2</f>
        <v>0.175</v>
      </c>
      <c r="P27" s="2">
        <v>90.0</v>
      </c>
      <c r="Q27" s="69">
        <v>89.39</v>
      </c>
      <c r="R27" s="65">
        <v>2171.805</v>
      </c>
      <c r="S27" s="3">
        <v>95.0</v>
      </c>
      <c r="T27" s="2"/>
      <c r="U27" s="67">
        <v>110.0</v>
      </c>
      <c r="V27" s="67">
        <v>1.1023</v>
      </c>
      <c r="W27" s="58">
        <v>6.9</v>
      </c>
      <c r="X27" s="58">
        <v>9.15</v>
      </c>
      <c r="Y27" s="2">
        <v>24.37</v>
      </c>
      <c r="Z27" s="69">
        <f t="shared" si="12"/>
        <v>40.85</v>
      </c>
      <c r="AA27" s="70">
        <f t="shared" si="4"/>
        <v>65.22</v>
      </c>
      <c r="AB27" s="71">
        <f t="shared" si="13"/>
        <v>181.3440991</v>
      </c>
      <c r="AC27" s="71">
        <f>+(S27*V27)-'data 1'!$F$4-T27*V27</f>
        <v>24.7185</v>
      </c>
      <c r="AD27" s="71">
        <f t="shared" si="5"/>
        <v>-2.523182239</v>
      </c>
      <c r="AE27" s="71">
        <f>+(AA27*V27)-Z27-'data 1'!$I$21+((W27-2)*2.5+(X27-2)*4)-((W27-3)*1.5+(X27-3)*3.1)</f>
        <v>21.39592492</v>
      </c>
      <c r="AF27" s="71">
        <f t="shared" si="6"/>
        <v>14.22113873</v>
      </c>
      <c r="AG27" s="71">
        <f t="shared" si="7"/>
        <v>57.81238141</v>
      </c>
      <c r="AH27" s="1035">
        <f t="shared" si="8"/>
        <v>28.54091135</v>
      </c>
      <c r="AI27" s="65">
        <f t="shared" si="9"/>
        <v>42.44721652</v>
      </c>
      <c r="AJ27" s="986">
        <f t="shared" si="10"/>
        <v>27.63045709</v>
      </c>
      <c r="AK27" s="65"/>
      <c r="AL27" s="65">
        <f t="shared" si="11"/>
        <v>927.9014863</v>
      </c>
    </row>
    <row r="28" ht="15.75" customHeight="1">
      <c r="A28" s="1034" t="s">
        <v>5317</v>
      </c>
      <c r="B28" s="577"/>
      <c r="C28" s="1018">
        <v>45375.0</v>
      </c>
      <c r="D28" s="1019" t="s">
        <v>5085</v>
      </c>
      <c r="E28" s="1020">
        <v>2.0169040231E10</v>
      </c>
      <c r="F28" s="1019" t="s">
        <v>5316</v>
      </c>
      <c r="G28" s="1021">
        <v>56.0</v>
      </c>
      <c r="H28" s="601"/>
      <c r="I28" s="1022">
        <v>4.95</v>
      </c>
      <c r="J28" s="1023">
        <v>1.7</v>
      </c>
      <c r="K28" s="1022">
        <f t="shared" si="1"/>
        <v>4.86585</v>
      </c>
      <c r="L28" s="578">
        <v>0.173</v>
      </c>
      <c r="M28" s="578">
        <v>0.166</v>
      </c>
      <c r="N28" s="1114">
        <v>0.166</v>
      </c>
      <c r="O28" s="1025">
        <f t="shared" si="16"/>
        <v>0.166</v>
      </c>
      <c r="P28" s="577">
        <v>90.0</v>
      </c>
      <c r="Q28" s="1027">
        <v>89.43</v>
      </c>
      <c r="R28" s="1028">
        <v>2171.805</v>
      </c>
      <c r="S28" s="578">
        <v>95.0</v>
      </c>
      <c r="T28" s="577"/>
      <c r="U28" s="1019">
        <v>110.0</v>
      </c>
      <c r="V28" s="1019">
        <v>1.1023</v>
      </c>
      <c r="W28" s="1023">
        <v>6.9</v>
      </c>
      <c r="X28" s="1023">
        <v>9.15</v>
      </c>
      <c r="Y28" s="2">
        <v>24.37</v>
      </c>
      <c r="Z28" s="1027">
        <f t="shared" si="12"/>
        <v>40.85</v>
      </c>
      <c r="AA28" s="1029">
        <f t="shared" si="4"/>
        <v>65.22</v>
      </c>
      <c r="AB28" s="1030">
        <f t="shared" si="13"/>
        <v>162.9350051</v>
      </c>
      <c r="AC28" s="1030">
        <f>+(S28*V28)-'data 1'!$F$4-T28*V28</f>
        <v>24.7185</v>
      </c>
      <c r="AD28" s="1030">
        <f t="shared" si="5"/>
        <v>-2.241136737</v>
      </c>
      <c r="AE28" s="1030">
        <f>+(AA28*V28)-Z28-'data 1'!$I$21+((W28-2)*2.5+(X28-2)*4)-((W28-3)*1.5+(X28-3)*3.1)</f>
        <v>21.39592492</v>
      </c>
      <c r="AF28" s="1030">
        <f t="shared" si="6"/>
        <v>14.22750237</v>
      </c>
      <c r="AG28" s="1030">
        <f t="shared" si="7"/>
        <v>58.10079055</v>
      </c>
      <c r="AH28" s="1031">
        <f t="shared" si="8"/>
        <v>25.81054173</v>
      </c>
      <c r="AI28" s="65">
        <f t="shared" si="9"/>
        <v>40.36623323</v>
      </c>
      <c r="AJ28" s="986">
        <f t="shared" si="10"/>
        <v>24.92403678</v>
      </c>
      <c r="AK28" s="65"/>
      <c r="AL28" s="65">
        <f t="shared" si="11"/>
        <v>792.8172947</v>
      </c>
    </row>
    <row r="29" ht="15.75" customHeight="1">
      <c r="A29" s="1001" t="s">
        <v>5318</v>
      </c>
      <c r="B29" s="562"/>
      <c r="C29" s="1002">
        <v>45378.0</v>
      </c>
      <c r="D29" s="562" t="s">
        <v>5085</v>
      </c>
      <c r="E29" s="1004">
        <v>2.0169040231E10</v>
      </c>
      <c r="F29" s="1003" t="s">
        <v>5319</v>
      </c>
      <c r="G29" s="1006">
        <v>22.0</v>
      </c>
      <c r="H29" s="1006" t="s">
        <v>5002</v>
      </c>
      <c r="I29" s="1007">
        <v>1.87</v>
      </c>
      <c r="J29" s="1008">
        <v>2.0</v>
      </c>
      <c r="K29" s="1007">
        <f t="shared" si="1"/>
        <v>1.8326</v>
      </c>
      <c r="L29" s="1009">
        <v>0.266</v>
      </c>
      <c r="M29" s="563">
        <v>0.255</v>
      </c>
      <c r="N29" s="1115">
        <v>0.255</v>
      </c>
      <c r="O29" s="1010">
        <f t="shared" si="16"/>
        <v>0.255</v>
      </c>
      <c r="P29" s="562">
        <v>90.0</v>
      </c>
      <c r="Q29" s="1003">
        <v>89.27</v>
      </c>
      <c r="R29" s="1013">
        <v>2173.48</v>
      </c>
      <c r="S29" s="563">
        <v>95.0</v>
      </c>
      <c r="T29" s="562"/>
      <c r="U29" s="1003">
        <v>110.0</v>
      </c>
      <c r="V29" s="1003">
        <v>1.1023</v>
      </c>
      <c r="W29" s="562">
        <v>6.8</v>
      </c>
      <c r="X29" s="562">
        <v>5.5</v>
      </c>
      <c r="Y29" s="562">
        <v>26.39</v>
      </c>
      <c r="Z29" s="1012">
        <f>IF(D29="UNTUCA",IF(+((W29-2)*2.5+(X29-2)*4)&gt;0,+((W29-2)*2.5+(X29-2)*4),0),IF(+((W29-3)*1.5+(X29-3)*3.1)&gt;0,+((W29-3)*1.5+(X29-3)*3.1),0))+3</f>
        <v>29</v>
      </c>
      <c r="AA29" s="1014">
        <f t="shared" si="4"/>
        <v>55.39</v>
      </c>
      <c r="AB29" s="1015">
        <f t="shared" si="13"/>
        <v>356.2398369</v>
      </c>
      <c r="AC29" s="1015">
        <f>+(S29*V29)-'data 1'!$F$4-T29*V29</f>
        <v>24.7185</v>
      </c>
      <c r="AD29" s="1015">
        <f t="shared" si="5"/>
        <v>-4.416767801</v>
      </c>
      <c r="AE29" s="1015">
        <f>+(AA29*V29)-Z29-'data 1'!$I$21+((W29-2)*2.5+(X29-2)*4)-((W29-3)*1.5+(X29-3)*3.1)</f>
        <v>19.02531592</v>
      </c>
      <c r="AF29" s="1015">
        <f t="shared" si="6"/>
        <v>22.33563435</v>
      </c>
      <c r="AG29" s="1015">
        <f t="shared" si="7"/>
        <v>61.66268247</v>
      </c>
      <c r="AH29" s="1016">
        <f t="shared" si="8"/>
        <v>14.91983166</v>
      </c>
      <c r="AI29" s="65">
        <f t="shared" si="9"/>
        <v>61.51652586</v>
      </c>
      <c r="AJ29" s="986">
        <f t="shared" si="10"/>
        <v>14.41980679</v>
      </c>
      <c r="AK29" s="65"/>
      <c r="AL29" s="65">
        <f t="shared" si="11"/>
        <v>652.8451251</v>
      </c>
    </row>
    <row r="30" ht="15.75" customHeight="1">
      <c r="A30" s="1034" t="s">
        <v>5320</v>
      </c>
      <c r="B30" s="2"/>
      <c r="C30" s="841">
        <v>45378.0</v>
      </c>
      <c r="D30" s="2" t="s">
        <v>5085</v>
      </c>
      <c r="E30" s="915">
        <v>2.0169040231E10</v>
      </c>
      <c r="F30" s="67" t="s">
        <v>5319</v>
      </c>
      <c r="G30" s="13">
        <v>32.0</v>
      </c>
      <c r="H30" s="13" t="s">
        <v>4987</v>
      </c>
      <c r="I30" s="6">
        <v>2.86</v>
      </c>
      <c r="J30" s="58">
        <v>27.5</v>
      </c>
      <c r="K30" s="6">
        <f t="shared" si="1"/>
        <v>2.0735</v>
      </c>
      <c r="L30" s="139">
        <v>0.442</v>
      </c>
      <c r="M30" s="3">
        <v>0.424</v>
      </c>
      <c r="N30" s="523">
        <v>0.424</v>
      </c>
      <c r="O30" s="60">
        <f t="shared" si="16"/>
        <v>0.424</v>
      </c>
      <c r="P30" s="2">
        <v>90.0</v>
      </c>
      <c r="Q30" s="67">
        <v>89.58</v>
      </c>
      <c r="R30" s="65">
        <v>2173.48</v>
      </c>
      <c r="S30" s="3">
        <v>120.0</v>
      </c>
      <c r="T30" s="2"/>
      <c r="U30" s="67">
        <v>110.0</v>
      </c>
      <c r="V30" s="67">
        <v>1.1023</v>
      </c>
      <c r="W30" s="2">
        <v>6.9</v>
      </c>
      <c r="X30" s="58">
        <v>4.0</v>
      </c>
      <c r="Y30" s="2">
        <v>26.39</v>
      </c>
      <c r="Z30" s="69">
        <f>IF(D30="UNTUCA",IF(+((W30-2)*2.5+(X30-2)*4)&gt;0,+((W30-2)*2.5+(X30-2)*4),0),IF(+((W30-3)*1.5+(X30-3)*3.1)&gt;0,+((W30-3)*1.5+(X30-3)*3.1),0))+6</f>
        <v>26.25</v>
      </c>
      <c r="AA30" s="70">
        <f t="shared" si="4"/>
        <v>52.64</v>
      </c>
      <c r="AB30" s="71">
        <f t="shared" si="13"/>
        <v>677.6763679</v>
      </c>
      <c r="AC30" s="71">
        <f>+(S30*V30)-'data 1'!$F$4-T30*V30</f>
        <v>52.276</v>
      </c>
      <c r="AD30" s="71">
        <f t="shared" si="5"/>
        <v>-4.222519181</v>
      </c>
      <c r="AE30" s="71">
        <f>+(AA30*V30)-Z30-'data 1'!$I$21+((W30-2)*2.5+(X30-2)*4)-((W30-3)*1.5+(X30-3)*3.1)</f>
        <v>17.49399092</v>
      </c>
      <c r="AF30" s="71">
        <f t="shared" si="6"/>
        <v>36.67614107</v>
      </c>
      <c r="AG30" s="71">
        <f t="shared" si="7"/>
        <v>102.2236128</v>
      </c>
      <c r="AH30" s="1035">
        <f t="shared" si="8"/>
        <v>28.14792832</v>
      </c>
      <c r="AI30" s="65">
        <f t="shared" si="9"/>
        <v>102.5741571</v>
      </c>
      <c r="AJ30" s="986">
        <f t="shared" si="10"/>
        <v>27.12823101</v>
      </c>
      <c r="AK30" s="65"/>
      <c r="AL30" s="65">
        <f t="shared" si="11"/>
        <v>1405.161949</v>
      </c>
    </row>
    <row r="31" ht="15.75" customHeight="1">
      <c r="A31" s="1034" t="s">
        <v>5321</v>
      </c>
      <c r="B31" s="2"/>
      <c r="C31" s="841">
        <v>45378.0</v>
      </c>
      <c r="D31" s="2" t="s">
        <v>5085</v>
      </c>
      <c r="E31" s="915">
        <v>2.0169040231E10</v>
      </c>
      <c r="F31" s="67" t="s">
        <v>5285</v>
      </c>
      <c r="G31" s="13">
        <v>113.0</v>
      </c>
      <c r="H31" s="13" t="s">
        <v>5002</v>
      </c>
      <c r="I31" s="6">
        <v>9.47</v>
      </c>
      <c r="J31" s="58">
        <v>3.3</v>
      </c>
      <c r="K31" s="6">
        <f t="shared" si="1"/>
        <v>9.15749</v>
      </c>
      <c r="L31" s="139">
        <v>0.2</v>
      </c>
      <c r="M31" s="3">
        <v>0.192</v>
      </c>
      <c r="N31" s="523">
        <v>0.192</v>
      </c>
      <c r="O31" s="60">
        <f t="shared" si="16"/>
        <v>0.192</v>
      </c>
      <c r="P31" s="2">
        <v>90.0</v>
      </c>
      <c r="Q31" s="67">
        <v>89.51</v>
      </c>
      <c r="R31" s="65">
        <v>2173.48</v>
      </c>
      <c r="S31" s="3">
        <v>95.0</v>
      </c>
      <c r="T31" s="2"/>
      <c r="U31" s="67">
        <v>110.0</v>
      </c>
      <c r="V31" s="67">
        <v>1.1023</v>
      </c>
      <c r="W31" s="58">
        <v>6.9</v>
      </c>
      <c r="X31" s="58">
        <v>4.0</v>
      </c>
      <c r="Y31" s="2">
        <v>26.39</v>
      </c>
      <c r="Z31" s="69">
        <f t="shared" ref="Z31:Z34" si="17">IF(D31="UNTUCA",IF(+((W31-2)*2.5+(X31-2)*4)&gt;0,+((W31-2)*2.5+(X31-2)*4),0),IF(+((W31-3)*1.5+(X31-3)*3.1)&gt;0,+((W31-3)*1.5+(X31-3)*3.1),0))+7.9</f>
        <v>28.15</v>
      </c>
      <c r="AA31" s="70">
        <f t="shared" si="4"/>
        <v>54.54</v>
      </c>
      <c r="AB31" s="71">
        <f t="shared" si="13"/>
        <v>228.2084459</v>
      </c>
      <c r="AC31" s="71">
        <f>+(S31*V31)-'data 1'!$F$4-T31*V31</f>
        <v>24.7185</v>
      </c>
      <c r="AD31" s="71">
        <f t="shared" si="5"/>
        <v>-2.229082524</v>
      </c>
      <c r="AE31" s="71">
        <f>+(AA31*V31)-Z31-'data 1'!$I$21+((W31-2)*2.5+(X31-2)*4)-((W31-3)*1.5+(X31-3)*3.1)</f>
        <v>17.68836092</v>
      </c>
      <c r="AF31" s="71">
        <f t="shared" si="6"/>
        <v>16.28776953</v>
      </c>
      <c r="AG31" s="71">
        <f t="shared" si="7"/>
        <v>56.46554792</v>
      </c>
      <c r="AH31" s="1035">
        <f t="shared" si="8"/>
        <v>56.20656894</v>
      </c>
      <c r="AI31" s="65">
        <f t="shared" si="9"/>
        <v>46.37737698</v>
      </c>
      <c r="AJ31" s="986">
        <f t="shared" si="10"/>
        <v>54.25368737</v>
      </c>
      <c r="AK31" s="65"/>
      <c r="AL31" s="65">
        <f t="shared" si="11"/>
        <v>2089.816561</v>
      </c>
    </row>
    <row r="32" ht="15.75" customHeight="1">
      <c r="A32" s="1034" t="s">
        <v>5322</v>
      </c>
      <c r="B32" s="2"/>
      <c r="C32" s="841">
        <v>45378.0</v>
      </c>
      <c r="D32" s="2" t="s">
        <v>5085</v>
      </c>
      <c r="E32" s="915">
        <v>2.0169040231E10</v>
      </c>
      <c r="F32" s="67" t="s">
        <v>5285</v>
      </c>
      <c r="G32" s="13">
        <v>112.0</v>
      </c>
      <c r="H32" s="13" t="s">
        <v>5002</v>
      </c>
      <c r="I32" s="6">
        <v>9.66</v>
      </c>
      <c r="J32" s="58">
        <v>3.0</v>
      </c>
      <c r="K32" s="6">
        <f t="shared" si="1"/>
        <v>9.3702</v>
      </c>
      <c r="L32" s="139">
        <v>0.277</v>
      </c>
      <c r="M32" s="3">
        <v>0.266</v>
      </c>
      <c r="N32" s="523">
        <v>0.266</v>
      </c>
      <c r="O32" s="60">
        <f t="shared" si="16"/>
        <v>0.266</v>
      </c>
      <c r="P32" s="2">
        <v>90.0</v>
      </c>
      <c r="Q32" s="67">
        <v>89.43</v>
      </c>
      <c r="R32" s="65">
        <v>2173.48</v>
      </c>
      <c r="S32" s="3">
        <v>95.0</v>
      </c>
      <c r="T32" s="2"/>
      <c r="U32" s="67">
        <v>110.0</v>
      </c>
      <c r="V32" s="67">
        <v>1.1023</v>
      </c>
      <c r="W32" s="58">
        <v>6.8</v>
      </c>
      <c r="X32" s="58">
        <v>4.0</v>
      </c>
      <c r="Y32" s="2">
        <v>26.39</v>
      </c>
      <c r="Z32" s="69">
        <f t="shared" si="17"/>
        <v>27.9</v>
      </c>
      <c r="AA32" s="70">
        <f t="shared" si="4"/>
        <v>54.29</v>
      </c>
      <c r="AB32" s="71">
        <f t="shared" si="13"/>
        <v>379.9706496</v>
      </c>
      <c r="AC32" s="71">
        <f>+(S32*V32)-'data 1'!$F$4-T32*V32</f>
        <v>24.7185</v>
      </c>
      <c r="AD32" s="71">
        <f t="shared" si="5"/>
        <v>-3.591324895</v>
      </c>
      <c r="AE32" s="71">
        <f>+(AA32*V32)-Z32-'data 1'!$I$21+((W32-2)*2.5+(X32-2)*4)-((W32-3)*1.5+(X32-3)*3.1)</f>
        <v>17.56278592</v>
      </c>
      <c r="AF32" s="71">
        <f t="shared" si="6"/>
        <v>22.37566685</v>
      </c>
      <c r="AG32" s="71">
        <f t="shared" si="7"/>
        <v>61.06562787</v>
      </c>
      <c r="AH32" s="1035">
        <f t="shared" si="8"/>
        <v>79.58311421</v>
      </c>
      <c r="AI32" s="65">
        <f t="shared" si="9"/>
        <v>64.17525886</v>
      </c>
      <c r="AJ32" s="986">
        <f t="shared" si="10"/>
        <v>76.90986978</v>
      </c>
      <c r="AK32" s="65"/>
      <c r="AL32" s="65">
        <f t="shared" si="11"/>
        <v>3560.40098</v>
      </c>
    </row>
    <row r="33" ht="15.75" customHeight="1">
      <c r="A33" s="1034" t="s">
        <v>5323</v>
      </c>
      <c r="B33" s="2"/>
      <c r="C33" s="841">
        <v>45378.0</v>
      </c>
      <c r="D33" s="2" t="s">
        <v>5085</v>
      </c>
      <c r="E33" s="915">
        <v>2.0169040231E10</v>
      </c>
      <c r="F33" s="67" t="s">
        <v>5285</v>
      </c>
      <c r="G33" s="13">
        <v>113.0</v>
      </c>
      <c r="H33" s="13" t="s">
        <v>5002</v>
      </c>
      <c r="I33" s="6">
        <v>9.96</v>
      </c>
      <c r="J33" s="58">
        <v>3.2</v>
      </c>
      <c r="K33" s="6">
        <f t="shared" si="1"/>
        <v>9.64128</v>
      </c>
      <c r="L33" s="139">
        <v>0.276</v>
      </c>
      <c r="M33" s="3">
        <v>0.265</v>
      </c>
      <c r="N33" s="523">
        <v>0.265</v>
      </c>
      <c r="O33" s="60">
        <f t="shared" si="16"/>
        <v>0.265</v>
      </c>
      <c r="P33" s="2">
        <v>90.0</v>
      </c>
      <c r="Q33" s="67">
        <v>89.12</v>
      </c>
      <c r="R33" s="65">
        <v>2173.48</v>
      </c>
      <c r="S33" s="3">
        <v>95.0</v>
      </c>
      <c r="T33" s="2"/>
      <c r="U33" s="67">
        <v>110.0</v>
      </c>
      <c r="V33" s="67">
        <v>1.1023</v>
      </c>
      <c r="W33" s="58">
        <v>6.8</v>
      </c>
      <c r="X33" s="58">
        <v>4.0</v>
      </c>
      <c r="Y33" s="2">
        <v>26.39</v>
      </c>
      <c r="Z33" s="69">
        <f t="shared" si="17"/>
        <v>27.9</v>
      </c>
      <c r="AA33" s="70">
        <f t="shared" si="4"/>
        <v>54.29</v>
      </c>
      <c r="AB33" s="71">
        <f t="shared" si="13"/>
        <v>377.923533</v>
      </c>
      <c r="AC33" s="71">
        <f>+(S33*V33)-'data 1'!$F$4-T33*V33</f>
        <v>24.7185</v>
      </c>
      <c r="AD33" s="71">
        <f t="shared" si="5"/>
        <v>-5.524485341</v>
      </c>
      <c r="AE33" s="71">
        <f>+(AA33*V33)-Z33-'data 1'!$I$21+((W33-2)*2.5+(X33-2)*4)-((W33-3)*1.5+(X33-3)*3.1)</f>
        <v>17.56278592</v>
      </c>
      <c r="AF33" s="71">
        <f t="shared" si="6"/>
        <v>22.29810388</v>
      </c>
      <c r="AG33" s="71">
        <f t="shared" si="7"/>
        <v>59.05490445</v>
      </c>
      <c r="AH33" s="1035">
        <f t="shared" si="8"/>
        <v>81.30701644</v>
      </c>
      <c r="AI33" s="65">
        <f t="shared" si="9"/>
        <v>63.72192531</v>
      </c>
      <c r="AJ33" s="986">
        <f t="shared" si="10"/>
        <v>78.83737372</v>
      </c>
      <c r="AK33" s="65"/>
      <c r="AL33" s="65">
        <f t="shared" si="11"/>
        <v>3643.6666</v>
      </c>
    </row>
    <row r="34" ht="15.75" customHeight="1">
      <c r="A34" s="1034" t="s">
        <v>5324</v>
      </c>
      <c r="B34" s="2"/>
      <c r="C34" s="841">
        <v>45378.0</v>
      </c>
      <c r="D34" s="2" t="s">
        <v>5085</v>
      </c>
      <c r="E34" s="915">
        <v>2.0169040231E10</v>
      </c>
      <c r="F34" s="67" t="s">
        <v>5285</v>
      </c>
      <c r="G34" s="13">
        <v>112.0</v>
      </c>
      <c r="H34" s="13" t="s">
        <v>5002</v>
      </c>
      <c r="I34" s="6">
        <v>10.44</v>
      </c>
      <c r="J34" s="58">
        <v>3.75</v>
      </c>
      <c r="K34" s="6">
        <f t="shared" si="1"/>
        <v>10.0485</v>
      </c>
      <c r="L34" s="139">
        <v>0.305</v>
      </c>
      <c r="M34" s="3">
        <v>0.293</v>
      </c>
      <c r="N34" s="523">
        <v>0.293</v>
      </c>
      <c r="O34" s="60">
        <f t="shared" si="16"/>
        <v>0.293</v>
      </c>
      <c r="P34" s="2">
        <v>90.0</v>
      </c>
      <c r="Q34" s="67">
        <v>89.48</v>
      </c>
      <c r="R34" s="65">
        <v>2173.48</v>
      </c>
      <c r="S34" s="3">
        <v>95.0</v>
      </c>
      <c r="T34" s="2"/>
      <c r="U34" s="67">
        <v>110.0</v>
      </c>
      <c r="V34" s="67">
        <v>1.1023</v>
      </c>
      <c r="W34" s="58">
        <v>6.9</v>
      </c>
      <c r="X34" s="58">
        <v>5.0</v>
      </c>
      <c r="Y34" s="2">
        <v>26.39</v>
      </c>
      <c r="Z34" s="69">
        <f t="shared" si="17"/>
        <v>32.15</v>
      </c>
      <c r="AA34" s="70">
        <f t="shared" si="4"/>
        <v>58.54</v>
      </c>
      <c r="AB34" s="71">
        <f t="shared" si="13"/>
        <v>430.5580229</v>
      </c>
      <c r="AC34" s="71">
        <f>+(S34*V34)-'data 1'!$F$4-T34*V34</f>
        <v>24.7185</v>
      </c>
      <c r="AD34" s="71">
        <f t="shared" si="5"/>
        <v>-3.60747437</v>
      </c>
      <c r="AE34" s="71">
        <f>+(AA34*V34)-Z34-'data 1'!$I$21+((W34-2)*2.5+(X34-2)*4)-((W34-3)*1.5+(X34-3)*3.1)</f>
        <v>18.99756092</v>
      </c>
      <c r="AF34" s="71">
        <f t="shared" si="6"/>
        <v>24.42346583</v>
      </c>
      <c r="AG34" s="71">
        <f t="shared" si="7"/>
        <v>64.53205237</v>
      </c>
      <c r="AH34" s="1035">
        <f t="shared" si="8"/>
        <v>94.02343662</v>
      </c>
      <c r="AI34" s="65">
        <f t="shared" si="9"/>
        <v>70.70179568</v>
      </c>
      <c r="AJ34" s="986">
        <f t="shared" si="10"/>
        <v>90.84905954</v>
      </c>
      <c r="AK34" s="65"/>
      <c r="AL34" s="65">
        <f t="shared" si="11"/>
        <v>4326.462293</v>
      </c>
    </row>
    <row r="35" ht="15.75" customHeight="1">
      <c r="A35" s="1001" t="s">
        <v>5325</v>
      </c>
      <c r="B35" s="562"/>
      <c r="C35" s="1002">
        <v>45379.0</v>
      </c>
      <c r="D35" s="562" t="s">
        <v>5085</v>
      </c>
      <c r="E35" s="1004">
        <v>2.0169040231E10</v>
      </c>
      <c r="F35" s="1003" t="s">
        <v>5326</v>
      </c>
      <c r="G35" s="1006">
        <v>100.0</v>
      </c>
      <c r="H35" s="1006" t="s">
        <v>5002</v>
      </c>
      <c r="I35" s="1007">
        <v>9.04</v>
      </c>
      <c r="J35" s="1008">
        <v>1.4</v>
      </c>
      <c r="K35" s="1007">
        <f t="shared" si="1"/>
        <v>8.91344</v>
      </c>
      <c r="L35" s="1009">
        <v>0.774</v>
      </c>
      <c r="M35" s="563">
        <v>0.743</v>
      </c>
      <c r="N35" s="1115">
        <v>0.743</v>
      </c>
      <c r="O35" s="1010">
        <f t="shared" si="16"/>
        <v>0.743</v>
      </c>
      <c r="P35" s="562">
        <v>90.0</v>
      </c>
      <c r="Q35" s="1003">
        <v>90.94</v>
      </c>
      <c r="R35" s="1013">
        <v>2194.86</v>
      </c>
      <c r="S35" s="563">
        <v>150.0</v>
      </c>
      <c r="T35" s="562"/>
      <c r="U35" s="1003">
        <v>120.0</v>
      </c>
      <c r="V35" s="1003">
        <v>1.1023</v>
      </c>
      <c r="W35" s="1008">
        <v>6.9</v>
      </c>
      <c r="X35" s="1008">
        <v>9.95</v>
      </c>
      <c r="Y35" s="562">
        <v>26.83</v>
      </c>
      <c r="Z35" s="1012">
        <f t="shared" ref="Z35:Z48" si="18">IF(D35="UNTUCA",IF(+((W35-2)*2.5+(X35-2)*4)&gt;0,+((W35-2)*2.5+(X35-2)*4),0),IF(+((W35-3)*1.5+(X35-3)*3.1)&gt;0,+((W35-3)*1.5+(X35-3)*3.1),0))</f>
        <v>44.05</v>
      </c>
      <c r="AA35" s="1014">
        <f t="shared" si="4"/>
        <v>70.88</v>
      </c>
      <c r="AB35" s="1015">
        <f t="shared" si="13"/>
        <v>1285.919902</v>
      </c>
      <c r="AC35" s="1015">
        <f>+(S35*V35)-'data 1'!$F$4-T35*V35</f>
        <v>85.345</v>
      </c>
      <c r="AD35" s="1015">
        <f t="shared" si="5"/>
        <v>16.64015702</v>
      </c>
      <c r="AE35" s="1015">
        <f>+(AA35*V35)-Z35-'data 1'!$I$21+((W35-2)*2.5+(X35-2)*4)-((W35-3)*1.5+(X35-3)*3.1)</f>
        <v>25.15494292</v>
      </c>
      <c r="AF35" s="1015">
        <f t="shared" si="6"/>
        <v>64.4770634</v>
      </c>
      <c r="AG35" s="1015">
        <f t="shared" si="7"/>
        <v>191.6171633</v>
      </c>
      <c r="AH35" s="1016">
        <f t="shared" si="8"/>
        <v>215.1049107</v>
      </c>
      <c r="AI35" s="65">
        <f t="shared" si="9"/>
        <v>173.518267</v>
      </c>
      <c r="AJ35" s="986">
        <f t="shared" si="10"/>
        <v>204.355221</v>
      </c>
      <c r="AK35" s="65"/>
      <c r="AL35" s="65">
        <f t="shared" si="11"/>
        <v>11461.96989</v>
      </c>
    </row>
    <row r="36" ht="15.75" customHeight="1">
      <c r="A36" s="1034" t="s">
        <v>5327</v>
      </c>
      <c r="B36" s="2"/>
      <c r="C36" s="841">
        <v>45379.0</v>
      </c>
      <c r="D36" s="67" t="s">
        <v>5085</v>
      </c>
      <c r="E36" s="915">
        <v>2.0169040231E10</v>
      </c>
      <c r="F36" s="67" t="s">
        <v>5235</v>
      </c>
      <c r="G36" s="916">
        <v>37.0</v>
      </c>
      <c r="H36" s="13" t="s">
        <v>5002</v>
      </c>
      <c r="I36" s="6">
        <v>3.22</v>
      </c>
      <c r="J36" s="58">
        <v>1.35</v>
      </c>
      <c r="K36" s="6">
        <f t="shared" si="1"/>
        <v>3.17653</v>
      </c>
      <c r="L36" s="139">
        <v>0.385</v>
      </c>
      <c r="M36" s="60">
        <v>0.37</v>
      </c>
      <c r="N36" s="523">
        <v>0.37</v>
      </c>
      <c r="O36" s="60">
        <f t="shared" si="16"/>
        <v>0.37</v>
      </c>
      <c r="P36" s="2">
        <v>90.0</v>
      </c>
      <c r="Q36" s="67">
        <v>91.95</v>
      </c>
      <c r="R36" s="65">
        <v>2194.86</v>
      </c>
      <c r="S36" s="3">
        <v>110.0</v>
      </c>
      <c r="T36" s="2"/>
      <c r="U36" s="67">
        <v>120.0</v>
      </c>
      <c r="V36" s="67">
        <v>1.1023</v>
      </c>
      <c r="W36" s="58">
        <v>6.7</v>
      </c>
      <c r="X36" s="58">
        <v>8.5</v>
      </c>
      <c r="Y36" s="2">
        <v>26.83</v>
      </c>
      <c r="Z36" s="69">
        <f t="shared" si="18"/>
        <v>37.75</v>
      </c>
      <c r="AA36" s="70">
        <f t="shared" si="4"/>
        <v>64.58</v>
      </c>
      <c r="AB36" s="71">
        <f t="shared" si="13"/>
        <v>569.1708193</v>
      </c>
      <c r="AC36" s="71">
        <f>+(S36*V36)-'data 1'!$F$4-T36*V36</f>
        <v>41.253</v>
      </c>
      <c r="AD36" s="71">
        <f t="shared" si="5"/>
        <v>17.17053972</v>
      </c>
      <c r="AE36" s="71">
        <f>+(AA36*V36)-Z36-'data 1'!$I$21+((W36-2)*2.5+(X36-2)*4)-((W36-3)*1.5+(X36-3)*3.1)</f>
        <v>23.00545292</v>
      </c>
      <c r="AF36" s="71">
        <f t="shared" si="6"/>
        <v>31.54507747</v>
      </c>
      <c r="AG36" s="71">
        <f t="shared" si="7"/>
        <v>112.9740701</v>
      </c>
      <c r="AH36" s="1035">
        <f t="shared" si="8"/>
        <v>38.55444836</v>
      </c>
      <c r="AI36" s="65">
        <f t="shared" si="9"/>
        <v>87.26935258</v>
      </c>
      <c r="AJ36" s="986">
        <f t="shared" si="10"/>
        <v>36.26655171</v>
      </c>
      <c r="AK36" s="65"/>
      <c r="AL36" s="65">
        <f t="shared" si="11"/>
        <v>1807.988183</v>
      </c>
    </row>
    <row r="37" ht="15.75" customHeight="1">
      <c r="A37" s="1034" t="s">
        <v>5328</v>
      </c>
      <c r="B37" s="2"/>
      <c r="C37" s="841">
        <v>45379.0</v>
      </c>
      <c r="D37" s="67" t="s">
        <v>5085</v>
      </c>
      <c r="E37" s="915">
        <v>2.0169040231E10</v>
      </c>
      <c r="F37" s="67" t="s">
        <v>5235</v>
      </c>
      <c r="G37" s="916">
        <v>67.0</v>
      </c>
      <c r="H37" s="13" t="s">
        <v>5002</v>
      </c>
      <c r="I37" s="6">
        <v>6.12</v>
      </c>
      <c r="J37" s="58">
        <v>3.0</v>
      </c>
      <c r="K37" s="6">
        <f t="shared" si="1"/>
        <v>5.9364</v>
      </c>
      <c r="L37" s="139">
        <v>0.367</v>
      </c>
      <c r="M37" s="3">
        <v>0.352</v>
      </c>
      <c r="N37" s="523">
        <v>0.352</v>
      </c>
      <c r="O37" s="60">
        <f t="shared" si="16"/>
        <v>0.352</v>
      </c>
      <c r="P37" s="2">
        <v>90.0</v>
      </c>
      <c r="Q37" s="67">
        <v>92.75</v>
      </c>
      <c r="R37" s="65">
        <v>2194.86</v>
      </c>
      <c r="S37" s="3">
        <v>110.0</v>
      </c>
      <c r="T37" s="2"/>
      <c r="U37" s="67">
        <v>120.0</v>
      </c>
      <c r="V37" s="67">
        <v>1.1023</v>
      </c>
      <c r="W37" s="58">
        <v>6.7</v>
      </c>
      <c r="X37" s="58">
        <v>8.98</v>
      </c>
      <c r="Y37" s="2">
        <v>26.83</v>
      </c>
      <c r="Z37" s="69">
        <f t="shared" si="18"/>
        <v>39.67</v>
      </c>
      <c r="AA37" s="70">
        <f t="shared" si="4"/>
        <v>66.5</v>
      </c>
      <c r="AB37" s="71">
        <f t="shared" si="13"/>
        <v>530.0030888</v>
      </c>
      <c r="AC37" s="71">
        <f>+(S37*V37)-'data 1'!$F$4-T37*V37</f>
        <v>41.253</v>
      </c>
      <c r="AD37" s="71">
        <f t="shared" si="5"/>
        <v>23.08274021</v>
      </c>
      <c r="AE37" s="71">
        <f>+(AA37*V37)-Z37-'data 1'!$I$21+((W37-2)*2.5+(X37-2)*4)-((W37-3)*1.5+(X37-3)*3.1)</f>
        <v>23.63386892</v>
      </c>
      <c r="AF37" s="71">
        <f t="shared" si="6"/>
        <v>31.81953165</v>
      </c>
      <c r="AG37" s="71">
        <f t="shared" si="7"/>
        <v>119.7891408</v>
      </c>
      <c r="AH37" s="1035">
        <f t="shared" si="8"/>
        <v>69.28069061</v>
      </c>
      <c r="AI37" s="65">
        <f t="shared" si="9"/>
        <v>83.91300494</v>
      </c>
      <c r="AJ37" s="986">
        <f t="shared" si="10"/>
        <v>64.47886715</v>
      </c>
      <c r="AK37" s="65"/>
      <c r="AL37" s="65">
        <f t="shared" si="11"/>
        <v>3146.310336</v>
      </c>
    </row>
    <row r="38" ht="15.75" customHeight="1">
      <c r="A38" s="1034" t="s">
        <v>5329</v>
      </c>
      <c r="B38" s="2"/>
      <c r="C38" s="841">
        <v>45379.0</v>
      </c>
      <c r="D38" s="67" t="s">
        <v>5085</v>
      </c>
      <c r="E38" s="915">
        <v>2.0169040231E10</v>
      </c>
      <c r="F38" s="67" t="s">
        <v>5235</v>
      </c>
      <c r="G38" s="916">
        <v>50.0</v>
      </c>
      <c r="H38" s="13" t="s">
        <v>5002</v>
      </c>
      <c r="I38" s="6">
        <v>4.93</v>
      </c>
      <c r="J38" s="58">
        <v>4.0</v>
      </c>
      <c r="K38" s="6">
        <f t="shared" si="1"/>
        <v>4.7328</v>
      </c>
      <c r="L38" s="139">
        <v>0.194</v>
      </c>
      <c r="M38" s="3">
        <v>0.186</v>
      </c>
      <c r="N38" s="523">
        <v>0.186</v>
      </c>
      <c r="O38" s="60">
        <f t="shared" si="16"/>
        <v>0.186</v>
      </c>
      <c r="P38" s="2">
        <v>85.0</v>
      </c>
      <c r="Q38" s="69">
        <v>91.4</v>
      </c>
      <c r="R38" s="65">
        <v>2194.86</v>
      </c>
      <c r="S38" s="3">
        <v>95.0</v>
      </c>
      <c r="T38" s="2"/>
      <c r="U38" s="67">
        <v>120.0</v>
      </c>
      <c r="V38" s="67">
        <v>1.1023</v>
      </c>
      <c r="W38" s="58">
        <v>6.7</v>
      </c>
      <c r="X38" s="58">
        <v>8.45</v>
      </c>
      <c r="Y38" s="2">
        <v>26.83</v>
      </c>
      <c r="Z38" s="69">
        <f t="shared" si="18"/>
        <v>37.55</v>
      </c>
      <c r="AA38" s="70">
        <f t="shared" si="4"/>
        <v>64.38</v>
      </c>
      <c r="AB38" s="71">
        <f t="shared" si="13"/>
        <v>185.9088099</v>
      </c>
      <c r="AC38" s="71">
        <f>+(S38*V38)-'data 1'!$F$4-T38*V38</f>
        <v>24.7185</v>
      </c>
      <c r="AD38" s="71">
        <f t="shared" si="5"/>
        <v>28.3968593</v>
      </c>
      <c r="AE38" s="71">
        <f>+(AA38*V38)-Z38-'data 1'!$I$21+((W38-2)*2.5+(X38-2)*4)-((W38-3)*1.5+(X38-3)*3.1)</f>
        <v>22.93999292</v>
      </c>
      <c r="AF38" s="71">
        <f t="shared" si="6"/>
        <v>16.72340812</v>
      </c>
      <c r="AG38" s="71">
        <f t="shared" si="7"/>
        <v>92.77876033</v>
      </c>
      <c r="AH38" s="1035">
        <f t="shared" si="8"/>
        <v>28.77233759</v>
      </c>
      <c r="AI38" s="65">
        <f t="shared" si="9"/>
        <v>43.71165165</v>
      </c>
      <c r="AJ38" s="986">
        <f t="shared" si="10"/>
        <v>25.65423635</v>
      </c>
      <c r="AK38" s="65"/>
      <c r="AL38" s="65">
        <f t="shared" si="11"/>
        <v>879.8692157</v>
      </c>
    </row>
    <row r="39" ht="15.75" customHeight="1">
      <c r="A39" s="1034" t="s">
        <v>5330</v>
      </c>
      <c r="B39" s="2"/>
      <c r="C39" s="841">
        <v>45379.0</v>
      </c>
      <c r="D39" s="67" t="s">
        <v>5085</v>
      </c>
      <c r="E39" s="915">
        <v>2.0169040231E10</v>
      </c>
      <c r="F39" s="67" t="s">
        <v>5331</v>
      </c>
      <c r="G39" s="916">
        <v>15.0</v>
      </c>
      <c r="H39" s="13" t="s">
        <v>5002</v>
      </c>
      <c r="I39" s="6">
        <v>1.34</v>
      </c>
      <c r="J39" s="58">
        <v>2.1</v>
      </c>
      <c r="K39" s="6">
        <f t="shared" si="1"/>
        <v>1.31186</v>
      </c>
      <c r="L39" s="139">
        <v>0.326</v>
      </c>
      <c r="M39" s="3">
        <v>0.313</v>
      </c>
      <c r="N39" s="523">
        <v>0.313</v>
      </c>
      <c r="O39" s="60">
        <f t="shared" si="16"/>
        <v>0.313</v>
      </c>
      <c r="P39" s="2">
        <v>90.0</v>
      </c>
      <c r="Q39" s="67">
        <v>91.37</v>
      </c>
      <c r="R39" s="65">
        <v>2194.86</v>
      </c>
      <c r="S39" s="3">
        <v>110.0</v>
      </c>
      <c r="T39" s="2"/>
      <c r="U39" s="67">
        <v>110.0</v>
      </c>
      <c r="V39" s="67">
        <v>1.1023</v>
      </c>
      <c r="W39" s="58">
        <v>6.8</v>
      </c>
      <c r="X39" s="58">
        <v>9.1</v>
      </c>
      <c r="Y39" s="2">
        <v>26.83</v>
      </c>
      <c r="Z39" s="69">
        <f t="shared" si="18"/>
        <v>40.4</v>
      </c>
      <c r="AA39" s="70">
        <f t="shared" si="4"/>
        <v>67.23</v>
      </c>
      <c r="AB39" s="71">
        <f t="shared" si="13"/>
        <v>452.0257408</v>
      </c>
      <c r="AC39" s="71">
        <f>+(S39*V39)-'data 1'!$F$4-T39*V39</f>
        <v>41.253</v>
      </c>
      <c r="AD39" s="71">
        <f t="shared" si="5"/>
        <v>10.26395813</v>
      </c>
      <c r="AE39" s="71">
        <f>+(AA39*V39)-Z39-'data 1'!$I$21+((W39-2)*2.5+(X39-2)*4)-((W39-3)*1.5+(X39-3)*3.1)</f>
        <v>23.91654792</v>
      </c>
      <c r="AF39" s="71">
        <f t="shared" si="6"/>
        <v>27.29755073</v>
      </c>
      <c r="AG39" s="71">
        <f t="shared" si="7"/>
        <v>102.7310568</v>
      </c>
      <c r="AH39" s="1035">
        <f t="shared" si="8"/>
        <v>13.39731549</v>
      </c>
      <c r="AI39" s="65">
        <f t="shared" si="9"/>
        <v>70.14611158</v>
      </c>
      <c r="AJ39" s="986">
        <f t="shared" si="10"/>
        <v>12.67019814</v>
      </c>
      <c r="AK39" s="65"/>
      <c r="AL39" s="65">
        <f t="shared" si="11"/>
        <v>592.9944884</v>
      </c>
    </row>
    <row r="40" ht="15.75" customHeight="1">
      <c r="A40" s="1034" t="s">
        <v>5332</v>
      </c>
      <c r="B40" s="2"/>
      <c r="C40" s="841">
        <v>45379.0</v>
      </c>
      <c r="D40" s="67" t="s">
        <v>5085</v>
      </c>
      <c r="E40" s="915">
        <v>2.0169040231E10</v>
      </c>
      <c r="F40" s="67" t="s">
        <v>4386</v>
      </c>
      <c r="G40" s="916">
        <v>85.0</v>
      </c>
      <c r="H40" s="13" t="s">
        <v>5002</v>
      </c>
      <c r="I40" s="6">
        <v>8.49</v>
      </c>
      <c r="J40" s="58">
        <v>4.2</v>
      </c>
      <c r="K40" s="6">
        <f t="shared" si="1"/>
        <v>8.13342</v>
      </c>
      <c r="L40" s="139">
        <v>0.333</v>
      </c>
      <c r="M40" s="60">
        <v>0.32</v>
      </c>
      <c r="N40" s="1116">
        <v>0.32</v>
      </c>
      <c r="O40" s="60">
        <v>0.33</v>
      </c>
      <c r="P40" s="2">
        <v>90.0</v>
      </c>
      <c r="Q40" s="67">
        <v>90.84</v>
      </c>
      <c r="R40" s="65">
        <v>2194.86</v>
      </c>
      <c r="S40" s="3">
        <v>110.0</v>
      </c>
      <c r="T40" s="2"/>
      <c r="U40" s="67">
        <v>110.0</v>
      </c>
      <c r="V40" s="67">
        <v>1.1023</v>
      </c>
      <c r="W40" s="58">
        <v>6.8</v>
      </c>
      <c r="X40" s="58">
        <v>8.78</v>
      </c>
      <c r="Y40" s="2">
        <v>26.83</v>
      </c>
      <c r="Z40" s="69">
        <f t="shared" si="18"/>
        <v>39.12</v>
      </c>
      <c r="AA40" s="70">
        <f t="shared" si="4"/>
        <v>65.95</v>
      </c>
      <c r="AB40" s="71">
        <f t="shared" si="13"/>
        <v>488.5982449</v>
      </c>
      <c r="AC40" s="71">
        <f>+(S40*V40)-'data 1'!$F$4-T40*V40</f>
        <v>41.253</v>
      </c>
      <c r="AD40" s="71">
        <f t="shared" si="5"/>
        <v>6.428360503</v>
      </c>
      <c r="AE40" s="71">
        <f>+(AA40*V40)-Z40-'data 1'!$I$21+((W40-2)*2.5+(X40-2)*4)-((W40-3)*1.5+(X40-3)*3.1)</f>
        <v>23.49760392</v>
      </c>
      <c r="AF40" s="71">
        <f t="shared" si="6"/>
        <v>6.262894338</v>
      </c>
      <c r="AG40" s="71">
        <f t="shared" si="7"/>
        <v>77.44185876</v>
      </c>
      <c r="AH40" s="1035">
        <f t="shared" si="8"/>
        <v>84.35360111</v>
      </c>
      <c r="AI40" s="65">
        <f t="shared" si="9"/>
        <v>71.23669064</v>
      </c>
      <c r="AJ40" s="986">
        <f t="shared" si="10"/>
        <v>82.82066588</v>
      </c>
      <c r="AK40" s="65"/>
      <c r="AL40" s="65">
        <f t="shared" si="11"/>
        <v>3973.974737</v>
      </c>
    </row>
    <row r="41" ht="15.75" customHeight="1">
      <c r="A41" s="1017" t="s">
        <v>5333</v>
      </c>
      <c r="B41" s="577"/>
      <c r="C41" s="1018">
        <v>45379.0</v>
      </c>
      <c r="D41" s="1019" t="s">
        <v>5085</v>
      </c>
      <c r="E41" s="1020">
        <v>2.0169040231E10</v>
      </c>
      <c r="F41" s="1019" t="s">
        <v>4386</v>
      </c>
      <c r="G41" s="1021">
        <v>75.0</v>
      </c>
      <c r="H41" s="601" t="s">
        <v>5002</v>
      </c>
      <c r="I41" s="1022">
        <v>7.15</v>
      </c>
      <c r="J41" s="1023">
        <v>4.05</v>
      </c>
      <c r="K41" s="1022">
        <f t="shared" si="1"/>
        <v>6.860425</v>
      </c>
      <c r="L41" s="1024">
        <v>0.755</v>
      </c>
      <c r="M41" s="578">
        <v>0.725</v>
      </c>
      <c r="N41" s="1117">
        <v>0.725</v>
      </c>
      <c r="O41" s="1025">
        <v>0.74</v>
      </c>
      <c r="P41" s="577">
        <v>90.0</v>
      </c>
      <c r="Q41" s="1019">
        <v>91.82</v>
      </c>
      <c r="R41" s="1028">
        <v>2194.86</v>
      </c>
      <c r="S41" s="578">
        <v>150.0</v>
      </c>
      <c r="T41" s="577"/>
      <c r="U41" s="1019">
        <v>110.0</v>
      </c>
      <c r="V41" s="1019">
        <v>1.1023</v>
      </c>
      <c r="W41" s="1023">
        <v>6.8</v>
      </c>
      <c r="X41" s="1023">
        <v>9.53</v>
      </c>
      <c r="Y41" s="577">
        <v>26.83</v>
      </c>
      <c r="Z41" s="1027">
        <f t="shared" si="18"/>
        <v>42.12</v>
      </c>
      <c r="AA41" s="1029">
        <f t="shared" si="4"/>
        <v>68.95</v>
      </c>
      <c r="AB41" s="1030">
        <f t="shared" si="13"/>
        <v>1289.21344</v>
      </c>
      <c r="AC41" s="1030">
        <f>+(S41*V41)-'data 1'!$F$4-T41*V41</f>
        <v>85.345</v>
      </c>
      <c r="AD41" s="1030">
        <f t="shared" si="5"/>
        <v>31.57875793</v>
      </c>
      <c r="AE41" s="1030">
        <f>+(AA41*V41)-Z41-'data 1'!$I$21+((W41-2)*2.5+(X41-2)*4)-((W41-3)*1.5+(X41-3)*3.1)</f>
        <v>24.47950392</v>
      </c>
      <c r="AF41" s="1030">
        <f t="shared" si="6"/>
        <v>31.65229844</v>
      </c>
      <c r="AG41" s="1030">
        <f t="shared" si="7"/>
        <v>173.0555603</v>
      </c>
      <c r="AH41" s="1031">
        <f t="shared" si="8"/>
        <v>163.0588332</v>
      </c>
      <c r="AI41" s="65">
        <f t="shared" si="9"/>
        <v>163.2550472</v>
      </c>
      <c r="AJ41" s="986">
        <f t="shared" si="10"/>
        <v>156.651414</v>
      </c>
      <c r="AK41" s="65"/>
      <c r="AL41" s="65">
        <f t="shared" si="11"/>
        <v>8844.552111</v>
      </c>
    </row>
    <row r="42" ht="15.75" customHeight="1">
      <c r="A42" s="1001" t="s">
        <v>5334</v>
      </c>
      <c r="B42" s="562"/>
      <c r="C42" s="1002">
        <v>45381.0</v>
      </c>
      <c r="D42" s="1003" t="s">
        <v>5085</v>
      </c>
      <c r="E42" s="1004">
        <v>2.0169040231E10</v>
      </c>
      <c r="F42" s="1003" t="s">
        <v>5335</v>
      </c>
      <c r="G42" s="1005">
        <v>121.0</v>
      </c>
      <c r="H42" s="1006" t="s">
        <v>5002</v>
      </c>
      <c r="I42" s="1007">
        <v>10.88</v>
      </c>
      <c r="J42" s="1008">
        <v>1.0</v>
      </c>
      <c r="K42" s="1007">
        <f t="shared" si="1"/>
        <v>10.7712</v>
      </c>
      <c r="L42" s="1009">
        <v>0.504</v>
      </c>
      <c r="M42" s="1009">
        <v>0.504</v>
      </c>
      <c r="N42" s="1009">
        <v>0.504</v>
      </c>
      <c r="O42" s="1010">
        <f t="shared" ref="O42:O45" si="19">+(M42+N42)/2</f>
        <v>0.504</v>
      </c>
      <c r="P42" s="562">
        <v>90.0</v>
      </c>
      <c r="Q42" s="562">
        <v>88.39</v>
      </c>
      <c r="R42" s="1013">
        <v>2203.773</v>
      </c>
      <c r="S42" s="563">
        <v>140.0</v>
      </c>
      <c r="T42" s="562"/>
      <c r="U42" s="1003">
        <v>120.0</v>
      </c>
      <c r="V42" s="1003">
        <v>1.1023</v>
      </c>
      <c r="W42" s="1008">
        <v>7.1</v>
      </c>
      <c r="X42" s="1008">
        <v>9.6</v>
      </c>
      <c r="Y42" s="562">
        <v>28.0</v>
      </c>
      <c r="Z42" s="1012">
        <f t="shared" si="18"/>
        <v>43.15</v>
      </c>
      <c r="AA42" s="1014">
        <f t="shared" si="4"/>
        <v>71.15</v>
      </c>
      <c r="AB42" s="1015">
        <f t="shared" si="13"/>
        <v>809.1426898</v>
      </c>
      <c r="AC42" s="1015">
        <f>+(S42*V42)-'data 1'!$F$4-T42*V42</f>
        <v>74.322</v>
      </c>
      <c r="AD42" s="1015">
        <f t="shared" si="5"/>
        <v>-18.6383141</v>
      </c>
      <c r="AE42" s="1015">
        <f>+(AA42*V42)-Z42-'data 1'!$I$21+((W42-2)*2.5+(X42-2)*4)-((W42-3)*1.5+(X42-3)*3.1)</f>
        <v>26.23756392</v>
      </c>
      <c r="AF42" s="1015">
        <f t="shared" si="6"/>
        <v>0</v>
      </c>
      <c r="AG42" s="1015">
        <f t="shared" si="7"/>
        <v>81.92124982</v>
      </c>
      <c r="AH42" s="1016">
        <f t="shared" si="8"/>
        <v>164.515503</v>
      </c>
      <c r="AI42" s="65">
        <f t="shared" si="9"/>
        <v>105.443578</v>
      </c>
      <c r="AJ42" s="986">
        <f t="shared" si="10"/>
        <v>167.5121085</v>
      </c>
      <c r="AK42" s="65"/>
      <c r="AL42" s="65">
        <f t="shared" si="11"/>
        <v>8715.43774</v>
      </c>
    </row>
    <row r="43" ht="15.75" customHeight="1">
      <c r="A43" s="1034" t="s">
        <v>5336</v>
      </c>
      <c r="B43" s="2"/>
      <c r="C43" s="841">
        <v>45381.0</v>
      </c>
      <c r="D43" s="67" t="s">
        <v>5085</v>
      </c>
      <c r="E43" s="915">
        <v>2.0169040231E10</v>
      </c>
      <c r="F43" s="67" t="s">
        <v>5335</v>
      </c>
      <c r="G43" s="916">
        <v>31.0</v>
      </c>
      <c r="H43" s="13" t="s">
        <v>5002</v>
      </c>
      <c r="I43" s="6">
        <v>2.63</v>
      </c>
      <c r="J43" s="58">
        <v>1.0</v>
      </c>
      <c r="K43" s="6">
        <f t="shared" si="1"/>
        <v>2.6037</v>
      </c>
      <c r="L43" s="139">
        <v>0.385</v>
      </c>
      <c r="M43" s="139">
        <v>0.385</v>
      </c>
      <c r="N43" s="139">
        <v>0.385</v>
      </c>
      <c r="O43" s="60">
        <f t="shared" si="19"/>
        <v>0.385</v>
      </c>
      <c r="P43" s="2">
        <v>90.0</v>
      </c>
      <c r="Q43" s="2">
        <v>88.46</v>
      </c>
      <c r="R43" s="65">
        <v>2203.773</v>
      </c>
      <c r="S43" s="3">
        <v>120.0</v>
      </c>
      <c r="T43" s="2"/>
      <c r="U43" s="67">
        <v>120.0</v>
      </c>
      <c r="V43" s="67">
        <v>1.1023</v>
      </c>
      <c r="W43" s="58">
        <v>7.1</v>
      </c>
      <c r="X43" s="58">
        <v>9.7</v>
      </c>
      <c r="Y43" s="2">
        <v>28.0</v>
      </c>
      <c r="Z43" s="69">
        <f t="shared" si="18"/>
        <v>43.55</v>
      </c>
      <c r="AA43" s="70">
        <f t="shared" si="4"/>
        <v>71.55</v>
      </c>
      <c r="AB43" s="71">
        <f t="shared" si="13"/>
        <v>584.7451768</v>
      </c>
      <c r="AC43" s="71">
        <f>+(S43*V43)-'data 1'!$F$4-T43*V43</f>
        <v>52.276</v>
      </c>
      <c r="AD43" s="71">
        <f t="shared" si="5"/>
        <v>-13.61857492</v>
      </c>
      <c r="AE43" s="71">
        <f>+(AA43*V43)-Z43-'data 1'!$I$21+((W43-2)*2.5+(X43-2)*4)-((W43-3)*1.5+(X43-3)*3.1)</f>
        <v>26.36848392</v>
      </c>
      <c r="AF43" s="71">
        <f t="shared" si="6"/>
        <v>0</v>
      </c>
      <c r="AG43" s="71">
        <f t="shared" si="7"/>
        <v>65.025909</v>
      </c>
      <c r="AH43" s="1035">
        <f t="shared" si="8"/>
        <v>30.40238658</v>
      </c>
      <c r="AI43" s="65">
        <f t="shared" si="9"/>
        <v>80.61096654</v>
      </c>
      <c r="AJ43" s="986">
        <f t="shared" si="10"/>
        <v>30.93166168</v>
      </c>
      <c r="AK43" s="65"/>
      <c r="AL43" s="65">
        <f t="shared" si="11"/>
        <v>1522.501017</v>
      </c>
    </row>
    <row r="44" ht="15.75" customHeight="1">
      <c r="A44" s="1034" t="s">
        <v>5337</v>
      </c>
      <c r="B44" s="841">
        <v>45383.0</v>
      </c>
      <c r="C44" s="841">
        <v>45381.0</v>
      </c>
      <c r="D44" s="2" t="s">
        <v>5085</v>
      </c>
      <c r="E44" s="915">
        <v>2.0169040231E10</v>
      </c>
      <c r="F44" s="67" t="s">
        <v>4670</v>
      </c>
      <c r="G44" s="13">
        <v>80.0</v>
      </c>
      <c r="H44" s="13" t="s">
        <v>5002</v>
      </c>
      <c r="I44" s="6">
        <v>6.76</v>
      </c>
      <c r="J44" s="58">
        <v>1.2</v>
      </c>
      <c r="K44" s="6">
        <f t="shared" si="1"/>
        <v>6.67888</v>
      </c>
      <c r="L44" s="139">
        <v>0.773</v>
      </c>
      <c r="M44" s="3">
        <v>0.742</v>
      </c>
      <c r="N44" s="3">
        <v>0.742</v>
      </c>
      <c r="O44" s="60">
        <f t="shared" si="19"/>
        <v>0.742</v>
      </c>
      <c r="P44" s="2">
        <v>90.0</v>
      </c>
      <c r="Q44" s="58">
        <v>88.4</v>
      </c>
      <c r="R44" s="65">
        <v>2203.773</v>
      </c>
      <c r="S44" s="3">
        <v>150.0</v>
      </c>
      <c r="T44" s="2"/>
      <c r="U44" s="67">
        <v>120.0</v>
      </c>
      <c r="V44" s="67">
        <v>1.1023</v>
      </c>
      <c r="W44" s="58">
        <v>7.8</v>
      </c>
      <c r="X44" s="58">
        <v>10.5</v>
      </c>
      <c r="Y44" s="2">
        <v>26.56</v>
      </c>
      <c r="Z44" s="69">
        <f t="shared" si="18"/>
        <v>48.5</v>
      </c>
      <c r="AA44" s="70">
        <f t="shared" si="4"/>
        <v>75.06</v>
      </c>
      <c r="AB44" s="71">
        <f t="shared" si="13"/>
        <v>1285.814883</v>
      </c>
      <c r="AC44" s="71">
        <f>+(S44*V44)-'data 1'!$F$4-T44*V44</f>
        <v>85.345</v>
      </c>
      <c r="AD44" s="71">
        <f t="shared" si="5"/>
        <v>-28.40859075</v>
      </c>
      <c r="AE44" s="71">
        <f>+(AA44*V44)-Z44-'data 1'!$I$21+((W44-2)*2.5+(X44-2)*4)-((W44-3)*1.5+(X44-3)*3.1)</f>
        <v>26.70755692</v>
      </c>
      <c r="AF44" s="71">
        <f t="shared" si="6"/>
        <v>62.94542537</v>
      </c>
      <c r="AG44" s="71">
        <f t="shared" si="7"/>
        <v>146.5893915</v>
      </c>
      <c r="AH44" s="1035">
        <f t="shared" si="8"/>
        <v>156.4748229</v>
      </c>
      <c r="AI44" s="65">
        <f t="shared" si="9"/>
        <v>161.740292</v>
      </c>
      <c r="AJ44" s="986">
        <f t="shared" si="10"/>
        <v>152.9181814</v>
      </c>
      <c r="AK44" s="65"/>
      <c r="AL44" s="65">
        <f t="shared" si="11"/>
        <v>8587.803303</v>
      </c>
    </row>
    <row r="45" ht="15.75" customHeight="1">
      <c r="A45" s="1034" t="s">
        <v>5338</v>
      </c>
      <c r="B45" s="841">
        <v>45384.0</v>
      </c>
      <c r="C45" s="841">
        <v>45381.0</v>
      </c>
      <c r="D45" s="2" t="s">
        <v>5085</v>
      </c>
      <c r="E45" s="915">
        <v>2.0169040231E10</v>
      </c>
      <c r="F45" s="67" t="s">
        <v>4670</v>
      </c>
      <c r="G45" s="13">
        <v>25.0</v>
      </c>
      <c r="H45" s="13" t="s">
        <v>5002</v>
      </c>
      <c r="I45" s="6">
        <v>2.27</v>
      </c>
      <c r="J45" s="58">
        <v>1.5</v>
      </c>
      <c r="K45" s="6">
        <f t="shared" si="1"/>
        <v>2.23595</v>
      </c>
      <c r="L45" s="139">
        <v>0.814</v>
      </c>
      <c r="M45" s="3">
        <v>0.781</v>
      </c>
      <c r="N45" s="3">
        <v>0.781</v>
      </c>
      <c r="O45" s="60">
        <f t="shared" si="19"/>
        <v>0.781</v>
      </c>
      <c r="P45" s="2">
        <v>90.0</v>
      </c>
      <c r="Q45" s="2">
        <v>88.89</v>
      </c>
      <c r="R45" s="65">
        <v>2203.773</v>
      </c>
      <c r="S45" s="3">
        <v>150.0</v>
      </c>
      <c r="T45" s="2"/>
      <c r="U45" s="67">
        <v>120.0</v>
      </c>
      <c r="V45" s="67">
        <v>1.1023</v>
      </c>
      <c r="W45" s="58">
        <v>7.9</v>
      </c>
      <c r="X45" s="58">
        <v>11.0</v>
      </c>
      <c r="Y45" s="2">
        <v>26.56</v>
      </c>
      <c r="Z45" s="69">
        <f t="shared" si="18"/>
        <v>50.75</v>
      </c>
      <c r="AA45" s="70">
        <f t="shared" si="4"/>
        <v>77.31</v>
      </c>
      <c r="AB45" s="71">
        <f t="shared" si="13"/>
        <v>1363.957406</v>
      </c>
      <c r="AC45" s="71">
        <f>+(S45*V45)-'data 1'!$F$4-T45*V45</f>
        <v>85.345</v>
      </c>
      <c r="AD45" s="71">
        <f t="shared" si="5"/>
        <v>-20.75379858</v>
      </c>
      <c r="AE45" s="71">
        <f>+(AA45*V45)-Z45-'data 1'!$I$21+((W45-2)*2.5+(X45-2)*4)-((W45-3)*1.5+(X45-3)*3.1)</f>
        <v>27.48773192</v>
      </c>
      <c r="AF45" s="71">
        <f t="shared" si="6"/>
        <v>67.37783623</v>
      </c>
      <c r="AG45" s="71">
        <f t="shared" si="7"/>
        <v>159.4567696</v>
      </c>
      <c r="AH45" s="1035">
        <f t="shared" si="8"/>
        <v>55.46876137</v>
      </c>
      <c r="AI45" s="65">
        <f t="shared" si="9"/>
        <v>171.2630898</v>
      </c>
      <c r="AJ45" s="986">
        <f t="shared" si="10"/>
        <v>53.88460459</v>
      </c>
      <c r="AK45" s="65"/>
      <c r="AL45" s="65">
        <f t="shared" si="11"/>
        <v>3049.740562</v>
      </c>
    </row>
    <row r="46" ht="15.75" customHeight="1">
      <c r="A46" s="1034" t="s">
        <v>5339</v>
      </c>
      <c r="B46" s="2"/>
      <c r="C46" s="841">
        <v>45381.0</v>
      </c>
      <c r="D46" s="2" t="s">
        <v>5085</v>
      </c>
      <c r="E46" s="915">
        <v>2.0169040231E10</v>
      </c>
      <c r="F46" s="67" t="s">
        <v>5340</v>
      </c>
      <c r="G46" s="13">
        <v>74.0</v>
      </c>
      <c r="H46" s="13" t="s">
        <v>5002</v>
      </c>
      <c r="I46" s="6">
        <v>6.8</v>
      </c>
      <c r="J46" s="58">
        <v>3.0</v>
      </c>
      <c r="K46" s="6">
        <f t="shared" si="1"/>
        <v>6.596</v>
      </c>
      <c r="L46" s="139">
        <v>0.219</v>
      </c>
      <c r="M46" s="60">
        <v>0.21</v>
      </c>
      <c r="N46" s="1116">
        <v>0.21</v>
      </c>
      <c r="O46" s="60">
        <v>0.22</v>
      </c>
      <c r="P46" s="2">
        <v>87.0</v>
      </c>
      <c r="Q46" s="2">
        <v>88.42</v>
      </c>
      <c r="R46" s="65">
        <v>2203.773</v>
      </c>
      <c r="S46" s="3">
        <v>110.0</v>
      </c>
      <c r="T46" s="2"/>
      <c r="U46" s="67">
        <v>120.0</v>
      </c>
      <c r="V46" s="67">
        <v>1.1023</v>
      </c>
      <c r="W46" s="58">
        <v>6.8</v>
      </c>
      <c r="X46" s="58">
        <v>9.1</v>
      </c>
      <c r="Y46" s="2">
        <v>29.8</v>
      </c>
      <c r="Z46" s="69">
        <f t="shared" si="18"/>
        <v>40.4</v>
      </c>
      <c r="AA46" s="70">
        <f t="shared" si="4"/>
        <v>70.2</v>
      </c>
      <c r="AB46" s="71">
        <f t="shared" si="13"/>
        <v>241.000426</v>
      </c>
      <c r="AC46" s="71">
        <f>+(S46*V46)-'data 1'!$F$4-T46*V46</f>
        <v>41.253</v>
      </c>
      <c r="AD46" s="71">
        <f t="shared" si="5"/>
        <v>7.143033273</v>
      </c>
      <c r="AE46" s="71">
        <f>+(AA46*V46)-Z46-'data 1'!$I$21+((W46-2)*2.5+(X46-2)*4)-((W46-3)*1.5+(X46-3)*3.1)</f>
        <v>27.19037892</v>
      </c>
      <c r="AF46" s="71">
        <f t="shared" si="6"/>
        <v>-2.030956981</v>
      </c>
      <c r="AG46" s="71">
        <f t="shared" si="7"/>
        <v>73.55545521</v>
      </c>
      <c r="AH46" s="1035">
        <f t="shared" si="8"/>
        <v>43.79094746</v>
      </c>
      <c r="AI46" s="65">
        <f t="shared" si="9"/>
        <v>45.83329596</v>
      </c>
      <c r="AJ46" s="986">
        <f t="shared" si="10"/>
        <v>43.28442471</v>
      </c>
      <c r="AK46" s="65"/>
      <c r="AL46" s="65">
        <f t="shared" si="11"/>
        <v>1589.63881</v>
      </c>
    </row>
    <row r="47" ht="15.75" customHeight="1">
      <c r="A47" s="1017" t="s">
        <v>5341</v>
      </c>
      <c r="B47" s="577"/>
      <c r="C47" s="1018">
        <v>45381.0</v>
      </c>
      <c r="D47" s="577" t="s">
        <v>5085</v>
      </c>
      <c r="E47" s="1020">
        <v>2.0169040231E10</v>
      </c>
      <c r="F47" s="1019" t="s">
        <v>5340</v>
      </c>
      <c r="G47" s="601">
        <v>75.0</v>
      </c>
      <c r="H47" s="601" t="s">
        <v>5002</v>
      </c>
      <c r="I47" s="1022">
        <v>7.03</v>
      </c>
      <c r="J47" s="1023">
        <v>3.0</v>
      </c>
      <c r="K47" s="1022">
        <f t="shared" si="1"/>
        <v>6.8191</v>
      </c>
      <c r="L47" s="1024">
        <v>0.271</v>
      </c>
      <c r="M47" s="1025">
        <v>0.26</v>
      </c>
      <c r="N47" s="1117">
        <v>0.3</v>
      </c>
      <c r="O47" s="1025">
        <f>+(M47+N47)/2</f>
        <v>0.28</v>
      </c>
      <c r="P47" s="577">
        <v>87.0</v>
      </c>
      <c r="Q47" s="577">
        <v>88.53</v>
      </c>
      <c r="R47" s="1028">
        <v>2203.773</v>
      </c>
      <c r="S47" s="578">
        <v>110.0</v>
      </c>
      <c r="T47" s="577"/>
      <c r="U47" s="1019">
        <v>120.0</v>
      </c>
      <c r="V47" s="1019">
        <v>1.1023</v>
      </c>
      <c r="W47" s="1023">
        <v>6.8</v>
      </c>
      <c r="X47" s="1023">
        <v>9.1</v>
      </c>
      <c r="Y47" s="577">
        <v>29.8</v>
      </c>
      <c r="Z47" s="1027">
        <f t="shared" si="18"/>
        <v>40.4</v>
      </c>
      <c r="AA47" s="1029">
        <f t="shared" si="4"/>
        <v>70.2</v>
      </c>
      <c r="AB47" s="1030">
        <f t="shared" si="13"/>
        <v>360.9008494</v>
      </c>
      <c r="AC47" s="1030">
        <f>+(S47*V47)-'data 1'!$F$4-T47*V47</f>
        <v>41.253</v>
      </c>
      <c r="AD47" s="1030">
        <f t="shared" si="5"/>
        <v>9.523814669</v>
      </c>
      <c r="AE47" s="1030">
        <f>+(AA47*V47)-Z47-'data 1'!$I$21+((W47-2)*2.5+(X47-2)*4)-((W47-3)*1.5+(X47-3)*3.1)</f>
        <v>27.19037892</v>
      </c>
      <c r="AF47" s="1030">
        <f t="shared" si="6"/>
        <v>-18.30135257</v>
      </c>
      <c r="AG47" s="1030">
        <f t="shared" si="7"/>
        <v>59.66584102</v>
      </c>
      <c r="AH47" s="1031">
        <f t="shared" si="8"/>
        <v>56.09134883</v>
      </c>
      <c r="AI47" s="65">
        <f t="shared" si="9"/>
        <v>56.78664605</v>
      </c>
      <c r="AJ47" s="986">
        <f t="shared" si="10"/>
        <v>56.95258128</v>
      </c>
      <c r="AK47" s="65"/>
      <c r="AL47" s="65">
        <f t="shared" si="11"/>
        <v>2461.018982</v>
      </c>
    </row>
    <row r="48" ht="15.75" customHeight="1">
      <c r="A48" s="1034" t="s">
        <v>5342</v>
      </c>
      <c r="B48" s="841">
        <v>45386.0</v>
      </c>
      <c r="C48" s="841">
        <v>45382.0</v>
      </c>
      <c r="D48" s="67" t="s">
        <v>5093</v>
      </c>
      <c r="E48" s="915">
        <v>2.0169040231E10</v>
      </c>
      <c r="F48" s="67" t="s">
        <v>5343</v>
      </c>
      <c r="G48" s="916" t="s">
        <v>4100</v>
      </c>
      <c r="H48" s="13" t="s">
        <v>5002</v>
      </c>
      <c r="I48" s="6">
        <v>25.68</v>
      </c>
      <c r="J48" s="58">
        <v>18.5</v>
      </c>
      <c r="K48" s="6">
        <f t="shared" si="1"/>
        <v>20.9292</v>
      </c>
      <c r="L48" s="139">
        <v>0.634</v>
      </c>
      <c r="M48" s="3">
        <v>0.609</v>
      </c>
      <c r="N48" s="405">
        <v>0.6</v>
      </c>
      <c r="O48" s="60">
        <f>+ROUND((M48+N48)/2,3)</f>
        <v>0.605</v>
      </c>
      <c r="P48" s="2">
        <v>90.0</v>
      </c>
      <c r="Q48" s="69">
        <v>89.29</v>
      </c>
      <c r="R48" s="65">
        <v>2228.54</v>
      </c>
      <c r="S48" s="3">
        <v>150.0</v>
      </c>
      <c r="U48" s="67">
        <v>100.0</v>
      </c>
      <c r="V48" s="67">
        <v>1.1023</v>
      </c>
      <c r="W48" s="58">
        <v>6.7</v>
      </c>
      <c r="X48" s="58">
        <v>11.9</v>
      </c>
      <c r="Y48" s="58"/>
      <c r="Z48" s="69">
        <f t="shared" si="18"/>
        <v>33.14</v>
      </c>
      <c r="AA48" s="70">
        <f t="shared" si="4"/>
        <v>33.14</v>
      </c>
      <c r="AB48" s="71">
        <f t="shared" si="13"/>
        <v>1075.679488</v>
      </c>
      <c r="AC48" s="71">
        <f>+(S48*V48)-'data 1'!$F$4-T48*V48</f>
        <v>85.345</v>
      </c>
      <c r="AD48" s="71">
        <f t="shared" si="5"/>
        <v>-10.56158819</v>
      </c>
      <c r="AE48" s="71">
        <f>+(AA48*V48)-Z48-'data 1'!$I$21+((W48-2)*2.5+(X48-2)*4)-((W48-3)*1.5+(X48-3)*3.1)</f>
        <v>-3.980859081</v>
      </c>
      <c r="AF48" s="71">
        <f t="shared" si="6"/>
        <v>60.75505862</v>
      </c>
      <c r="AG48" s="71">
        <f t="shared" si="7"/>
        <v>131.5576113</v>
      </c>
      <c r="AH48" s="71">
        <f t="shared" si="8"/>
        <v>406.2129628</v>
      </c>
      <c r="AI48" s="65">
        <f t="shared" si="9"/>
        <v>106.0568223</v>
      </c>
      <c r="AJ48" s="986">
        <f t="shared" si="10"/>
        <v>390.7145474</v>
      </c>
      <c r="AK48" s="65"/>
      <c r="AL48" s="65">
        <f t="shared" si="11"/>
        <v>22513.11114</v>
      </c>
    </row>
    <row r="49" ht="15.75" customHeight="1">
      <c r="C49" s="841"/>
      <c r="E49" s="915"/>
      <c r="G49" s="13"/>
      <c r="H49" s="13"/>
      <c r="I49" s="6"/>
      <c r="J49" s="58"/>
      <c r="K49" s="6"/>
      <c r="L49" s="139"/>
      <c r="M49" s="3"/>
      <c r="N49" s="191"/>
      <c r="O49" s="60"/>
      <c r="Q49" s="67"/>
      <c r="R49" s="65"/>
      <c r="S49" s="3"/>
      <c r="U49" s="67"/>
      <c r="V49" s="67"/>
      <c r="Z49" s="69"/>
      <c r="AA49" s="70"/>
      <c r="AB49" s="71"/>
      <c r="AC49" s="71"/>
      <c r="AD49" s="71"/>
      <c r="AE49" s="71"/>
      <c r="AF49" s="71"/>
      <c r="AG49" s="71"/>
      <c r="AH49" s="71"/>
      <c r="AL49" s="65">
        <f>SUM(AL4:AL48)</f>
        <v>314805.4524</v>
      </c>
    </row>
    <row r="50" ht="15.75" customHeight="1">
      <c r="C50" s="841"/>
      <c r="E50" s="915"/>
      <c r="G50" s="13"/>
      <c r="H50" s="13"/>
      <c r="I50" s="6"/>
      <c r="J50" s="58"/>
      <c r="K50" s="6"/>
      <c r="L50" s="139"/>
      <c r="M50" s="3"/>
      <c r="N50" s="191"/>
      <c r="O50" s="60"/>
      <c r="Q50" s="67"/>
      <c r="R50" s="65"/>
      <c r="S50" s="3"/>
      <c r="U50" s="67"/>
      <c r="V50" s="67"/>
      <c r="Z50" s="69"/>
      <c r="AA50" s="70"/>
      <c r="AB50" s="71"/>
      <c r="AC50" s="71"/>
      <c r="AD50" s="71"/>
      <c r="AE50" s="71"/>
      <c r="AF50" s="71"/>
      <c r="AG50" s="71"/>
      <c r="AH50" s="71"/>
    </row>
    <row r="51" ht="15.75" customHeight="1">
      <c r="C51" s="841"/>
      <c r="E51" s="915"/>
      <c r="G51" s="13"/>
      <c r="H51" s="13"/>
      <c r="I51" s="6"/>
      <c r="J51" s="58"/>
      <c r="K51" s="6"/>
      <c r="L51" s="139"/>
      <c r="M51" s="3"/>
      <c r="N51" s="191"/>
      <c r="O51" s="60"/>
      <c r="Q51" s="67"/>
      <c r="R51" s="65"/>
      <c r="S51" s="3"/>
      <c r="U51" s="67"/>
      <c r="V51" s="67"/>
      <c r="Z51" s="69"/>
      <c r="AA51" s="70"/>
      <c r="AB51" s="71"/>
      <c r="AC51" s="71"/>
      <c r="AD51" s="71"/>
      <c r="AE51" s="71"/>
      <c r="AF51" s="71"/>
      <c r="AG51" s="71"/>
      <c r="AH51" s="71"/>
    </row>
    <row r="52" ht="15.75" customHeight="1">
      <c r="C52" s="841"/>
      <c r="E52" s="915"/>
      <c r="G52" s="13"/>
      <c r="H52" s="13"/>
      <c r="I52" s="60"/>
      <c r="J52" s="871"/>
      <c r="K52" s="60"/>
      <c r="L52" s="139"/>
      <c r="M52" s="3"/>
      <c r="N52" s="191"/>
      <c r="O52" s="60"/>
      <c r="Q52" s="67"/>
      <c r="R52" s="65"/>
      <c r="S52" s="3"/>
      <c r="U52" s="67"/>
      <c r="V52" s="67"/>
      <c r="Z52" s="69"/>
      <c r="AA52" s="70"/>
      <c r="AB52" s="71"/>
      <c r="AC52" s="71"/>
      <c r="AD52" s="71"/>
      <c r="AE52" s="71"/>
      <c r="AF52" s="71"/>
      <c r="AG52" s="71"/>
      <c r="AH52" s="71"/>
    </row>
    <row r="53" ht="15.75" customHeight="1">
      <c r="C53" s="841"/>
      <c r="E53" s="915"/>
      <c r="G53" s="13"/>
      <c r="H53" s="13"/>
      <c r="I53" s="60"/>
      <c r="J53" s="871"/>
      <c r="K53" s="60"/>
      <c r="L53" s="139"/>
      <c r="M53" s="3"/>
      <c r="N53" s="191"/>
      <c r="O53" s="60"/>
      <c r="Q53" s="67"/>
      <c r="R53" s="65"/>
      <c r="S53" s="3"/>
      <c r="U53" s="67"/>
      <c r="V53" s="67"/>
      <c r="Z53" s="69"/>
      <c r="AA53" s="70"/>
      <c r="AB53" s="71"/>
      <c r="AC53" s="71"/>
      <c r="AD53" s="71"/>
      <c r="AE53" s="71"/>
      <c r="AF53" s="71"/>
      <c r="AG53" s="71"/>
      <c r="AH53" s="71"/>
    </row>
    <row r="54" ht="15.75" customHeight="1">
      <c r="C54" s="841"/>
      <c r="E54" s="915"/>
      <c r="G54" s="13"/>
      <c r="H54" s="13"/>
      <c r="I54" s="60"/>
      <c r="J54" s="871"/>
      <c r="K54" s="60"/>
      <c r="L54" s="1118"/>
      <c r="M54" s="910"/>
      <c r="N54" s="1119"/>
      <c r="O54" s="60"/>
      <c r="Q54" s="67"/>
      <c r="R54" s="65"/>
      <c r="S54" s="3"/>
      <c r="U54" s="67"/>
      <c r="V54" s="67"/>
      <c r="Z54" s="69"/>
      <c r="AA54" s="70"/>
      <c r="AB54" s="71"/>
      <c r="AC54" s="71"/>
      <c r="AD54" s="71"/>
      <c r="AE54" s="71"/>
      <c r="AF54" s="71"/>
      <c r="AG54" s="71"/>
      <c r="AH54" s="71"/>
    </row>
    <row r="55" ht="15.75" customHeight="1">
      <c r="C55" s="841"/>
      <c r="E55" s="915"/>
      <c r="G55" s="13"/>
      <c r="H55" s="13"/>
      <c r="I55" s="6"/>
      <c r="J55" s="58"/>
      <c r="K55" s="6"/>
      <c r="L55" s="139"/>
      <c r="M55" s="3"/>
      <c r="N55" s="191"/>
      <c r="O55" s="60"/>
      <c r="Q55" s="67"/>
      <c r="R55" s="65"/>
      <c r="S55" s="3"/>
      <c r="U55" s="67"/>
      <c r="V55" s="67"/>
      <c r="Z55" s="69"/>
      <c r="AA55" s="70"/>
      <c r="AB55" s="71"/>
      <c r="AC55" s="71"/>
      <c r="AD55" s="71"/>
      <c r="AE55" s="71"/>
      <c r="AF55" s="71"/>
      <c r="AG55" s="71"/>
      <c r="AH55" s="71"/>
    </row>
    <row r="56" ht="15.75" customHeight="1">
      <c r="C56" s="841"/>
      <c r="E56" s="915"/>
      <c r="G56" s="13"/>
      <c r="H56" s="13"/>
      <c r="I56" s="6"/>
      <c r="J56" s="58"/>
      <c r="K56" s="6"/>
      <c r="L56" s="139"/>
      <c r="M56" s="3"/>
      <c r="N56" s="191"/>
      <c r="O56" s="60"/>
      <c r="Q56" s="67"/>
      <c r="R56" s="65"/>
      <c r="S56" s="3"/>
      <c r="U56" s="67"/>
      <c r="V56" s="67"/>
      <c r="Z56" s="69"/>
      <c r="AA56" s="70"/>
      <c r="AB56" s="71"/>
      <c r="AC56" s="71"/>
      <c r="AD56" s="71"/>
      <c r="AE56" s="71"/>
      <c r="AF56" s="71"/>
      <c r="AG56" s="71"/>
      <c r="AH56" s="71"/>
    </row>
    <row r="57" ht="15.75" customHeight="1">
      <c r="C57" s="841"/>
      <c r="E57" s="915"/>
      <c r="G57" s="13"/>
      <c r="H57" s="13"/>
      <c r="I57" s="6"/>
      <c r="J57" s="58"/>
      <c r="K57" s="6"/>
      <c r="L57" s="139"/>
      <c r="M57" s="3"/>
      <c r="N57" s="191"/>
      <c r="O57" s="60"/>
      <c r="Q57" s="67"/>
      <c r="R57" s="65"/>
      <c r="S57" s="3"/>
      <c r="U57" s="67"/>
      <c r="V57" s="67"/>
      <c r="Z57" s="69"/>
      <c r="AA57" s="70"/>
      <c r="AB57" s="71"/>
      <c r="AC57" s="71"/>
      <c r="AD57" s="71"/>
      <c r="AE57" s="71"/>
      <c r="AF57" s="71"/>
      <c r="AG57" s="71"/>
      <c r="AH57" s="71"/>
    </row>
    <row r="58" ht="15.75" customHeight="1">
      <c r="C58" s="841"/>
      <c r="E58" s="915"/>
      <c r="G58" s="13"/>
      <c r="H58" s="13"/>
      <c r="I58" s="6"/>
      <c r="J58" s="58"/>
      <c r="K58" s="6"/>
      <c r="L58" s="139"/>
      <c r="M58" s="3"/>
      <c r="N58" s="191"/>
      <c r="O58" s="60"/>
      <c r="Q58" s="67"/>
      <c r="R58" s="65"/>
      <c r="S58" s="3"/>
      <c r="U58" s="67"/>
      <c r="V58" s="67"/>
      <c r="Z58" s="69"/>
      <c r="AA58" s="70"/>
      <c r="AB58" s="71"/>
      <c r="AC58" s="71"/>
      <c r="AD58" s="71"/>
      <c r="AE58" s="71"/>
      <c r="AF58" s="71"/>
      <c r="AG58" s="71"/>
      <c r="AH58" s="71"/>
    </row>
    <row r="59" ht="15.75" customHeight="1">
      <c r="C59" s="841"/>
      <c r="E59" s="915"/>
      <c r="G59" s="13"/>
      <c r="H59" s="13"/>
      <c r="I59" s="6"/>
      <c r="J59" s="58"/>
      <c r="K59" s="6"/>
      <c r="L59" s="139"/>
      <c r="M59" s="3"/>
      <c r="N59" s="191"/>
      <c r="O59" s="60"/>
      <c r="Q59" s="67"/>
      <c r="R59" s="65"/>
      <c r="S59" s="3"/>
      <c r="U59" s="67"/>
      <c r="V59" s="67"/>
      <c r="Z59" s="69"/>
      <c r="AA59" s="70"/>
      <c r="AB59" s="71"/>
      <c r="AC59" s="71"/>
      <c r="AD59" s="71"/>
      <c r="AE59" s="71"/>
      <c r="AF59" s="71"/>
      <c r="AG59" s="71"/>
      <c r="AH59" s="71"/>
    </row>
    <row r="60" ht="15.75" customHeight="1">
      <c r="C60" s="841"/>
      <c r="E60" s="915"/>
      <c r="G60" s="13"/>
      <c r="H60" s="13"/>
      <c r="I60" s="6"/>
      <c r="J60" s="58"/>
      <c r="K60" s="6"/>
      <c r="L60" s="139"/>
      <c r="M60" s="3"/>
      <c r="N60" s="191"/>
      <c r="O60" s="60"/>
      <c r="Q60" s="67"/>
      <c r="R60" s="65"/>
      <c r="S60" s="3"/>
      <c r="U60" s="67"/>
      <c r="V60" s="67"/>
      <c r="Z60" s="69"/>
      <c r="AA60" s="70"/>
      <c r="AB60" s="71"/>
      <c r="AC60" s="71"/>
      <c r="AD60" s="71"/>
      <c r="AE60" s="71"/>
      <c r="AF60" s="71"/>
      <c r="AG60" s="71"/>
      <c r="AH60" s="71"/>
    </row>
    <row r="61" ht="15.75" customHeight="1">
      <c r="C61" s="841"/>
      <c r="E61" s="915"/>
      <c r="G61" s="13"/>
      <c r="H61" s="13"/>
      <c r="I61" s="6"/>
      <c r="J61" s="58"/>
      <c r="K61" s="6"/>
      <c r="L61" s="139"/>
      <c r="M61" s="3"/>
      <c r="N61" s="191"/>
      <c r="O61" s="60"/>
      <c r="Q61" s="67"/>
      <c r="R61" s="65"/>
      <c r="S61" s="3"/>
      <c r="U61" s="67"/>
      <c r="V61" s="67"/>
      <c r="Z61" s="69"/>
      <c r="AA61" s="70"/>
      <c r="AB61" s="71"/>
      <c r="AC61" s="71"/>
      <c r="AD61" s="71"/>
      <c r="AE61" s="71"/>
      <c r="AF61" s="71"/>
      <c r="AG61" s="71"/>
      <c r="AH61" s="71"/>
    </row>
    <row r="62" ht="15.75" customHeight="1">
      <c r="C62" s="841"/>
      <c r="E62" s="915"/>
      <c r="G62" s="13"/>
      <c r="H62" s="13"/>
      <c r="I62" s="6"/>
      <c r="J62" s="58"/>
      <c r="K62" s="6"/>
      <c r="L62" s="139"/>
      <c r="M62" s="3"/>
      <c r="N62" s="191"/>
      <c r="O62" s="60"/>
      <c r="Q62" s="67"/>
      <c r="R62" s="65"/>
      <c r="S62" s="3"/>
      <c r="U62" s="67"/>
      <c r="V62" s="67"/>
      <c r="Z62" s="69"/>
      <c r="AA62" s="70"/>
      <c r="AB62" s="71"/>
      <c r="AC62" s="71"/>
      <c r="AD62" s="71"/>
      <c r="AE62" s="71"/>
      <c r="AF62" s="71"/>
      <c r="AG62" s="71"/>
      <c r="AH62" s="71"/>
    </row>
    <row r="63" ht="15.75" customHeight="1">
      <c r="C63" s="841"/>
      <c r="E63" s="915"/>
      <c r="G63" s="13"/>
      <c r="H63" s="13"/>
      <c r="I63" s="6"/>
      <c r="J63" s="58"/>
      <c r="K63" s="6"/>
      <c r="L63" s="139"/>
      <c r="M63" s="3"/>
      <c r="N63" s="191"/>
      <c r="O63" s="60"/>
      <c r="Q63" s="67"/>
      <c r="R63" s="65"/>
      <c r="S63" s="3"/>
      <c r="U63" s="67"/>
      <c r="V63" s="67"/>
      <c r="Z63" s="69"/>
      <c r="AA63" s="70"/>
      <c r="AB63" s="71"/>
      <c r="AC63" s="71"/>
      <c r="AD63" s="71"/>
      <c r="AE63" s="71"/>
      <c r="AF63" s="71"/>
      <c r="AG63" s="71"/>
      <c r="AH63" s="71"/>
    </row>
    <row r="64" ht="15.75" customHeight="1">
      <c r="C64" s="841"/>
      <c r="E64" s="915"/>
      <c r="G64" s="13"/>
      <c r="H64" s="13"/>
      <c r="I64" s="6"/>
      <c r="J64" s="58"/>
      <c r="K64" s="6"/>
      <c r="L64" s="139"/>
      <c r="M64" s="3"/>
      <c r="N64" s="191"/>
      <c r="O64" s="60"/>
      <c r="Q64" s="67"/>
      <c r="R64" s="65"/>
      <c r="S64" s="3"/>
      <c r="U64" s="67"/>
      <c r="V64" s="67"/>
      <c r="Z64" s="69"/>
      <c r="AA64" s="70"/>
      <c r="AB64" s="71"/>
      <c r="AC64" s="71"/>
      <c r="AD64" s="71"/>
      <c r="AE64" s="71"/>
      <c r="AF64" s="71"/>
      <c r="AG64" s="71"/>
      <c r="AH64" s="71"/>
    </row>
    <row r="65" ht="15.75" customHeight="1">
      <c r="C65" s="841"/>
      <c r="E65" s="915"/>
      <c r="G65" s="13"/>
      <c r="H65" s="13"/>
      <c r="I65" s="6"/>
      <c r="J65" s="58"/>
      <c r="K65" s="6"/>
      <c r="L65" s="139"/>
      <c r="M65" s="3"/>
      <c r="N65" s="191"/>
      <c r="O65" s="60"/>
      <c r="Q65" s="67"/>
      <c r="R65" s="65"/>
      <c r="S65" s="3"/>
      <c r="U65" s="67"/>
      <c r="V65" s="67"/>
      <c r="Z65" s="69"/>
      <c r="AA65" s="70"/>
      <c r="AB65" s="71"/>
      <c r="AC65" s="71"/>
      <c r="AD65" s="71"/>
      <c r="AE65" s="71"/>
      <c r="AF65" s="71"/>
      <c r="AG65" s="71"/>
      <c r="AH65" s="71"/>
    </row>
    <row r="66" ht="15.75" customHeight="1">
      <c r="C66" s="841"/>
      <c r="E66" s="915"/>
      <c r="G66" s="13"/>
      <c r="H66" s="13"/>
      <c r="I66" s="6"/>
      <c r="J66" s="58"/>
      <c r="K66" s="6"/>
      <c r="L66" s="139"/>
      <c r="M66" s="3"/>
      <c r="N66" s="191"/>
      <c r="O66" s="60"/>
      <c r="Q66" s="67"/>
      <c r="R66" s="65"/>
      <c r="S66" s="3"/>
      <c r="U66" s="67"/>
      <c r="V66" s="67"/>
      <c r="Z66" s="69"/>
      <c r="AA66" s="70"/>
      <c r="AB66" s="71"/>
      <c r="AC66" s="71"/>
      <c r="AD66" s="71"/>
      <c r="AE66" s="71"/>
      <c r="AF66" s="71"/>
      <c r="AG66" s="71"/>
      <c r="AH66" s="71"/>
    </row>
    <row r="67" ht="15.75" customHeight="1">
      <c r="C67" s="841"/>
      <c r="E67" s="915"/>
      <c r="G67" s="13"/>
      <c r="H67" s="13"/>
      <c r="I67" s="6"/>
      <c r="J67" s="58"/>
      <c r="K67" s="6"/>
      <c r="L67" s="139"/>
      <c r="M67" s="3"/>
      <c r="N67" s="191"/>
      <c r="O67" s="60"/>
      <c r="Q67" s="67"/>
      <c r="R67" s="65"/>
      <c r="S67" s="3"/>
      <c r="U67" s="67"/>
      <c r="V67" s="67"/>
      <c r="Z67" s="69"/>
      <c r="AA67" s="70"/>
      <c r="AB67" s="71"/>
      <c r="AC67" s="71"/>
      <c r="AD67" s="71"/>
      <c r="AE67" s="71"/>
      <c r="AF67" s="71"/>
      <c r="AG67" s="71"/>
      <c r="AH67" s="71"/>
    </row>
    <row r="68" ht="15.75" customHeight="1">
      <c r="C68" s="841"/>
      <c r="E68" s="915"/>
      <c r="G68" s="13"/>
      <c r="H68" s="13"/>
      <c r="I68" s="6"/>
      <c r="J68" s="58"/>
      <c r="K68" s="6"/>
      <c r="L68" s="139"/>
      <c r="M68" s="3"/>
      <c r="N68" s="191"/>
      <c r="O68" s="60"/>
      <c r="Q68" s="67"/>
      <c r="R68" s="65"/>
      <c r="S68" s="3"/>
      <c r="U68" s="67"/>
      <c r="V68" s="67"/>
      <c r="Z68" s="69"/>
      <c r="AA68" s="70"/>
      <c r="AB68" s="71"/>
      <c r="AC68" s="71"/>
      <c r="AD68" s="71"/>
      <c r="AE68" s="71"/>
      <c r="AF68" s="71"/>
      <c r="AG68" s="71"/>
      <c r="AH68" s="71"/>
    </row>
    <row r="69" ht="15.75" customHeight="1">
      <c r="C69" s="841"/>
      <c r="E69" s="915"/>
      <c r="G69" s="13"/>
      <c r="H69" s="13"/>
      <c r="I69" s="6"/>
      <c r="J69" s="58"/>
      <c r="K69" s="6"/>
      <c r="L69" s="139"/>
      <c r="M69" s="3"/>
      <c r="N69" s="191"/>
      <c r="O69" s="60"/>
      <c r="Q69" s="67"/>
      <c r="R69" s="65"/>
      <c r="S69" s="3"/>
      <c r="U69" s="67"/>
      <c r="V69" s="67"/>
      <c r="Z69" s="69"/>
      <c r="AA69" s="70"/>
      <c r="AB69" s="71"/>
      <c r="AC69" s="71"/>
      <c r="AD69" s="71"/>
      <c r="AE69" s="71"/>
      <c r="AF69" s="71"/>
      <c r="AG69" s="71"/>
      <c r="AH69" s="71"/>
    </row>
    <row r="70" ht="15.75" customHeight="1">
      <c r="C70" s="841"/>
      <c r="E70" s="915"/>
      <c r="G70" s="13"/>
      <c r="H70" s="13"/>
      <c r="I70" s="6"/>
      <c r="J70" s="58"/>
      <c r="K70" s="6"/>
      <c r="L70" s="139"/>
      <c r="M70" s="3"/>
      <c r="N70" s="191"/>
      <c r="O70" s="60"/>
      <c r="Q70" s="67"/>
      <c r="R70" s="65"/>
      <c r="S70" s="3"/>
      <c r="U70" s="67"/>
      <c r="V70" s="67"/>
      <c r="Z70" s="69"/>
      <c r="AA70" s="70"/>
      <c r="AB70" s="71"/>
      <c r="AC70" s="71"/>
      <c r="AD70" s="71"/>
      <c r="AE70" s="71"/>
      <c r="AF70" s="71"/>
      <c r="AG70" s="71"/>
      <c r="AH70" s="71"/>
    </row>
    <row r="71" ht="15.75" customHeight="1">
      <c r="C71" s="841"/>
      <c r="E71" s="915"/>
      <c r="G71" s="13"/>
      <c r="H71" s="13"/>
      <c r="I71" s="6"/>
      <c r="J71" s="58"/>
      <c r="K71" s="6"/>
      <c r="L71" s="139"/>
      <c r="M71" s="3"/>
      <c r="N71" s="191"/>
      <c r="O71" s="60"/>
      <c r="Q71" s="67"/>
      <c r="R71" s="65"/>
      <c r="S71" s="3"/>
      <c r="U71" s="67"/>
      <c r="V71" s="67"/>
      <c r="Z71" s="69"/>
      <c r="AA71" s="70"/>
      <c r="AB71" s="71"/>
      <c r="AC71" s="71"/>
      <c r="AD71" s="71"/>
      <c r="AE71" s="71"/>
      <c r="AF71" s="71"/>
      <c r="AG71" s="71"/>
      <c r="AH71" s="71"/>
    </row>
    <row r="72" ht="15.75" customHeight="1">
      <c r="C72" s="841"/>
      <c r="E72" s="915"/>
      <c r="G72" s="13"/>
      <c r="H72" s="13"/>
      <c r="I72" s="6"/>
      <c r="J72" s="58"/>
      <c r="K72" s="6"/>
      <c r="L72" s="139"/>
      <c r="M72" s="3"/>
      <c r="N72" s="191"/>
      <c r="O72" s="60"/>
      <c r="Q72" s="67"/>
      <c r="R72" s="65"/>
      <c r="S72" s="3"/>
      <c r="U72" s="67"/>
      <c r="V72" s="67"/>
      <c r="Z72" s="69"/>
      <c r="AA72" s="70"/>
      <c r="AB72" s="71"/>
      <c r="AC72" s="71"/>
      <c r="AD72" s="71"/>
      <c r="AE72" s="71"/>
      <c r="AF72" s="71"/>
      <c r="AG72" s="71"/>
      <c r="AH72" s="71"/>
    </row>
    <row r="73" ht="15.75" customHeight="1">
      <c r="C73" s="841"/>
      <c r="E73" s="915"/>
      <c r="G73" s="13"/>
      <c r="H73" s="13"/>
      <c r="I73" s="6"/>
      <c r="J73" s="58"/>
      <c r="K73" s="6"/>
      <c r="L73" s="139"/>
      <c r="M73" s="3"/>
      <c r="N73" s="191"/>
      <c r="O73" s="60"/>
      <c r="Q73" s="67"/>
      <c r="R73" s="65"/>
      <c r="S73" s="3"/>
      <c r="U73" s="67"/>
      <c r="V73" s="67"/>
      <c r="Z73" s="69"/>
      <c r="AA73" s="70"/>
      <c r="AB73" s="71"/>
      <c r="AC73" s="71"/>
      <c r="AD73" s="71"/>
      <c r="AE73" s="71"/>
      <c r="AF73" s="71"/>
      <c r="AG73" s="71"/>
      <c r="AH73" s="71"/>
    </row>
    <row r="74" ht="15.75" customHeight="1">
      <c r="C74" s="841"/>
      <c r="E74" s="915"/>
      <c r="G74" s="13"/>
      <c r="H74" s="13"/>
      <c r="I74" s="6"/>
      <c r="J74" s="58"/>
      <c r="K74" s="6"/>
      <c r="L74" s="139"/>
      <c r="M74" s="3"/>
      <c r="N74" s="191"/>
      <c r="O74" s="60"/>
      <c r="Q74" s="67"/>
      <c r="R74" s="65"/>
      <c r="S74" s="3"/>
      <c r="U74" s="67"/>
      <c r="V74" s="67"/>
      <c r="Z74" s="69"/>
      <c r="AA74" s="70"/>
      <c r="AB74" s="71"/>
      <c r="AC74" s="71"/>
      <c r="AD74" s="71"/>
      <c r="AE74" s="71"/>
      <c r="AF74" s="71"/>
      <c r="AG74" s="71"/>
      <c r="AH74" s="71"/>
    </row>
    <row r="75" ht="15.75" customHeight="1">
      <c r="C75" s="841"/>
      <c r="E75" s="915"/>
      <c r="G75" s="13"/>
      <c r="H75" s="13"/>
      <c r="I75" s="6"/>
      <c r="J75" s="58"/>
      <c r="K75" s="6"/>
      <c r="L75" s="139"/>
      <c r="M75" s="3"/>
      <c r="N75" s="191"/>
      <c r="O75" s="60"/>
      <c r="Q75" s="67"/>
      <c r="R75" s="65"/>
      <c r="S75" s="3"/>
      <c r="U75" s="67"/>
      <c r="V75" s="67"/>
      <c r="Z75" s="69"/>
      <c r="AA75" s="70"/>
      <c r="AB75" s="71"/>
      <c r="AC75" s="71"/>
      <c r="AD75" s="71"/>
      <c r="AE75" s="71"/>
      <c r="AF75" s="71"/>
      <c r="AG75" s="71"/>
      <c r="AH75" s="71"/>
    </row>
    <row r="76" ht="15.75" customHeight="1">
      <c r="C76" s="841"/>
      <c r="E76" s="915"/>
      <c r="G76" s="13"/>
      <c r="H76" s="13"/>
      <c r="I76" s="6"/>
      <c r="J76" s="58"/>
      <c r="K76" s="6"/>
      <c r="L76" s="139"/>
      <c r="M76" s="3"/>
      <c r="N76" s="191"/>
      <c r="O76" s="60"/>
      <c r="Q76" s="67"/>
      <c r="R76" s="65"/>
      <c r="S76" s="3"/>
      <c r="U76" s="67"/>
      <c r="V76" s="67"/>
      <c r="Z76" s="69"/>
      <c r="AA76" s="70"/>
      <c r="AB76" s="71"/>
      <c r="AC76" s="71"/>
      <c r="AD76" s="71"/>
      <c r="AE76" s="71"/>
      <c r="AF76" s="71"/>
      <c r="AG76" s="71"/>
      <c r="AH76" s="71"/>
    </row>
    <row r="77" ht="15.75" customHeight="1">
      <c r="C77" s="841"/>
      <c r="E77" s="915"/>
      <c r="G77" s="13"/>
      <c r="H77" s="13"/>
      <c r="I77" s="6"/>
      <c r="J77" s="58"/>
      <c r="K77" s="6"/>
      <c r="L77" s="139"/>
      <c r="M77" s="3"/>
      <c r="N77" s="191"/>
      <c r="O77" s="60"/>
      <c r="Q77" s="67"/>
      <c r="R77" s="65"/>
      <c r="S77" s="3"/>
      <c r="U77" s="67"/>
      <c r="V77" s="67"/>
      <c r="Z77" s="69"/>
      <c r="AA77" s="70"/>
      <c r="AB77" s="71"/>
      <c r="AC77" s="71"/>
      <c r="AD77" s="71"/>
      <c r="AE77" s="71"/>
      <c r="AF77" s="71"/>
      <c r="AG77" s="71"/>
      <c r="AH77" s="71"/>
    </row>
    <row r="78" ht="15.75" customHeight="1">
      <c r="C78" s="841"/>
      <c r="E78" s="915"/>
      <c r="G78" s="13"/>
      <c r="H78" s="13"/>
      <c r="I78" s="6"/>
      <c r="J78" s="58"/>
      <c r="K78" s="6"/>
      <c r="L78" s="139"/>
      <c r="M78" s="3"/>
      <c r="N78" s="191"/>
      <c r="O78" s="60"/>
      <c r="Q78" s="67"/>
      <c r="R78" s="65"/>
      <c r="S78" s="3"/>
      <c r="U78" s="67"/>
      <c r="V78" s="67"/>
      <c r="Z78" s="69"/>
      <c r="AA78" s="70"/>
      <c r="AB78" s="71"/>
      <c r="AC78" s="71"/>
      <c r="AD78" s="71"/>
      <c r="AE78" s="71"/>
      <c r="AF78" s="71"/>
      <c r="AG78" s="71"/>
      <c r="AH78" s="71"/>
    </row>
    <row r="79" ht="15.75" customHeight="1">
      <c r="C79" s="841"/>
      <c r="E79" s="915"/>
      <c r="G79" s="13"/>
      <c r="H79" s="13"/>
      <c r="I79" s="6"/>
      <c r="J79" s="58"/>
      <c r="K79" s="6"/>
      <c r="L79" s="139"/>
      <c r="M79" s="3"/>
      <c r="N79" s="191"/>
      <c r="O79" s="60"/>
      <c r="Q79" s="67"/>
      <c r="R79" s="65"/>
      <c r="S79" s="3"/>
      <c r="U79" s="67"/>
      <c r="V79" s="67"/>
      <c r="Z79" s="69"/>
      <c r="AA79" s="70"/>
      <c r="AB79" s="71"/>
      <c r="AC79" s="71"/>
      <c r="AD79" s="71"/>
      <c r="AE79" s="71"/>
      <c r="AF79" s="71"/>
      <c r="AG79" s="71"/>
      <c r="AH79" s="71"/>
    </row>
    <row r="80" ht="15.75" customHeight="1">
      <c r="C80" s="841"/>
      <c r="E80" s="915"/>
      <c r="G80" s="13"/>
      <c r="H80" s="13"/>
      <c r="I80" s="6"/>
      <c r="J80" s="58"/>
      <c r="K80" s="6"/>
      <c r="L80" s="139"/>
      <c r="M80" s="3"/>
      <c r="N80" s="191"/>
      <c r="O80" s="60"/>
      <c r="Q80" s="67"/>
      <c r="R80" s="65"/>
      <c r="S80" s="3"/>
      <c r="U80" s="67"/>
      <c r="V80" s="67"/>
      <c r="Z80" s="69"/>
      <c r="AA80" s="70"/>
      <c r="AB80" s="71"/>
      <c r="AC80" s="71"/>
      <c r="AD80" s="71"/>
      <c r="AE80" s="71"/>
      <c r="AF80" s="71"/>
      <c r="AG80" s="71"/>
      <c r="AH80" s="71"/>
    </row>
    <row r="81" ht="15.75" customHeight="1">
      <c r="C81" s="841"/>
      <c r="E81" s="915"/>
      <c r="G81" s="13"/>
      <c r="H81" s="13"/>
      <c r="I81" s="6"/>
      <c r="J81" s="58"/>
      <c r="K81" s="6"/>
      <c r="L81" s="139"/>
      <c r="M81" s="3"/>
      <c r="N81" s="191"/>
      <c r="O81" s="60"/>
      <c r="Q81" s="67"/>
      <c r="R81" s="65"/>
      <c r="S81" s="3"/>
      <c r="U81" s="67"/>
      <c r="V81" s="67"/>
      <c r="Z81" s="69"/>
      <c r="AA81" s="70"/>
      <c r="AB81" s="71"/>
      <c r="AC81" s="71"/>
      <c r="AD81" s="71"/>
      <c r="AE81" s="71"/>
      <c r="AF81" s="71"/>
      <c r="AG81" s="71"/>
      <c r="AH81" s="71"/>
    </row>
    <row r="82" ht="15.75" customHeight="1">
      <c r="C82" s="841"/>
      <c r="E82" s="915"/>
      <c r="G82" s="13"/>
      <c r="H82" s="13"/>
      <c r="I82" s="6"/>
      <c r="J82" s="58"/>
      <c r="K82" s="6"/>
      <c r="L82" s="139"/>
      <c r="M82" s="3"/>
      <c r="N82" s="191"/>
      <c r="O82" s="60"/>
      <c r="Q82" s="67"/>
      <c r="R82" s="65"/>
      <c r="S82" s="3"/>
      <c r="U82" s="67"/>
      <c r="V82" s="67"/>
      <c r="Z82" s="69"/>
      <c r="AA82" s="70"/>
      <c r="AB82" s="71"/>
      <c r="AC82" s="71"/>
      <c r="AD82" s="71"/>
      <c r="AE82" s="71"/>
      <c r="AF82" s="71"/>
      <c r="AG82" s="71"/>
      <c r="AH82" s="71"/>
    </row>
    <row r="83" ht="15.75" customHeight="1">
      <c r="C83" s="841"/>
      <c r="E83" s="915"/>
      <c r="G83" s="13"/>
      <c r="H83" s="13"/>
      <c r="I83" s="6"/>
      <c r="J83" s="58"/>
      <c r="K83" s="6"/>
      <c r="L83" s="139"/>
      <c r="M83" s="3"/>
      <c r="N83" s="191"/>
      <c r="O83" s="60"/>
      <c r="Q83" s="67"/>
      <c r="R83" s="65"/>
      <c r="S83" s="3"/>
      <c r="U83" s="67"/>
      <c r="V83" s="67"/>
      <c r="Z83" s="69"/>
      <c r="AA83" s="70"/>
      <c r="AB83" s="71"/>
      <c r="AC83" s="71"/>
      <c r="AD83" s="71"/>
      <c r="AE83" s="71"/>
      <c r="AF83" s="71"/>
      <c r="AG83" s="71"/>
      <c r="AH83" s="71"/>
    </row>
    <row r="84" ht="15.75" customHeight="1">
      <c r="C84" s="841"/>
      <c r="E84" s="915"/>
      <c r="G84" s="13"/>
      <c r="H84" s="13"/>
      <c r="I84" s="6"/>
      <c r="J84" s="58"/>
      <c r="K84" s="6"/>
      <c r="L84" s="139"/>
      <c r="M84" s="3"/>
      <c r="N84" s="191"/>
      <c r="O84" s="60"/>
      <c r="Q84" s="67"/>
      <c r="R84" s="65"/>
      <c r="S84" s="3"/>
      <c r="U84" s="67"/>
      <c r="V84" s="67"/>
      <c r="Z84" s="69"/>
      <c r="AA84" s="70"/>
      <c r="AB84" s="71"/>
      <c r="AC84" s="71"/>
      <c r="AD84" s="71"/>
      <c r="AE84" s="71"/>
      <c r="AF84" s="71"/>
      <c r="AG84" s="71"/>
      <c r="AH84" s="71"/>
    </row>
    <row r="85" ht="15.75" customHeight="1">
      <c r="C85" s="841"/>
      <c r="E85" s="915"/>
      <c r="G85" s="13"/>
      <c r="H85" s="13"/>
      <c r="I85" s="6"/>
      <c r="J85" s="58"/>
      <c r="K85" s="6"/>
      <c r="L85" s="139"/>
      <c r="M85" s="3"/>
      <c r="N85" s="191"/>
      <c r="O85" s="60"/>
      <c r="Q85" s="67"/>
      <c r="R85" s="65"/>
      <c r="S85" s="3"/>
      <c r="U85" s="67"/>
      <c r="V85" s="67"/>
      <c r="Z85" s="69"/>
      <c r="AA85" s="70"/>
      <c r="AB85" s="71"/>
      <c r="AC85" s="71"/>
      <c r="AD85" s="71"/>
      <c r="AE85" s="71"/>
      <c r="AF85" s="71"/>
      <c r="AG85" s="71"/>
      <c r="AH85" s="71"/>
    </row>
    <row r="86" ht="15.75" customHeight="1">
      <c r="C86" s="841"/>
      <c r="E86" s="915"/>
      <c r="G86" s="13"/>
      <c r="H86" s="13"/>
      <c r="I86" s="6"/>
      <c r="J86" s="58"/>
      <c r="K86" s="6"/>
      <c r="L86" s="139"/>
      <c r="M86" s="3"/>
      <c r="N86" s="191"/>
      <c r="O86" s="60"/>
      <c r="Q86" s="67"/>
      <c r="R86" s="65"/>
      <c r="S86" s="3"/>
      <c r="U86" s="67"/>
      <c r="V86" s="67"/>
      <c r="Z86" s="69"/>
      <c r="AA86" s="70"/>
      <c r="AB86" s="71"/>
      <c r="AC86" s="71"/>
      <c r="AD86" s="71"/>
      <c r="AE86" s="71"/>
      <c r="AF86" s="71"/>
      <c r="AG86" s="71"/>
      <c r="AH86" s="71"/>
    </row>
    <row r="87" ht="15.75" customHeight="1">
      <c r="C87" s="841"/>
      <c r="E87" s="915"/>
      <c r="G87" s="13"/>
      <c r="H87" s="13"/>
      <c r="I87" s="6"/>
      <c r="J87" s="58"/>
      <c r="K87" s="6"/>
      <c r="L87" s="139"/>
      <c r="M87" s="3"/>
      <c r="N87" s="191"/>
      <c r="O87" s="60"/>
      <c r="Q87" s="67"/>
      <c r="R87" s="65"/>
      <c r="S87" s="3"/>
      <c r="U87" s="67"/>
      <c r="V87" s="67"/>
      <c r="Z87" s="69"/>
      <c r="AA87" s="70"/>
      <c r="AB87" s="71"/>
      <c r="AC87" s="71"/>
      <c r="AD87" s="71"/>
      <c r="AE87" s="71"/>
      <c r="AF87" s="71"/>
      <c r="AG87" s="71"/>
      <c r="AH87" s="71"/>
    </row>
    <row r="88" ht="15.75" customHeight="1">
      <c r="C88" s="841"/>
      <c r="E88" s="915"/>
      <c r="G88" s="13"/>
      <c r="H88" s="13"/>
      <c r="I88" s="6"/>
      <c r="J88" s="58"/>
      <c r="K88" s="6"/>
      <c r="L88" s="139"/>
      <c r="M88" s="3"/>
      <c r="N88" s="191"/>
      <c r="O88" s="60"/>
      <c r="Q88" s="67"/>
      <c r="R88" s="65"/>
      <c r="S88" s="3"/>
      <c r="U88" s="67"/>
      <c r="V88" s="67"/>
      <c r="Z88" s="69"/>
      <c r="AA88" s="70"/>
      <c r="AB88" s="71"/>
      <c r="AC88" s="71"/>
      <c r="AD88" s="71"/>
      <c r="AE88" s="71"/>
      <c r="AF88" s="71"/>
      <c r="AG88" s="71"/>
      <c r="AH88" s="71"/>
    </row>
    <row r="89" ht="15.75" customHeight="1">
      <c r="C89" s="841"/>
      <c r="E89" s="915"/>
      <c r="G89" s="13"/>
      <c r="H89" s="13"/>
      <c r="I89" s="6"/>
      <c r="J89" s="58"/>
      <c r="K89" s="6"/>
      <c r="L89" s="139"/>
      <c r="M89" s="3"/>
      <c r="N89" s="191"/>
      <c r="O89" s="60"/>
      <c r="Q89" s="67"/>
      <c r="R89" s="65"/>
      <c r="S89" s="3"/>
      <c r="U89" s="67"/>
      <c r="V89" s="67"/>
      <c r="Z89" s="69"/>
      <c r="AA89" s="70"/>
      <c r="AB89" s="71"/>
      <c r="AC89" s="71"/>
      <c r="AD89" s="71"/>
      <c r="AE89" s="71"/>
      <c r="AF89" s="71"/>
      <c r="AG89" s="71"/>
      <c r="AH89" s="71"/>
    </row>
    <row r="90" ht="15.75" customHeight="1">
      <c r="C90" s="841"/>
      <c r="E90" s="915"/>
      <c r="G90" s="13"/>
      <c r="H90" s="13"/>
      <c r="I90" s="6"/>
      <c r="J90" s="58"/>
      <c r="K90" s="6"/>
      <c r="L90" s="139"/>
      <c r="M90" s="3"/>
      <c r="N90" s="191"/>
      <c r="O90" s="60"/>
      <c r="Q90" s="67"/>
      <c r="R90" s="65"/>
      <c r="S90" s="3"/>
      <c r="U90" s="67"/>
      <c r="V90" s="67"/>
      <c r="Z90" s="69"/>
      <c r="AA90" s="70"/>
      <c r="AB90" s="71"/>
      <c r="AC90" s="71"/>
      <c r="AD90" s="71"/>
      <c r="AE90" s="71"/>
      <c r="AF90" s="71"/>
      <c r="AG90" s="71"/>
      <c r="AH90" s="71"/>
    </row>
    <row r="91" ht="15.75" customHeight="1">
      <c r="C91" s="841"/>
      <c r="E91" s="915"/>
      <c r="G91" s="13"/>
      <c r="H91" s="13"/>
      <c r="I91" s="6"/>
      <c r="J91" s="58"/>
      <c r="K91" s="6"/>
      <c r="L91" s="139"/>
      <c r="M91" s="3"/>
      <c r="N91" s="191"/>
      <c r="O91" s="60"/>
      <c r="Q91" s="67"/>
      <c r="R91" s="65"/>
      <c r="S91" s="3"/>
      <c r="U91" s="67"/>
      <c r="V91" s="67"/>
      <c r="Z91" s="69"/>
      <c r="AA91" s="70"/>
      <c r="AB91" s="71"/>
      <c r="AC91" s="71"/>
      <c r="AD91" s="71"/>
      <c r="AE91" s="71"/>
      <c r="AF91" s="71"/>
      <c r="AG91" s="71"/>
      <c r="AH91" s="71"/>
    </row>
    <row r="92" ht="15.75" customHeight="1">
      <c r="C92" s="841"/>
      <c r="E92" s="915"/>
      <c r="G92" s="13"/>
      <c r="H92" s="13"/>
      <c r="I92" s="6"/>
      <c r="J92" s="58"/>
      <c r="K92" s="6"/>
      <c r="L92" s="139"/>
      <c r="M92" s="3"/>
      <c r="N92" s="191"/>
      <c r="O92" s="60"/>
      <c r="Q92" s="67"/>
      <c r="R92" s="65"/>
      <c r="S92" s="3"/>
      <c r="U92" s="67"/>
      <c r="V92" s="67"/>
      <c r="Z92" s="69"/>
      <c r="AA92" s="70"/>
      <c r="AB92" s="71"/>
      <c r="AC92" s="71"/>
      <c r="AD92" s="71"/>
      <c r="AE92" s="71"/>
      <c r="AF92" s="71"/>
      <c r="AG92" s="71"/>
      <c r="AH92" s="71"/>
    </row>
    <row r="93" ht="15.75" customHeight="1">
      <c r="C93" s="841"/>
      <c r="E93" s="915"/>
      <c r="G93" s="13"/>
      <c r="H93" s="13"/>
      <c r="I93" s="6"/>
      <c r="J93" s="58"/>
      <c r="K93" s="6"/>
      <c r="L93" s="139"/>
      <c r="M93" s="3"/>
      <c r="N93" s="191"/>
      <c r="O93" s="60"/>
      <c r="Q93" s="67"/>
      <c r="R93" s="65"/>
      <c r="S93" s="3"/>
      <c r="U93" s="67"/>
      <c r="V93" s="67"/>
      <c r="Z93" s="69"/>
      <c r="AA93" s="70"/>
      <c r="AB93" s="71"/>
      <c r="AC93" s="71"/>
      <c r="AD93" s="71"/>
      <c r="AE93" s="71"/>
      <c r="AF93" s="71"/>
      <c r="AG93" s="71"/>
      <c r="AH93" s="71"/>
    </row>
    <row r="94" ht="15.75" customHeight="1">
      <c r="C94" s="841"/>
      <c r="E94" s="915"/>
      <c r="G94" s="13"/>
      <c r="H94" s="13"/>
      <c r="I94" s="6"/>
      <c r="J94" s="58"/>
      <c r="K94" s="6"/>
      <c r="L94" s="139"/>
      <c r="M94" s="3"/>
      <c r="N94" s="191"/>
      <c r="O94" s="60"/>
      <c r="Q94" s="67"/>
      <c r="R94" s="65"/>
      <c r="S94" s="3"/>
      <c r="U94" s="67"/>
      <c r="V94" s="67"/>
      <c r="Z94" s="69"/>
      <c r="AA94" s="70"/>
      <c r="AB94" s="71"/>
      <c r="AC94" s="71"/>
      <c r="AD94" s="71"/>
      <c r="AE94" s="71"/>
      <c r="AF94" s="71"/>
      <c r="AG94" s="71"/>
      <c r="AH94" s="71"/>
    </row>
    <row r="95" ht="15.75" customHeight="1">
      <c r="C95" s="841"/>
      <c r="E95" s="915"/>
      <c r="G95" s="13"/>
      <c r="H95" s="13"/>
      <c r="I95" s="6"/>
      <c r="J95" s="58"/>
      <c r="K95" s="6"/>
      <c r="L95" s="139"/>
      <c r="M95" s="3"/>
      <c r="N95" s="191"/>
      <c r="O95" s="60"/>
      <c r="Q95" s="67"/>
      <c r="R95" s="65"/>
      <c r="S95" s="3"/>
      <c r="U95" s="67"/>
      <c r="V95" s="67"/>
      <c r="Z95" s="69"/>
      <c r="AA95" s="70"/>
      <c r="AB95" s="71"/>
      <c r="AC95" s="71"/>
      <c r="AD95" s="71"/>
      <c r="AE95" s="71"/>
      <c r="AF95" s="71"/>
      <c r="AG95" s="71"/>
      <c r="AH95" s="71"/>
    </row>
    <row r="96" ht="15.75" customHeight="1">
      <c r="C96" s="841"/>
      <c r="E96" s="915"/>
      <c r="G96" s="13"/>
      <c r="H96" s="13"/>
      <c r="I96" s="6"/>
      <c r="J96" s="58"/>
      <c r="K96" s="6"/>
      <c r="L96" s="139"/>
      <c r="M96" s="3"/>
      <c r="N96" s="191"/>
      <c r="O96" s="60"/>
      <c r="Q96" s="67"/>
      <c r="R96" s="65"/>
      <c r="S96" s="3"/>
      <c r="U96" s="67"/>
      <c r="V96" s="67"/>
      <c r="Z96" s="69"/>
      <c r="AA96" s="70"/>
      <c r="AB96" s="71"/>
      <c r="AC96" s="71"/>
      <c r="AD96" s="71"/>
      <c r="AE96" s="71"/>
      <c r="AF96" s="71"/>
      <c r="AG96" s="71"/>
      <c r="AH96" s="71"/>
    </row>
    <row r="97" ht="15.75" customHeight="1">
      <c r="C97" s="841"/>
      <c r="E97" s="915"/>
      <c r="G97" s="13"/>
      <c r="H97" s="13"/>
      <c r="I97" s="6"/>
      <c r="J97" s="58"/>
      <c r="K97" s="6"/>
      <c r="L97" s="139"/>
      <c r="M97" s="3"/>
      <c r="N97" s="191"/>
      <c r="O97" s="60"/>
      <c r="Q97" s="67"/>
      <c r="R97" s="65"/>
      <c r="S97" s="3"/>
      <c r="U97" s="67"/>
      <c r="V97" s="67"/>
      <c r="Z97" s="69"/>
      <c r="AA97" s="70"/>
      <c r="AB97" s="71"/>
      <c r="AC97" s="71"/>
      <c r="AD97" s="71"/>
      <c r="AE97" s="71"/>
      <c r="AF97" s="71"/>
      <c r="AG97" s="71"/>
      <c r="AH97" s="71"/>
    </row>
    <row r="98" ht="15.75" customHeight="1">
      <c r="C98" s="841"/>
      <c r="E98" s="915"/>
      <c r="G98" s="13"/>
      <c r="H98" s="13"/>
      <c r="I98" s="6"/>
      <c r="J98" s="58"/>
      <c r="K98" s="6"/>
      <c r="L98" s="139"/>
      <c r="M98" s="3"/>
      <c r="N98" s="191"/>
      <c r="O98" s="60"/>
      <c r="Q98" s="67"/>
      <c r="R98" s="65"/>
      <c r="S98" s="3"/>
      <c r="U98" s="67"/>
      <c r="V98" s="67"/>
      <c r="Z98" s="69"/>
      <c r="AA98" s="70"/>
      <c r="AB98" s="71"/>
      <c r="AC98" s="71"/>
      <c r="AD98" s="71"/>
      <c r="AE98" s="71"/>
      <c r="AF98" s="71"/>
      <c r="AG98" s="71"/>
      <c r="AH98" s="71"/>
    </row>
    <row r="99" ht="15.75" customHeight="1">
      <c r="C99" s="841"/>
      <c r="E99" s="915"/>
      <c r="G99" s="13"/>
      <c r="H99" s="13"/>
      <c r="I99" s="6"/>
      <c r="J99" s="58"/>
      <c r="K99" s="6"/>
      <c r="L99" s="139"/>
      <c r="M99" s="3"/>
      <c r="N99" s="191"/>
      <c r="O99" s="60"/>
      <c r="Q99" s="67"/>
      <c r="R99" s="65"/>
      <c r="S99" s="3"/>
      <c r="U99" s="67"/>
      <c r="V99" s="67"/>
      <c r="Z99" s="69"/>
      <c r="AA99" s="70"/>
      <c r="AB99" s="71"/>
      <c r="AC99" s="71"/>
      <c r="AD99" s="71"/>
      <c r="AE99" s="71"/>
      <c r="AF99" s="71"/>
      <c r="AG99" s="71"/>
      <c r="AH99" s="71"/>
    </row>
    <row r="100" ht="15.75" customHeight="1">
      <c r="C100" s="841"/>
      <c r="E100" s="915"/>
      <c r="G100" s="13"/>
      <c r="H100" s="13"/>
      <c r="I100" s="6"/>
      <c r="J100" s="58"/>
      <c r="K100" s="6"/>
      <c r="L100" s="139"/>
      <c r="M100" s="3"/>
      <c r="N100" s="191"/>
      <c r="O100" s="60"/>
      <c r="Q100" s="67"/>
      <c r="R100" s="65"/>
      <c r="S100" s="3"/>
      <c r="U100" s="67"/>
      <c r="V100" s="67"/>
      <c r="Z100" s="69"/>
      <c r="AA100" s="70"/>
      <c r="AB100" s="71"/>
      <c r="AC100" s="71"/>
      <c r="AD100" s="71"/>
      <c r="AE100" s="71"/>
      <c r="AF100" s="71"/>
      <c r="AG100" s="71"/>
      <c r="AH100" s="71"/>
    </row>
    <row r="101" ht="15.75" customHeight="1">
      <c r="C101" s="841"/>
      <c r="E101" s="915"/>
      <c r="G101" s="13"/>
      <c r="H101" s="13"/>
      <c r="I101" s="6"/>
      <c r="J101" s="58"/>
      <c r="K101" s="6"/>
      <c r="L101" s="139"/>
      <c r="M101" s="3"/>
      <c r="N101" s="191"/>
      <c r="O101" s="60"/>
      <c r="Q101" s="67"/>
      <c r="R101" s="65"/>
      <c r="S101" s="3"/>
      <c r="U101" s="67"/>
      <c r="V101" s="67"/>
      <c r="Z101" s="69"/>
      <c r="AA101" s="70"/>
      <c r="AB101" s="71"/>
      <c r="AC101" s="71"/>
      <c r="AD101" s="71"/>
      <c r="AE101" s="71"/>
      <c r="AF101" s="71"/>
      <c r="AG101" s="71"/>
      <c r="AH101" s="71"/>
    </row>
    <row r="102" ht="15.75" customHeight="1">
      <c r="C102" s="841"/>
      <c r="E102" s="915"/>
      <c r="G102" s="13"/>
      <c r="H102" s="13"/>
      <c r="I102" s="6"/>
      <c r="J102" s="58"/>
      <c r="K102" s="6"/>
      <c r="L102" s="139"/>
      <c r="M102" s="3"/>
      <c r="N102" s="191"/>
      <c r="O102" s="60"/>
      <c r="Q102" s="67"/>
      <c r="R102" s="65"/>
      <c r="S102" s="3"/>
      <c r="U102" s="67"/>
      <c r="V102" s="67"/>
      <c r="Z102" s="69"/>
      <c r="AA102" s="70"/>
      <c r="AB102" s="71"/>
      <c r="AC102" s="71"/>
      <c r="AD102" s="71"/>
      <c r="AE102" s="71"/>
      <c r="AF102" s="71"/>
      <c r="AG102" s="71"/>
      <c r="AH102" s="71"/>
    </row>
    <row r="103" ht="15.75" customHeight="1">
      <c r="C103" s="841"/>
      <c r="E103" s="915"/>
      <c r="G103" s="13"/>
      <c r="H103" s="13"/>
      <c r="I103" s="6"/>
      <c r="J103" s="58"/>
      <c r="K103" s="6"/>
      <c r="L103" s="139"/>
      <c r="M103" s="3"/>
      <c r="N103" s="191"/>
      <c r="O103" s="60"/>
      <c r="Q103" s="67"/>
      <c r="R103" s="65"/>
      <c r="S103" s="3"/>
      <c r="U103" s="67"/>
      <c r="V103" s="67"/>
      <c r="Z103" s="69"/>
      <c r="AA103" s="70"/>
      <c r="AB103" s="71"/>
      <c r="AC103" s="71"/>
      <c r="AD103" s="71"/>
      <c r="AE103" s="71"/>
      <c r="AF103" s="71"/>
      <c r="AG103" s="71"/>
      <c r="AH103" s="71"/>
    </row>
    <row r="104" ht="15.75" customHeight="1">
      <c r="C104" s="841"/>
      <c r="E104" s="915"/>
      <c r="G104" s="13"/>
      <c r="H104" s="13"/>
      <c r="I104" s="6"/>
      <c r="J104" s="58"/>
      <c r="K104" s="6"/>
      <c r="L104" s="139"/>
      <c r="M104" s="3"/>
      <c r="N104" s="191"/>
      <c r="O104" s="60"/>
      <c r="Q104" s="67"/>
      <c r="R104" s="65"/>
      <c r="S104" s="3"/>
      <c r="U104" s="67"/>
      <c r="V104" s="67"/>
      <c r="Z104" s="69"/>
      <c r="AA104" s="70"/>
      <c r="AB104" s="71"/>
      <c r="AC104" s="71"/>
      <c r="AD104" s="71"/>
      <c r="AE104" s="71"/>
      <c r="AF104" s="71"/>
      <c r="AG104" s="71"/>
      <c r="AH104" s="71"/>
    </row>
    <row r="105" ht="15.75" customHeight="1">
      <c r="C105" s="841"/>
      <c r="E105" s="915"/>
      <c r="G105" s="13"/>
      <c r="H105" s="13"/>
      <c r="I105" s="6"/>
      <c r="J105" s="58"/>
      <c r="K105" s="6"/>
      <c r="L105" s="139"/>
      <c r="M105" s="3"/>
      <c r="N105" s="191"/>
      <c r="O105" s="60"/>
      <c r="Q105" s="67"/>
      <c r="R105" s="65"/>
      <c r="S105" s="3"/>
      <c r="U105" s="67"/>
      <c r="V105" s="67"/>
      <c r="Z105" s="69"/>
      <c r="AA105" s="70"/>
      <c r="AB105" s="71"/>
      <c r="AC105" s="71"/>
      <c r="AD105" s="71"/>
      <c r="AE105" s="71"/>
      <c r="AF105" s="71"/>
      <c r="AG105" s="71"/>
      <c r="AH105" s="71"/>
    </row>
    <row r="106" ht="15.75" customHeight="1">
      <c r="C106" s="841"/>
      <c r="E106" s="915"/>
      <c r="G106" s="13"/>
      <c r="H106" s="13"/>
      <c r="I106" s="6"/>
      <c r="J106" s="58"/>
      <c r="K106" s="6"/>
      <c r="L106" s="139"/>
      <c r="M106" s="3"/>
      <c r="N106" s="191"/>
      <c r="O106" s="60"/>
      <c r="Q106" s="67"/>
      <c r="R106" s="65"/>
      <c r="S106" s="3"/>
      <c r="U106" s="67"/>
      <c r="V106" s="67"/>
      <c r="Z106" s="69"/>
      <c r="AA106" s="70"/>
      <c r="AB106" s="71"/>
      <c r="AC106" s="71"/>
      <c r="AD106" s="71"/>
      <c r="AE106" s="71"/>
      <c r="AF106" s="71"/>
      <c r="AG106" s="71"/>
      <c r="AH106" s="71"/>
    </row>
    <row r="107" ht="15.75" customHeight="1">
      <c r="C107" s="841"/>
      <c r="E107" s="915"/>
      <c r="G107" s="13"/>
      <c r="H107" s="13"/>
      <c r="I107" s="6"/>
      <c r="J107" s="58"/>
      <c r="K107" s="6"/>
      <c r="L107" s="139"/>
      <c r="M107" s="3"/>
      <c r="N107" s="191"/>
      <c r="O107" s="60"/>
      <c r="Q107" s="67"/>
      <c r="R107" s="65"/>
      <c r="S107" s="3"/>
      <c r="U107" s="67"/>
      <c r="V107" s="67"/>
      <c r="Z107" s="69"/>
      <c r="AA107" s="70"/>
      <c r="AB107" s="71"/>
      <c r="AC107" s="71"/>
      <c r="AD107" s="71"/>
      <c r="AE107" s="71"/>
      <c r="AF107" s="71"/>
      <c r="AG107" s="71"/>
      <c r="AH107" s="71"/>
    </row>
    <row r="108" ht="15.75" customHeight="1">
      <c r="C108" s="841"/>
      <c r="E108" s="915"/>
      <c r="G108" s="13"/>
      <c r="H108" s="13"/>
      <c r="I108" s="6"/>
      <c r="J108" s="58"/>
      <c r="K108" s="6"/>
      <c r="L108" s="139"/>
      <c r="M108" s="3"/>
      <c r="N108" s="191"/>
      <c r="O108" s="60"/>
      <c r="Q108" s="67"/>
      <c r="R108" s="65"/>
      <c r="S108" s="3"/>
      <c r="U108" s="67"/>
      <c r="V108" s="67"/>
      <c r="Z108" s="69"/>
      <c r="AA108" s="70"/>
      <c r="AB108" s="71"/>
      <c r="AC108" s="71"/>
      <c r="AD108" s="71"/>
      <c r="AE108" s="71"/>
      <c r="AF108" s="71"/>
      <c r="AG108" s="71"/>
      <c r="AH108" s="71"/>
    </row>
    <row r="109" ht="15.75" customHeight="1">
      <c r="C109" s="841"/>
      <c r="E109" s="915"/>
      <c r="G109" s="13"/>
      <c r="H109" s="13"/>
      <c r="I109" s="6"/>
      <c r="J109" s="58"/>
      <c r="K109" s="6"/>
      <c r="L109" s="139"/>
      <c r="M109" s="3"/>
      <c r="N109" s="191"/>
      <c r="O109" s="60"/>
      <c r="Q109" s="67"/>
      <c r="R109" s="65"/>
      <c r="S109" s="3"/>
      <c r="U109" s="67"/>
      <c r="V109" s="67"/>
      <c r="Z109" s="69"/>
      <c r="AA109" s="70"/>
      <c r="AB109" s="71"/>
      <c r="AC109" s="71"/>
      <c r="AD109" s="71"/>
      <c r="AE109" s="71"/>
      <c r="AF109" s="71"/>
      <c r="AG109" s="71"/>
      <c r="AH109" s="71"/>
    </row>
    <row r="110" ht="15.75" customHeight="1">
      <c r="C110" s="841"/>
      <c r="E110" s="915"/>
      <c r="G110" s="13"/>
      <c r="H110" s="13"/>
      <c r="I110" s="6"/>
      <c r="J110" s="58"/>
      <c r="K110" s="6"/>
      <c r="L110" s="139"/>
      <c r="M110" s="3"/>
      <c r="N110" s="191"/>
      <c r="O110" s="60"/>
      <c r="Q110" s="67"/>
      <c r="R110" s="65"/>
      <c r="S110" s="3"/>
      <c r="U110" s="67"/>
      <c r="V110" s="67"/>
      <c r="Z110" s="69"/>
      <c r="AA110" s="70"/>
      <c r="AB110" s="71"/>
      <c r="AC110" s="71"/>
      <c r="AD110" s="71"/>
      <c r="AE110" s="71"/>
      <c r="AF110" s="71"/>
      <c r="AG110" s="71"/>
      <c r="AH110" s="71"/>
    </row>
    <row r="111" ht="15.75" customHeight="1">
      <c r="C111" s="841"/>
      <c r="E111" s="915"/>
      <c r="G111" s="13"/>
      <c r="H111" s="13"/>
      <c r="I111" s="6"/>
      <c r="J111" s="58"/>
      <c r="K111" s="6"/>
      <c r="L111" s="139"/>
      <c r="M111" s="3"/>
      <c r="N111" s="191"/>
      <c r="O111" s="60"/>
      <c r="Q111" s="67"/>
      <c r="R111" s="65"/>
      <c r="S111" s="3"/>
      <c r="U111" s="67"/>
      <c r="V111" s="67"/>
      <c r="Z111" s="69"/>
      <c r="AA111" s="70"/>
      <c r="AB111" s="71"/>
      <c r="AC111" s="71"/>
      <c r="AD111" s="71"/>
      <c r="AE111" s="71"/>
      <c r="AF111" s="71"/>
      <c r="AG111" s="71"/>
      <c r="AH111" s="71"/>
    </row>
    <row r="112" ht="15.75" customHeight="1">
      <c r="C112" s="841"/>
      <c r="E112" s="915"/>
      <c r="G112" s="13"/>
      <c r="H112" s="13"/>
      <c r="I112" s="6"/>
      <c r="J112" s="58"/>
      <c r="K112" s="6"/>
      <c r="L112" s="139"/>
      <c r="M112" s="3"/>
      <c r="N112" s="191"/>
      <c r="O112" s="60"/>
      <c r="Q112" s="67"/>
      <c r="R112" s="65"/>
      <c r="S112" s="3"/>
      <c r="U112" s="67"/>
      <c r="V112" s="67"/>
      <c r="Z112" s="69"/>
      <c r="AA112" s="70"/>
      <c r="AB112" s="71"/>
      <c r="AC112" s="71"/>
      <c r="AD112" s="71"/>
      <c r="AE112" s="71"/>
      <c r="AF112" s="71"/>
      <c r="AG112" s="71"/>
      <c r="AH112" s="71"/>
    </row>
    <row r="113" ht="15.75" customHeight="1">
      <c r="C113" s="841"/>
      <c r="E113" s="915"/>
      <c r="G113" s="13"/>
      <c r="H113" s="13"/>
      <c r="I113" s="6"/>
      <c r="J113" s="58"/>
      <c r="K113" s="6"/>
      <c r="L113" s="139"/>
      <c r="M113" s="3"/>
      <c r="N113" s="191"/>
      <c r="O113" s="60"/>
      <c r="Q113" s="67"/>
      <c r="R113" s="65"/>
      <c r="S113" s="3"/>
      <c r="U113" s="67"/>
      <c r="V113" s="67"/>
      <c r="Z113" s="69"/>
      <c r="AA113" s="70"/>
      <c r="AB113" s="71"/>
      <c r="AC113" s="71"/>
      <c r="AD113" s="71"/>
      <c r="AE113" s="71"/>
      <c r="AF113" s="71"/>
      <c r="AG113" s="71"/>
      <c r="AH113" s="71"/>
    </row>
    <row r="114" ht="15.75" customHeight="1">
      <c r="C114" s="841"/>
      <c r="E114" s="915"/>
      <c r="G114" s="13"/>
      <c r="H114" s="13"/>
      <c r="I114" s="6"/>
      <c r="J114" s="58"/>
      <c r="K114" s="6"/>
      <c r="L114" s="139"/>
      <c r="M114" s="3"/>
      <c r="N114" s="191"/>
      <c r="O114" s="60"/>
      <c r="Q114" s="67"/>
      <c r="R114" s="65"/>
      <c r="S114" s="3"/>
      <c r="U114" s="67"/>
      <c r="V114" s="67"/>
      <c r="Z114" s="69"/>
      <c r="AA114" s="70"/>
      <c r="AB114" s="71"/>
      <c r="AC114" s="71"/>
      <c r="AD114" s="71"/>
      <c r="AE114" s="71"/>
      <c r="AF114" s="71"/>
      <c r="AG114" s="71"/>
      <c r="AH114" s="71"/>
    </row>
    <row r="115" ht="15.75" customHeight="1">
      <c r="C115" s="841"/>
      <c r="E115" s="915"/>
      <c r="G115" s="13"/>
      <c r="H115" s="13"/>
      <c r="I115" s="6"/>
      <c r="J115" s="58"/>
      <c r="K115" s="6"/>
      <c r="L115" s="139"/>
      <c r="M115" s="3"/>
      <c r="N115" s="191"/>
      <c r="O115" s="60"/>
      <c r="Q115" s="67"/>
      <c r="R115" s="65"/>
      <c r="S115" s="3"/>
      <c r="U115" s="67"/>
      <c r="V115" s="67"/>
      <c r="Z115" s="69"/>
      <c r="AA115" s="70"/>
      <c r="AB115" s="71"/>
      <c r="AC115" s="71"/>
      <c r="AD115" s="71"/>
      <c r="AE115" s="71"/>
      <c r="AF115" s="71"/>
      <c r="AG115" s="71"/>
      <c r="AH115" s="71"/>
    </row>
    <row r="116" ht="15.75" customHeight="1">
      <c r="C116" s="841"/>
      <c r="E116" s="915"/>
      <c r="G116" s="13"/>
      <c r="H116" s="13"/>
      <c r="I116" s="6"/>
      <c r="J116" s="58"/>
      <c r="K116" s="6"/>
      <c r="L116" s="139"/>
      <c r="M116" s="3"/>
      <c r="N116" s="191"/>
      <c r="O116" s="60"/>
      <c r="Q116" s="67"/>
      <c r="R116" s="65"/>
      <c r="S116" s="3"/>
      <c r="U116" s="67"/>
      <c r="V116" s="67"/>
      <c r="Z116" s="69"/>
      <c r="AA116" s="70"/>
      <c r="AB116" s="71"/>
      <c r="AC116" s="71"/>
      <c r="AD116" s="71"/>
      <c r="AE116" s="71"/>
      <c r="AF116" s="71"/>
      <c r="AG116" s="71"/>
      <c r="AH116" s="71"/>
    </row>
    <row r="117" ht="15.75" customHeight="1">
      <c r="C117" s="841"/>
      <c r="E117" s="915"/>
      <c r="G117" s="13"/>
      <c r="H117" s="13"/>
      <c r="I117" s="6"/>
      <c r="J117" s="58"/>
      <c r="K117" s="6"/>
      <c r="L117" s="139"/>
      <c r="M117" s="3"/>
      <c r="N117" s="191"/>
      <c r="O117" s="60"/>
      <c r="Q117" s="67"/>
      <c r="R117" s="65"/>
      <c r="S117" s="3"/>
      <c r="U117" s="67"/>
      <c r="V117" s="67"/>
      <c r="Z117" s="69"/>
      <c r="AA117" s="70"/>
      <c r="AB117" s="71"/>
      <c r="AC117" s="71"/>
      <c r="AD117" s="71"/>
      <c r="AE117" s="71"/>
      <c r="AF117" s="71"/>
      <c r="AG117" s="71"/>
      <c r="AH117" s="71"/>
    </row>
    <row r="118" ht="15.75" customHeight="1">
      <c r="C118" s="841"/>
      <c r="E118" s="915"/>
      <c r="G118" s="13"/>
      <c r="H118" s="13"/>
      <c r="I118" s="6"/>
      <c r="J118" s="58"/>
      <c r="K118" s="6"/>
      <c r="L118" s="139"/>
      <c r="M118" s="3"/>
      <c r="N118" s="191"/>
      <c r="O118" s="60"/>
      <c r="Q118" s="67"/>
      <c r="R118" s="65"/>
      <c r="S118" s="3"/>
      <c r="U118" s="67"/>
      <c r="V118" s="67"/>
      <c r="Z118" s="69"/>
      <c r="AA118" s="70"/>
      <c r="AB118" s="71"/>
      <c r="AC118" s="71"/>
      <c r="AD118" s="71"/>
      <c r="AE118" s="71"/>
      <c r="AF118" s="71"/>
      <c r="AG118" s="71"/>
      <c r="AH118" s="71"/>
    </row>
    <row r="119" ht="15.75" customHeight="1">
      <c r="C119" s="841"/>
      <c r="E119" s="915"/>
      <c r="G119" s="13"/>
      <c r="H119" s="13"/>
      <c r="I119" s="6"/>
      <c r="J119" s="58"/>
      <c r="K119" s="6"/>
      <c r="L119" s="139"/>
      <c r="M119" s="3"/>
      <c r="N119" s="191"/>
      <c r="O119" s="60"/>
      <c r="Q119" s="67"/>
      <c r="R119" s="65"/>
      <c r="S119" s="3"/>
      <c r="U119" s="67"/>
      <c r="V119" s="67"/>
      <c r="Z119" s="69"/>
      <c r="AA119" s="70"/>
      <c r="AB119" s="71"/>
      <c r="AC119" s="71"/>
      <c r="AD119" s="71"/>
      <c r="AE119" s="71"/>
      <c r="AF119" s="71"/>
      <c r="AG119" s="71"/>
      <c r="AH119" s="71"/>
    </row>
    <row r="120" ht="15.75" customHeight="1">
      <c r="C120" s="841"/>
      <c r="E120" s="915"/>
      <c r="G120" s="13"/>
      <c r="H120" s="13"/>
      <c r="I120" s="6"/>
      <c r="J120" s="58"/>
      <c r="K120" s="6"/>
      <c r="L120" s="139"/>
      <c r="M120" s="3"/>
      <c r="N120" s="191"/>
      <c r="O120" s="60"/>
      <c r="Q120" s="67"/>
      <c r="R120" s="65"/>
      <c r="S120" s="3"/>
      <c r="U120" s="67"/>
      <c r="V120" s="67"/>
      <c r="Z120" s="69"/>
      <c r="AA120" s="70"/>
      <c r="AB120" s="71"/>
      <c r="AC120" s="71"/>
      <c r="AD120" s="71"/>
      <c r="AE120" s="71"/>
      <c r="AF120" s="71"/>
      <c r="AG120" s="71"/>
      <c r="AH120" s="71"/>
    </row>
    <row r="121" ht="15.75" customHeight="1">
      <c r="C121" s="841"/>
      <c r="E121" s="915"/>
      <c r="G121" s="13"/>
      <c r="H121" s="13"/>
      <c r="I121" s="6"/>
      <c r="J121" s="58"/>
      <c r="K121" s="6"/>
      <c r="L121" s="139"/>
      <c r="M121" s="3"/>
      <c r="N121" s="191"/>
      <c r="O121" s="60"/>
      <c r="Q121" s="67"/>
      <c r="R121" s="65"/>
      <c r="S121" s="3"/>
      <c r="U121" s="67"/>
      <c r="V121" s="67"/>
      <c r="Z121" s="69"/>
      <c r="AA121" s="70"/>
      <c r="AB121" s="71"/>
      <c r="AC121" s="71"/>
      <c r="AD121" s="71"/>
      <c r="AE121" s="71"/>
      <c r="AF121" s="71"/>
      <c r="AG121" s="71"/>
      <c r="AH121" s="71"/>
    </row>
    <row r="122" ht="15.75" customHeight="1">
      <c r="C122" s="841"/>
      <c r="E122" s="915"/>
      <c r="G122" s="13"/>
      <c r="H122" s="13"/>
      <c r="I122" s="6"/>
      <c r="J122" s="58"/>
      <c r="K122" s="6"/>
      <c r="L122" s="139"/>
      <c r="M122" s="3"/>
      <c r="N122" s="191"/>
      <c r="O122" s="60"/>
      <c r="Q122" s="67"/>
      <c r="R122" s="65"/>
      <c r="S122" s="3"/>
      <c r="U122" s="67"/>
      <c r="V122" s="67"/>
      <c r="Z122" s="69"/>
      <c r="AA122" s="70"/>
      <c r="AB122" s="71"/>
      <c r="AC122" s="71"/>
      <c r="AD122" s="71"/>
      <c r="AE122" s="71"/>
      <c r="AF122" s="71"/>
      <c r="AG122" s="71"/>
      <c r="AH122" s="71"/>
    </row>
    <row r="123" ht="15.75" customHeight="1">
      <c r="C123" s="841"/>
      <c r="E123" s="915"/>
      <c r="G123" s="13"/>
      <c r="H123" s="13"/>
      <c r="I123" s="6"/>
      <c r="J123" s="58"/>
      <c r="K123" s="6"/>
      <c r="L123" s="139"/>
      <c r="M123" s="3"/>
      <c r="N123" s="191"/>
      <c r="O123" s="60"/>
      <c r="Q123" s="67"/>
      <c r="R123" s="65"/>
      <c r="S123" s="3"/>
      <c r="U123" s="67"/>
      <c r="V123" s="67"/>
      <c r="Z123" s="69"/>
      <c r="AA123" s="70"/>
      <c r="AB123" s="71"/>
      <c r="AC123" s="71"/>
      <c r="AD123" s="71"/>
      <c r="AE123" s="71"/>
      <c r="AF123" s="71"/>
      <c r="AG123" s="71"/>
      <c r="AH123" s="71"/>
    </row>
    <row r="124" ht="15.75" customHeight="1">
      <c r="C124" s="841"/>
      <c r="E124" s="915"/>
      <c r="G124" s="13"/>
      <c r="H124" s="13"/>
      <c r="I124" s="6"/>
      <c r="J124" s="58"/>
      <c r="K124" s="6"/>
      <c r="L124" s="139"/>
      <c r="M124" s="3"/>
      <c r="N124" s="191"/>
      <c r="O124" s="60"/>
      <c r="Q124" s="67"/>
      <c r="R124" s="65"/>
      <c r="S124" s="3"/>
      <c r="U124" s="67"/>
      <c r="V124" s="67"/>
      <c r="Z124" s="69"/>
      <c r="AA124" s="70"/>
      <c r="AB124" s="71"/>
      <c r="AC124" s="71"/>
      <c r="AD124" s="71"/>
      <c r="AE124" s="71"/>
      <c r="AF124" s="71"/>
      <c r="AG124" s="71"/>
      <c r="AH124" s="71"/>
    </row>
    <row r="125" ht="15.75" customHeight="1">
      <c r="C125" s="841"/>
      <c r="E125" s="915"/>
      <c r="G125" s="13"/>
      <c r="H125" s="13"/>
      <c r="I125" s="6"/>
      <c r="J125" s="58"/>
      <c r="K125" s="6"/>
      <c r="L125" s="139"/>
      <c r="M125" s="3"/>
      <c r="N125" s="191"/>
      <c r="O125" s="60"/>
      <c r="Q125" s="67"/>
      <c r="R125" s="65"/>
      <c r="S125" s="3"/>
      <c r="U125" s="67"/>
      <c r="V125" s="67"/>
      <c r="Z125" s="69"/>
      <c r="AA125" s="70"/>
      <c r="AB125" s="71"/>
      <c r="AC125" s="71"/>
      <c r="AD125" s="71"/>
      <c r="AE125" s="71"/>
      <c r="AF125" s="71"/>
      <c r="AG125" s="71"/>
      <c r="AH125" s="71"/>
    </row>
    <row r="126" ht="15.75" customHeight="1">
      <c r="C126" s="841"/>
      <c r="E126" s="915"/>
      <c r="G126" s="13"/>
      <c r="H126" s="13"/>
      <c r="I126" s="6"/>
      <c r="J126" s="58"/>
      <c r="K126" s="6"/>
      <c r="L126" s="139"/>
      <c r="M126" s="3"/>
      <c r="N126" s="191"/>
      <c r="O126" s="60"/>
      <c r="Q126" s="67"/>
      <c r="R126" s="65"/>
      <c r="S126" s="3"/>
      <c r="U126" s="67"/>
      <c r="V126" s="67"/>
      <c r="Z126" s="69"/>
      <c r="AA126" s="70"/>
      <c r="AB126" s="71"/>
      <c r="AC126" s="71"/>
      <c r="AD126" s="71"/>
      <c r="AE126" s="71"/>
      <c r="AF126" s="71"/>
      <c r="AG126" s="71"/>
      <c r="AH126" s="71"/>
    </row>
    <row r="127" ht="15.75" customHeight="1">
      <c r="C127" s="841"/>
      <c r="E127" s="915"/>
      <c r="G127" s="13"/>
      <c r="H127" s="13"/>
      <c r="I127" s="6"/>
      <c r="J127" s="58"/>
      <c r="K127" s="6"/>
      <c r="L127" s="139"/>
      <c r="M127" s="3"/>
      <c r="N127" s="191"/>
      <c r="O127" s="60"/>
      <c r="Q127" s="67"/>
      <c r="R127" s="65"/>
      <c r="S127" s="3"/>
      <c r="U127" s="67"/>
      <c r="V127" s="67"/>
      <c r="Z127" s="69"/>
      <c r="AA127" s="70"/>
      <c r="AB127" s="71"/>
      <c r="AC127" s="71"/>
      <c r="AD127" s="71"/>
      <c r="AE127" s="71"/>
      <c r="AF127" s="71"/>
      <c r="AG127" s="71"/>
      <c r="AH127" s="71"/>
    </row>
    <row r="128" ht="15.75" customHeight="1">
      <c r="C128" s="841"/>
      <c r="E128" s="915"/>
      <c r="G128" s="13"/>
      <c r="H128" s="13"/>
      <c r="I128" s="6"/>
      <c r="J128" s="58"/>
      <c r="K128" s="6"/>
      <c r="L128" s="139"/>
      <c r="M128" s="3"/>
      <c r="N128" s="191"/>
      <c r="O128" s="60"/>
      <c r="Q128" s="67"/>
      <c r="R128" s="65"/>
      <c r="S128" s="3"/>
      <c r="U128" s="67"/>
      <c r="V128" s="67"/>
      <c r="Z128" s="69"/>
      <c r="AA128" s="70"/>
      <c r="AB128" s="71"/>
      <c r="AC128" s="71"/>
      <c r="AD128" s="71"/>
      <c r="AE128" s="71"/>
      <c r="AF128" s="71"/>
      <c r="AG128" s="71"/>
      <c r="AH128" s="71"/>
    </row>
    <row r="129" ht="15.75" customHeight="1">
      <c r="C129" s="841"/>
      <c r="E129" s="915"/>
      <c r="G129" s="13"/>
      <c r="H129" s="13"/>
      <c r="I129" s="6"/>
      <c r="J129" s="58"/>
      <c r="K129" s="6"/>
      <c r="L129" s="139"/>
      <c r="M129" s="3"/>
      <c r="N129" s="191"/>
      <c r="O129" s="60"/>
      <c r="Q129" s="67"/>
      <c r="R129" s="65"/>
      <c r="S129" s="3"/>
      <c r="U129" s="67"/>
      <c r="V129" s="67"/>
      <c r="Z129" s="69"/>
      <c r="AA129" s="70"/>
      <c r="AB129" s="71"/>
      <c r="AC129" s="71"/>
      <c r="AD129" s="71"/>
      <c r="AE129" s="71"/>
      <c r="AF129" s="71"/>
      <c r="AG129" s="71"/>
      <c r="AH129" s="71"/>
    </row>
    <row r="130" ht="15.75" customHeight="1">
      <c r="C130" s="841"/>
      <c r="E130" s="915"/>
      <c r="G130" s="13"/>
      <c r="H130" s="13"/>
      <c r="I130" s="6"/>
      <c r="J130" s="58"/>
      <c r="K130" s="6"/>
      <c r="L130" s="139"/>
      <c r="M130" s="3"/>
      <c r="N130" s="191"/>
      <c r="O130" s="60"/>
      <c r="Q130" s="67"/>
      <c r="R130" s="65"/>
      <c r="S130" s="3"/>
      <c r="U130" s="67"/>
      <c r="V130" s="67"/>
      <c r="Z130" s="69"/>
      <c r="AA130" s="70"/>
      <c r="AB130" s="71"/>
      <c r="AC130" s="71"/>
      <c r="AD130" s="71"/>
      <c r="AE130" s="71"/>
      <c r="AF130" s="71"/>
      <c r="AG130" s="71"/>
      <c r="AH130" s="71"/>
    </row>
    <row r="131" ht="15.75" customHeight="1">
      <c r="C131" s="841"/>
      <c r="E131" s="915"/>
      <c r="G131" s="13"/>
      <c r="H131" s="13"/>
      <c r="I131" s="6"/>
      <c r="J131" s="58"/>
      <c r="K131" s="6"/>
      <c r="L131" s="139"/>
      <c r="M131" s="3"/>
      <c r="N131" s="191"/>
      <c r="O131" s="60"/>
      <c r="Q131" s="67"/>
      <c r="R131" s="65"/>
      <c r="S131" s="3"/>
      <c r="U131" s="67"/>
      <c r="V131" s="67"/>
      <c r="Z131" s="69"/>
      <c r="AA131" s="70"/>
      <c r="AB131" s="71"/>
      <c r="AC131" s="71"/>
      <c r="AD131" s="71"/>
      <c r="AE131" s="71"/>
      <c r="AF131" s="71"/>
      <c r="AG131" s="71"/>
      <c r="AH131" s="71"/>
    </row>
    <row r="132" ht="15.75" customHeight="1">
      <c r="C132" s="841"/>
      <c r="E132" s="915"/>
      <c r="G132" s="13"/>
      <c r="H132" s="13"/>
      <c r="I132" s="6"/>
      <c r="J132" s="58"/>
      <c r="K132" s="6"/>
      <c r="L132" s="139"/>
      <c r="M132" s="3"/>
      <c r="N132" s="191"/>
      <c r="O132" s="60"/>
      <c r="Q132" s="67"/>
      <c r="R132" s="65"/>
      <c r="S132" s="3"/>
      <c r="U132" s="67"/>
      <c r="V132" s="67"/>
      <c r="Z132" s="69"/>
      <c r="AA132" s="70"/>
      <c r="AB132" s="71"/>
      <c r="AC132" s="71"/>
      <c r="AD132" s="71"/>
      <c r="AE132" s="71"/>
      <c r="AF132" s="71"/>
      <c r="AG132" s="71"/>
      <c r="AH132" s="71"/>
    </row>
    <row r="133" ht="15.75" customHeight="1">
      <c r="C133" s="841"/>
      <c r="E133" s="915"/>
      <c r="G133" s="13"/>
      <c r="H133" s="13"/>
      <c r="I133" s="6"/>
      <c r="J133" s="58"/>
      <c r="K133" s="6"/>
      <c r="L133" s="139"/>
      <c r="M133" s="3"/>
      <c r="N133" s="191"/>
      <c r="O133" s="60"/>
      <c r="Q133" s="67"/>
      <c r="R133" s="65"/>
      <c r="S133" s="3"/>
      <c r="U133" s="67"/>
      <c r="V133" s="67"/>
      <c r="Z133" s="69"/>
      <c r="AA133" s="70"/>
      <c r="AB133" s="71"/>
      <c r="AC133" s="71"/>
      <c r="AD133" s="71"/>
      <c r="AE133" s="71"/>
      <c r="AF133" s="71"/>
      <c r="AG133" s="71"/>
      <c r="AH133" s="71"/>
    </row>
    <row r="134" ht="15.75" customHeight="1">
      <c r="C134" s="841"/>
      <c r="E134" s="915"/>
      <c r="G134" s="13"/>
      <c r="H134" s="13"/>
      <c r="I134" s="6"/>
      <c r="J134" s="58"/>
      <c r="K134" s="6"/>
      <c r="L134" s="139"/>
      <c r="M134" s="3"/>
      <c r="N134" s="191"/>
      <c r="O134" s="60"/>
      <c r="Q134" s="67"/>
      <c r="R134" s="65"/>
      <c r="S134" s="3"/>
      <c r="U134" s="67"/>
      <c r="V134" s="67"/>
      <c r="Z134" s="69"/>
      <c r="AA134" s="70"/>
      <c r="AB134" s="71"/>
      <c r="AC134" s="71"/>
      <c r="AD134" s="71"/>
      <c r="AE134" s="71"/>
      <c r="AF134" s="71"/>
      <c r="AG134" s="71"/>
      <c r="AH134" s="71"/>
    </row>
    <row r="135" ht="15.75" customHeight="1">
      <c r="C135" s="841"/>
      <c r="E135" s="915"/>
      <c r="G135" s="13"/>
      <c r="H135" s="13"/>
      <c r="I135" s="6"/>
      <c r="J135" s="58"/>
      <c r="K135" s="6"/>
      <c r="L135" s="139"/>
      <c r="M135" s="3"/>
      <c r="N135" s="191"/>
      <c r="O135" s="60"/>
      <c r="Q135" s="67"/>
      <c r="R135" s="65"/>
      <c r="S135" s="3"/>
      <c r="U135" s="67"/>
      <c r="V135" s="67"/>
      <c r="Z135" s="69"/>
      <c r="AA135" s="70"/>
      <c r="AB135" s="71"/>
      <c r="AC135" s="71"/>
      <c r="AD135" s="71"/>
      <c r="AE135" s="71"/>
      <c r="AF135" s="71"/>
      <c r="AG135" s="71"/>
      <c r="AH135" s="71"/>
    </row>
    <row r="136" ht="15.75" customHeight="1">
      <c r="C136" s="841"/>
      <c r="E136" s="915"/>
      <c r="G136" s="13"/>
      <c r="H136" s="13"/>
      <c r="I136" s="6"/>
      <c r="J136" s="58"/>
      <c r="K136" s="6"/>
      <c r="L136" s="139"/>
      <c r="M136" s="3"/>
      <c r="N136" s="191"/>
      <c r="O136" s="60"/>
      <c r="Q136" s="67"/>
      <c r="R136" s="65"/>
      <c r="S136" s="3"/>
      <c r="U136" s="67"/>
      <c r="V136" s="67"/>
      <c r="Z136" s="69"/>
      <c r="AA136" s="70"/>
      <c r="AB136" s="71"/>
      <c r="AC136" s="71"/>
      <c r="AD136" s="71"/>
      <c r="AE136" s="71"/>
      <c r="AF136" s="71"/>
      <c r="AG136" s="71"/>
      <c r="AH136" s="71"/>
    </row>
    <row r="137" ht="15.75" customHeight="1">
      <c r="C137" s="841"/>
      <c r="E137" s="915"/>
      <c r="G137" s="13"/>
      <c r="H137" s="13"/>
      <c r="I137" s="6"/>
      <c r="J137" s="58"/>
      <c r="K137" s="6"/>
      <c r="L137" s="139"/>
      <c r="M137" s="3"/>
      <c r="N137" s="191"/>
      <c r="O137" s="60"/>
      <c r="Q137" s="67"/>
      <c r="R137" s="65"/>
      <c r="S137" s="3"/>
      <c r="U137" s="67"/>
      <c r="V137" s="67"/>
      <c r="Z137" s="69"/>
      <c r="AA137" s="70"/>
      <c r="AB137" s="71"/>
      <c r="AC137" s="71"/>
      <c r="AD137" s="71"/>
      <c r="AE137" s="71"/>
      <c r="AF137" s="71"/>
      <c r="AG137" s="71"/>
      <c r="AH137" s="71"/>
    </row>
    <row r="138" ht="15.75" customHeight="1">
      <c r="C138" s="841"/>
      <c r="E138" s="915"/>
      <c r="G138" s="13"/>
      <c r="H138" s="13"/>
      <c r="I138" s="6"/>
      <c r="J138" s="58"/>
      <c r="K138" s="6"/>
      <c r="L138" s="139"/>
      <c r="M138" s="3"/>
      <c r="N138" s="191"/>
      <c r="O138" s="60"/>
      <c r="Q138" s="67"/>
      <c r="R138" s="65"/>
      <c r="S138" s="3"/>
      <c r="U138" s="67"/>
      <c r="V138" s="67"/>
      <c r="Z138" s="69"/>
      <c r="AA138" s="70"/>
      <c r="AB138" s="71"/>
      <c r="AC138" s="71"/>
      <c r="AD138" s="71"/>
      <c r="AE138" s="71"/>
      <c r="AF138" s="71"/>
      <c r="AG138" s="71"/>
      <c r="AH138" s="71"/>
    </row>
    <row r="139" ht="15.75" customHeight="1">
      <c r="C139" s="841"/>
      <c r="E139" s="915"/>
      <c r="G139" s="13"/>
      <c r="H139" s="13"/>
      <c r="I139" s="6"/>
      <c r="J139" s="58"/>
      <c r="K139" s="6"/>
      <c r="L139" s="139"/>
      <c r="M139" s="3"/>
      <c r="N139" s="191"/>
      <c r="O139" s="60"/>
      <c r="Q139" s="67"/>
      <c r="R139" s="65"/>
      <c r="S139" s="3"/>
      <c r="U139" s="67"/>
      <c r="V139" s="67"/>
      <c r="Z139" s="69"/>
      <c r="AA139" s="70"/>
      <c r="AB139" s="71"/>
      <c r="AC139" s="71"/>
      <c r="AD139" s="71"/>
      <c r="AE139" s="71"/>
      <c r="AF139" s="71"/>
      <c r="AG139" s="71"/>
      <c r="AH139" s="71"/>
    </row>
    <row r="140" ht="15.75" customHeight="1">
      <c r="C140" s="841"/>
      <c r="E140" s="915"/>
      <c r="G140" s="13"/>
      <c r="H140" s="13"/>
      <c r="I140" s="6"/>
      <c r="J140" s="58"/>
      <c r="K140" s="6"/>
      <c r="L140" s="139"/>
      <c r="M140" s="3"/>
      <c r="N140" s="191"/>
      <c r="O140" s="60"/>
      <c r="Q140" s="67"/>
      <c r="R140" s="65"/>
      <c r="S140" s="3"/>
      <c r="U140" s="67"/>
      <c r="V140" s="67"/>
      <c r="Z140" s="69"/>
      <c r="AA140" s="70"/>
      <c r="AB140" s="71"/>
      <c r="AC140" s="71"/>
      <c r="AD140" s="71"/>
      <c r="AE140" s="71"/>
      <c r="AF140" s="71"/>
      <c r="AG140" s="71"/>
      <c r="AH140" s="71"/>
    </row>
    <row r="141" ht="15.75" customHeight="1">
      <c r="C141" s="841"/>
      <c r="E141" s="915"/>
      <c r="G141" s="13"/>
      <c r="H141" s="13"/>
      <c r="I141" s="6"/>
      <c r="J141" s="58"/>
      <c r="K141" s="6"/>
      <c r="L141" s="139"/>
      <c r="M141" s="3"/>
      <c r="N141" s="191"/>
      <c r="O141" s="60"/>
      <c r="Q141" s="67"/>
      <c r="R141" s="65"/>
      <c r="S141" s="3"/>
      <c r="U141" s="67"/>
      <c r="V141" s="67"/>
      <c r="Z141" s="69"/>
      <c r="AA141" s="70"/>
      <c r="AB141" s="71"/>
      <c r="AC141" s="71"/>
      <c r="AD141" s="71"/>
      <c r="AE141" s="71"/>
      <c r="AF141" s="71"/>
      <c r="AG141" s="71"/>
      <c r="AH141" s="71"/>
    </row>
    <row r="142" ht="15.75" customHeight="1">
      <c r="C142" s="841"/>
      <c r="E142" s="915"/>
      <c r="G142" s="13"/>
      <c r="H142" s="13"/>
      <c r="I142" s="6"/>
      <c r="J142" s="58"/>
      <c r="K142" s="6"/>
      <c r="L142" s="139"/>
      <c r="M142" s="3"/>
      <c r="N142" s="191"/>
      <c r="O142" s="60"/>
      <c r="Q142" s="67"/>
      <c r="R142" s="65"/>
      <c r="S142" s="3"/>
      <c r="U142" s="67"/>
      <c r="V142" s="67"/>
      <c r="Z142" s="69"/>
      <c r="AA142" s="70"/>
      <c r="AB142" s="71"/>
      <c r="AC142" s="71"/>
      <c r="AD142" s="71"/>
      <c r="AE142" s="71"/>
      <c r="AF142" s="71"/>
      <c r="AG142" s="71"/>
      <c r="AH142" s="71"/>
    </row>
    <row r="143" ht="15.75" customHeight="1">
      <c r="C143" s="841"/>
      <c r="E143" s="915"/>
      <c r="G143" s="13"/>
      <c r="H143" s="13"/>
      <c r="I143" s="6"/>
      <c r="J143" s="58"/>
      <c r="K143" s="6"/>
      <c r="L143" s="139"/>
      <c r="M143" s="3"/>
      <c r="N143" s="191"/>
      <c r="O143" s="60"/>
      <c r="Q143" s="67"/>
      <c r="R143" s="65"/>
      <c r="S143" s="3"/>
      <c r="U143" s="67"/>
      <c r="V143" s="67"/>
      <c r="Z143" s="69"/>
      <c r="AA143" s="70"/>
      <c r="AB143" s="71"/>
      <c r="AC143" s="71"/>
      <c r="AD143" s="71"/>
      <c r="AE143" s="71"/>
      <c r="AF143" s="71"/>
      <c r="AG143" s="71"/>
      <c r="AH143" s="71"/>
    </row>
    <row r="144" ht="15.75" customHeight="1">
      <c r="C144" s="841"/>
      <c r="E144" s="915"/>
      <c r="G144" s="13"/>
      <c r="H144" s="13"/>
      <c r="I144" s="6"/>
      <c r="J144" s="58"/>
      <c r="K144" s="6"/>
      <c r="L144" s="139"/>
      <c r="M144" s="3"/>
      <c r="N144" s="191"/>
      <c r="O144" s="60"/>
      <c r="Q144" s="67"/>
      <c r="R144" s="65"/>
      <c r="S144" s="3"/>
      <c r="U144" s="67"/>
      <c r="V144" s="67"/>
      <c r="Z144" s="69"/>
      <c r="AA144" s="70"/>
      <c r="AB144" s="71"/>
      <c r="AC144" s="71"/>
      <c r="AD144" s="71"/>
      <c r="AE144" s="71"/>
      <c r="AF144" s="71"/>
      <c r="AG144" s="71"/>
      <c r="AH144" s="71"/>
    </row>
    <row r="145" ht="15.75" customHeight="1">
      <c r="C145" s="841"/>
      <c r="E145" s="915"/>
      <c r="G145" s="13"/>
      <c r="H145" s="13"/>
      <c r="I145" s="6"/>
      <c r="J145" s="58"/>
      <c r="K145" s="6"/>
      <c r="L145" s="139"/>
      <c r="M145" s="3"/>
      <c r="N145" s="191"/>
      <c r="O145" s="60"/>
      <c r="Q145" s="67"/>
      <c r="R145" s="65"/>
      <c r="S145" s="3"/>
      <c r="U145" s="67"/>
      <c r="V145" s="67"/>
      <c r="Z145" s="69"/>
      <c r="AA145" s="70"/>
      <c r="AB145" s="71"/>
      <c r="AC145" s="71"/>
      <c r="AD145" s="71"/>
      <c r="AE145" s="71"/>
      <c r="AF145" s="71"/>
      <c r="AG145" s="71"/>
      <c r="AH145" s="71"/>
    </row>
    <row r="146" ht="15.75" customHeight="1">
      <c r="C146" s="841"/>
      <c r="E146" s="915"/>
      <c r="G146" s="13"/>
      <c r="H146" s="13"/>
      <c r="I146" s="6"/>
      <c r="J146" s="58"/>
      <c r="K146" s="6"/>
      <c r="L146" s="139"/>
      <c r="M146" s="3"/>
      <c r="N146" s="191"/>
      <c r="O146" s="60"/>
      <c r="Q146" s="67"/>
      <c r="R146" s="65"/>
      <c r="S146" s="3"/>
      <c r="U146" s="67"/>
      <c r="V146" s="67"/>
      <c r="Z146" s="69"/>
      <c r="AA146" s="70"/>
      <c r="AB146" s="71"/>
      <c r="AC146" s="71"/>
      <c r="AD146" s="71"/>
      <c r="AE146" s="71"/>
      <c r="AF146" s="71"/>
      <c r="AG146" s="71"/>
      <c r="AH146" s="71"/>
    </row>
    <row r="147" ht="15.75" customHeight="1">
      <c r="C147" s="841"/>
      <c r="E147" s="915"/>
      <c r="G147" s="13"/>
      <c r="H147" s="13"/>
      <c r="I147" s="6"/>
      <c r="J147" s="58"/>
      <c r="K147" s="6"/>
      <c r="L147" s="139"/>
      <c r="M147" s="3"/>
      <c r="N147" s="191"/>
      <c r="O147" s="60"/>
      <c r="Q147" s="67"/>
      <c r="R147" s="65"/>
      <c r="S147" s="3"/>
      <c r="U147" s="67"/>
      <c r="V147" s="67"/>
      <c r="Z147" s="69"/>
      <c r="AA147" s="70"/>
      <c r="AB147" s="71"/>
      <c r="AC147" s="71"/>
      <c r="AD147" s="71"/>
      <c r="AE147" s="71"/>
      <c r="AF147" s="71"/>
      <c r="AG147" s="71"/>
      <c r="AH147" s="71"/>
    </row>
    <row r="148" ht="15.75" customHeight="1">
      <c r="C148" s="841"/>
      <c r="E148" s="915"/>
      <c r="G148" s="13"/>
      <c r="H148" s="13"/>
      <c r="I148" s="6"/>
      <c r="J148" s="58"/>
      <c r="K148" s="6"/>
      <c r="L148" s="139"/>
      <c r="M148" s="3"/>
      <c r="N148" s="191"/>
      <c r="O148" s="60"/>
      <c r="Q148" s="67"/>
      <c r="R148" s="65"/>
      <c r="S148" s="3"/>
      <c r="U148" s="67"/>
      <c r="V148" s="67"/>
      <c r="Z148" s="69"/>
      <c r="AA148" s="70"/>
      <c r="AB148" s="71"/>
      <c r="AC148" s="71"/>
      <c r="AD148" s="71"/>
      <c r="AE148" s="71"/>
      <c r="AF148" s="71"/>
      <c r="AG148" s="71"/>
      <c r="AH148" s="71"/>
    </row>
    <row r="149" ht="15.75" customHeight="1">
      <c r="C149" s="841"/>
      <c r="E149" s="915"/>
      <c r="G149" s="13"/>
      <c r="H149" s="13"/>
      <c r="I149" s="6"/>
      <c r="J149" s="58"/>
      <c r="K149" s="6"/>
      <c r="L149" s="139"/>
      <c r="M149" s="3"/>
      <c r="N149" s="191"/>
      <c r="O149" s="60"/>
      <c r="Q149" s="67"/>
      <c r="R149" s="65"/>
      <c r="S149" s="3"/>
      <c r="U149" s="67"/>
      <c r="V149" s="67"/>
      <c r="Z149" s="69"/>
      <c r="AA149" s="70"/>
      <c r="AB149" s="71"/>
      <c r="AC149" s="71"/>
      <c r="AD149" s="71"/>
      <c r="AE149" s="71"/>
      <c r="AF149" s="71"/>
      <c r="AG149" s="71"/>
      <c r="AH149" s="71"/>
    </row>
    <row r="150" ht="15.75" customHeight="1">
      <c r="C150" s="841"/>
      <c r="E150" s="915"/>
      <c r="G150" s="13"/>
      <c r="H150" s="13"/>
      <c r="I150" s="6"/>
      <c r="J150" s="58"/>
      <c r="K150" s="6"/>
      <c r="L150" s="139"/>
      <c r="M150" s="3"/>
      <c r="N150" s="191"/>
      <c r="O150" s="60"/>
      <c r="Q150" s="67"/>
      <c r="R150" s="65"/>
      <c r="S150" s="3"/>
      <c r="U150" s="67"/>
      <c r="V150" s="67"/>
      <c r="Z150" s="69"/>
      <c r="AA150" s="70"/>
      <c r="AB150" s="71"/>
      <c r="AC150" s="71"/>
      <c r="AD150" s="71"/>
      <c r="AE150" s="71"/>
      <c r="AF150" s="71"/>
      <c r="AG150" s="71"/>
      <c r="AH150" s="71"/>
    </row>
    <row r="151" ht="15.75" customHeight="1">
      <c r="C151" s="841"/>
      <c r="E151" s="915"/>
      <c r="G151" s="13"/>
      <c r="H151" s="13"/>
      <c r="I151" s="6"/>
      <c r="J151" s="58"/>
      <c r="K151" s="6"/>
      <c r="L151" s="139"/>
      <c r="M151" s="3"/>
      <c r="N151" s="191"/>
      <c r="O151" s="60"/>
      <c r="Q151" s="67"/>
      <c r="R151" s="65"/>
      <c r="S151" s="3"/>
      <c r="U151" s="67"/>
      <c r="V151" s="67"/>
      <c r="Z151" s="69"/>
      <c r="AA151" s="70"/>
      <c r="AB151" s="71"/>
      <c r="AC151" s="71"/>
      <c r="AD151" s="71"/>
      <c r="AE151" s="71"/>
      <c r="AF151" s="71"/>
      <c r="AG151" s="71"/>
      <c r="AH151" s="71"/>
    </row>
    <row r="152" ht="15.75" customHeight="1">
      <c r="C152" s="841"/>
      <c r="E152" s="915"/>
      <c r="G152" s="13"/>
      <c r="H152" s="13"/>
      <c r="I152" s="6"/>
      <c r="J152" s="58"/>
      <c r="K152" s="6"/>
      <c r="L152" s="139"/>
      <c r="M152" s="3"/>
      <c r="N152" s="191"/>
      <c r="O152" s="60"/>
      <c r="Q152" s="67"/>
      <c r="R152" s="65"/>
      <c r="S152" s="3"/>
      <c r="U152" s="67"/>
      <c r="V152" s="67"/>
      <c r="Z152" s="69"/>
      <c r="AA152" s="70"/>
      <c r="AB152" s="71"/>
      <c r="AC152" s="71"/>
      <c r="AD152" s="71"/>
      <c r="AE152" s="71"/>
      <c r="AF152" s="71"/>
      <c r="AG152" s="71"/>
      <c r="AH152" s="71"/>
    </row>
    <row r="153" ht="15.75" customHeight="1">
      <c r="C153" s="841"/>
      <c r="E153" s="915"/>
      <c r="G153" s="13"/>
      <c r="H153" s="13"/>
      <c r="I153" s="6"/>
      <c r="J153" s="58"/>
      <c r="K153" s="6"/>
      <c r="L153" s="139"/>
      <c r="M153" s="3"/>
      <c r="N153" s="191"/>
      <c r="O153" s="60"/>
      <c r="Q153" s="67"/>
      <c r="R153" s="65"/>
      <c r="S153" s="3"/>
      <c r="U153" s="67"/>
      <c r="V153" s="67"/>
      <c r="Z153" s="69"/>
      <c r="AA153" s="70"/>
      <c r="AB153" s="71"/>
      <c r="AC153" s="71"/>
      <c r="AD153" s="71"/>
      <c r="AE153" s="71"/>
      <c r="AF153" s="71"/>
      <c r="AG153" s="71"/>
      <c r="AH153" s="71"/>
    </row>
    <row r="154" ht="15.75" customHeight="1">
      <c r="C154" s="841"/>
      <c r="E154" s="915"/>
      <c r="G154" s="13"/>
      <c r="H154" s="13"/>
      <c r="I154" s="6"/>
      <c r="J154" s="58"/>
      <c r="K154" s="6"/>
      <c r="L154" s="139"/>
      <c r="M154" s="3"/>
      <c r="N154" s="191"/>
      <c r="O154" s="60"/>
      <c r="Q154" s="67"/>
      <c r="R154" s="65"/>
      <c r="S154" s="3"/>
      <c r="U154" s="67"/>
      <c r="V154" s="67"/>
      <c r="Z154" s="69"/>
      <c r="AA154" s="70"/>
      <c r="AB154" s="71"/>
      <c r="AC154" s="71"/>
      <c r="AD154" s="71"/>
      <c r="AE154" s="71"/>
      <c r="AF154" s="71"/>
      <c r="AG154" s="71"/>
      <c r="AH154" s="71"/>
    </row>
    <row r="155" ht="15.75" customHeight="1">
      <c r="C155" s="841"/>
      <c r="E155" s="915"/>
      <c r="G155" s="13"/>
      <c r="H155" s="13"/>
      <c r="I155" s="6"/>
      <c r="J155" s="58"/>
      <c r="K155" s="6"/>
      <c r="L155" s="139"/>
      <c r="M155" s="3"/>
      <c r="N155" s="191"/>
      <c r="O155" s="60"/>
      <c r="Q155" s="67"/>
      <c r="R155" s="65"/>
      <c r="S155" s="3"/>
      <c r="U155" s="67"/>
      <c r="V155" s="67"/>
      <c r="Z155" s="69"/>
      <c r="AA155" s="70"/>
      <c r="AB155" s="71"/>
      <c r="AC155" s="71"/>
      <c r="AD155" s="71"/>
      <c r="AE155" s="71"/>
      <c r="AF155" s="71"/>
      <c r="AG155" s="71"/>
      <c r="AH155" s="71"/>
    </row>
    <row r="156" ht="15.75" customHeight="1">
      <c r="C156" s="841"/>
      <c r="E156" s="915"/>
      <c r="G156" s="13"/>
      <c r="H156" s="13"/>
      <c r="I156" s="6"/>
      <c r="J156" s="58"/>
      <c r="K156" s="6"/>
      <c r="L156" s="139"/>
      <c r="M156" s="3"/>
      <c r="N156" s="191"/>
      <c r="O156" s="60"/>
      <c r="Q156" s="67"/>
      <c r="R156" s="65"/>
      <c r="S156" s="3"/>
      <c r="U156" s="67"/>
      <c r="V156" s="67"/>
      <c r="Z156" s="69"/>
      <c r="AA156" s="70"/>
      <c r="AB156" s="71"/>
      <c r="AC156" s="71"/>
      <c r="AD156" s="71"/>
      <c r="AE156" s="71"/>
      <c r="AF156" s="71"/>
      <c r="AG156" s="71"/>
      <c r="AH156" s="71"/>
    </row>
    <row r="157" ht="15.75" customHeight="1">
      <c r="C157" s="841"/>
      <c r="E157" s="915"/>
      <c r="G157" s="13"/>
      <c r="H157" s="13"/>
      <c r="I157" s="6"/>
      <c r="J157" s="58"/>
      <c r="K157" s="6"/>
      <c r="L157" s="139"/>
      <c r="M157" s="3"/>
      <c r="N157" s="191"/>
      <c r="O157" s="60"/>
      <c r="Q157" s="67"/>
      <c r="R157" s="65"/>
      <c r="S157" s="3"/>
      <c r="U157" s="67"/>
      <c r="V157" s="67"/>
      <c r="Z157" s="69"/>
      <c r="AA157" s="70"/>
      <c r="AB157" s="71"/>
      <c r="AC157" s="71"/>
      <c r="AD157" s="71"/>
      <c r="AE157" s="71"/>
      <c r="AF157" s="71"/>
      <c r="AG157" s="71"/>
      <c r="AH157" s="71"/>
    </row>
    <row r="158" ht="15.75" customHeight="1">
      <c r="C158" s="841"/>
      <c r="E158" s="915"/>
      <c r="G158" s="13"/>
      <c r="H158" s="13"/>
      <c r="I158" s="6"/>
      <c r="J158" s="58"/>
      <c r="K158" s="6"/>
      <c r="L158" s="139"/>
      <c r="M158" s="3"/>
      <c r="N158" s="191"/>
      <c r="O158" s="60"/>
      <c r="Q158" s="67"/>
      <c r="R158" s="65"/>
      <c r="S158" s="3"/>
      <c r="U158" s="67"/>
      <c r="V158" s="67"/>
      <c r="Z158" s="69"/>
      <c r="AA158" s="70"/>
      <c r="AB158" s="71"/>
      <c r="AC158" s="71"/>
      <c r="AD158" s="71"/>
      <c r="AE158" s="71"/>
      <c r="AF158" s="71"/>
      <c r="AG158" s="71"/>
      <c r="AH158" s="71"/>
    </row>
    <row r="159" ht="15.75" customHeight="1">
      <c r="C159" s="841"/>
      <c r="E159" s="915"/>
      <c r="G159" s="13"/>
      <c r="H159" s="13"/>
      <c r="I159" s="6"/>
      <c r="J159" s="58"/>
      <c r="K159" s="6"/>
      <c r="L159" s="139"/>
      <c r="M159" s="3"/>
      <c r="N159" s="191"/>
      <c r="O159" s="60"/>
      <c r="Q159" s="67"/>
      <c r="R159" s="65"/>
      <c r="S159" s="3"/>
      <c r="U159" s="67"/>
      <c r="V159" s="67"/>
      <c r="Z159" s="69"/>
      <c r="AA159" s="70"/>
      <c r="AB159" s="71"/>
      <c r="AC159" s="71"/>
      <c r="AD159" s="71"/>
      <c r="AE159" s="71"/>
      <c r="AF159" s="71"/>
      <c r="AG159" s="71"/>
      <c r="AH159" s="71"/>
    </row>
    <row r="160" ht="15.75" customHeight="1">
      <c r="C160" s="841"/>
      <c r="E160" s="915"/>
      <c r="G160" s="13"/>
      <c r="H160" s="13"/>
      <c r="I160" s="6"/>
      <c r="J160" s="58"/>
      <c r="K160" s="6"/>
      <c r="L160" s="139"/>
      <c r="M160" s="3"/>
      <c r="N160" s="191"/>
      <c r="O160" s="60"/>
      <c r="Q160" s="67"/>
      <c r="R160" s="65"/>
      <c r="S160" s="3"/>
      <c r="U160" s="67"/>
      <c r="V160" s="67"/>
      <c r="Z160" s="69"/>
      <c r="AA160" s="70"/>
      <c r="AB160" s="71"/>
      <c r="AC160" s="71"/>
      <c r="AD160" s="71"/>
      <c r="AE160" s="71"/>
      <c r="AF160" s="71"/>
      <c r="AG160" s="71"/>
      <c r="AH160" s="71"/>
    </row>
    <row r="161" ht="15.75" customHeight="1">
      <c r="C161" s="841"/>
      <c r="E161" s="915"/>
      <c r="G161" s="13"/>
      <c r="H161" s="13"/>
      <c r="I161" s="6"/>
      <c r="J161" s="58"/>
      <c r="K161" s="6"/>
      <c r="L161" s="139"/>
      <c r="M161" s="3"/>
      <c r="N161" s="191"/>
      <c r="O161" s="60"/>
      <c r="Q161" s="67"/>
      <c r="R161" s="65"/>
      <c r="S161" s="3"/>
      <c r="U161" s="67"/>
      <c r="V161" s="67"/>
      <c r="Z161" s="69"/>
      <c r="AA161" s="70"/>
      <c r="AB161" s="71"/>
      <c r="AC161" s="71"/>
      <c r="AD161" s="71"/>
      <c r="AE161" s="71"/>
      <c r="AF161" s="71"/>
      <c r="AG161" s="71"/>
      <c r="AH161" s="71"/>
    </row>
    <row r="162" ht="15.75" customHeight="1">
      <c r="C162" s="841"/>
      <c r="E162" s="915"/>
      <c r="G162" s="13"/>
      <c r="H162" s="13"/>
      <c r="I162" s="6"/>
      <c r="J162" s="58"/>
      <c r="K162" s="6"/>
      <c r="L162" s="139"/>
      <c r="M162" s="3"/>
      <c r="N162" s="191"/>
      <c r="O162" s="60"/>
      <c r="Q162" s="67"/>
      <c r="R162" s="65"/>
      <c r="S162" s="3"/>
      <c r="U162" s="67"/>
      <c r="V162" s="67"/>
      <c r="Z162" s="69"/>
      <c r="AA162" s="70"/>
      <c r="AB162" s="71"/>
      <c r="AC162" s="71"/>
      <c r="AD162" s="71"/>
      <c r="AE162" s="71"/>
      <c r="AF162" s="71"/>
      <c r="AG162" s="71"/>
      <c r="AH162" s="71"/>
    </row>
    <row r="163" ht="15.75" customHeight="1">
      <c r="C163" s="841"/>
      <c r="E163" s="915"/>
      <c r="G163" s="13"/>
      <c r="H163" s="13"/>
      <c r="I163" s="6"/>
      <c r="J163" s="58"/>
      <c r="K163" s="6"/>
      <c r="L163" s="139"/>
      <c r="M163" s="3"/>
      <c r="N163" s="191"/>
      <c r="O163" s="60"/>
      <c r="Q163" s="67"/>
      <c r="R163" s="65"/>
      <c r="S163" s="3"/>
      <c r="U163" s="67"/>
      <c r="V163" s="67"/>
      <c r="Z163" s="69"/>
      <c r="AA163" s="70"/>
      <c r="AB163" s="71"/>
      <c r="AC163" s="71"/>
      <c r="AD163" s="71"/>
      <c r="AE163" s="71"/>
      <c r="AF163" s="71"/>
      <c r="AG163" s="71"/>
      <c r="AH163" s="71"/>
    </row>
    <row r="164" ht="15.75" customHeight="1">
      <c r="C164" s="841"/>
      <c r="E164" s="915"/>
      <c r="G164" s="13"/>
      <c r="H164" s="13"/>
      <c r="I164" s="6"/>
      <c r="J164" s="58"/>
      <c r="K164" s="6"/>
      <c r="L164" s="139"/>
      <c r="M164" s="3"/>
      <c r="N164" s="191"/>
      <c r="O164" s="60"/>
      <c r="Q164" s="67"/>
      <c r="R164" s="65"/>
      <c r="S164" s="3"/>
      <c r="U164" s="67"/>
      <c r="V164" s="67"/>
      <c r="Z164" s="69"/>
      <c r="AA164" s="70"/>
      <c r="AB164" s="71"/>
      <c r="AC164" s="71"/>
      <c r="AD164" s="71"/>
      <c r="AE164" s="71"/>
      <c r="AF164" s="71"/>
      <c r="AG164" s="71"/>
      <c r="AH164" s="71"/>
    </row>
    <row r="165" ht="15.75" customHeight="1">
      <c r="C165" s="841"/>
      <c r="E165" s="915"/>
      <c r="G165" s="13"/>
      <c r="H165" s="13"/>
      <c r="I165" s="6"/>
      <c r="J165" s="58"/>
      <c r="K165" s="6"/>
      <c r="L165" s="139"/>
      <c r="M165" s="3"/>
      <c r="N165" s="191"/>
      <c r="O165" s="60"/>
      <c r="Q165" s="67"/>
      <c r="R165" s="65"/>
      <c r="S165" s="3"/>
      <c r="U165" s="67"/>
      <c r="V165" s="67"/>
      <c r="Z165" s="69"/>
      <c r="AA165" s="70"/>
      <c r="AB165" s="71"/>
      <c r="AC165" s="71"/>
      <c r="AD165" s="71"/>
      <c r="AE165" s="71"/>
      <c r="AF165" s="71"/>
      <c r="AG165" s="71"/>
      <c r="AH165" s="71"/>
    </row>
    <row r="166" ht="15.75" customHeight="1">
      <c r="C166" s="841"/>
      <c r="E166" s="915"/>
      <c r="G166" s="13"/>
      <c r="H166" s="13"/>
      <c r="I166" s="6"/>
      <c r="J166" s="58"/>
      <c r="K166" s="6"/>
      <c r="L166" s="139"/>
      <c r="M166" s="3"/>
      <c r="N166" s="191"/>
      <c r="O166" s="60"/>
      <c r="Q166" s="67"/>
      <c r="R166" s="65"/>
      <c r="S166" s="3"/>
      <c r="U166" s="67"/>
      <c r="V166" s="67"/>
      <c r="Z166" s="69"/>
      <c r="AA166" s="70"/>
      <c r="AB166" s="71"/>
      <c r="AC166" s="71"/>
      <c r="AD166" s="71"/>
      <c r="AE166" s="71"/>
      <c r="AF166" s="71"/>
      <c r="AG166" s="71"/>
      <c r="AH166" s="71"/>
    </row>
    <row r="167" ht="15.75" customHeight="1">
      <c r="C167" s="841"/>
      <c r="E167" s="915"/>
      <c r="G167" s="13"/>
      <c r="H167" s="13"/>
      <c r="I167" s="6"/>
      <c r="J167" s="58"/>
      <c r="K167" s="6"/>
      <c r="L167" s="139"/>
      <c r="M167" s="3"/>
      <c r="N167" s="191"/>
      <c r="O167" s="60"/>
      <c r="Q167" s="67"/>
      <c r="R167" s="65"/>
      <c r="S167" s="3"/>
      <c r="U167" s="67"/>
      <c r="V167" s="67"/>
      <c r="Z167" s="69"/>
      <c r="AA167" s="70"/>
      <c r="AB167" s="71"/>
      <c r="AC167" s="71"/>
      <c r="AD167" s="71"/>
      <c r="AE167" s="71"/>
      <c r="AF167" s="71"/>
      <c r="AG167" s="71"/>
      <c r="AH167" s="71"/>
    </row>
    <row r="168" ht="15.75" customHeight="1">
      <c r="C168" s="841"/>
      <c r="E168" s="915"/>
      <c r="G168" s="13"/>
      <c r="H168" s="13"/>
      <c r="I168" s="6"/>
      <c r="J168" s="58"/>
      <c r="K168" s="6"/>
      <c r="L168" s="139"/>
      <c r="M168" s="3"/>
      <c r="N168" s="191"/>
      <c r="O168" s="60"/>
      <c r="Q168" s="67"/>
      <c r="R168" s="65"/>
      <c r="S168" s="3"/>
      <c r="U168" s="67"/>
      <c r="V168" s="67"/>
      <c r="Z168" s="69"/>
      <c r="AA168" s="70"/>
      <c r="AB168" s="71"/>
      <c r="AC168" s="71"/>
      <c r="AD168" s="71"/>
      <c r="AE168" s="71"/>
      <c r="AF168" s="71"/>
      <c r="AG168" s="71"/>
      <c r="AH168" s="71"/>
    </row>
    <row r="169" ht="15.75" customHeight="1">
      <c r="C169" s="841"/>
      <c r="E169" s="915"/>
      <c r="G169" s="13"/>
      <c r="H169" s="13"/>
      <c r="I169" s="6"/>
      <c r="J169" s="58"/>
      <c r="K169" s="6"/>
      <c r="L169" s="139"/>
      <c r="M169" s="3"/>
      <c r="N169" s="191"/>
      <c r="O169" s="60"/>
      <c r="Q169" s="67"/>
      <c r="R169" s="65"/>
      <c r="S169" s="3"/>
      <c r="U169" s="67"/>
      <c r="V169" s="67"/>
      <c r="Z169" s="69"/>
      <c r="AA169" s="70"/>
      <c r="AB169" s="71"/>
      <c r="AC169" s="71"/>
      <c r="AD169" s="71"/>
      <c r="AE169" s="71"/>
      <c r="AF169" s="71"/>
      <c r="AG169" s="71"/>
      <c r="AH169" s="71"/>
    </row>
    <row r="170" ht="15.75" customHeight="1">
      <c r="C170" s="841"/>
      <c r="E170" s="915"/>
      <c r="G170" s="13"/>
      <c r="H170" s="13"/>
      <c r="I170" s="6"/>
      <c r="J170" s="58"/>
      <c r="K170" s="6"/>
      <c r="L170" s="139"/>
      <c r="M170" s="3"/>
      <c r="N170" s="191"/>
      <c r="O170" s="60"/>
      <c r="Q170" s="67"/>
      <c r="R170" s="65"/>
      <c r="S170" s="3"/>
      <c r="U170" s="67"/>
      <c r="V170" s="67"/>
      <c r="Z170" s="69"/>
      <c r="AA170" s="70"/>
      <c r="AB170" s="71"/>
      <c r="AC170" s="71"/>
      <c r="AD170" s="71"/>
      <c r="AE170" s="71"/>
      <c r="AF170" s="71"/>
      <c r="AG170" s="71"/>
      <c r="AH170" s="71"/>
    </row>
    <row r="171" ht="15.75" customHeight="1">
      <c r="C171" s="841"/>
      <c r="E171" s="915"/>
      <c r="G171" s="13"/>
      <c r="H171" s="13"/>
      <c r="I171" s="6"/>
      <c r="J171" s="58"/>
      <c r="K171" s="6"/>
      <c r="L171" s="139"/>
      <c r="M171" s="3"/>
      <c r="N171" s="191"/>
      <c r="O171" s="60"/>
      <c r="Q171" s="67"/>
      <c r="R171" s="65"/>
      <c r="S171" s="3"/>
      <c r="U171" s="67"/>
      <c r="V171" s="67"/>
      <c r="Z171" s="69"/>
      <c r="AA171" s="70"/>
      <c r="AB171" s="71"/>
      <c r="AC171" s="71"/>
      <c r="AD171" s="71"/>
      <c r="AE171" s="71"/>
      <c r="AF171" s="71"/>
      <c r="AG171" s="71"/>
      <c r="AH171" s="71"/>
    </row>
    <row r="172" ht="15.75" customHeight="1">
      <c r="C172" s="841"/>
      <c r="E172" s="915"/>
      <c r="G172" s="13"/>
      <c r="H172" s="13"/>
      <c r="I172" s="6"/>
      <c r="J172" s="58"/>
      <c r="K172" s="6"/>
      <c r="L172" s="139"/>
      <c r="M172" s="3"/>
      <c r="N172" s="191"/>
      <c r="O172" s="60"/>
      <c r="Q172" s="67"/>
      <c r="R172" s="65"/>
      <c r="S172" s="3"/>
      <c r="U172" s="67"/>
      <c r="V172" s="67"/>
      <c r="Z172" s="69"/>
      <c r="AA172" s="70"/>
      <c r="AB172" s="71"/>
      <c r="AC172" s="71"/>
      <c r="AD172" s="71"/>
      <c r="AE172" s="71"/>
      <c r="AF172" s="71"/>
      <c r="AG172" s="71"/>
      <c r="AH172" s="71"/>
    </row>
    <row r="173" ht="15.75" customHeight="1">
      <c r="C173" s="841"/>
      <c r="E173" s="915"/>
      <c r="G173" s="13"/>
      <c r="H173" s="13"/>
      <c r="I173" s="6"/>
      <c r="J173" s="58"/>
      <c r="K173" s="6"/>
      <c r="L173" s="139"/>
      <c r="M173" s="3"/>
      <c r="N173" s="191"/>
      <c r="O173" s="60"/>
      <c r="Q173" s="67"/>
      <c r="R173" s="65"/>
      <c r="S173" s="3"/>
      <c r="U173" s="67"/>
      <c r="V173" s="67"/>
      <c r="Z173" s="69"/>
      <c r="AA173" s="70"/>
      <c r="AB173" s="71"/>
      <c r="AC173" s="71"/>
      <c r="AD173" s="71"/>
      <c r="AE173" s="71"/>
      <c r="AF173" s="71"/>
      <c r="AG173" s="71"/>
      <c r="AH173" s="71"/>
    </row>
    <row r="174" ht="15.75" customHeight="1">
      <c r="C174" s="841"/>
      <c r="E174" s="915"/>
      <c r="G174" s="13"/>
      <c r="H174" s="13"/>
      <c r="I174" s="6"/>
      <c r="J174" s="58"/>
      <c r="K174" s="6"/>
      <c r="L174" s="139"/>
      <c r="M174" s="3"/>
      <c r="N174" s="191"/>
      <c r="O174" s="60"/>
      <c r="Q174" s="67"/>
      <c r="R174" s="65"/>
      <c r="S174" s="3"/>
      <c r="U174" s="67"/>
      <c r="V174" s="67"/>
      <c r="Z174" s="69"/>
      <c r="AA174" s="70"/>
      <c r="AB174" s="71"/>
      <c r="AC174" s="71"/>
      <c r="AD174" s="71"/>
      <c r="AE174" s="71"/>
      <c r="AF174" s="71"/>
      <c r="AG174" s="71"/>
      <c r="AH174" s="71"/>
    </row>
    <row r="175" ht="15.75" customHeight="1">
      <c r="C175" s="841"/>
      <c r="E175" s="915"/>
      <c r="G175" s="13"/>
      <c r="H175" s="13"/>
      <c r="I175" s="6"/>
      <c r="J175" s="58"/>
      <c r="K175" s="6"/>
      <c r="L175" s="139"/>
      <c r="M175" s="3"/>
      <c r="N175" s="191"/>
      <c r="O175" s="60"/>
      <c r="Q175" s="67"/>
      <c r="R175" s="65"/>
      <c r="S175" s="3"/>
      <c r="U175" s="67"/>
      <c r="V175" s="67"/>
      <c r="Z175" s="69"/>
      <c r="AA175" s="70"/>
      <c r="AB175" s="71"/>
      <c r="AC175" s="71"/>
      <c r="AD175" s="71"/>
      <c r="AE175" s="71"/>
      <c r="AF175" s="71"/>
      <c r="AG175" s="71"/>
      <c r="AH175" s="71"/>
    </row>
    <row r="176" ht="15.75" customHeight="1">
      <c r="C176" s="841"/>
      <c r="E176" s="915"/>
      <c r="G176" s="13"/>
      <c r="H176" s="13"/>
      <c r="I176" s="6"/>
      <c r="J176" s="58"/>
      <c r="K176" s="6"/>
      <c r="L176" s="139"/>
      <c r="M176" s="3"/>
      <c r="N176" s="191"/>
      <c r="O176" s="60"/>
      <c r="Q176" s="67"/>
      <c r="R176" s="65"/>
      <c r="S176" s="3"/>
      <c r="U176" s="67"/>
      <c r="V176" s="67"/>
      <c r="Z176" s="69"/>
      <c r="AA176" s="70"/>
      <c r="AB176" s="71"/>
      <c r="AC176" s="71"/>
      <c r="AD176" s="71"/>
      <c r="AE176" s="71"/>
      <c r="AF176" s="71"/>
      <c r="AG176" s="71"/>
      <c r="AH176" s="71"/>
    </row>
    <row r="177" ht="15.75" customHeight="1">
      <c r="C177" s="841"/>
      <c r="E177" s="915"/>
      <c r="G177" s="13"/>
      <c r="H177" s="13"/>
      <c r="I177" s="6"/>
      <c r="J177" s="58"/>
      <c r="K177" s="6"/>
      <c r="L177" s="139"/>
      <c r="M177" s="3"/>
      <c r="N177" s="191"/>
      <c r="O177" s="60"/>
      <c r="Q177" s="67"/>
      <c r="R177" s="65"/>
      <c r="S177" s="3"/>
      <c r="U177" s="67"/>
      <c r="V177" s="67"/>
      <c r="Z177" s="69"/>
      <c r="AA177" s="70"/>
      <c r="AB177" s="71"/>
      <c r="AC177" s="71"/>
      <c r="AD177" s="71"/>
      <c r="AE177" s="71"/>
      <c r="AF177" s="71"/>
      <c r="AG177" s="71"/>
      <c r="AH177" s="71"/>
    </row>
    <row r="178" ht="15.75" customHeight="1">
      <c r="C178" s="841"/>
      <c r="E178" s="915"/>
      <c r="G178" s="13"/>
      <c r="H178" s="13"/>
      <c r="I178" s="6"/>
      <c r="J178" s="58"/>
      <c r="K178" s="6"/>
      <c r="L178" s="139"/>
      <c r="M178" s="3"/>
      <c r="N178" s="191"/>
      <c r="O178" s="60"/>
      <c r="Q178" s="67"/>
      <c r="R178" s="65"/>
      <c r="S178" s="3"/>
      <c r="U178" s="67"/>
      <c r="V178" s="67"/>
      <c r="Z178" s="69"/>
      <c r="AA178" s="70"/>
      <c r="AB178" s="71"/>
      <c r="AC178" s="71"/>
      <c r="AD178" s="71"/>
      <c r="AE178" s="71"/>
      <c r="AF178" s="71"/>
      <c r="AG178" s="71"/>
      <c r="AH178" s="71"/>
    </row>
    <row r="179" ht="15.75" customHeight="1">
      <c r="C179" s="841"/>
      <c r="E179" s="915"/>
      <c r="G179" s="13"/>
      <c r="H179" s="13"/>
      <c r="I179" s="6"/>
      <c r="J179" s="58"/>
      <c r="K179" s="6"/>
      <c r="L179" s="139"/>
      <c r="M179" s="3"/>
      <c r="N179" s="191"/>
      <c r="O179" s="60"/>
      <c r="Q179" s="67"/>
      <c r="R179" s="65"/>
      <c r="S179" s="3"/>
      <c r="U179" s="67"/>
      <c r="V179" s="67"/>
      <c r="Z179" s="69"/>
      <c r="AA179" s="70"/>
      <c r="AB179" s="71"/>
      <c r="AC179" s="71"/>
      <c r="AD179" s="71"/>
      <c r="AE179" s="71"/>
      <c r="AF179" s="71"/>
      <c r="AG179" s="71"/>
      <c r="AH179" s="71"/>
    </row>
    <row r="180" ht="15.75" customHeight="1">
      <c r="C180" s="841"/>
      <c r="E180" s="915"/>
      <c r="G180" s="13"/>
      <c r="H180" s="13"/>
      <c r="I180" s="6"/>
      <c r="J180" s="58"/>
      <c r="K180" s="6"/>
      <c r="L180" s="139"/>
      <c r="M180" s="3"/>
      <c r="N180" s="191"/>
      <c r="O180" s="60"/>
      <c r="Q180" s="67"/>
      <c r="R180" s="65"/>
      <c r="S180" s="3"/>
      <c r="U180" s="67"/>
      <c r="V180" s="67"/>
      <c r="Z180" s="69"/>
      <c r="AA180" s="70"/>
      <c r="AB180" s="71"/>
      <c r="AC180" s="71"/>
      <c r="AD180" s="71"/>
      <c r="AE180" s="71"/>
      <c r="AF180" s="71"/>
      <c r="AG180" s="71"/>
      <c r="AH180" s="71"/>
    </row>
    <row r="181" ht="15.75" customHeight="1">
      <c r="C181" s="841"/>
      <c r="E181" s="915"/>
      <c r="G181" s="13"/>
      <c r="H181" s="13"/>
      <c r="I181" s="6"/>
      <c r="J181" s="58"/>
      <c r="K181" s="6"/>
      <c r="L181" s="139"/>
      <c r="M181" s="3"/>
      <c r="N181" s="191"/>
      <c r="O181" s="60"/>
      <c r="Q181" s="67"/>
      <c r="R181" s="65"/>
      <c r="S181" s="3"/>
      <c r="U181" s="67"/>
      <c r="V181" s="67"/>
      <c r="Z181" s="69"/>
      <c r="AA181" s="70"/>
      <c r="AB181" s="71"/>
      <c r="AC181" s="71"/>
      <c r="AD181" s="71"/>
      <c r="AE181" s="71"/>
      <c r="AF181" s="71"/>
      <c r="AG181" s="71"/>
      <c r="AH181" s="71"/>
    </row>
    <row r="182" ht="15.75" customHeight="1">
      <c r="C182" s="841"/>
      <c r="E182" s="915"/>
      <c r="G182" s="13"/>
      <c r="H182" s="13"/>
      <c r="I182" s="6"/>
      <c r="J182" s="58"/>
      <c r="K182" s="6"/>
      <c r="L182" s="139"/>
      <c r="M182" s="3"/>
      <c r="N182" s="191"/>
      <c r="O182" s="60"/>
      <c r="Q182" s="67"/>
      <c r="R182" s="65"/>
      <c r="S182" s="3"/>
      <c r="U182" s="67"/>
      <c r="V182" s="67"/>
      <c r="Z182" s="69"/>
      <c r="AA182" s="70"/>
      <c r="AB182" s="71"/>
      <c r="AC182" s="71"/>
      <c r="AD182" s="71"/>
      <c r="AE182" s="71"/>
      <c r="AF182" s="71"/>
      <c r="AG182" s="71"/>
      <c r="AH182" s="71"/>
    </row>
    <row r="183" ht="15.75" customHeight="1">
      <c r="C183" s="841"/>
      <c r="E183" s="915"/>
      <c r="G183" s="13"/>
      <c r="H183" s="13"/>
      <c r="I183" s="6"/>
      <c r="J183" s="58"/>
      <c r="K183" s="6"/>
      <c r="L183" s="139"/>
      <c r="M183" s="3"/>
      <c r="N183" s="191"/>
      <c r="O183" s="60"/>
      <c r="Q183" s="67"/>
      <c r="R183" s="65"/>
      <c r="S183" s="3"/>
      <c r="U183" s="67"/>
      <c r="V183" s="67"/>
      <c r="Z183" s="69"/>
      <c r="AA183" s="70"/>
      <c r="AB183" s="71"/>
      <c r="AC183" s="71"/>
      <c r="AD183" s="71"/>
      <c r="AE183" s="71"/>
      <c r="AF183" s="71"/>
      <c r="AG183" s="71"/>
      <c r="AH183" s="71"/>
    </row>
    <row r="184" ht="15.75" customHeight="1">
      <c r="C184" s="841"/>
      <c r="E184" s="915"/>
      <c r="G184" s="13"/>
      <c r="H184" s="13"/>
      <c r="I184" s="6"/>
      <c r="J184" s="58"/>
      <c r="K184" s="6"/>
      <c r="L184" s="139"/>
      <c r="M184" s="3"/>
      <c r="N184" s="191"/>
      <c r="O184" s="60"/>
      <c r="Q184" s="67"/>
      <c r="R184" s="65"/>
      <c r="S184" s="3"/>
      <c r="U184" s="67"/>
      <c r="V184" s="67"/>
      <c r="Z184" s="69"/>
      <c r="AA184" s="70"/>
      <c r="AB184" s="71"/>
      <c r="AC184" s="71"/>
      <c r="AD184" s="71"/>
      <c r="AE184" s="71"/>
      <c r="AF184" s="71"/>
      <c r="AG184" s="71"/>
      <c r="AH184" s="71"/>
    </row>
    <row r="185" ht="15.75" customHeight="1">
      <c r="C185" s="841"/>
      <c r="E185" s="915"/>
      <c r="G185" s="13"/>
      <c r="H185" s="13"/>
      <c r="I185" s="6"/>
      <c r="J185" s="58"/>
      <c r="K185" s="6"/>
      <c r="L185" s="139"/>
      <c r="M185" s="3"/>
      <c r="N185" s="191"/>
      <c r="O185" s="60"/>
      <c r="Q185" s="67"/>
      <c r="R185" s="65"/>
      <c r="S185" s="3"/>
      <c r="U185" s="67"/>
      <c r="V185" s="67"/>
      <c r="Z185" s="69"/>
      <c r="AA185" s="70"/>
      <c r="AB185" s="71"/>
      <c r="AC185" s="71"/>
      <c r="AD185" s="71"/>
      <c r="AE185" s="71"/>
      <c r="AF185" s="71"/>
      <c r="AG185" s="71"/>
      <c r="AH185" s="71"/>
    </row>
    <row r="186" ht="15.75" customHeight="1">
      <c r="C186" s="841"/>
      <c r="E186" s="915"/>
      <c r="G186" s="13"/>
      <c r="H186" s="13"/>
      <c r="I186" s="6"/>
      <c r="J186" s="58"/>
      <c r="K186" s="6"/>
      <c r="L186" s="139"/>
      <c r="M186" s="3"/>
      <c r="N186" s="191"/>
      <c r="O186" s="60"/>
      <c r="Q186" s="67"/>
      <c r="R186" s="65"/>
      <c r="S186" s="3"/>
      <c r="U186" s="67"/>
      <c r="V186" s="67"/>
      <c r="Z186" s="69"/>
      <c r="AA186" s="70"/>
      <c r="AB186" s="71"/>
      <c r="AC186" s="71"/>
      <c r="AD186" s="71"/>
      <c r="AE186" s="71"/>
      <c r="AF186" s="71"/>
      <c r="AG186" s="71"/>
      <c r="AH186" s="71"/>
    </row>
    <row r="187" ht="15.75" customHeight="1">
      <c r="C187" s="841"/>
      <c r="E187" s="915"/>
      <c r="G187" s="13"/>
      <c r="H187" s="13"/>
      <c r="I187" s="6"/>
      <c r="J187" s="58"/>
      <c r="K187" s="6"/>
      <c r="L187" s="139"/>
      <c r="M187" s="3"/>
      <c r="N187" s="191"/>
      <c r="O187" s="60"/>
      <c r="Q187" s="67"/>
      <c r="R187" s="65"/>
      <c r="S187" s="3"/>
      <c r="U187" s="67"/>
      <c r="V187" s="67"/>
      <c r="Z187" s="69"/>
      <c r="AA187" s="70"/>
      <c r="AB187" s="71"/>
      <c r="AC187" s="71"/>
      <c r="AD187" s="71"/>
      <c r="AE187" s="71"/>
      <c r="AF187" s="71"/>
      <c r="AG187" s="71"/>
      <c r="AH187" s="71"/>
    </row>
    <row r="188" ht="15.75" customHeight="1">
      <c r="C188" s="841"/>
      <c r="E188" s="915"/>
      <c r="G188" s="13"/>
      <c r="H188" s="13"/>
      <c r="I188" s="6"/>
      <c r="J188" s="58"/>
      <c r="K188" s="6"/>
      <c r="L188" s="139"/>
      <c r="M188" s="3"/>
      <c r="N188" s="191"/>
      <c r="O188" s="60"/>
      <c r="Q188" s="67"/>
      <c r="R188" s="65"/>
      <c r="S188" s="3"/>
      <c r="U188" s="67"/>
      <c r="V188" s="67"/>
      <c r="Z188" s="69"/>
      <c r="AA188" s="70"/>
      <c r="AB188" s="71"/>
      <c r="AC188" s="71"/>
      <c r="AD188" s="71"/>
      <c r="AE188" s="71"/>
      <c r="AF188" s="71"/>
      <c r="AG188" s="71"/>
      <c r="AH188" s="71"/>
    </row>
    <row r="189" ht="15.75" customHeight="1">
      <c r="C189" s="841"/>
      <c r="E189" s="915"/>
      <c r="G189" s="13"/>
      <c r="H189" s="13"/>
      <c r="I189" s="6"/>
      <c r="J189" s="58"/>
      <c r="K189" s="6"/>
      <c r="L189" s="139"/>
      <c r="M189" s="3"/>
      <c r="N189" s="191"/>
      <c r="O189" s="60"/>
      <c r="Q189" s="67"/>
      <c r="R189" s="65"/>
      <c r="S189" s="3"/>
      <c r="U189" s="67"/>
      <c r="V189" s="67"/>
      <c r="Z189" s="69"/>
      <c r="AA189" s="70"/>
      <c r="AB189" s="71"/>
      <c r="AC189" s="71"/>
      <c r="AD189" s="71"/>
      <c r="AE189" s="71"/>
      <c r="AF189" s="71"/>
      <c r="AG189" s="71"/>
      <c r="AH189" s="71"/>
    </row>
    <row r="190" ht="15.75" customHeight="1">
      <c r="C190" s="841"/>
      <c r="E190" s="915"/>
      <c r="G190" s="13"/>
      <c r="H190" s="13"/>
      <c r="I190" s="6"/>
      <c r="J190" s="58"/>
      <c r="K190" s="6"/>
      <c r="L190" s="139"/>
      <c r="M190" s="3"/>
      <c r="N190" s="191"/>
      <c r="O190" s="60"/>
      <c r="Q190" s="67"/>
      <c r="R190" s="65"/>
      <c r="S190" s="3"/>
      <c r="U190" s="67"/>
      <c r="V190" s="67"/>
      <c r="Z190" s="69"/>
      <c r="AA190" s="70"/>
      <c r="AB190" s="71"/>
      <c r="AC190" s="71"/>
      <c r="AD190" s="71"/>
      <c r="AE190" s="71"/>
      <c r="AF190" s="71"/>
      <c r="AG190" s="71"/>
      <c r="AH190" s="71"/>
    </row>
    <row r="191" ht="15.75" customHeight="1">
      <c r="C191" s="841"/>
      <c r="E191" s="915"/>
      <c r="G191" s="13"/>
      <c r="H191" s="13"/>
      <c r="I191" s="6"/>
      <c r="J191" s="58"/>
      <c r="K191" s="6"/>
      <c r="L191" s="139"/>
      <c r="M191" s="3"/>
      <c r="N191" s="191"/>
      <c r="O191" s="60"/>
      <c r="Q191" s="67"/>
      <c r="R191" s="65"/>
      <c r="S191" s="3"/>
      <c r="U191" s="67"/>
      <c r="V191" s="67"/>
      <c r="Z191" s="69"/>
      <c r="AA191" s="70"/>
      <c r="AB191" s="71"/>
      <c r="AC191" s="71"/>
      <c r="AD191" s="71"/>
      <c r="AE191" s="71"/>
      <c r="AF191" s="71"/>
      <c r="AG191" s="71"/>
      <c r="AH191" s="71"/>
    </row>
    <row r="192" ht="15.75" customHeight="1">
      <c r="C192" s="841"/>
      <c r="E192" s="915"/>
      <c r="G192" s="13"/>
      <c r="H192" s="13"/>
      <c r="I192" s="6"/>
      <c r="J192" s="58"/>
      <c r="K192" s="6"/>
      <c r="L192" s="139"/>
      <c r="M192" s="3"/>
      <c r="N192" s="191"/>
      <c r="O192" s="60"/>
      <c r="Q192" s="67"/>
      <c r="R192" s="65"/>
      <c r="S192" s="3"/>
      <c r="U192" s="67"/>
      <c r="V192" s="67"/>
      <c r="Z192" s="69"/>
      <c r="AA192" s="70"/>
      <c r="AB192" s="71"/>
      <c r="AC192" s="71"/>
      <c r="AD192" s="71"/>
      <c r="AE192" s="71"/>
      <c r="AF192" s="71"/>
      <c r="AG192" s="71"/>
      <c r="AH192" s="71"/>
    </row>
    <row r="193" ht="15.75" customHeight="1">
      <c r="C193" s="841"/>
      <c r="E193" s="915"/>
      <c r="G193" s="13"/>
      <c r="H193" s="13"/>
      <c r="I193" s="6"/>
      <c r="J193" s="58"/>
      <c r="K193" s="6"/>
      <c r="L193" s="139"/>
      <c r="M193" s="3"/>
      <c r="N193" s="191"/>
      <c r="O193" s="60"/>
      <c r="Q193" s="67"/>
      <c r="R193" s="65"/>
      <c r="S193" s="3"/>
      <c r="U193" s="67"/>
      <c r="V193" s="67"/>
      <c r="Z193" s="69"/>
      <c r="AA193" s="70"/>
      <c r="AB193" s="71"/>
      <c r="AC193" s="71"/>
      <c r="AD193" s="71"/>
      <c r="AE193" s="71"/>
      <c r="AF193" s="71"/>
      <c r="AG193" s="71"/>
      <c r="AH193" s="71"/>
    </row>
    <row r="194" ht="15.75" customHeight="1">
      <c r="C194" s="841"/>
      <c r="E194" s="915"/>
      <c r="G194" s="13"/>
      <c r="H194" s="13"/>
      <c r="I194" s="6"/>
      <c r="J194" s="58"/>
      <c r="K194" s="6"/>
      <c r="L194" s="139"/>
      <c r="M194" s="3"/>
      <c r="N194" s="191"/>
      <c r="O194" s="60"/>
      <c r="Q194" s="67"/>
      <c r="R194" s="65"/>
      <c r="S194" s="3"/>
      <c r="U194" s="67"/>
      <c r="V194" s="67"/>
      <c r="Z194" s="69"/>
      <c r="AA194" s="70"/>
      <c r="AB194" s="71"/>
      <c r="AC194" s="71"/>
      <c r="AD194" s="71"/>
      <c r="AE194" s="71"/>
      <c r="AF194" s="71"/>
      <c r="AG194" s="71"/>
      <c r="AH194" s="71"/>
    </row>
    <row r="195" ht="15.75" customHeight="1">
      <c r="C195" s="841"/>
      <c r="E195" s="915"/>
      <c r="G195" s="13"/>
      <c r="H195" s="13"/>
      <c r="I195" s="6"/>
      <c r="J195" s="58"/>
      <c r="K195" s="6"/>
      <c r="L195" s="139"/>
      <c r="M195" s="3"/>
      <c r="N195" s="191"/>
      <c r="O195" s="60"/>
      <c r="Q195" s="67"/>
      <c r="R195" s="65"/>
      <c r="S195" s="3"/>
      <c r="U195" s="67"/>
      <c r="V195" s="67"/>
      <c r="Z195" s="69"/>
      <c r="AA195" s="70"/>
      <c r="AB195" s="71"/>
      <c r="AC195" s="71"/>
      <c r="AD195" s="71"/>
      <c r="AE195" s="71"/>
      <c r="AF195" s="71"/>
      <c r="AG195" s="71"/>
      <c r="AH195" s="71"/>
    </row>
    <row r="196" ht="15.75" customHeight="1">
      <c r="C196" s="841"/>
      <c r="E196" s="915"/>
      <c r="G196" s="13"/>
      <c r="H196" s="13"/>
      <c r="I196" s="6"/>
      <c r="J196" s="58"/>
      <c r="K196" s="6"/>
      <c r="L196" s="139"/>
      <c r="M196" s="3"/>
      <c r="N196" s="191"/>
      <c r="O196" s="60"/>
      <c r="Q196" s="67"/>
      <c r="R196" s="65"/>
      <c r="S196" s="3"/>
      <c r="U196" s="67"/>
      <c r="V196" s="67"/>
      <c r="Z196" s="69"/>
      <c r="AA196" s="70"/>
      <c r="AB196" s="71"/>
      <c r="AC196" s="71"/>
      <c r="AD196" s="71"/>
      <c r="AE196" s="71"/>
      <c r="AF196" s="71"/>
      <c r="AG196" s="71"/>
      <c r="AH196" s="71"/>
    </row>
    <row r="197" ht="15.75" customHeight="1">
      <c r="C197" s="841"/>
      <c r="E197" s="915"/>
      <c r="G197" s="13"/>
      <c r="H197" s="13"/>
      <c r="I197" s="6"/>
      <c r="J197" s="58"/>
      <c r="K197" s="6"/>
      <c r="L197" s="139"/>
      <c r="M197" s="3"/>
      <c r="N197" s="191"/>
      <c r="O197" s="60"/>
      <c r="Q197" s="67"/>
      <c r="R197" s="65"/>
      <c r="S197" s="3"/>
      <c r="U197" s="67"/>
      <c r="V197" s="67"/>
      <c r="Z197" s="69"/>
      <c r="AA197" s="70"/>
      <c r="AB197" s="71"/>
      <c r="AC197" s="71"/>
      <c r="AD197" s="71"/>
      <c r="AE197" s="71"/>
      <c r="AF197" s="71"/>
      <c r="AG197" s="71"/>
      <c r="AH197" s="71"/>
    </row>
    <row r="198" ht="15.75" customHeight="1">
      <c r="C198" s="841"/>
      <c r="E198" s="915"/>
      <c r="G198" s="13"/>
      <c r="H198" s="13"/>
      <c r="I198" s="6"/>
      <c r="J198" s="58"/>
      <c r="K198" s="6"/>
      <c r="L198" s="139"/>
      <c r="M198" s="3"/>
      <c r="N198" s="191"/>
      <c r="O198" s="60"/>
      <c r="Q198" s="67"/>
      <c r="R198" s="65"/>
      <c r="S198" s="3"/>
      <c r="U198" s="67"/>
      <c r="V198" s="67"/>
      <c r="Z198" s="69"/>
      <c r="AA198" s="70"/>
      <c r="AB198" s="71"/>
      <c r="AC198" s="71"/>
      <c r="AD198" s="71"/>
      <c r="AE198" s="71"/>
      <c r="AF198" s="71"/>
      <c r="AG198" s="71"/>
      <c r="AH198" s="71"/>
    </row>
    <row r="199" ht="15.75" customHeight="1">
      <c r="C199" s="841"/>
      <c r="E199" s="915"/>
      <c r="G199" s="13"/>
      <c r="H199" s="13"/>
      <c r="I199" s="6"/>
      <c r="J199" s="58"/>
      <c r="K199" s="6"/>
      <c r="L199" s="139"/>
      <c r="M199" s="3"/>
      <c r="N199" s="191"/>
      <c r="O199" s="60"/>
      <c r="Q199" s="67"/>
      <c r="R199" s="65"/>
      <c r="S199" s="3"/>
      <c r="U199" s="67"/>
      <c r="V199" s="67"/>
      <c r="Z199" s="69"/>
      <c r="AA199" s="70"/>
      <c r="AB199" s="71"/>
      <c r="AC199" s="71"/>
      <c r="AD199" s="71"/>
      <c r="AE199" s="71"/>
      <c r="AF199" s="71"/>
      <c r="AG199" s="71"/>
      <c r="AH199" s="71"/>
    </row>
    <row r="200" ht="15.75" customHeight="1">
      <c r="C200" s="841"/>
      <c r="E200" s="915"/>
      <c r="G200" s="13"/>
      <c r="H200" s="13"/>
      <c r="I200" s="6"/>
      <c r="J200" s="58"/>
      <c r="K200" s="6"/>
      <c r="L200" s="139"/>
      <c r="M200" s="3"/>
      <c r="N200" s="191"/>
      <c r="O200" s="60"/>
      <c r="Q200" s="67"/>
      <c r="R200" s="65"/>
      <c r="S200" s="3"/>
      <c r="U200" s="67"/>
      <c r="V200" s="67"/>
      <c r="Z200" s="69"/>
      <c r="AA200" s="70"/>
      <c r="AB200" s="71"/>
      <c r="AC200" s="71"/>
      <c r="AD200" s="71"/>
      <c r="AE200" s="71"/>
      <c r="AF200" s="71"/>
      <c r="AG200" s="71"/>
      <c r="AH200" s="71"/>
    </row>
    <row r="201" ht="15.75" customHeight="1">
      <c r="C201" s="841"/>
      <c r="E201" s="915"/>
      <c r="G201" s="13"/>
      <c r="H201" s="13"/>
      <c r="I201" s="6"/>
      <c r="J201" s="58"/>
      <c r="K201" s="6"/>
      <c r="L201" s="139"/>
      <c r="M201" s="3"/>
      <c r="N201" s="191"/>
      <c r="O201" s="60"/>
      <c r="Q201" s="67"/>
      <c r="R201" s="65"/>
      <c r="S201" s="3"/>
      <c r="U201" s="67"/>
      <c r="V201" s="67"/>
      <c r="Z201" s="69"/>
      <c r="AA201" s="70"/>
      <c r="AB201" s="71"/>
      <c r="AC201" s="71"/>
      <c r="AD201" s="71"/>
      <c r="AE201" s="71"/>
      <c r="AF201" s="71"/>
      <c r="AG201" s="71"/>
      <c r="AH201" s="71"/>
    </row>
    <row r="202" ht="15.75" customHeight="1">
      <c r="C202" s="841"/>
      <c r="E202" s="915"/>
      <c r="G202" s="13"/>
      <c r="H202" s="13"/>
      <c r="I202" s="6"/>
      <c r="J202" s="58"/>
      <c r="K202" s="6"/>
      <c r="L202" s="139"/>
      <c r="M202" s="3"/>
      <c r="N202" s="191"/>
      <c r="O202" s="60"/>
      <c r="Q202" s="67"/>
      <c r="R202" s="65"/>
      <c r="S202" s="3"/>
      <c r="U202" s="67"/>
      <c r="V202" s="67"/>
      <c r="Z202" s="69"/>
      <c r="AA202" s="70"/>
      <c r="AB202" s="71"/>
      <c r="AC202" s="71"/>
      <c r="AD202" s="71"/>
      <c r="AE202" s="71"/>
      <c r="AF202" s="71"/>
      <c r="AG202" s="71"/>
      <c r="AH202" s="71"/>
    </row>
    <row r="203" ht="15.75" customHeight="1">
      <c r="C203" s="841"/>
      <c r="E203" s="915"/>
      <c r="G203" s="13"/>
      <c r="H203" s="13"/>
      <c r="I203" s="6"/>
      <c r="J203" s="58"/>
      <c r="K203" s="6"/>
      <c r="L203" s="139"/>
      <c r="M203" s="3"/>
      <c r="N203" s="191"/>
      <c r="O203" s="60"/>
      <c r="Q203" s="67"/>
      <c r="R203" s="65"/>
      <c r="S203" s="3"/>
      <c r="U203" s="67"/>
      <c r="V203" s="67"/>
      <c r="Z203" s="69"/>
      <c r="AA203" s="70"/>
      <c r="AB203" s="71"/>
      <c r="AC203" s="71"/>
      <c r="AD203" s="71"/>
      <c r="AE203" s="71"/>
      <c r="AF203" s="71"/>
      <c r="AG203" s="71"/>
      <c r="AH203" s="71"/>
    </row>
    <row r="204" ht="15.75" customHeight="1">
      <c r="C204" s="841"/>
      <c r="E204" s="915"/>
      <c r="G204" s="13"/>
      <c r="H204" s="13"/>
      <c r="I204" s="6"/>
      <c r="J204" s="58"/>
      <c r="K204" s="6"/>
      <c r="L204" s="139"/>
      <c r="M204" s="3"/>
      <c r="N204" s="191"/>
      <c r="O204" s="60"/>
      <c r="Q204" s="67"/>
      <c r="R204" s="65"/>
      <c r="S204" s="3"/>
      <c r="U204" s="67"/>
      <c r="V204" s="67"/>
      <c r="Z204" s="69"/>
      <c r="AA204" s="70"/>
      <c r="AB204" s="71"/>
      <c r="AC204" s="71"/>
      <c r="AD204" s="71"/>
      <c r="AE204" s="71"/>
      <c r="AF204" s="71"/>
      <c r="AG204" s="71"/>
      <c r="AH204" s="71"/>
    </row>
    <row r="205" ht="15.75" customHeight="1">
      <c r="C205" s="841"/>
      <c r="E205" s="915"/>
      <c r="G205" s="13"/>
      <c r="H205" s="13"/>
      <c r="I205" s="6"/>
      <c r="J205" s="58"/>
      <c r="K205" s="6"/>
      <c r="L205" s="139"/>
      <c r="M205" s="3"/>
      <c r="N205" s="191"/>
      <c r="O205" s="60"/>
      <c r="Q205" s="67"/>
      <c r="R205" s="65"/>
      <c r="S205" s="3"/>
      <c r="U205" s="67"/>
      <c r="V205" s="67"/>
      <c r="Z205" s="69"/>
      <c r="AA205" s="70"/>
      <c r="AB205" s="71"/>
      <c r="AC205" s="71"/>
      <c r="AD205" s="71"/>
      <c r="AE205" s="71"/>
      <c r="AF205" s="71"/>
      <c r="AG205" s="71"/>
      <c r="AH205" s="71"/>
    </row>
    <row r="206" ht="15.75" customHeight="1">
      <c r="C206" s="841"/>
      <c r="E206" s="915"/>
      <c r="G206" s="13"/>
      <c r="H206" s="13"/>
      <c r="I206" s="6"/>
      <c r="J206" s="58"/>
      <c r="K206" s="6"/>
      <c r="L206" s="139"/>
      <c r="M206" s="3"/>
      <c r="N206" s="191"/>
      <c r="O206" s="60"/>
      <c r="Q206" s="67"/>
      <c r="R206" s="65"/>
      <c r="S206" s="3"/>
      <c r="U206" s="67"/>
      <c r="V206" s="67"/>
      <c r="Z206" s="69"/>
      <c r="AA206" s="70"/>
      <c r="AB206" s="71"/>
      <c r="AC206" s="71"/>
      <c r="AD206" s="71"/>
      <c r="AE206" s="71"/>
      <c r="AF206" s="71"/>
      <c r="AG206" s="71"/>
      <c r="AH206" s="71"/>
    </row>
    <row r="207" ht="15.75" customHeight="1">
      <c r="C207" s="841"/>
      <c r="E207" s="915"/>
      <c r="G207" s="13"/>
      <c r="H207" s="13"/>
      <c r="I207" s="6"/>
      <c r="J207" s="58"/>
      <c r="K207" s="6"/>
      <c r="L207" s="139"/>
      <c r="M207" s="3"/>
      <c r="N207" s="191"/>
      <c r="O207" s="60"/>
      <c r="Q207" s="67"/>
      <c r="R207" s="65"/>
      <c r="S207" s="3"/>
      <c r="U207" s="67"/>
      <c r="V207" s="67"/>
      <c r="Z207" s="69"/>
      <c r="AA207" s="70"/>
      <c r="AB207" s="71"/>
      <c r="AC207" s="71"/>
      <c r="AD207" s="71"/>
      <c r="AE207" s="71"/>
      <c r="AF207" s="71"/>
      <c r="AG207" s="71"/>
      <c r="AH207" s="71"/>
    </row>
    <row r="208" ht="15.75" customHeight="1">
      <c r="C208" s="841"/>
      <c r="E208" s="915"/>
      <c r="G208" s="13"/>
      <c r="H208" s="13"/>
      <c r="I208" s="6"/>
      <c r="J208" s="58"/>
      <c r="K208" s="6"/>
      <c r="L208" s="139"/>
      <c r="M208" s="3"/>
      <c r="N208" s="191"/>
      <c r="O208" s="60"/>
      <c r="Q208" s="67"/>
      <c r="R208" s="65"/>
      <c r="S208" s="3"/>
      <c r="U208" s="67"/>
      <c r="V208" s="67"/>
      <c r="Z208" s="69"/>
      <c r="AA208" s="70"/>
      <c r="AB208" s="71"/>
      <c r="AC208" s="71"/>
      <c r="AD208" s="71"/>
      <c r="AE208" s="71"/>
      <c r="AF208" s="71"/>
      <c r="AG208" s="71"/>
      <c r="AH208" s="71"/>
    </row>
    <row r="209" ht="15.75" customHeight="1">
      <c r="C209" s="841"/>
      <c r="E209" s="915"/>
      <c r="G209" s="13"/>
      <c r="H209" s="13"/>
      <c r="I209" s="6"/>
      <c r="J209" s="58"/>
      <c r="K209" s="6"/>
      <c r="L209" s="139"/>
      <c r="M209" s="3"/>
      <c r="N209" s="191"/>
      <c r="O209" s="60"/>
      <c r="Q209" s="67"/>
      <c r="R209" s="65"/>
      <c r="S209" s="3"/>
      <c r="U209" s="67"/>
      <c r="V209" s="67"/>
      <c r="Z209" s="69"/>
      <c r="AA209" s="70"/>
      <c r="AB209" s="71"/>
      <c r="AC209" s="71"/>
      <c r="AD209" s="71"/>
      <c r="AE209" s="71"/>
      <c r="AF209" s="71"/>
      <c r="AG209" s="71"/>
      <c r="AH209" s="71"/>
    </row>
    <row r="210" ht="15.75" customHeight="1">
      <c r="C210" s="841"/>
      <c r="E210" s="915"/>
      <c r="G210" s="13"/>
      <c r="H210" s="13"/>
      <c r="I210" s="6"/>
      <c r="J210" s="58"/>
      <c r="K210" s="6"/>
      <c r="L210" s="139"/>
      <c r="M210" s="3"/>
      <c r="N210" s="191"/>
      <c r="O210" s="60"/>
      <c r="Q210" s="67"/>
      <c r="R210" s="65"/>
      <c r="S210" s="3"/>
      <c r="U210" s="67"/>
      <c r="V210" s="67"/>
      <c r="Z210" s="69"/>
      <c r="AA210" s="70"/>
      <c r="AB210" s="71"/>
      <c r="AC210" s="71"/>
      <c r="AD210" s="71"/>
      <c r="AE210" s="71"/>
      <c r="AF210" s="71"/>
      <c r="AG210" s="71"/>
      <c r="AH210" s="71"/>
    </row>
    <row r="211" ht="15.75" customHeight="1">
      <c r="C211" s="841"/>
      <c r="E211" s="915"/>
      <c r="G211" s="13"/>
      <c r="H211" s="13"/>
      <c r="I211" s="6"/>
      <c r="J211" s="58"/>
      <c r="K211" s="6"/>
      <c r="L211" s="139"/>
      <c r="M211" s="3"/>
      <c r="N211" s="191"/>
      <c r="O211" s="60"/>
      <c r="Q211" s="67"/>
      <c r="R211" s="65"/>
      <c r="S211" s="3"/>
      <c r="U211" s="67"/>
      <c r="V211" s="67"/>
      <c r="Z211" s="69"/>
      <c r="AA211" s="70"/>
      <c r="AB211" s="71"/>
      <c r="AC211" s="71"/>
      <c r="AD211" s="71"/>
      <c r="AE211" s="71"/>
      <c r="AF211" s="71"/>
      <c r="AG211" s="71"/>
      <c r="AH211" s="71"/>
    </row>
    <row r="212" ht="15.75" customHeight="1">
      <c r="C212" s="841"/>
      <c r="E212" s="915"/>
      <c r="G212" s="13"/>
      <c r="H212" s="13"/>
      <c r="I212" s="6"/>
      <c r="J212" s="58"/>
      <c r="K212" s="6"/>
      <c r="L212" s="139"/>
      <c r="M212" s="3"/>
      <c r="N212" s="191"/>
      <c r="O212" s="60"/>
      <c r="Q212" s="67"/>
      <c r="R212" s="65"/>
      <c r="S212" s="3"/>
      <c r="U212" s="67"/>
      <c r="V212" s="67"/>
      <c r="Z212" s="69"/>
      <c r="AA212" s="70"/>
      <c r="AB212" s="71"/>
      <c r="AC212" s="71"/>
      <c r="AD212" s="71"/>
      <c r="AE212" s="71"/>
      <c r="AF212" s="71"/>
      <c r="AG212" s="71"/>
      <c r="AH212" s="71"/>
    </row>
    <row r="213" ht="15.75" customHeight="1">
      <c r="C213" s="841"/>
      <c r="E213" s="915"/>
      <c r="G213" s="13"/>
      <c r="H213" s="13"/>
      <c r="I213" s="6"/>
      <c r="J213" s="58"/>
      <c r="K213" s="6"/>
      <c r="L213" s="139"/>
      <c r="M213" s="3"/>
      <c r="N213" s="191"/>
      <c r="O213" s="60"/>
      <c r="Q213" s="67"/>
      <c r="R213" s="65"/>
      <c r="S213" s="3"/>
      <c r="U213" s="67"/>
      <c r="V213" s="67"/>
      <c r="Z213" s="69"/>
      <c r="AA213" s="70"/>
      <c r="AB213" s="71"/>
      <c r="AC213" s="71"/>
      <c r="AD213" s="71"/>
      <c r="AE213" s="71"/>
      <c r="AF213" s="71"/>
      <c r="AG213" s="71"/>
      <c r="AH213" s="71"/>
    </row>
    <row r="214" ht="15.75" customHeight="1">
      <c r="C214" s="841"/>
      <c r="E214" s="915"/>
      <c r="G214" s="13"/>
      <c r="H214" s="13"/>
      <c r="I214" s="6"/>
      <c r="J214" s="58"/>
      <c r="K214" s="6"/>
      <c r="L214" s="139"/>
      <c r="M214" s="3"/>
      <c r="N214" s="191"/>
      <c r="O214" s="60"/>
      <c r="Q214" s="67"/>
      <c r="R214" s="65"/>
      <c r="S214" s="3"/>
      <c r="U214" s="67"/>
      <c r="V214" s="67"/>
      <c r="Z214" s="69"/>
      <c r="AA214" s="70"/>
      <c r="AB214" s="71"/>
      <c r="AC214" s="71"/>
      <c r="AD214" s="71"/>
      <c r="AE214" s="71"/>
      <c r="AF214" s="71"/>
      <c r="AG214" s="71"/>
      <c r="AH214" s="71"/>
    </row>
    <row r="215" ht="15.75" customHeight="1">
      <c r="C215" s="841"/>
      <c r="E215" s="915"/>
      <c r="G215" s="13"/>
      <c r="H215" s="13"/>
      <c r="I215" s="6"/>
      <c r="J215" s="58"/>
      <c r="K215" s="6"/>
      <c r="L215" s="139"/>
      <c r="M215" s="3"/>
      <c r="N215" s="191"/>
      <c r="O215" s="60"/>
      <c r="Q215" s="67"/>
      <c r="R215" s="65"/>
      <c r="S215" s="3"/>
      <c r="U215" s="67"/>
      <c r="V215" s="67"/>
      <c r="Z215" s="69"/>
      <c r="AA215" s="70"/>
      <c r="AB215" s="71"/>
      <c r="AC215" s="71"/>
      <c r="AD215" s="71"/>
      <c r="AE215" s="71"/>
      <c r="AF215" s="71"/>
      <c r="AG215" s="71"/>
      <c r="AH215" s="71"/>
    </row>
    <row r="216" ht="15.75" customHeight="1">
      <c r="C216" s="841"/>
      <c r="E216" s="915"/>
      <c r="G216" s="13"/>
      <c r="H216" s="13"/>
      <c r="I216" s="6"/>
      <c r="J216" s="58"/>
      <c r="K216" s="6"/>
      <c r="L216" s="139"/>
      <c r="M216" s="3"/>
      <c r="N216" s="191"/>
      <c r="O216" s="60"/>
      <c r="Q216" s="67"/>
      <c r="R216" s="65"/>
      <c r="S216" s="3"/>
      <c r="U216" s="67"/>
      <c r="V216" s="67"/>
      <c r="Z216" s="69"/>
      <c r="AA216" s="70"/>
      <c r="AB216" s="71"/>
      <c r="AC216" s="71"/>
      <c r="AD216" s="71"/>
      <c r="AE216" s="71"/>
      <c r="AF216" s="71"/>
      <c r="AG216" s="71"/>
      <c r="AH216" s="71"/>
    </row>
    <row r="217" ht="15.75" customHeight="1">
      <c r="C217" s="841"/>
      <c r="E217" s="915"/>
      <c r="G217" s="13"/>
      <c r="H217" s="13"/>
      <c r="I217" s="6"/>
      <c r="J217" s="58"/>
      <c r="K217" s="6"/>
      <c r="L217" s="139"/>
      <c r="M217" s="3"/>
      <c r="N217" s="191"/>
      <c r="O217" s="60"/>
      <c r="Q217" s="67"/>
      <c r="R217" s="65"/>
      <c r="S217" s="3"/>
      <c r="U217" s="67"/>
      <c r="V217" s="67"/>
      <c r="Z217" s="69"/>
      <c r="AA217" s="70"/>
      <c r="AB217" s="71"/>
      <c r="AC217" s="71"/>
      <c r="AD217" s="71"/>
      <c r="AE217" s="71"/>
      <c r="AF217" s="71"/>
      <c r="AG217" s="71"/>
      <c r="AH217" s="71"/>
    </row>
    <row r="218" ht="15.75" customHeight="1">
      <c r="C218" s="841"/>
      <c r="E218" s="915"/>
      <c r="G218" s="13"/>
      <c r="H218" s="13"/>
      <c r="I218" s="6"/>
      <c r="J218" s="58"/>
      <c r="K218" s="6"/>
      <c r="L218" s="139"/>
      <c r="M218" s="3"/>
      <c r="N218" s="191"/>
      <c r="O218" s="60"/>
      <c r="Q218" s="67"/>
      <c r="R218" s="65"/>
      <c r="S218" s="3"/>
      <c r="U218" s="67"/>
      <c r="V218" s="67"/>
      <c r="Z218" s="69"/>
      <c r="AA218" s="70"/>
      <c r="AB218" s="71"/>
      <c r="AC218" s="71"/>
      <c r="AD218" s="71"/>
      <c r="AE218" s="71"/>
      <c r="AF218" s="71"/>
      <c r="AG218" s="71"/>
      <c r="AH218" s="71"/>
    </row>
    <row r="219" ht="15.75" customHeight="1">
      <c r="C219" s="841"/>
      <c r="E219" s="915"/>
      <c r="G219" s="13"/>
      <c r="H219" s="13"/>
      <c r="I219" s="6"/>
      <c r="J219" s="58"/>
      <c r="K219" s="6"/>
      <c r="L219" s="139"/>
      <c r="M219" s="3"/>
      <c r="N219" s="191"/>
      <c r="O219" s="60"/>
      <c r="Q219" s="67"/>
      <c r="R219" s="65"/>
      <c r="S219" s="3"/>
      <c r="U219" s="67"/>
      <c r="V219" s="67"/>
      <c r="Z219" s="69"/>
      <c r="AA219" s="70"/>
      <c r="AB219" s="71"/>
      <c r="AC219" s="71"/>
      <c r="AD219" s="71"/>
      <c r="AE219" s="71"/>
      <c r="AF219" s="71"/>
      <c r="AG219" s="71"/>
      <c r="AH219" s="71"/>
    </row>
    <row r="220" ht="15.75" customHeight="1">
      <c r="C220" s="841"/>
      <c r="E220" s="915"/>
      <c r="G220" s="13"/>
      <c r="H220" s="13"/>
      <c r="I220" s="6"/>
      <c r="J220" s="58"/>
      <c r="K220" s="6"/>
      <c r="L220" s="139"/>
      <c r="M220" s="3"/>
      <c r="N220" s="191"/>
      <c r="O220" s="60"/>
      <c r="Q220" s="67"/>
      <c r="R220" s="65"/>
      <c r="S220" s="3"/>
      <c r="U220" s="67"/>
      <c r="V220" s="67"/>
      <c r="Z220" s="69"/>
      <c r="AA220" s="70"/>
      <c r="AB220" s="71"/>
      <c r="AC220" s="71"/>
      <c r="AD220" s="71"/>
      <c r="AE220" s="71"/>
      <c r="AF220" s="71"/>
      <c r="AG220" s="71"/>
      <c r="AH220" s="71"/>
    </row>
    <row r="221" ht="15.75" customHeight="1">
      <c r="C221" s="841"/>
      <c r="E221" s="915"/>
      <c r="G221" s="13"/>
      <c r="H221" s="13"/>
      <c r="I221" s="6"/>
      <c r="J221" s="58"/>
      <c r="K221" s="6"/>
      <c r="L221" s="139"/>
      <c r="M221" s="3"/>
      <c r="N221" s="191"/>
      <c r="O221" s="60"/>
      <c r="Q221" s="67"/>
      <c r="R221" s="65"/>
      <c r="S221" s="3"/>
      <c r="U221" s="67"/>
      <c r="V221" s="67"/>
      <c r="Z221" s="69"/>
      <c r="AA221" s="70"/>
      <c r="AB221" s="71"/>
      <c r="AC221" s="71"/>
      <c r="AD221" s="71"/>
      <c r="AE221" s="71"/>
      <c r="AF221" s="71"/>
      <c r="AG221" s="71"/>
      <c r="AH221" s="71"/>
    </row>
    <row r="222" ht="15.75" customHeight="1">
      <c r="C222" s="841"/>
      <c r="E222" s="915"/>
      <c r="G222" s="13"/>
      <c r="H222" s="13"/>
      <c r="I222" s="6"/>
      <c r="J222" s="58"/>
      <c r="K222" s="6"/>
      <c r="L222" s="139"/>
      <c r="M222" s="3"/>
      <c r="N222" s="191"/>
      <c r="O222" s="60"/>
      <c r="Q222" s="67"/>
      <c r="R222" s="65"/>
      <c r="S222" s="3"/>
      <c r="U222" s="67"/>
      <c r="V222" s="67"/>
      <c r="Z222" s="69"/>
      <c r="AA222" s="70"/>
      <c r="AB222" s="71"/>
      <c r="AC222" s="71"/>
      <c r="AD222" s="71"/>
      <c r="AE222" s="71"/>
      <c r="AF222" s="71"/>
      <c r="AG222" s="71"/>
      <c r="AH222" s="71"/>
    </row>
    <row r="223" ht="15.75" customHeight="1">
      <c r="C223" s="841"/>
      <c r="E223" s="915"/>
      <c r="G223" s="13"/>
      <c r="H223" s="13"/>
      <c r="I223" s="6"/>
      <c r="J223" s="58"/>
      <c r="K223" s="6"/>
      <c r="L223" s="139"/>
      <c r="M223" s="3"/>
      <c r="N223" s="191"/>
      <c r="O223" s="60"/>
      <c r="Q223" s="67"/>
      <c r="R223" s="65"/>
      <c r="S223" s="3"/>
      <c r="U223" s="67"/>
      <c r="V223" s="67"/>
      <c r="Z223" s="69"/>
      <c r="AA223" s="70"/>
      <c r="AB223" s="71"/>
      <c r="AC223" s="71"/>
      <c r="AD223" s="71"/>
      <c r="AE223" s="71"/>
      <c r="AF223" s="71"/>
      <c r="AG223" s="71"/>
      <c r="AH223" s="71"/>
    </row>
    <row r="224" ht="15.75" customHeight="1">
      <c r="C224" s="841"/>
      <c r="E224" s="915"/>
      <c r="G224" s="13"/>
      <c r="H224" s="13"/>
      <c r="I224" s="6"/>
      <c r="J224" s="58"/>
      <c r="K224" s="6"/>
      <c r="L224" s="139"/>
      <c r="M224" s="3"/>
      <c r="N224" s="191"/>
      <c r="O224" s="60"/>
      <c r="Q224" s="67"/>
      <c r="R224" s="65"/>
      <c r="S224" s="3"/>
      <c r="U224" s="67"/>
      <c r="V224" s="67"/>
      <c r="Z224" s="69"/>
      <c r="AA224" s="70"/>
      <c r="AB224" s="71"/>
      <c r="AC224" s="71"/>
      <c r="AD224" s="71"/>
      <c r="AE224" s="71"/>
      <c r="AF224" s="71"/>
      <c r="AG224" s="71"/>
      <c r="AH224" s="71"/>
    </row>
    <row r="225" ht="15.75" customHeight="1">
      <c r="C225" s="841"/>
      <c r="E225" s="915"/>
      <c r="G225" s="13"/>
      <c r="H225" s="13"/>
      <c r="I225" s="6"/>
      <c r="J225" s="58"/>
      <c r="K225" s="6"/>
      <c r="L225" s="139"/>
      <c r="M225" s="3"/>
      <c r="N225" s="191"/>
      <c r="O225" s="60"/>
      <c r="Q225" s="67"/>
      <c r="R225" s="65"/>
      <c r="S225" s="3"/>
      <c r="U225" s="67"/>
      <c r="V225" s="67"/>
      <c r="Z225" s="69"/>
      <c r="AA225" s="70"/>
      <c r="AB225" s="71"/>
      <c r="AC225" s="71"/>
      <c r="AD225" s="71"/>
      <c r="AE225" s="71"/>
      <c r="AF225" s="71"/>
      <c r="AG225" s="71"/>
      <c r="AH225" s="71"/>
    </row>
    <row r="226" ht="15.75" customHeight="1">
      <c r="C226" s="841"/>
      <c r="E226" s="915"/>
      <c r="G226" s="13"/>
      <c r="H226" s="13"/>
      <c r="I226" s="6"/>
      <c r="J226" s="58"/>
      <c r="K226" s="6"/>
      <c r="L226" s="139"/>
      <c r="M226" s="3"/>
      <c r="N226" s="191"/>
      <c r="O226" s="60"/>
      <c r="Q226" s="67"/>
      <c r="R226" s="65"/>
      <c r="S226" s="3"/>
      <c r="U226" s="67"/>
      <c r="V226" s="67"/>
      <c r="Z226" s="69"/>
      <c r="AA226" s="70"/>
      <c r="AB226" s="71"/>
      <c r="AC226" s="71"/>
      <c r="AD226" s="71"/>
      <c r="AE226" s="71"/>
      <c r="AF226" s="71"/>
      <c r="AG226" s="71"/>
      <c r="AH226" s="71"/>
    </row>
    <row r="227" ht="15.75" customHeight="1">
      <c r="C227" s="841"/>
      <c r="E227" s="915"/>
      <c r="G227" s="13"/>
      <c r="H227" s="13"/>
      <c r="I227" s="6"/>
      <c r="J227" s="58"/>
      <c r="K227" s="6"/>
      <c r="L227" s="139"/>
      <c r="M227" s="3"/>
      <c r="N227" s="191"/>
      <c r="O227" s="60"/>
      <c r="Q227" s="67"/>
      <c r="R227" s="65"/>
      <c r="S227" s="3"/>
      <c r="U227" s="67"/>
      <c r="V227" s="67"/>
      <c r="Z227" s="69"/>
      <c r="AA227" s="70"/>
      <c r="AB227" s="71"/>
      <c r="AC227" s="71"/>
      <c r="AD227" s="71"/>
      <c r="AE227" s="71"/>
      <c r="AF227" s="71"/>
      <c r="AG227" s="71"/>
      <c r="AH227" s="71"/>
    </row>
    <row r="228" ht="15.75" customHeight="1">
      <c r="C228" s="841"/>
      <c r="E228" s="915"/>
      <c r="G228" s="13"/>
      <c r="H228" s="13"/>
      <c r="I228" s="6"/>
      <c r="J228" s="58"/>
      <c r="K228" s="6"/>
      <c r="L228" s="139"/>
      <c r="M228" s="3"/>
      <c r="N228" s="191"/>
      <c r="O228" s="60"/>
      <c r="Q228" s="67"/>
      <c r="R228" s="65"/>
      <c r="S228" s="3"/>
      <c r="U228" s="67"/>
      <c r="V228" s="67"/>
      <c r="Z228" s="69"/>
      <c r="AA228" s="70"/>
      <c r="AB228" s="71"/>
      <c r="AC228" s="71"/>
      <c r="AD228" s="71"/>
      <c r="AE228" s="71"/>
      <c r="AF228" s="71"/>
      <c r="AG228" s="71"/>
      <c r="AH228" s="71"/>
    </row>
    <row r="229" ht="15.75" customHeight="1">
      <c r="C229" s="841"/>
      <c r="E229" s="915"/>
      <c r="G229" s="13"/>
      <c r="H229" s="13"/>
      <c r="I229" s="6"/>
      <c r="J229" s="58"/>
      <c r="K229" s="6"/>
      <c r="L229" s="139"/>
      <c r="M229" s="3"/>
      <c r="N229" s="191"/>
      <c r="O229" s="60"/>
      <c r="Q229" s="67"/>
      <c r="R229" s="65"/>
      <c r="S229" s="3"/>
      <c r="U229" s="67"/>
      <c r="V229" s="67"/>
      <c r="Z229" s="69"/>
      <c r="AA229" s="70"/>
      <c r="AB229" s="71"/>
      <c r="AC229" s="71"/>
      <c r="AD229" s="71"/>
      <c r="AE229" s="71"/>
      <c r="AF229" s="71"/>
      <c r="AG229" s="71"/>
      <c r="AH229" s="71"/>
    </row>
    <row r="230" ht="15.75" customHeight="1">
      <c r="C230" s="841"/>
      <c r="E230" s="915"/>
      <c r="G230" s="13"/>
      <c r="H230" s="13"/>
      <c r="I230" s="6"/>
      <c r="J230" s="58"/>
      <c r="K230" s="6"/>
      <c r="L230" s="139"/>
      <c r="M230" s="3"/>
      <c r="N230" s="191"/>
      <c r="O230" s="60"/>
      <c r="Q230" s="67"/>
      <c r="R230" s="65"/>
      <c r="S230" s="3"/>
      <c r="U230" s="67"/>
      <c r="V230" s="67"/>
      <c r="Z230" s="69"/>
      <c r="AA230" s="70"/>
      <c r="AB230" s="71"/>
      <c r="AC230" s="71"/>
      <c r="AD230" s="71"/>
      <c r="AE230" s="71"/>
      <c r="AF230" s="71"/>
      <c r="AG230" s="71"/>
      <c r="AH230" s="71"/>
    </row>
    <row r="231" ht="15.75" customHeight="1">
      <c r="C231" s="841"/>
      <c r="E231" s="915"/>
      <c r="G231" s="13"/>
      <c r="H231" s="13"/>
      <c r="I231" s="6"/>
      <c r="J231" s="58"/>
      <c r="K231" s="6"/>
      <c r="L231" s="139"/>
      <c r="M231" s="3"/>
      <c r="N231" s="191"/>
      <c r="O231" s="60"/>
      <c r="Q231" s="67"/>
      <c r="R231" s="65"/>
      <c r="S231" s="3"/>
      <c r="U231" s="67"/>
      <c r="V231" s="67"/>
      <c r="Z231" s="69"/>
      <c r="AA231" s="70"/>
      <c r="AB231" s="71"/>
      <c r="AC231" s="71"/>
      <c r="AD231" s="71"/>
      <c r="AE231" s="71"/>
      <c r="AF231" s="71"/>
      <c r="AG231" s="71"/>
      <c r="AH231" s="71"/>
    </row>
    <row r="232" ht="15.75" customHeight="1">
      <c r="C232" s="841"/>
      <c r="E232" s="915"/>
      <c r="G232" s="13"/>
      <c r="H232" s="13"/>
      <c r="I232" s="6"/>
      <c r="J232" s="58"/>
      <c r="K232" s="6"/>
      <c r="L232" s="139"/>
      <c r="M232" s="3"/>
      <c r="N232" s="191"/>
      <c r="O232" s="60"/>
      <c r="Q232" s="67"/>
      <c r="R232" s="65"/>
      <c r="S232" s="3"/>
      <c r="U232" s="67"/>
      <c r="V232" s="67"/>
      <c r="Z232" s="69"/>
      <c r="AA232" s="70"/>
      <c r="AB232" s="71"/>
      <c r="AC232" s="71"/>
      <c r="AD232" s="71"/>
      <c r="AE232" s="71"/>
      <c r="AF232" s="71"/>
      <c r="AG232" s="71"/>
      <c r="AH232" s="71"/>
    </row>
    <row r="233" ht="15.75" customHeight="1">
      <c r="C233" s="841"/>
      <c r="E233" s="915"/>
      <c r="G233" s="13"/>
      <c r="H233" s="13"/>
      <c r="I233" s="6"/>
      <c r="J233" s="58"/>
      <c r="K233" s="6"/>
      <c r="L233" s="139"/>
      <c r="M233" s="3"/>
      <c r="N233" s="191"/>
      <c r="O233" s="60"/>
      <c r="Q233" s="67"/>
      <c r="R233" s="65"/>
      <c r="S233" s="3"/>
      <c r="U233" s="67"/>
      <c r="V233" s="67"/>
      <c r="Z233" s="69"/>
      <c r="AA233" s="70"/>
      <c r="AB233" s="71"/>
      <c r="AC233" s="71"/>
      <c r="AD233" s="71"/>
      <c r="AE233" s="71"/>
      <c r="AF233" s="71"/>
      <c r="AG233" s="71"/>
      <c r="AH233" s="71"/>
    </row>
    <row r="234" ht="15.75" customHeight="1">
      <c r="C234" s="841"/>
      <c r="E234" s="915"/>
      <c r="G234" s="13"/>
      <c r="H234" s="13"/>
      <c r="I234" s="6"/>
      <c r="J234" s="58"/>
      <c r="K234" s="6"/>
      <c r="L234" s="139"/>
      <c r="M234" s="3"/>
      <c r="N234" s="191"/>
      <c r="O234" s="60"/>
      <c r="Q234" s="67"/>
      <c r="R234" s="65"/>
      <c r="S234" s="3"/>
      <c r="U234" s="67"/>
      <c r="V234" s="67"/>
      <c r="Z234" s="69"/>
      <c r="AA234" s="70"/>
      <c r="AB234" s="71"/>
      <c r="AC234" s="71"/>
      <c r="AD234" s="71"/>
      <c r="AE234" s="71"/>
      <c r="AF234" s="71"/>
      <c r="AG234" s="71"/>
      <c r="AH234" s="71"/>
    </row>
    <row r="235" ht="15.75" customHeight="1">
      <c r="C235" s="841"/>
      <c r="E235" s="915"/>
      <c r="G235" s="13"/>
      <c r="H235" s="13"/>
      <c r="I235" s="6"/>
      <c r="J235" s="58"/>
      <c r="K235" s="6"/>
      <c r="L235" s="139"/>
      <c r="M235" s="3"/>
      <c r="N235" s="191"/>
      <c r="O235" s="60"/>
      <c r="Q235" s="67"/>
      <c r="R235" s="65"/>
      <c r="S235" s="3"/>
      <c r="U235" s="67"/>
      <c r="V235" s="67"/>
      <c r="Z235" s="69"/>
      <c r="AA235" s="70"/>
      <c r="AB235" s="71"/>
      <c r="AC235" s="71"/>
      <c r="AD235" s="71"/>
      <c r="AE235" s="71"/>
      <c r="AF235" s="71"/>
      <c r="AG235" s="71"/>
      <c r="AH235" s="71"/>
    </row>
    <row r="236" ht="15.75" customHeight="1">
      <c r="C236" s="841"/>
      <c r="E236" s="915"/>
      <c r="G236" s="13"/>
      <c r="H236" s="13"/>
      <c r="I236" s="6"/>
      <c r="J236" s="58"/>
      <c r="K236" s="6"/>
      <c r="L236" s="139"/>
      <c r="M236" s="3"/>
      <c r="N236" s="191"/>
      <c r="O236" s="60"/>
      <c r="Q236" s="67"/>
      <c r="R236" s="65"/>
      <c r="S236" s="3"/>
      <c r="U236" s="67"/>
      <c r="V236" s="67"/>
      <c r="Z236" s="69"/>
      <c r="AA236" s="70"/>
      <c r="AB236" s="71"/>
      <c r="AC236" s="71"/>
      <c r="AD236" s="71"/>
      <c r="AE236" s="71"/>
      <c r="AF236" s="71"/>
      <c r="AG236" s="71"/>
      <c r="AH236" s="71"/>
    </row>
    <row r="237" ht="15.75" customHeight="1">
      <c r="C237" s="841"/>
      <c r="E237" s="915"/>
      <c r="G237" s="13"/>
      <c r="H237" s="13"/>
      <c r="I237" s="6"/>
      <c r="J237" s="58"/>
      <c r="K237" s="6"/>
      <c r="L237" s="139"/>
      <c r="M237" s="3"/>
      <c r="N237" s="191"/>
      <c r="O237" s="60"/>
      <c r="Q237" s="67"/>
      <c r="R237" s="65"/>
      <c r="S237" s="3"/>
      <c r="U237" s="67"/>
      <c r="V237" s="67"/>
      <c r="Z237" s="69"/>
      <c r="AA237" s="70"/>
      <c r="AB237" s="71"/>
      <c r="AC237" s="71"/>
      <c r="AD237" s="71"/>
      <c r="AE237" s="71"/>
      <c r="AF237" s="71"/>
      <c r="AG237" s="71"/>
      <c r="AH237" s="71"/>
    </row>
    <row r="238" ht="15.75" customHeight="1">
      <c r="C238" s="841"/>
      <c r="E238" s="915"/>
      <c r="G238" s="13"/>
      <c r="H238" s="13"/>
      <c r="I238" s="6"/>
      <c r="J238" s="58"/>
      <c r="K238" s="6"/>
      <c r="L238" s="139"/>
      <c r="M238" s="3"/>
      <c r="N238" s="191"/>
      <c r="O238" s="60"/>
      <c r="Q238" s="67"/>
      <c r="R238" s="65"/>
      <c r="S238" s="3"/>
      <c r="U238" s="67"/>
      <c r="V238" s="67"/>
      <c r="Z238" s="69"/>
      <c r="AA238" s="70"/>
      <c r="AB238" s="71"/>
      <c r="AC238" s="71"/>
      <c r="AD238" s="71"/>
      <c r="AE238" s="71"/>
      <c r="AF238" s="71"/>
      <c r="AG238" s="71"/>
      <c r="AH238" s="71"/>
    </row>
    <row r="239" ht="15.75" customHeight="1">
      <c r="C239" s="841"/>
      <c r="E239" s="915"/>
      <c r="G239" s="13"/>
      <c r="H239" s="13"/>
      <c r="I239" s="6"/>
      <c r="J239" s="58"/>
      <c r="K239" s="6"/>
      <c r="L239" s="139"/>
      <c r="M239" s="3"/>
      <c r="N239" s="191"/>
      <c r="O239" s="60"/>
      <c r="Q239" s="67"/>
      <c r="R239" s="65"/>
      <c r="S239" s="3"/>
      <c r="U239" s="67"/>
      <c r="V239" s="67"/>
      <c r="Z239" s="69"/>
      <c r="AA239" s="70"/>
      <c r="AB239" s="71"/>
      <c r="AC239" s="71"/>
      <c r="AD239" s="71"/>
      <c r="AE239" s="71"/>
      <c r="AF239" s="71"/>
      <c r="AG239" s="71"/>
      <c r="AH239" s="71"/>
    </row>
    <row r="240" ht="15.75" customHeight="1">
      <c r="C240" s="841"/>
      <c r="E240" s="915"/>
      <c r="G240" s="13"/>
      <c r="H240" s="13"/>
      <c r="I240" s="6"/>
      <c r="J240" s="58"/>
      <c r="K240" s="6"/>
      <c r="L240" s="139"/>
      <c r="M240" s="3"/>
      <c r="N240" s="191"/>
      <c r="O240" s="60"/>
      <c r="Q240" s="67"/>
      <c r="R240" s="65"/>
      <c r="S240" s="3"/>
      <c r="U240" s="67"/>
      <c r="V240" s="67"/>
      <c r="Z240" s="69"/>
      <c r="AA240" s="70"/>
      <c r="AB240" s="71"/>
      <c r="AC240" s="71"/>
      <c r="AD240" s="71"/>
      <c r="AE240" s="71"/>
      <c r="AF240" s="71"/>
      <c r="AG240" s="71"/>
      <c r="AH240" s="71"/>
    </row>
    <row r="241" ht="15.75" customHeight="1">
      <c r="C241" s="841"/>
      <c r="E241" s="915"/>
      <c r="G241" s="13"/>
      <c r="H241" s="13"/>
      <c r="I241" s="6"/>
      <c r="J241" s="58"/>
      <c r="K241" s="6"/>
      <c r="L241" s="139"/>
      <c r="M241" s="3"/>
      <c r="N241" s="191"/>
      <c r="O241" s="60"/>
      <c r="Q241" s="67"/>
      <c r="R241" s="65"/>
      <c r="S241" s="3"/>
      <c r="U241" s="67"/>
      <c r="V241" s="67"/>
      <c r="Z241" s="69"/>
      <c r="AA241" s="70"/>
      <c r="AB241" s="71"/>
      <c r="AC241" s="71"/>
      <c r="AD241" s="71"/>
      <c r="AE241" s="71"/>
      <c r="AF241" s="71"/>
      <c r="AG241" s="71"/>
      <c r="AH241" s="71"/>
    </row>
    <row r="242" ht="15.75" customHeight="1">
      <c r="C242" s="841"/>
      <c r="E242" s="915"/>
      <c r="G242" s="13"/>
      <c r="H242" s="13"/>
      <c r="I242" s="6"/>
      <c r="J242" s="58"/>
      <c r="K242" s="6"/>
      <c r="L242" s="139"/>
      <c r="M242" s="3"/>
      <c r="N242" s="191"/>
      <c r="O242" s="60"/>
      <c r="Q242" s="67"/>
      <c r="R242" s="65"/>
      <c r="S242" s="3"/>
      <c r="U242" s="67"/>
      <c r="V242" s="67"/>
      <c r="Z242" s="69"/>
      <c r="AA242" s="70"/>
      <c r="AB242" s="71"/>
      <c r="AC242" s="71"/>
      <c r="AD242" s="71"/>
      <c r="AE242" s="71"/>
      <c r="AF242" s="71"/>
      <c r="AG242" s="71"/>
      <c r="AH242" s="71"/>
    </row>
    <row r="243" ht="15.75" customHeight="1">
      <c r="C243" s="841"/>
      <c r="E243" s="915"/>
      <c r="G243" s="13"/>
      <c r="H243" s="13"/>
      <c r="I243" s="6"/>
      <c r="J243" s="58"/>
      <c r="K243" s="6"/>
      <c r="L243" s="139"/>
      <c r="M243" s="3"/>
      <c r="N243" s="191"/>
      <c r="O243" s="60"/>
      <c r="Q243" s="67"/>
      <c r="R243" s="65"/>
      <c r="S243" s="3"/>
      <c r="U243" s="67"/>
      <c r="V243" s="67"/>
      <c r="Z243" s="69"/>
      <c r="AA243" s="70"/>
      <c r="AB243" s="71"/>
      <c r="AC243" s="71"/>
      <c r="AD243" s="71"/>
      <c r="AE243" s="71"/>
      <c r="AF243" s="71"/>
      <c r="AG243" s="71"/>
      <c r="AH243" s="71"/>
    </row>
    <row r="244" ht="15.75" customHeight="1">
      <c r="C244" s="841"/>
      <c r="E244" s="915"/>
      <c r="G244" s="13"/>
      <c r="H244" s="13"/>
      <c r="I244" s="6"/>
      <c r="J244" s="58"/>
      <c r="K244" s="6"/>
      <c r="L244" s="139"/>
      <c r="M244" s="3"/>
      <c r="N244" s="191"/>
      <c r="O244" s="60"/>
      <c r="Q244" s="67"/>
      <c r="R244" s="65"/>
      <c r="S244" s="3"/>
      <c r="U244" s="67"/>
      <c r="V244" s="67"/>
      <c r="Z244" s="69"/>
      <c r="AA244" s="70"/>
      <c r="AB244" s="71"/>
      <c r="AC244" s="71"/>
      <c r="AD244" s="71"/>
      <c r="AE244" s="71"/>
      <c r="AF244" s="71"/>
      <c r="AG244" s="71"/>
      <c r="AH244" s="71"/>
    </row>
    <row r="245" ht="15.75" customHeight="1">
      <c r="AB245" s="7"/>
      <c r="AC245" s="7"/>
      <c r="AD245" s="7"/>
      <c r="AE245" s="7"/>
      <c r="AF245" s="7"/>
      <c r="AG245" s="7"/>
      <c r="AH245" s="7"/>
    </row>
    <row r="246" ht="15.75" customHeight="1">
      <c r="AB246" s="7"/>
      <c r="AC246" s="7"/>
      <c r="AD246" s="7"/>
      <c r="AE246" s="7"/>
      <c r="AF246" s="7"/>
      <c r="AG246" s="7"/>
      <c r="AH246" s="7"/>
    </row>
    <row r="247" ht="15.75" customHeight="1">
      <c r="AB247" s="7"/>
      <c r="AC247" s="7"/>
      <c r="AD247" s="7"/>
      <c r="AE247" s="7"/>
      <c r="AF247" s="7"/>
      <c r="AG247" s="7"/>
      <c r="AH247" s="7"/>
    </row>
    <row r="248" ht="15.75" customHeight="1">
      <c r="AB248" s="7"/>
      <c r="AC248" s="7"/>
      <c r="AD248" s="7"/>
      <c r="AE248" s="7"/>
      <c r="AF248" s="7"/>
      <c r="AG248" s="7"/>
      <c r="AH248" s="7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4.57"/>
    <col customWidth="1" min="2" max="2" width="11.43"/>
    <col customWidth="1" min="3" max="3" width="10.86"/>
    <col customWidth="1" min="4" max="4" width="23.71"/>
    <col customWidth="1" min="5" max="5" width="12.43"/>
    <col customWidth="1" min="6" max="6" width="32.86"/>
    <col customWidth="1" min="7" max="7" width="10.29"/>
    <col customWidth="1" min="8" max="8" width="11.43"/>
    <col customWidth="1" min="9" max="11" width="10.71"/>
    <col customWidth="1" min="12" max="12" width="15.29"/>
    <col customWidth="1" min="13" max="13" width="18.29"/>
    <col customWidth="1" min="14" max="14" width="15.29"/>
    <col customWidth="1" min="15" max="15" width="17.43"/>
    <col customWidth="1" min="16" max="16" width="11.14"/>
    <col customWidth="1" min="17" max="17" width="12.71"/>
    <col customWidth="1" min="18" max="18" width="10.71"/>
    <col customWidth="1" min="19" max="19" width="11.71"/>
    <col customWidth="1" min="20" max="22" width="10.71"/>
    <col customWidth="1" min="23" max="24" width="11.43"/>
    <col customWidth="1" min="25" max="25" width="19.43"/>
    <col customWidth="1" min="26" max="26" width="18.14"/>
    <col customWidth="1" min="27" max="27" width="15.29"/>
    <col customWidth="1" min="28" max="28" width="12.86"/>
    <col customWidth="1" min="29" max="29" width="14.43"/>
    <col customWidth="1" min="30" max="30" width="10.71"/>
    <col customWidth="1" min="31" max="32" width="15.57"/>
    <col customWidth="1" min="33" max="33" width="15.86"/>
    <col customWidth="1" min="34" max="34" width="10.29"/>
  </cols>
  <sheetData>
    <row r="1" ht="15.75" customHeight="1">
      <c r="AB1" s="7"/>
      <c r="AC1" s="7"/>
      <c r="AD1" s="7"/>
      <c r="AE1" s="7"/>
      <c r="AF1" s="7"/>
      <c r="AG1" s="910" t="s">
        <v>4782</v>
      </c>
      <c r="AH1" s="7" t="s">
        <v>4750</v>
      </c>
      <c r="AI1" s="3" t="s">
        <v>4784</v>
      </c>
      <c r="AJ1" s="125" t="s">
        <v>5344</v>
      </c>
    </row>
    <row r="2" ht="15.75" customHeight="1">
      <c r="G2" s="13"/>
      <c r="H2" s="13"/>
      <c r="I2" s="4">
        <f>SUM(I4:I52)</f>
        <v>455.61</v>
      </c>
      <c r="J2" s="4"/>
      <c r="K2" s="4">
        <f>SUM(K4:K52)</f>
        <v>411.146105</v>
      </c>
      <c r="Q2" s="65">
        <f>+SUMPRODUCT(Q4:Q865,AH4:AH865)/SUM(AH4:AH865)</f>
        <v>91.17676285</v>
      </c>
      <c r="R2" s="65">
        <f>+SUMPRODUCT(R4:R865,AH4:AH865)/SUM(AH4:AH865)</f>
        <v>2071.335635</v>
      </c>
      <c r="AB2" s="7"/>
      <c r="AC2" s="7"/>
      <c r="AD2" s="7"/>
      <c r="AE2" s="7"/>
      <c r="AF2" s="7"/>
      <c r="AG2" s="910">
        <f>SUMPRODUCT($AG4:$AG1023,$K4:$K1023)/SUM($K4:$K1023)</f>
        <v>75.76761616</v>
      </c>
      <c r="AH2" s="7">
        <f>SUM(AH4:AH1034)</f>
        <v>4004.054963</v>
      </c>
      <c r="AI2" s="606">
        <v>2380.0</v>
      </c>
      <c r="AJ2" s="125" t="s">
        <v>5182</v>
      </c>
    </row>
    <row r="3" ht="15.75" customHeight="1">
      <c r="A3" s="880" t="s">
        <v>5</v>
      </c>
      <c r="B3" s="880" t="s">
        <v>6</v>
      </c>
      <c r="C3" s="880" t="s">
        <v>7</v>
      </c>
      <c r="D3" s="880" t="s">
        <v>8</v>
      </c>
      <c r="E3" s="880" t="s">
        <v>4880</v>
      </c>
      <c r="F3" s="880" t="s">
        <v>10</v>
      </c>
      <c r="G3" s="880" t="s">
        <v>11</v>
      </c>
      <c r="H3" s="881"/>
      <c r="I3" s="911" t="s">
        <v>12</v>
      </c>
      <c r="J3" s="911" t="s">
        <v>13</v>
      </c>
      <c r="K3" s="880" t="s">
        <v>14</v>
      </c>
      <c r="L3" s="892" t="s">
        <v>5183</v>
      </c>
      <c r="M3" s="887" t="s">
        <v>5184</v>
      </c>
      <c r="N3" s="887" t="s">
        <v>5185</v>
      </c>
      <c r="O3" s="881" t="s">
        <v>5186</v>
      </c>
      <c r="P3" s="892" t="s">
        <v>19</v>
      </c>
      <c r="Q3" s="892" t="s">
        <v>20</v>
      </c>
      <c r="R3" s="892" t="s">
        <v>21</v>
      </c>
      <c r="S3" s="892" t="s">
        <v>22</v>
      </c>
      <c r="T3" s="890" t="s">
        <v>23</v>
      </c>
      <c r="U3" s="890" t="s">
        <v>24</v>
      </c>
      <c r="V3" s="891" t="s">
        <v>25</v>
      </c>
      <c r="W3" s="892" t="s">
        <v>26</v>
      </c>
      <c r="X3" s="892" t="s">
        <v>27</v>
      </c>
      <c r="Y3" s="892" t="s">
        <v>5187</v>
      </c>
      <c r="Z3" s="881" t="s">
        <v>29</v>
      </c>
      <c r="AA3" s="881" t="s">
        <v>30</v>
      </c>
      <c r="AB3" s="893" t="s">
        <v>31</v>
      </c>
      <c r="AC3" s="894" t="s">
        <v>32</v>
      </c>
      <c r="AD3" s="895" t="s">
        <v>33</v>
      </c>
      <c r="AE3" s="895" t="s">
        <v>34</v>
      </c>
      <c r="AF3" s="895" t="s">
        <v>35</v>
      </c>
      <c r="AG3" s="912" t="s">
        <v>36</v>
      </c>
      <c r="AH3" s="912" t="s">
        <v>4750</v>
      </c>
      <c r="AI3" s="65">
        <f>SUMPRODUCT(K4:K1034,AI4:AI1034)/K2</f>
        <v>128.9472583</v>
      </c>
      <c r="AJ3" s="1000">
        <f>SUM(AJ4:AJ952)</f>
        <v>3869.473544</v>
      </c>
    </row>
    <row r="4" ht="15.75" customHeight="1">
      <c r="A4" s="134" t="s">
        <v>5345</v>
      </c>
      <c r="B4" s="1120">
        <v>45281.0</v>
      </c>
      <c r="C4" s="1120">
        <v>45275.0</v>
      </c>
      <c r="D4" s="1046" t="s">
        <v>5346</v>
      </c>
      <c r="E4" s="2"/>
      <c r="G4" s="2"/>
      <c r="H4" s="13"/>
      <c r="I4" s="1121">
        <v>5.75</v>
      </c>
      <c r="J4" s="1122">
        <v>13.5</v>
      </c>
      <c r="K4" s="1123">
        <f>+I4-(I4/100*(J4))</f>
        <v>4.97375</v>
      </c>
      <c r="L4" s="1097">
        <v>0.15</v>
      </c>
      <c r="M4" s="1097">
        <v>0.15</v>
      </c>
      <c r="N4" s="1097">
        <v>0.15</v>
      </c>
      <c r="O4" s="1124">
        <f t="shared" ref="O4:O25" si="1">+(M4+N4)/2</f>
        <v>0.15</v>
      </c>
      <c r="P4" s="1125">
        <v>87.0</v>
      </c>
      <c r="Q4" s="2">
        <v>90.12</v>
      </c>
      <c r="R4" s="1126">
        <v>2032.8</v>
      </c>
      <c r="S4" s="257">
        <v>120.0</v>
      </c>
      <c r="T4" s="65">
        <v>10.0</v>
      </c>
      <c r="U4" s="1127">
        <v>100.0</v>
      </c>
      <c r="V4" s="1127">
        <v>1.1023</v>
      </c>
      <c r="W4" s="1128">
        <v>5.0</v>
      </c>
      <c r="X4" s="1128">
        <v>6.0</v>
      </c>
      <c r="Y4" s="1127">
        <v>25.0</v>
      </c>
      <c r="Z4" s="1129">
        <f t="shared" ref="Z4:Z27" si="2">IF(+((W4-3)*2+(X4-3)*3.5)&gt;0,+((W4-3)*2+(X4-3)*3.5),0)</f>
        <v>14.5</v>
      </c>
      <c r="AA4" s="1129">
        <f t="shared" ref="AA4:AA27" si="3">+Y4+Z4</f>
        <v>39.5</v>
      </c>
      <c r="AB4" s="1130">
        <f t="shared" ref="AB4:AB19" si="4">+((L4*P4*(R4-U4)/100)-S4-AA4+T4)*V4</f>
        <v>113.2397199</v>
      </c>
      <c r="AC4" s="1131">
        <f>+(S4*V4)-'data 1'!$F$4-T4*V4</f>
        <v>41.253</v>
      </c>
      <c r="AD4" s="1131">
        <f t="shared" ref="AD4:AD27" si="5">+(Q4-P4)*(R4-U4)*L4*V4/100</f>
        <v>9.970859059</v>
      </c>
      <c r="AE4" s="1131">
        <f>+(AA4*V4)-Z4-'data 1'!$I$21</f>
        <v>3.459768919</v>
      </c>
      <c r="AF4" s="1131">
        <f t="shared" ref="AF4:AF27" si="6">(L4-O4)*(R4-U4)*Q4*V4/100</f>
        <v>0</v>
      </c>
      <c r="AG4" s="1132">
        <f t="shared" ref="AG4:AG11" si="7">+AC4+AD4+AE4</f>
        <v>54.68362798</v>
      </c>
      <c r="AH4" s="1131">
        <f t="shared" ref="AH4:AH27" si="8">31.1035*L4*Q4*1.1023*K4/100</f>
        <v>23.05183294</v>
      </c>
      <c r="AI4" s="65">
        <f t="shared" ref="AI4:AI27" si="9">+((+$AI$2-R4+U4)*L4*Q4*V4)/100</f>
        <v>66.63678634</v>
      </c>
      <c r="AJ4" s="986">
        <f t="shared" ref="AJ4:AJ50" si="10">1.1023*31.1035*K4*P4*O4/100</f>
        <v>22.25376682</v>
      </c>
      <c r="AK4" s="65">
        <f t="shared" ref="AK4:AK50" si="11">+AH4-AJ4</f>
        <v>0.7980661204</v>
      </c>
      <c r="AM4" s="65">
        <f t="shared" ref="AM4:AM50" si="12">+AB4*K4</f>
        <v>563.226057</v>
      </c>
    </row>
    <row r="5" ht="15.75" customHeight="1">
      <c r="A5" s="134" t="s">
        <v>5347</v>
      </c>
      <c r="B5" s="1120">
        <v>45281.0</v>
      </c>
      <c r="C5" s="1120">
        <v>45277.0</v>
      </c>
      <c r="D5" s="1133" t="s">
        <v>5348</v>
      </c>
      <c r="E5" s="1127">
        <v>1.0412075884E10</v>
      </c>
      <c r="F5" s="1127"/>
      <c r="G5" s="2"/>
      <c r="H5" s="1134"/>
      <c r="I5" s="1135">
        <v>1.43</v>
      </c>
      <c r="J5" s="1136">
        <v>4.4</v>
      </c>
      <c r="K5" s="1135">
        <v>1.3670799999999999</v>
      </c>
      <c r="L5" s="1124">
        <v>0.6555</v>
      </c>
      <c r="M5" s="1124">
        <v>0.6555</v>
      </c>
      <c r="N5" s="1124">
        <v>0.6555</v>
      </c>
      <c r="O5" s="1124">
        <f t="shared" si="1"/>
        <v>0.6555</v>
      </c>
      <c r="P5" s="1137">
        <v>87.0</v>
      </c>
      <c r="Q5" s="1127">
        <v>92.03</v>
      </c>
      <c r="R5" s="1138">
        <v>2032.8</v>
      </c>
      <c r="S5" s="1139">
        <v>160.0</v>
      </c>
      <c r="T5" s="1129"/>
      <c r="U5" s="1127">
        <v>100.0</v>
      </c>
      <c r="V5" s="1127">
        <v>1.1023</v>
      </c>
      <c r="W5" s="1128">
        <v>5.0</v>
      </c>
      <c r="X5" s="1128">
        <v>6.5</v>
      </c>
      <c r="Y5" s="1127">
        <v>25.0</v>
      </c>
      <c r="Z5" s="1127">
        <f t="shared" si="2"/>
        <v>16.25</v>
      </c>
      <c r="AA5" s="1127">
        <f t="shared" si="3"/>
        <v>41.25</v>
      </c>
      <c r="AB5" s="1130">
        <f t="shared" si="4"/>
        <v>993.1688256</v>
      </c>
      <c r="AC5" s="1131">
        <f>+(S5*V5)-'data 1'!$F$4-T5*V5</f>
        <v>96.368</v>
      </c>
      <c r="AD5" s="1131">
        <f t="shared" si="5"/>
        <v>70.24693912</v>
      </c>
      <c r="AE5" s="1131">
        <f>+(AA5*V5)-Z5-'data 1'!$I$21</f>
        <v>3.638793919</v>
      </c>
      <c r="AF5" s="1131">
        <f t="shared" si="6"/>
        <v>0</v>
      </c>
      <c r="AG5" s="1132">
        <f t="shared" si="7"/>
        <v>170.253733</v>
      </c>
      <c r="AH5" s="1131">
        <f t="shared" si="8"/>
        <v>28.27516299</v>
      </c>
      <c r="AI5" s="65">
        <f t="shared" si="9"/>
        <v>297.3744969</v>
      </c>
      <c r="AJ5" s="986">
        <f t="shared" si="10"/>
        <v>26.72975313</v>
      </c>
      <c r="AK5" s="65">
        <f t="shared" si="11"/>
        <v>1.545409865</v>
      </c>
      <c r="AM5" s="65">
        <f t="shared" si="12"/>
        <v>1357.741238</v>
      </c>
    </row>
    <row r="6" ht="15.75" customHeight="1">
      <c r="A6" s="134" t="s">
        <v>5349</v>
      </c>
      <c r="B6" s="1120">
        <v>45281.0</v>
      </c>
      <c r="C6" s="1120">
        <v>45277.0</v>
      </c>
      <c r="D6" s="1133" t="s">
        <v>5348</v>
      </c>
      <c r="E6" s="1127">
        <v>1.0412075884E10</v>
      </c>
      <c r="F6" s="1127"/>
      <c r="G6" s="2"/>
      <c r="H6" s="1134"/>
      <c r="I6" s="1135">
        <v>3.66</v>
      </c>
      <c r="J6" s="1136">
        <v>6.55</v>
      </c>
      <c r="K6" s="1135">
        <v>3.4202700000000004</v>
      </c>
      <c r="L6" s="1140">
        <v>0.36</v>
      </c>
      <c r="M6" s="1140">
        <v>0.36</v>
      </c>
      <c r="N6" s="1140">
        <v>0.36</v>
      </c>
      <c r="O6" s="1124">
        <f t="shared" si="1"/>
        <v>0.36</v>
      </c>
      <c r="P6" s="1137">
        <v>87.0</v>
      </c>
      <c r="Q6" s="1127">
        <v>93.31</v>
      </c>
      <c r="R6" s="1138">
        <v>2032.8</v>
      </c>
      <c r="S6" s="1139">
        <v>140.0</v>
      </c>
      <c r="T6" s="1129">
        <v>20.0</v>
      </c>
      <c r="U6" s="1127">
        <v>100.0</v>
      </c>
      <c r="V6" s="1127">
        <v>1.1023</v>
      </c>
      <c r="W6" s="1128">
        <v>5.0</v>
      </c>
      <c r="X6" s="1128">
        <v>6.3</v>
      </c>
      <c r="Y6" s="1127">
        <v>25.0</v>
      </c>
      <c r="Z6" s="1127">
        <f t="shared" si="2"/>
        <v>15.55</v>
      </c>
      <c r="AA6" s="1127">
        <f t="shared" si="3"/>
        <v>40.55</v>
      </c>
      <c r="AB6" s="1130">
        <f t="shared" si="4"/>
        <v>490.3063028</v>
      </c>
      <c r="AC6" s="1131">
        <f>+(S6*V6)-'data 1'!$F$4-T6*V6</f>
        <v>52.276</v>
      </c>
      <c r="AD6" s="1131">
        <f t="shared" si="5"/>
        <v>48.3970159</v>
      </c>
      <c r="AE6" s="1131">
        <f>+(AA6*V6)-Z6-'data 1'!$I$21</f>
        <v>3.567183919</v>
      </c>
      <c r="AF6" s="1131">
        <f t="shared" si="6"/>
        <v>0</v>
      </c>
      <c r="AG6" s="1132">
        <f t="shared" si="7"/>
        <v>104.2401998</v>
      </c>
      <c r="AH6" s="1131">
        <f t="shared" si="8"/>
        <v>39.3912852</v>
      </c>
      <c r="AI6" s="65">
        <f t="shared" si="9"/>
        <v>165.5893085</v>
      </c>
      <c r="AJ6" s="986">
        <f t="shared" si="10"/>
        <v>36.72748701</v>
      </c>
      <c r="AK6" s="65">
        <f t="shared" si="11"/>
        <v>2.663798196</v>
      </c>
      <c r="AM6" s="65">
        <f t="shared" si="12"/>
        <v>1676.979938</v>
      </c>
    </row>
    <row r="7" ht="15.75" customHeight="1">
      <c r="A7" s="134" t="s">
        <v>5350</v>
      </c>
      <c r="B7" s="1120">
        <v>45281.0</v>
      </c>
      <c r="C7" s="1120">
        <v>45277.0</v>
      </c>
      <c r="D7" s="1133" t="s">
        <v>5348</v>
      </c>
      <c r="E7" s="1127">
        <v>1.0412075884E10</v>
      </c>
      <c r="F7" s="1127"/>
      <c r="G7" s="2"/>
      <c r="H7" s="1134"/>
      <c r="I7" s="1135">
        <v>5.36</v>
      </c>
      <c r="J7" s="1136">
        <v>6.0</v>
      </c>
      <c r="K7" s="1135">
        <v>5.0384</v>
      </c>
      <c r="L7" s="1140">
        <v>0.263</v>
      </c>
      <c r="M7" s="1140">
        <v>0.263</v>
      </c>
      <c r="N7" s="1140">
        <v>0.263</v>
      </c>
      <c r="O7" s="1124">
        <f t="shared" si="1"/>
        <v>0.263</v>
      </c>
      <c r="P7" s="1137">
        <v>87.0</v>
      </c>
      <c r="Q7" s="1127">
        <v>91.2</v>
      </c>
      <c r="R7" s="1138">
        <v>2032.8</v>
      </c>
      <c r="S7" s="1139">
        <v>130.0</v>
      </c>
      <c r="T7" s="1129">
        <v>20.0</v>
      </c>
      <c r="U7" s="1127">
        <v>100.0</v>
      </c>
      <c r="V7" s="1127">
        <v>1.1023</v>
      </c>
      <c r="W7" s="1128">
        <v>5.0</v>
      </c>
      <c r="X7" s="1128">
        <v>6.1</v>
      </c>
      <c r="Y7" s="1127">
        <v>25.0</v>
      </c>
      <c r="Z7" s="1127">
        <f t="shared" si="2"/>
        <v>14.85</v>
      </c>
      <c r="AA7" s="1127">
        <f t="shared" si="3"/>
        <v>39.85</v>
      </c>
      <c r="AB7" s="1130">
        <f t="shared" si="4"/>
        <v>322.3058709</v>
      </c>
      <c r="AC7" s="1131">
        <f>+(S7*V7)-'data 1'!$F$4-T7*V7</f>
        <v>41.253</v>
      </c>
      <c r="AD7" s="1131">
        <f t="shared" si="5"/>
        <v>23.53378401</v>
      </c>
      <c r="AE7" s="1131">
        <f>+(AA7*V7)-Z7-'data 1'!$I$21</f>
        <v>3.495573919</v>
      </c>
      <c r="AF7" s="1131">
        <f t="shared" si="6"/>
        <v>0</v>
      </c>
      <c r="AG7" s="1132">
        <f t="shared" si="7"/>
        <v>68.28235793</v>
      </c>
      <c r="AH7" s="1131">
        <f t="shared" si="8"/>
        <v>41.43356473</v>
      </c>
      <c r="AI7" s="65">
        <f t="shared" si="9"/>
        <v>118.2366698</v>
      </c>
      <c r="AJ7" s="986">
        <f t="shared" si="10"/>
        <v>39.52544004</v>
      </c>
      <c r="AK7" s="65">
        <f t="shared" si="11"/>
        <v>1.908124692</v>
      </c>
      <c r="AM7" s="65">
        <f t="shared" si="12"/>
        <v>1623.9059</v>
      </c>
    </row>
    <row r="8" ht="15.75" customHeight="1">
      <c r="A8" s="134" t="s">
        <v>5351</v>
      </c>
      <c r="B8" s="1120">
        <v>45281.0</v>
      </c>
      <c r="C8" s="1120">
        <v>45277.0</v>
      </c>
      <c r="D8" s="1133" t="s">
        <v>5348</v>
      </c>
      <c r="E8" s="1127">
        <v>1.0412075884E10</v>
      </c>
      <c r="F8" s="1127"/>
      <c r="G8" s="2"/>
      <c r="H8" s="1134"/>
      <c r="I8" s="1135">
        <v>2.31</v>
      </c>
      <c r="J8" s="1136">
        <v>6.0</v>
      </c>
      <c r="K8" s="1135">
        <v>2.1714</v>
      </c>
      <c r="L8" s="1124">
        <v>0.1215</v>
      </c>
      <c r="M8" s="1124">
        <v>0.1215</v>
      </c>
      <c r="N8" s="1124">
        <v>0.1215</v>
      </c>
      <c r="O8" s="1124">
        <f t="shared" si="1"/>
        <v>0.1215</v>
      </c>
      <c r="P8" s="1137">
        <v>87.0</v>
      </c>
      <c r="Q8" s="1127">
        <v>90.2</v>
      </c>
      <c r="R8" s="1138">
        <v>2032.8</v>
      </c>
      <c r="S8" s="1139">
        <v>120.0</v>
      </c>
      <c r="T8" s="1129"/>
      <c r="U8" s="1127">
        <v>100.0</v>
      </c>
      <c r="V8" s="1127">
        <v>1.1023</v>
      </c>
      <c r="W8" s="1128">
        <v>5.0</v>
      </c>
      <c r="X8" s="1128">
        <v>6.1</v>
      </c>
      <c r="Y8" s="1127">
        <v>25.0</v>
      </c>
      <c r="Z8" s="1127">
        <f t="shared" si="2"/>
        <v>14.85</v>
      </c>
      <c r="AA8" s="1127">
        <f t="shared" si="3"/>
        <v>39.85</v>
      </c>
      <c r="AB8" s="1130">
        <f t="shared" si="4"/>
        <v>49.00453664</v>
      </c>
      <c r="AC8" s="1131">
        <f>+(S8*V8)-'data 1'!$F$4-T8*V8</f>
        <v>52.276</v>
      </c>
      <c r="AD8" s="1131">
        <f t="shared" si="5"/>
        <v>8.283482911</v>
      </c>
      <c r="AE8" s="1131">
        <f>+(AA8*V8)-Z8-'data 1'!$I$21</f>
        <v>3.495573919</v>
      </c>
      <c r="AF8" s="1131">
        <f t="shared" si="6"/>
        <v>0</v>
      </c>
      <c r="AG8" s="1132">
        <f t="shared" si="7"/>
        <v>64.05505683</v>
      </c>
      <c r="AH8" s="1131">
        <f t="shared" si="8"/>
        <v>8.15890203</v>
      </c>
      <c r="AI8" s="65">
        <f t="shared" si="9"/>
        <v>54.02371154</v>
      </c>
      <c r="AJ8" s="986">
        <f t="shared" si="10"/>
        <v>7.86945096</v>
      </c>
      <c r="AK8" s="65">
        <f t="shared" si="11"/>
        <v>0.2894510698</v>
      </c>
      <c r="AM8" s="65">
        <f t="shared" si="12"/>
        <v>106.4084508</v>
      </c>
    </row>
    <row r="9" ht="15.75" customHeight="1">
      <c r="A9" s="134" t="s">
        <v>5352</v>
      </c>
      <c r="B9" s="1120">
        <v>45281.0</v>
      </c>
      <c r="C9" s="1120">
        <v>45277.0</v>
      </c>
      <c r="D9" s="1133" t="s">
        <v>5348</v>
      </c>
      <c r="E9" s="1127">
        <v>1.0412075884E10</v>
      </c>
      <c r="F9" s="1127"/>
      <c r="G9" s="2"/>
      <c r="H9" s="1134"/>
      <c r="I9" s="1135">
        <v>2.97</v>
      </c>
      <c r="J9" s="1136">
        <v>6.0</v>
      </c>
      <c r="K9" s="1135">
        <v>2.7918000000000003</v>
      </c>
      <c r="L9" s="1140">
        <v>0.1805</v>
      </c>
      <c r="M9" s="1140">
        <v>0.1805</v>
      </c>
      <c r="N9" s="1140">
        <v>0.1805</v>
      </c>
      <c r="O9" s="1124">
        <f t="shared" si="1"/>
        <v>0.1805</v>
      </c>
      <c r="P9" s="1137">
        <v>87.0</v>
      </c>
      <c r="Q9" s="1127">
        <v>91.73</v>
      </c>
      <c r="R9" s="1138">
        <v>2032.8</v>
      </c>
      <c r="S9" s="1139">
        <v>120.0</v>
      </c>
      <c r="T9" s="1129">
        <v>20.0</v>
      </c>
      <c r="U9" s="1127">
        <v>100.0</v>
      </c>
      <c r="V9" s="1127">
        <v>1.1023</v>
      </c>
      <c r="W9" s="1128">
        <v>5.0</v>
      </c>
      <c r="X9" s="1128">
        <v>6.1</v>
      </c>
      <c r="Y9" s="1127">
        <v>25.0</v>
      </c>
      <c r="Z9" s="1127">
        <f t="shared" si="2"/>
        <v>14.85</v>
      </c>
      <c r="AA9" s="1127">
        <f t="shared" si="3"/>
        <v>39.85</v>
      </c>
      <c r="AB9" s="1130">
        <f t="shared" si="4"/>
        <v>180.4104075</v>
      </c>
      <c r="AC9" s="1131">
        <f>+(S9*V9)-'data 1'!$F$4-T9*V9</f>
        <v>30.23</v>
      </c>
      <c r="AD9" s="1131">
        <f t="shared" si="5"/>
        <v>18.18968052</v>
      </c>
      <c r="AE9" s="1131">
        <f>+(AA9*V9)-Z9-'data 1'!$I$21</f>
        <v>3.495573919</v>
      </c>
      <c r="AF9" s="1131">
        <f t="shared" si="6"/>
        <v>0</v>
      </c>
      <c r="AG9" s="1132">
        <f t="shared" si="7"/>
        <v>51.91525444</v>
      </c>
      <c r="AH9" s="1131">
        <f t="shared" si="8"/>
        <v>15.84827403</v>
      </c>
      <c r="AI9" s="65">
        <f t="shared" si="9"/>
        <v>81.61879939</v>
      </c>
      <c r="AJ9" s="986">
        <f t="shared" si="10"/>
        <v>15.03106771</v>
      </c>
      <c r="AK9" s="65">
        <f t="shared" si="11"/>
        <v>0.8172063247</v>
      </c>
      <c r="AM9" s="65">
        <f t="shared" si="12"/>
        <v>503.6697756</v>
      </c>
    </row>
    <row r="10" ht="15.75" customHeight="1">
      <c r="A10" s="134" t="s">
        <v>5353</v>
      </c>
      <c r="B10" s="1092">
        <v>45282.0</v>
      </c>
      <c r="C10" s="1092">
        <v>45278.0</v>
      </c>
      <c r="D10" s="1141" t="s">
        <v>5354</v>
      </c>
      <c r="E10" s="519">
        <v>2.0603059981E10</v>
      </c>
      <c r="F10" s="519"/>
      <c r="G10" s="2"/>
      <c r="H10" s="1093"/>
      <c r="I10" s="519">
        <v>23.85</v>
      </c>
      <c r="J10" s="519">
        <v>9.8</v>
      </c>
      <c r="K10" s="1094">
        <v>21.512700000000002</v>
      </c>
      <c r="L10" s="1097">
        <v>0.231</v>
      </c>
      <c r="M10" s="1097">
        <v>0.231</v>
      </c>
      <c r="N10" s="1097">
        <v>0.231</v>
      </c>
      <c r="O10" s="1142">
        <f t="shared" si="1"/>
        <v>0.231</v>
      </c>
      <c r="P10" s="1143">
        <v>87.0</v>
      </c>
      <c r="Q10" s="519">
        <v>92.32</v>
      </c>
      <c r="R10" s="1144">
        <v>2030.3</v>
      </c>
      <c r="S10" s="1145">
        <v>120.0</v>
      </c>
      <c r="T10" s="1098">
        <v>23.5</v>
      </c>
      <c r="U10" s="519">
        <v>100.0</v>
      </c>
      <c r="V10" s="519">
        <v>1.1023</v>
      </c>
      <c r="W10" s="1146">
        <v>5.0</v>
      </c>
      <c r="X10" s="1146">
        <v>6.1</v>
      </c>
      <c r="Y10" s="519">
        <v>25.0</v>
      </c>
      <c r="Z10" s="519">
        <f t="shared" si="2"/>
        <v>14.85</v>
      </c>
      <c r="AA10" s="519">
        <f t="shared" si="3"/>
        <v>39.85</v>
      </c>
      <c r="AB10" s="1147">
        <f t="shared" si="4"/>
        <v>277.3192696</v>
      </c>
      <c r="AC10" s="1100">
        <f>+(S10*V10)-'data 1'!$F$4-T10*V10</f>
        <v>26.37195</v>
      </c>
      <c r="AD10" s="1100">
        <f t="shared" si="5"/>
        <v>26.14858727</v>
      </c>
      <c r="AE10" s="1100">
        <f>+(AA10*V10)-Z10-'data 1'!$I$21</f>
        <v>3.495573919</v>
      </c>
      <c r="AF10" s="1148">
        <f t="shared" si="6"/>
        <v>0</v>
      </c>
      <c r="AG10" s="1090">
        <f t="shared" si="7"/>
        <v>56.01611119</v>
      </c>
      <c r="AH10" s="1100">
        <f t="shared" si="8"/>
        <v>157.2938585</v>
      </c>
      <c r="AI10" s="65">
        <f t="shared" si="9"/>
        <v>105.7135046</v>
      </c>
      <c r="AJ10" s="986">
        <f t="shared" si="10"/>
        <v>148.2296976</v>
      </c>
      <c r="AK10" s="65">
        <f t="shared" si="11"/>
        <v>9.064160821</v>
      </c>
      <c r="AM10" s="65">
        <f t="shared" si="12"/>
        <v>5965.886251</v>
      </c>
    </row>
    <row r="11" ht="15.75" customHeight="1">
      <c r="A11" s="134" t="s">
        <v>5355</v>
      </c>
      <c r="B11" s="1149">
        <v>45282.0</v>
      </c>
      <c r="C11" s="1092">
        <v>45278.0</v>
      </c>
      <c r="D11" s="1141" t="s">
        <v>5354</v>
      </c>
      <c r="E11" s="519">
        <v>2.0603059981E10</v>
      </c>
      <c r="F11" s="519"/>
      <c r="G11" s="2"/>
      <c r="H11" s="1093"/>
      <c r="I11" s="519">
        <v>2.84</v>
      </c>
      <c r="J11" s="519">
        <v>9.8</v>
      </c>
      <c r="K11" s="1094">
        <v>2.56168</v>
      </c>
      <c r="L11" s="1097">
        <v>0.231</v>
      </c>
      <c r="M11" s="1097">
        <v>0.231</v>
      </c>
      <c r="N11" s="1097">
        <v>0.231</v>
      </c>
      <c r="O11" s="1142">
        <f t="shared" si="1"/>
        <v>0.231</v>
      </c>
      <c r="P11" s="1143">
        <v>87.0</v>
      </c>
      <c r="Q11" s="519">
        <v>91.38</v>
      </c>
      <c r="R11" s="1144">
        <v>2030.3</v>
      </c>
      <c r="S11" s="1145">
        <v>120.0</v>
      </c>
      <c r="T11" s="1098">
        <v>23.5</v>
      </c>
      <c r="U11" s="519">
        <v>100.0</v>
      </c>
      <c r="V11" s="519">
        <v>1.1023</v>
      </c>
      <c r="W11" s="1146">
        <v>5.0</v>
      </c>
      <c r="X11" s="1146">
        <v>6.1</v>
      </c>
      <c r="Y11" s="519">
        <v>25.0</v>
      </c>
      <c r="Z11" s="519">
        <f t="shared" si="2"/>
        <v>14.85</v>
      </c>
      <c r="AA11" s="519">
        <f t="shared" si="3"/>
        <v>39.85</v>
      </c>
      <c r="AB11" s="1147">
        <f t="shared" si="4"/>
        <v>277.3192696</v>
      </c>
      <c r="AC11" s="1100">
        <f>+(S11*V11)-'data 1'!$F$4-T11*V11</f>
        <v>26.37195</v>
      </c>
      <c r="AD11" s="1100">
        <f t="shared" si="5"/>
        <v>21.52834817</v>
      </c>
      <c r="AE11" s="1100">
        <f>+(AA11*V11)-Z11-'data 1'!$I$21</f>
        <v>3.495573919</v>
      </c>
      <c r="AF11" s="1148">
        <f t="shared" si="6"/>
        <v>0</v>
      </c>
      <c r="AG11" s="1090">
        <f t="shared" si="7"/>
        <v>51.39587209</v>
      </c>
      <c r="AH11" s="1100">
        <f t="shared" si="8"/>
        <v>18.53946001</v>
      </c>
      <c r="AI11" s="65">
        <f t="shared" si="9"/>
        <v>104.6371322</v>
      </c>
      <c r="AJ11" s="986">
        <f t="shared" si="10"/>
        <v>17.65083192</v>
      </c>
      <c r="AK11" s="65">
        <f t="shared" si="11"/>
        <v>0.8886280897</v>
      </c>
      <c r="AM11" s="65">
        <f t="shared" si="12"/>
        <v>710.4032265</v>
      </c>
    </row>
    <row r="12" ht="15.75" customHeight="1">
      <c r="A12" s="134" t="s">
        <v>5356</v>
      </c>
      <c r="B12" s="919">
        <v>45283.0</v>
      </c>
      <c r="C12" s="919">
        <v>45646.0</v>
      </c>
      <c r="D12" s="920" t="s">
        <v>5348</v>
      </c>
      <c r="E12" s="920">
        <v>1.0412075884E10</v>
      </c>
      <c r="F12" s="920"/>
      <c r="G12" s="2"/>
      <c r="H12" s="922"/>
      <c r="I12" s="1150">
        <v>13.41</v>
      </c>
      <c r="J12" s="1151">
        <v>15.2</v>
      </c>
      <c r="K12" s="1152">
        <v>11.37168</v>
      </c>
      <c r="L12" s="1153">
        <v>0.7297499999999999</v>
      </c>
      <c r="M12" s="1153">
        <v>0.7005599999999998</v>
      </c>
      <c r="N12" s="925">
        <v>0.785</v>
      </c>
      <c r="O12" s="927">
        <f t="shared" si="1"/>
        <v>0.74278</v>
      </c>
      <c r="P12" s="1154">
        <v>90.0</v>
      </c>
      <c r="Q12" s="920">
        <v>91.82</v>
      </c>
      <c r="R12" s="1155">
        <v>2052.0</v>
      </c>
      <c r="S12" s="1156">
        <v>160.0</v>
      </c>
      <c r="T12" s="920"/>
      <c r="U12" s="920">
        <v>100.0</v>
      </c>
      <c r="V12" s="920">
        <v>1.1023</v>
      </c>
      <c r="W12" s="929">
        <v>5.0</v>
      </c>
      <c r="X12" s="920">
        <v>6.3</v>
      </c>
      <c r="Y12" s="920">
        <v>25.0</v>
      </c>
      <c r="Z12" s="920">
        <f t="shared" si="2"/>
        <v>15.55</v>
      </c>
      <c r="AA12" s="920">
        <f t="shared" si="3"/>
        <v>40.55</v>
      </c>
      <c r="AB12" s="1157">
        <f t="shared" si="4"/>
        <v>1192.109672</v>
      </c>
      <c r="AC12" s="918">
        <f>+(S12*V12)-'data 1'!$F$4-T12*V12</f>
        <v>96.368</v>
      </c>
      <c r="AD12" s="918">
        <f t="shared" si="5"/>
        <v>28.57755784</v>
      </c>
      <c r="AE12" s="918">
        <f>+(AA12*V12)-Z12-'data 1'!$I$21</f>
        <v>3.567183919</v>
      </c>
      <c r="AF12" s="918">
        <f t="shared" si="6"/>
        <v>-25.74312852</v>
      </c>
      <c r="AG12" s="930">
        <f t="shared" ref="AG12:AG27" si="13">+AC12+AD12+AE12+AF12</f>
        <v>102.7696132</v>
      </c>
      <c r="AH12" s="918">
        <f t="shared" si="8"/>
        <v>261.2432581</v>
      </c>
      <c r="AI12" s="65">
        <f t="shared" si="9"/>
        <v>316.1221802</v>
      </c>
      <c r="AJ12" s="986">
        <f t="shared" si="10"/>
        <v>260.6372053</v>
      </c>
      <c r="AK12" s="65">
        <f t="shared" si="11"/>
        <v>0.6060527924</v>
      </c>
      <c r="AM12" s="65">
        <f t="shared" si="12"/>
        <v>13556.28972</v>
      </c>
    </row>
    <row r="13" ht="15.75" customHeight="1">
      <c r="A13" s="134" t="s">
        <v>5357</v>
      </c>
      <c r="B13" s="919">
        <v>45283.0</v>
      </c>
      <c r="C13" s="919">
        <v>45646.0</v>
      </c>
      <c r="D13" s="920" t="s">
        <v>5348</v>
      </c>
      <c r="E13" s="920">
        <v>1.0412075884E10</v>
      </c>
      <c r="F13" s="920"/>
      <c r="G13" s="2"/>
      <c r="H13" s="922"/>
      <c r="I13" s="1158">
        <v>17.94</v>
      </c>
      <c r="J13" s="1151">
        <v>15.0</v>
      </c>
      <c r="K13" s="1159">
        <v>15.249</v>
      </c>
      <c r="L13" s="1153">
        <v>0.3418</v>
      </c>
      <c r="M13" s="1153">
        <v>0.328128</v>
      </c>
      <c r="N13" s="925">
        <v>0.392</v>
      </c>
      <c r="O13" s="927">
        <f t="shared" si="1"/>
        <v>0.360064</v>
      </c>
      <c r="P13" s="1154">
        <v>90.0</v>
      </c>
      <c r="Q13" s="920">
        <v>91.45</v>
      </c>
      <c r="R13" s="1155">
        <v>2052.0</v>
      </c>
      <c r="S13" s="1156">
        <v>130.0</v>
      </c>
      <c r="T13" s="920"/>
      <c r="U13" s="920">
        <v>100.0</v>
      </c>
      <c r="V13" s="920">
        <v>1.1023</v>
      </c>
      <c r="W13" s="929">
        <v>5.0</v>
      </c>
      <c r="X13" s="920">
        <v>6.3</v>
      </c>
      <c r="Y13" s="920">
        <v>25.0</v>
      </c>
      <c r="Z13" s="920">
        <f t="shared" si="2"/>
        <v>15.55</v>
      </c>
      <c r="AA13" s="920">
        <f t="shared" si="3"/>
        <v>40.55</v>
      </c>
      <c r="AB13" s="1157">
        <f t="shared" si="4"/>
        <v>473.9054898</v>
      </c>
      <c r="AC13" s="918">
        <f>+(S13*V13)-'data 1'!$F$4-T13*V13</f>
        <v>63.299</v>
      </c>
      <c r="AD13" s="918">
        <f t="shared" si="5"/>
        <v>10.66398883</v>
      </c>
      <c r="AE13" s="918">
        <f>+(AA13*V13)-Z13-'data 1'!$I$21</f>
        <v>3.567183919</v>
      </c>
      <c r="AF13" s="918">
        <f t="shared" si="6"/>
        <v>-35.93844062</v>
      </c>
      <c r="AG13" s="930">
        <f t="shared" si="13"/>
        <v>41.59173212</v>
      </c>
      <c r="AH13" s="918">
        <f t="shared" si="8"/>
        <v>163.4203747</v>
      </c>
      <c r="AI13" s="65">
        <f t="shared" si="9"/>
        <v>147.4685278</v>
      </c>
      <c r="AJ13" s="986">
        <f t="shared" si="10"/>
        <v>169.4231082</v>
      </c>
      <c r="AK13" s="65">
        <f t="shared" si="11"/>
        <v>-6.002733516</v>
      </c>
      <c r="AM13" s="65">
        <f t="shared" si="12"/>
        <v>7226.584813</v>
      </c>
    </row>
    <row r="14" ht="15.75" customHeight="1">
      <c r="A14" s="134" t="s">
        <v>5358</v>
      </c>
      <c r="B14" s="1160">
        <v>45283.0</v>
      </c>
      <c r="C14" s="1160">
        <v>45646.0</v>
      </c>
      <c r="D14" s="616" t="s">
        <v>5359</v>
      </c>
      <c r="E14" s="616">
        <v>3.0310424809E10</v>
      </c>
      <c r="F14" s="616" t="s">
        <v>5360</v>
      </c>
      <c r="G14" s="2"/>
      <c r="H14" s="1161"/>
      <c r="I14" s="1162">
        <v>10.41</v>
      </c>
      <c r="J14" s="1163">
        <v>3.5</v>
      </c>
      <c r="K14" s="1164">
        <v>10.04565</v>
      </c>
      <c r="L14" s="1165">
        <v>0.40049999999999997</v>
      </c>
      <c r="M14" s="1165">
        <v>0.38447999999999993</v>
      </c>
      <c r="N14" s="1166">
        <v>0.442</v>
      </c>
      <c r="O14" s="1167">
        <f t="shared" si="1"/>
        <v>0.41324</v>
      </c>
      <c r="P14" s="1168">
        <v>87.0</v>
      </c>
      <c r="Q14" s="616">
        <v>91.89</v>
      </c>
      <c r="R14" s="1169">
        <v>2052.0</v>
      </c>
      <c r="S14" s="1170">
        <v>130.0</v>
      </c>
      <c r="T14" s="616"/>
      <c r="U14" s="616">
        <v>100.0</v>
      </c>
      <c r="V14" s="616">
        <v>1.1023</v>
      </c>
      <c r="W14" s="1171">
        <v>5.0</v>
      </c>
      <c r="X14" s="616">
        <v>6.05</v>
      </c>
      <c r="Y14" s="616">
        <v>25.0</v>
      </c>
      <c r="Z14" s="616">
        <f t="shared" si="2"/>
        <v>14.675</v>
      </c>
      <c r="AA14" s="616">
        <f t="shared" si="3"/>
        <v>39.675</v>
      </c>
      <c r="AB14" s="1172">
        <f t="shared" si="4"/>
        <v>562.6912133</v>
      </c>
      <c r="AC14" s="1173">
        <f>+(S14*V14)-'data 1'!$F$4-T14*V14</f>
        <v>63.299</v>
      </c>
      <c r="AD14" s="1173">
        <f t="shared" si="5"/>
        <v>42.13965739</v>
      </c>
      <c r="AE14" s="1173">
        <f>+(AA14*V14)-Z14-'data 1'!$I$21</f>
        <v>3.477671419</v>
      </c>
      <c r="AF14" s="1173">
        <f t="shared" si="6"/>
        <v>-25.18936969</v>
      </c>
      <c r="AG14" s="930">
        <f t="shared" si="13"/>
        <v>83.72695912</v>
      </c>
      <c r="AH14" s="1173">
        <f t="shared" si="8"/>
        <v>126.7528941</v>
      </c>
      <c r="AI14" s="65">
        <f t="shared" si="9"/>
        <v>173.6258354</v>
      </c>
      <c r="AJ14" s="986">
        <f t="shared" si="10"/>
        <v>123.8251086</v>
      </c>
      <c r="AK14" s="65">
        <f t="shared" si="11"/>
        <v>2.927785444</v>
      </c>
      <c r="AM14" s="65">
        <f t="shared" si="12"/>
        <v>5652.598987</v>
      </c>
    </row>
    <row r="15" ht="15.75" customHeight="1">
      <c r="A15" s="134" t="s">
        <v>5361</v>
      </c>
      <c r="B15" s="1160">
        <v>45283.0</v>
      </c>
      <c r="C15" s="1160">
        <v>45646.0</v>
      </c>
      <c r="D15" s="616" t="s">
        <v>5359</v>
      </c>
      <c r="E15" s="616">
        <v>3.0310424809E10</v>
      </c>
      <c r="F15" s="616" t="s">
        <v>5360</v>
      </c>
      <c r="G15" s="2"/>
      <c r="H15" s="1161"/>
      <c r="I15" s="1162">
        <v>4.33</v>
      </c>
      <c r="J15" s="1163">
        <v>2.5</v>
      </c>
      <c r="K15" s="1164">
        <v>4.22175</v>
      </c>
      <c r="L15" s="1165">
        <v>0.332</v>
      </c>
      <c r="M15" s="1165">
        <v>0.31872</v>
      </c>
      <c r="N15" s="1166">
        <v>0.381</v>
      </c>
      <c r="O15" s="1167">
        <f t="shared" si="1"/>
        <v>0.34986</v>
      </c>
      <c r="P15" s="1168">
        <v>87.0</v>
      </c>
      <c r="Q15" s="616">
        <v>92.34</v>
      </c>
      <c r="R15" s="1169">
        <v>2052.0</v>
      </c>
      <c r="S15" s="1170">
        <v>120.0</v>
      </c>
      <c r="T15" s="616"/>
      <c r="U15" s="616">
        <v>100.0</v>
      </c>
      <c r="V15" s="616">
        <v>1.1023</v>
      </c>
      <c r="W15" s="1171">
        <v>5.0</v>
      </c>
      <c r="X15" s="616">
        <v>6.05</v>
      </c>
      <c r="Y15" s="616">
        <v>25.0</v>
      </c>
      <c r="Z15" s="616">
        <f t="shared" si="2"/>
        <v>14.675</v>
      </c>
      <c r="AA15" s="616">
        <f t="shared" si="3"/>
        <v>39.675</v>
      </c>
      <c r="AB15" s="1172">
        <f t="shared" si="4"/>
        <v>445.4842716</v>
      </c>
      <c r="AC15" s="1173">
        <f>+(S15*V15)-'data 1'!$F$4-T15*V15</f>
        <v>52.276</v>
      </c>
      <c r="AD15" s="1173">
        <f t="shared" si="5"/>
        <v>38.14687458</v>
      </c>
      <c r="AE15" s="1173">
        <f>+(AA15*V15)-Z15-'data 1'!$I$21</f>
        <v>3.477671419</v>
      </c>
      <c r="AF15" s="1173">
        <f t="shared" si="6"/>
        <v>-35.48550135</v>
      </c>
      <c r="AG15" s="930">
        <f t="shared" si="13"/>
        <v>58.41504464</v>
      </c>
      <c r="AH15" s="1173">
        <f t="shared" si="8"/>
        <v>44.3740977</v>
      </c>
      <c r="AI15" s="65">
        <f t="shared" si="9"/>
        <v>144.6343774</v>
      </c>
      <c r="AJ15" s="986">
        <f t="shared" si="10"/>
        <v>44.05702076</v>
      </c>
      <c r="AK15" s="65">
        <f t="shared" si="11"/>
        <v>0.3170769446</v>
      </c>
      <c r="AM15" s="65">
        <f t="shared" si="12"/>
        <v>1880.723223</v>
      </c>
    </row>
    <row r="16" ht="15.75" customHeight="1">
      <c r="A16" s="134" t="s">
        <v>5362</v>
      </c>
      <c r="B16" s="1160">
        <v>45283.0</v>
      </c>
      <c r="C16" s="1160">
        <v>45646.0</v>
      </c>
      <c r="D16" s="616" t="s">
        <v>5359</v>
      </c>
      <c r="E16" s="616">
        <v>3.0310424809E10</v>
      </c>
      <c r="F16" s="616" t="s">
        <v>5360</v>
      </c>
      <c r="G16" s="2"/>
      <c r="H16" s="1161"/>
      <c r="I16" s="1162">
        <v>2.93</v>
      </c>
      <c r="J16" s="1163">
        <v>5.5</v>
      </c>
      <c r="K16" s="1164">
        <v>2.76885</v>
      </c>
      <c r="L16" s="1165">
        <v>0.64975</v>
      </c>
      <c r="M16" s="1165">
        <v>0.62376</v>
      </c>
      <c r="N16" s="1166">
        <v>0.684</v>
      </c>
      <c r="O16" s="1167">
        <f t="shared" si="1"/>
        <v>0.65388</v>
      </c>
      <c r="P16" s="1168">
        <v>87.0</v>
      </c>
      <c r="Q16" s="616">
        <v>91.26</v>
      </c>
      <c r="R16" s="1169">
        <v>2052.0</v>
      </c>
      <c r="S16" s="1170">
        <v>150.0</v>
      </c>
      <c r="T16" s="616"/>
      <c r="U16" s="616">
        <v>100.0</v>
      </c>
      <c r="V16" s="616">
        <v>1.1023</v>
      </c>
      <c r="W16" s="1171">
        <v>5.0</v>
      </c>
      <c r="X16" s="616">
        <v>6.1</v>
      </c>
      <c r="Y16" s="616">
        <v>25.0</v>
      </c>
      <c r="Z16" s="616">
        <f t="shared" si="2"/>
        <v>14.85</v>
      </c>
      <c r="AA16" s="616">
        <f t="shared" si="3"/>
        <v>39.85</v>
      </c>
      <c r="AB16" s="1172">
        <f t="shared" si="4"/>
        <v>1007.040821</v>
      </c>
      <c r="AC16" s="1173">
        <f>+(S16*V16)-'data 1'!$F$4-T16*V16</f>
        <v>85.345</v>
      </c>
      <c r="AD16" s="1173">
        <f t="shared" si="5"/>
        <v>59.55736953</v>
      </c>
      <c r="AE16" s="1173">
        <f>+(AA16*V16)-Z16-'data 1'!$I$21</f>
        <v>3.495573919</v>
      </c>
      <c r="AF16" s="1173">
        <f t="shared" si="6"/>
        <v>-8.109799867</v>
      </c>
      <c r="AG16" s="930">
        <f t="shared" si="13"/>
        <v>140.2881436</v>
      </c>
      <c r="AH16" s="1173">
        <f t="shared" si="8"/>
        <v>56.29051872</v>
      </c>
      <c r="AI16" s="65">
        <f t="shared" si="9"/>
        <v>279.7501506</v>
      </c>
      <c r="AJ16" s="986">
        <f t="shared" si="10"/>
        <v>54.0039846</v>
      </c>
      <c r="AK16" s="65">
        <f t="shared" si="11"/>
        <v>2.286534128</v>
      </c>
      <c r="AM16" s="65">
        <f t="shared" si="12"/>
        <v>2788.344978</v>
      </c>
    </row>
    <row r="17" ht="15.75" customHeight="1">
      <c r="A17" s="134" t="s">
        <v>5363</v>
      </c>
      <c r="B17" s="1174">
        <v>45271.0</v>
      </c>
      <c r="C17" s="1174">
        <v>45266.0</v>
      </c>
      <c r="D17" s="1175" t="s">
        <v>5364</v>
      </c>
      <c r="E17" s="1175" t="s">
        <v>983</v>
      </c>
      <c r="F17" s="1175"/>
      <c r="G17" s="2"/>
      <c r="H17" s="1176"/>
      <c r="I17" s="1177">
        <v>7.77</v>
      </c>
      <c r="J17" s="1178">
        <v>11.7</v>
      </c>
      <c r="K17" s="1123">
        <f>+I17-(I17*(J17))/100</f>
        <v>6.86091</v>
      </c>
      <c r="L17" s="1179">
        <v>0.164</v>
      </c>
      <c r="M17" s="1179">
        <v>0.164</v>
      </c>
      <c r="N17" s="1179">
        <v>0.164</v>
      </c>
      <c r="O17" s="1180">
        <f t="shared" si="1"/>
        <v>0.164</v>
      </c>
      <c r="P17" s="1181">
        <v>80.0</v>
      </c>
      <c r="Q17" s="1181">
        <v>90.93</v>
      </c>
      <c r="R17" s="1182">
        <v>2055.0</v>
      </c>
      <c r="S17" s="1183">
        <v>120.0</v>
      </c>
      <c r="T17" s="1184"/>
      <c r="U17" s="1175">
        <v>100.0</v>
      </c>
      <c r="V17" s="1175">
        <v>1.1023</v>
      </c>
      <c r="W17" s="1184">
        <v>5.0</v>
      </c>
      <c r="X17" s="1175">
        <v>6.1</v>
      </c>
      <c r="Y17" s="1175">
        <v>25.0</v>
      </c>
      <c r="Z17" s="1175">
        <f t="shared" si="2"/>
        <v>14.85</v>
      </c>
      <c r="AA17" s="1175">
        <f t="shared" si="3"/>
        <v>39.85</v>
      </c>
      <c r="AB17" s="1185">
        <f t="shared" si="4"/>
        <v>106.5328858</v>
      </c>
      <c r="AC17" s="1186">
        <f>+(S17*V17)-'data 1'!$F$4-T17*V17</f>
        <v>52.276</v>
      </c>
      <c r="AD17" s="1186">
        <f t="shared" si="5"/>
        <v>38.62874326</v>
      </c>
      <c r="AE17" s="1186">
        <f>+(AA17*V17)-Z17-'data 1'!$I$21</f>
        <v>3.495573919</v>
      </c>
      <c r="AF17" s="1186">
        <f t="shared" si="6"/>
        <v>0</v>
      </c>
      <c r="AG17" s="930">
        <f t="shared" si="13"/>
        <v>94.40031718</v>
      </c>
      <c r="AH17" s="1186">
        <f t="shared" si="8"/>
        <v>35.07856596</v>
      </c>
      <c r="AI17" s="65">
        <f t="shared" si="9"/>
        <v>69.86180088</v>
      </c>
      <c r="AJ17" s="986">
        <f t="shared" si="10"/>
        <v>30.86203978</v>
      </c>
      <c r="AK17" s="65">
        <f t="shared" si="11"/>
        <v>4.216526185</v>
      </c>
      <c r="AM17" s="65">
        <f t="shared" si="12"/>
        <v>730.9125415</v>
      </c>
    </row>
    <row r="18" ht="15.75" customHeight="1">
      <c r="A18" s="134" t="s">
        <v>5365</v>
      </c>
      <c r="B18" s="1174">
        <v>45271.0</v>
      </c>
      <c r="C18" s="1174">
        <v>45266.0</v>
      </c>
      <c r="D18" s="1175" t="s">
        <v>5364</v>
      </c>
      <c r="E18" s="1175"/>
      <c r="F18" s="1175"/>
      <c r="G18" s="2"/>
      <c r="H18" s="1176"/>
      <c r="I18" s="1177">
        <v>16.01</v>
      </c>
      <c r="J18" s="1178">
        <v>0.13</v>
      </c>
      <c r="K18" s="1123">
        <f t="shared" ref="K18:K19" si="14">+I18-(I18*(J18))</f>
        <v>13.9287</v>
      </c>
      <c r="L18" s="1179">
        <v>0.18</v>
      </c>
      <c r="M18" s="1179">
        <v>0.18</v>
      </c>
      <c r="N18" s="1179">
        <v>0.18</v>
      </c>
      <c r="O18" s="1180">
        <f t="shared" si="1"/>
        <v>0.18</v>
      </c>
      <c r="P18" s="1181">
        <v>87.0</v>
      </c>
      <c r="Q18" s="1181">
        <v>90.7</v>
      </c>
      <c r="R18" s="1182">
        <v>2025.05</v>
      </c>
      <c r="S18" s="1183">
        <v>120.0</v>
      </c>
      <c r="T18" s="1184"/>
      <c r="U18" s="1175">
        <v>100.0</v>
      </c>
      <c r="V18" s="1175">
        <v>1.1023</v>
      </c>
      <c r="W18" s="1184">
        <v>5.0</v>
      </c>
      <c r="X18" s="1175">
        <v>6.1</v>
      </c>
      <c r="Y18" s="1175">
        <v>25.0</v>
      </c>
      <c r="Z18" s="1175">
        <f t="shared" si="2"/>
        <v>14.85</v>
      </c>
      <c r="AA18" s="1175">
        <f t="shared" si="3"/>
        <v>39.85</v>
      </c>
      <c r="AB18" s="1185">
        <f t="shared" si="4"/>
        <v>156.0998225</v>
      </c>
      <c r="AC18" s="1186">
        <f>+(S18*V18)-'data 1'!$F$4-T18*V18</f>
        <v>52.276</v>
      </c>
      <c r="AD18" s="1186">
        <f t="shared" si="5"/>
        <v>14.13240422</v>
      </c>
      <c r="AE18" s="1186">
        <f>+(AA18*V18)-Z18-'data 1'!$I$21</f>
        <v>3.495573919</v>
      </c>
      <c r="AF18" s="1186">
        <f t="shared" si="6"/>
        <v>0</v>
      </c>
      <c r="AG18" s="930">
        <f t="shared" si="13"/>
        <v>69.90397813</v>
      </c>
      <c r="AH18" s="1186">
        <f t="shared" si="8"/>
        <v>77.96495741</v>
      </c>
      <c r="AI18" s="65">
        <f t="shared" si="9"/>
        <v>81.87348352</v>
      </c>
      <c r="AJ18" s="986">
        <f t="shared" si="10"/>
        <v>74.78446852</v>
      </c>
      <c r="AK18" s="65">
        <f t="shared" si="11"/>
        <v>3.180488891</v>
      </c>
      <c r="AM18" s="65">
        <f t="shared" si="12"/>
        <v>2174.267598</v>
      </c>
    </row>
    <row r="19" ht="15.75" customHeight="1">
      <c r="A19" s="134" t="s">
        <v>5366</v>
      </c>
      <c r="B19" s="1174">
        <v>45271.0</v>
      </c>
      <c r="C19" s="1174">
        <v>45266.0</v>
      </c>
      <c r="D19" s="1175" t="s">
        <v>5364</v>
      </c>
      <c r="E19" s="1175"/>
      <c r="F19" s="1175"/>
      <c r="G19" s="2"/>
      <c r="H19" s="1176"/>
      <c r="I19" s="1177">
        <v>6.75</v>
      </c>
      <c r="J19" s="1178">
        <v>0.112</v>
      </c>
      <c r="K19" s="1123">
        <f t="shared" si="14"/>
        <v>5.994</v>
      </c>
      <c r="L19" s="1179">
        <v>0.143</v>
      </c>
      <c r="M19" s="1179">
        <v>0.143</v>
      </c>
      <c r="N19" s="1179">
        <v>0.143</v>
      </c>
      <c r="O19" s="1180">
        <f t="shared" si="1"/>
        <v>0.143</v>
      </c>
      <c r="P19" s="1181">
        <v>87.0</v>
      </c>
      <c r="Q19" s="1181">
        <v>90.42</v>
      </c>
      <c r="R19" s="1182">
        <v>2025.05</v>
      </c>
      <c r="S19" s="1183">
        <v>120.0</v>
      </c>
      <c r="T19" s="1184"/>
      <c r="U19" s="1175">
        <v>100.0</v>
      </c>
      <c r="V19" s="1175">
        <v>1.1023</v>
      </c>
      <c r="W19" s="1184">
        <v>5.0</v>
      </c>
      <c r="X19" s="1175">
        <v>6.1</v>
      </c>
      <c r="Y19" s="1175">
        <v>25.0</v>
      </c>
      <c r="Z19" s="1175">
        <f t="shared" si="2"/>
        <v>14.85</v>
      </c>
      <c r="AA19" s="1175">
        <f t="shared" si="3"/>
        <v>39.85</v>
      </c>
      <c r="AB19" s="1185">
        <f t="shared" si="4"/>
        <v>87.79320213</v>
      </c>
      <c r="AC19" s="1186">
        <f>+(S19*V19)-'data 1'!$F$4-T19*V19</f>
        <v>52.276</v>
      </c>
      <c r="AD19" s="1186">
        <f t="shared" si="5"/>
        <v>10.37776818</v>
      </c>
      <c r="AE19" s="1186">
        <f>+(AA19*V19)-Z19-'data 1'!$I$21</f>
        <v>3.495573919</v>
      </c>
      <c r="AF19" s="1186">
        <f t="shared" si="6"/>
        <v>0</v>
      </c>
      <c r="AG19" s="930">
        <f t="shared" si="13"/>
        <v>66.1493421</v>
      </c>
      <c r="AH19" s="1186">
        <f t="shared" si="8"/>
        <v>26.57212875</v>
      </c>
      <c r="AI19" s="65">
        <f t="shared" si="9"/>
        <v>64.84313698</v>
      </c>
      <c r="AJ19" s="986">
        <f t="shared" si="10"/>
        <v>25.56707809</v>
      </c>
      <c r="AK19" s="65">
        <f t="shared" si="11"/>
        <v>1.005050656</v>
      </c>
      <c r="AM19" s="65">
        <f t="shared" si="12"/>
        <v>526.2324536</v>
      </c>
    </row>
    <row r="20" ht="15.75" customHeight="1">
      <c r="A20" s="134" t="s">
        <v>5367</v>
      </c>
      <c r="B20" s="1187">
        <v>45304.0</v>
      </c>
      <c r="C20" s="1187">
        <v>45299.0</v>
      </c>
      <c r="D20" s="539" t="s">
        <v>4758</v>
      </c>
      <c r="E20" s="539"/>
      <c r="F20" s="539"/>
      <c r="G20" s="2"/>
      <c r="H20" s="1188"/>
      <c r="I20" s="1189">
        <v>31.71</v>
      </c>
      <c r="J20" s="1190">
        <v>8.85</v>
      </c>
      <c r="K20" s="1191">
        <f t="shared" ref="K20:K27" si="15">+I20-(I20*(J20/100))</f>
        <v>28.903665</v>
      </c>
      <c r="L20" s="405">
        <v>0.249</v>
      </c>
      <c r="M20" s="405">
        <v>0.207</v>
      </c>
      <c r="N20" s="1192">
        <v>0.295</v>
      </c>
      <c r="O20" s="111">
        <f t="shared" si="1"/>
        <v>0.251</v>
      </c>
      <c r="P20" s="1193">
        <v>88.0</v>
      </c>
      <c r="Q20" s="1194">
        <v>93.25831809079692</v>
      </c>
      <c r="R20" s="1195">
        <v>2033.5</v>
      </c>
      <c r="S20" s="1196">
        <v>120.0</v>
      </c>
      <c r="T20" s="1197"/>
      <c r="U20" s="1175">
        <v>100.0</v>
      </c>
      <c r="V20" s="539">
        <v>1.1023</v>
      </c>
      <c r="W20" s="1197">
        <v>5.0</v>
      </c>
      <c r="X20" s="539">
        <v>6.05</v>
      </c>
      <c r="Y20" s="1175">
        <v>10.0</v>
      </c>
      <c r="Z20" s="1198">
        <f t="shared" si="2"/>
        <v>14.675</v>
      </c>
      <c r="AA20" s="1198">
        <f t="shared" si="3"/>
        <v>24.675</v>
      </c>
      <c r="AB20" s="1199">
        <f t="shared" ref="AB20:AB27" si="16">+((O20*P20*(R20-U20)/100)-S20-AA20+T20)*V20</f>
        <v>311.2856399</v>
      </c>
      <c r="AC20" s="1200">
        <f>+(S20*V20)-'data 1'!$F$4-T20*V20</f>
        <v>52.276</v>
      </c>
      <c r="AD20" s="1200">
        <f t="shared" si="5"/>
        <v>27.90552421</v>
      </c>
      <c r="AE20" s="1200">
        <f>+(AA20*V20)-Z20-'data 1'!$I$21</f>
        <v>-13.05682858</v>
      </c>
      <c r="AF20" s="1200">
        <f t="shared" si="6"/>
        <v>-3.975223565</v>
      </c>
      <c r="AG20" s="930">
        <f t="shared" si="13"/>
        <v>63.14947206</v>
      </c>
      <c r="AH20" s="1200">
        <f t="shared" si="8"/>
        <v>230.1171094</v>
      </c>
      <c r="AI20" s="65">
        <f t="shared" si="9"/>
        <v>114.2899905</v>
      </c>
      <c r="AJ20" s="986">
        <f t="shared" si="10"/>
        <v>218.8861981</v>
      </c>
      <c r="AK20" s="65">
        <f t="shared" si="11"/>
        <v>11.23091134</v>
      </c>
      <c r="AM20" s="65">
        <f t="shared" si="12"/>
        <v>8997.295855</v>
      </c>
    </row>
    <row r="21" ht="15.75" customHeight="1">
      <c r="A21" s="134" t="s">
        <v>5368</v>
      </c>
      <c r="B21" s="1187">
        <v>45304.0</v>
      </c>
      <c r="C21" s="1187">
        <v>45300.0</v>
      </c>
      <c r="D21" s="539" t="s">
        <v>4758</v>
      </c>
      <c r="E21" s="539"/>
      <c r="F21" s="539"/>
      <c r="G21" s="2"/>
      <c r="H21" s="1188"/>
      <c r="I21" s="1189">
        <v>31.9</v>
      </c>
      <c r="J21" s="1190">
        <v>10.85</v>
      </c>
      <c r="K21" s="1191">
        <f t="shared" si="15"/>
        <v>28.43885</v>
      </c>
      <c r="L21" s="405">
        <v>0.224</v>
      </c>
      <c r="M21" s="405">
        <v>0.204</v>
      </c>
      <c r="N21" s="1192">
        <v>0.2</v>
      </c>
      <c r="O21" s="111">
        <f t="shared" si="1"/>
        <v>0.202</v>
      </c>
      <c r="P21" s="1193">
        <v>88.0</v>
      </c>
      <c r="Q21" s="1194">
        <v>92.74993619658743</v>
      </c>
      <c r="R21" s="1195">
        <v>2033.0</v>
      </c>
      <c r="S21" s="1196">
        <v>120.0</v>
      </c>
      <c r="T21" s="1197"/>
      <c r="U21" s="1175">
        <v>100.0</v>
      </c>
      <c r="V21" s="539">
        <v>1.1023</v>
      </c>
      <c r="W21" s="1197">
        <v>5.0</v>
      </c>
      <c r="X21" s="539">
        <v>6.1</v>
      </c>
      <c r="Y21" s="1175">
        <v>10.0</v>
      </c>
      <c r="Z21" s="539">
        <f t="shared" si="2"/>
        <v>14.85</v>
      </c>
      <c r="AA21" s="1198">
        <f t="shared" si="3"/>
        <v>24.85</v>
      </c>
      <c r="AB21" s="1199">
        <f t="shared" si="16"/>
        <v>219.0932362</v>
      </c>
      <c r="AC21" s="1200">
        <f>+(S21*V21)-'data 1'!$F$4-T21*V21</f>
        <v>52.276</v>
      </c>
      <c r="AD21" s="1200">
        <f t="shared" si="5"/>
        <v>22.67083185</v>
      </c>
      <c r="AE21" s="1200">
        <f>+(AA21*V21)-Z21-'data 1'!$I$21</f>
        <v>-13.03892608</v>
      </c>
      <c r="AF21" s="1200">
        <f t="shared" si="6"/>
        <v>43.47784018</v>
      </c>
      <c r="AG21" s="930">
        <f t="shared" si="13"/>
        <v>105.385746</v>
      </c>
      <c r="AH21" s="1200">
        <f t="shared" si="8"/>
        <v>202.5735494</v>
      </c>
      <c r="AI21" s="65">
        <f t="shared" si="9"/>
        <v>102.3691196</v>
      </c>
      <c r="AJ21" s="986">
        <f t="shared" si="10"/>
        <v>173.3225785</v>
      </c>
      <c r="AK21" s="65">
        <f t="shared" si="11"/>
        <v>29.25097089</v>
      </c>
      <c r="AM21" s="65">
        <f t="shared" si="12"/>
        <v>6230.75968</v>
      </c>
    </row>
    <row r="22" ht="15.75" customHeight="1">
      <c r="A22" s="134" t="s">
        <v>5369</v>
      </c>
      <c r="B22" s="1187">
        <v>45304.0</v>
      </c>
      <c r="C22" s="1187">
        <v>45300.0</v>
      </c>
      <c r="D22" s="539" t="s">
        <v>4758</v>
      </c>
      <c r="E22" s="539"/>
      <c r="F22" s="539"/>
      <c r="G22" s="2"/>
      <c r="H22" s="1188"/>
      <c r="I22" s="1189">
        <v>32.87</v>
      </c>
      <c r="J22" s="1190">
        <v>12.85</v>
      </c>
      <c r="K22" s="1191">
        <f t="shared" si="15"/>
        <v>28.646205</v>
      </c>
      <c r="L22" s="405">
        <v>0.183</v>
      </c>
      <c r="M22" s="405">
        <v>0.166</v>
      </c>
      <c r="N22" s="1192">
        <v>0.187</v>
      </c>
      <c r="O22" s="111">
        <f t="shared" si="1"/>
        <v>0.1765</v>
      </c>
      <c r="P22" s="1193">
        <v>88.0</v>
      </c>
      <c r="Q22" s="1194">
        <v>91.26868765258368</v>
      </c>
      <c r="R22" s="1195">
        <v>2033.0</v>
      </c>
      <c r="S22" s="1196">
        <v>120.0</v>
      </c>
      <c r="T22" s="1197"/>
      <c r="U22" s="1175">
        <v>100.0</v>
      </c>
      <c r="V22" s="539">
        <v>1.1023</v>
      </c>
      <c r="W22" s="1197">
        <v>5.0</v>
      </c>
      <c r="X22" s="539">
        <v>6.1</v>
      </c>
      <c r="Y22" s="1175">
        <v>10.0</v>
      </c>
      <c r="Z22" s="539">
        <f t="shared" si="2"/>
        <v>14.85</v>
      </c>
      <c r="AA22" s="1198">
        <f t="shared" si="3"/>
        <v>24.85</v>
      </c>
      <c r="AB22" s="1199">
        <f t="shared" si="16"/>
        <v>171.2792982</v>
      </c>
      <c r="AC22" s="1200">
        <f>+(S22*V22)-'data 1'!$F$4-T22*V22</f>
        <v>52.276</v>
      </c>
      <c r="AD22" s="1200">
        <f t="shared" si="5"/>
        <v>12.74547935</v>
      </c>
      <c r="AE22" s="1200">
        <f>+(AA22*V22)-Z22-'data 1'!$I$21</f>
        <v>-13.03892608</v>
      </c>
      <c r="AF22" s="1200">
        <f t="shared" si="6"/>
        <v>12.64057483</v>
      </c>
      <c r="AG22" s="930">
        <f t="shared" si="13"/>
        <v>64.6231281</v>
      </c>
      <c r="AH22" s="1200">
        <f t="shared" si="8"/>
        <v>164.0397355</v>
      </c>
      <c r="AI22" s="65">
        <f t="shared" si="9"/>
        <v>82.29628411</v>
      </c>
      <c r="AJ22" s="986">
        <f t="shared" si="10"/>
        <v>152.5469563</v>
      </c>
      <c r="AK22" s="65">
        <f t="shared" si="11"/>
        <v>11.49277926</v>
      </c>
      <c r="AM22" s="65">
        <f t="shared" si="12"/>
        <v>4906.501888</v>
      </c>
    </row>
    <row r="23" ht="15.75" customHeight="1">
      <c r="A23" s="1042" t="s">
        <v>5370</v>
      </c>
      <c r="B23" s="1187">
        <v>45304.0</v>
      </c>
      <c r="C23" s="1187">
        <v>45300.0</v>
      </c>
      <c r="D23" s="539" t="s">
        <v>4758</v>
      </c>
      <c r="E23" s="539"/>
      <c r="F23" s="539"/>
      <c r="G23" s="2"/>
      <c r="H23" s="1188"/>
      <c r="I23" s="1189">
        <v>10.35</v>
      </c>
      <c r="J23" s="1190">
        <v>13.4</v>
      </c>
      <c r="K23" s="1201">
        <f t="shared" si="15"/>
        <v>8.9631</v>
      </c>
      <c r="L23" s="1202">
        <v>0.228</v>
      </c>
      <c r="M23" s="1191">
        <v>0.218</v>
      </c>
      <c r="N23" s="1191">
        <v>0.246</v>
      </c>
      <c r="O23" s="1203">
        <f t="shared" si="1"/>
        <v>0.232</v>
      </c>
      <c r="P23" s="1193">
        <v>88.0</v>
      </c>
      <c r="Q23" s="1194">
        <v>92.64334308134343</v>
      </c>
      <c r="R23" s="1195">
        <v>2033.0</v>
      </c>
      <c r="S23" s="1196">
        <v>120.0</v>
      </c>
      <c r="T23" s="1197"/>
      <c r="U23" s="1175">
        <v>100.0</v>
      </c>
      <c r="V23" s="539">
        <v>1.1023</v>
      </c>
      <c r="W23" s="1197">
        <v>5.0</v>
      </c>
      <c r="X23" s="539">
        <v>6.1</v>
      </c>
      <c r="Y23" s="1175">
        <v>10.0</v>
      </c>
      <c r="Z23" s="539">
        <f t="shared" si="2"/>
        <v>14.85</v>
      </c>
      <c r="AA23" s="1198">
        <f t="shared" si="3"/>
        <v>24.85</v>
      </c>
      <c r="AB23" s="1199">
        <f t="shared" si="16"/>
        <v>275.3449279</v>
      </c>
      <c r="AC23" s="1200">
        <f>+(S23*V23)-'data 1'!$F$4-T23*V23</f>
        <v>52.276</v>
      </c>
      <c r="AD23" s="1200">
        <f t="shared" si="5"/>
        <v>22.55782805</v>
      </c>
      <c r="AE23" s="1200">
        <f>+(AA23*V23)-Z23-'data 1'!$I$21</f>
        <v>-13.03892608</v>
      </c>
      <c r="AF23" s="1200">
        <f t="shared" si="6"/>
        <v>-7.895976937</v>
      </c>
      <c r="AG23" s="930">
        <f t="shared" si="13"/>
        <v>53.89892503</v>
      </c>
      <c r="AH23" s="1200">
        <f t="shared" si="8"/>
        <v>64.91071254</v>
      </c>
      <c r="AI23" s="65">
        <f t="shared" si="9"/>
        <v>104.0773908</v>
      </c>
      <c r="AJ23" s="986">
        <f t="shared" si="10"/>
        <v>62.73905431</v>
      </c>
      <c r="AK23" s="65">
        <f t="shared" si="11"/>
        <v>2.171658226</v>
      </c>
      <c r="AM23" s="65">
        <f t="shared" si="12"/>
        <v>2467.944124</v>
      </c>
    </row>
    <row r="24" ht="15.75" customHeight="1">
      <c r="A24" s="1042" t="s">
        <v>5371</v>
      </c>
      <c r="B24" s="1187">
        <v>45304.0</v>
      </c>
      <c r="C24" s="1187">
        <v>45300.0</v>
      </c>
      <c r="D24" s="539" t="s">
        <v>4758</v>
      </c>
      <c r="E24" s="539"/>
      <c r="F24" s="539"/>
      <c r="G24" s="2"/>
      <c r="H24" s="1188"/>
      <c r="I24" s="1189">
        <v>19.71</v>
      </c>
      <c r="J24" s="1190">
        <v>12.5</v>
      </c>
      <c r="K24" s="1201">
        <f t="shared" si="15"/>
        <v>17.24625</v>
      </c>
      <c r="L24" s="1202">
        <v>0.197</v>
      </c>
      <c r="M24" s="1191">
        <v>0.179</v>
      </c>
      <c r="N24" s="1191">
        <v>0.222</v>
      </c>
      <c r="O24" s="1203">
        <f t="shared" si="1"/>
        <v>0.2005</v>
      </c>
      <c r="P24" s="1193">
        <v>88.0</v>
      </c>
      <c r="Q24" s="1194">
        <v>91.7756044621488</v>
      </c>
      <c r="R24" s="1195">
        <v>2033.0</v>
      </c>
      <c r="S24" s="1196">
        <v>120.0</v>
      </c>
      <c r="T24" s="1197"/>
      <c r="U24" s="1175">
        <v>100.0</v>
      </c>
      <c r="V24" s="539">
        <v>1.1023</v>
      </c>
      <c r="W24" s="1197">
        <v>5.0</v>
      </c>
      <c r="X24" s="539">
        <v>6.1</v>
      </c>
      <c r="Y24" s="1175">
        <v>10.0</v>
      </c>
      <c r="Z24" s="539">
        <f t="shared" si="2"/>
        <v>14.85</v>
      </c>
      <c r="AA24" s="1198">
        <f t="shared" si="3"/>
        <v>24.85</v>
      </c>
      <c r="AB24" s="1199">
        <f t="shared" si="16"/>
        <v>216.2806516</v>
      </c>
      <c r="AC24" s="1200">
        <f>+(S24*V24)-'data 1'!$F$4-T24*V24</f>
        <v>52.276</v>
      </c>
      <c r="AD24" s="1200">
        <f t="shared" si="5"/>
        <v>15.84836184</v>
      </c>
      <c r="AE24" s="1200">
        <f>+(AA24*V24)-Z24-'data 1'!$I$21</f>
        <v>-13.03892608</v>
      </c>
      <c r="AF24" s="1200">
        <f t="shared" si="6"/>
        <v>-6.844267252</v>
      </c>
      <c r="AG24" s="930">
        <f t="shared" si="13"/>
        <v>48.24116851</v>
      </c>
      <c r="AH24" s="1200">
        <f t="shared" si="8"/>
        <v>106.9048052</v>
      </c>
      <c r="AI24" s="65">
        <f t="shared" si="9"/>
        <v>89.08422585</v>
      </c>
      <c r="AJ24" s="986">
        <f t="shared" si="10"/>
        <v>104.3279793</v>
      </c>
      <c r="AK24" s="65">
        <f t="shared" si="11"/>
        <v>2.57682587</v>
      </c>
      <c r="AM24" s="65">
        <f t="shared" si="12"/>
        <v>3730.030188</v>
      </c>
    </row>
    <row r="25" ht="15.75" customHeight="1">
      <c r="A25" s="134" t="s">
        <v>5372</v>
      </c>
      <c r="B25" s="1187">
        <v>45304.0</v>
      </c>
      <c r="C25" s="1187">
        <v>45301.0</v>
      </c>
      <c r="D25" s="539" t="s">
        <v>4758</v>
      </c>
      <c r="E25" s="539"/>
      <c r="F25" s="539"/>
      <c r="G25" s="2"/>
      <c r="H25" s="1188"/>
      <c r="I25" s="1189">
        <v>30.82</v>
      </c>
      <c r="J25" s="1190">
        <v>12.9</v>
      </c>
      <c r="K25" s="1201">
        <f t="shared" si="15"/>
        <v>26.84422</v>
      </c>
      <c r="L25" s="1202">
        <v>0.246</v>
      </c>
      <c r="M25" s="1191">
        <v>0.224</v>
      </c>
      <c r="N25" s="1191">
        <v>0.266</v>
      </c>
      <c r="O25" s="1203">
        <f t="shared" si="1"/>
        <v>0.245</v>
      </c>
      <c r="P25" s="1193">
        <v>88.0</v>
      </c>
      <c r="Q25" s="1194">
        <v>91.54315243202788</v>
      </c>
      <c r="R25" s="1195">
        <v>2027.8</v>
      </c>
      <c r="S25" s="1196">
        <v>120.0</v>
      </c>
      <c r="T25" s="1197"/>
      <c r="U25" s="1175">
        <v>100.0</v>
      </c>
      <c r="V25" s="539">
        <v>1.1023</v>
      </c>
      <c r="W25" s="1197">
        <v>5.0</v>
      </c>
      <c r="X25" s="539">
        <v>6.1</v>
      </c>
      <c r="Y25" s="1175">
        <v>10.0</v>
      </c>
      <c r="Z25" s="539">
        <f t="shared" si="2"/>
        <v>14.85</v>
      </c>
      <c r="AA25" s="1198">
        <f t="shared" si="3"/>
        <v>24.85</v>
      </c>
      <c r="AB25" s="1199">
        <f t="shared" si="16"/>
        <v>298.4848505</v>
      </c>
      <c r="AC25" s="1200">
        <f>+(S25*V25)-'data 1'!$F$4-T25*V25</f>
        <v>52.276</v>
      </c>
      <c r="AD25" s="1200">
        <f t="shared" si="5"/>
        <v>18.52195084</v>
      </c>
      <c r="AE25" s="1200">
        <f>+(AA25*V25)-Z25-'data 1'!$I$21</f>
        <v>-13.03892608</v>
      </c>
      <c r="AF25" s="1200">
        <f t="shared" si="6"/>
        <v>1.94530475</v>
      </c>
      <c r="AG25" s="930">
        <f t="shared" si="13"/>
        <v>59.70432951</v>
      </c>
      <c r="AH25" s="1200">
        <f t="shared" si="8"/>
        <v>207.2625465</v>
      </c>
      <c r="AI25" s="65">
        <f t="shared" si="9"/>
        <v>112.2512889</v>
      </c>
      <c r="AJ25" s="986">
        <f t="shared" si="10"/>
        <v>198.4305861</v>
      </c>
      <c r="AK25" s="65">
        <f t="shared" si="11"/>
        <v>8.831960379</v>
      </c>
      <c r="AM25" s="65">
        <f t="shared" si="12"/>
        <v>8012.592993</v>
      </c>
    </row>
    <row r="26" ht="15.75" customHeight="1">
      <c r="A26" s="967" t="s">
        <v>5373</v>
      </c>
      <c r="B26" s="1043">
        <v>45308.0</v>
      </c>
      <c r="C26" s="1043">
        <v>45306.0</v>
      </c>
      <c r="D26" s="1046" t="s">
        <v>5346</v>
      </c>
      <c r="E26" s="1204"/>
      <c r="F26" s="1046" t="s">
        <v>5374</v>
      </c>
      <c r="G26" s="2"/>
      <c r="H26" s="1103"/>
      <c r="I26" s="1205">
        <v>23.78</v>
      </c>
      <c r="J26" s="1206">
        <v>10.45</v>
      </c>
      <c r="K26" s="1207">
        <f t="shared" si="15"/>
        <v>21.29499</v>
      </c>
      <c r="L26" s="1208">
        <v>0.21</v>
      </c>
      <c r="M26" s="1107">
        <v>0.21</v>
      </c>
      <c r="N26" s="1107">
        <v>0.21</v>
      </c>
      <c r="O26" s="1107">
        <v>0.21</v>
      </c>
      <c r="P26" s="1209">
        <v>87.0</v>
      </c>
      <c r="Q26" s="1108">
        <v>92.64334308134343</v>
      </c>
      <c r="R26" s="1210">
        <v>2057.85</v>
      </c>
      <c r="S26" s="1045">
        <v>120.0</v>
      </c>
      <c r="T26" s="1108">
        <v>5.0</v>
      </c>
      <c r="U26" s="1046">
        <v>120.0</v>
      </c>
      <c r="V26" s="1046">
        <v>1.1023</v>
      </c>
      <c r="W26" s="1108">
        <v>5.0</v>
      </c>
      <c r="X26" s="1046">
        <v>6.1</v>
      </c>
      <c r="Y26" s="1046">
        <v>20.0</v>
      </c>
      <c r="Z26" s="1046">
        <f t="shared" si="2"/>
        <v>14.85</v>
      </c>
      <c r="AA26" s="1046">
        <f t="shared" si="3"/>
        <v>34.85</v>
      </c>
      <c r="AB26" s="1109">
        <f t="shared" si="16"/>
        <v>225.0843634</v>
      </c>
      <c r="AC26" s="1109">
        <f>+(S26*V26)-'data 1'!$F$4-T26*V26</f>
        <v>46.7645</v>
      </c>
      <c r="AD26" s="1109">
        <f t="shared" si="5"/>
        <v>25.31487067</v>
      </c>
      <c r="AE26" s="1109">
        <f>+(AA26*V26)-Z26-'data 1'!$I$21</f>
        <v>-2.015926081</v>
      </c>
      <c r="AF26" s="1109">
        <f t="shared" si="6"/>
        <v>0</v>
      </c>
      <c r="AG26" s="1109">
        <f t="shared" si="13"/>
        <v>70.06344459</v>
      </c>
      <c r="AH26" s="1109">
        <f t="shared" si="8"/>
        <v>142.0430611</v>
      </c>
      <c r="AI26" s="65">
        <f t="shared" si="9"/>
        <v>94.82065476</v>
      </c>
      <c r="AJ26" s="986">
        <f t="shared" si="10"/>
        <v>133.3905481</v>
      </c>
      <c r="AK26" s="65">
        <f t="shared" si="11"/>
        <v>8.652512952</v>
      </c>
      <c r="AM26" s="65">
        <f t="shared" si="12"/>
        <v>4793.169269</v>
      </c>
    </row>
    <row r="27" ht="15.75" customHeight="1">
      <c r="A27" s="967" t="s">
        <v>5375</v>
      </c>
      <c r="B27" s="1043">
        <v>45308.0</v>
      </c>
      <c r="C27" s="1043">
        <v>45306.0</v>
      </c>
      <c r="D27" s="1046" t="s">
        <v>5346</v>
      </c>
      <c r="E27" s="1204"/>
      <c r="F27" s="1046" t="s">
        <v>5374</v>
      </c>
      <c r="G27" s="2"/>
      <c r="H27" s="1103"/>
      <c r="I27" s="1211">
        <v>28.82</v>
      </c>
      <c r="J27" s="1206">
        <v>8.85</v>
      </c>
      <c r="K27" s="1207">
        <f t="shared" si="15"/>
        <v>26.26943</v>
      </c>
      <c r="L27" s="1208">
        <v>0.17</v>
      </c>
      <c r="M27" s="1107">
        <v>0.17</v>
      </c>
      <c r="N27" s="1107">
        <v>0.17</v>
      </c>
      <c r="O27" s="1107">
        <v>0.17</v>
      </c>
      <c r="P27" s="1209">
        <v>87.0</v>
      </c>
      <c r="Q27" s="1108">
        <v>91.7756044621488</v>
      </c>
      <c r="R27" s="1210">
        <v>2057.85</v>
      </c>
      <c r="S27" s="1045">
        <v>120.0</v>
      </c>
      <c r="T27" s="1046"/>
      <c r="U27" s="1046">
        <v>120.0</v>
      </c>
      <c r="V27" s="1046">
        <v>1.1023</v>
      </c>
      <c r="W27" s="1108">
        <v>5.0</v>
      </c>
      <c r="X27" s="1046">
        <v>6.1</v>
      </c>
      <c r="Y27" s="1046">
        <v>20.0</v>
      </c>
      <c r="Z27" s="1046">
        <f t="shared" si="2"/>
        <v>14.85</v>
      </c>
      <c r="AA27" s="1046">
        <f t="shared" si="3"/>
        <v>34.85</v>
      </c>
      <c r="AB27" s="1109">
        <f t="shared" si="16"/>
        <v>145.2368599</v>
      </c>
      <c r="AC27" s="1109">
        <f>+(S27*V27)-'data 1'!$F$4-T27*V27</f>
        <v>52.276</v>
      </c>
      <c r="AD27" s="1109">
        <f t="shared" si="5"/>
        <v>17.34192227</v>
      </c>
      <c r="AE27" s="1109">
        <f>+(AA27*V27)-Z27-'data 1'!$I$21</f>
        <v>-2.015926081</v>
      </c>
      <c r="AF27" s="1109">
        <f t="shared" si="6"/>
        <v>0</v>
      </c>
      <c r="AG27" s="1109">
        <f t="shared" si="13"/>
        <v>67.60199619</v>
      </c>
      <c r="AH27" s="1109">
        <f t="shared" si="8"/>
        <v>140.5192728</v>
      </c>
      <c r="AI27" s="65">
        <f t="shared" si="9"/>
        <v>76.04061343</v>
      </c>
      <c r="AJ27" s="986">
        <f t="shared" si="10"/>
        <v>133.2072592</v>
      </c>
      <c r="AK27" s="65">
        <f t="shared" si="11"/>
        <v>7.312013582</v>
      </c>
      <c r="AM27" s="65">
        <f t="shared" si="12"/>
        <v>3815.289525</v>
      </c>
    </row>
    <row r="28" ht="15.75" customHeight="1">
      <c r="A28" s="134" t="s">
        <v>5376</v>
      </c>
      <c r="B28" s="841"/>
      <c r="C28" s="841"/>
      <c r="D28" s="67"/>
      <c r="E28" s="1212"/>
      <c r="F28" s="67"/>
      <c r="G28" s="2"/>
      <c r="H28" s="916"/>
      <c r="L28" s="106"/>
      <c r="M28" s="106"/>
      <c r="N28" s="106"/>
      <c r="O28" s="106"/>
      <c r="P28" s="1213"/>
      <c r="Q28" s="70"/>
      <c r="R28" s="1214"/>
      <c r="S28" s="134"/>
      <c r="T28" s="67"/>
      <c r="U28" s="67"/>
      <c r="V28" s="67"/>
      <c r="W28" s="70"/>
      <c r="X28" s="67"/>
      <c r="Y28" s="67"/>
      <c r="Z28" s="1046"/>
      <c r="AA28" s="1046"/>
      <c r="AB28" s="71"/>
      <c r="AC28" s="71"/>
      <c r="AD28" s="71"/>
      <c r="AE28" s="71"/>
      <c r="AF28" s="71"/>
      <c r="AG28" s="71"/>
      <c r="AH28" s="71"/>
      <c r="AI28" s="65"/>
      <c r="AJ28" s="986">
        <f t="shared" si="10"/>
        <v>0</v>
      </c>
      <c r="AK28" s="65">
        <f t="shared" si="11"/>
        <v>0</v>
      </c>
      <c r="AM28" s="65">
        <f t="shared" si="12"/>
        <v>0</v>
      </c>
    </row>
    <row r="29" ht="15.75" customHeight="1">
      <c r="A29" s="134" t="s">
        <v>5377</v>
      </c>
      <c r="E29" s="425"/>
      <c r="G29" s="2"/>
      <c r="H29" s="13"/>
      <c r="R29" s="65"/>
      <c r="AB29" s="7"/>
      <c r="AC29" s="7"/>
      <c r="AD29" s="7"/>
      <c r="AE29" s="7"/>
      <c r="AF29" s="7"/>
      <c r="AG29" s="7"/>
      <c r="AH29" s="7"/>
      <c r="AI29" s="65"/>
      <c r="AJ29" s="986">
        <f t="shared" si="10"/>
        <v>0</v>
      </c>
      <c r="AK29" s="65">
        <f t="shared" si="11"/>
        <v>0</v>
      </c>
      <c r="AM29" s="65">
        <f t="shared" si="12"/>
        <v>0</v>
      </c>
    </row>
    <row r="30" ht="15.75" customHeight="1">
      <c r="A30" s="134" t="s">
        <v>5378</v>
      </c>
      <c r="B30" s="1043">
        <v>45325.0</v>
      </c>
      <c r="C30" s="1044">
        <v>45322.0</v>
      </c>
      <c r="D30" s="429" t="s">
        <v>5348</v>
      </c>
      <c r="E30" s="418"/>
      <c r="F30" s="429" t="s">
        <v>5379</v>
      </c>
      <c r="G30" s="2"/>
      <c r="H30" s="1215"/>
      <c r="I30" s="429">
        <v>27.26</v>
      </c>
      <c r="J30" s="1216">
        <v>14.7</v>
      </c>
      <c r="K30" s="1217">
        <f t="shared" ref="K30:K50" si="17">+I30-(I30*(J30/100))</f>
        <v>23.25278</v>
      </c>
      <c r="L30" s="1218">
        <v>0.704</v>
      </c>
      <c r="M30" s="1218">
        <v>0.658</v>
      </c>
      <c r="N30" s="1218">
        <v>0.745</v>
      </c>
      <c r="O30" s="1203">
        <f t="shared" ref="O30:O33" si="18">+(M30+N30)/2</f>
        <v>0.7015</v>
      </c>
      <c r="P30" s="429">
        <v>90.0</v>
      </c>
      <c r="Q30" s="429">
        <v>92.08</v>
      </c>
      <c r="R30" s="430">
        <v>2039.155</v>
      </c>
      <c r="S30" s="1045">
        <v>160.0</v>
      </c>
      <c r="T30" s="429"/>
      <c r="U30" s="429">
        <v>100.0</v>
      </c>
      <c r="V30" s="1046">
        <v>1.1023</v>
      </c>
      <c r="W30" s="1108">
        <v>5.1</v>
      </c>
      <c r="X30" s="1046">
        <v>6.2</v>
      </c>
      <c r="Y30" s="429">
        <v>25.0</v>
      </c>
      <c r="Z30" s="429">
        <f t="shared" ref="Z30:Z32" si="19">IF(+((W30-3)*2+(X30-3)*3.1)&gt;0,+((W30-3)*2+(X30-3)*3.1),0)</f>
        <v>14.12</v>
      </c>
      <c r="AA30" s="429">
        <f t="shared" ref="AA30:AA50" si="20">+Y30+Z30</f>
        <v>39.12</v>
      </c>
      <c r="AB30" s="1047">
        <f t="shared" ref="AB30:AB50" si="21">+((O30*P30*(R30-U30)/100)-S30-AA30+T30)*V30</f>
        <v>1130.039941</v>
      </c>
      <c r="AC30" s="1047">
        <f>+(S30*V30)-'data 1'!$F$4-T30*V30</f>
        <v>96.368</v>
      </c>
      <c r="AD30" s="1047">
        <f t="shared" ref="AD30:AD50" si="22">+(Q30-P30)*(R30-U30)*L30*V30/100</f>
        <v>31.30028744</v>
      </c>
      <c r="AE30" s="1047">
        <f>+(AA30*V30)-Z30-'data 1'!$I$21</f>
        <v>3.420894919</v>
      </c>
      <c r="AF30" s="1047">
        <f t="shared" ref="AF30:AF50" si="23">(L30-O30)*(R30-U30)*Q30*V30/100</f>
        <v>4.920595341</v>
      </c>
      <c r="AG30" s="1047">
        <f t="shared" ref="AG30:AG50" si="24">+AC30+AD30+AE30+AF30</f>
        <v>136.0097777</v>
      </c>
      <c r="AH30" s="1047">
        <f t="shared" ref="AH30:AH50" si="25">31.1035*L30*Q30*1.1023*K30/100</f>
        <v>516.7993059</v>
      </c>
      <c r="AI30" s="65">
        <f t="shared" ref="AI30:AI50" si="26">+((+$AI$2-R30+U30)*L30*Q30*V30)/100</f>
        <v>315.0095328</v>
      </c>
      <c r="AJ30" s="986">
        <f t="shared" si="10"/>
        <v>503.3315302</v>
      </c>
      <c r="AK30" s="65">
        <f t="shared" si="11"/>
        <v>13.46777573</v>
      </c>
      <c r="AM30" s="65">
        <f t="shared" si="12"/>
        <v>26276.57014</v>
      </c>
    </row>
    <row r="31" ht="15.75" customHeight="1">
      <c r="A31" s="134" t="s">
        <v>5380</v>
      </c>
      <c r="B31" s="1043">
        <v>45341.0</v>
      </c>
      <c r="C31" s="1044">
        <v>45323.0</v>
      </c>
      <c r="D31" s="2" t="s">
        <v>5093</v>
      </c>
      <c r="E31" s="915">
        <v>1.0460498487E10</v>
      </c>
      <c r="F31" s="2" t="s">
        <v>4758</v>
      </c>
      <c r="G31" s="2"/>
      <c r="H31" s="13"/>
      <c r="I31" s="5">
        <v>0.9</v>
      </c>
      <c r="J31" s="58">
        <v>18.8</v>
      </c>
      <c r="K31" s="5">
        <f t="shared" si="17"/>
        <v>0.7308</v>
      </c>
      <c r="L31" s="3">
        <v>0.658</v>
      </c>
      <c r="M31" s="3">
        <v>0.658</v>
      </c>
      <c r="N31" s="134">
        <v>0.658</v>
      </c>
      <c r="O31" s="111">
        <f t="shared" si="18"/>
        <v>0.658</v>
      </c>
      <c r="P31" s="2">
        <v>88.0</v>
      </c>
      <c r="Q31" s="65">
        <v>92.4</v>
      </c>
      <c r="R31" s="65">
        <v>2030.07</v>
      </c>
      <c r="S31" s="3">
        <v>160.0</v>
      </c>
      <c r="U31" s="2">
        <v>100.0</v>
      </c>
      <c r="V31" s="1046">
        <v>1.1023</v>
      </c>
      <c r="W31" s="65">
        <v>5.0</v>
      </c>
      <c r="X31" s="65">
        <v>6.15</v>
      </c>
      <c r="Y31" s="429">
        <v>25.0</v>
      </c>
      <c r="Z31" s="1216">
        <f t="shared" si="19"/>
        <v>13.765</v>
      </c>
      <c r="AA31" s="1216">
        <f t="shared" si="20"/>
        <v>38.765</v>
      </c>
      <c r="AB31" s="1047">
        <f t="shared" si="21"/>
        <v>1012.818298</v>
      </c>
      <c r="AC31" s="1047">
        <f>+(S31*V31)-'data 1'!$F$4-T31*V31</f>
        <v>96.368</v>
      </c>
      <c r="AD31" s="1047">
        <f t="shared" si="22"/>
        <v>61.59584789</v>
      </c>
      <c r="AE31" s="1047">
        <f>+(AA31*V31)-Z31-'data 1'!$I$21</f>
        <v>3.384578419</v>
      </c>
      <c r="AF31" s="1047">
        <f t="shared" si="23"/>
        <v>0</v>
      </c>
      <c r="AG31" s="1047">
        <f t="shared" si="24"/>
        <v>161.3484263</v>
      </c>
      <c r="AH31" s="1047">
        <f t="shared" si="25"/>
        <v>15.2337026</v>
      </c>
      <c r="AI31" s="65">
        <f t="shared" si="26"/>
        <v>301.5383984</v>
      </c>
      <c r="AJ31" s="986">
        <f t="shared" si="10"/>
        <v>14.50828819</v>
      </c>
      <c r="AK31" s="65">
        <f t="shared" si="11"/>
        <v>0.7254144095</v>
      </c>
      <c r="AM31" s="65">
        <f t="shared" si="12"/>
        <v>740.1676124</v>
      </c>
    </row>
    <row r="32" ht="15.75" customHeight="1">
      <c r="A32" s="134" t="s">
        <v>5381</v>
      </c>
      <c r="B32" s="1043">
        <v>45363.0</v>
      </c>
      <c r="C32" s="1043">
        <v>45358.0</v>
      </c>
      <c r="D32" s="2" t="s">
        <v>5382</v>
      </c>
      <c r="E32" s="915">
        <v>1.0460498487E10</v>
      </c>
      <c r="F32" s="2" t="s">
        <v>5360</v>
      </c>
      <c r="G32" s="2"/>
      <c r="H32" s="13"/>
      <c r="I32" s="65">
        <v>7.78</v>
      </c>
      <c r="J32" s="65">
        <v>8.3</v>
      </c>
      <c r="K32" s="5">
        <f t="shared" si="17"/>
        <v>7.13426</v>
      </c>
      <c r="L32" s="3">
        <v>0.83</v>
      </c>
      <c r="M32" s="3">
        <v>0.84</v>
      </c>
      <c r="N32" s="134">
        <v>0.84</v>
      </c>
      <c r="O32" s="111">
        <f t="shared" si="18"/>
        <v>0.84</v>
      </c>
      <c r="P32" s="2">
        <v>87.0</v>
      </c>
      <c r="Q32" s="65">
        <v>89.24249475234853</v>
      </c>
      <c r="R32" s="65">
        <v>2144.215</v>
      </c>
      <c r="S32" s="3">
        <v>160.0</v>
      </c>
      <c r="U32" s="2">
        <v>100.0</v>
      </c>
      <c r="V32" s="1046">
        <v>1.1023</v>
      </c>
      <c r="W32" s="1219">
        <v>5.1</v>
      </c>
      <c r="X32" s="1219">
        <v>6.1</v>
      </c>
      <c r="Y32" s="429">
        <v>25.0</v>
      </c>
      <c r="Z32" s="429">
        <f t="shared" si="19"/>
        <v>13.81</v>
      </c>
      <c r="AA32" s="429">
        <f t="shared" si="20"/>
        <v>38.81</v>
      </c>
      <c r="AB32" s="1047">
        <f t="shared" si="21"/>
        <v>1427.59129</v>
      </c>
      <c r="AC32" s="1047">
        <f>+(S32*V32)-'data 1'!$F$4-T32*V32</f>
        <v>96.368</v>
      </c>
      <c r="AD32" s="1047">
        <f t="shared" si="22"/>
        <v>41.94072233</v>
      </c>
      <c r="AE32" s="1047">
        <f>+(AA32*V32)-Z32-'data 1'!$I$21</f>
        <v>3.389181919</v>
      </c>
      <c r="AF32" s="1047">
        <f t="shared" si="23"/>
        <v>-20.1093522</v>
      </c>
      <c r="AG32" s="1047">
        <f t="shared" si="24"/>
        <v>121.5885521</v>
      </c>
      <c r="AH32" s="1047">
        <f t="shared" si="25"/>
        <v>181.1789743</v>
      </c>
      <c r="AI32" s="65">
        <f t="shared" si="26"/>
        <v>274.1642942</v>
      </c>
      <c r="AJ32" s="986">
        <f t="shared" si="10"/>
        <v>178.7543177</v>
      </c>
      <c r="AK32" s="65">
        <f t="shared" si="11"/>
        <v>2.424656646</v>
      </c>
      <c r="AM32" s="65">
        <f t="shared" si="12"/>
        <v>10184.80743</v>
      </c>
    </row>
    <row r="33" ht="15.75" customHeight="1">
      <c r="A33" s="134" t="s">
        <v>5383</v>
      </c>
      <c r="B33" s="1043">
        <v>45363.0</v>
      </c>
      <c r="C33" s="1043">
        <v>45358.0</v>
      </c>
      <c r="D33" s="2" t="s">
        <v>5382</v>
      </c>
      <c r="E33" s="915">
        <v>1.0460498487E10</v>
      </c>
      <c r="F33" s="1220" t="s">
        <v>5360</v>
      </c>
      <c r="G33" s="2"/>
      <c r="H33" s="13"/>
      <c r="I33" s="65">
        <v>1.83</v>
      </c>
      <c r="J33" s="65">
        <v>7.5</v>
      </c>
      <c r="K33" s="5">
        <f t="shared" si="17"/>
        <v>1.69275</v>
      </c>
      <c r="L33" s="3">
        <f>+(0.578+0.588)/2</f>
        <v>0.583</v>
      </c>
      <c r="M33" s="3">
        <v>0.558</v>
      </c>
      <c r="N33" s="134">
        <v>0.619</v>
      </c>
      <c r="O33" s="111">
        <f t="shared" si="18"/>
        <v>0.5885</v>
      </c>
      <c r="P33" s="2">
        <v>87.0</v>
      </c>
      <c r="Q33" s="65">
        <v>90.64383632992354</v>
      </c>
      <c r="R33" s="65">
        <v>2144.215</v>
      </c>
      <c r="S33" s="3">
        <v>140.0</v>
      </c>
      <c r="U33" s="2">
        <v>100.0</v>
      </c>
      <c r="V33" s="1046">
        <v>1.1023</v>
      </c>
      <c r="W33" s="1219">
        <v>5.1</v>
      </c>
      <c r="X33" s="1219">
        <v>6.05</v>
      </c>
      <c r="Y33" s="429">
        <v>25.0</v>
      </c>
      <c r="Z33" s="430">
        <f>IF(+((W33-3)*1.5+(X33-3)*3.1)&gt;0,+((W33-3)*1.5+(X33-3)*3.1),0)</f>
        <v>12.605</v>
      </c>
      <c r="AA33" s="430">
        <f t="shared" si="20"/>
        <v>37.605</v>
      </c>
      <c r="AB33" s="1047">
        <f t="shared" si="21"/>
        <v>957.9238974</v>
      </c>
      <c r="AC33" s="1047">
        <f>+(S33*V33)-'data 1'!$F$4-T33*V33</f>
        <v>74.322</v>
      </c>
      <c r="AD33" s="1047">
        <f t="shared" si="22"/>
        <v>47.86893821</v>
      </c>
      <c r="AE33" s="1047">
        <f>+(AA33*V33)-Z33-'data 1'!$I$21</f>
        <v>3.265910419</v>
      </c>
      <c r="AF33" s="1047">
        <f t="shared" si="23"/>
        <v>-11.23381702</v>
      </c>
      <c r="AG33" s="1047">
        <f t="shared" si="24"/>
        <v>114.2230316</v>
      </c>
      <c r="AH33" s="1047">
        <f t="shared" si="25"/>
        <v>30.66964326</v>
      </c>
      <c r="AI33" s="65">
        <f t="shared" si="26"/>
        <v>195.5995862</v>
      </c>
      <c r="AJ33" s="986">
        <f t="shared" si="10"/>
        <v>29.71444422</v>
      </c>
      <c r="AK33" s="65">
        <f t="shared" si="11"/>
        <v>0.9551990458</v>
      </c>
      <c r="AM33" s="65">
        <f t="shared" si="12"/>
        <v>1621.525677</v>
      </c>
    </row>
    <row r="34" ht="15.75" customHeight="1">
      <c r="A34" s="134" t="s">
        <v>5384</v>
      </c>
      <c r="B34" s="841"/>
      <c r="C34" s="841">
        <v>45364.0</v>
      </c>
      <c r="D34" s="67" t="s">
        <v>5085</v>
      </c>
      <c r="E34" s="915">
        <v>2.0169040231E10</v>
      </c>
      <c r="F34" s="67" t="s">
        <v>5385</v>
      </c>
      <c r="G34" s="67"/>
      <c r="H34" s="916"/>
      <c r="I34" s="1049">
        <v>1.59</v>
      </c>
      <c r="J34" s="69">
        <v>1.8</v>
      </c>
      <c r="K34" s="1049">
        <f t="shared" si="17"/>
        <v>1.56138</v>
      </c>
      <c r="L34" s="106">
        <v>0.17</v>
      </c>
      <c r="M34" s="134">
        <v>0.163</v>
      </c>
      <c r="N34" s="134">
        <v>0.191</v>
      </c>
      <c r="O34" s="134">
        <v>0.191</v>
      </c>
      <c r="P34" s="67">
        <v>86.0</v>
      </c>
      <c r="Q34" s="70">
        <v>89.07</v>
      </c>
      <c r="R34" s="70">
        <v>2154.385</v>
      </c>
      <c r="S34" s="134">
        <v>95.0</v>
      </c>
      <c r="T34" s="67"/>
      <c r="U34" s="67">
        <v>110.0</v>
      </c>
      <c r="V34" s="67">
        <v>1.1023</v>
      </c>
      <c r="W34" s="1221">
        <v>5.2</v>
      </c>
      <c r="X34" s="1221">
        <f>3+6.7</f>
        <v>9.7</v>
      </c>
      <c r="Y34" s="70">
        <v>26.93</v>
      </c>
      <c r="Z34" s="69">
        <f t="shared" ref="Z34:Z50" si="27">IF(D34="UNTUCA",IF(+((W34-2)*2.5+(X34-2)*4)&gt;0,+((W34-2)*2.5+(X34-2)*4),0),IF(+((W34-3)*1.5+(X34-3)*3.1)&gt;0,+((W34-3)*1.5+(X34-3)*3.1),0))</f>
        <v>38.8</v>
      </c>
      <c r="AA34" s="70">
        <f t="shared" si="20"/>
        <v>65.73</v>
      </c>
      <c r="AB34" s="71">
        <f t="shared" si="21"/>
        <v>192.9914337</v>
      </c>
      <c r="AC34" s="71">
        <f>+(S34*V34)-'data 1'!$F$4-T34*V34</f>
        <v>24.7185</v>
      </c>
      <c r="AD34" s="71">
        <f t="shared" si="22"/>
        <v>11.76115003</v>
      </c>
      <c r="AE34" s="71">
        <f>+(AA34*V34)-Z34-'data 1'!$I$21+((W34-2)*2.5+(X34-2)*4)-((W34-3)*1.5+(X34-3)*3.1)</f>
        <v>22.80309792</v>
      </c>
      <c r="AF34" s="71">
        <f t="shared" si="23"/>
        <v>-42.15152002</v>
      </c>
      <c r="AG34" s="71">
        <f t="shared" si="24"/>
        <v>17.13122793</v>
      </c>
      <c r="AH34" s="71">
        <f t="shared" si="25"/>
        <v>8.105840524</v>
      </c>
      <c r="AI34" s="65">
        <f t="shared" si="26"/>
        <v>56.01721898</v>
      </c>
      <c r="AJ34" s="986">
        <f t="shared" si="10"/>
        <v>8.793251603</v>
      </c>
      <c r="AK34" s="65">
        <f t="shared" si="11"/>
        <v>-0.687411079</v>
      </c>
      <c r="AM34" s="65">
        <f t="shared" si="12"/>
        <v>301.3329647</v>
      </c>
    </row>
    <row r="35" ht="15.75" customHeight="1">
      <c r="A35" s="134" t="s">
        <v>5386</v>
      </c>
      <c r="B35" s="841"/>
      <c r="C35" s="841">
        <v>45364.0</v>
      </c>
      <c r="D35" s="67" t="s">
        <v>5085</v>
      </c>
      <c r="E35" s="915">
        <v>2.0169040231E10</v>
      </c>
      <c r="F35" s="67" t="s">
        <v>5385</v>
      </c>
      <c r="G35" s="916"/>
      <c r="H35" s="916"/>
      <c r="I35" s="1049">
        <v>2.49</v>
      </c>
      <c r="J35" s="69">
        <v>0.65</v>
      </c>
      <c r="K35" s="1049">
        <f t="shared" si="17"/>
        <v>2.473815</v>
      </c>
      <c r="L35" s="106">
        <v>0.107</v>
      </c>
      <c r="M35" s="134">
        <v>0.103</v>
      </c>
      <c r="N35" s="134">
        <v>0.105</v>
      </c>
      <c r="O35" s="134">
        <v>0.105</v>
      </c>
      <c r="P35" s="67">
        <v>86.0</v>
      </c>
      <c r="Q35" s="70">
        <v>89.42</v>
      </c>
      <c r="R35" s="70">
        <v>2154.385</v>
      </c>
      <c r="S35" s="134">
        <v>95.0</v>
      </c>
      <c r="T35" s="67"/>
      <c r="U35" s="67">
        <v>110.0</v>
      </c>
      <c r="V35" s="67">
        <v>1.1023</v>
      </c>
      <c r="W35" s="1221">
        <v>5.2</v>
      </c>
      <c r="X35" s="1221">
        <f>3+6.6</f>
        <v>9.6</v>
      </c>
      <c r="Y35" s="70">
        <v>26.93</v>
      </c>
      <c r="Z35" s="69">
        <f t="shared" si="27"/>
        <v>38.4</v>
      </c>
      <c r="AA35" s="70">
        <f t="shared" si="20"/>
        <v>65.33</v>
      </c>
      <c r="AB35" s="71">
        <f t="shared" si="21"/>
        <v>26.76160137</v>
      </c>
      <c r="AC35" s="71">
        <f>+(S35*V35)-'data 1'!$F$4-T35*V35</f>
        <v>24.7185</v>
      </c>
      <c r="AD35" s="71">
        <f t="shared" si="22"/>
        <v>8.246551528</v>
      </c>
      <c r="AE35" s="71">
        <f>+(AA35*V35)-Z35-'data 1'!$I$21+((W35-2)*2.5+(X35-2)*4)-((W35-3)*1.5+(X35-3)*3.1)</f>
        <v>22.67217792</v>
      </c>
      <c r="AF35" s="71">
        <f t="shared" si="23"/>
        <v>4.030205157</v>
      </c>
      <c r="AG35" s="71">
        <f t="shared" si="24"/>
        <v>59.6674346</v>
      </c>
      <c r="AH35" s="71">
        <f t="shared" si="25"/>
        <v>8.115115979</v>
      </c>
      <c r="AI35" s="65">
        <f t="shared" si="26"/>
        <v>35.39644233</v>
      </c>
      <c r="AJ35" s="986">
        <f t="shared" si="10"/>
        <v>7.658858364</v>
      </c>
      <c r="AK35" s="65">
        <f t="shared" si="11"/>
        <v>0.4562576155</v>
      </c>
      <c r="AM35" s="65">
        <f t="shared" si="12"/>
        <v>66.20325089</v>
      </c>
    </row>
    <row r="36" ht="15.75" customHeight="1">
      <c r="A36" s="134" t="s">
        <v>5387</v>
      </c>
      <c r="B36" s="841"/>
      <c r="C36" s="841">
        <v>45364.0</v>
      </c>
      <c r="D36" s="67" t="s">
        <v>5085</v>
      </c>
      <c r="E36" s="915">
        <v>2.0169040231E10</v>
      </c>
      <c r="F36" s="67" t="s">
        <v>5385</v>
      </c>
      <c r="G36" s="916"/>
      <c r="H36" s="916"/>
      <c r="I36" s="1049">
        <v>3.83</v>
      </c>
      <c r="J36" s="69">
        <v>1.05</v>
      </c>
      <c r="K36" s="1049">
        <f t="shared" si="17"/>
        <v>3.789785</v>
      </c>
      <c r="L36" s="106">
        <v>0.244</v>
      </c>
      <c r="M36" s="134">
        <v>0.234</v>
      </c>
      <c r="N36" s="134">
        <v>0.245</v>
      </c>
      <c r="O36" s="134">
        <v>0.245</v>
      </c>
      <c r="P36" s="67">
        <v>86.0</v>
      </c>
      <c r="Q36" s="70">
        <v>89.16</v>
      </c>
      <c r="R36" s="70">
        <v>2154.385</v>
      </c>
      <c r="S36" s="134">
        <v>95.0</v>
      </c>
      <c r="T36" s="67"/>
      <c r="U36" s="67">
        <v>110.0</v>
      </c>
      <c r="V36" s="67">
        <v>1.1023</v>
      </c>
      <c r="W36" s="1221">
        <v>5.2</v>
      </c>
      <c r="X36" s="1221">
        <f>3+7.1</f>
        <v>10.1</v>
      </c>
      <c r="Y36" s="70">
        <v>26.93</v>
      </c>
      <c r="Z36" s="69">
        <f t="shared" si="27"/>
        <v>40.4</v>
      </c>
      <c r="AA36" s="70">
        <f t="shared" si="20"/>
        <v>67.33</v>
      </c>
      <c r="AB36" s="71">
        <f t="shared" si="21"/>
        <v>295.8814819</v>
      </c>
      <c r="AC36" s="71">
        <f>+(S36*V36)-'data 1'!$F$4-T36*V36</f>
        <v>24.7185</v>
      </c>
      <c r="AD36" s="71">
        <f t="shared" si="22"/>
        <v>17.37558367</v>
      </c>
      <c r="AE36" s="71">
        <f>+(AA36*V36)-Z36-'data 1'!$I$21+((W36-2)*2.5+(X36-2)*4)-((W36-3)*1.5+(X36-3)*3.1)</f>
        <v>23.32677792</v>
      </c>
      <c r="AF36" s="71">
        <f t="shared" si="23"/>
        <v>-2.009243412</v>
      </c>
      <c r="AG36" s="71">
        <f t="shared" si="24"/>
        <v>63.41161818</v>
      </c>
      <c r="AH36" s="71">
        <f t="shared" si="25"/>
        <v>28.26724792</v>
      </c>
      <c r="AI36" s="65">
        <f t="shared" si="26"/>
        <v>80.48242555</v>
      </c>
      <c r="AJ36" s="986">
        <f t="shared" si="10"/>
        <v>27.37714634</v>
      </c>
      <c r="AK36" s="65">
        <f t="shared" si="11"/>
        <v>0.8901015818</v>
      </c>
      <c r="AM36" s="65">
        <f t="shared" si="12"/>
        <v>1121.327202</v>
      </c>
    </row>
    <row r="37" ht="15.75" customHeight="1">
      <c r="A37" s="134" t="s">
        <v>5388</v>
      </c>
      <c r="B37" s="841"/>
      <c r="C37" s="841">
        <v>45364.0</v>
      </c>
      <c r="D37" s="67" t="s">
        <v>5085</v>
      </c>
      <c r="E37" s="915">
        <v>2.0169040231E10</v>
      </c>
      <c r="F37" s="67" t="s">
        <v>5385</v>
      </c>
      <c r="G37" s="916"/>
      <c r="H37" s="916"/>
      <c r="I37" s="1049">
        <v>3.98</v>
      </c>
      <c r="J37" s="69">
        <v>1.15</v>
      </c>
      <c r="K37" s="1049">
        <f t="shared" si="17"/>
        <v>3.93423</v>
      </c>
      <c r="L37" s="106">
        <v>0.186</v>
      </c>
      <c r="M37" s="134">
        <v>0.178</v>
      </c>
      <c r="N37" s="134">
        <v>0.181</v>
      </c>
      <c r="O37" s="134">
        <v>0.181</v>
      </c>
      <c r="P37" s="67">
        <v>86.0</v>
      </c>
      <c r="Q37" s="70">
        <v>89.07</v>
      </c>
      <c r="R37" s="70">
        <v>2154.385</v>
      </c>
      <c r="S37" s="134">
        <v>95.0</v>
      </c>
      <c r="T37" s="67"/>
      <c r="U37" s="67">
        <v>110.0</v>
      </c>
      <c r="V37" s="67">
        <v>1.1023</v>
      </c>
      <c r="W37" s="1221">
        <v>5.2</v>
      </c>
      <c r="X37" s="1221">
        <f>3+6.7</f>
        <v>9.7</v>
      </c>
      <c r="Y37" s="70">
        <v>26.93</v>
      </c>
      <c r="Z37" s="69">
        <f t="shared" si="27"/>
        <v>38.8</v>
      </c>
      <c r="AA37" s="70">
        <f t="shared" si="20"/>
        <v>65.73</v>
      </c>
      <c r="AB37" s="71">
        <f t="shared" si="21"/>
        <v>173.6111136</v>
      </c>
      <c r="AC37" s="71">
        <f>+(S37*V37)-'data 1'!$F$4-T37*V37</f>
        <v>24.7185</v>
      </c>
      <c r="AD37" s="71">
        <f t="shared" si="22"/>
        <v>12.8680818</v>
      </c>
      <c r="AE37" s="71">
        <f>+(AA37*V37)-Z37-'data 1'!$I$21+((W37-2)*2.5+(X37-2)*4)-((W37-3)*1.5+(X37-3)*3.1)</f>
        <v>22.80309792</v>
      </c>
      <c r="AF37" s="71">
        <f t="shared" si="23"/>
        <v>10.0360762</v>
      </c>
      <c r="AG37" s="71">
        <f t="shared" si="24"/>
        <v>70.42575591</v>
      </c>
      <c r="AH37" s="71">
        <f t="shared" si="25"/>
        <v>22.34669037</v>
      </c>
      <c r="AI37" s="65">
        <f t="shared" si="26"/>
        <v>61.28942782</v>
      </c>
      <c r="AJ37" s="986">
        <f t="shared" si="10"/>
        <v>20.9964485</v>
      </c>
      <c r="AK37" s="65">
        <f t="shared" si="11"/>
        <v>1.350241866</v>
      </c>
      <c r="AM37" s="65">
        <f t="shared" si="12"/>
        <v>683.0260516</v>
      </c>
    </row>
    <row r="38" ht="15.75" customHeight="1">
      <c r="A38" s="134" t="s">
        <v>5389</v>
      </c>
      <c r="B38" s="841"/>
      <c r="C38" s="841">
        <v>45364.0</v>
      </c>
      <c r="D38" s="67" t="s">
        <v>5085</v>
      </c>
      <c r="E38" s="915">
        <v>2.0169040231E10</v>
      </c>
      <c r="F38" s="67" t="s">
        <v>5385</v>
      </c>
      <c r="G38" s="916"/>
      <c r="H38" s="916"/>
      <c r="I38" s="1049">
        <v>5.34</v>
      </c>
      <c r="J38" s="67">
        <v>1.85</v>
      </c>
      <c r="K38" s="1049">
        <f t="shared" si="17"/>
        <v>5.24121</v>
      </c>
      <c r="L38" s="106">
        <v>0.135</v>
      </c>
      <c r="M38" s="134">
        <v>0.129</v>
      </c>
      <c r="N38" s="134">
        <v>0.148</v>
      </c>
      <c r="O38" s="134">
        <v>0.148</v>
      </c>
      <c r="P38" s="67">
        <v>86.0</v>
      </c>
      <c r="Q38" s="70">
        <v>89.42</v>
      </c>
      <c r="R38" s="70">
        <v>2154.385</v>
      </c>
      <c r="S38" s="134">
        <v>95.0</v>
      </c>
      <c r="T38" s="67"/>
      <c r="U38" s="67">
        <v>110.0</v>
      </c>
      <c r="V38" s="67">
        <v>1.1023</v>
      </c>
      <c r="W38" s="70">
        <v>5.2</v>
      </c>
      <c r="X38" s="70">
        <f>3+6.75</f>
        <v>9.75</v>
      </c>
      <c r="Y38" s="70">
        <v>26.93</v>
      </c>
      <c r="Z38" s="69">
        <f t="shared" si="27"/>
        <v>39</v>
      </c>
      <c r="AA38" s="70">
        <f t="shared" si="20"/>
        <v>65.93</v>
      </c>
      <c r="AB38" s="71">
        <f t="shared" si="21"/>
        <v>109.4355975</v>
      </c>
      <c r="AC38" s="71">
        <f>+(S38*V38)-'data 1'!$F$4-T38*V38</f>
        <v>24.7185</v>
      </c>
      <c r="AD38" s="71">
        <f t="shared" si="22"/>
        <v>10.40452763</v>
      </c>
      <c r="AE38" s="71">
        <f>+(AA38*V38)-Z38-'data 1'!$I$21+((W38-2)*2.5+(X38-2)*4)-((W38-3)*1.5+(X38-3)*3.1)</f>
        <v>22.86855792</v>
      </c>
      <c r="AF38" s="71">
        <f t="shared" si="23"/>
        <v>-26.19633352</v>
      </c>
      <c r="AG38" s="71">
        <f t="shared" si="24"/>
        <v>31.79525203</v>
      </c>
      <c r="AH38" s="71">
        <f t="shared" si="25"/>
        <v>21.69247293</v>
      </c>
      <c r="AI38" s="65">
        <f t="shared" si="26"/>
        <v>44.65906275</v>
      </c>
      <c r="AJ38" s="986">
        <f t="shared" si="10"/>
        <v>22.87182381</v>
      </c>
      <c r="AK38" s="65">
        <f t="shared" si="11"/>
        <v>-1.179350877</v>
      </c>
      <c r="AM38" s="65">
        <f t="shared" si="12"/>
        <v>573.5749481</v>
      </c>
    </row>
    <row r="39" ht="15.75" customHeight="1">
      <c r="A39" s="134" t="s">
        <v>5390</v>
      </c>
      <c r="B39" s="841"/>
      <c r="C39" s="841">
        <v>45364.0</v>
      </c>
      <c r="D39" s="67" t="s">
        <v>5085</v>
      </c>
      <c r="E39" s="915">
        <v>2.0169040231E10</v>
      </c>
      <c r="F39" s="67" t="s">
        <v>5385</v>
      </c>
      <c r="G39" s="916"/>
      <c r="H39" s="916"/>
      <c r="I39" s="1049">
        <v>5.47</v>
      </c>
      <c r="J39" s="67">
        <v>1.95</v>
      </c>
      <c r="K39" s="1049">
        <f t="shared" si="17"/>
        <v>5.363335</v>
      </c>
      <c r="L39" s="106">
        <v>0.178</v>
      </c>
      <c r="M39" s="134">
        <v>0.171</v>
      </c>
      <c r="N39" s="191">
        <v>0.183</v>
      </c>
      <c r="O39" s="191">
        <v>0.183</v>
      </c>
      <c r="P39" s="67">
        <v>86.0</v>
      </c>
      <c r="Q39" s="70">
        <v>89.07</v>
      </c>
      <c r="R39" s="70">
        <v>2154.385</v>
      </c>
      <c r="S39" s="134">
        <v>95.0</v>
      </c>
      <c r="T39" s="67"/>
      <c r="U39" s="67">
        <v>110.0</v>
      </c>
      <c r="V39" s="67">
        <v>1.1023</v>
      </c>
      <c r="W39" s="70">
        <v>5.2</v>
      </c>
      <c r="X39" s="70">
        <f>3+6.6</f>
        <v>9.6</v>
      </c>
      <c r="Y39" s="70">
        <v>26.93</v>
      </c>
      <c r="Z39" s="69">
        <f t="shared" si="27"/>
        <v>38.4</v>
      </c>
      <c r="AA39" s="70">
        <f t="shared" si="20"/>
        <v>65.33</v>
      </c>
      <c r="AB39" s="71">
        <f t="shared" si="21"/>
        <v>177.9280976</v>
      </c>
      <c r="AC39" s="71">
        <f>+(S39*V39)-'data 1'!$F$4-T39*V39</f>
        <v>24.7185</v>
      </c>
      <c r="AD39" s="71">
        <f t="shared" si="22"/>
        <v>12.31461591</v>
      </c>
      <c r="AE39" s="71">
        <f>+(AA39*V39)-Z39-'data 1'!$I$21+((W39-2)*2.5+(X39-2)*4)-((W39-3)*1.5+(X39-3)*3.1)</f>
        <v>22.67217792</v>
      </c>
      <c r="AF39" s="71">
        <f t="shared" si="23"/>
        <v>-10.0360762</v>
      </c>
      <c r="AG39" s="71">
        <f t="shared" si="24"/>
        <v>49.66921764</v>
      </c>
      <c r="AH39" s="71">
        <f t="shared" si="25"/>
        <v>29.15381867</v>
      </c>
      <c r="AI39" s="65">
        <f t="shared" si="26"/>
        <v>58.6533234</v>
      </c>
      <c r="AJ39" s="986">
        <f t="shared" si="10"/>
        <v>28.93966734</v>
      </c>
      <c r="AK39" s="65">
        <f t="shared" si="11"/>
        <v>0.2141513317</v>
      </c>
      <c r="AM39" s="65">
        <f t="shared" si="12"/>
        <v>954.2879936</v>
      </c>
    </row>
    <row r="40" ht="15.75" customHeight="1">
      <c r="A40" s="134" t="s">
        <v>5391</v>
      </c>
      <c r="B40" s="841">
        <v>45371.0</v>
      </c>
      <c r="C40" s="841">
        <v>45366.0</v>
      </c>
      <c r="D40" s="67" t="s">
        <v>5085</v>
      </c>
      <c r="E40" s="915">
        <v>2.0169040231E10</v>
      </c>
      <c r="F40" s="67" t="s">
        <v>5392</v>
      </c>
      <c r="G40" s="916">
        <v>19.0</v>
      </c>
      <c r="H40" s="916"/>
      <c r="I40" s="59">
        <v>1.57</v>
      </c>
      <c r="J40" s="69">
        <v>0.6</v>
      </c>
      <c r="K40" s="1049">
        <f t="shared" si="17"/>
        <v>1.56058</v>
      </c>
      <c r="L40" s="405">
        <v>0.57</v>
      </c>
      <c r="M40" s="191">
        <v>0.547</v>
      </c>
      <c r="N40" s="1222">
        <v>0.547</v>
      </c>
      <c r="O40" s="111">
        <f t="shared" ref="O40:O44" si="28">+(M40+N40)/2</f>
        <v>0.547</v>
      </c>
      <c r="P40" s="67">
        <v>90.0</v>
      </c>
      <c r="Q40" s="70">
        <v>88.48360620086018</v>
      </c>
      <c r="R40" s="70">
        <v>2156.01</v>
      </c>
      <c r="S40" s="134">
        <v>130.0</v>
      </c>
      <c r="T40" s="67"/>
      <c r="U40" s="67">
        <v>110.0</v>
      </c>
      <c r="V40" s="67">
        <v>1.1023</v>
      </c>
      <c r="W40" s="70">
        <f>7.8+2</f>
        <v>9.8</v>
      </c>
      <c r="X40" s="70">
        <f>1+8.06</f>
        <v>9.06</v>
      </c>
      <c r="Y40" s="1050">
        <v>26.77</v>
      </c>
      <c r="Z40" s="69">
        <f t="shared" si="27"/>
        <v>47.74</v>
      </c>
      <c r="AA40" s="70">
        <f t="shared" si="20"/>
        <v>74.51</v>
      </c>
      <c r="AB40" s="71">
        <f t="shared" si="21"/>
        <v>884.861099</v>
      </c>
      <c r="AC40" s="71">
        <f>+(S40*V40)-'data 1'!$F$4-T40*V40</f>
        <v>63.299</v>
      </c>
      <c r="AD40" s="71">
        <f t="shared" si="22"/>
        <v>-19.49370614</v>
      </c>
      <c r="AE40" s="71">
        <f>+(AA40*V40)-Z40-'data 1'!$I$21+((W40-2)*2.5+(X40-2)*4)-((W40-3)*1.5+(X40-3)*3.1)</f>
        <v>27.56529192</v>
      </c>
      <c r="AF40" s="71">
        <f t="shared" si="23"/>
        <v>45.89847009</v>
      </c>
      <c r="AG40" s="71">
        <f t="shared" si="24"/>
        <v>117.2690559</v>
      </c>
      <c r="AH40" s="71">
        <f t="shared" si="25"/>
        <v>26.98564333</v>
      </c>
      <c r="AI40" s="65">
        <f t="shared" si="26"/>
        <v>185.6824856</v>
      </c>
      <c r="AJ40" s="986">
        <f t="shared" si="10"/>
        <v>26.34055624</v>
      </c>
      <c r="AK40" s="65">
        <f t="shared" si="11"/>
        <v>0.6450870895</v>
      </c>
      <c r="AM40" s="65">
        <f t="shared" si="12"/>
        <v>1380.896534</v>
      </c>
    </row>
    <row r="41" ht="15.75" customHeight="1">
      <c r="A41" s="134" t="s">
        <v>5393</v>
      </c>
      <c r="B41" s="1048">
        <v>45371.0</v>
      </c>
      <c r="C41" s="841">
        <v>45366.0</v>
      </c>
      <c r="D41" s="67" t="s">
        <v>5085</v>
      </c>
      <c r="E41" s="915">
        <v>2.0169040231E10</v>
      </c>
      <c r="F41" s="67" t="s">
        <v>5285</v>
      </c>
      <c r="G41" s="916"/>
      <c r="H41" s="916"/>
      <c r="I41" s="59">
        <v>6.01</v>
      </c>
      <c r="J41" s="69">
        <v>0.9</v>
      </c>
      <c r="K41" s="1049">
        <f t="shared" si="17"/>
        <v>5.95591</v>
      </c>
      <c r="L41" s="405">
        <v>1.357</v>
      </c>
      <c r="M41" s="191">
        <v>1.303</v>
      </c>
      <c r="N41" s="191">
        <v>1.303</v>
      </c>
      <c r="O41" s="111">
        <f t="shared" si="28"/>
        <v>1.303</v>
      </c>
      <c r="P41" s="67">
        <v>87.0</v>
      </c>
      <c r="Q41" s="70">
        <v>87.66349912288611</v>
      </c>
      <c r="R41" s="70">
        <v>2156.01</v>
      </c>
      <c r="S41" s="134">
        <v>210.0</v>
      </c>
      <c r="T41" s="67"/>
      <c r="U41" s="67">
        <v>110.0</v>
      </c>
      <c r="V41" s="67">
        <v>1.1023</v>
      </c>
      <c r="W41" s="70">
        <v>7.8</v>
      </c>
      <c r="X41" s="70">
        <v>8.06</v>
      </c>
      <c r="Y41" s="1050">
        <v>25.93</v>
      </c>
      <c r="Z41" s="69">
        <f t="shared" si="27"/>
        <v>38.74</v>
      </c>
      <c r="AA41" s="70">
        <f t="shared" si="20"/>
        <v>64.67</v>
      </c>
      <c r="AB41" s="71">
        <f t="shared" si="21"/>
        <v>2253.880963</v>
      </c>
      <c r="AC41" s="71">
        <f>+(S41*V41)-'data 1'!$F$4-T41*V41</f>
        <v>151.483</v>
      </c>
      <c r="AD41" s="71">
        <f t="shared" si="22"/>
        <v>20.30615796</v>
      </c>
      <c r="AE41" s="71">
        <f>+(AA41*V41)-Z41-'data 1'!$I$21+((W41-2)*2.5+(X41-2)*4)-((W41-3)*1.5+(X41-3)*3.1)</f>
        <v>22.81865992</v>
      </c>
      <c r="AF41" s="71">
        <f t="shared" si="23"/>
        <v>106.7628407</v>
      </c>
      <c r="AG41" s="71">
        <f t="shared" si="24"/>
        <v>301.3706586</v>
      </c>
      <c r="AH41" s="71">
        <f t="shared" si="25"/>
        <v>242.9158456</v>
      </c>
      <c r="AI41" s="65">
        <f t="shared" si="26"/>
        <v>437.9574521</v>
      </c>
      <c r="AJ41" s="986">
        <f t="shared" si="10"/>
        <v>231.4839391</v>
      </c>
      <c r="AK41" s="65">
        <f t="shared" si="11"/>
        <v>11.43190647</v>
      </c>
      <c r="AM41" s="65">
        <f t="shared" si="12"/>
        <v>13423.91216</v>
      </c>
    </row>
    <row r="42" ht="15.75" customHeight="1">
      <c r="A42" s="134" t="s">
        <v>5394</v>
      </c>
      <c r="B42" s="841">
        <v>45371.0</v>
      </c>
      <c r="C42" s="841">
        <v>45366.0</v>
      </c>
      <c r="D42" s="67" t="s">
        <v>5085</v>
      </c>
      <c r="E42" s="915">
        <v>2.0169040231E10</v>
      </c>
      <c r="F42" s="67" t="s">
        <v>5395</v>
      </c>
      <c r="G42" s="916"/>
      <c r="H42" s="916"/>
      <c r="I42" s="59">
        <v>1.72</v>
      </c>
      <c r="J42" s="69">
        <v>0.9</v>
      </c>
      <c r="K42" s="1049">
        <f t="shared" si="17"/>
        <v>1.70452</v>
      </c>
      <c r="L42" s="405">
        <v>0.581</v>
      </c>
      <c r="M42" s="191">
        <v>0.558</v>
      </c>
      <c r="N42" s="1222">
        <v>0.558</v>
      </c>
      <c r="O42" s="111">
        <f t="shared" si="28"/>
        <v>0.558</v>
      </c>
      <c r="P42" s="67">
        <v>90.0</v>
      </c>
      <c r="Q42" s="70">
        <v>88.64374559008132</v>
      </c>
      <c r="R42" s="70">
        <v>2156.01</v>
      </c>
      <c r="S42" s="134">
        <v>130.0</v>
      </c>
      <c r="T42" s="67"/>
      <c r="U42" s="67">
        <v>110.0</v>
      </c>
      <c r="V42" s="67">
        <v>1.1023</v>
      </c>
      <c r="W42" s="70">
        <v>7.9</v>
      </c>
      <c r="X42" s="70">
        <v>8.06</v>
      </c>
      <c r="Y42" s="1050">
        <v>27.8</v>
      </c>
      <c r="Z42" s="69">
        <f t="shared" si="27"/>
        <v>38.99</v>
      </c>
      <c r="AA42" s="70">
        <f t="shared" si="20"/>
        <v>66.79</v>
      </c>
      <c r="AB42" s="71">
        <f t="shared" si="21"/>
        <v>915.6984915</v>
      </c>
      <c r="AC42" s="71">
        <f>+(S42*V42)-'data 1'!$F$4-T42*V42</f>
        <v>63.299</v>
      </c>
      <c r="AD42" s="71">
        <f t="shared" si="22"/>
        <v>-17.77153148</v>
      </c>
      <c r="AE42" s="71">
        <f>+(AA42*V42)-Z42-'data 1'!$I$21+((W42-2)*2.5+(X42-2)*4)-((W42-3)*1.5+(X42-3)*3.1)</f>
        <v>25.00553592</v>
      </c>
      <c r="AF42" s="71">
        <f t="shared" si="23"/>
        <v>45.98153806</v>
      </c>
      <c r="AG42" s="71">
        <f t="shared" si="24"/>
        <v>116.5145425</v>
      </c>
      <c r="AH42" s="71">
        <f t="shared" si="25"/>
        <v>30.09784503</v>
      </c>
      <c r="AI42" s="65">
        <f t="shared" si="26"/>
        <v>189.6083689</v>
      </c>
      <c r="AJ42" s="986">
        <f t="shared" si="10"/>
        <v>29.3486331</v>
      </c>
      <c r="AK42" s="65">
        <f t="shared" si="11"/>
        <v>0.7492119222</v>
      </c>
      <c r="AM42" s="65">
        <f t="shared" si="12"/>
        <v>1560.826393</v>
      </c>
    </row>
    <row r="43" ht="15.75" customHeight="1">
      <c r="A43" s="1223" t="s">
        <v>5396</v>
      </c>
      <c r="B43" s="1092"/>
      <c r="C43" s="1092">
        <v>45368.0</v>
      </c>
      <c r="D43" s="519" t="s">
        <v>5085</v>
      </c>
      <c r="E43" s="1082">
        <v>2.0169040231E10</v>
      </c>
      <c r="F43" s="519" t="s">
        <v>5397</v>
      </c>
      <c r="G43" s="1093">
        <v>30.0</v>
      </c>
      <c r="H43" s="1093"/>
      <c r="I43" s="1094">
        <v>2.66</v>
      </c>
      <c r="J43" s="1095">
        <v>1.2</v>
      </c>
      <c r="K43" s="1096">
        <f t="shared" si="17"/>
        <v>2.62808</v>
      </c>
      <c r="L43" s="1097">
        <v>0.34</v>
      </c>
      <c r="M43" s="1097">
        <v>0.3264</v>
      </c>
      <c r="N43" s="1097">
        <v>0.3264</v>
      </c>
      <c r="O43" s="1087">
        <f t="shared" si="28"/>
        <v>0.3264</v>
      </c>
      <c r="P43" s="519">
        <v>90.0</v>
      </c>
      <c r="Q43" s="1098">
        <v>91.26</v>
      </c>
      <c r="R43" s="1098">
        <v>2157.575</v>
      </c>
      <c r="S43" s="1099">
        <v>110.0</v>
      </c>
      <c r="T43" s="519"/>
      <c r="U43" s="519">
        <v>110.0</v>
      </c>
      <c r="V43" s="519">
        <v>1.1023</v>
      </c>
      <c r="W43" s="1095">
        <v>7.0</v>
      </c>
      <c r="X43" s="1095">
        <v>8.7</v>
      </c>
      <c r="Y43" s="519">
        <v>26.38</v>
      </c>
      <c r="Z43" s="1095">
        <f t="shared" si="27"/>
        <v>39.3</v>
      </c>
      <c r="AA43" s="1098">
        <f t="shared" si="20"/>
        <v>65.68</v>
      </c>
      <c r="AB43" s="1100">
        <f t="shared" si="21"/>
        <v>469.3765712</v>
      </c>
      <c r="AC43" s="1100">
        <f>+(S43*V43)-'data 1'!$F$4-T43*V43</f>
        <v>41.253</v>
      </c>
      <c r="AD43" s="1100">
        <f t="shared" si="22"/>
        <v>9.669167596</v>
      </c>
      <c r="AE43" s="1100">
        <f>+(AA43*V43)-Z43-'data 1'!$I$21+((W43-2)*2.5+(X43-2)*4)-((W43-3)*1.5+(X43-3)*3.1)</f>
        <v>23.14798292</v>
      </c>
      <c r="AF43" s="1100">
        <f t="shared" si="23"/>
        <v>28.01295984</v>
      </c>
      <c r="AG43" s="1100">
        <f t="shared" si="24"/>
        <v>102.0831104</v>
      </c>
      <c r="AH43" s="1101">
        <f t="shared" si="25"/>
        <v>27.95805996</v>
      </c>
      <c r="AI43" s="65">
        <f t="shared" si="26"/>
        <v>113.6980107</v>
      </c>
      <c r="AJ43" s="986">
        <f t="shared" si="10"/>
        <v>26.46916919</v>
      </c>
      <c r="AK43" s="65">
        <f t="shared" si="11"/>
        <v>1.488890767</v>
      </c>
      <c r="AM43" s="65">
        <f t="shared" si="12"/>
        <v>1233.559179</v>
      </c>
    </row>
    <row r="44" ht="15.75" customHeight="1">
      <c r="A44" s="1224" t="s">
        <v>5398</v>
      </c>
      <c r="B44" s="1225"/>
      <c r="C44" s="1225">
        <v>45368.0</v>
      </c>
      <c r="D44" s="1226" t="s">
        <v>5085</v>
      </c>
      <c r="E44" s="1227">
        <v>2.0169040231E10</v>
      </c>
      <c r="F44" s="1226" t="s">
        <v>5399</v>
      </c>
      <c r="G44" s="1228">
        <v>30.0</v>
      </c>
      <c r="H44" s="1228"/>
      <c r="I44" s="1229">
        <v>2.98</v>
      </c>
      <c r="J44" s="1230">
        <v>6.2</v>
      </c>
      <c r="K44" s="1231">
        <f t="shared" si="17"/>
        <v>2.79524</v>
      </c>
      <c r="L44" s="1232">
        <v>0.233</v>
      </c>
      <c r="M44" s="1232">
        <v>0.22368000000000002</v>
      </c>
      <c r="N44" s="1232">
        <v>0.22368000000000002</v>
      </c>
      <c r="O44" s="1233">
        <f t="shared" si="28"/>
        <v>0.22368</v>
      </c>
      <c r="P44" s="1226">
        <v>90.0</v>
      </c>
      <c r="Q44" s="1234">
        <v>91.19</v>
      </c>
      <c r="R44" s="1234">
        <v>2157.575</v>
      </c>
      <c r="S44" s="1235">
        <v>95.0</v>
      </c>
      <c r="T44" s="1226"/>
      <c r="U44" s="1226">
        <v>110.0</v>
      </c>
      <c r="V44" s="1226">
        <v>1.1023</v>
      </c>
      <c r="W44" s="1230">
        <v>6.9</v>
      </c>
      <c r="X44" s="1230">
        <v>8.1</v>
      </c>
      <c r="Y44" s="1226">
        <v>26.38</v>
      </c>
      <c r="Z44" s="1230">
        <f t="shared" si="27"/>
        <v>36.65</v>
      </c>
      <c r="AA44" s="1234">
        <f t="shared" si="20"/>
        <v>63.03</v>
      </c>
      <c r="AB44" s="1236">
        <f t="shared" si="21"/>
        <v>280.1731545</v>
      </c>
      <c r="AC44" s="1236">
        <f>+(S44*V44)-'data 1'!$F$4-T44*V44</f>
        <v>24.7185</v>
      </c>
      <c r="AD44" s="1236">
        <f t="shared" si="22"/>
        <v>6.258100139</v>
      </c>
      <c r="AE44" s="1236">
        <f>+(AA44*V44)-Z44-'data 1'!$I$21+((W44-2)*2.5+(X44-2)*4)-((W44-3)*1.5+(X44-3)*3.1)</f>
        <v>22.23688792</v>
      </c>
      <c r="AF44" s="1236">
        <f t="shared" si="23"/>
        <v>19.18239165</v>
      </c>
      <c r="AG44" s="1236">
        <f t="shared" si="24"/>
        <v>72.39587971</v>
      </c>
      <c r="AH44" s="1237">
        <f t="shared" si="25"/>
        <v>20.3625099</v>
      </c>
      <c r="AI44" s="65">
        <f t="shared" si="26"/>
        <v>77.85681287</v>
      </c>
      <c r="AJ44" s="986">
        <f t="shared" si="10"/>
        <v>19.2929143</v>
      </c>
      <c r="AK44" s="65">
        <f t="shared" si="11"/>
        <v>1.069595596</v>
      </c>
      <c r="AM44" s="65">
        <f t="shared" si="12"/>
        <v>783.1512084</v>
      </c>
    </row>
    <row r="45" ht="15.75" customHeight="1">
      <c r="A45" s="1238" t="s">
        <v>5400</v>
      </c>
      <c r="B45" s="1239"/>
      <c r="C45" s="1240">
        <v>45370.0</v>
      </c>
      <c r="D45" s="1239" t="s">
        <v>5085</v>
      </c>
      <c r="E45" s="1241">
        <v>2.0169040231E10</v>
      </c>
      <c r="F45" s="1239" t="s">
        <v>5300</v>
      </c>
      <c r="G45" s="1242">
        <v>78.0</v>
      </c>
      <c r="H45" s="1242"/>
      <c r="I45" s="1243">
        <v>6.72</v>
      </c>
      <c r="J45" s="1244">
        <v>1.0</v>
      </c>
      <c r="K45" s="1243">
        <f t="shared" si="17"/>
        <v>6.6528</v>
      </c>
      <c r="L45" s="1245">
        <v>0.402</v>
      </c>
      <c r="M45" s="1246">
        <v>0.386</v>
      </c>
      <c r="N45" s="1243">
        <v>0.406</v>
      </c>
      <c r="O45" s="1247">
        <v>0.4</v>
      </c>
      <c r="P45" s="1239">
        <v>90.0</v>
      </c>
      <c r="Q45" s="1239">
        <v>87.51</v>
      </c>
      <c r="R45" s="1248">
        <v>2152.545</v>
      </c>
      <c r="S45" s="1246">
        <v>110.0</v>
      </c>
      <c r="T45" s="1239"/>
      <c r="U45" s="1239">
        <v>110.0</v>
      </c>
      <c r="V45" s="1239">
        <v>1.1023</v>
      </c>
      <c r="W45" s="1244">
        <v>6.1</v>
      </c>
      <c r="X45" s="1244">
        <v>8.38</v>
      </c>
      <c r="Y45" s="1239">
        <v>26.71</v>
      </c>
      <c r="Z45" s="1244">
        <f t="shared" si="27"/>
        <v>35.77</v>
      </c>
      <c r="AA45" s="1248">
        <f t="shared" si="20"/>
        <v>62.48</v>
      </c>
      <c r="AB45" s="1249">
        <f t="shared" si="21"/>
        <v>620.4143433</v>
      </c>
      <c r="AC45" s="1249">
        <f>+(S45*V45)-'data 1'!$F$4-T45*V45</f>
        <v>41.253</v>
      </c>
      <c r="AD45" s="1249">
        <f t="shared" si="22"/>
        <v>-22.53703821</v>
      </c>
      <c r="AE45" s="1249">
        <f>+(AA45*V45)-Z45-'data 1'!$I$21+((W45-2)*2.5+(X45-2)*4)-((W45-3)*1.5+(X45-3)*3.1)</f>
        <v>21.96262292</v>
      </c>
      <c r="AF45" s="1249">
        <f t="shared" si="23"/>
        <v>3.940570668</v>
      </c>
      <c r="AG45" s="1249">
        <f t="shared" si="24"/>
        <v>44.61915538</v>
      </c>
      <c r="AH45" s="1250">
        <f t="shared" si="25"/>
        <v>80.24117394</v>
      </c>
      <c r="AI45" s="65">
        <f t="shared" si="26"/>
        <v>130.8577389</v>
      </c>
      <c r="AJ45" s="986">
        <f t="shared" si="10"/>
        <v>82.11377866</v>
      </c>
      <c r="AK45" s="65">
        <f t="shared" si="11"/>
        <v>-1.872604722</v>
      </c>
      <c r="AM45" s="65">
        <f t="shared" si="12"/>
        <v>4127.492543</v>
      </c>
    </row>
    <row r="46" ht="15.75" customHeight="1">
      <c r="A46" s="1223" t="s">
        <v>5401</v>
      </c>
      <c r="B46" s="1046"/>
      <c r="C46" s="1043">
        <v>45370.0</v>
      </c>
      <c r="D46" s="1046" t="s">
        <v>5085</v>
      </c>
      <c r="E46" s="1102">
        <v>2.0169040231E10</v>
      </c>
      <c r="F46" s="1046" t="s">
        <v>5300</v>
      </c>
      <c r="G46" s="1103">
        <v>78.0</v>
      </c>
      <c r="H46" s="1103"/>
      <c r="I46" s="1104">
        <v>7.76</v>
      </c>
      <c r="J46" s="1105">
        <v>1.2</v>
      </c>
      <c r="K46" s="1104">
        <f t="shared" si="17"/>
        <v>7.66688</v>
      </c>
      <c r="L46" s="1106">
        <v>0.347</v>
      </c>
      <c r="M46" s="1045">
        <v>0.333</v>
      </c>
      <c r="N46" s="1104">
        <v>0.358</v>
      </c>
      <c r="O46" s="1107">
        <v>0.35</v>
      </c>
      <c r="P46" s="1046">
        <v>90.0</v>
      </c>
      <c r="Q46" s="1046">
        <v>87.82</v>
      </c>
      <c r="R46" s="1108">
        <v>2152.545</v>
      </c>
      <c r="S46" s="1045">
        <v>110.0</v>
      </c>
      <c r="T46" s="1046"/>
      <c r="U46" s="1046">
        <v>110.0</v>
      </c>
      <c r="V46" s="1046">
        <v>1.1023</v>
      </c>
      <c r="W46" s="1105">
        <v>6.1</v>
      </c>
      <c r="X46" s="1105">
        <v>7.63</v>
      </c>
      <c r="Y46" s="1046">
        <v>26.71</v>
      </c>
      <c r="Z46" s="1105">
        <f t="shared" si="27"/>
        <v>32.77</v>
      </c>
      <c r="AA46" s="1108">
        <f t="shared" si="20"/>
        <v>59.48</v>
      </c>
      <c r="AB46" s="1109">
        <f t="shared" si="21"/>
        <v>522.4038624</v>
      </c>
      <c r="AC46" s="1109">
        <f>+(S46*V46)-'data 1'!$F$4-T46*V46</f>
        <v>41.253</v>
      </c>
      <c r="AD46" s="1109">
        <f t="shared" si="22"/>
        <v>-17.03167688</v>
      </c>
      <c r="AE46" s="1109">
        <f>+(AA46*V46)-Z46-'data 1'!$I$21+((W46-2)*2.5+(X46-2)*4)-((W46-3)*1.5+(X46-3)*3.1)</f>
        <v>20.98072292</v>
      </c>
      <c r="AF46" s="1109">
        <f t="shared" si="23"/>
        <v>-5.931794928</v>
      </c>
      <c r="AG46" s="1109">
        <f t="shared" si="24"/>
        <v>39.27025111</v>
      </c>
      <c r="AH46" s="1110">
        <f t="shared" si="25"/>
        <v>80.10334329</v>
      </c>
      <c r="AI46" s="65">
        <f t="shared" si="26"/>
        <v>113.3544522</v>
      </c>
      <c r="AJ46" s="986">
        <f t="shared" si="10"/>
        <v>82.80151612</v>
      </c>
      <c r="AK46" s="65">
        <f t="shared" si="11"/>
        <v>-2.698172833</v>
      </c>
      <c r="AM46" s="65">
        <f t="shared" si="12"/>
        <v>4005.207724</v>
      </c>
    </row>
    <row r="47" ht="15.75" customHeight="1">
      <c r="A47" s="1223" t="s">
        <v>5402</v>
      </c>
      <c r="B47" s="1046"/>
      <c r="C47" s="1043">
        <v>45370.0</v>
      </c>
      <c r="D47" s="1046" t="s">
        <v>5085</v>
      </c>
      <c r="E47" s="1102">
        <v>2.0169040231E10</v>
      </c>
      <c r="F47" s="1046" t="s">
        <v>5300</v>
      </c>
      <c r="G47" s="1103">
        <v>70.0</v>
      </c>
      <c r="H47" s="1103"/>
      <c r="I47" s="1104">
        <v>7.16</v>
      </c>
      <c r="J47" s="1105">
        <v>3.3</v>
      </c>
      <c r="K47" s="1104">
        <f t="shared" si="17"/>
        <v>6.92372</v>
      </c>
      <c r="L47" s="1106">
        <v>0.21</v>
      </c>
      <c r="M47" s="1045">
        <v>0.202</v>
      </c>
      <c r="N47" s="1104">
        <v>0.208</v>
      </c>
      <c r="O47" s="1107">
        <v>0.21</v>
      </c>
      <c r="P47" s="1046">
        <v>90.0</v>
      </c>
      <c r="Q47" s="1046">
        <v>88.03</v>
      </c>
      <c r="R47" s="1108">
        <v>2152.545</v>
      </c>
      <c r="S47" s="1045">
        <v>95.0</v>
      </c>
      <c r="T47" s="1046"/>
      <c r="U47" s="1046">
        <v>110.0</v>
      </c>
      <c r="V47" s="1046">
        <v>1.1023</v>
      </c>
      <c r="W47" s="1105">
        <v>5.9</v>
      </c>
      <c r="X47" s="1105">
        <v>7.25</v>
      </c>
      <c r="Y47" s="1046">
        <v>26.71</v>
      </c>
      <c r="Z47" s="1105">
        <f t="shared" si="27"/>
        <v>30.75</v>
      </c>
      <c r="AA47" s="1108">
        <f t="shared" si="20"/>
        <v>57.46</v>
      </c>
      <c r="AB47" s="1109">
        <f t="shared" si="21"/>
        <v>257.4763418</v>
      </c>
      <c r="AC47" s="1109">
        <f>+(S47*V47)-'data 1'!$F$4-T47*V47</f>
        <v>24.7185</v>
      </c>
      <c r="AD47" s="1109">
        <f t="shared" si="22"/>
        <v>-9.314444551</v>
      </c>
      <c r="AE47" s="1109">
        <f>+(AA47*V47)-Z47-'data 1'!$I$21+((W47-2)*2.5+(X47-2)*4)-((W47-3)*1.5+(X47-3)*3.1)</f>
        <v>20.23207692</v>
      </c>
      <c r="AF47" s="1109">
        <f t="shared" si="23"/>
        <v>0</v>
      </c>
      <c r="AG47" s="1109">
        <f t="shared" si="24"/>
        <v>35.63613237</v>
      </c>
      <c r="AH47" s="1110">
        <f t="shared" si="25"/>
        <v>43.88322759</v>
      </c>
      <c r="AI47" s="65">
        <f t="shared" si="26"/>
        <v>68.7647188</v>
      </c>
      <c r="AJ47" s="986">
        <f t="shared" si="10"/>
        <v>44.86527869</v>
      </c>
      <c r="AK47" s="65">
        <f t="shared" si="11"/>
        <v>-0.9820511003</v>
      </c>
      <c r="AM47" s="65">
        <f t="shared" si="12"/>
        <v>1782.694097</v>
      </c>
    </row>
    <row r="48" ht="15.75" customHeight="1">
      <c r="A48" s="1224" t="s">
        <v>5403</v>
      </c>
      <c r="B48" s="1251"/>
      <c r="C48" s="1252">
        <v>45370.0</v>
      </c>
      <c r="D48" s="1251" t="s">
        <v>5085</v>
      </c>
      <c r="E48" s="1253">
        <v>2.0169040231E10</v>
      </c>
      <c r="F48" s="1251" t="s">
        <v>5300</v>
      </c>
      <c r="G48" s="1254">
        <v>62.0</v>
      </c>
      <c r="H48" s="1254"/>
      <c r="I48" s="1255">
        <v>6.44</v>
      </c>
      <c r="J48" s="1256">
        <v>1.85</v>
      </c>
      <c r="K48" s="1255">
        <f t="shared" si="17"/>
        <v>6.32086</v>
      </c>
      <c r="L48" s="1257">
        <v>0.167</v>
      </c>
      <c r="M48" s="1258">
        <v>0.16</v>
      </c>
      <c r="N48" s="1255">
        <v>0.165</v>
      </c>
      <c r="O48" s="1259">
        <v>0.165</v>
      </c>
      <c r="P48" s="1251">
        <v>90.0</v>
      </c>
      <c r="Q48" s="1251">
        <v>88.45</v>
      </c>
      <c r="R48" s="1260">
        <v>2152.545</v>
      </c>
      <c r="S48" s="1261">
        <v>95.0</v>
      </c>
      <c r="T48" s="1251"/>
      <c r="U48" s="1251">
        <v>110.0</v>
      </c>
      <c r="V48" s="1251">
        <v>1.1023</v>
      </c>
      <c r="W48" s="1256">
        <v>5.9</v>
      </c>
      <c r="X48" s="1256">
        <v>7.3</v>
      </c>
      <c r="Y48" s="1251">
        <v>26.71</v>
      </c>
      <c r="Z48" s="1256">
        <f t="shared" si="27"/>
        <v>30.95</v>
      </c>
      <c r="AA48" s="1260">
        <f t="shared" si="20"/>
        <v>57.66</v>
      </c>
      <c r="AB48" s="1262">
        <f t="shared" si="21"/>
        <v>166.070239</v>
      </c>
      <c r="AC48" s="1262">
        <f>+(S48*V48)-'data 1'!$F$4-T48*V48</f>
        <v>24.7185</v>
      </c>
      <c r="AD48" s="1262">
        <f t="shared" si="22"/>
        <v>-5.8280009</v>
      </c>
      <c r="AE48" s="1262">
        <f>+(AA48*V48)-Z48-'data 1'!$I$21+((W48-2)*2.5+(X48-2)*4)-((W48-3)*1.5+(X48-3)*3.1)</f>
        <v>20.29753692</v>
      </c>
      <c r="AF48" s="1262">
        <f t="shared" si="23"/>
        <v>3.982898818</v>
      </c>
      <c r="AG48" s="1262">
        <f t="shared" si="24"/>
        <v>43.17093484</v>
      </c>
      <c r="AH48" s="1263">
        <f t="shared" si="25"/>
        <v>32.01102267</v>
      </c>
      <c r="AI48" s="65">
        <f t="shared" si="26"/>
        <v>54.94522842</v>
      </c>
      <c r="AJ48" s="986">
        <f t="shared" si="10"/>
        <v>32.18190098</v>
      </c>
      <c r="AK48" s="65">
        <f t="shared" si="11"/>
        <v>-0.1708783092</v>
      </c>
      <c r="AM48" s="65">
        <f t="shared" si="12"/>
        <v>1049.706731</v>
      </c>
    </row>
    <row r="49" ht="15.75" customHeight="1">
      <c r="A49" s="1238" t="s">
        <v>5404</v>
      </c>
      <c r="B49" s="1002">
        <v>45376.0</v>
      </c>
      <c r="C49" s="1002">
        <v>45372.0</v>
      </c>
      <c r="D49" s="562" t="s">
        <v>5093</v>
      </c>
      <c r="E49" s="1004">
        <v>1.0460498487E10</v>
      </c>
      <c r="F49" s="1003" t="s">
        <v>4168</v>
      </c>
      <c r="G49" s="1006">
        <v>100.0</v>
      </c>
      <c r="H49" s="1006"/>
      <c r="I49" s="1007">
        <v>8.9</v>
      </c>
      <c r="J49" s="1008">
        <v>9.2</v>
      </c>
      <c r="K49" s="1007">
        <f t="shared" si="17"/>
        <v>8.0812</v>
      </c>
      <c r="L49" s="1009">
        <v>0.502</v>
      </c>
      <c r="M49" s="563">
        <v>0.477</v>
      </c>
      <c r="N49" s="1264">
        <v>0.577</v>
      </c>
      <c r="O49" s="1010">
        <f t="shared" ref="O49:O50" si="29">+(M49+N49)/2</f>
        <v>0.527</v>
      </c>
      <c r="P49" s="562">
        <v>90.0</v>
      </c>
      <c r="Q49" s="1003">
        <v>91.33</v>
      </c>
      <c r="R49" s="1013">
        <v>2166.445</v>
      </c>
      <c r="S49" s="563">
        <v>140.0</v>
      </c>
      <c r="T49" s="562"/>
      <c r="U49" s="1003">
        <v>100.0</v>
      </c>
      <c r="V49" s="1003">
        <v>1.1023</v>
      </c>
      <c r="W49" s="1008">
        <v>5.8</v>
      </c>
      <c r="X49" s="1008">
        <v>6.85</v>
      </c>
      <c r="Y49" s="562">
        <v>25.0</v>
      </c>
      <c r="Z49" s="1012">
        <f t="shared" si="27"/>
        <v>16.135</v>
      </c>
      <c r="AA49" s="1014">
        <f t="shared" si="20"/>
        <v>41.135</v>
      </c>
      <c r="AB49" s="1015">
        <f t="shared" si="21"/>
        <v>880.7155035</v>
      </c>
      <c r="AC49" s="1015">
        <f>+(S49*V49)-'data 1'!$F$4-T49*V49</f>
        <v>74.322</v>
      </c>
      <c r="AD49" s="1015">
        <f t="shared" si="22"/>
        <v>15.20824206</v>
      </c>
      <c r="AE49" s="1015">
        <f>+(AA49*V49)-Z49-'data 1'!$I$21+((W49-2)*2.5+(X49-2)*4)-((W49-3)*1.5+(X49-3)*3.1)</f>
        <v>16.39202942</v>
      </c>
      <c r="AF49" s="1015">
        <f t="shared" si="23"/>
        <v>-52.00883485</v>
      </c>
      <c r="AG49" s="1015">
        <f t="shared" si="24"/>
        <v>53.91343662</v>
      </c>
      <c r="AH49" s="1016">
        <f t="shared" si="25"/>
        <v>127.0287719</v>
      </c>
      <c r="AI49" s="65">
        <f t="shared" si="26"/>
        <v>158.4640359</v>
      </c>
      <c r="AJ49" s="986">
        <f t="shared" si="10"/>
        <v>131.4129151</v>
      </c>
      <c r="AK49" s="65">
        <f t="shared" si="11"/>
        <v>-4.384143201</v>
      </c>
      <c r="AM49" s="65">
        <f t="shared" si="12"/>
        <v>7117.238127</v>
      </c>
    </row>
    <row r="50" ht="15.75" customHeight="1">
      <c r="A50" s="1223" t="s">
        <v>5405</v>
      </c>
      <c r="B50" s="2"/>
      <c r="C50" s="841">
        <v>45372.0</v>
      </c>
      <c r="D50" s="2" t="s">
        <v>5093</v>
      </c>
      <c r="E50" s="915">
        <v>1.0460498487E10</v>
      </c>
      <c r="F50" s="67" t="s">
        <v>4756</v>
      </c>
      <c r="G50" s="13">
        <v>50.0</v>
      </c>
      <c r="H50" s="13"/>
      <c r="I50" s="6">
        <v>5.54</v>
      </c>
      <c r="J50" s="58">
        <v>13.4</v>
      </c>
      <c r="K50" s="6">
        <f t="shared" si="17"/>
        <v>4.79764</v>
      </c>
      <c r="L50" s="139">
        <v>0.327</v>
      </c>
      <c r="M50" s="3">
        <v>0.302</v>
      </c>
      <c r="N50" s="191">
        <f>+M50+0.02</f>
        <v>0.322</v>
      </c>
      <c r="O50" s="60">
        <f t="shared" si="29"/>
        <v>0.312</v>
      </c>
      <c r="P50" s="2">
        <v>90.0</v>
      </c>
      <c r="Q50" s="67">
        <v>90.81</v>
      </c>
      <c r="R50" s="65">
        <v>2166.445</v>
      </c>
      <c r="S50" s="3">
        <v>120.0</v>
      </c>
      <c r="T50" s="2"/>
      <c r="U50" s="67">
        <v>100.0</v>
      </c>
      <c r="V50" s="67">
        <v>1.1023</v>
      </c>
      <c r="W50" s="58">
        <v>5.5</v>
      </c>
      <c r="X50" s="58">
        <v>6.4</v>
      </c>
      <c r="Y50" s="2">
        <v>25.0</v>
      </c>
      <c r="Z50" s="69">
        <f t="shared" si="27"/>
        <v>14.29</v>
      </c>
      <c r="AA50" s="70">
        <f t="shared" si="20"/>
        <v>39.29</v>
      </c>
      <c r="AB50" s="71">
        <f t="shared" si="21"/>
        <v>464.0327574</v>
      </c>
      <c r="AC50" s="71">
        <f>+(S50*V50)-'data 1'!$F$4-T50*V50</f>
        <v>52.276</v>
      </c>
      <c r="AD50" s="71">
        <f t="shared" si="22"/>
        <v>6.033320962</v>
      </c>
      <c r="AE50" s="71">
        <f>+(AA50*V50)-Z50-'data 1'!$I$21+((W50-2)*2.5+(X50-2)*4)-((W50-3)*1.5+(X50-3)*3.1)</f>
        <v>15.49828592</v>
      </c>
      <c r="AF50" s="71">
        <f t="shared" si="23"/>
        <v>31.02762921</v>
      </c>
      <c r="AG50" s="71">
        <f t="shared" si="24"/>
        <v>104.8352361</v>
      </c>
      <c r="AH50" s="1035">
        <f t="shared" si="25"/>
        <v>48.84477961</v>
      </c>
      <c r="AI50" s="65">
        <f t="shared" si="26"/>
        <v>102.634877</v>
      </c>
      <c r="AJ50" s="986">
        <f t="shared" si="10"/>
        <v>46.18849691</v>
      </c>
      <c r="AK50" s="65">
        <f t="shared" si="11"/>
        <v>2.656282693</v>
      </c>
      <c r="AM50" s="65">
        <f t="shared" si="12"/>
        <v>2226.262118</v>
      </c>
    </row>
    <row r="51" ht="15.75" customHeight="1">
      <c r="C51" s="841"/>
      <c r="E51" s="915"/>
      <c r="G51" s="13"/>
      <c r="H51" s="13"/>
      <c r="I51" s="6"/>
      <c r="J51" s="58"/>
      <c r="K51" s="6"/>
      <c r="L51" s="139"/>
      <c r="M51" s="3"/>
      <c r="N51" s="191"/>
      <c r="O51" s="60"/>
      <c r="Q51" s="67"/>
      <c r="R51" s="65"/>
      <c r="S51" s="3"/>
      <c r="U51" s="67"/>
      <c r="V51" s="67"/>
      <c r="Z51" s="69"/>
      <c r="AA51" s="70"/>
      <c r="AB51" s="71"/>
      <c r="AC51" s="71"/>
      <c r="AD51" s="71"/>
      <c r="AE51" s="71"/>
      <c r="AF51" s="71"/>
      <c r="AG51" s="71"/>
      <c r="AH51" s="71"/>
      <c r="AM51" s="65">
        <f>SUM(AM4:AM50)</f>
        <v>171211.5288</v>
      </c>
    </row>
    <row r="52" ht="15.75" customHeight="1">
      <c r="C52" s="841"/>
      <c r="E52" s="915"/>
      <c r="G52" s="13"/>
      <c r="H52" s="13"/>
      <c r="I52" s="6"/>
      <c r="J52" s="58"/>
      <c r="K52" s="6"/>
      <c r="L52" s="139"/>
      <c r="M52" s="3"/>
      <c r="N52" s="191"/>
      <c r="O52" s="60"/>
      <c r="Q52" s="67"/>
      <c r="R52" s="65"/>
      <c r="S52" s="3"/>
      <c r="U52" s="67"/>
      <c r="V52" s="67"/>
      <c r="Z52" s="69"/>
      <c r="AA52" s="70"/>
      <c r="AB52" s="71"/>
      <c r="AC52" s="71"/>
      <c r="AD52" s="71"/>
      <c r="AE52" s="71"/>
      <c r="AF52" s="71"/>
      <c r="AG52" s="71"/>
      <c r="AH52" s="71"/>
    </row>
    <row r="53" ht="15.75" customHeight="1">
      <c r="C53" s="841"/>
      <c r="E53" s="915"/>
      <c r="G53" s="13"/>
      <c r="H53" s="13"/>
      <c r="I53" s="6"/>
      <c r="J53" s="58"/>
      <c r="K53" s="6"/>
      <c r="L53" s="139"/>
      <c r="M53" s="3"/>
      <c r="N53" s="191"/>
      <c r="O53" s="60"/>
      <c r="Q53" s="67"/>
      <c r="R53" s="65"/>
      <c r="S53" s="3"/>
      <c r="U53" s="67"/>
      <c r="V53" s="67"/>
      <c r="Z53" s="69"/>
      <c r="AA53" s="70"/>
      <c r="AB53" s="71"/>
      <c r="AC53" s="71"/>
      <c r="AD53" s="71"/>
      <c r="AE53" s="71"/>
      <c r="AF53" s="71"/>
      <c r="AG53" s="71"/>
      <c r="AH53" s="71"/>
    </row>
    <row r="54" ht="15.75" customHeight="1">
      <c r="C54" s="841"/>
      <c r="E54" s="915"/>
      <c r="G54" s="13"/>
      <c r="H54" s="13"/>
      <c r="I54" s="60"/>
      <c r="J54" s="871"/>
      <c r="K54" s="60"/>
      <c r="L54" s="139"/>
      <c r="M54" s="3"/>
      <c r="N54" s="191"/>
      <c r="O54" s="60"/>
      <c r="Q54" s="67"/>
      <c r="R54" s="65"/>
      <c r="S54" s="3"/>
      <c r="U54" s="67"/>
      <c r="V54" s="67"/>
      <c r="Z54" s="69"/>
      <c r="AA54" s="70"/>
      <c r="AB54" s="71"/>
      <c r="AC54" s="71"/>
      <c r="AD54" s="71"/>
      <c r="AE54" s="71"/>
      <c r="AF54" s="71"/>
      <c r="AG54" s="71"/>
      <c r="AH54" s="71"/>
    </row>
    <row r="55" ht="15.75" customHeight="1">
      <c r="C55" s="841"/>
      <c r="E55" s="915"/>
      <c r="G55" s="13"/>
      <c r="H55" s="13"/>
      <c r="I55" s="60"/>
      <c r="J55" s="871"/>
      <c r="K55" s="60"/>
      <c r="L55" s="139"/>
      <c r="M55" s="3"/>
      <c r="N55" s="191"/>
      <c r="O55" s="60"/>
      <c r="Q55" s="67"/>
      <c r="R55" s="65"/>
      <c r="S55" s="3"/>
      <c r="U55" s="67"/>
      <c r="V55" s="67"/>
      <c r="Z55" s="69"/>
      <c r="AA55" s="70"/>
      <c r="AB55" s="71"/>
      <c r="AC55" s="71"/>
      <c r="AD55" s="71"/>
      <c r="AE55" s="71"/>
      <c r="AF55" s="71"/>
      <c r="AG55" s="71"/>
      <c r="AH55" s="71"/>
    </row>
    <row r="56" ht="15.75" customHeight="1">
      <c r="C56" s="841"/>
      <c r="E56" s="915"/>
      <c r="G56" s="13"/>
      <c r="H56" s="13"/>
      <c r="I56" s="60"/>
      <c r="J56" s="871"/>
      <c r="K56" s="60"/>
      <c r="L56" s="1118"/>
      <c r="M56" s="910"/>
      <c r="N56" s="1119"/>
      <c r="O56" s="60"/>
      <c r="Q56" s="67"/>
      <c r="R56" s="65"/>
      <c r="S56" s="3"/>
      <c r="U56" s="67"/>
      <c r="V56" s="67"/>
      <c r="Z56" s="69"/>
      <c r="AA56" s="70"/>
      <c r="AB56" s="71"/>
      <c r="AC56" s="71"/>
      <c r="AD56" s="71"/>
      <c r="AE56" s="71"/>
      <c r="AF56" s="71"/>
      <c r="AG56" s="71"/>
      <c r="AH56" s="71"/>
    </row>
    <row r="57" ht="15.75" customHeight="1">
      <c r="C57" s="841"/>
      <c r="E57" s="915"/>
      <c r="G57" s="13"/>
      <c r="H57" s="13"/>
      <c r="I57" s="6"/>
      <c r="J57" s="58"/>
      <c r="K57" s="6"/>
      <c r="L57" s="139"/>
      <c r="M57" s="3"/>
      <c r="N57" s="191"/>
      <c r="O57" s="60"/>
      <c r="Q57" s="67"/>
      <c r="R57" s="65"/>
      <c r="S57" s="3"/>
      <c r="U57" s="67"/>
      <c r="V57" s="67"/>
      <c r="Z57" s="69"/>
      <c r="AA57" s="70"/>
      <c r="AB57" s="71"/>
      <c r="AC57" s="71"/>
      <c r="AD57" s="71"/>
      <c r="AE57" s="71"/>
      <c r="AF57" s="71"/>
      <c r="AG57" s="71"/>
      <c r="AH57" s="71"/>
    </row>
    <row r="58" ht="15.75" customHeight="1">
      <c r="C58" s="841"/>
      <c r="E58" s="915"/>
      <c r="G58" s="13"/>
      <c r="H58" s="13"/>
      <c r="I58" s="6"/>
      <c r="J58" s="58"/>
      <c r="K58" s="6"/>
      <c r="L58" s="139"/>
      <c r="M58" s="3"/>
      <c r="N58" s="191"/>
      <c r="O58" s="60"/>
      <c r="Q58" s="67"/>
      <c r="R58" s="65"/>
      <c r="S58" s="3"/>
      <c r="U58" s="67"/>
      <c r="V58" s="67"/>
      <c r="Z58" s="69"/>
      <c r="AA58" s="70"/>
      <c r="AB58" s="71"/>
      <c r="AC58" s="71"/>
      <c r="AD58" s="71"/>
      <c r="AE58" s="71"/>
      <c r="AF58" s="71"/>
      <c r="AG58" s="71"/>
      <c r="AH58" s="71"/>
    </row>
    <row r="59" ht="15.75" customHeight="1">
      <c r="C59" s="841"/>
      <c r="E59" s="915"/>
      <c r="G59" s="13"/>
      <c r="H59" s="13"/>
      <c r="I59" s="6"/>
      <c r="J59" s="58"/>
      <c r="K59" s="6"/>
      <c r="L59" s="139"/>
      <c r="M59" s="3"/>
      <c r="N59" s="191"/>
      <c r="O59" s="60"/>
      <c r="Q59" s="67"/>
      <c r="R59" s="65"/>
      <c r="S59" s="3"/>
      <c r="U59" s="67"/>
      <c r="V59" s="67"/>
      <c r="Z59" s="69"/>
      <c r="AA59" s="70"/>
      <c r="AB59" s="71"/>
      <c r="AC59" s="71"/>
      <c r="AD59" s="71"/>
      <c r="AE59" s="71"/>
      <c r="AF59" s="71"/>
      <c r="AG59" s="71"/>
      <c r="AH59" s="71"/>
    </row>
    <row r="60" ht="15.75" customHeight="1">
      <c r="C60" s="841"/>
      <c r="E60" s="915"/>
      <c r="G60" s="13"/>
      <c r="H60" s="13"/>
      <c r="I60" s="6"/>
      <c r="J60" s="58"/>
      <c r="K60" s="6"/>
      <c r="L60" s="139"/>
      <c r="M60" s="3"/>
      <c r="N60" s="191"/>
      <c r="O60" s="60"/>
      <c r="Q60" s="67"/>
      <c r="R60" s="65"/>
      <c r="S60" s="3"/>
      <c r="U60" s="67"/>
      <c r="V60" s="67"/>
      <c r="Z60" s="69"/>
      <c r="AA60" s="70"/>
      <c r="AB60" s="71"/>
      <c r="AC60" s="71"/>
      <c r="AD60" s="71"/>
      <c r="AE60" s="71"/>
      <c r="AF60" s="71"/>
      <c r="AG60" s="71"/>
      <c r="AH60" s="71"/>
    </row>
    <row r="61" ht="15.75" customHeight="1">
      <c r="C61" s="841"/>
      <c r="E61" s="915"/>
      <c r="G61" s="13"/>
      <c r="H61" s="13"/>
      <c r="I61" s="6"/>
      <c r="J61" s="58"/>
      <c r="K61" s="6"/>
      <c r="L61" s="139"/>
      <c r="M61" s="3"/>
      <c r="N61" s="191"/>
      <c r="O61" s="60"/>
      <c r="Q61" s="67"/>
      <c r="R61" s="65"/>
      <c r="S61" s="3"/>
      <c r="U61" s="67"/>
      <c r="V61" s="67"/>
      <c r="Z61" s="69"/>
      <c r="AA61" s="70"/>
      <c r="AB61" s="71"/>
      <c r="AC61" s="71"/>
      <c r="AD61" s="71"/>
      <c r="AE61" s="71"/>
      <c r="AF61" s="71"/>
      <c r="AG61" s="71"/>
      <c r="AH61" s="71"/>
    </row>
    <row r="62" ht="15.75" customHeight="1">
      <c r="C62" s="841"/>
      <c r="E62" s="915"/>
      <c r="G62" s="13"/>
      <c r="H62" s="13"/>
      <c r="I62" s="6"/>
      <c r="J62" s="58"/>
      <c r="K62" s="6"/>
      <c r="L62" s="139"/>
      <c r="M62" s="3"/>
      <c r="N62" s="191"/>
      <c r="O62" s="60"/>
      <c r="Q62" s="67"/>
      <c r="R62" s="65"/>
      <c r="S62" s="3"/>
      <c r="U62" s="67"/>
      <c r="V62" s="67"/>
      <c r="Z62" s="69"/>
      <c r="AA62" s="70"/>
      <c r="AB62" s="71"/>
      <c r="AC62" s="71"/>
      <c r="AD62" s="71"/>
      <c r="AE62" s="71"/>
      <c r="AF62" s="71"/>
      <c r="AG62" s="71"/>
      <c r="AH62" s="71"/>
    </row>
    <row r="63" ht="15.75" customHeight="1">
      <c r="C63" s="841"/>
      <c r="E63" s="915"/>
      <c r="G63" s="13"/>
      <c r="H63" s="13"/>
      <c r="I63" s="6"/>
      <c r="J63" s="58"/>
      <c r="K63" s="6"/>
      <c r="L63" s="139"/>
      <c r="M63" s="3"/>
      <c r="N63" s="191"/>
      <c r="O63" s="60"/>
      <c r="Q63" s="67"/>
      <c r="R63" s="65"/>
      <c r="S63" s="3"/>
      <c r="U63" s="67"/>
      <c r="V63" s="67"/>
      <c r="Z63" s="69"/>
      <c r="AA63" s="70"/>
      <c r="AB63" s="71"/>
      <c r="AC63" s="71"/>
      <c r="AD63" s="71"/>
      <c r="AE63" s="71"/>
      <c r="AF63" s="71"/>
      <c r="AG63" s="71"/>
      <c r="AH63" s="71"/>
    </row>
    <row r="64" ht="15.75" customHeight="1">
      <c r="C64" s="841"/>
      <c r="E64" s="915"/>
      <c r="G64" s="13"/>
      <c r="H64" s="13"/>
      <c r="I64" s="6"/>
      <c r="J64" s="58"/>
      <c r="K64" s="6"/>
      <c r="L64" s="139"/>
      <c r="M64" s="3"/>
      <c r="N64" s="191"/>
      <c r="O64" s="60"/>
      <c r="Q64" s="67"/>
      <c r="R64" s="65"/>
      <c r="S64" s="3"/>
      <c r="U64" s="67"/>
      <c r="V64" s="67"/>
      <c r="Z64" s="69"/>
      <c r="AA64" s="70"/>
      <c r="AB64" s="71"/>
      <c r="AC64" s="71"/>
      <c r="AD64" s="71"/>
      <c r="AE64" s="71"/>
      <c r="AF64" s="71"/>
      <c r="AG64" s="71"/>
      <c r="AH64" s="71"/>
    </row>
    <row r="65" ht="15.75" customHeight="1">
      <c r="C65" s="841"/>
      <c r="E65" s="915"/>
      <c r="G65" s="13"/>
      <c r="H65" s="13"/>
      <c r="I65" s="6"/>
      <c r="J65" s="58"/>
      <c r="K65" s="6"/>
      <c r="L65" s="139"/>
      <c r="M65" s="3"/>
      <c r="N65" s="191"/>
      <c r="O65" s="60"/>
      <c r="Q65" s="67"/>
      <c r="R65" s="65"/>
      <c r="S65" s="3"/>
      <c r="U65" s="67"/>
      <c r="V65" s="67"/>
      <c r="Z65" s="69"/>
      <c r="AA65" s="70"/>
      <c r="AB65" s="71"/>
      <c r="AC65" s="71"/>
      <c r="AD65" s="71"/>
      <c r="AE65" s="71"/>
      <c r="AF65" s="71"/>
      <c r="AG65" s="71"/>
      <c r="AH65" s="71"/>
    </row>
    <row r="66" ht="15.75" customHeight="1">
      <c r="C66" s="841"/>
      <c r="E66" s="915"/>
      <c r="G66" s="13"/>
      <c r="H66" s="13"/>
      <c r="I66" s="6"/>
      <c r="J66" s="58"/>
      <c r="K66" s="6"/>
      <c r="L66" s="139"/>
      <c r="M66" s="3"/>
      <c r="N66" s="191"/>
      <c r="O66" s="60"/>
      <c r="Q66" s="67"/>
      <c r="R66" s="65"/>
      <c r="S66" s="3"/>
      <c r="U66" s="67"/>
      <c r="V66" s="67"/>
      <c r="Z66" s="69"/>
      <c r="AA66" s="70"/>
      <c r="AB66" s="71"/>
      <c r="AC66" s="71"/>
      <c r="AD66" s="71"/>
      <c r="AE66" s="71"/>
      <c r="AF66" s="71"/>
      <c r="AG66" s="71"/>
      <c r="AH66" s="71"/>
    </row>
    <row r="67" ht="15.75" customHeight="1">
      <c r="C67" s="841"/>
      <c r="E67" s="915"/>
      <c r="G67" s="13"/>
      <c r="H67" s="13"/>
      <c r="I67" s="6"/>
      <c r="J67" s="58"/>
      <c r="K67" s="6"/>
      <c r="L67" s="139"/>
      <c r="M67" s="3"/>
      <c r="N67" s="191"/>
      <c r="O67" s="60"/>
      <c r="Q67" s="67"/>
      <c r="R67" s="65"/>
      <c r="S67" s="3"/>
      <c r="U67" s="67"/>
      <c r="V67" s="67"/>
      <c r="Z67" s="69"/>
      <c r="AA67" s="70"/>
      <c r="AB67" s="71"/>
      <c r="AC67" s="71"/>
      <c r="AD67" s="71"/>
      <c r="AE67" s="71"/>
      <c r="AF67" s="71"/>
      <c r="AG67" s="71"/>
      <c r="AH67" s="71"/>
    </row>
    <row r="68" ht="15.75" customHeight="1">
      <c r="C68" s="841"/>
      <c r="E68" s="915"/>
      <c r="G68" s="13"/>
      <c r="H68" s="13"/>
      <c r="I68" s="6"/>
      <c r="J68" s="58"/>
      <c r="K68" s="6"/>
      <c r="L68" s="139"/>
      <c r="M68" s="3"/>
      <c r="N68" s="191"/>
      <c r="O68" s="60"/>
      <c r="Q68" s="67"/>
      <c r="R68" s="65"/>
      <c r="S68" s="3"/>
      <c r="U68" s="67"/>
      <c r="V68" s="67"/>
      <c r="Z68" s="69"/>
      <c r="AA68" s="70"/>
      <c r="AB68" s="71"/>
      <c r="AC68" s="71"/>
      <c r="AD68" s="71"/>
      <c r="AE68" s="71"/>
      <c r="AF68" s="71"/>
      <c r="AG68" s="71"/>
      <c r="AH68" s="71"/>
    </row>
    <row r="69" ht="15.75" customHeight="1">
      <c r="C69" s="841"/>
      <c r="E69" s="915"/>
      <c r="G69" s="13"/>
      <c r="H69" s="13"/>
      <c r="I69" s="6"/>
      <c r="J69" s="58"/>
      <c r="K69" s="6"/>
      <c r="L69" s="139"/>
      <c r="M69" s="3"/>
      <c r="N69" s="191"/>
      <c r="O69" s="60"/>
      <c r="Q69" s="67"/>
      <c r="R69" s="65"/>
      <c r="S69" s="3"/>
      <c r="U69" s="67"/>
      <c r="V69" s="67"/>
      <c r="Z69" s="69"/>
      <c r="AA69" s="70"/>
      <c r="AB69" s="71"/>
      <c r="AC69" s="71"/>
      <c r="AD69" s="71"/>
      <c r="AE69" s="71"/>
      <c r="AF69" s="71"/>
      <c r="AG69" s="71"/>
      <c r="AH69" s="71"/>
    </row>
    <row r="70" ht="15.75" customHeight="1">
      <c r="C70" s="841"/>
      <c r="E70" s="915"/>
      <c r="G70" s="13"/>
      <c r="H70" s="13"/>
      <c r="I70" s="6"/>
      <c r="J70" s="58"/>
      <c r="K70" s="6"/>
      <c r="L70" s="139"/>
      <c r="M70" s="3"/>
      <c r="N70" s="191"/>
      <c r="O70" s="60"/>
      <c r="Q70" s="67"/>
      <c r="R70" s="65"/>
      <c r="S70" s="3"/>
      <c r="U70" s="67"/>
      <c r="V70" s="67"/>
      <c r="Z70" s="69"/>
      <c r="AA70" s="70"/>
      <c r="AB70" s="71"/>
      <c r="AC70" s="71"/>
      <c r="AD70" s="71"/>
      <c r="AE70" s="71"/>
      <c r="AF70" s="71"/>
      <c r="AG70" s="71"/>
      <c r="AH70" s="71"/>
    </row>
    <row r="71" ht="15.75" customHeight="1">
      <c r="C71" s="841"/>
      <c r="E71" s="915"/>
      <c r="G71" s="13"/>
      <c r="H71" s="13"/>
      <c r="I71" s="6"/>
      <c r="J71" s="58"/>
      <c r="K71" s="6"/>
      <c r="L71" s="139"/>
      <c r="M71" s="3"/>
      <c r="N71" s="191"/>
      <c r="O71" s="60"/>
      <c r="Q71" s="67"/>
      <c r="R71" s="65"/>
      <c r="S71" s="3"/>
      <c r="U71" s="67"/>
      <c r="V71" s="67"/>
      <c r="Z71" s="69"/>
      <c r="AA71" s="70"/>
      <c r="AB71" s="71"/>
      <c r="AC71" s="71"/>
      <c r="AD71" s="71"/>
      <c r="AE71" s="71"/>
      <c r="AF71" s="71"/>
      <c r="AG71" s="71"/>
      <c r="AH71" s="71"/>
    </row>
    <row r="72" ht="15.75" customHeight="1">
      <c r="C72" s="841"/>
      <c r="E72" s="915"/>
      <c r="G72" s="13"/>
      <c r="H72" s="13"/>
      <c r="I72" s="6"/>
      <c r="J72" s="58"/>
      <c r="K72" s="6"/>
      <c r="L72" s="139"/>
      <c r="M72" s="3"/>
      <c r="N72" s="191"/>
      <c r="O72" s="60"/>
      <c r="Q72" s="67"/>
      <c r="R72" s="65"/>
      <c r="S72" s="3"/>
      <c r="U72" s="67"/>
      <c r="V72" s="67"/>
      <c r="Z72" s="69"/>
      <c r="AA72" s="70"/>
      <c r="AB72" s="71"/>
      <c r="AC72" s="71"/>
      <c r="AD72" s="71"/>
      <c r="AE72" s="71"/>
      <c r="AF72" s="71"/>
      <c r="AG72" s="71"/>
      <c r="AH72" s="71"/>
    </row>
    <row r="73" ht="15.75" customHeight="1">
      <c r="C73" s="841"/>
      <c r="E73" s="915"/>
      <c r="G73" s="13"/>
      <c r="H73" s="13"/>
      <c r="I73" s="6"/>
      <c r="J73" s="58"/>
      <c r="K73" s="6"/>
      <c r="L73" s="139"/>
      <c r="M73" s="3"/>
      <c r="N73" s="191"/>
      <c r="O73" s="60"/>
      <c r="Q73" s="67"/>
      <c r="R73" s="65"/>
      <c r="S73" s="3"/>
      <c r="U73" s="67"/>
      <c r="V73" s="67"/>
      <c r="Z73" s="69"/>
      <c r="AA73" s="70"/>
      <c r="AB73" s="71"/>
      <c r="AC73" s="71"/>
      <c r="AD73" s="71"/>
      <c r="AE73" s="71"/>
      <c r="AF73" s="71"/>
      <c r="AG73" s="71"/>
      <c r="AH73" s="71"/>
    </row>
    <row r="74" ht="15.75" customHeight="1">
      <c r="C74" s="841"/>
      <c r="E74" s="915"/>
      <c r="G74" s="13"/>
      <c r="H74" s="13"/>
      <c r="I74" s="6"/>
      <c r="J74" s="58"/>
      <c r="K74" s="6"/>
      <c r="L74" s="139"/>
      <c r="M74" s="3"/>
      <c r="N74" s="191"/>
      <c r="O74" s="60"/>
      <c r="Q74" s="67"/>
      <c r="R74" s="65"/>
      <c r="S74" s="3"/>
      <c r="U74" s="67"/>
      <c r="V74" s="67"/>
      <c r="Z74" s="69"/>
      <c r="AA74" s="70"/>
      <c r="AB74" s="71"/>
      <c r="AC74" s="71"/>
      <c r="AD74" s="71"/>
      <c r="AE74" s="71"/>
      <c r="AF74" s="71"/>
      <c r="AG74" s="71"/>
      <c r="AH74" s="71"/>
    </row>
    <row r="75" ht="15.75" customHeight="1">
      <c r="C75" s="841"/>
      <c r="E75" s="915"/>
      <c r="G75" s="13"/>
      <c r="H75" s="13"/>
      <c r="I75" s="6"/>
      <c r="J75" s="58"/>
      <c r="K75" s="6"/>
      <c r="L75" s="139"/>
      <c r="M75" s="3"/>
      <c r="N75" s="191"/>
      <c r="O75" s="60"/>
      <c r="Q75" s="67"/>
      <c r="R75" s="65"/>
      <c r="S75" s="3"/>
      <c r="U75" s="67"/>
      <c r="V75" s="67"/>
      <c r="Z75" s="69"/>
      <c r="AA75" s="70"/>
      <c r="AB75" s="71"/>
      <c r="AC75" s="71"/>
      <c r="AD75" s="71"/>
      <c r="AE75" s="71"/>
      <c r="AF75" s="71"/>
      <c r="AG75" s="71"/>
      <c r="AH75" s="71"/>
    </row>
    <row r="76" ht="15.75" customHeight="1">
      <c r="C76" s="841"/>
      <c r="E76" s="915"/>
      <c r="G76" s="13"/>
      <c r="H76" s="13"/>
      <c r="I76" s="6"/>
      <c r="J76" s="58"/>
      <c r="K76" s="6"/>
      <c r="L76" s="139"/>
      <c r="M76" s="3"/>
      <c r="N76" s="191"/>
      <c r="O76" s="60"/>
      <c r="Q76" s="67"/>
      <c r="R76" s="65"/>
      <c r="S76" s="3"/>
      <c r="U76" s="67"/>
      <c r="V76" s="67"/>
      <c r="Z76" s="69"/>
      <c r="AA76" s="70"/>
      <c r="AB76" s="71"/>
      <c r="AC76" s="71"/>
      <c r="AD76" s="71"/>
      <c r="AE76" s="71"/>
      <c r="AF76" s="71"/>
      <c r="AG76" s="71"/>
      <c r="AH76" s="71"/>
    </row>
    <row r="77" ht="15.75" customHeight="1">
      <c r="C77" s="841"/>
      <c r="E77" s="915"/>
      <c r="G77" s="13"/>
      <c r="H77" s="13"/>
      <c r="I77" s="6"/>
      <c r="J77" s="58"/>
      <c r="K77" s="6"/>
      <c r="L77" s="139"/>
      <c r="M77" s="3"/>
      <c r="N77" s="191"/>
      <c r="O77" s="60"/>
      <c r="Q77" s="67"/>
      <c r="R77" s="65"/>
      <c r="S77" s="3"/>
      <c r="U77" s="67"/>
      <c r="V77" s="67"/>
      <c r="Z77" s="69"/>
      <c r="AA77" s="70"/>
      <c r="AB77" s="71"/>
      <c r="AC77" s="71"/>
      <c r="AD77" s="71"/>
      <c r="AE77" s="71"/>
      <c r="AF77" s="71"/>
      <c r="AG77" s="71"/>
      <c r="AH77" s="71"/>
    </row>
    <row r="78" ht="15.75" customHeight="1">
      <c r="C78" s="841"/>
      <c r="E78" s="915"/>
      <c r="G78" s="13"/>
      <c r="H78" s="13"/>
      <c r="I78" s="6"/>
      <c r="J78" s="58"/>
      <c r="K78" s="6"/>
      <c r="L78" s="139"/>
      <c r="M78" s="3"/>
      <c r="N78" s="191"/>
      <c r="O78" s="60"/>
      <c r="Q78" s="67"/>
      <c r="R78" s="65"/>
      <c r="S78" s="3"/>
      <c r="U78" s="67"/>
      <c r="V78" s="67"/>
      <c r="Z78" s="69"/>
      <c r="AA78" s="70"/>
      <c r="AB78" s="71"/>
      <c r="AC78" s="71"/>
      <c r="AD78" s="71"/>
      <c r="AE78" s="71"/>
      <c r="AF78" s="71"/>
      <c r="AG78" s="71"/>
      <c r="AH78" s="71"/>
    </row>
    <row r="79" ht="15.75" customHeight="1">
      <c r="C79" s="841"/>
      <c r="E79" s="915"/>
      <c r="G79" s="13"/>
      <c r="H79" s="13"/>
      <c r="I79" s="6"/>
      <c r="J79" s="58"/>
      <c r="K79" s="6"/>
      <c r="L79" s="139"/>
      <c r="M79" s="3"/>
      <c r="N79" s="191"/>
      <c r="O79" s="60"/>
      <c r="Q79" s="67"/>
      <c r="R79" s="65"/>
      <c r="S79" s="3"/>
      <c r="U79" s="67"/>
      <c r="V79" s="67"/>
      <c r="Z79" s="69"/>
      <c r="AA79" s="70"/>
      <c r="AB79" s="71"/>
      <c r="AC79" s="71"/>
      <c r="AD79" s="71"/>
      <c r="AE79" s="71"/>
      <c r="AF79" s="71"/>
      <c r="AG79" s="71"/>
      <c r="AH79" s="71"/>
    </row>
    <row r="80" ht="15.75" customHeight="1">
      <c r="C80" s="841"/>
      <c r="E80" s="915"/>
      <c r="G80" s="13"/>
      <c r="H80" s="13"/>
      <c r="I80" s="6"/>
      <c r="J80" s="58"/>
      <c r="K80" s="6"/>
      <c r="L80" s="139"/>
      <c r="M80" s="3"/>
      <c r="N80" s="191"/>
      <c r="O80" s="60"/>
      <c r="Q80" s="67"/>
      <c r="R80" s="65"/>
      <c r="S80" s="3"/>
      <c r="U80" s="67"/>
      <c r="V80" s="67"/>
      <c r="Z80" s="69"/>
      <c r="AA80" s="70"/>
      <c r="AB80" s="71"/>
      <c r="AC80" s="71"/>
      <c r="AD80" s="71"/>
      <c r="AE80" s="71"/>
      <c r="AF80" s="71"/>
      <c r="AG80" s="71"/>
      <c r="AH80" s="71"/>
    </row>
    <row r="81" ht="15.75" customHeight="1">
      <c r="C81" s="841"/>
      <c r="E81" s="915"/>
      <c r="G81" s="13"/>
      <c r="H81" s="13"/>
      <c r="I81" s="6"/>
      <c r="J81" s="58"/>
      <c r="K81" s="6"/>
      <c r="L81" s="139"/>
      <c r="M81" s="3"/>
      <c r="N81" s="191"/>
      <c r="O81" s="60"/>
      <c r="Q81" s="67"/>
      <c r="R81" s="65"/>
      <c r="S81" s="3"/>
      <c r="U81" s="67"/>
      <c r="V81" s="67"/>
      <c r="Z81" s="69"/>
      <c r="AA81" s="70"/>
      <c r="AB81" s="71"/>
      <c r="AC81" s="71"/>
      <c r="AD81" s="71"/>
      <c r="AE81" s="71"/>
      <c r="AF81" s="71"/>
      <c r="AG81" s="71"/>
      <c r="AH81" s="71"/>
    </row>
    <row r="82" ht="15.75" customHeight="1">
      <c r="C82" s="841"/>
      <c r="E82" s="915"/>
      <c r="G82" s="13"/>
      <c r="H82" s="13"/>
      <c r="I82" s="6"/>
      <c r="J82" s="58"/>
      <c r="K82" s="6"/>
      <c r="L82" s="139"/>
      <c r="M82" s="3"/>
      <c r="N82" s="191"/>
      <c r="O82" s="60"/>
      <c r="Q82" s="67"/>
      <c r="R82" s="65"/>
      <c r="S82" s="3"/>
      <c r="U82" s="67"/>
      <c r="V82" s="67"/>
      <c r="Z82" s="69"/>
      <c r="AA82" s="70"/>
      <c r="AB82" s="71"/>
      <c r="AC82" s="71"/>
      <c r="AD82" s="71"/>
      <c r="AE82" s="71"/>
      <c r="AF82" s="71"/>
      <c r="AG82" s="71"/>
      <c r="AH82" s="71"/>
    </row>
    <row r="83" ht="15.75" customHeight="1">
      <c r="C83" s="841"/>
      <c r="E83" s="915"/>
      <c r="G83" s="13"/>
      <c r="H83" s="13"/>
      <c r="I83" s="6"/>
      <c r="J83" s="58"/>
      <c r="K83" s="6"/>
      <c r="L83" s="139"/>
      <c r="M83" s="3"/>
      <c r="N83" s="191"/>
      <c r="O83" s="60"/>
      <c r="Q83" s="67"/>
      <c r="R83" s="65"/>
      <c r="S83" s="3"/>
      <c r="U83" s="67"/>
      <c r="V83" s="67"/>
      <c r="Z83" s="69"/>
      <c r="AA83" s="70"/>
      <c r="AB83" s="71"/>
      <c r="AC83" s="71"/>
      <c r="AD83" s="71"/>
      <c r="AE83" s="71"/>
      <c r="AF83" s="71"/>
      <c r="AG83" s="71"/>
      <c r="AH83" s="71"/>
    </row>
    <row r="84" ht="15.75" customHeight="1">
      <c r="C84" s="841"/>
      <c r="E84" s="915"/>
      <c r="G84" s="13"/>
      <c r="H84" s="13"/>
      <c r="I84" s="6"/>
      <c r="J84" s="58"/>
      <c r="K84" s="6"/>
      <c r="L84" s="139"/>
      <c r="M84" s="3"/>
      <c r="N84" s="191"/>
      <c r="O84" s="60"/>
      <c r="Q84" s="67"/>
      <c r="R84" s="65"/>
      <c r="S84" s="3"/>
      <c r="U84" s="67"/>
      <c r="V84" s="67"/>
      <c r="Z84" s="69"/>
      <c r="AA84" s="70"/>
      <c r="AB84" s="71"/>
      <c r="AC84" s="71"/>
      <c r="AD84" s="71"/>
      <c r="AE84" s="71"/>
      <c r="AF84" s="71"/>
      <c r="AG84" s="71"/>
      <c r="AH84" s="71"/>
    </row>
    <row r="85" ht="15.75" customHeight="1">
      <c r="C85" s="841"/>
      <c r="E85" s="915"/>
      <c r="G85" s="13"/>
      <c r="H85" s="13"/>
      <c r="I85" s="6"/>
      <c r="J85" s="58"/>
      <c r="K85" s="6"/>
      <c r="L85" s="139"/>
      <c r="M85" s="3"/>
      <c r="N85" s="191"/>
      <c r="O85" s="60"/>
      <c r="Q85" s="67"/>
      <c r="R85" s="65"/>
      <c r="S85" s="3"/>
      <c r="U85" s="67"/>
      <c r="V85" s="67"/>
      <c r="Z85" s="69"/>
      <c r="AA85" s="70"/>
      <c r="AB85" s="71"/>
      <c r="AC85" s="71"/>
      <c r="AD85" s="71"/>
      <c r="AE85" s="71"/>
      <c r="AF85" s="71"/>
      <c r="AG85" s="71"/>
      <c r="AH85" s="71"/>
    </row>
    <row r="86" ht="15.75" customHeight="1">
      <c r="C86" s="841"/>
      <c r="E86" s="915"/>
      <c r="G86" s="13"/>
      <c r="H86" s="13"/>
      <c r="I86" s="6"/>
      <c r="J86" s="58"/>
      <c r="K86" s="6"/>
      <c r="L86" s="139"/>
      <c r="M86" s="3"/>
      <c r="N86" s="191"/>
      <c r="O86" s="60"/>
      <c r="Q86" s="67"/>
      <c r="R86" s="65"/>
      <c r="S86" s="3"/>
      <c r="U86" s="67"/>
      <c r="V86" s="67"/>
      <c r="Z86" s="69"/>
      <c r="AA86" s="70"/>
      <c r="AB86" s="71"/>
      <c r="AC86" s="71"/>
      <c r="AD86" s="71"/>
      <c r="AE86" s="71"/>
      <c r="AF86" s="71"/>
      <c r="AG86" s="71"/>
      <c r="AH86" s="71"/>
    </row>
    <row r="87" ht="15.75" customHeight="1">
      <c r="C87" s="841"/>
      <c r="E87" s="915"/>
      <c r="G87" s="13"/>
      <c r="H87" s="13"/>
      <c r="I87" s="6"/>
      <c r="J87" s="58"/>
      <c r="K87" s="6"/>
      <c r="L87" s="139"/>
      <c r="M87" s="3"/>
      <c r="N87" s="191"/>
      <c r="O87" s="60"/>
      <c r="Q87" s="67"/>
      <c r="R87" s="65"/>
      <c r="S87" s="3"/>
      <c r="U87" s="67"/>
      <c r="V87" s="67"/>
      <c r="Z87" s="69"/>
      <c r="AA87" s="70"/>
      <c r="AB87" s="71"/>
      <c r="AC87" s="71"/>
      <c r="AD87" s="71"/>
      <c r="AE87" s="71"/>
      <c r="AF87" s="71"/>
      <c r="AG87" s="71"/>
      <c r="AH87" s="71"/>
    </row>
    <row r="88" ht="15.75" customHeight="1">
      <c r="C88" s="841"/>
      <c r="E88" s="915"/>
      <c r="G88" s="13"/>
      <c r="H88" s="13"/>
      <c r="I88" s="6"/>
      <c r="J88" s="58"/>
      <c r="K88" s="6"/>
      <c r="L88" s="139"/>
      <c r="M88" s="3"/>
      <c r="N88" s="191"/>
      <c r="O88" s="60"/>
      <c r="Q88" s="67"/>
      <c r="R88" s="65"/>
      <c r="S88" s="3"/>
      <c r="U88" s="67"/>
      <c r="V88" s="67"/>
      <c r="Z88" s="69"/>
      <c r="AA88" s="70"/>
      <c r="AB88" s="71"/>
      <c r="AC88" s="71"/>
      <c r="AD88" s="71"/>
      <c r="AE88" s="71"/>
      <c r="AF88" s="71"/>
      <c r="AG88" s="71"/>
      <c r="AH88" s="71"/>
    </row>
    <row r="89" ht="15.75" customHeight="1">
      <c r="C89" s="841"/>
      <c r="E89" s="915"/>
      <c r="G89" s="13"/>
      <c r="H89" s="13"/>
      <c r="I89" s="6"/>
      <c r="J89" s="58"/>
      <c r="K89" s="6"/>
      <c r="L89" s="139"/>
      <c r="M89" s="3"/>
      <c r="N89" s="191"/>
      <c r="O89" s="60"/>
      <c r="Q89" s="67"/>
      <c r="R89" s="65"/>
      <c r="S89" s="3"/>
      <c r="U89" s="67"/>
      <c r="V89" s="67"/>
      <c r="Z89" s="69"/>
      <c r="AA89" s="70"/>
      <c r="AB89" s="71"/>
      <c r="AC89" s="71"/>
      <c r="AD89" s="71"/>
      <c r="AE89" s="71"/>
      <c r="AF89" s="71"/>
      <c r="AG89" s="71"/>
      <c r="AH89" s="71"/>
    </row>
    <row r="90" ht="15.75" customHeight="1">
      <c r="C90" s="841"/>
      <c r="E90" s="915"/>
      <c r="G90" s="13"/>
      <c r="H90" s="13"/>
      <c r="I90" s="6"/>
      <c r="J90" s="58"/>
      <c r="K90" s="6"/>
      <c r="L90" s="139"/>
      <c r="M90" s="3"/>
      <c r="N90" s="191"/>
      <c r="O90" s="60"/>
      <c r="Q90" s="67"/>
      <c r="R90" s="65"/>
      <c r="S90" s="3"/>
      <c r="U90" s="67"/>
      <c r="V90" s="67"/>
      <c r="Z90" s="69"/>
      <c r="AA90" s="70"/>
      <c r="AB90" s="71"/>
      <c r="AC90" s="71"/>
      <c r="AD90" s="71"/>
      <c r="AE90" s="71"/>
      <c r="AF90" s="71"/>
      <c r="AG90" s="71"/>
      <c r="AH90" s="71"/>
    </row>
    <row r="91" ht="15.75" customHeight="1">
      <c r="C91" s="841"/>
      <c r="E91" s="915"/>
      <c r="G91" s="13"/>
      <c r="H91" s="13"/>
      <c r="I91" s="6"/>
      <c r="J91" s="58"/>
      <c r="K91" s="6"/>
      <c r="L91" s="139"/>
      <c r="M91" s="3"/>
      <c r="N91" s="191"/>
      <c r="O91" s="60"/>
      <c r="Q91" s="67"/>
      <c r="R91" s="65"/>
      <c r="S91" s="3"/>
      <c r="U91" s="67"/>
      <c r="V91" s="67"/>
      <c r="Z91" s="69"/>
      <c r="AA91" s="70"/>
      <c r="AB91" s="71"/>
      <c r="AC91" s="71"/>
      <c r="AD91" s="71"/>
      <c r="AE91" s="71"/>
      <c r="AF91" s="71"/>
      <c r="AG91" s="71"/>
      <c r="AH91" s="71"/>
    </row>
    <row r="92" ht="15.75" customHeight="1">
      <c r="C92" s="841"/>
      <c r="E92" s="915"/>
      <c r="G92" s="13"/>
      <c r="H92" s="13"/>
      <c r="I92" s="6"/>
      <c r="J92" s="58"/>
      <c r="K92" s="6"/>
      <c r="L92" s="139"/>
      <c r="M92" s="3"/>
      <c r="N92" s="191"/>
      <c r="O92" s="60"/>
      <c r="Q92" s="67"/>
      <c r="R92" s="65"/>
      <c r="S92" s="3"/>
      <c r="U92" s="67"/>
      <c r="V92" s="67"/>
      <c r="Z92" s="69"/>
      <c r="AA92" s="70"/>
      <c r="AB92" s="71"/>
      <c r="AC92" s="71"/>
      <c r="AD92" s="71"/>
      <c r="AE92" s="71"/>
      <c r="AF92" s="71"/>
      <c r="AG92" s="71"/>
      <c r="AH92" s="71"/>
    </row>
    <row r="93" ht="15.75" customHeight="1">
      <c r="C93" s="841"/>
      <c r="E93" s="915"/>
      <c r="G93" s="13"/>
      <c r="H93" s="13"/>
      <c r="I93" s="6"/>
      <c r="J93" s="58"/>
      <c r="K93" s="6"/>
      <c r="L93" s="139"/>
      <c r="M93" s="3"/>
      <c r="N93" s="191"/>
      <c r="O93" s="60"/>
      <c r="Q93" s="67"/>
      <c r="R93" s="65"/>
      <c r="S93" s="3"/>
      <c r="U93" s="67"/>
      <c r="V93" s="67"/>
      <c r="Z93" s="69"/>
      <c r="AA93" s="70"/>
      <c r="AB93" s="71"/>
      <c r="AC93" s="71"/>
      <c r="AD93" s="71"/>
      <c r="AE93" s="71"/>
      <c r="AF93" s="71"/>
      <c r="AG93" s="71"/>
      <c r="AH93" s="71"/>
    </row>
    <row r="94" ht="15.75" customHeight="1">
      <c r="C94" s="841"/>
      <c r="E94" s="915"/>
      <c r="G94" s="13"/>
      <c r="H94" s="13"/>
      <c r="I94" s="6"/>
      <c r="J94" s="58"/>
      <c r="K94" s="6"/>
      <c r="L94" s="139"/>
      <c r="M94" s="3"/>
      <c r="N94" s="191"/>
      <c r="O94" s="60"/>
      <c r="Q94" s="67"/>
      <c r="R94" s="65"/>
      <c r="S94" s="3"/>
      <c r="U94" s="67"/>
      <c r="V94" s="67"/>
      <c r="Z94" s="69"/>
      <c r="AA94" s="70"/>
      <c r="AB94" s="71"/>
      <c r="AC94" s="71"/>
      <c r="AD94" s="71"/>
      <c r="AE94" s="71"/>
      <c r="AF94" s="71"/>
      <c r="AG94" s="71"/>
      <c r="AH94" s="71"/>
    </row>
    <row r="95" ht="15.75" customHeight="1">
      <c r="C95" s="841"/>
      <c r="E95" s="915"/>
      <c r="G95" s="13"/>
      <c r="H95" s="13"/>
      <c r="I95" s="6"/>
      <c r="J95" s="58"/>
      <c r="K95" s="6"/>
      <c r="L95" s="139"/>
      <c r="M95" s="3"/>
      <c r="N95" s="191"/>
      <c r="O95" s="60"/>
      <c r="Q95" s="67"/>
      <c r="R95" s="65"/>
      <c r="S95" s="3"/>
      <c r="U95" s="67"/>
      <c r="V95" s="67"/>
      <c r="Z95" s="69"/>
      <c r="AA95" s="70"/>
      <c r="AB95" s="71"/>
      <c r="AC95" s="71"/>
      <c r="AD95" s="71"/>
      <c r="AE95" s="71"/>
      <c r="AF95" s="71"/>
      <c r="AG95" s="71"/>
      <c r="AH95" s="71"/>
    </row>
    <row r="96" ht="15.75" customHeight="1">
      <c r="C96" s="841"/>
      <c r="E96" s="915"/>
      <c r="G96" s="13"/>
      <c r="H96" s="13"/>
      <c r="I96" s="6"/>
      <c r="J96" s="58"/>
      <c r="K96" s="6"/>
      <c r="L96" s="139"/>
      <c r="M96" s="3"/>
      <c r="N96" s="191"/>
      <c r="O96" s="60"/>
      <c r="Q96" s="67"/>
      <c r="R96" s="65"/>
      <c r="S96" s="3"/>
      <c r="U96" s="67"/>
      <c r="V96" s="67"/>
      <c r="Z96" s="69"/>
      <c r="AA96" s="70"/>
      <c r="AB96" s="71"/>
      <c r="AC96" s="71"/>
      <c r="AD96" s="71"/>
      <c r="AE96" s="71"/>
      <c r="AF96" s="71"/>
      <c r="AG96" s="71"/>
      <c r="AH96" s="71"/>
    </row>
    <row r="97" ht="15.75" customHeight="1">
      <c r="C97" s="841"/>
      <c r="E97" s="915"/>
      <c r="G97" s="13"/>
      <c r="H97" s="13"/>
      <c r="I97" s="6"/>
      <c r="J97" s="58"/>
      <c r="K97" s="6"/>
      <c r="L97" s="139"/>
      <c r="M97" s="3"/>
      <c r="N97" s="191"/>
      <c r="O97" s="60"/>
      <c r="Q97" s="67"/>
      <c r="R97" s="65"/>
      <c r="S97" s="3"/>
      <c r="U97" s="67"/>
      <c r="V97" s="67"/>
      <c r="Z97" s="69"/>
      <c r="AA97" s="70"/>
      <c r="AB97" s="71"/>
      <c r="AC97" s="71"/>
      <c r="AD97" s="71"/>
      <c r="AE97" s="71"/>
      <c r="AF97" s="71"/>
      <c r="AG97" s="71"/>
      <c r="AH97" s="71"/>
    </row>
    <row r="98" ht="15.75" customHeight="1">
      <c r="C98" s="841"/>
      <c r="E98" s="915"/>
      <c r="G98" s="13"/>
      <c r="H98" s="13"/>
      <c r="I98" s="6"/>
      <c r="J98" s="58"/>
      <c r="K98" s="6"/>
      <c r="L98" s="139"/>
      <c r="M98" s="3"/>
      <c r="N98" s="191"/>
      <c r="O98" s="60"/>
      <c r="Q98" s="67"/>
      <c r="R98" s="65"/>
      <c r="S98" s="3"/>
      <c r="U98" s="67"/>
      <c r="V98" s="67"/>
      <c r="Z98" s="69"/>
      <c r="AA98" s="70"/>
      <c r="AB98" s="71"/>
      <c r="AC98" s="71"/>
      <c r="AD98" s="71"/>
      <c r="AE98" s="71"/>
      <c r="AF98" s="71"/>
      <c r="AG98" s="71"/>
      <c r="AH98" s="71"/>
    </row>
    <row r="99" ht="15.75" customHeight="1">
      <c r="C99" s="841"/>
      <c r="E99" s="915"/>
      <c r="G99" s="13"/>
      <c r="H99" s="13"/>
      <c r="I99" s="6"/>
      <c r="J99" s="58"/>
      <c r="K99" s="6"/>
      <c r="L99" s="139"/>
      <c r="M99" s="3"/>
      <c r="N99" s="191"/>
      <c r="O99" s="60"/>
      <c r="Q99" s="67"/>
      <c r="R99" s="65"/>
      <c r="S99" s="3"/>
      <c r="U99" s="67"/>
      <c r="V99" s="67"/>
      <c r="Z99" s="69"/>
      <c r="AA99" s="70"/>
      <c r="AB99" s="71"/>
      <c r="AC99" s="71"/>
      <c r="AD99" s="71"/>
      <c r="AE99" s="71"/>
      <c r="AF99" s="71"/>
      <c r="AG99" s="71"/>
      <c r="AH99" s="71"/>
    </row>
    <row r="100" ht="15.75" customHeight="1">
      <c r="C100" s="841"/>
      <c r="E100" s="915"/>
      <c r="G100" s="13"/>
      <c r="H100" s="13"/>
      <c r="I100" s="6"/>
      <c r="J100" s="58"/>
      <c r="K100" s="6"/>
      <c r="L100" s="139"/>
      <c r="M100" s="3"/>
      <c r="N100" s="191"/>
      <c r="O100" s="60"/>
      <c r="Q100" s="67"/>
      <c r="R100" s="65"/>
      <c r="S100" s="3"/>
      <c r="U100" s="67"/>
      <c r="V100" s="67"/>
      <c r="Z100" s="69"/>
      <c r="AA100" s="70"/>
      <c r="AB100" s="71"/>
      <c r="AC100" s="71"/>
      <c r="AD100" s="71"/>
      <c r="AE100" s="71"/>
      <c r="AF100" s="71"/>
      <c r="AG100" s="71"/>
      <c r="AH100" s="71"/>
    </row>
    <row r="101" ht="15.75" customHeight="1">
      <c r="C101" s="841"/>
      <c r="E101" s="915"/>
      <c r="G101" s="13"/>
      <c r="H101" s="13"/>
      <c r="I101" s="6"/>
      <c r="J101" s="58"/>
      <c r="K101" s="6"/>
      <c r="L101" s="139"/>
      <c r="M101" s="3"/>
      <c r="N101" s="191"/>
      <c r="O101" s="60"/>
      <c r="Q101" s="67"/>
      <c r="R101" s="65"/>
      <c r="S101" s="3"/>
      <c r="U101" s="67"/>
      <c r="V101" s="67"/>
      <c r="Z101" s="69"/>
      <c r="AA101" s="70"/>
      <c r="AB101" s="71"/>
      <c r="AC101" s="71"/>
      <c r="AD101" s="71"/>
      <c r="AE101" s="71"/>
      <c r="AF101" s="71"/>
      <c r="AG101" s="71"/>
      <c r="AH101" s="71"/>
    </row>
    <row r="102" ht="15.75" customHeight="1">
      <c r="C102" s="841"/>
      <c r="E102" s="915"/>
      <c r="G102" s="13"/>
      <c r="H102" s="13"/>
      <c r="I102" s="6"/>
      <c r="J102" s="58"/>
      <c r="K102" s="6"/>
      <c r="L102" s="139"/>
      <c r="M102" s="3"/>
      <c r="N102" s="191"/>
      <c r="O102" s="60"/>
      <c r="Q102" s="67"/>
      <c r="R102" s="65"/>
      <c r="S102" s="3"/>
      <c r="U102" s="67"/>
      <c r="V102" s="67"/>
      <c r="Z102" s="69"/>
      <c r="AA102" s="70"/>
      <c r="AB102" s="71"/>
      <c r="AC102" s="71"/>
      <c r="AD102" s="71"/>
      <c r="AE102" s="71"/>
      <c r="AF102" s="71"/>
      <c r="AG102" s="71"/>
      <c r="AH102" s="71"/>
    </row>
    <row r="103" ht="15.75" customHeight="1">
      <c r="C103" s="841"/>
      <c r="E103" s="915"/>
      <c r="G103" s="13"/>
      <c r="H103" s="13"/>
      <c r="I103" s="6"/>
      <c r="J103" s="58"/>
      <c r="K103" s="6"/>
      <c r="L103" s="139"/>
      <c r="M103" s="3"/>
      <c r="N103" s="191"/>
      <c r="O103" s="60"/>
      <c r="Q103" s="67"/>
      <c r="R103" s="65"/>
      <c r="S103" s="3"/>
      <c r="U103" s="67"/>
      <c r="V103" s="67"/>
      <c r="Z103" s="69"/>
      <c r="AA103" s="70"/>
      <c r="AB103" s="71"/>
      <c r="AC103" s="71"/>
      <c r="AD103" s="71"/>
      <c r="AE103" s="71"/>
      <c r="AF103" s="71"/>
      <c r="AG103" s="71"/>
      <c r="AH103" s="71"/>
    </row>
    <row r="104" ht="15.75" customHeight="1">
      <c r="C104" s="841"/>
      <c r="E104" s="915"/>
      <c r="G104" s="13"/>
      <c r="H104" s="13"/>
      <c r="I104" s="6"/>
      <c r="J104" s="58"/>
      <c r="K104" s="6"/>
      <c r="L104" s="139"/>
      <c r="M104" s="3"/>
      <c r="N104" s="191"/>
      <c r="O104" s="60"/>
      <c r="Q104" s="67"/>
      <c r="R104" s="65"/>
      <c r="S104" s="3"/>
      <c r="U104" s="67"/>
      <c r="V104" s="67"/>
      <c r="Z104" s="69"/>
      <c r="AA104" s="70"/>
      <c r="AB104" s="71"/>
      <c r="AC104" s="71"/>
      <c r="AD104" s="71"/>
      <c r="AE104" s="71"/>
      <c r="AF104" s="71"/>
      <c r="AG104" s="71"/>
      <c r="AH104" s="71"/>
    </row>
    <row r="105" ht="15.75" customHeight="1">
      <c r="C105" s="841"/>
      <c r="E105" s="915"/>
      <c r="G105" s="13"/>
      <c r="H105" s="13"/>
      <c r="I105" s="6"/>
      <c r="J105" s="58"/>
      <c r="K105" s="6"/>
      <c r="L105" s="139"/>
      <c r="M105" s="3"/>
      <c r="N105" s="191"/>
      <c r="O105" s="60"/>
      <c r="Q105" s="67"/>
      <c r="R105" s="65"/>
      <c r="S105" s="3"/>
      <c r="U105" s="67"/>
      <c r="V105" s="67"/>
      <c r="Z105" s="69"/>
      <c r="AA105" s="70"/>
      <c r="AB105" s="71"/>
      <c r="AC105" s="71"/>
      <c r="AD105" s="71"/>
      <c r="AE105" s="71"/>
      <c r="AF105" s="71"/>
      <c r="AG105" s="71"/>
      <c r="AH105" s="71"/>
    </row>
    <row r="106" ht="15.75" customHeight="1">
      <c r="C106" s="841"/>
      <c r="E106" s="915"/>
      <c r="G106" s="13"/>
      <c r="H106" s="13"/>
      <c r="I106" s="6"/>
      <c r="J106" s="58"/>
      <c r="K106" s="6"/>
      <c r="L106" s="139"/>
      <c r="M106" s="3"/>
      <c r="N106" s="191"/>
      <c r="O106" s="60"/>
      <c r="Q106" s="67"/>
      <c r="R106" s="65"/>
      <c r="S106" s="3"/>
      <c r="U106" s="67"/>
      <c r="V106" s="67"/>
      <c r="Z106" s="69"/>
      <c r="AA106" s="70"/>
      <c r="AB106" s="71"/>
      <c r="AC106" s="71"/>
      <c r="AD106" s="71"/>
      <c r="AE106" s="71"/>
      <c r="AF106" s="71"/>
      <c r="AG106" s="71"/>
      <c r="AH106" s="71"/>
    </row>
    <row r="107" ht="15.75" customHeight="1">
      <c r="C107" s="841"/>
      <c r="E107" s="915"/>
      <c r="G107" s="13"/>
      <c r="H107" s="13"/>
      <c r="I107" s="6"/>
      <c r="J107" s="58"/>
      <c r="K107" s="6"/>
      <c r="L107" s="139"/>
      <c r="M107" s="3"/>
      <c r="N107" s="191"/>
      <c r="O107" s="60"/>
      <c r="Q107" s="67"/>
      <c r="R107" s="65"/>
      <c r="S107" s="3"/>
      <c r="U107" s="67"/>
      <c r="V107" s="67"/>
      <c r="Z107" s="69"/>
      <c r="AA107" s="70"/>
      <c r="AB107" s="71"/>
      <c r="AC107" s="71"/>
      <c r="AD107" s="71"/>
      <c r="AE107" s="71"/>
      <c r="AF107" s="71"/>
      <c r="AG107" s="71"/>
      <c r="AH107" s="71"/>
    </row>
    <row r="108" ht="15.75" customHeight="1">
      <c r="C108" s="841"/>
      <c r="E108" s="915"/>
      <c r="G108" s="13"/>
      <c r="H108" s="13"/>
      <c r="I108" s="6"/>
      <c r="J108" s="58"/>
      <c r="K108" s="6"/>
      <c r="L108" s="139"/>
      <c r="M108" s="3"/>
      <c r="N108" s="191"/>
      <c r="O108" s="60"/>
      <c r="Q108" s="67"/>
      <c r="R108" s="65"/>
      <c r="S108" s="3"/>
      <c r="U108" s="67"/>
      <c r="V108" s="67"/>
      <c r="Z108" s="69"/>
      <c r="AA108" s="70"/>
      <c r="AB108" s="71"/>
      <c r="AC108" s="71"/>
      <c r="AD108" s="71"/>
      <c r="AE108" s="71"/>
      <c r="AF108" s="71"/>
      <c r="AG108" s="71"/>
      <c r="AH108" s="71"/>
    </row>
    <row r="109" ht="15.75" customHeight="1">
      <c r="C109" s="841"/>
      <c r="E109" s="915"/>
      <c r="G109" s="13"/>
      <c r="H109" s="13"/>
      <c r="I109" s="6"/>
      <c r="J109" s="58"/>
      <c r="K109" s="6"/>
      <c r="L109" s="139"/>
      <c r="M109" s="3"/>
      <c r="N109" s="191"/>
      <c r="O109" s="60"/>
      <c r="Q109" s="67"/>
      <c r="R109" s="65"/>
      <c r="S109" s="3"/>
      <c r="U109" s="67"/>
      <c r="V109" s="67"/>
      <c r="Z109" s="69"/>
      <c r="AA109" s="70"/>
      <c r="AB109" s="71"/>
      <c r="AC109" s="71"/>
      <c r="AD109" s="71"/>
      <c r="AE109" s="71"/>
      <c r="AF109" s="71"/>
      <c r="AG109" s="71"/>
      <c r="AH109" s="71"/>
    </row>
    <row r="110" ht="15.75" customHeight="1">
      <c r="C110" s="841"/>
      <c r="E110" s="915"/>
      <c r="G110" s="13"/>
      <c r="H110" s="13"/>
      <c r="I110" s="6"/>
      <c r="J110" s="58"/>
      <c r="K110" s="6"/>
      <c r="L110" s="139"/>
      <c r="M110" s="3"/>
      <c r="N110" s="191"/>
      <c r="O110" s="60"/>
      <c r="Q110" s="67"/>
      <c r="R110" s="65"/>
      <c r="S110" s="3"/>
      <c r="U110" s="67"/>
      <c r="V110" s="67"/>
      <c r="Z110" s="69"/>
      <c r="AA110" s="70"/>
      <c r="AB110" s="71"/>
      <c r="AC110" s="71"/>
      <c r="AD110" s="71"/>
      <c r="AE110" s="71"/>
      <c r="AF110" s="71"/>
      <c r="AG110" s="71"/>
      <c r="AH110" s="71"/>
    </row>
    <row r="111" ht="15.75" customHeight="1">
      <c r="C111" s="841"/>
      <c r="E111" s="915"/>
      <c r="G111" s="13"/>
      <c r="H111" s="13"/>
      <c r="I111" s="6"/>
      <c r="J111" s="58"/>
      <c r="K111" s="6"/>
      <c r="L111" s="139"/>
      <c r="M111" s="3"/>
      <c r="N111" s="191"/>
      <c r="O111" s="60"/>
      <c r="Q111" s="67"/>
      <c r="R111" s="65"/>
      <c r="S111" s="3"/>
      <c r="U111" s="67"/>
      <c r="V111" s="67"/>
      <c r="Z111" s="69"/>
      <c r="AA111" s="70"/>
      <c r="AB111" s="71"/>
      <c r="AC111" s="71"/>
      <c r="AD111" s="71"/>
      <c r="AE111" s="71"/>
      <c r="AF111" s="71"/>
      <c r="AG111" s="71"/>
      <c r="AH111" s="71"/>
    </row>
    <row r="112" ht="15.75" customHeight="1">
      <c r="C112" s="841"/>
      <c r="E112" s="915"/>
      <c r="G112" s="13"/>
      <c r="H112" s="13"/>
      <c r="I112" s="6"/>
      <c r="J112" s="58"/>
      <c r="K112" s="6"/>
      <c r="L112" s="139"/>
      <c r="M112" s="3"/>
      <c r="N112" s="191"/>
      <c r="O112" s="60"/>
      <c r="Q112" s="67"/>
      <c r="R112" s="65"/>
      <c r="S112" s="3"/>
      <c r="U112" s="67"/>
      <c r="V112" s="67"/>
      <c r="Z112" s="69"/>
      <c r="AA112" s="70"/>
      <c r="AB112" s="71"/>
      <c r="AC112" s="71"/>
      <c r="AD112" s="71"/>
      <c r="AE112" s="71"/>
      <c r="AF112" s="71"/>
      <c r="AG112" s="71"/>
      <c r="AH112" s="71"/>
    </row>
    <row r="113" ht="15.75" customHeight="1">
      <c r="C113" s="841"/>
      <c r="E113" s="915"/>
      <c r="G113" s="13"/>
      <c r="H113" s="13"/>
      <c r="I113" s="6"/>
      <c r="J113" s="58"/>
      <c r="K113" s="6"/>
      <c r="L113" s="139"/>
      <c r="M113" s="3"/>
      <c r="N113" s="191"/>
      <c r="O113" s="60"/>
      <c r="Q113" s="67"/>
      <c r="R113" s="65"/>
      <c r="S113" s="3"/>
      <c r="U113" s="67"/>
      <c r="V113" s="67"/>
      <c r="Z113" s="69"/>
      <c r="AA113" s="70"/>
      <c r="AB113" s="71"/>
      <c r="AC113" s="71"/>
      <c r="AD113" s="71"/>
      <c r="AE113" s="71"/>
      <c r="AF113" s="71"/>
      <c r="AG113" s="71"/>
      <c r="AH113" s="71"/>
    </row>
    <row r="114" ht="15.75" customHeight="1">
      <c r="C114" s="841"/>
      <c r="E114" s="915"/>
      <c r="G114" s="13"/>
      <c r="H114" s="13"/>
      <c r="I114" s="6"/>
      <c r="J114" s="58"/>
      <c r="K114" s="6"/>
      <c r="L114" s="139"/>
      <c r="M114" s="3"/>
      <c r="N114" s="191"/>
      <c r="O114" s="60"/>
      <c r="Q114" s="67"/>
      <c r="R114" s="65"/>
      <c r="S114" s="3"/>
      <c r="U114" s="67"/>
      <c r="V114" s="67"/>
      <c r="Z114" s="69"/>
      <c r="AA114" s="70"/>
      <c r="AB114" s="71"/>
      <c r="AC114" s="71"/>
      <c r="AD114" s="71"/>
      <c r="AE114" s="71"/>
      <c r="AF114" s="71"/>
      <c r="AG114" s="71"/>
      <c r="AH114" s="71"/>
    </row>
    <row r="115" ht="15.75" customHeight="1">
      <c r="C115" s="841"/>
      <c r="E115" s="915"/>
      <c r="G115" s="13"/>
      <c r="H115" s="13"/>
      <c r="I115" s="6"/>
      <c r="J115" s="58"/>
      <c r="K115" s="6"/>
      <c r="L115" s="139"/>
      <c r="M115" s="3"/>
      <c r="N115" s="191"/>
      <c r="O115" s="60"/>
      <c r="Q115" s="67"/>
      <c r="R115" s="65"/>
      <c r="S115" s="3"/>
      <c r="U115" s="67"/>
      <c r="V115" s="67"/>
      <c r="Z115" s="69"/>
      <c r="AA115" s="70"/>
      <c r="AB115" s="71"/>
      <c r="AC115" s="71"/>
      <c r="AD115" s="71"/>
      <c r="AE115" s="71"/>
      <c r="AF115" s="71"/>
      <c r="AG115" s="71"/>
      <c r="AH115" s="71"/>
    </row>
    <row r="116" ht="15.75" customHeight="1">
      <c r="C116" s="841"/>
      <c r="E116" s="915"/>
      <c r="G116" s="13"/>
      <c r="H116" s="13"/>
      <c r="I116" s="6"/>
      <c r="J116" s="58"/>
      <c r="K116" s="6"/>
      <c r="L116" s="139"/>
      <c r="M116" s="3"/>
      <c r="N116" s="191"/>
      <c r="O116" s="60"/>
      <c r="Q116" s="67"/>
      <c r="R116" s="65"/>
      <c r="S116" s="3"/>
      <c r="U116" s="67"/>
      <c r="V116" s="67"/>
      <c r="Z116" s="69"/>
      <c r="AA116" s="70"/>
      <c r="AB116" s="71"/>
      <c r="AC116" s="71"/>
      <c r="AD116" s="71"/>
      <c r="AE116" s="71"/>
      <c r="AF116" s="71"/>
      <c r="AG116" s="71"/>
      <c r="AH116" s="71"/>
    </row>
    <row r="117" ht="15.75" customHeight="1">
      <c r="C117" s="841"/>
      <c r="E117" s="915"/>
      <c r="G117" s="13"/>
      <c r="H117" s="13"/>
      <c r="I117" s="6"/>
      <c r="J117" s="58"/>
      <c r="K117" s="6"/>
      <c r="L117" s="139"/>
      <c r="M117" s="3"/>
      <c r="N117" s="191"/>
      <c r="O117" s="60"/>
      <c r="Q117" s="67"/>
      <c r="R117" s="65"/>
      <c r="S117" s="3"/>
      <c r="U117" s="67"/>
      <c r="V117" s="67"/>
      <c r="Z117" s="69"/>
      <c r="AA117" s="70"/>
      <c r="AB117" s="71"/>
      <c r="AC117" s="71"/>
      <c r="AD117" s="71"/>
      <c r="AE117" s="71"/>
      <c r="AF117" s="71"/>
      <c r="AG117" s="71"/>
      <c r="AH117" s="71"/>
    </row>
    <row r="118" ht="15.75" customHeight="1">
      <c r="C118" s="841"/>
      <c r="E118" s="915"/>
      <c r="G118" s="13"/>
      <c r="H118" s="13"/>
      <c r="I118" s="6"/>
      <c r="J118" s="58"/>
      <c r="K118" s="6"/>
      <c r="L118" s="139"/>
      <c r="M118" s="3"/>
      <c r="N118" s="191"/>
      <c r="O118" s="60"/>
      <c r="Q118" s="67"/>
      <c r="R118" s="65"/>
      <c r="S118" s="3"/>
      <c r="U118" s="67"/>
      <c r="V118" s="67"/>
      <c r="Z118" s="69"/>
      <c r="AA118" s="70"/>
      <c r="AB118" s="71"/>
      <c r="AC118" s="71"/>
      <c r="AD118" s="71"/>
      <c r="AE118" s="71"/>
      <c r="AF118" s="71"/>
      <c r="AG118" s="71"/>
      <c r="AH118" s="71"/>
    </row>
    <row r="119" ht="15.75" customHeight="1">
      <c r="C119" s="841"/>
      <c r="E119" s="915"/>
      <c r="G119" s="13"/>
      <c r="H119" s="13"/>
      <c r="I119" s="6"/>
      <c r="J119" s="58"/>
      <c r="K119" s="6"/>
      <c r="L119" s="139"/>
      <c r="M119" s="3"/>
      <c r="N119" s="191"/>
      <c r="O119" s="60"/>
      <c r="Q119" s="67"/>
      <c r="R119" s="65"/>
      <c r="S119" s="3"/>
      <c r="U119" s="67"/>
      <c r="V119" s="67"/>
      <c r="Z119" s="69"/>
      <c r="AA119" s="70"/>
      <c r="AB119" s="71"/>
      <c r="AC119" s="71"/>
      <c r="AD119" s="71"/>
      <c r="AE119" s="71"/>
      <c r="AF119" s="71"/>
      <c r="AG119" s="71"/>
      <c r="AH119" s="71"/>
    </row>
    <row r="120" ht="15.75" customHeight="1">
      <c r="C120" s="841"/>
      <c r="E120" s="915"/>
      <c r="G120" s="13"/>
      <c r="H120" s="13"/>
      <c r="I120" s="6"/>
      <c r="J120" s="58"/>
      <c r="K120" s="6"/>
      <c r="L120" s="139"/>
      <c r="M120" s="3"/>
      <c r="N120" s="191"/>
      <c r="O120" s="60"/>
      <c r="Q120" s="67"/>
      <c r="R120" s="65"/>
      <c r="S120" s="3"/>
      <c r="U120" s="67"/>
      <c r="V120" s="67"/>
      <c r="Z120" s="69"/>
      <c r="AA120" s="70"/>
      <c r="AB120" s="71"/>
      <c r="AC120" s="71"/>
      <c r="AD120" s="71"/>
      <c r="AE120" s="71"/>
      <c r="AF120" s="71"/>
      <c r="AG120" s="71"/>
      <c r="AH120" s="71"/>
    </row>
    <row r="121" ht="15.75" customHeight="1">
      <c r="C121" s="841"/>
      <c r="E121" s="915"/>
      <c r="G121" s="13"/>
      <c r="H121" s="13"/>
      <c r="I121" s="6"/>
      <c r="J121" s="58"/>
      <c r="K121" s="6"/>
      <c r="L121" s="139"/>
      <c r="M121" s="3"/>
      <c r="N121" s="191"/>
      <c r="O121" s="60"/>
      <c r="Q121" s="67"/>
      <c r="R121" s="65"/>
      <c r="S121" s="3"/>
      <c r="U121" s="67"/>
      <c r="V121" s="67"/>
      <c r="Z121" s="69"/>
      <c r="AA121" s="70"/>
      <c r="AB121" s="71"/>
      <c r="AC121" s="71"/>
      <c r="AD121" s="71"/>
      <c r="AE121" s="71"/>
      <c r="AF121" s="71"/>
      <c r="AG121" s="71"/>
      <c r="AH121" s="71"/>
    </row>
    <row r="122" ht="15.75" customHeight="1">
      <c r="C122" s="841"/>
      <c r="E122" s="915"/>
      <c r="G122" s="13"/>
      <c r="H122" s="13"/>
      <c r="I122" s="6"/>
      <c r="J122" s="58"/>
      <c r="K122" s="6"/>
      <c r="L122" s="139"/>
      <c r="M122" s="3"/>
      <c r="N122" s="191"/>
      <c r="O122" s="60"/>
      <c r="Q122" s="67"/>
      <c r="R122" s="65"/>
      <c r="S122" s="3"/>
      <c r="U122" s="67"/>
      <c r="V122" s="67"/>
      <c r="Z122" s="69"/>
      <c r="AA122" s="70"/>
      <c r="AB122" s="71"/>
      <c r="AC122" s="71"/>
      <c r="AD122" s="71"/>
      <c r="AE122" s="71"/>
      <c r="AF122" s="71"/>
      <c r="AG122" s="71"/>
      <c r="AH122" s="71"/>
    </row>
    <row r="123" ht="15.75" customHeight="1">
      <c r="C123" s="841"/>
      <c r="E123" s="915"/>
      <c r="G123" s="13"/>
      <c r="H123" s="13"/>
      <c r="I123" s="6"/>
      <c r="J123" s="58"/>
      <c r="K123" s="6"/>
      <c r="L123" s="139"/>
      <c r="M123" s="3"/>
      <c r="N123" s="191"/>
      <c r="O123" s="60"/>
      <c r="Q123" s="67"/>
      <c r="R123" s="65"/>
      <c r="S123" s="3"/>
      <c r="U123" s="67"/>
      <c r="V123" s="67"/>
      <c r="Z123" s="69"/>
      <c r="AA123" s="70"/>
      <c r="AB123" s="71"/>
      <c r="AC123" s="71"/>
      <c r="AD123" s="71"/>
      <c r="AE123" s="71"/>
      <c r="AF123" s="71"/>
      <c r="AG123" s="71"/>
      <c r="AH123" s="71"/>
    </row>
    <row r="124" ht="15.75" customHeight="1">
      <c r="C124" s="841"/>
      <c r="E124" s="915"/>
      <c r="G124" s="13"/>
      <c r="H124" s="13"/>
      <c r="I124" s="6"/>
      <c r="J124" s="58"/>
      <c r="K124" s="6"/>
      <c r="L124" s="139"/>
      <c r="M124" s="3"/>
      <c r="N124" s="191"/>
      <c r="O124" s="60"/>
      <c r="Q124" s="67"/>
      <c r="R124" s="65"/>
      <c r="S124" s="3"/>
      <c r="U124" s="67"/>
      <c r="V124" s="67"/>
      <c r="Z124" s="69"/>
      <c r="AA124" s="70"/>
      <c r="AB124" s="71"/>
      <c r="AC124" s="71"/>
      <c r="AD124" s="71"/>
      <c r="AE124" s="71"/>
      <c r="AF124" s="71"/>
      <c r="AG124" s="71"/>
      <c r="AH124" s="71"/>
    </row>
    <row r="125" ht="15.75" customHeight="1">
      <c r="C125" s="841"/>
      <c r="E125" s="915"/>
      <c r="G125" s="13"/>
      <c r="H125" s="13"/>
      <c r="I125" s="6"/>
      <c r="J125" s="58"/>
      <c r="K125" s="6"/>
      <c r="L125" s="139"/>
      <c r="M125" s="3"/>
      <c r="N125" s="191"/>
      <c r="O125" s="60"/>
      <c r="Q125" s="67"/>
      <c r="R125" s="65"/>
      <c r="S125" s="3"/>
      <c r="U125" s="67"/>
      <c r="V125" s="67"/>
      <c r="Z125" s="69"/>
      <c r="AA125" s="70"/>
      <c r="AB125" s="71"/>
      <c r="AC125" s="71"/>
      <c r="AD125" s="71"/>
      <c r="AE125" s="71"/>
      <c r="AF125" s="71"/>
      <c r="AG125" s="71"/>
      <c r="AH125" s="71"/>
    </row>
    <row r="126" ht="15.75" customHeight="1">
      <c r="C126" s="841"/>
      <c r="E126" s="915"/>
      <c r="G126" s="13"/>
      <c r="H126" s="13"/>
      <c r="I126" s="6"/>
      <c r="J126" s="58"/>
      <c r="K126" s="6"/>
      <c r="L126" s="139"/>
      <c r="M126" s="3"/>
      <c r="N126" s="191"/>
      <c r="O126" s="60"/>
      <c r="Q126" s="67"/>
      <c r="R126" s="65"/>
      <c r="S126" s="3"/>
      <c r="U126" s="67"/>
      <c r="V126" s="67"/>
      <c r="Z126" s="69"/>
      <c r="AA126" s="70"/>
      <c r="AB126" s="71"/>
      <c r="AC126" s="71"/>
      <c r="AD126" s="71"/>
      <c r="AE126" s="71"/>
      <c r="AF126" s="71"/>
      <c r="AG126" s="71"/>
      <c r="AH126" s="71"/>
    </row>
    <row r="127" ht="15.75" customHeight="1">
      <c r="C127" s="841"/>
      <c r="E127" s="915"/>
      <c r="G127" s="13"/>
      <c r="H127" s="13"/>
      <c r="I127" s="6"/>
      <c r="J127" s="58"/>
      <c r="K127" s="6"/>
      <c r="L127" s="139"/>
      <c r="M127" s="3"/>
      <c r="N127" s="191"/>
      <c r="O127" s="60"/>
      <c r="Q127" s="67"/>
      <c r="R127" s="65"/>
      <c r="S127" s="3"/>
      <c r="U127" s="67"/>
      <c r="V127" s="67"/>
      <c r="Z127" s="69"/>
      <c r="AA127" s="70"/>
      <c r="AB127" s="71"/>
      <c r="AC127" s="71"/>
      <c r="AD127" s="71"/>
      <c r="AE127" s="71"/>
      <c r="AF127" s="71"/>
      <c r="AG127" s="71"/>
      <c r="AH127" s="71"/>
    </row>
    <row r="128" ht="15.75" customHeight="1">
      <c r="C128" s="841"/>
      <c r="E128" s="915"/>
      <c r="G128" s="13"/>
      <c r="H128" s="13"/>
      <c r="I128" s="6"/>
      <c r="J128" s="58"/>
      <c r="K128" s="6"/>
      <c r="L128" s="139"/>
      <c r="M128" s="3"/>
      <c r="N128" s="191"/>
      <c r="O128" s="60"/>
      <c r="Q128" s="67"/>
      <c r="R128" s="65"/>
      <c r="S128" s="3"/>
      <c r="U128" s="67"/>
      <c r="V128" s="67"/>
      <c r="Z128" s="69"/>
      <c r="AA128" s="70"/>
      <c r="AB128" s="71"/>
      <c r="AC128" s="71"/>
      <c r="AD128" s="71"/>
      <c r="AE128" s="71"/>
      <c r="AF128" s="71"/>
      <c r="AG128" s="71"/>
      <c r="AH128" s="71"/>
    </row>
    <row r="129" ht="15.75" customHeight="1">
      <c r="C129" s="841"/>
      <c r="E129" s="915"/>
      <c r="G129" s="13"/>
      <c r="H129" s="13"/>
      <c r="I129" s="6"/>
      <c r="J129" s="58"/>
      <c r="K129" s="6"/>
      <c r="L129" s="139"/>
      <c r="M129" s="3"/>
      <c r="N129" s="191"/>
      <c r="O129" s="60"/>
      <c r="Q129" s="67"/>
      <c r="R129" s="65"/>
      <c r="S129" s="3"/>
      <c r="U129" s="67"/>
      <c r="V129" s="67"/>
      <c r="Z129" s="69"/>
      <c r="AA129" s="70"/>
      <c r="AB129" s="71"/>
      <c r="AC129" s="71"/>
      <c r="AD129" s="71"/>
      <c r="AE129" s="71"/>
      <c r="AF129" s="71"/>
      <c r="AG129" s="71"/>
      <c r="AH129" s="71"/>
    </row>
    <row r="130" ht="15.75" customHeight="1">
      <c r="C130" s="841"/>
      <c r="E130" s="915"/>
      <c r="G130" s="13"/>
      <c r="H130" s="13"/>
      <c r="I130" s="6"/>
      <c r="J130" s="58"/>
      <c r="K130" s="6"/>
      <c r="L130" s="139"/>
      <c r="M130" s="3"/>
      <c r="N130" s="191"/>
      <c r="O130" s="60"/>
      <c r="Q130" s="67"/>
      <c r="R130" s="65"/>
      <c r="S130" s="3"/>
      <c r="U130" s="67"/>
      <c r="V130" s="67"/>
      <c r="Z130" s="69"/>
      <c r="AA130" s="70"/>
      <c r="AB130" s="71"/>
      <c r="AC130" s="71"/>
      <c r="AD130" s="71"/>
      <c r="AE130" s="71"/>
      <c r="AF130" s="71"/>
      <c r="AG130" s="71"/>
      <c r="AH130" s="71"/>
    </row>
    <row r="131" ht="15.75" customHeight="1">
      <c r="C131" s="841"/>
      <c r="E131" s="915"/>
      <c r="G131" s="13"/>
      <c r="H131" s="13"/>
      <c r="I131" s="6"/>
      <c r="J131" s="58"/>
      <c r="K131" s="6"/>
      <c r="L131" s="139"/>
      <c r="M131" s="3"/>
      <c r="N131" s="191"/>
      <c r="O131" s="60"/>
      <c r="Q131" s="67"/>
      <c r="R131" s="65"/>
      <c r="S131" s="3"/>
      <c r="U131" s="67"/>
      <c r="V131" s="67"/>
      <c r="Z131" s="69"/>
      <c r="AA131" s="70"/>
      <c r="AB131" s="71"/>
      <c r="AC131" s="71"/>
      <c r="AD131" s="71"/>
      <c r="AE131" s="71"/>
      <c r="AF131" s="71"/>
      <c r="AG131" s="71"/>
      <c r="AH131" s="71"/>
    </row>
    <row r="132" ht="15.75" customHeight="1">
      <c r="C132" s="841"/>
      <c r="E132" s="915"/>
      <c r="G132" s="13"/>
      <c r="H132" s="13"/>
      <c r="I132" s="6"/>
      <c r="J132" s="58"/>
      <c r="K132" s="6"/>
      <c r="L132" s="139"/>
      <c r="M132" s="3"/>
      <c r="N132" s="191"/>
      <c r="O132" s="60"/>
      <c r="Q132" s="67"/>
      <c r="R132" s="65"/>
      <c r="S132" s="3"/>
      <c r="U132" s="67"/>
      <c r="V132" s="67"/>
      <c r="Z132" s="69"/>
      <c r="AA132" s="70"/>
      <c r="AB132" s="71"/>
      <c r="AC132" s="71"/>
      <c r="AD132" s="71"/>
      <c r="AE132" s="71"/>
      <c r="AF132" s="71"/>
      <c r="AG132" s="71"/>
      <c r="AH132" s="71"/>
    </row>
    <row r="133" ht="15.75" customHeight="1">
      <c r="C133" s="841"/>
      <c r="E133" s="915"/>
      <c r="G133" s="13"/>
      <c r="H133" s="13"/>
      <c r="I133" s="6"/>
      <c r="J133" s="58"/>
      <c r="K133" s="6"/>
      <c r="L133" s="139"/>
      <c r="M133" s="3"/>
      <c r="N133" s="191"/>
      <c r="O133" s="60"/>
      <c r="Q133" s="67"/>
      <c r="R133" s="65"/>
      <c r="S133" s="3"/>
      <c r="U133" s="67"/>
      <c r="V133" s="67"/>
      <c r="Z133" s="69"/>
      <c r="AA133" s="70"/>
      <c r="AB133" s="71"/>
      <c r="AC133" s="71"/>
      <c r="AD133" s="71"/>
      <c r="AE133" s="71"/>
      <c r="AF133" s="71"/>
      <c r="AG133" s="71"/>
      <c r="AH133" s="71"/>
    </row>
    <row r="134" ht="15.75" customHeight="1">
      <c r="C134" s="841"/>
      <c r="E134" s="915"/>
      <c r="G134" s="13"/>
      <c r="H134" s="13"/>
      <c r="I134" s="6"/>
      <c r="J134" s="58"/>
      <c r="K134" s="6"/>
      <c r="L134" s="139"/>
      <c r="M134" s="3"/>
      <c r="N134" s="191"/>
      <c r="O134" s="60"/>
      <c r="Q134" s="67"/>
      <c r="R134" s="65"/>
      <c r="S134" s="3"/>
      <c r="U134" s="67"/>
      <c r="V134" s="67"/>
      <c r="Z134" s="69"/>
      <c r="AA134" s="70"/>
      <c r="AB134" s="71"/>
      <c r="AC134" s="71"/>
      <c r="AD134" s="71"/>
      <c r="AE134" s="71"/>
      <c r="AF134" s="71"/>
      <c r="AG134" s="71"/>
      <c r="AH134" s="71"/>
    </row>
    <row r="135" ht="15.75" customHeight="1">
      <c r="C135" s="841"/>
      <c r="E135" s="915"/>
      <c r="G135" s="13"/>
      <c r="H135" s="13"/>
      <c r="I135" s="6"/>
      <c r="J135" s="58"/>
      <c r="K135" s="6"/>
      <c r="L135" s="139"/>
      <c r="M135" s="3"/>
      <c r="N135" s="191"/>
      <c r="O135" s="60"/>
      <c r="Q135" s="67"/>
      <c r="R135" s="65"/>
      <c r="S135" s="3"/>
      <c r="U135" s="67"/>
      <c r="V135" s="67"/>
      <c r="Z135" s="69"/>
      <c r="AA135" s="70"/>
      <c r="AB135" s="71"/>
      <c r="AC135" s="71"/>
      <c r="AD135" s="71"/>
      <c r="AE135" s="71"/>
      <c r="AF135" s="71"/>
      <c r="AG135" s="71"/>
      <c r="AH135" s="71"/>
    </row>
    <row r="136" ht="15.75" customHeight="1">
      <c r="C136" s="841"/>
      <c r="E136" s="915"/>
      <c r="G136" s="13"/>
      <c r="H136" s="13"/>
      <c r="I136" s="6"/>
      <c r="J136" s="58"/>
      <c r="K136" s="6"/>
      <c r="L136" s="139"/>
      <c r="M136" s="3"/>
      <c r="N136" s="191"/>
      <c r="O136" s="60"/>
      <c r="Q136" s="67"/>
      <c r="R136" s="65"/>
      <c r="S136" s="3"/>
      <c r="U136" s="67"/>
      <c r="V136" s="67"/>
      <c r="Z136" s="69"/>
      <c r="AA136" s="70"/>
      <c r="AB136" s="71"/>
      <c r="AC136" s="71"/>
      <c r="AD136" s="71"/>
      <c r="AE136" s="71"/>
      <c r="AF136" s="71"/>
      <c r="AG136" s="71"/>
      <c r="AH136" s="71"/>
    </row>
    <row r="137" ht="15.75" customHeight="1">
      <c r="C137" s="841"/>
      <c r="E137" s="915"/>
      <c r="G137" s="13"/>
      <c r="H137" s="13"/>
      <c r="I137" s="6"/>
      <c r="J137" s="58"/>
      <c r="K137" s="6"/>
      <c r="L137" s="139"/>
      <c r="M137" s="3"/>
      <c r="N137" s="191"/>
      <c r="O137" s="60"/>
      <c r="Q137" s="67"/>
      <c r="R137" s="65"/>
      <c r="S137" s="3"/>
      <c r="U137" s="67"/>
      <c r="V137" s="67"/>
      <c r="Z137" s="69"/>
      <c r="AA137" s="70"/>
      <c r="AB137" s="71"/>
      <c r="AC137" s="71"/>
      <c r="AD137" s="71"/>
      <c r="AE137" s="71"/>
      <c r="AF137" s="71"/>
      <c r="AG137" s="71"/>
      <c r="AH137" s="71"/>
    </row>
    <row r="138" ht="15.75" customHeight="1">
      <c r="C138" s="841"/>
      <c r="E138" s="915"/>
      <c r="G138" s="13"/>
      <c r="H138" s="13"/>
      <c r="I138" s="6"/>
      <c r="J138" s="58"/>
      <c r="K138" s="6"/>
      <c r="L138" s="139"/>
      <c r="M138" s="3"/>
      <c r="N138" s="191"/>
      <c r="O138" s="60"/>
      <c r="Q138" s="67"/>
      <c r="R138" s="65"/>
      <c r="S138" s="3"/>
      <c r="U138" s="67"/>
      <c r="V138" s="67"/>
      <c r="Z138" s="69"/>
      <c r="AA138" s="70"/>
      <c r="AB138" s="71"/>
      <c r="AC138" s="71"/>
      <c r="AD138" s="71"/>
      <c r="AE138" s="71"/>
      <c r="AF138" s="71"/>
      <c r="AG138" s="71"/>
      <c r="AH138" s="71"/>
    </row>
    <row r="139" ht="15.75" customHeight="1">
      <c r="C139" s="841"/>
      <c r="E139" s="915"/>
      <c r="G139" s="13"/>
      <c r="H139" s="13"/>
      <c r="I139" s="6"/>
      <c r="J139" s="58"/>
      <c r="K139" s="6"/>
      <c r="L139" s="139"/>
      <c r="M139" s="3"/>
      <c r="N139" s="191"/>
      <c r="O139" s="60"/>
      <c r="Q139" s="67"/>
      <c r="R139" s="65"/>
      <c r="S139" s="3"/>
      <c r="U139" s="67"/>
      <c r="V139" s="67"/>
      <c r="Z139" s="69"/>
      <c r="AA139" s="70"/>
      <c r="AB139" s="71"/>
      <c r="AC139" s="71"/>
      <c r="AD139" s="71"/>
      <c r="AE139" s="71"/>
      <c r="AF139" s="71"/>
      <c r="AG139" s="71"/>
      <c r="AH139" s="71"/>
    </row>
    <row r="140" ht="15.75" customHeight="1">
      <c r="C140" s="841"/>
      <c r="E140" s="915"/>
      <c r="G140" s="13"/>
      <c r="H140" s="13"/>
      <c r="I140" s="6"/>
      <c r="J140" s="58"/>
      <c r="K140" s="6"/>
      <c r="L140" s="139"/>
      <c r="M140" s="3"/>
      <c r="N140" s="191"/>
      <c r="O140" s="60"/>
      <c r="Q140" s="67"/>
      <c r="R140" s="65"/>
      <c r="S140" s="3"/>
      <c r="U140" s="67"/>
      <c r="V140" s="67"/>
      <c r="Z140" s="69"/>
      <c r="AA140" s="70"/>
      <c r="AB140" s="71"/>
      <c r="AC140" s="71"/>
      <c r="AD140" s="71"/>
      <c r="AE140" s="71"/>
      <c r="AF140" s="71"/>
      <c r="AG140" s="71"/>
      <c r="AH140" s="71"/>
    </row>
    <row r="141" ht="15.75" customHeight="1">
      <c r="C141" s="841"/>
      <c r="E141" s="915"/>
      <c r="G141" s="13"/>
      <c r="H141" s="13"/>
      <c r="I141" s="6"/>
      <c r="J141" s="58"/>
      <c r="K141" s="6"/>
      <c r="L141" s="139"/>
      <c r="M141" s="3"/>
      <c r="N141" s="191"/>
      <c r="O141" s="60"/>
      <c r="Q141" s="67"/>
      <c r="R141" s="65"/>
      <c r="S141" s="3"/>
      <c r="U141" s="67"/>
      <c r="V141" s="67"/>
      <c r="Z141" s="69"/>
      <c r="AA141" s="70"/>
      <c r="AB141" s="71"/>
      <c r="AC141" s="71"/>
      <c r="AD141" s="71"/>
      <c r="AE141" s="71"/>
      <c r="AF141" s="71"/>
      <c r="AG141" s="71"/>
      <c r="AH141" s="71"/>
    </row>
    <row r="142" ht="15.75" customHeight="1">
      <c r="C142" s="841"/>
      <c r="E142" s="915"/>
      <c r="G142" s="13"/>
      <c r="H142" s="13"/>
      <c r="I142" s="6"/>
      <c r="J142" s="58"/>
      <c r="K142" s="6"/>
      <c r="L142" s="139"/>
      <c r="M142" s="3"/>
      <c r="N142" s="191"/>
      <c r="O142" s="60"/>
      <c r="Q142" s="67"/>
      <c r="R142" s="65"/>
      <c r="S142" s="3"/>
      <c r="U142" s="67"/>
      <c r="V142" s="67"/>
      <c r="Z142" s="69"/>
      <c r="AA142" s="70"/>
      <c r="AB142" s="71"/>
      <c r="AC142" s="71"/>
      <c r="AD142" s="71"/>
      <c r="AE142" s="71"/>
      <c r="AF142" s="71"/>
      <c r="AG142" s="71"/>
      <c r="AH142" s="71"/>
    </row>
    <row r="143" ht="15.75" customHeight="1">
      <c r="C143" s="841"/>
      <c r="E143" s="915"/>
      <c r="G143" s="13"/>
      <c r="H143" s="13"/>
      <c r="I143" s="6"/>
      <c r="J143" s="58"/>
      <c r="K143" s="6"/>
      <c r="L143" s="139"/>
      <c r="M143" s="3"/>
      <c r="N143" s="191"/>
      <c r="O143" s="60"/>
      <c r="Q143" s="67"/>
      <c r="R143" s="65"/>
      <c r="S143" s="3"/>
      <c r="U143" s="67"/>
      <c r="V143" s="67"/>
      <c r="Z143" s="69"/>
      <c r="AA143" s="70"/>
      <c r="AB143" s="71"/>
      <c r="AC143" s="71"/>
      <c r="AD143" s="71"/>
      <c r="AE143" s="71"/>
      <c r="AF143" s="71"/>
      <c r="AG143" s="71"/>
      <c r="AH143" s="71"/>
    </row>
    <row r="144" ht="15.75" customHeight="1">
      <c r="C144" s="841"/>
      <c r="E144" s="915"/>
      <c r="G144" s="13"/>
      <c r="H144" s="13"/>
      <c r="I144" s="6"/>
      <c r="J144" s="58"/>
      <c r="K144" s="6"/>
      <c r="L144" s="139"/>
      <c r="M144" s="3"/>
      <c r="N144" s="191"/>
      <c r="O144" s="60"/>
      <c r="Q144" s="67"/>
      <c r="R144" s="65"/>
      <c r="S144" s="3"/>
      <c r="U144" s="67"/>
      <c r="V144" s="67"/>
      <c r="Z144" s="69"/>
      <c r="AA144" s="70"/>
      <c r="AB144" s="71"/>
      <c r="AC144" s="71"/>
      <c r="AD144" s="71"/>
      <c r="AE144" s="71"/>
      <c r="AF144" s="71"/>
      <c r="AG144" s="71"/>
      <c r="AH144" s="71"/>
    </row>
    <row r="145" ht="15.75" customHeight="1">
      <c r="C145" s="841"/>
      <c r="E145" s="915"/>
      <c r="G145" s="13"/>
      <c r="H145" s="13"/>
      <c r="I145" s="6"/>
      <c r="J145" s="58"/>
      <c r="K145" s="6"/>
      <c r="L145" s="139"/>
      <c r="M145" s="3"/>
      <c r="N145" s="191"/>
      <c r="O145" s="60"/>
      <c r="Q145" s="67"/>
      <c r="R145" s="65"/>
      <c r="S145" s="3"/>
      <c r="U145" s="67"/>
      <c r="V145" s="67"/>
      <c r="Z145" s="69"/>
      <c r="AA145" s="70"/>
      <c r="AB145" s="71"/>
      <c r="AC145" s="71"/>
      <c r="AD145" s="71"/>
      <c r="AE145" s="71"/>
      <c r="AF145" s="71"/>
      <c r="AG145" s="71"/>
      <c r="AH145" s="71"/>
    </row>
    <row r="146" ht="15.75" customHeight="1">
      <c r="C146" s="841"/>
      <c r="E146" s="915"/>
      <c r="G146" s="13"/>
      <c r="H146" s="13"/>
      <c r="I146" s="6"/>
      <c r="J146" s="58"/>
      <c r="K146" s="6"/>
      <c r="L146" s="139"/>
      <c r="M146" s="3"/>
      <c r="N146" s="191"/>
      <c r="O146" s="60"/>
      <c r="Q146" s="67"/>
      <c r="R146" s="65"/>
      <c r="S146" s="3"/>
      <c r="U146" s="67"/>
      <c r="V146" s="67"/>
      <c r="Z146" s="69"/>
      <c r="AA146" s="70"/>
      <c r="AB146" s="71"/>
      <c r="AC146" s="71"/>
      <c r="AD146" s="71"/>
      <c r="AE146" s="71"/>
      <c r="AF146" s="71"/>
      <c r="AG146" s="71"/>
      <c r="AH146" s="71"/>
    </row>
    <row r="147" ht="15.75" customHeight="1">
      <c r="C147" s="841"/>
      <c r="E147" s="915"/>
      <c r="G147" s="13"/>
      <c r="H147" s="13"/>
      <c r="I147" s="6"/>
      <c r="J147" s="58"/>
      <c r="K147" s="6"/>
      <c r="L147" s="139"/>
      <c r="M147" s="3"/>
      <c r="N147" s="191"/>
      <c r="O147" s="60"/>
      <c r="Q147" s="67"/>
      <c r="R147" s="65"/>
      <c r="S147" s="3"/>
      <c r="U147" s="67"/>
      <c r="V147" s="67"/>
      <c r="Z147" s="69"/>
      <c r="AA147" s="70"/>
      <c r="AB147" s="71"/>
      <c r="AC147" s="71"/>
      <c r="AD147" s="71"/>
      <c r="AE147" s="71"/>
      <c r="AF147" s="71"/>
      <c r="AG147" s="71"/>
      <c r="AH147" s="71"/>
    </row>
    <row r="148" ht="15.75" customHeight="1">
      <c r="C148" s="841"/>
      <c r="E148" s="915"/>
      <c r="G148" s="13"/>
      <c r="H148" s="13"/>
      <c r="I148" s="6"/>
      <c r="J148" s="58"/>
      <c r="K148" s="6"/>
      <c r="L148" s="139"/>
      <c r="M148" s="3"/>
      <c r="N148" s="191"/>
      <c r="O148" s="60"/>
      <c r="Q148" s="67"/>
      <c r="R148" s="65"/>
      <c r="S148" s="3"/>
      <c r="U148" s="67"/>
      <c r="V148" s="67"/>
      <c r="Z148" s="69"/>
      <c r="AA148" s="70"/>
      <c r="AB148" s="71"/>
      <c r="AC148" s="71"/>
      <c r="AD148" s="71"/>
      <c r="AE148" s="71"/>
      <c r="AF148" s="71"/>
      <c r="AG148" s="71"/>
      <c r="AH148" s="71"/>
    </row>
    <row r="149" ht="15.75" customHeight="1">
      <c r="C149" s="841"/>
      <c r="E149" s="915"/>
      <c r="G149" s="13"/>
      <c r="H149" s="13"/>
      <c r="I149" s="6"/>
      <c r="J149" s="58"/>
      <c r="K149" s="6"/>
      <c r="L149" s="139"/>
      <c r="M149" s="3"/>
      <c r="N149" s="191"/>
      <c r="O149" s="60"/>
      <c r="Q149" s="67"/>
      <c r="R149" s="65"/>
      <c r="S149" s="3"/>
      <c r="U149" s="67"/>
      <c r="V149" s="67"/>
      <c r="Z149" s="69"/>
      <c r="AA149" s="70"/>
      <c r="AB149" s="71"/>
      <c r="AC149" s="71"/>
      <c r="AD149" s="71"/>
      <c r="AE149" s="71"/>
      <c r="AF149" s="71"/>
      <c r="AG149" s="71"/>
      <c r="AH149" s="71"/>
    </row>
    <row r="150" ht="15.75" customHeight="1">
      <c r="C150" s="841"/>
      <c r="E150" s="915"/>
      <c r="G150" s="13"/>
      <c r="H150" s="13"/>
      <c r="I150" s="6"/>
      <c r="J150" s="58"/>
      <c r="K150" s="6"/>
      <c r="L150" s="139"/>
      <c r="M150" s="3"/>
      <c r="N150" s="191"/>
      <c r="O150" s="60"/>
      <c r="Q150" s="67"/>
      <c r="R150" s="65"/>
      <c r="S150" s="3"/>
      <c r="U150" s="67"/>
      <c r="V150" s="67"/>
      <c r="Z150" s="69"/>
      <c r="AA150" s="70"/>
      <c r="AB150" s="71"/>
      <c r="AC150" s="71"/>
      <c r="AD150" s="71"/>
      <c r="AE150" s="71"/>
      <c r="AF150" s="71"/>
      <c r="AG150" s="71"/>
      <c r="AH150" s="71"/>
    </row>
    <row r="151" ht="15.75" customHeight="1">
      <c r="C151" s="841"/>
      <c r="E151" s="915"/>
      <c r="G151" s="13"/>
      <c r="H151" s="13"/>
      <c r="I151" s="6"/>
      <c r="J151" s="58"/>
      <c r="K151" s="6"/>
      <c r="L151" s="139"/>
      <c r="M151" s="3"/>
      <c r="N151" s="191"/>
      <c r="O151" s="60"/>
      <c r="Q151" s="67"/>
      <c r="R151" s="65"/>
      <c r="S151" s="3"/>
      <c r="U151" s="67"/>
      <c r="V151" s="67"/>
      <c r="Z151" s="69"/>
      <c r="AA151" s="70"/>
      <c r="AB151" s="71"/>
      <c r="AC151" s="71"/>
      <c r="AD151" s="71"/>
      <c r="AE151" s="71"/>
      <c r="AF151" s="71"/>
      <c r="AG151" s="71"/>
      <c r="AH151" s="71"/>
    </row>
    <row r="152" ht="15.75" customHeight="1">
      <c r="C152" s="841"/>
      <c r="E152" s="915"/>
      <c r="G152" s="13"/>
      <c r="H152" s="13"/>
      <c r="I152" s="6"/>
      <c r="J152" s="58"/>
      <c r="K152" s="6"/>
      <c r="L152" s="139"/>
      <c r="M152" s="3"/>
      <c r="N152" s="191"/>
      <c r="O152" s="60"/>
      <c r="Q152" s="67"/>
      <c r="R152" s="65"/>
      <c r="S152" s="3"/>
      <c r="U152" s="67"/>
      <c r="V152" s="67"/>
      <c r="Z152" s="69"/>
      <c r="AA152" s="70"/>
      <c r="AB152" s="71"/>
      <c r="AC152" s="71"/>
      <c r="AD152" s="71"/>
      <c r="AE152" s="71"/>
      <c r="AF152" s="71"/>
      <c r="AG152" s="71"/>
      <c r="AH152" s="71"/>
    </row>
    <row r="153" ht="15.75" customHeight="1">
      <c r="C153" s="841"/>
      <c r="E153" s="915"/>
      <c r="G153" s="13"/>
      <c r="H153" s="13"/>
      <c r="I153" s="6"/>
      <c r="J153" s="58"/>
      <c r="K153" s="6"/>
      <c r="L153" s="139"/>
      <c r="M153" s="3"/>
      <c r="N153" s="191"/>
      <c r="O153" s="60"/>
      <c r="Q153" s="67"/>
      <c r="R153" s="65"/>
      <c r="S153" s="3"/>
      <c r="U153" s="67"/>
      <c r="V153" s="67"/>
      <c r="Z153" s="69"/>
      <c r="AA153" s="70"/>
      <c r="AB153" s="71"/>
      <c r="AC153" s="71"/>
      <c r="AD153" s="71"/>
      <c r="AE153" s="71"/>
      <c r="AF153" s="71"/>
      <c r="AG153" s="71"/>
      <c r="AH153" s="71"/>
    </row>
    <row r="154" ht="15.75" customHeight="1">
      <c r="C154" s="841"/>
      <c r="E154" s="915"/>
      <c r="G154" s="13"/>
      <c r="H154" s="13"/>
      <c r="I154" s="6"/>
      <c r="J154" s="58"/>
      <c r="K154" s="6"/>
      <c r="L154" s="139"/>
      <c r="M154" s="3"/>
      <c r="N154" s="191"/>
      <c r="O154" s="60"/>
      <c r="Q154" s="67"/>
      <c r="R154" s="65"/>
      <c r="S154" s="3"/>
      <c r="U154" s="67"/>
      <c r="V154" s="67"/>
      <c r="Z154" s="69"/>
      <c r="AA154" s="70"/>
      <c r="AB154" s="71"/>
      <c r="AC154" s="71"/>
      <c r="AD154" s="71"/>
      <c r="AE154" s="71"/>
      <c r="AF154" s="71"/>
      <c r="AG154" s="71"/>
      <c r="AH154" s="71"/>
    </row>
    <row r="155" ht="15.75" customHeight="1">
      <c r="C155" s="841"/>
      <c r="E155" s="915"/>
      <c r="G155" s="13"/>
      <c r="H155" s="13"/>
      <c r="I155" s="6"/>
      <c r="J155" s="58"/>
      <c r="K155" s="6"/>
      <c r="L155" s="139"/>
      <c r="M155" s="3"/>
      <c r="N155" s="191"/>
      <c r="O155" s="60"/>
      <c r="Q155" s="67"/>
      <c r="R155" s="65"/>
      <c r="S155" s="3"/>
      <c r="U155" s="67"/>
      <c r="V155" s="67"/>
      <c r="Z155" s="69"/>
      <c r="AA155" s="70"/>
      <c r="AB155" s="71"/>
      <c r="AC155" s="71"/>
      <c r="AD155" s="71"/>
      <c r="AE155" s="71"/>
      <c r="AF155" s="71"/>
      <c r="AG155" s="71"/>
      <c r="AH155" s="71"/>
    </row>
    <row r="156" ht="15.75" customHeight="1">
      <c r="C156" s="841"/>
      <c r="E156" s="915"/>
      <c r="G156" s="13"/>
      <c r="H156" s="13"/>
      <c r="I156" s="6"/>
      <c r="J156" s="58"/>
      <c r="K156" s="6"/>
      <c r="L156" s="139"/>
      <c r="M156" s="3"/>
      <c r="N156" s="191"/>
      <c r="O156" s="60"/>
      <c r="Q156" s="67"/>
      <c r="R156" s="65"/>
      <c r="S156" s="3"/>
      <c r="U156" s="67"/>
      <c r="V156" s="67"/>
      <c r="Z156" s="69"/>
      <c r="AA156" s="70"/>
      <c r="AB156" s="71"/>
      <c r="AC156" s="71"/>
      <c r="AD156" s="71"/>
      <c r="AE156" s="71"/>
      <c r="AF156" s="71"/>
      <c r="AG156" s="71"/>
      <c r="AH156" s="71"/>
    </row>
    <row r="157" ht="15.75" customHeight="1">
      <c r="C157" s="841"/>
      <c r="E157" s="915"/>
      <c r="G157" s="13"/>
      <c r="H157" s="13"/>
      <c r="I157" s="6"/>
      <c r="J157" s="58"/>
      <c r="K157" s="6"/>
      <c r="L157" s="139"/>
      <c r="M157" s="3"/>
      <c r="N157" s="191"/>
      <c r="O157" s="60"/>
      <c r="Q157" s="67"/>
      <c r="R157" s="65"/>
      <c r="S157" s="3"/>
      <c r="U157" s="67"/>
      <c r="V157" s="67"/>
      <c r="Z157" s="69"/>
      <c r="AA157" s="70"/>
      <c r="AB157" s="71"/>
      <c r="AC157" s="71"/>
      <c r="AD157" s="71"/>
      <c r="AE157" s="71"/>
      <c r="AF157" s="71"/>
      <c r="AG157" s="71"/>
      <c r="AH157" s="71"/>
    </row>
    <row r="158" ht="15.75" customHeight="1">
      <c r="C158" s="841"/>
      <c r="E158" s="915"/>
      <c r="G158" s="13"/>
      <c r="H158" s="13"/>
      <c r="I158" s="6"/>
      <c r="J158" s="58"/>
      <c r="K158" s="6"/>
      <c r="L158" s="139"/>
      <c r="M158" s="3"/>
      <c r="N158" s="191"/>
      <c r="O158" s="60"/>
      <c r="Q158" s="67"/>
      <c r="R158" s="65"/>
      <c r="S158" s="3"/>
      <c r="U158" s="67"/>
      <c r="V158" s="67"/>
      <c r="Z158" s="69"/>
      <c r="AA158" s="70"/>
      <c r="AB158" s="71"/>
      <c r="AC158" s="71"/>
      <c r="AD158" s="71"/>
      <c r="AE158" s="71"/>
      <c r="AF158" s="71"/>
      <c r="AG158" s="71"/>
      <c r="AH158" s="71"/>
    </row>
    <row r="159" ht="15.75" customHeight="1">
      <c r="C159" s="841"/>
      <c r="E159" s="915"/>
      <c r="G159" s="13"/>
      <c r="H159" s="13"/>
      <c r="I159" s="6"/>
      <c r="J159" s="58"/>
      <c r="K159" s="6"/>
      <c r="L159" s="139"/>
      <c r="M159" s="3"/>
      <c r="N159" s="191"/>
      <c r="O159" s="60"/>
      <c r="Q159" s="67"/>
      <c r="R159" s="65"/>
      <c r="S159" s="3"/>
      <c r="U159" s="67"/>
      <c r="V159" s="67"/>
      <c r="Z159" s="69"/>
      <c r="AA159" s="70"/>
      <c r="AB159" s="71"/>
      <c r="AC159" s="71"/>
      <c r="AD159" s="71"/>
      <c r="AE159" s="71"/>
      <c r="AF159" s="71"/>
      <c r="AG159" s="71"/>
      <c r="AH159" s="71"/>
    </row>
    <row r="160" ht="15.75" customHeight="1">
      <c r="C160" s="841"/>
      <c r="E160" s="915"/>
      <c r="G160" s="13"/>
      <c r="H160" s="13"/>
      <c r="I160" s="6"/>
      <c r="J160" s="58"/>
      <c r="K160" s="6"/>
      <c r="L160" s="139"/>
      <c r="M160" s="3"/>
      <c r="N160" s="191"/>
      <c r="O160" s="60"/>
      <c r="Q160" s="67"/>
      <c r="R160" s="65"/>
      <c r="S160" s="3"/>
      <c r="U160" s="67"/>
      <c r="V160" s="67"/>
      <c r="Z160" s="69"/>
      <c r="AA160" s="70"/>
      <c r="AB160" s="71"/>
      <c r="AC160" s="71"/>
      <c r="AD160" s="71"/>
      <c r="AE160" s="71"/>
      <c r="AF160" s="71"/>
      <c r="AG160" s="71"/>
      <c r="AH160" s="71"/>
    </row>
    <row r="161" ht="15.75" customHeight="1">
      <c r="C161" s="841"/>
      <c r="E161" s="915"/>
      <c r="G161" s="13"/>
      <c r="H161" s="13"/>
      <c r="I161" s="6"/>
      <c r="J161" s="58"/>
      <c r="K161" s="6"/>
      <c r="L161" s="139"/>
      <c r="M161" s="3"/>
      <c r="N161" s="191"/>
      <c r="O161" s="60"/>
      <c r="Q161" s="67"/>
      <c r="R161" s="65"/>
      <c r="S161" s="3"/>
      <c r="U161" s="67"/>
      <c r="V161" s="67"/>
      <c r="Z161" s="69"/>
      <c r="AA161" s="70"/>
      <c r="AB161" s="71"/>
      <c r="AC161" s="71"/>
      <c r="AD161" s="71"/>
      <c r="AE161" s="71"/>
      <c r="AF161" s="71"/>
      <c r="AG161" s="71"/>
      <c r="AH161" s="71"/>
    </row>
    <row r="162" ht="15.75" customHeight="1">
      <c r="C162" s="841"/>
      <c r="E162" s="915"/>
      <c r="G162" s="13"/>
      <c r="H162" s="13"/>
      <c r="I162" s="6"/>
      <c r="J162" s="58"/>
      <c r="K162" s="6"/>
      <c r="L162" s="139"/>
      <c r="M162" s="3"/>
      <c r="N162" s="191"/>
      <c r="O162" s="60"/>
      <c r="Q162" s="67"/>
      <c r="R162" s="65"/>
      <c r="S162" s="3"/>
      <c r="U162" s="67"/>
      <c r="V162" s="67"/>
      <c r="Z162" s="69"/>
      <c r="AA162" s="70"/>
      <c r="AB162" s="71"/>
      <c r="AC162" s="71"/>
      <c r="AD162" s="71"/>
      <c r="AE162" s="71"/>
      <c r="AF162" s="71"/>
      <c r="AG162" s="71"/>
      <c r="AH162" s="71"/>
    </row>
    <row r="163" ht="15.75" customHeight="1">
      <c r="C163" s="841"/>
      <c r="E163" s="915"/>
      <c r="G163" s="13"/>
      <c r="H163" s="13"/>
      <c r="I163" s="6"/>
      <c r="J163" s="58"/>
      <c r="K163" s="6"/>
      <c r="L163" s="139"/>
      <c r="M163" s="3"/>
      <c r="N163" s="191"/>
      <c r="O163" s="60"/>
      <c r="Q163" s="67"/>
      <c r="R163" s="65"/>
      <c r="S163" s="3"/>
      <c r="U163" s="67"/>
      <c r="V163" s="67"/>
      <c r="Z163" s="69"/>
      <c r="AA163" s="70"/>
      <c r="AB163" s="71"/>
      <c r="AC163" s="71"/>
      <c r="AD163" s="71"/>
      <c r="AE163" s="71"/>
      <c r="AF163" s="71"/>
      <c r="AG163" s="71"/>
      <c r="AH163" s="71"/>
    </row>
    <row r="164" ht="15.75" customHeight="1">
      <c r="C164" s="841"/>
      <c r="E164" s="915"/>
      <c r="G164" s="13"/>
      <c r="H164" s="13"/>
      <c r="I164" s="6"/>
      <c r="J164" s="58"/>
      <c r="K164" s="6"/>
      <c r="L164" s="139"/>
      <c r="M164" s="3"/>
      <c r="N164" s="191"/>
      <c r="O164" s="60"/>
      <c r="Q164" s="67"/>
      <c r="R164" s="65"/>
      <c r="S164" s="3"/>
      <c r="U164" s="67"/>
      <c r="V164" s="67"/>
      <c r="Z164" s="69"/>
      <c r="AA164" s="70"/>
      <c r="AB164" s="71"/>
      <c r="AC164" s="71"/>
      <c r="AD164" s="71"/>
      <c r="AE164" s="71"/>
      <c r="AF164" s="71"/>
      <c r="AG164" s="71"/>
      <c r="AH164" s="71"/>
    </row>
    <row r="165" ht="15.75" customHeight="1">
      <c r="C165" s="841"/>
      <c r="E165" s="915"/>
      <c r="G165" s="13"/>
      <c r="H165" s="13"/>
      <c r="I165" s="6"/>
      <c r="J165" s="58"/>
      <c r="K165" s="6"/>
      <c r="L165" s="139"/>
      <c r="M165" s="3"/>
      <c r="N165" s="191"/>
      <c r="O165" s="60"/>
      <c r="Q165" s="67"/>
      <c r="R165" s="65"/>
      <c r="S165" s="3"/>
      <c r="U165" s="67"/>
      <c r="V165" s="67"/>
      <c r="Z165" s="69"/>
      <c r="AA165" s="70"/>
      <c r="AB165" s="71"/>
      <c r="AC165" s="71"/>
      <c r="AD165" s="71"/>
      <c r="AE165" s="71"/>
      <c r="AF165" s="71"/>
      <c r="AG165" s="71"/>
      <c r="AH165" s="71"/>
    </row>
    <row r="166" ht="15.75" customHeight="1">
      <c r="C166" s="841"/>
      <c r="E166" s="915"/>
      <c r="G166" s="13"/>
      <c r="H166" s="13"/>
      <c r="I166" s="6"/>
      <c r="J166" s="58"/>
      <c r="K166" s="6"/>
      <c r="L166" s="139"/>
      <c r="M166" s="3"/>
      <c r="N166" s="191"/>
      <c r="O166" s="60"/>
      <c r="Q166" s="67"/>
      <c r="R166" s="65"/>
      <c r="S166" s="3"/>
      <c r="U166" s="67"/>
      <c r="V166" s="67"/>
      <c r="Z166" s="69"/>
      <c r="AA166" s="70"/>
      <c r="AB166" s="71"/>
      <c r="AC166" s="71"/>
      <c r="AD166" s="71"/>
      <c r="AE166" s="71"/>
      <c r="AF166" s="71"/>
      <c r="AG166" s="71"/>
      <c r="AH166" s="71"/>
    </row>
    <row r="167" ht="15.75" customHeight="1">
      <c r="C167" s="841"/>
      <c r="E167" s="915"/>
      <c r="G167" s="13"/>
      <c r="H167" s="13"/>
      <c r="I167" s="6"/>
      <c r="J167" s="58"/>
      <c r="K167" s="6"/>
      <c r="L167" s="139"/>
      <c r="M167" s="3"/>
      <c r="N167" s="191"/>
      <c r="O167" s="60"/>
      <c r="Q167" s="67"/>
      <c r="R167" s="65"/>
      <c r="S167" s="3"/>
      <c r="U167" s="67"/>
      <c r="V167" s="67"/>
      <c r="Z167" s="69"/>
      <c r="AA167" s="70"/>
      <c r="AB167" s="71"/>
      <c r="AC167" s="71"/>
      <c r="AD167" s="71"/>
      <c r="AE167" s="71"/>
      <c r="AF167" s="71"/>
      <c r="AG167" s="71"/>
      <c r="AH167" s="71"/>
    </row>
    <row r="168" ht="15.75" customHeight="1">
      <c r="C168" s="841"/>
      <c r="E168" s="915"/>
      <c r="G168" s="13"/>
      <c r="H168" s="13"/>
      <c r="I168" s="6"/>
      <c r="J168" s="58"/>
      <c r="K168" s="6"/>
      <c r="L168" s="139"/>
      <c r="M168" s="3"/>
      <c r="N168" s="191"/>
      <c r="O168" s="60"/>
      <c r="Q168" s="67"/>
      <c r="R168" s="65"/>
      <c r="S168" s="3"/>
      <c r="U168" s="67"/>
      <c r="V168" s="67"/>
      <c r="Z168" s="69"/>
      <c r="AA168" s="70"/>
      <c r="AB168" s="71"/>
      <c r="AC168" s="71"/>
      <c r="AD168" s="71"/>
      <c r="AE168" s="71"/>
      <c r="AF168" s="71"/>
      <c r="AG168" s="71"/>
      <c r="AH168" s="71"/>
    </row>
    <row r="169" ht="15.75" customHeight="1">
      <c r="C169" s="841"/>
      <c r="E169" s="915"/>
      <c r="G169" s="13"/>
      <c r="H169" s="13"/>
      <c r="I169" s="6"/>
      <c r="J169" s="58"/>
      <c r="K169" s="6"/>
      <c r="L169" s="139"/>
      <c r="M169" s="3"/>
      <c r="N169" s="191"/>
      <c r="O169" s="60"/>
      <c r="Q169" s="67"/>
      <c r="R169" s="65"/>
      <c r="S169" s="3"/>
      <c r="U169" s="67"/>
      <c r="V169" s="67"/>
      <c r="Z169" s="69"/>
      <c r="AA169" s="70"/>
      <c r="AB169" s="71"/>
      <c r="AC169" s="71"/>
      <c r="AD169" s="71"/>
      <c r="AE169" s="71"/>
      <c r="AF169" s="71"/>
      <c r="AG169" s="71"/>
      <c r="AH169" s="71"/>
    </row>
    <row r="170" ht="15.75" customHeight="1">
      <c r="C170" s="841"/>
      <c r="E170" s="915"/>
      <c r="G170" s="13"/>
      <c r="H170" s="13"/>
      <c r="I170" s="6"/>
      <c r="J170" s="58"/>
      <c r="K170" s="6"/>
      <c r="L170" s="139"/>
      <c r="M170" s="3"/>
      <c r="N170" s="191"/>
      <c r="O170" s="60"/>
      <c r="Q170" s="67"/>
      <c r="R170" s="65"/>
      <c r="S170" s="3"/>
      <c r="U170" s="67"/>
      <c r="V170" s="67"/>
      <c r="Z170" s="69"/>
      <c r="AA170" s="70"/>
      <c r="AB170" s="71"/>
      <c r="AC170" s="71"/>
      <c r="AD170" s="71"/>
      <c r="AE170" s="71"/>
      <c r="AF170" s="71"/>
      <c r="AG170" s="71"/>
      <c r="AH170" s="71"/>
    </row>
    <row r="171" ht="15.75" customHeight="1">
      <c r="C171" s="841"/>
      <c r="E171" s="915"/>
      <c r="G171" s="13"/>
      <c r="H171" s="13"/>
      <c r="I171" s="6"/>
      <c r="J171" s="58"/>
      <c r="K171" s="6"/>
      <c r="L171" s="139"/>
      <c r="M171" s="3"/>
      <c r="N171" s="191"/>
      <c r="O171" s="60"/>
      <c r="Q171" s="67"/>
      <c r="R171" s="65"/>
      <c r="S171" s="3"/>
      <c r="U171" s="67"/>
      <c r="V171" s="67"/>
      <c r="Z171" s="69"/>
      <c r="AA171" s="70"/>
      <c r="AB171" s="71"/>
      <c r="AC171" s="71"/>
      <c r="AD171" s="71"/>
      <c r="AE171" s="71"/>
      <c r="AF171" s="71"/>
      <c r="AG171" s="71"/>
      <c r="AH171" s="71"/>
    </row>
    <row r="172" ht="15.75" customHeight="1">
      <c r="C172" s="841"/>
      <c r="E172" s="915"/>
      <c r="G172" s="13"/>
      <c r="H172" s="13"/>
      <c r="I172" s="6"/>
      <c r="J172" s="58"/>
      <c r="K172" s="6"/>
      <c r="L172" s="139"/>
      <c r="M172" s="3"/>
      <c r="N172" s="191"/>
      <c r="O172" s="60"/>
      <c r="Q172" s="67"/>
      <c r="R172" s="65"/>
      <c r="S172" s="3"/>
      <c r="U172" s="67"/>
      <c r="V172" s="67"/>
      <c r="Z172" s="69"/>
      <c r="AA172" s="70"/>
      <c r="AB172" s="71"/>
      <c r="AC172" s="71"/>
      <c r="AD172" s="71"/>
      <c r="AE172" s="71"/>
      <c r="AF172" s="71"/>
      <c r="AG172" s="71"/>
      <c r="AH172" s="71"/>
    </row>
    <row r="173" ht="15.75" customHeight="1">
      <c r="C173" s="841"/>
      <c r="E173" s="915"/>
      <c r="G173" s="13"/>
      <c r="H173" s="13"/>
      <c r="I173" s="6"/>
      <c r="J173" s="58"/>
      <c r="K173" s="6"/>
      <c r="L173" s="139"/>
      <c r="M173" s="3"/>
      <c r="N173" s="191"/>
      <c r="O173" s="60"/>
      <c r="Q173" s="67"/>
      <c r="R173" s="65"/>
      <c r="S173" s="3"/>
      <c r="U173" s="67"/>
      <c r="V173" s="67"/>
      <c r="Z173" s="69"/>
      <c r="AA173" s="70"/>
      <c r="AB173" s="71"/>
      <c r="AC173" s="71"/>
      <c r="AD173" s="71"/>
      <c r="AE173" s="71"/>
      <c r="AF173" s="71"/>
      <c r="AG173" s="71"/>
      <c r="AH173" s="71"/>
    </row>
    <row r="174" ht="15.75" customHeight="1">
      <c r="C174" s="841"/>
      <c r="E174" s="915"/>
      <c r="G174" s="13"/>
      <c r="H174" s="13"/>
      <c r="I174" s="6"/>
      <c r="J174" s="58"/>
      <c r="K174" s="6"/>
      <c r="L174" s="139"/>
      <c r="M174" s="3"/>
      <c r="N174" s="191"/>
      <c r="O174" s="60"/>
      <c r="Q174" s="67"/>
      <c r="R174" s="65"/>
      <c r="S174" s="3"/>
      <c r="U174" s="67"/>
      <c r="V174" s="67"/>
      <c r="Z174" s="69"/>
      <c r="AA174" s="70"/>
      <c r="AB174" s="71"/>
      <c r="AC174" s="71"/>
      <c r="AD174" s="71"/>
      <c r="AE174" s="71"/>
      <c r="AF174" s="71"/>
      <c r="AG174" s="71"/>
      <c r="AH174" s="71"/>
    </row>
    <row r="175" ht="15.75" customHeight="1">
      <c r="C175" s="841"/>
      <c r="E175" s="915"/>
      <c r="G175" s="13"/>
      <c r="H175" s="13"/>
      <c r="I175" s="6"/>
      <c r="J175" s="58"/>
      <c r="K175" s="6"/>
      <c r="L175" s="139"/>
      <c r="M175" s="3"/>
      <c r="N175" s="191"/>
      <c r="O175" s="60"/>
      <c r="Q175" s="67"/>
      <c r="R175" s="65"/>
      <c r="S175" s="3"/>
      <c r="U175" s="67"/>
      <c r="V175" s="67"/>
      <c r="Z175" s="69"/>
      <c r="AA175" s="70"/>
      <c r="AB175" s="71"/>
      <c r="AC175" s="71"/>
      <c r="AD175" s="71"/>
      <c r="AE175" s="71"/>
      <c r="AF175" s="71"/>
      <c r="AG175" s="71"/>
      <c r="AH175" s="71"/>
    </row>
    <row r="176" ht="15.75" customHeight="1">
      <c r="C176" s="841"/>
      <c r="E176" s="915"/>
      <c r="G176" s="13"/>
      <c r="H176" s="13"/>
      <c r="I176" s="6"/>
      <c r="J176" s="58"/>
      <c r="K176" s="6"/>
      <c r="L176" s="139"/>
      <c r="M176" s="3"/>
      <c r="N176" s="191"/>
      <c r="O176" s="60"/>
      <c r="Q176" s="67"/>
      <c r="R176" s="65"/>
      <c r="S176" s="3"/>
      <c r="U176" s="67"/>
      <c r="V176" s="67"/>
      <c r="Z176" s="69"/>
      <c r="AA176" s="70"/>
      <c r="AB176" s="71"/>
      <c r="AC176" s="71"/>
      <c r="AD176" s="71"/>
      <c r="AE176" s="71"/>
      <c r="AF176" s="71"/>
      <c r="AG176" s="71"/>
      <c r="AH176" s="71"/>
    </row>
    <row r="177" ht="15.75" customHeight="1">
      <c r="C177" s="841"/>
      <c r="E177" s="915"/>
      <c r="G177" s="13"/>
      <c r="H177" s="13"/>
      <c r="I177" s="6"/>
      <c r="J177" s="58"/>
      <c r="K177" s="6"/>
      <c r="L177" s="139"/>
      <c r="M177" s="3"/>
      <c r="N177" s="191"/>
      <c r="O177" s="60"/>
      <c r="Q177" s="67"/>
      <c r="R177" s="65"/>
      <c r="S177" s="3"/>
      <c r="U177" s="67"/>
      <c r="V177" s="67"/>
      <c r="Z177" s="69"/>
      <c r="AA177" s="70"/>
      <c r="AB177" s="71"/>
      <c r="AC177" s="71"/>
      <c r="AD177" s="71"/>
      <c r="AE177" s="71"/>
      <c r="AF177" s="71"/>
      <c r="AG177" s="71"/>
      <c r="AH177" s="71"/>
    </row>
    <row r="178" ht="15.75" customHeight="1">
      <c r="C178" s="841"/>
      <c r="E178" s="915"/>
      <c r="G178" s="13"/>
      <c r="H178" s="13"/>
      <c r="I178" s="6"/>
      <c r="J178" s="58"/>
      <c r="K178" s="6"/>
      <c r="L178" s="139"/>
      <c r="M178" s="3"/>
      <c r="N178" s="191"/>
      <c r="O178" s="60"/>
      <c r="Q178" s="67"/>
      <c r="R178" s="65"/>
      <c r="S178" s="3"/>
      <c r="U178" s="67"/>
      <c r="V178" s="67"/>
      <c r="Z178" s="69"/>
      <c r="AA178" s="70"/>
      <c r="AB178" s="71"/>
      <c r="AC178" s="71"/>
      <c r="AD178" s="71"/>
      <c r="AE178" s="71"/>
      <c r="AF178" s="71"/>
      <c r="AG178" s="71"/>
      <c r="AH178" s="71"/>
    </row>
    <row r="179" ht="15.75" customHeight="1">
      <c r="C179" s="841"/>
      <c r="E179" s="915"/>
      <c r="G179" s="13"/>
      <c r="H179" s="13"/>
      <c r="I179" s="6"/>
      <c r="J179" s="58"/>
      <c r="K179" s="6"/>
      <c r="L179" s="139"/>
      <c r="M179" s="3"/>
      <c r="N179" s="191"/>
      <c r="O179" s="60"/>
      <c r="Q179" s="67"/>
      <c r="R179" s="65"/>
      <c r="S179" s="3"/>
      <c r="U179" s="67"/>
      <c r="V179" s="67"/>
      <c r="Z179" s="69"/>
      <c r="AA179" s="70"/>
      <c r="AB179" s="71"/>
      <c r="AC179" s="71"/>
      <c r="AD179" s="71"/>
      <c r="AE179" s="71"/>
      <c r="AF179" s="71"/>
      <c r="AG179" s="71"/>
      <c r="AH179" s="71"/>
    </row>
    <row r="180" ht="15.75" customHeight="1">
      <c r="C180" s="841"/>
      <c r="E180" s="915"/>
      <c r="G180" s="13"/>
      <c r="H180" s="13"/>
      <c r="I180" s="6"/>
      <c r="J180" s="58"/>
      <c r="K180" s="6"/>
      <c r="L180" s="139"/>
      <c r="M180" s="3"/>
      <c r="N180" s="191"/>
      <c r="O180" s="60"/>
      <c r="Q180" s="67"/>
      <c r="R180" s="65"/>
      <c r="S180" s="3"/>
      <c r="U180" s="67"/>
      <c r="V180" s="67"/>
      <c r="Z180" s="69"/>
      <c r="AA180" s="70"/>
      <c r="AB180" s="71"/>
      <c r="AC180" s="71"/>
      <c r="AD180" s="71"/>
      <c r="AE180" s="71"/>
      <c r="AF180" s="71"/>
      <c r="AG180" s="71"/>
      <c r="AH180" s="71"/>
    </row>
    <row r="181" ht="15.75" customHeight="1">
      <c r="C181" s="841"/>
      <c r="E181" s="915"/>
      <c r="G181" s="13"/>
      <c r="H181" s="13"/>
      <c r="I181" s="6"/>
      <c r="J181" s="58"/>
      <c r="K181" s="6"/>
      <c r="L181" s="139"/>
      <c r="M181" s="3"/>
      <c r="N181" s="191"/>
      <c r="O181" s="60"/>
      <c r="Q181" s="67"/>
      <c r="R181" s="65"/>
      <c r="S181" s="3"/>
      <c r="U181" s="67"/>
      <c r="V181" s="67"/>
      <c r="Z181" s="69"/>
      <c r="AA181" s="70"/>
      <c r="AB181" s="71"/>
      <c r="AC181" s="71"/>
      <c r="AD181" s="71"/>
      <c r="AE181" s="71"/>
      <c r="AF181" s="71"/>
      <c r="AG181" s="71"/>
      <c r="AH181" s="71"/>
    </row>
    <row r="182" ht="15.75" customHeight="1">
      <c r="C182" s="841"/>
      <c r="E182" s="915"/>
      <c r="G182" s="13"/>
      <c r="H182" s="13"/>
      <c r="I182" s="6"/>
      <c r="J182" s="58"/>
      <c r="K182" s="6"/>
      <c r="L182" s="139"/>
      <c r="M182" s="3"/>
      <c r="N182" s="191"/>
      <c r="O182" s="60"/>
      <c r="Q182" s="67"/>
      <c r="R182" s="65"/>
      <c r="S182" s="3"/>
      <c r="U182" s="67"/>
      <c r="V182" s="67"/>
      <c r="Z182" s="69"/>
      <c r="AA182" s="70"/>
      <c r="AB182" s="71"/>
      <c r="AC182" s="71"/>
      <c r="AD182" s="71"/>
      <c r="AE182" s="71"/>
      <c r="AF182" s="71"/>
      <c r="AG182" s="71"/>
      <c r="AH182" s="71"/>
    </row>
    <row r="183" ht="15.75" customHeight="1">
      <c r="C183" s="841"/>
      <c r="E183" s="915"/>
      <c r="G183" s="13"/>
      <c r="H183" s="13"/>
      <c r="I183" s="6"/>
      <c r="J183" s="58"/>
      <c r="K183" s="6"/>
      <c r="L183" s="139"/>
      <c r="M183" s="3"/>
      <c r="N183" s="191"/>
      <c r="O183" s="60"/>
      <c r="Q183" s="67"/>
      <c r="R183" s="65"/>
      <c r="S183" s="3"/>
      <c r="U183" s="67"/>
      <c r="V183" s="67"/>
      <c r="Z183" s="69"/>
      <c r="AA183" s="70"/>
      <c r="AB183" s="71"/>
      <c r="AC183" s="71"/>
      <c r="AD183" s="71"/>
      <c r="AE183" s="71"/>
      <c r="AF183" s="71"/>
      <c r="AG183" s="71"/>
      <c r="AH183" s="71"/>
    </row>
    <row r="184" ht="15.75" customHeight="1">
      <c r="C184" s="841"/>
      <c r="E184" s="915"/>
      <c r="G184" s="13"/>
      <c r="H184" s="13"/>
      <c r="I184" s="6"/>
      <c r="J184" s="58"/>
      <c r="K184" s="6"/>
      <c r="L184" s="139"/>
      <c r="M184" s="3"/>
      <c r="N184" s="191"/>
      <c r="O184" s="60"/>
      <c r="Q184" s="67"/>
      <c r="R184" s="65"/>
      <c r="S184" s="3"/>
      <c r="U184" s="67"/>
      <c r="V184" s="67"/>
      <c r="Z184" s="69"/>
      <c r="AA184" s="70"/>
      <c r="AB184" s="71"/>
      <c r="AC184" s="71"/>
      <c r="AD184" s="71"/>
      <c r="AE184" s="71"/>
      <c r="AF184" s="71"/>
      <c r="AG184" s="71"/>
      <c r="AH184" s="71"/>
    </row>
    <row r="185" ht="15.75" customHeight="1">
      <c r="C185" s="841"/>
      <c r="E185" s="915"/>
      <c r="G185" s="13"/>
      <c r="H185" s="13"/>
      <c r="I185" s="6"/>
      <c r="J185" s="58"/>
      <c r="K185" s="6"/>
      <c r="L185" s="139"/>
      <c r="M185" s="3"/>
      <c r="N185" s="191"/>
      <c r="O185" s="60"/>
      <c r="Q185" s="67"/>
      <c r="R185" s="65"/>
      <c r="S185" s="3"/>
      <c r="U185" s="67"/>
      <c r="V185" s="67"/>
      <c r="Z185" s="69"/>
      <c r="AA185" s="70"/>
      <c r="AB185" s="71"/>
      <c r="AC185" s="71"/>
      <c r="AD185" s="71"/>
      <c r="AE185" s="71"/>
      <c r="AF185" s="71"/>
      <c r="AG185" s="71"/>
      <c r="AH185" s="71"/>
    </row>
    <row r="186" ht="15.75" customHeight="1">
      <c r="C186" s="841"/>
      <c r="E186" s="915"/>
      <c r="G186" s="13"/>
      <c r="H186" s="13"/>
      <c r="I186" s="6"/>
      <c r="J186" s="58"/>
      <c r="K186" s="6"/>
      <c r="L186" s="139"/>
      <c r="M186" s="3"/>
      <c r="N186" s="191"/>
      <c r="O186" s="60"/>
      <c r="Q186" s="67"/>
      <c r="R186" s="65"/>
      <c r="S186" s="3"/>
      <c r="U186" s="67"/>
      <c r="V186" s="67"/>
      <c r="Z186" s="69"/>
      <c r="AA186" s="70"/>
      <c r="AB186" s="71"/>
      <c r="AC186" s="71"/>
      <c r="AD186" s="71"/>
      <c r="AE186" s="71"/>
      <c r="AF186" s="71"/>
      <c r="AG186" s="71"/>
      <c r="AH186" s="71"/>
    </row>
    <row r="187" ht="15.75" customHeight="1">
      <c r="C187" s="841"/>
      <c r="E187" s="915"/>
      <c r="G187" s="13"/>
      <c r="H187" s="13"/>
      <c r="I187" s="6"/>
      <c r="J187" s="58"/>
      <c r="K187" s="6"/>
      <c r="L187" s="139"/>
      <c r="M187" s="3"/>
      <c r="N187" s="191"/>
      <c r="O187" s="60"/>
      <c r="Q187" s="67"/>
      <c r="R187" s="65"/>
      <c r="S187" s="3"/>
      <c r="U187" s="67"/>
      <c r="V187" s="67"/>
      <c r="Z187" s="69"/>
      <c r="AA187" s="70"/>
      <c r="AB187" s="71"/>
      <c r="AC187" s="71"/>
      <c r="AD187" s="71"/>
      <c r="AE187" s="71"/>
      <c r="AF187" s="71"/>
      <c r="AG187" s="71"/>
      <c r="AH187" s="71"/>
    </row>
    <row r="188" ht="15.75" customHeight="1">
      <c r="C188" s="841"/>
      <c r="E188" s="915"/>
      <c r="G188" s="13"/>
      <c r="H188" s="13"/>
      <c r="I188" s="6"/>
      <c r="J188" s="58"/>
      <c r="K188" s="6"/>
      <c r="L188" s="139"/>
      <c r="M188" s="3"/>
      <c r="N188" s="191"/>
      <c r="O188" s="60"/>
      <c r="Q188" s="67"/>
      <c r="R188" s="65"/>
      <c r="S188" s="3"/>
      <c r="U188" s="67"/>
      <c r="V188" s="67"/>
      <c r="Z188" s="69"/>
      <c r="AA188" s="70"/>
      <c r="AB188" s="71"/>
      <c r="AC188" s="71"/>
      <c r="AD188" s="71"/>
      <c r="AE188" s="71"/>
      <c r="AF188" s="71"/>
      <c r="AG188" s="71"/>
      <c r="AH188" s="71"/>
    </row>
    <row r="189" ht="15.75" customHeight="1">
      <c r="C189" s="841"/>
      <c r="E189" s="915"/>
      <c r="G189" s="13"/>
      <c r="H189" s="13"/>
      <c r="I189" s="6"/>
      <c r="J189" s="58"/>
      <c r="K189" s="6"/>
      <c r="L189" s="139"/>
      <c r="M189" s="3"/>
      <c r="N189" s="191"/>
      <c r="O189" s="60"/>
      <c r="Q189" s="67"/>
      <c r="R189" s="65"/>
      <c r="S189" s="3"/>
      <c r="U189" s="67"/>
      <c r="V189" s="67"/>
      <c r="Z189" s="69"/>
      <c r="AA189" s="70"/>
      <c r="AB189" s="71"/>
      <c r="AC189" s="71"/>
      <c r="AD189" s="71"/>
      <c r="AE189" s="71"/>
      <c r="AF189" s="71"/>
      <c r="AG189" s="71"/>
      <c r="AH189" s="71"/>
    </row>
    <row r="190" ht="15.75" customHeight="1">
      <c r="C190" s="841"/>
      <c r="E190" s="915"/>
      <c r="G190" s="13"/>
      <c r="H190" s="13"/>
      <c r="I190" s="6"/>
      <c r="J190" s="58"/>
      <c r="K190" s="6"/>
      <c r="L190" s="139"/>
      <c r="M190" s="3"/>
      <c r="N190" s="191"/>
      <c r="O190" s="60"/>
      <c r="Q190" s="67"/>
      <c r="R190" s="65"/>
      <c r="S190" s="3"/>
      <c r="U190" s="67"/>
      <c r="V190" s="67"/>
      <c r="Z190" s="69"/>
      <c r="AA190" s="70"/>
      <c r="AB190" s="71"/>
      <c r="AC190" s="71"/>
      <c r="AD190" s="71"/>
      <c r="AE190" s="71"/>
      <c r="AF190" s="71"/>
      <c r="AG190" s="71"/>
      <c r="AH190" s="71"/>
    </row>
    <row r="191" ht="15.75" customHeight="1">
      <c r="C191" s="841"/>
      <c r="E191" s="915"/>
      <c r="G191" s="13"/>
      <c r="H191" s="13"/>
      <c r="I191" s="6"/>
      <c r="J191" s="58"/>
      <c r="K191" s="6"/>
      <c r="L191" s="139"/>
      <c r="M191" s="3"/>
      <c r="N191" s="191"/>
      <c r="O191" s="60"/>
      <c r="Q191" s="67"/>
      <c r="R191" s="65"/>
      <c r="S191" s="3"/>
      <c r="U191" s="67"/>
      <c r="V191" s="67"/>
      <c r="Z191" s="69"/>
      <c r="AA191" s="70"/>
      <c r="AB191" s="71"/>
      <c r="AC191" s="71"/>
      <c r="AD191" s="71"/>
      <c r="AE191" s="71"/>
      <c r="AF191" s="71"/>
      <c r="AG191" s="71"/>
      <c r="AH191" s="71"/>
    </row>
    <row r="192" ht="15.75" customHeight="1">
      <c r="C192" s="841"/>
      <c r="E192" s="915"/>
      <c r="G192" s="13"/>
      <c r="H192" s="13"/>
      <c r="I192" s="6"/>
      <c r="J192" s="58"/>
      <c r="K192" s="6"/>
      <c r="L192" s="139"/>
      <c r="M192" s="3"/>
      <c r="N192" s="191"/>
      <c r="O192" s="60"/>
      <c r="Q192" s="67"/>
      <c r="R192" s="65"/>
      <c r="S192" s="3"/>
      <c r="U192" s="67"/>
      <c r="V192" s="67"/>
      <c r="Z192" s="69"/>
      <c r="AA192" s="70"/>
      <c r="AB192" s="71"/>
      <c r="AC192" s="71"/>
      <c r="AD192" s="71"/>
      <c r="AE192" s="71"/>
      <c r="AF192" s="71"/>
      <c r="AG192" s="71"/>
      <c r="AH192" s="71"/>
    </row>
    <row r="193" ht="15.75" customHeight="1">
      <c r="C193" s="841"/>
      <c r="E193" s="915"/>
      <c r="G193" s="13"/>
      <c r="H193" s="13"/>
      <c r="I193" s="6"/>
      <c r="J193" s="58"/>
      <c r="K193" s="6"/>
      <c r="L193" s="139"/>
      <c r="M193" s="3"/>
      <c r="N193" s="191"/>
      <c r="O193" s="60"/>
      <c r="Q193" s="67"/>
      <c r="R193" s="65"/>
      <c r="S193" s="3"/>
      <c r="U193" s="67"/>
      <c r="V193" s="67"/>
      <c r="Z193" s="69"/>
      <c r="AA193" s="70"/>
      <c r="AB193" s="71"/>
      <c r="AC193" s="71"/>
      <c r="AD193" s="71"/>
      <c r="AE193" s="71"/>
      <c r="AF193" s="71"/>
      <c r="AG193" s="71"/>
      <c r="AH193" s="71"/>
    </row>
    <row r="194" ht="15.75" customHeight="1">
      <c r="C194" s="841"/>
      <c r="E194" s="915"/>
      <c r="G194" s="13"/>
      <c r="H194" s="13"/>
      <c r="I194" s="6"/>
      <c r="J194" s="58"/>
      <c r="K194" s="6"/>
      <c r="L194" s="139"/>
      <c r="M194" s="3"/>
      <c r="N194" s="191"/>
      <c r="O194" s="60"/>
      <c r="Q194" s="67"/>
      <c r="R194" s="65"/>
      <c r="S194" s="3"/>
      <c r="U194" s="67"/>
      <c r="V194" s="67"/>
      <c r="Z194" s="69"/>
      <c r="AA194" s="70"/>
      <c r="AB194" s="71"/>
      <c r="AC194" s="71"/>
      <c r="AD194" s="71"/>
      <c r="AE194" s="71"/>
      <c r="AF194" s="71"/>
      <c r="AG194" s="71"/>
      <c r="AH194" s="71"/>
    </row>
    <row r="195" ht="15.75" customHeight="1">
      <c r="C195" s="841"/>
      <c r="E195" s="915"/>
      <c r="G195" s="13"/>
      <c r="H195" s="13"/>
      <c r="I195" s="6"/>
      <c r="J195" s="58"/>
      <c r="K195" s="6"/>
      <c r="L195" s="139"/>
      <c r="M195" s="3"/>
      <c r="N195" s="191"/>
      <c r="O195" s="60"/>
      <c r="Q195" s="67"/>
      <c r="R195" s="65"/>
      <c r="S195" s="3"/>
      <c r="U195" s="67"/>
      <c r="V195" s="67"/>
      <c r="Z195" s="69"/>
      <c r="AA195" s="70"/>
      <c r="AB195" s="71"/>
      <c r="AC195" s="71"/>
      <c r="AD195" s="71"/>
      <c r="AE195" s="71"/>
      <c r="AF195" s="71"/>
      <c r="AG195" s="71"/>
      <c r="AH195" s="71"/>
    </row>
    <row r="196" ht="15.75" customHeight="1">
      <c r="C196" s="841"/>
      <c r="E196" s="915"/>
      <c r="G196" s="13"/>
      <c r="H196" s="13"/>
      <c r="I196" s="6"/>
      <c r="J196" s="58"/>
      <c r="K196" s="6"/>
      <c r="L196" s="139"/>
      <c r="M196" s="3"/>
      <c r="N196" s="191"/>
      <c r="O196" s="60"/>
      <c r="Q196" s="67"/>
      <c r="R196" s="65"/>
      <c r="S196" s="3"/>
      <c r="U196" s="67"/>
      <c r="V196" s="67"/>
      <c r="Z196" s="69"/>
      <c r="AA196" s="70"/>
      <c r="AB196" s="71"/>
      <c r="AC196" s="71"/>
      <c r="AD196" s="71"/>
      <c r="AE196" s="71"/>
      <c r="AF196" s="71"/>
      <c r="AG196" s="71"/>
      <c r="AH196" s="71"/>
    </row>
    <row r="197" ht="15.75" customHeight="1">
      <c r="C197" s="841"/>
      <c r="E197" s="915"/>
      <c r="G197" s="13"/>
      <c r="H197" s="13"/>
      <c r="I197" s="6"/>
      <c r="J197" s="58"/>
      <c r="K197" s="6"/>
      <c r="L197" s="139"/>
      <c r="M197" s="3"/>
      <c r="N197" s="191"/>
      <c r="O197" s="60"/>
      <c r="Q197" s="67"/>
      <c r="R197" s="65"/>
      <c r="S197" s="3"/>
      <c r="U197" s="67"/>
      <c r="V197" s="67"/>
      <c r="Z197" s="69"/>
      <c r="AA197" s="70"/>
      <c r="AB197" s="71"/>
      <c r="AC197" s="71"/>
      <c r="AD197" s="71"/>
      <c r="AE197" s="71"/>
      <c r="AF197" s="71"/>
      <c r="AG197" s="71"/>
      <c r="AH197" s="71"/>
    </row>
    <row r="198" ht="15.75" customHeight="1">
      <c r="C198" s="841"/>
      <c r="E198" s="915"/>
      <c r="G198" s="13"/>
      <c r="H198" s="13"/>
      <c r="I198" s="6"/>
      <c r="J198" s="58"/>
      <c r="K198" s="6"/>
      <c r="L198" s="139"/>
      <c r="M198" s="3"/>
      <c r="N198" s="191"/>
      <c r="O198" s="60"/>
      <c r="Q198" s="67"/>
      <c r="R198" s="65"/>
      <c r="S198" s="3"/>
      <c r="U198" s="67"/>
      <c r="V198" s="67"/>
      <c r="Z198" s="69"/>
      <c r="AA198" s="70"/>
      <c r="AB198" s="71"/>
      <c r="AC198" s="71"/>
      <c r="AD198" s="71"/>
      <c r="AE198" s="71"/>
      <c r="AF198" s="71"/>
      <c r="AG198" s="71"/>
      <c r="AH198" s="71"/>
    </row>
    <row r="199" ht="15.75" customHeight="1">
      <c r="C199" s="841"/>
      <c r="E199" s="915"/>
      <c r="G199" s="13"/>
      <c r="H199" s="13"/>
      <c r="I199" s="6"/>
      <c r="J199" s="58"/>
      <c r="K199" s="6"/>
      <c r="L199" s="139"/>
      <c r="M199" s="3"/>
      <c r="N199" s="191"/>
      <c r="O199" s="60"/>
      <c r="Q199" s="67"/>
      <c r="R199" s="65"/>
      <c r="S199" s="3"/>
      <c r="U199" s="67"/>
      <c r="V199" s="67"/>
      <c r="Z199" s="69"/>
      <c r="AA199" s="70"/>
      <c r="AB199" s="71"/>
      <c r="AC199" s="71"/>
      <c r="AD199" s="71"/>
      <c r="AE199" s="71"/>
      <c r="AF199" s="71"/>
      <c r="AG199" s="71"/>
      <c r="AH199" s="71"/>
    </row>
    <row r="200" ht="15.75" customHeight="1">
      <c r="C200" s="841"/>
      <c r="E200" s="915"/>
      <c r="G200" s="13"/>
      <c r="H200" s="13"/>
      <c r="I200" s="6"/>
      <c r="J200" s="58"/>
      <c r="K200" s="6"/>
      <c r="L200" s="139"/>
      <c r="M200" s="3"/>
      <c r="N200" s="191"/>
      <c r="O200" s="60"/>
      <c r="Q200" s="67"/>
      <c r="R200" s="65"/>
      <c r="S200" s="3"/>
      <c r="U200" s="67"/>
      <c r="V200" s="67"/>
      <c r="Z200" s="69"/>
      <c r="AA200" s="70"/>
      <c r="AB200" s="71"/>
      <c r="AC200" s="71"/>
      <c r="AD200" s="71"/>
      <c r="AE200" s="71"/>
      <c r="AF200" s="71"/>
      <c r="AG200" s="71"/>
      <c r="AH200" s="71"/>
    </row>
    <row r="201" ht="15.75" customHeight="1">
      <c r="C201" s="841"/>
      <c r="E201" s="915"/>
      <c r="G201" s="13"/>
      <c r="H201" s="13"/>
      <c r="I201" s="6"/>
      <c r="J201" s="58"/>
      <c r="K201" s="6"/>
      <c r="L201" s="139"/>
      <c r="M201" s="3"/>
      <c r="N201" s="191"/>
      <c r="O201" s="60"/>
      <c r="Q201" s="67"/>
      <c r="R201" s="65"/>
      <c r="S201" s="3"/>
      <c r="U201" s="67"/>
      <c r="V201" s="67"/>
      <c r="Z201" s="69"/>
      <c r="AA201" s="70"/>
      <c r="AB201" s="71"/>
      <c r="AC201" s="71"/>
      <c r="AD201" s="71"/>
      <c r="AE201" s="71"/>
      <c r="AF201" s="71"/>
      <c r="AG201" s="71"/>
      <c r="AH201" s="71"/>
    </row>
    <row r="202" ht="15.75" customHeight="1">
      <c r="C202" s="841"/>
      <c r="E202" s="915"/>
      <c r="G202" s="13"/>
      <c r="H202" s="13"/>
      <c r="I202" s="6"/>
      <c r="J202" s="58"/>
      <c r="K202" s="6"/>
      <c r="L202" s="139"/>
      <c r="M202" s="3"/>
      <c r="N202" s="191"/>
      <c r="O202" s="60"/>
      <c r="Q202" s="67"/>
      <c r="R202" s="65"/>
      <c r="S202" s="3"/>
      <c r="U202" s="67"/>
      <c r="V202" s="67"/>
      <c r="Z202" s="69"/>
      <c r="AA202" s="70"/>
      <c r="AB202" s="71"/>
      <c r="AC202" s="71"/>
      <c r="AD202" s="71"/>
      <c r="AE202" s="71"/>
      <c r="AF202" s="71"/>
      <c r="AG202" s="71"/>
      <c r="AH202" s="71"/>
    </row>
    <row r="203" ht="15.75" customHeight="1">
      <c r="C203" s="841"/>
      <c r="E203" s="915"/>
      <c r="G203" s="13"/>
      <c r="H203" s="13"/>
      <c r="I203" s="6"/>
      <c r="J203" s="58"/>
      <c r="K203" s="6"/>
      <c r="L203" s="139"/>
      <c r="M203" s="3"/>
      <c r="N203" s="191"/>
      <c r="O203" s="60"/>
      <c r="Q203" s="67"/>
      <c r="R203" s="65"/>
      <c r="S203" s="3"/>
      <c r="U203" s="67"/>
      <c r="V203" s="67"/>
      <c r="Z203" s="69"/>
      <c r="AA203" s="70"/>
      <c r="AB203" s="71"/>
      <c r="AC203" s="71"/>
      <c r="AD203" s="71"/>
      <c r="AE203" s="71"/>
      <c r="AF203" s="71"/>
      <c r="AG203" s="71"/>
      <c r="AH203" s="71"/>
    </row>
    <row r="204" ht="15.75" customHeight="1">
      <c r="C204" s="841"/>
      <c r="E204" s="915"/>
      <c r="G204" s="13"/>
      <c r="H204" s="13"/>
      <c r="I204" s="6"/>
      <c r="J204" s="58"/>
      <c r="K204" s="6"/>
      <c r="L204" s="139"/>
      <c r="M204" s="3"/>
      <c r="N204" s="191"/>
      <c r="O204" s="60"/>
      <c r="Q204" s="67"/>
      <c r="R204" s="65"/>
      <c r="S204" s="3"/>
      <c r="U204" s="67"/>
      <c r="V204" s="67"/>
      <c r="Z204" s="69"/>
      <c r="AA204" s="70"/>
      <c r="AB204" s="71"/>
      <c r="AC204" s="71"/>
      <c r="AD204" s="71"/>
      <c r="AE204" s="71"/>
      <c r="AF204" s="71"/>
      <c r="AG204" s="71"/>
      <c r="AH204" s="71"/>
    </row>
    <row r="205" ht="15.75" customHeight="1">
      <c r="C205" s="841"/>
      <c r="E205" s="915"/>
      <c r="G205" s="13"/>
      <c r="H205" s="13"/>
      <c r="I205" s="6"/>
      <c r="J205" s="58"/>
      <c r="K205" s="6"/>
      <c r="L205" s="139"/>
      <c r="M205" s="3"/>
      <c r="N205" s="191"/>
      <c r="O205" s="60"/>
      <c r="Q205" s="67"/>
      <c r="R205" s="65"/>
      <c r="S205" s="3"/>
      <c r="U205" s="67"/>
      <c r="V205" s="67"/>
      <c r="Z205" s="69"/>
      <c r="AA205" s="70"/>
      <c r="AB205" s="71"/>
      <c r="AC205" s="71"/>
      <c r="AD205" s="71"/>
      <c r="AE205" s="71"/>
      <c r="AF205" s="71"/>
      <c r="AG205" s="71"/>
      <c r="AH205" s="71"/>
    </row>
    <row r="206" ht="15.75" customHeight="1">
      <c r="C206" s="841"/>
      <c r="E206" s="915"/>
      <c r="G206" s="13"/>
      <c r="H206" s="13"/>
      <c r="I206" s="6"/>
      <c r="J206" s="58"/>
      <c r="K206" s="6"/>
      <c r="L206" s="139"/>
      <c r="M206" s="3"/>
      <c r="N206" s="191"/>
      <c r="O206" s="60"/>
      <c r="Q206" s="67"/>
      <c r="R206" s="65"/>
      <c r="S206" s="3"/>
      <c r="U206" s="67"/>
      <c r="V206" s="67"/>
      <c r="Z206" s="69"/>
      <c r="AA206" s="70"/>
      <c r="AB206" s="71"/>
      <c r="AC206" s="71"/>
      <c r="AD206" s="71"/>
      <c r="AE206" s="71"/>
      <c r="AF206" s="71"/>
      <c r="AG206" s="71"/>
      <c r="AH206" s="71"/>
    </row>
    <row r="207" ht="15.75" customHeight="1">
      <c r="C207" s="841"/>
      <c r="E207" s="915"/>
      <c r="G207" s="13"/>
      <c r="H207" s="13"/>
      <c r="I207" s="6"/>
      <c r="J207" s="58"/>
      <c r="K207" s="6"/>
      <c r="L207" s="139"/>
      <c r="M207" s="3"/>
      <c r="N207" s="191"/>
      <c r="O207" s="60"/>
      <c r="Q207" s="67"/>
      <c r="R207" s="65"/>
      <c r="S207" s="3"/>
      <c r="U207" s="67"/>
      <c r="V207" s="67"/>
      <c r="Z207" s="69"/>
      <c r="AA207" s="70"/>
      <c r="AB207" s="71"/>
      <c r="AC207" s="71"/>
      <c r="AD207" s="71"/>
      <c r="AE207" s="71"/>
      <c r="AF207" s="71"/>
      <c r="AG207" s="71"/>
      <c r="AH207" s="71"/>
    </row>
    <row r="208" ht="15.75" customHeight="1">
      <c r="C208" s="841"/>
      <c r="E208" s="915"/>
      <c r="G208" s="13"/>
      <c r="H208" s="13"/>
      <c r="I208" s="6"/>
      <c r="J208" s="58"/>
      <c r="K208" s="6"/>
      <c r="L208" s="139"/>
      <c r="M208" s="3"/>
      <c r="N208" s="191"/>
      <c r="O208" s="60"/>
      <c r="Q208" s="67"/>
      <c r="R208" s="65"/>
      <c r="S208" s="3"/>
      <c r="U208" s="67"/>
      <c r="V208" s="67"/>
      <c r="Z208" s="69"/>
      <c r="AA208" s="70"/>
      <c r="AB208" s="71"/>
      <c r="AC208" s="71"/>
      <c r="AD208" s="71"/>
      <c r="AE208" s="71"/>
      <c r="AF208" s="71"/>
      <c r="AG208" s="71"/>
      <c r="AH208" s="71"/>
    </row>
    <row r="209" ht="15.75" customHeight="1">
      <c r="C209" s="841"/>
      <c r="E209" s="915"/>
      <c r="G209" s="13"/>
      <c r="H209" s="13"/>
      <c r="I209" s="6"/>
      <c r="J209" s="58"/>
      <c r="K209" s="6"/>
      <c r="L209" s="139"/>
      <c r="M209" s="3"/>
      <c r="N209" s="191"/>
      <c r="O209" s="60"/>
      <c r="Q209" s="67"/>
      <c r="R209" s="65"/>
      <c r="S209" s="3"/>
      <c r="U209" s="67"/>
      <c r="V209" s="67"/>
      <c r="Z209" s="69"/>
      <c r="AA209" s="70"/>
      <c r="AB209" s="71"/>
      <c r="AC209" s="71"/>
      <c r="AD209" s="71"/>
      <c r="AE209" s="71"/>
      <c r="AF209" s="71"/>
      <c r="AG209" s="71"/>
      <c r="AH209" s="71"/>
    </row>
    <row r="210" ht="15.75" customHeight="1">
      <c r="C210" s="841"/>
      <c r="E210" s="915"/>
      <c r="G210" s="13"/>
      <c r="H210" s="13"/>
      <c r="I210" s="6"/>
      <c r="J210" s="58"/>
      <c r="K210" s="6"/>
      <c r="L210" s="139"/>
      <c r="M210" s="3"/>
      <c r="N210" s="191"/>
      <c r="O210" s="60"/>
      <c r="Q210" s="67"/>
      <c r="R210" s="65"/>
      <c r="S210" s="3"/>
      <c r="U210" s="67"/>
      <c r="V210" s="67"/>
      <c r="Z210" s="69"/>
      <c r="AA210" s="70"/>
      <c r="AB210" s="71"/>
      <c r="AC210" s="71"/>
      <c r="AD210" s="71"/>
      <c r="AE210" s="71"/>
      <c r="AF210" s="71"/>
      <c r="AG210" s="71"/>
      <c r="AH210" s="71"/>
    </row>
    <row r="211" ht="15.75" customHeight="1">
      <c r="C211" s="841"/>
      <c r="E211" s="915"/>
      <c r="G211" s="13"/>
      <c r="H211" s="13"/>
      <c r="I211" s="6"/>
      <c r="J211" s="58"/>
      <c r="K211" s="6"/>
      <c r="L211" s="139"/>
      <c r="M211" s="3"/>
      <c r="N211" s="191"/>
      <c r="O211" s="60"/>
      <c r="Q211" s="67"/>
      <c r="R211" s="65"/>
      <c r="S211" s="3"/>
      <c r="U211" s="67"/>
      <c r="V211" s="67"/>
      <c r="Z211" s="69"/>
      <c r="AA211" s="70"/>
      <c r="AB211" s="71"/>
      <c r="AC211" s="71"/>
      <c r="AD211" s="71"/>
      <c r="AE211" s="71"/>
      <c r="AF211" s="71"/>
      <c r="AG211" s="71"/>
      <c r="AH211" s="71"/>
    </row>
    <row r="212" ht="15.75" customHeight="1">
      <c r="C212" s="841"/>
      <c r="E212" s="915"/>
      <c r="G212" s="13"/>
      <c r="H212" s="13"/>
      <c r="I212" s="6"/>
      <c r="J212" s="58"/>
      <c r="K212" s="6"/>
      <c r="L212" s="139"/>
      <c r="M212" s="3"/>
      <c r="N212" s="191"/>
      <c r="O212" s="60"/>
      <c r="Q212" s="67"/>
      <c r="R212" s="65"/>
      <c r="S212" s="3"/>
      <c r="U212" s="67"/>
      <c r="V212" s="67"/>
      <c r="Z212" s="69"/>
      <c r="AA212" s="70"/>
      <c r="AB212" s="71"/>
      <c r="AC212" s="71"/>
      <c r="AD212" s="71"/>
      <c r="AE212" s="71"/>
      <c r="AF212" s="71"/>
      <c r="AG212" s="71"/>
      <c r="AH212" s="71"/>
    </row>
    <row r="213" ht="15.75" customHeight="1">
      <c r="C213" s="841"/>
      <c r="E213" s="915"/>
      <c r="G213" s="13"/>
      <c r="H213" s="13"/>
      <c r="I213" s="6"/>
      <c r="J213" s="58"/>
      <c r="K213" s="6"/>
      <c r="L213" s="139"/>
      <c r="M213" s="3"/>
      <c r="N213" s="191"/>
      <c r="O213" s="60"/>
      <c r="Q213" s="67"/>
      <c r="R213" s="65"/>
      <c r="S213" s="3"/>
      <c r="U213" s="67"/>
      <c r="V213" s="67"/>
      <c r="Z213" s="69"/>
      <c r="AA213" s="70"/>
      <c r="AB213" s="71"/>
      <c r="AC213" s="71"/>
      <c r="AD213" s="71"/>
      <c r="AE213" s="71"/>
      <c r="AF213" s="71"/>
      <c r="AG213" s="71"/>
      <c r="AH213" s="71"/>
    </row>
    <row r="214" ht="15.75" customHeight="1">
      <c r="C214" s="841"/>
      <c r="E214" s="915"/>
      <c r="G214" s="13"/>
      <c r="H214" s="13"/>
      <c r="I214" s="6"/>
      <c r="J214" s="58"/>
      <c r="K214" s="6"/>
      <c r="L214" s="139"/>
      <c r="M214" s="3"/>
      <c r="N214" s="191"/>
      <c r="O214" s="60"/>
      <c r="Q214" s="67"/>
      <c r="R214" s="65"/>
      <c r="S214" s="3"/>
      <c r="U214" s="67"/>
      <c r="V214" s="67"/>
      <c r="Z214" s="69"/>
      <c r="AA214" s="70"/>
      <c r="AB214" s="71"/>
      <c r="AC214" s="71"/>
      <c r="AD214" s="71"/>
      <c r="AE214" s="71"/>
      <c r="AF214" s="71"/>
      <c r="AG214" s="71"/>
      <c r="AH214" s="71"/>
    </row>
    <row r="215" ht="15.75" customHeight="1">
      <c r="C215" s="841"/>
      <c r="E215" s="915"/>
      <c r="G215" s="13"/>
      <c r="H215" s="13"/>
      <c r="I215" s="6"/>
      <c r="J215" s="58"/>
      <c r="K215" s="6"/>
      <c r="L215" s="139"/>
      <c r="M215" s="3"/>
      <c r="N215" s="191"/>
      <c r="O215" s="60"/>
      <c r="Q215" s="67"/>
      <c r="R215" s="65"/>
      <c r="S215" s="3"/>
      <c r="U215" s="67"/>
      <c r="V215" s="67"/>
      <c r="Z215" s="69"/>
      <c r="AA215" s="70"/>
      <c r="AB215" s="71"/>
      <c r="AC215" s="71"/>
      <c r="AD215" s="71"/>
      <c r="AE215" s="71"/>
      <c r="AF215" s="71"/>
      <c r="AG215" s="71"/>
      <c r="AH215" s="71"/>
    </row>
    <row r="216" ht="15.75" customHeight="1">
      <c r="C216" s="841"/>
      <c r="E216" s="915"/>
      <c r="G216" s="13"/>
      <c r="H216" s="13"/>
      <c r="I216" s="6"/>
      <c r="J216" s="58"/>
      <c r="K216" s="6"/>
      <c r="L216" s="139"/>
      <c r="M216" s="3"/>
      <c r="N216" s="191"/>
      <c r="O216" s="60"/>
      <c r="Q216" s="67"/>
      <c r="R216" s="65"/>
      <c r="S216" s="3"/>
      <c r="U216" s="67"/>
      <c r="V216" s="67"/>
      <c r="Z216" s="69"/>
      <c r="AA216" s="70"/>
      <c r="AB216" s="71"/>
      <c r="AC216" s="71"/>
      <c r="AD216" s="71"/>
      <c r="AE216" s="71"/>
      <c r="AF216" s="71"/>
      <c r="AG216" s="71"/>
      <c r="AH216" s="71"/>
    </row>
    <row r="217" ht="15.75" customHeight="1">
      <c r="C217" s="841"/>
      <c r="E217" s="915"/>
      <c r="G217" s="13"/>
      <c r="H217" s="13"/>
      <c r="I217" s="6"/>
      <c r="J217" s="58"/>
      <c r="K217" s="6"/>
      <c r="L217" s="139"/>
      <c r="M217" s="3"/>
      <c r="N217" s="191"/>
      <c r="O217" s="60"/>
      <c r="Q217" s="67"/>
      <c r="R217" s="65"/>
      <c r="S217" s="3"/>
      <c r="U217" s="67"/>
      <c r="V217" s="67"/>
      <c r="Z217" s="69"/>
      <c r="AA217" s="70"/>
      <c r="AB217" s="71"/>
      <c r="AC217" s="71"/>
      <c r="AD217" s="71"/>
      <c r="AE217" s="71"/>
      <c r="AF217" s="71"/>
      <c r="AG217" s="71"/>
      <c r="AH217" s="71"/>
    </row>
    <row r="218" ht="15.75" customHeight="1">
      <c r="C218" s="841"/>
      <c r="E218" s="915"/>
      <c r="G218" s="13"/>
      <c r="H218" s="13"/>
      <c r="I218" s="6"/>
      <c r="J218" s="58"/>
      <c r="K218" s="6"/>
      <c r="L218" s="139"/>
      <c r="M218" s="3"/>
      <c r="N218" s="191"/>
      <c r="O218" s="60"/>
      <c r="Q218" s="67"/>
      <c r="R218" s="65"/>
      <c r="S218" s="3"/>
      <c r="U218" s="67"/>
      <c r="V218" s="67"/>
      <c r="Z218" s="69"/>
      <c r="AA218" s="70"/>
      <c r="AB218" s="71"/>
      <c r="AC218" s="71"/>
      <c r="AD218" s="71"/>
      <c r="AE218" s="71"/>
      <c r="AF218" s="71"/>
      <c r="AG218" s="71"/>
      <c r="AH218" s="71"/>
    </row>
    <row r="219" ht="15.75" customHeight="1">
      <c r="C219" s="841"/>
      <c r="E219" s="915"/>
      <c r="G219" s="13"/>
      <c r="H219" s="13"/>
      <c r="I219" s="6"/>
      <c r="J219" s="58"/>
      <c r="K219" s="6"/>
      <c r="L219" s="139"/>
      <c r="M219" s="3"/>
      <c r="N219" s="191"/>
      <c r="O219" s="60"/>
      <c r="Q219" s="67"/>
      <c r="R219" s="65"/>
      <c r="S219" s="3"/>
      <c r="U219" s="67"/>
      <c r="V219" s="67"/>
      <c r="Z219" s="69"/>
      <c r="AA219" s="70"/>
      <c r="AB219" s="71"/>
      <c r="AC219" s="71"/>
      <c r="AD219" s="71"/>
      <c r="AE219" s="71"/>
      <c r="AF219" s="71"/>
      <c r="AG219" s="71"/>
      <c r="AH219" s="71"/>
    </row>
    <row r="220" ht="15.75" customHeight="1">
      <c r="C220" s="841"/>
      <c r="E220" s="915"/>
      <c r="G220" s="13"/>
      <c r="H220" s="13"/>
      <c r="I220" s="6"/>
      <c r="J220" s="58"/>
      <c r="K220" s="6"/>
      <c r="L220" s="139"/>
      <c r="M220" s="3"/>
      <c r="N220" s="191"/>
      <c r="O220" s="60"/>
      <c r="Q220" s="67"/>
      <c r="R220" s="65"/>
      <c r="S220" s="3"/>
      <c r="U220" s="67"/>
      <c r="V220" s="67"/>
      <c r="Z220" s="69"/>
      <c r="AA220" s="70"/>
      <c r="AB220" s="71"/>
      <c r="AC220" s="71"/>
      <c r="AD220" s="71"/>
      <c r="AE220" s="71"/>
      <c r="AF220" s="71"/>
      <c r="AG220" s="71"/>
      <c r="AH220" s="71"/>
    </row>
    <row r="221" ht="15.75" customHeight="1">
      <c r="C221" s="841"/>
      <c r="E221" s="915"/>
      <c r="G221" s="13"/>
      <c r="H221" s="13"/>
      <c r="I221" s="6"/>
      <c r="J221" s="58"/>
      <c r="K221" s="6"/>
      <c r="L221" s="139"/>
      <c r="M221" s="3"/>
      <c r="N221" s="191"/>
      <c r="O221" s="60"/>
      <c r="Q221" s="67"/>
      <c r="R221" s="65"/>
      <c r="S221" s="3"/>
      <c r="U221" s="67"/>
      <c r="V221" s="67"/>
      <c r="Z221" s="69"/>
      <c r="AA221" s="70"/>
      <c r="AB221" s="71"/>
      <c r="AC221" s="71"/>
      <c r="AD221" s="71"/>
      <c r="AE221" s="71"/>
      <c r="AF221" s="71"/>
      <c r="AG221" s="71"/>
      <c r="AH221" s="71"/>
    </row>
    <row r="222" ht="15.75" customHeight="1">
      <c r="C222" s="841"/>
      <c r="E222" s="915"/>
      <c r="G222" s="13"/>
      <c r="H222" s="13"/>
      <c r="I222" s="6"/>
      <c r="J222" s="58"/>
      <c r="K222" s="6"/>
      <c r="L222" s="139"/>
      <c r="M222" s="3"/>
      <c r="N222" s="191"/>
      <c r="O222" s="60"/>
      <c r="Q222" s="67"/>
      <c r="R222" s="65"/>
      <c r="S222" s="3"/>
      <c r="U222" s="67"/>
      <c r="V222" s="67"/>
      <c r="Z222" s="69"/>
      <c r="AA222" s="70"/>
      <c r="AB222" s="71"/>
      <c r="AC222" s="71"/>
      <c r="AD222" s="71"/>
      <c r="AE222" s="71"/>
      <c r="AF222" s="71"/>
      <c r="AG222" s="71"/>
      <c r="AH222" s="71"/>
    </row>
    <row r="223" ht="15.75" customHeight="1">
      <c r="C223" s="841"/>
      <c r="E223" s="915"/>
      <c r="G223" s="13"/>
      <c r="H223" s="13"/>
      <c r="I223" s="6"/>
      <c r="J223" s="58"/>
      <c r="K223" s="6"/>
      <c r="L223" s="139"/>
      <c r="M223" s="3"/>
      <c r="N223" s="191"/>
      <c r="O223" s="60"/>
      <c r="Q223" s="67"/>
      <c r="R223" s="65"/>
      <c r="S223" s="3"/>
      <c r="U223" s="67"/>
      <c r="V223" s="67"/>
      <c r="Z223" s="69"/>
      <c r="AA223" s="70"/>
      <c r="AB223" s="71"/>
      <c r="AC223" s="71"/>
      <c r="AD223" s="71"/>
      <c r="AE223" s="71"/>
      <c r="AF223" s="71"/>
      <c r="AG223" s="71"/>
      <c r="AH223" s="71"/>
    </row>
    <row r="224" ht="15.75" customHeight="1">
      <c r="C224" s="841"/>
      <c r="E224" s="915"/>
      <c r="G224" s="13"/>
      <c r="H224" s="13"/>
      <c r="I224" s="6"/>
      <c r="J224" s="58"/>
      <c r="K224" s="6"/>
      <c r="L224" s="139"/>
      <c r="M224" s="3"/>
      <c r="N224" s="191"/>
      <c r="O224" s="60"/>
      <c r="Q224" s="67"/>
      <c r="R224" s="65"/>
      <c r="S224" s="3"/>
      <c r="U224" s="67"/>
      <c r="V224" s="67"/>
      <c r="Z224" s="69"/>
      <c r="AA224" s="70"/>
      <c r="AB224" s="71"/>
      <c r="AC224" s="71"/>
      <c r="AD224" s="71"/>
      <c r="AE224" s="71"/>
      <c r="AF224" s="71"/>
      <c r="AG224" s="71"/>
      <c r="AH224" s="71"/>
    </row>
    <row r="225" ht="15.75" customHeight="1">
      <c r="C225" s="841"/>
      <c r="E225" s="915"/>
      <c r="G225" s="13"/>
      <c r="H225" s="13"/>
      <c r="I225" s="6"/>
      <c r="J225" s="58"/>
      <c r="K225" s="6"/>
      <c r="L225" s="139"/>
      <c r="M225" s="3"/>
      <c r="N225" s="191"/>
      <c r="O225" s="60"/>
      <c r="Q225" s="67"/>
      <c r="R225" s="65"/>
      <c r="S225" s="3"/>
      <c r="U225" s="67"/>
      <c r="V225" s="67"/>
      <c r="Z225" s="69"/>
      <c r="AA225" s="70"/>
      <c r="AB225" s="71"/>
      <c r="AC225" s="71"/>
      <c r="AD225" s="71"/>
      <c r="AE225" s="71"/>
      <c r="AF225" s="71"/>
      <c r="AG225" s="71"/>
      <c r="AH225" s="71"/>
    </row>
    <row r="226" ht="15.75" customHeight="1">
      <c r="C226" s="841"/>
      <c r="E226" s="915"/>
      <c r="G226" s="13"/>
      <c r="H226" s="13"/>
      <c r="I226" s="6"/>
      <c r="J226" s="58"/>
      <c r="K226" s="6"/>
      <c r="L226" s="139"/>
      <c r="M226" s="3"/>
      <c r="N226" s="191"/>
      <c r="O226" s="60"/>
      <c r="Q226" s="67"/>
      <c r="R226" s="65"/>
      <c r="S226" s="3"/>
      <c r="U226" s="67"/>
      <c r="V226" s="67"/>
      <c r="Z226" s="69"/>
      <c r="AA226" s="70"/>
      <c r="AB226" s="71"/>
      <c r="AC226" s="71"/>
      <c r="AD226" s="71"/>
      <c r="AE226" s="71"/>
      <c r="AF226" s="71"/>
      <c r="AG226" s="71"/>
      <c r="AH226" s="71"/>
    </row>
    <row r="227" ht="15.75" customHeight="1">
      <c r="C227" s="841"/>
      <c r="E227" s="915"/>
      <c r="G227" s="13"/>
      <c r="H227" s="13"/>
      <c r="I227" s="6"/>
      <c r="J227" s="58"/>
      <c r="K227" s="6"/>
      <c r="L227" s="139"/>
      <c r="M227" s="3"/>
      <c r="N227" s="191"/>
      <c r="O227" s="60"/>
      <c r="Q227" s="67"/>
      <c r="R227" s="65"/>
      <c r="S227" s="3"/>
      <c r="U227" s="67"/>
      <c r="V227" s="67"/>
      <c r="Z227" s="69"/>
      <c r="AA227" s="70"/>
      <c r="AB227" s="71"/>
      <c r="AC227" s="71"/>
      <c r="AD227" s="71"/>
      <c r="AE227" s="71"/>
      <c r="AF227" s="71"/>
      <c r="AG227" s="71"/>
      <c r="AH227" s="71"/>
    </row>
    <row r="228" ht="15.75" customHeight="1">
      <c r="C228" s="841"/>
      <c r="E228" s="915"/>
      <c r="G228" s="13"/>
      <c r="H228" s="13"/>
      <c r="I228" s="6"/>
      <c r="J228" s="58"/>
      <c r="K228" s="6"/>
      <c r="L228" s="139"/>
      <c r="M228" s="3"/>
      <c r="N228" s="191"/>
      <c r="O228" s="60"/>
      <c r="Q228" s="67"/>
      <c r="R228" s="65"/>
      <c r="S228" s="3"/>
      <c r="U228" s="67"/>
      <c r="V228" s="67"/>
      <c r="Z228" s="69"/>
      <c r="AA228" s="70"/>
      <c r="AB228" s="71"/>
      <c r="AC228" s="71"/>
      <c r="AD228" s="71"/>
      <c r="AE228" s="71"/>
      <c r="AF228" s="71"/>
      <c r="AG228" s="71"/>
      <c r="AH228" s="71"/>
    </row>
    <row r="229" ht="15.75" customHeight="1">
      <c r="C229" s="841"/>
      <c r="E229" s="915"/>
      <c r="G229" s="13"/>
      <c r="H229" s="13"/>
      <c r="I229" s="6"/>
      <c r="J229" s="58"/>
      <c r="K229" s="6"/>
      <c r="L229" s="139"/>
      <c r="M229" s="3"/>
      <c r="N229" s="191"/>
      <c r="O229" s="60"/>
      <c r="Q229" s="67"/>
      <c r="R229" s="65"/>
      <c r="S229" s="3"/>
      <c r="U229" s="67"/>
      <c r="V229" s="67"/>
      <c r="Z229" s="69"/>
      <c r="AA229" s="70"/>
      <c r="AB229" s="71"/>
      <c r="AC229" s="71"/>
      <c r="AD229" s="71"/>
      <c r="AE229" s="71"/>
      <c r="AF229" s="71"/>
      <c r="AG229" s="71"/>
      <c r="AH229" s="71"/>
    </row>
    <row r="230" ht="15.75" customHeight="1">
      <c r="C230" s="841"/>
      <c r="E230" s="915"/>
      <c r="G230" s="13"/>
      <c r="H230" s="13"/>
      <c r="I230" s="6"/>
      <c r="J230" s="58"/>
      <c r="K230" s="6"/>
      <c r="L230" s="139"/>
      <c r="M230" s="3"/>
      <c r="N230" s="191"/>
      <c r="O230" s="60"/>
      <c r="Q230" s="67"/>
      <c r="R230" s="65"/>
      <c r="S230" s="3"/>
      <c r="U230" s="67"/>
      <c r="V230" s="67"/>
      <c r="Z230" s="69"/>
      <c r="AA230" s="70"/>
      <c r="AB230" s="71"/>
      <c r="AC230" s="71"/>
      <c r="AD230" s="71"/>
      <c r="AE230" s="71"/>
      <c r="AF230" s="71"/>
      <c r="AG230" s="71"/>
      <c r="AH230" s="71"/>
    </row>
    <row r="231" ht="15.75" customHeight="1">
      <c r="C231" s="841"/>
      <c r="E231" s="915"/>
      <c r="G231" s="13"/>
      <c r="H231" s="13"/>
      <c r="I231" s="6"/>
      <c r="J231" s="58"/>
      <c r="K231" s="6"/>
      <c r="L231" s="139"/>
      <c r="M231" s="3"/>
      <c r="N231" s="191"/>
      <c r="O231" s="60"/>
      <c r="Q231" s="67"/>
      <c r="R231" s="65"/>
      <c r="S231" s="3"/>
      <c r="U231" s="67"/>
      <c r="V231" s="67"/>
      <c r="Z231" s="69"/>
      <c r="AA231" s="70"/>
      <c r="AB231" s="71"/>
      <c r="AC231" s="71"/>
      <c r="AD231" s="71"/>
      <c r="AE231" s="71"/>
      <c r="AF231" s="71"/>
      <c r="AG231" s="71"/>
      <c r="AH231" s="71"/>
    </row>
    <row r="232" ht="15.75" customHeight="1">
      <c r="C232" s="841"/>
      <c r="E232" s="915"/>
      <c r="G232" s="13"/>
      <c r="H232" s="13"/>
      <c r="I232" s="6"/>
      <c r="J232" s="58"/>
      <c r="K232" s="6"/>
      <c r="L232" s="139"/>
      <c r="M232" s="3"/>
      <c r="N232" s="191"/>
      <c r="O232" s="60"/>
      <c r="Q232" s="67"/>
      <c r="R232" s="65"/>
      <c r="S232" s="3"/>
      <c r="U232" s="67"/>
      <c r="V232" s="67"/>
      <c r="Z232" s="69"/>
      <c r="AA232" s="70"/>
      <c r="AB232" s="71"/>
      <c r="AC232" s="71"/>
      <c r="AD232" s="71"/>
      <c r="AE232" s="71"/>
      <c r="AF232" s="71"/>
      <c r="AG232" s="71"/>
      <c r="AH232" s="71"/>
    </row>
    <row r="233" ht="15.75" customHeight="1">
      <c r="C233" s="841"/>
      <c r="E233" s="915"/>
      <c r="G233" s="13"/>
      <c r="H233" s="13"/>
      <c r="I233" s="6"/>
      <c r="J233" s="58"/>
      <c r="K233" s="6"/>
      <c r="L233" s="139"/>
      <c r="M233" s="3"/>
      <c r="N233" s="191"/>
      <c r="O233" s="60"/>
      <c r="Q233" s="67"/>
      <c r="R233" s="65"/>
      <c r="S233" s="3"/>
      <c r="U233" s="67"/>
      <c r="V233" s="67"/>
      <c r="Z233" s="69"/>
      <c r="AA233" s="70"/>
      <c r="AB233" s="71"/>
      <c r="AC233" s="71"/>
      <c r="AD233" s="71"/>
      <c r="AE233" s="71"/>
      <c r="AF233" s="71"/>
      <c r="AG233" s="71"/>
      <c r="AH233" s="71"/>
    </row>
    <row r="234" ht="15.75" customHeight="1">
      <c r="C234" s="841"/>
      <c r="E234" s="915"/>
      <c r="G234" s="13"/>
      <c r="H234" s="13"/>
      <c r="I234" s="6"/>
      <c r="J234" s="58"/>
      <c r="K234" s="6"/>
      <c r="L234" s="139"/>
      <c r="M234" s="3"/>
      <c r="N234" s="191"/>
      <c r="O234" s="60"/>
      <c r="Q234" s="67"/>
      <c r="R234" s="65"/>
      <c r="S234" s="3"/>
      <c r="U234" s="67"/>
      <c r="V234" s="67"/>
      <c r="Z234" s="69"/>
      <c r="AA234" s="70"/>
      <c r="AB234" s="71"/>
      <c r="AC234" s="71"/>
      <c r="AD234" s="71"/>
      <c r="AE234" s="71"/>
      <c r="AF234" s="71"/>
      <c r="AG234" s="71"/>
      <c r="AH234" s="71"/>
    </row>
    <row r="235" ht="15.75" customHeight="1">
      <c r="C235" s="841"/>
      <c r="E235" s="915"/>
      <c r="G235" s="13"/>
      <c r="H235" s="13"/>
      <c r="I235" s="6"/>
      <c r="J235" s="58"/>
      <c r="K235" s="6"/>
      <c r="L235" s="139"/>
      <c r="M235" s="3"/>
      <c r="N235" s="191"/>
      <c r="O235" s="60"/>
      <c r="Q235" s="67"/>
      <c r="R235" s="65"/>
      <c r="S235" s="3"/>
      <c r="U235" s="67"/>
      <c r="V235" s="67"/>
      <c r="Z235" s="69"/>
      <c r="AA235" s="70"/>
      <c r="AB235" s="71"/>
      <c r="AC235" s="71"/>
      <c r="AD235" s="71"/>
      <c r="AE235" s="71"/>
      <c r="AF235" s="71"/>
      <c r="AG235" s="71"/>
      <c r="AH235" s="71"/>
    </row>
    <row r="236" ht="15.75" customHeight="1">
      <c r="C236" s="841"/>
      <c r="E236" s="915"/>
      <c r="G236" s="13"/>
      <c r="H236" s="13"/>
      <c r="I236" s="6"/>
      <c r="J236" s="58"/>
      <c r="K236" s="6"/>
      <c r="L236" s="139"/>
      <c r="M236" s="3"/>
      <c r="N236" s="191"/>
      <c r="O236" s="60"/>
      <c r="Q236" s="67"/>
      <c r="R236" s="65"/>
      <c r="S236" s="3"/>
      <c r="U236" s="67"/>
      <c r="V236" s="67"/>
      <c r="Z236" s="69"/>
      <c r="AA236" s="70"/>
      <c r="AB236" s="71"/>
      <c r="AC236" s="71"/>
      <c r="AD236" s="71"/>
      <c r="AE236" s="71"/>
      <c r="AF236" s="71"/>
      <c r="AG236" s="71"/>
      <c r="AH236" s="71"/>
    </row>
    <row r="237" ht="15.75" customHeight="1">
      <c r="C237" s="841"/>
      <c r="E237" s="915"/>
      <c r="G237" s="13"/>
      <c r="H237" s="13"/>
      <c r="I237" s="6"/>
      <c r="J237" s="58"/>
      <c r="K237" s="6"/>
      <c r="L237" s="139"/>
      <c r="M237" s="3"/>
      <c r="N237" s="191"/>
      <c r="O237" s="60"/>
      <c r="Q237" s="67"/>
      <c r="R237" s="65"/>
      <c r="S237" s="3"/>
      <c r="U237" s="67"/>
      <c r="V237" s="67"/>
      <c r="Z237" s="69"/>
      <c r="AA237" s="70"/>
      <c r="AB237" s="71"/>
      <c r="AC237" s="71"/>
      <c r="AD237" s="71"/>
      <c r="AE237" s="71"/>
      <c r="AF237" s="71"/>
      <c r="AG237" s="71"/>
      <c r="AH237" s="71"/>
    </row>
    <row r="238" ht="15.75" customHeight="1">
      <c r="C238" s="841"/>
      <c r="E238" s="915"/>
      <c r="G238" s="13"/>
      <c r="H238" s="13"/>
      <c r="I238" s="6"/>
      <c r="J238" s="58"/>
      <c r="K238" s="6"/>
      <c r="L238" s="139"/>
      <c r="M238" s="3"/>
      <c r="N238" s="191"/>
      <c r="O238" s="60"/>
      <c r="Q238" s="67"/>
      <c r="R238" s="65"/>
      <c r="S238" s="3"/>
      <c r="U238" s="67"/>
      <c r="V238" s="67"/>
      <c r="Z238" s="69"/>
      <c r="AA238" s="70"/>
      <c r="AB238" s="71"/>
      <c r="AC238" s="71"/>
      <c r="AD238" s="71"/>
      <c r="AE238" s="71"/>
      <c r="AF238" s="71"/>
      <c r="AG238" s="71"/>
      <c r="AH238" s="71"/>
    </row>
    <row r="239" ht="15.75" customHeight="1">
      <c r="C239" s="841"/>
      <c r="E239" s="915"/>
      <c r="G239" s="13"/>
      <c r="H239" s="13"/>
      <c r="I239" s="6"/>
      <c r="J239" s="58"/>
      <c r="K239" s="6"/>
      <c r="L239" s="139"/>
      <c r="M239" s="3"/>
      <c r="N239" s="191"/>
      <c r="O239" s="60"/>
      <c r="Q239" s="67"/>
      <c r="R239" s="65"/>
      <c r="S239" s="3"/>
      <c r="U239" s="67"/>
      <c r="V239" s="67"/>
      <c r="Z239" s="69"/>
      <c r="AA239" s="70"/>
      <c r="AB239" s="71"/>
      <c r="AC239" s="71"/>
      <c r="AD239" s="71"/>
      <c r="AE239" s="71"/>
      <c r="AF239" s="71"/>
      <c r="AG239" s="71"/>
      <c r="AH239" s="71"/>
    </row>
    <row r="240" ht="15.75" customHeight="1">
      <c r="C240" s="841"/>
      <c r="E240" s="915"/>
      <c r="G240" s="13"/>
      <c r="H240" s="13"/>
      <c r="I240" s="6"/>
      <c r="J240" s="58"/>
      <c r="K240" s="6"/>
      <c r="L240" s="139"/>
      <c r="M240" s="3"/>
      <c r="N240" s="191"/>
      <c r="O240" s="60"/>
      <c r="Q240" s="67"/>
      <c r="R240" s="65"/>
      <c r="S240" s="3"/>
      <c r="U240" s="67"/>
      <c r="V240" s="67"/>
      <c r="Z240" s="69"/>
      <c r="AA240" s="70"/>
      <c r="AB240" s="71"/>
      <c r="AC240" s="71"/>
      <c r="AD240" s="71"/>
      <c r="AE240" s="71"/>
      <c r="AF240" s="71"/>
      <c r="AG240" s="71"/>
      <c r="AH240" s="71"/>
    </row>
    <row r="241" ht="15.75" customHeight="1">
      <c r="C241" s="841"/>
      <c r="E241" s="915"/>
      <c r="G241" s="13"/>
      <c r="H241" s="13"/>
      <c r="I241" s="6"/>
      <c r="J241" s="58"/>
      <c r="K241" s="6"/>
      <c r="L241" s="139"/>
      <c r="M241" s="3"/>
      <c r="N241" s="191"/>
      <c r="O241" s="60"/>
      <c r="Q241" s="67"/>
      <c r="R241" s="65"/>
      <c r="S241" s="3"/>
      <c r="U241" s="67"/>
      <c r="V241" s="67"/>
      <c r="Z241" s="69"/>
      <c r="AA241" s="70"/>
      <c r="AB241" s="71"/>
      <c r="AC241" s="71"/>
      <c r="AD241" s="71"/>
      <c r="AE241" s="71"/>
      <c r="AF241" s="71"/>
      <c r="AG241" s="71"/>
      <c r="AH241" s="71"/>
    </row>
    <row r="242" ht="15.75" customHeight="1">
      <c r="C242" s="841"/>
      <c r="E242" s="915"/>
      <c r="G242" s="13"/>
      <c r="H242" s="13"/>
      <c r="I242" s="6"/>
      <c r="J242" s="58"/>
      <c r="K242" s="6"/>
      <c r="L242" s="139"/>
      <c r="M242" s="3"/>
      <c r="N242" s="191"/>
      <c r="O242" s="60"/>
      <c r="Q242" s="67"/>
      <c r="R242" s="65"/>
      <c r="S242" s="3"/>
      <c r="U242" s="67"/>
      <c r="V242" s="67"/>
      <c r="Z242" s="69"/>
      <c r="AA242" s="70"/>
      <c r="AB242" s="71"/>
      <c r="AC242" s="71"/>
      <c r="AD242" s="71"/>
      <c r="AE242" s="71"/>
      <c r="AF242" s="71"/>
      <c r="AG242" s="71"/>
      <c r="AH242" s="71"/>
    </row>
    <row r="243" ht="15.75" customHeight="1">
      <c r="C243" s="841"/>
      <c r="E243" s="915"/>
      <c r="G243" s="13"/>
      <c r="H243" s="13"/>
      <c r="I243" s="6"/>
      <c r="J243" s="58"/>
      <c r="K243" s="6"/>
      <c r="L243" s="139"/>
      <c r="M243" s="3"/>
      <c r="N243" s="191"/>
      <c r="O243" s="60"/>
      <c r="Q243" s="67"/>
      <c r="R243" s="65"/>
      <c r="S243" s="3"/>
      <c r="U243" s="67"/>
      <c r="V243" s="67"/>
      <c r="Z243" s="69"/>
      <c r="AA243" s="70"/>
      <c r="AB243" s="71"/>
      <c r="AC243" s="71"/>
      <c r="AD243" s="71"/>
      <c r="AE243" s="71"/>
      <c r="AF243" s="71"/>
      <c r="AG243" s="71"/>
      <c r="AH243" s="71"/>
    </row>
    <row r="244" ht="15.75" customHeight="1">
      <c r="C244" s="841"/>
      <c r="E244" s="915"/>
      <c r="G244" s="13"/>
      <c r="H244" s="13"/>
      <c r="I244" s="6"/>
      <c r="J244" s="58"/>
      <c r="K244" s="6"/>
      <c r="L244" s="139"/>
      <c r="M244" s="3"/>
      <c r="N244" s="191"/>
      <c r="O244" s="60"/>
      <c r="Q244" s="67"/>
      <c r="R244" s="65"/>
      <c r="S244" s="3"/>
      <c r="U244" s="67"/>
      <c r="V244" s="67"/>
      <c r="Z244" s="69"/>
      <c r="AA244" s="70"/>
      <c r="AB244" s="71"/>
      <c r="AC244" s="71"/>
      <c r="AD244" s="71"/>
      <c r="AE244" s="71"/>
      <c r="AF244" s="71"/>
      <c r="AG244" s="71"/>
      <c r="AH244" s="71"/>
    </row>
    <row r="245" ht="15.75" customHeight="1">
      <c r="C245" s="841"/>
      <c r="E245" s="915"/>
      <c r="G245" s="13"/>
      <c r="H245" s="13"/>
      <c r="I245" s="6"/>
      <c r="J245" s="58"/>
      <c r="K245" s="6"/>
      <c r="L245" s="139"/>
      <c r="M245" s="3"/>
      <c r="N245" s="191"/>
      <c r="O245" s="60"/>
      <c r="Q245" s="67"/>
      <c r="R245" s="65"/>
      <c r="S245" s="3"/>
      <c r="U245" s="67"/>
      <c r="V245" s="67"/>
      <c r="Z245" s="69"/>
      <c r="AA245" s="70"/>
      <c r="AB245" s="71"/>
      <c r="AC245" s="71"/>
      <c r="AD245" s="71"/>
      <c r="AE245" s="71"/>
      <c r="AF245" s="71"/>
      <c r="AG245" s="71"/>
      <c r="AH245" s="71"/>
    </row>
    <row r="246" ht="15.75" customHeight="1">
      <c r="C246" s="841"/>
      <c r="E246" s="915"/>
      <c r="G246" s="13"/>
      <c r="H246" s="13"/>
      <c r="I246" s="6"/>
      <c r="J246" s="58"/>
      <c r="K246" s="6"/>
      <c r="L246" s="139"/>
      <c r="M246" s="3"/>
      <c r="N246" s="191"/>
      <c r="O246" s="60"/>
      <c r="Q246" s="67"/>
      <c r="R246" s="65"/>
      <c r="S246" s="3"/>
      <c r="U246" s="67"/>
      <c r="V246" s="67"/>
      <c r="Z246" s="69"/>
      <c r="AA246" s="70"/>
      <c r="AB246" s="71"/>
      <c r="AC246" s="71"/>
      <c r="AD246" s="71"/>
      <c r="AE246" s="71"/>
      <c r="AF246" s="71"/>
      <c r="AG246" s="71"/>
      <c r="AH246" s="71"/>
    </row>
    <row r="247" ht="15.75" customHeight="1">
      <c r="AB247" s="7"/>
      <c r="AC247" s="7"/>
      <c r="AD247" s="7"/>
      <c r="AE247" s="7"/>
      <c r="AF247" s="7"/>
      <c r="AG247" s="7"/>
      <c r="AH247" s="7"/>
    </row>
    <row r="248" ht="15.75" customHeight="1">
      <c r="AB248" s="7"/>
      <c r="AC248" s="7"/>
      <c r="AD248" s="7"/>
      <c r="AE248" s="7"/>
      <c r="AF248" s="7"/>
      <c r="AG248" s="7"/>
      <c r="AH248" s="7"/>
    </row>
    <row r="249" ht="15.75" customHeight="1">
      <c r="AB249" s="7"/>
      <c r="AC249" s="7"/>
      <c r="AD249" s="7"/>
      <c r="AE249" s="7"/>
      <c r="AF249" s="7"/>
      <c r="AG249" s="7"/>
      <c r="AH249" s="7"/>
    </row>
    <row r="250" ht="15.75" customHeight="1">
      <c r="AB250" s="7"/>
      <c r="AC250" s="7"/>
      <c r="AD250" s="7"/>
      <c r="AE250" s="7"/>
      <c r="AF250" s="7"/>
      <c r="AG250" s="7"/>
      <c r="AH250" s="7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9" width="10.71"/>
  </cols>
  <sheetData>
    <row r="1">
      <c r="A1" s="1265" t="s">
        <v>5406</v>
      </c>
      <c r="B1" s="1127"/>
      <c r="C1" s="1127"/>
      <c r="D1" s="1266" t="s">
        <v>5407</v>
      </c>
      <c r="E1" s="431"/>
      <c r="F1" s="431"/>
      <c r="G1" s="1266" t="s">
        <v>5408</v>
      </c>
      <c r="H1" s="1215"/>
      <c r="I1" s="429"/>
    </row>
    <row r="2">
      <c r="A2" s="1127" t="s">
        <v>5409</v>
      </c>
      <c r="B2" s="1129">
        <v>3.7</v>
      </c>
      <c r="C2" s="1127"/>
      <c r="D2" s="431" t="s">
        <v>5410</v>
      </c>
      <c r="E2" s="1267"/>
      <c r="F2" s="431">
        <v>90.0</v>
      </c>
      <c r="G2" s="1268" t="s">
        <v>5411</v>
      </c>
      <c r="H2" s="1215"/>
      <c r="I2" s="1269">
        <v>0.005</v>
      </c>
    </row>
    <row r="3">
      <c r="A3" s="1127" t="s">
        <v>1019</v>
      </c>
      <c r="B3" s="1129">
        <v>200.0</v>
      </c>
      <c r="C3" s="1127"/>
      <c r="D3" s="431" t="s">
        <v>5412</v>
      </c>
      <c r="E3" s="431"/>
      <c r="F3" s="431">
        <v>20.0</v>
      </c>
      <c r="G3" s="429" t="s">
        <v>5413</v>
      </c>
      <c r="H3" s="429"/>
      <c r="I3" s="1269">
        <v>0.994</v>
      </c>
    </row>
    <row r="4">
      <c r="A4" s="1127" t="s">
        <v>25</v>
      </c>
      <c r="B4" s="1127">
        <v>1.1023</v>
      </c>
      <c r="C4" s="1127"/>
      <c r="D4" s="431" t="s">
        <v>5414</v>
      </c>
      <c r="E4" s="431"/>
      <c r="F4" s="68">
        <v>80.0</v>
      </c>
      <c r="G4" s="429"/>
      <c r="H4" s="429"/>
      <c r="I4" s="1269"/>
    </row>
    <row r="5">
      <c r="A5" s="1127" t="s">
        <v>966</v>
      </c>
      <c r="B5" s="1129">
        <v>2000.0</v>
      </c>
      <c r="C5" s="1127"/>
      <c r="D5" s="431"/>
      <c r="E5" s="431"/>
      <c r="F5" s="1270"/>
      <c r="G5" s="1268"/>
      <c r="H5" s="1215"/>
      <c r="I5" s="1269"/>
    </row>
    <row r="6">
      <c r="A6" s="1127" t="s">
        <v>5415</v>
      </c>
      <c r="B6" s="1271">
        <v>0.14</v>
      </c>
      <c r="C6" s="1129"/>
      <c r="D6" s="431"/>
      <c r="E6" s="431"/>
      <c r="F6" s="431"/>
      <c r="G6" s="1268"/>
      <c r="H6" s="1215"/>
      <c r="I6" s="1269"/>
    </row>
    <row r="7">
      <c r="A7" s="1127" t="s">
        <v>5416</v>
      </c>
      <c r="B7" s="51">
        <f>+I21</f>
        <v>25.58108108</v>
      </c>
      <c r="C7" s="1129"/>
      <c r="D7" s="431"/>
      <c r="E7" s="431"/>
      <c r="F7" s="431"/>
      <c r="G7" s="1268"/>
      <c r="H7" s="1215"/>
      <c r="I7" s="1269"/>
    </row>
    <row r="8">
      <c r="A8" s="1127" t="s">
        <v>5417</v>
      </c>
      <c r="B8" s="1129">
        <v>120.0</v>
      </c>
      <c r="C8" s="1127"/>
      <c r="D8" s="431"/>
      <c r="E8" s="431"/>
      <c r="F8" s="431"/>
      <c r="G8" s="1268"/>
      <c r="H8" s="1215"/>
      <c r="I8" s="1269"/>
    </row>
    <row r="9">
      <c r="A9" s="1127" t="s">
        <v>5418</v>
      </c>
      <c r="B9" s="1129">
        <v>100.0</v>
      </c>
      <c r="C9" s="1127"/>
      <c r="D9" s="431"/>
      <c r="E9" s="431"/>
      <c r="F9" s="431"/>
      <c r="G9" s="1268"/>
      <c r="H9" s="1215"/>
      <c r="I9" s="1269"/>
    </row>
    <row r="10">
      <c r="A10" s="1127" t="s">
        <v>5419</v>
      </c>
      <c r="B10" s="70">
        <f>+F2-3</f>
        <v>87</v>
      </c>
      <c r="C10" s="1127"/>
      <c r="D10" s="431"/>
      <c r="E10" s="431"/>
      <c r="F10" s="431"/>
      <c r="G10" s="1268"/>
      <c r="H10" s="1215"/>
      <c r="I10" s="1269"/>
    </row>
    <row r="11">
      <c r="A11" s="1127" t="s">
        <v>5420</v>
      </c>
      <c r="B11" s="70">
        <f>+F3+25</f>
        <v>45</v>
      </c>
      <c r="C11" s="1127"/>
      <c r="D11" s="431"/>
      <c r="E11" s="431"/>
      <c r="F11" s="431"/>
      <c r="G11" s="1268"/>
      <c r="H11" s="1215"/>
      <c r="I11" s="1269"/>
    </row>
    <row r="12">
      <c r="G12" s="13"/>
      <c r="H12" s="13"/>
    </row>
    <row r="13">
      <c r="A13" s="152" t="s">
        <v>5421</v>
      </c>
      <c r="B13" s="219"/>
      <c r="C13" s="219"/>
      <c r="D13" s="10" t="s">
        <v>5422</v>
      </c>
      <c r="E13" s="219"/>
      <c r="F13" s="219"/>
      <c r="G13" s="1272" t="s">
        <v>5422</v>
      </c>
      <c r="H13" s="1272" t="s">
        <v>970</v>
      </c>
      <c r="I13" s="1273" t="s">
        <v>5423</v>
      </c>
    </row>
    <row r="14">
      <c r="A14" s="160" t="s">
        <v>5424</v>
      </c>
      <c r="D14" s="2">
        <f>3000*1.5</f>
        <v>4500</v>
      </c>
      <c r="E14" s="2">
        <v>1.5</v>
      </c>
      <c r="F14" s="2" t="s">
        <v>5425</v>
      </c>
      <c r="G14" s="13">
        <f>+D14*E14</f>
        <v>6750</v>
      </c>
      <c r="H14" s="13">
        <f t="shared" ref="H14:H19" si="1">+G14/$B$2</f>
        <v>1824.324324</v>
      </c>
      <c r="I14" s="161">
        <f t="shared" ref="I14:I19" si="2">+H14/$B$3</f>
        <v>9.121621622</v>
      </c>
    </row>
    <row r="15">
      <c r="A15" s="160" t="s">
        <v>5426</v>
      </c>
      <c r="D15" s="2">
        <v>300.0</v>
      </c>
      <c r="E15" s="2">
        <v>10.0</v>
      </c>
      <c r="F15" s="2" t="s">
        <v>5427</v>
      </c>
      <c r="G15" s="13">
        <f>+E15*D15</f>
        <v>3000</v>
      </c>
      <c r="H15" s="13">
        <f t="shared" si="1"/>
        <v>810.8108108</v>
      </c>
      <c r="I15" s="161">
        <f t="shared" si="2"/>
        <v>4.054054054</v>
      </c>
    </row>
    <row r="16">
      <c r="A16" s="160" t="s">
        <v>5428</v>
      </c>
      <c r="D16" s="2">
        <v>70.0</v>
      </c>
      <c r="E16" s="2">
        <v>15.0</v>
      </c>
      <c r="F16" s="2" t="s">
        <v>5429</v>
      </c>
      <c r="G16" s="13">
        <f>+D16*E16</f>
        <v>1050</v>
      </c>
      <c r="H16" s="13">
        <f t="shared" si="1"/>
        <v>283.7837838</v>
      </c>
      <c r="I16" s="161">
        <f t="shared" si="2"/>
        <v>1.418918919</v>
      </c>
    </row>
    <row r="17">
      <c r="A17" s="160" t="s">
        <v>5430</v>
      </c>
      <c r="G17" s="13">
        <f>700+100+50</f>
        <v>850</v>
      </c>
      <c r="H17" s="13">
        <f t="shared" si="1"/>
        <v>229.7297297</v>
      </c>
      <c r="I17" s="161">
        <f t="shared" si="2"/>
        <v>1.148648649</v>
      </c>
    </row>
    <row r="18">
      <c r="A18" s="160" t="s">
        <v>5431</v>
      </c>
      <c r="D18" s="2">
        <v>12.0</v>
      </c>
      <c r="E18" s="2">
        <v>3.0</v>
      </c>
      <c r="F18" s="2" t="s">
        <v>5432</v>
      </c>
      <c r="G18" s="13">
        <f>+D18*E18*30</f>
        <v>1080</v>
      </c>
      <c r="H18" s="13">
        <f t="shared" si="1"/>
        <v>291.8918919</v>
      </c>
      <c r="I18" s="161">
        <f t="shared" si="2"/>
        <v>1.459459459</v>
      </c>
    </row>
    <row r="19">
      <c r="A19" s="160" t="s">
        <v>11</v>
      </c>
      <c r="D19" s="2">
        <v>1.55</v>
      </c>
      <c r="E19" s="2">
        <f>+$B$3*20</f>
        <v>4000</v>
      </c>
      <c r="F19" s="2" t="s">
        <v>5433</v>
      </c>
      <c r="G19" s="13">
        <f>+E19*D19</f>
        <v>6200</v>
      </c>
      <c r="H19" s="13">
        <f t="shared" si="1"/>
        <v>1675.675676</v>
      </c>
      <c r="I19" s="161">
        <f t="shared" si="2"/>
        <v>8.378378378</v>
      </c>
    </row>
    <row r="20">
      <c r="A20" s="160"/>
      <c r="G20" s="13"/>
      <c r="H20" s="13"/>
      <c r="I20" s="225"/>
    </row>
    <row r="21" ht="15.75" customHeight="1">
      <c r="A21" s="1274" t="s">
        <v>5434</v>
      </c>
      <c r="B21" s="1275"/>
      <c r="C21" s="1275"/>
      <c r="D21" s="1275"/>
      <c r="E21" s="1276">
        <f>+B3</f>
        <v>200</v>
      </c>
      <c r="F21" s="1275" t="s">
        <v>5435</v>
      </c>
      <c r="G21" s="1277"/>
      <c r="H21" s="1277"/>
      <c r="I21" s="1278">
        <f>SUM(I14:I20)</f>
        <v>25.58108108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/>
    <row r="44" ht="15.75" customHeight="1"/>
    <row r="45" ht="15.75" customHeight="1"/>
    <row r="46" ht="15.75" customHeight="1"/>
    <row r="47" ht="15.75" customHeight="1">
      <c r="I47" s="2" t="s">
        <v>3730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43"/>
    <col customWidth="1" min="2" max="4" width="10.71"/>
    <col customWidth="1" min="5" max="5" width="11.86"/>
    <col customWidth="1" min="6" max="14" width="10.71"/>
    <col customWidth="1" min="15" max="15" width="35.57"/>
  </cols>
  <sheetData>
    <row r="1">
      <c r="A1" s="1279" t="s">
        <v>5436</v>
      </c>
      <c r="B1" s="477">
        <v>80.0</v>
      </c>
      <c r="C1" s="67"/>
      <c r="D1" s="1280"/>
      <c r="E1" s="67"/>
      <c r="F1" s="67"/>
      <c r="G1" s="1280"/>
      <c r="H1" s="1280"/>
      <c r="I1" s="1280"/>
      <c r="J1" s="1280"/>
      <c r="K1" s="1280"/>
      <c r="L1" s="1280"/>
      <c r="M1" s="916"/>
      <c r="N1" s="67"/>
      <c r="O1" s="57" t="s">
        <v>53</v>
      </c>
      <c r="P1" s="57">
        <v>2.049096836E10</v>
      </c>
    </row>
    <row r="2">
      <c r="A2" s="1281" t="s">
        <v>5437</v>
      </c>
      <c r="B2" s="1282">
        <v>90.0</v>
      </c>
      <c r="C2" s="67"/>
      <c r="D2" s="67"/>
      <c r="E2" s="916"/>
      <c r="F2" s="67"/>
      <c r="G2" s="1283"/>
      <c r="H2" s="1283"/>
      <c r="I2" s="1283"/>
      <c r="J2" s="1283"/>
      <c r="K2" s="1283"/>
      <c r="L2" s="1283"/>
      <c r="M2" s="916"/>
      <c r="N2" s="1284"/>
      <c r="O2" s="57" t="s">
        <v>4589</v>
      </c>
      <c r="P2" s="57">
        <v>2.0606031361E10</v>
      </c>
    </row>
    <row r="3">
      <c r="A3" s="67"/>
      <c r="B3" s="70"/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1284"/>
      <c r="O3" s="57" t="s">
        <v>4633</v>
      </c>
      <c r="P3" s="57">
        <v>2.0554057862E10</v>
      </c>
    </row>
    <row r="4">
      <c r="A4" s="67"/>
      <c r="B4" s="134" t="s">
        <v>964</v>
      </c>
      <c r="C4" s="134" t="s">
        <v>1018</v>
      </c>
      <c r="D4" s="134" t="s">
        <v>1013</v>
      </c>
      <c r="E4" s="67" t="s">
        <v>5438</v>
      </c>
      <c r="F4" s="67"/>
      <c r="G4" s="67"/>
      <c r="H4" s="67"/>
      <c r="I4" s="67"/>
      <c r="J4" s="67"/>
      <c r="K4" s="67"/>
      <c r="L4" s="67"/>
      <c r="M4" s="67"/>
      <c r="N4" s="1284"/>
      <c r="O4" s="57" t="s">
        <v>4571</v>
      </c>
      <c r="P4" s="57">
        <v>1.0460498487E10</v>
      </c>
    </row>
    <row r="5">
      <c r="A5" s="67" t="s">
        <v>5439</v>
      </c>
      <c r="B5" s="51">
        <v>90.0</v>
      </c>
      <c r="C5" s="76">
        <v>130.0</v>
      </c>
      <c r="D5" s="134">
        <v>30.0</v>
      </c>
      <c r="E5" s="134">
        <v>74.0</v>
      </c>
      <c r="F5" s="1212"/>
      <c r="G5" s="1283"/>
      <c r="H5" s="1283"/>
      <c r="I5" s="1283"/>
      <c r="J5" s="1283"/>
      <c r="K5" s="1283"/>
      <c r="L5" s="1283"/>
      <c r="M5" s="916"/>
      <c r="N5" s="1284"/>
      <c r="O5" s="57" t="s">
        <v>602</v>
      </c>
      <c r="P5" s="57">
        <v>2.0169040231E10</v>
      </c>
    </row>
    <row r="6">
      <c r="A6" s="67" t="s">
        <v>5440</v>
      </c>
      <c r="B6" s="51">
        <v>90.0</v>
      </c>
      <c r="C6" s="76">
        <v>130.0</v>
      </c>
      <c r="D6" s="134">
        <v>30.0</v>
      </c>
      <c r="E6" s="134">
        <v>74.0</v>
      </c>
      <c r="F6" s="67"/>
      <c r="G6" s="1283"/>
      <c r="H6" s="1283"/>
      <c r="I6" s="1283"/>
      <c r="J6" s="1283"/>
      <c r="K6" s="1283"/>
      <c r="L6" s="1283"/>
      <c r="M6" s="916"/>
      <c r="N6" s="1284"/>
      <c r="O6" s="2" t="s">
        <v>4466</v>
      </c>
      <c r="P6" s="2">
        <v>2.0606534923E10</v>
      </c>
    </row>
    <row r="7">
      <c r="A7" s="67"/>
      <c r="B7" s="51"/>
      <c r="C7" s="76"/>
      <c r="D7" s="134"/>
      <c r="E7" s="134"/>
      <c r="F7" s="67"/>
      <c r="G7" s="1283"/>
      <c r="H7" s="1283"/>
      <c r="I7" s="1283"/>
      <c r="J7" s="1283"/>
      <c r="K7" s="1283"/>
      <c r="L7" s="1283"/>
      <c r="M7" s="916"/>
      <c r="N7" s="1284"/>
      <c r="O7" s="57" t="s">
        <v>74</v>
      </c>
      <c r="P7" s="57">
        <v>1.0082235774E10</v>
      </c>
    </row>
    <row r="8">
      <c r="A8" s="67"/>
      <c r="B8" s="51"/>
      <c r="C8" s="76"/>
      <c r="D8" s="134"/>
      <c r="E8" s="134"/>
      <c r="F8" s="67"/>
      <c r="G8" s="1283"/>
      <c r="H8" s="1283"/>
      <c r="I8" s="1283"/>
      <c r="J8" s="1283"/>
      <c r="K8" s="1283"/>
      <c r="L8" s="1283"/>
      <c r="M8" s="916"/>
      <c r="N8" s="1284"/>
      <c r="O8" s="57" t="s">
        <v>4717</v>
      </c>
      <c r="P8" s="57">
        <v>1.0310367091E10</v>
      </c>
    </row>
    <row r="9">
      <c r="A9" s="67" t="s">
        <v>5441</v>
      </c>
      <c r="B9" s="51"/>
      <c r="C9" s="76">
        <v>130.0</v>
      </c>
      <c r="D9" s="134">
        <v>30.0</v>
      </c>
      <c r="E9" s="134">
        <v>10.0</v>
      </c>
      <c r="F9" s="67"/>
      <c r="G9" s="1283"/>
      <c r="H9" s="1283"/>
      <c r="I9" s="1283"/>
      <c r="J9" s="1283"/>
      <c r="K9" s="1283"/>
      <c r="L9" s="1283"/>
      <c r="M9" s="916"/>
      <c r="N9" s="1284"/>
      <c r="O9" s="2" t="s">
        <v>63</v>
      </c>
      <c r="P9" s="2">
        <v>1.0437450094E10</v>
      </c>
    </row>
    <row r="10">
      <c r="A10" s="67" t="s">
        <v>5442</v>
      </c>
      <c r="B10" s="51"/>
      <c r="C10" s="76">
        <v>80.0</v>
      </c>
      <c r="D10" s="134">
        <v>10.0</v>
      </c>
      <c r="E10" s="134">
        <v>0.0</v>
      </c>
      <c r="F10" s="67"/>
      <c r="G10" s="1283"/>
      <c r="H10" s="1283"/>
      <c r="I10" s="1283"/>
      <c r="J10" s="1283"/>
      <c r="K10" s="1283"/>
      <c r="L10" s="1283"/>
      <c r="M10" s="916"/>
      <c r="N10" s="1284"/>
      <c r="O10" s="57" t="s">
        <v>45</v>
      </c>
      <c r="P10" s="57">
        <v>1.0416085884E10</v>
      </c>
    </row>
    <row r="11">
      <c r="A11" s="67" t="s">
        <v>5443</v>
      </c>
      <c r="B11" s="51"/>
      <c r="C11" s="76">
        <v>100.0</v>
      </c>
      <c r="D11" s="134">
        <v>30.0</v>
      </c>
      <c r="E11" s="134">
        <v>30.0</v>
      </c>
      <c r="F11" s="67" t="s">
        <v>5444</v>
      </c>
      <c r="G11" s="1283"/>
      <c r="H11" s="1283"/>
      <c r="I11" s="1283"/>
      <c r="J11" s="1283"/>
      <c r="K11" s="1283"/>
      <c r="L11" s="1283"/>
      <c r="M11" s="916"/>
      <c r="N11" s="1284"/>
      <c r="O11" s="57" t="s">
        <v>51</v>
      </c>
      <c r="P11" s="57">
        <v>1.042310973E10</v>
      </c>
    </row>
    <row r="12">
      <c r="A12" s="67" t="s">
        <v>5445</v>
      </c>
      <c r="B12" s="67"/>
      <c r="C12" s="934"/>
      <c r="D12" s="67"/>
      <c r="E12" s="134"/>
      <c r="F12" s="67"/>
      <c r="G12" s="916"/>
      <c r="H12" s="916"/>
      <c r="I12" s="916"/>
      <c r="J12" s="916"/>
      <c r="K12" s="916"/>
      <c r="L12" s="916"/>
      <c r="M12" s="916"/>
      <c r="N12" s="67"/>
      <c r="O12" s="57" t="s">
        <v>4329</v>
      </c>
      <c r="P12" s="57">
        <v>2.0605956905E10</v>
      </c>
    </row>
    <row r="13">
      <c r="A13" s="67" t="s">
        <v>5446</v>
      </c>
      <c r="B13" s="67"/>
      <c r="C13" s="934"/>
      <c r="D13" s="134"/>
      <c r="E13" s="134"/>
      <c r="F13" s="67"/>
      <c r="G13" s="916"/>
      <c r="H13" s="916"/>
      <c r="I13" s="916"/>
      <c r="J13" s="916"/>
      <c r="K13" s="916"/>
      <c r="L13" s="916"/>
      <c r="M13" s="916"/>
      <c r="N13" s="134"/>
      <c r="O13" s="57" t="s">
        <v>181</v>
      </c>
      <c r="P13" s="57">
        <v>2.0603329059E10</v>
      </c>
    </row>
    <row r="14">
      <c r="A14" s="67"/>
      <c r="B14" s="67"/>
      <c r="C14" s="934"/>
      <c r="D14" s="67"/>
      <c r="E14" s="134"/>
      <c r="F14" s="67"/>
      <c r="G14" s="916"/>
      <c r="H14" s="916"/>
      <c r="I14" s="916"/>
      <c r="J14" s="916"/>
      <c r="K14" s="916"/>
      <c r="L14" s="916"/>
      <c r="M14" s="916"/>
      <c r="N14" s="70"/>
      <c r="O14" s="57" t="s">
        <v>4904</v>
      </c>
    </row>
    <row r="15">
      <c r="A15" s="67"/>
      <c r="B15" s="67"/>
      <c r="C15" s="934"/>
      <c r="D15" s="67"/>
      <c r="E15" s="134"/>
      <c r="F15" s="67"/>
      <c r="G15" s="916"/>
      <c r="H15" s="916"/>
      <c r="I15" s="916"/>
      <c r="J15" s="916"/>
      <c r="K15" s="916"/>
      <c r="L15" s="916"/>
      <c r="M15" s="916"/>
      <c r="N15" s="70"/>
    </row>
    <row r="16">
      <c r="A16" s="67"/>
      <c r="B16" s="67"/>
      <c r="C16" s="934"/>
      <c r="D16" s="67"/>
      <c r="E16" s="134"/>
      <c r="F16" s="67"/>
      <c r="G16" s="916"/>
      <c r="H16" s="916"/>
      <c r="I16" s="916"/>
      <c r="J16" s="916"/>
      <c r="K16" s="916"/>
      <c r="L16" s="916"/>
      <c r="M16" s="916"/>
      <c r="N16" s="70"/>
    </row>
    <row r="17">
      <c r="A17" s="67"/>
      <c r="B17" s="67"/>
      <c r="C17" s="934"/>
      <c r="D17" s="67"/>
      <c r="E17" s="134"/>
      <c r="F17" s="67"/>
      <c r="G17" s="916"/>
      <c r="H17" s="916"/>
      <c r="I17" s="916"/>
      <c r="J17" s="916"/>
      <c r="K17" s="916"/>
      <c r="L17" s="916"/>
      <c r="M17" s="916"/>
      <c r="N17" s="70"/>
    </row>
    <row r="18">
      <c r="A18" s="67"/>
      <c r="B18" s="67"/>
      <c r="C18" s="934"/>
      <c r="D18" s="67"/>
      <c r="E18" s="134"/>
      <c r="F18" s="67"/>
      <c r="G18" s="916"/>
      <c r="H18" s="916"/>
      <c r="I18" s="916"/>
      <c r="J18" s="916"/>
      <c r="K18" s="916"/>
      <c r="L18" s="916"/>
      <c r="M18" s="916"/>
      <c r="N18" s="70"/>
    </row>
    <row r="19">
      <c r="A19" s="67"/>
      <c r="B19" s="67"/>
      <c r="C19" s="67"/>
      <c r="D19" s="67"/>
      <c r="E19" s="67"/>
      <c r="F19" s="67"/>
      <c r="G19" s="916"/>
      <c r="H19" s="916"/>
      <c r="I19" s="916"/>
      <c r="J19" s="916"/>
      <c r="K19" s="916"/>
      <c r="L19" s="916"/>
      <c r="M19" s="916"/>
      <c r="N19" s="70"/>
    </row>
    <row r="20">
      <c r="A20" s="67"/>
      <c r="B20" s="67"/>
      <c r="C20" s="67"/>
      <c r="D20" s="67"/>
      <c r="E20" s="67"/>
      <c r="F20" s="67"/>
      <c r="G20" s="916"/>
      <c r="H20" s="916"/>
      <c r="I20" s="916"/>
      <c r="J20" s="916"/>
      <c r="K20" s="916"/>
      <c r="L20" s="916"/>
      <c r="M20" s="916"/>
      <c r="N20" s="67"/>
    </row>
    <row r="21" ht="15.75" customHeight="1">
      <c r="A21" s="67"/>
      <c r="B21" s="67"/>
      <c r="C21" s="67"/>
      <c r="D21" s="67"/>
      <c r="E21" s="70"/>
      <c r="F21" s="67"/>
      <c r="G21" s="916"/>
      <c r="H21" s="916"/>
      <c r="I21" s="916"/>
      <c r="J21" s="916"/>
      <c r="K21" s="916"/>
      <c r="L21" s="916"/>
      <c r="M21" s="916"/>
      <c r="N21" s="67"/>
    </row>
    <row r="22" ht="15.75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0.86"/>
    <col customWidth="1" min="2" max="2" width="11.71"/>
    <col customWidth="1" min="3" max="3" width="15.0"/>
    <col customWidth="1" min="4" max="4" width="8.71"/>
    <col customWidth="1" min="5" max="5" width="10.14"/>
    <col customWidth="1" min="6" max="6" width="7.43"/>
    <col customWidth="1" min="7" max="7" width="10.57"/>
    <col customWidth="1" min="8" max="8" width="9.14"/>
    <col customWidth="1" min="9" max="9" width="9.71"/>
    <col customWidth="1" min="10" max="10" width="10.71"/>
    <col customWidth="1" hidden="1" min="11" max="11" width="9.29"/>
    <col customWidth="1" min="12" max="12" width="11.0"/>
    <col customWidth="1" min="13" max="13" width="9.57"/>
    <col customWidth="1" min="14" max="14" width="11.57"/>
    <col customWidth="1" min="15" max="15" width="12.43"/>
  </cols>
  <sheetData>
    <row r="1" ht="1.5" customHeight="1">
      <c r="A1" s="217" t="s">
        <v>948</v>
      </c>
      <c r="B1" s="218"/>
      <c r="C1" s="219"/>
      <c r="D1" s="220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21" t="s">
        <v>3730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4.5" customHeight="1">
      <c r="A2" s="224" t="s">
        <v>5447</v>
      </c>
      <c r="O2" s="225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55" t="s">
        <v>950</v>
      </c>
      <c r="B3" s="227"/>
      <c r="C3" s="260"/>
      <c r="D3" s="231"/>
      <c r="E3" s="231"/>
      <c r="F3" s="230"/>
      <c r="G3" s="231"/>
      <c r="H3" s="231"/>
      <c r="I3" s="232"/>
      <c r="J3" s="230"/>
      <c r="K3" s="230"/>
      <c r="L3" s="230"/>
      <c r="M3" s="230"/>
      <c r="N3" s="233"/>
      <c r="O3" s="234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55" t="s">
        <v>3732</v>
      </c>
      <c r="B4" s="227"/>
      <c r="C4" s="480" t="str">
        <f t="array" ref="C4">XLOOKUP('Liquidacion Ag'!$A13,'Analisis comercial'!A:A,'Analisis comercial'!D:D)</f>
        <v>#N/A</v>
      </c>
      <c r="D4" s="231"/>
      <c r="E4" s="231"/>
      <c r="F4" s="227"/>
      <c r="G4" s="231"/>
      <c r="H4" s="231"/>
      <c r="I4" s="232"/>
      <c r="J4" s="258" t="s">
        <v>952</v>
      </c>
      <c r="K4" s="479"/>
      <c r="L4" s="231"/>
      <c r="M4" s="230"/>
      <c r="N4" s="233"/>
      <c r="O4" s="234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55" t="s">
        <v>3733</v>
      </c>
      <c r="B5" s="256"/>
      <c r="C5" s="481" t="str">
        <f t="array" ref="C5">XLOOKUP('Liquidacion Ag'!$A13,'Analisis comercial'!A:A,'Analisis comercial'!E:E)</f>
        <v>#N/A</v>
      </c>
      <c r="D5" s="263"/>
      <c r="E5" s="264"/>
      <c r="F5" s="227"/>
      <c r="G5" s="264"/>
      <c r="H5" s="265"/>
      <c r="J5" s="258" t="s">
        <v>954</v>
      </c>
      <c r="K5" s="479"/>
      <c r="L5" s="231" t="s">
        <v>955</v>
      </c>
      <c r="M5" s="230"/>
      <c r="N5" s="251"/>
      <c r="O5" s="22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55" t="s">
        <v>3735</v>
      </c>
      <c r="B6" s="256"/>
      <c r="C6" s="301" t="str">
        <f t="array" ref="C6">XLOOKUP($A13,'Analisis comercial'!A:A,'Analisis comercial'!C:C)</f>
        <v>#N/A</v>
      </c>
      <c r="D6" s="263"/>
      <c r="E6" s="264"/>
      <c r="F6" s="258"/>
      <c r="G6" s="264"/>
      <c r="H6" s="265"/>
      <c r="J6" s="259"/>
      <c r="K6" s="260"/>
      <c r="L6" s="261"/>
      <c r="M6" s="230"/>
      <c r="N6" s="251"/>
      <c r="O6" s="22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55" t="s">
        <v>3736</v>
      </c>
      <c r="B7" s="256"/>
      <c r="C7" s="301" t="str">
        <f t="array" ref="C7">XLOOKUP($A13,'Analisis comercial'!A:A,'Analisis comercial'!B:B)</f>
        <v>#N/A</v>
      </c>
      <c r="D7" s="263"/>
      <c r="E7" s="264"/>
      <c r="F7" s="258"/>
      <c r="G7" s="264"/>
      <c r="H7" s="265"/>
      <c r="J7" s="259"/>
      <c r="K7" s="260"/>
      <c r="L7" s="261"/>
      <c r="M7" s="230"/>
      <c r="N7" s="251"/>
      <c r="O7" s="22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55"/>
      <c r="B8" s="256"/>
      <c r="C8" s="257"/>
      <c r="D8" s="257"/>
      <c r="E8" s="257"/>
      <c r="F8" s="258"/>
      <c r="G8" s="257"/>
      <c r="H8" s="257"/>
      <c r="I8" s="257"/>
      <c r="J8" s="259"/>
      <c r="K8" s="260"/>
      <c r="L8" s="261"/>
      <c r="M8" s="230"/>
      <c r="N8" s="251"/>
      <c r="O8" s="225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55"/>
      <c r="B9" s="256"/>
      <c r="C9" s="262"/>
      <c r="D9" s="263"/>
      <c r="E9" s="264"/>
      <c r="F9" s="265"/>
      <c r="G9" s="264"/>
      <c r="H9" s="265"/>
      <c r="J9" s="259"/>
      <c r="K9" s="260"/>
      <c r="L9" s="260"/>
      <c r="M9" s="266"/>
      <c r="N9" s="251"/>
      <c r="O9" s="225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84" t="s">
        <v>5</v>
      </c>
      <c r="B10" s="485" t="s">
        <v>3737</v>
      </c>
      <c r="C10" s="268" t="s">
        <v>12</v>
      </c>
      <c r="D10" s="485" t="s">
        <v>13</v>
      </c>
      <c r="E10" s="485" t="s">
        <v>14</v>
      </c>
      <c r="F10" s="486" t="s">
        <v>11</v>
      </c>
      <c r="G10" s="485" t="s">
        <v>961</v>
      </c>
      <c r="H10" s="485"/>
      <c r="I10" s="485" t="s">
        <v>963</v>
      </c>
      <c r="J10" s="485" t="s">
        <v>964</v>
      </c>
      <c r="K10" s="486" t="s">
        <v>24</v>
      </c>
      <c r="L10" s="486" t="s">
        <v>25</v>
      </c>
      <c r="M10" s="485"/>
      <c r="N10" s="485" t="s">
        <v>966</v>
      </c>
      <c r="O10" s="489" t="s">
        <v>967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90"/>
      <c r="B11" s="491" t="s">
        <v>968</v>
      </c>
      <c r="C11" s="492"/>
      <c r="D11" s="493"/>
      <c r="E11" s="492"/>
      <c r="F11" s="491"/>
      <c r="G11" s="491" t="s">
        <v>3969</v>
      </c>
      <c r="H11" s="491"/>
      <c r="I11" s="491" t="s">
        <v>970</v>
      </c>
      <c r="J11" s="491" t="s">
        <v>973</v>
      </c>
      <c r="K11" s="495" t="s">
        <v>972</v>
      </c>
      <c r="L11" s="495"/>
      <c r="M11" s="491"/>
      <c r="N11" s="491" t="s">
        <v>14</v>
      </c>
      <c r="O11" s="49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97"/>
      <c r="B12" s="280"/>
      <c r="C12" s="281"/>
      <c r="D12" s="281"/>
      <c r="E12" s="281"/>
      <c r="F12" s="283"/>
      <c r="G12" s="281"/>
      <c r="H12" s="283"/>
      <c r="I12" s="281"/>
      <c r="J12" s="283"/>
      <c r="K12" s="283"/>
      <c r="L12" s="284"/>
      <c r="M12" s="285"/>
      <c r="N12" s="285"/>
      <c r="O12" s="28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99" t="s">
        <v>4348</v>
      </c>
      <c r="B13" s="260">
        <f>LOOKUP(A13,'Analisis comercial'!A:A,'Analisis comercial'!C:C)</f>
        <v>46138</v>
      </c>
      <c r="C13" s="305" t="str">
        <f t="array" ref="C13">XLOOKUP(A13,'Analisis comercial'!A:A,'Analisis comercial'!I:I)</f>
        <v>#N/A</v>
      </c>
      <c r="D13" s="305" t="str">
        <f t="array" ref="D13">XLOOKUP(A13,'Analisis comercial'!A:A,'Analisis comercial'!J:J)</f>
        <v>#N/A</v>
      </c>
      <c r="E13" s="305" t="str">
        <f t="array" ref="E13">XLOOKUP(A13,'Analisis comercial'!A:A,'Analisis comercial'!K:K)</f>
        <v>#N/A</v>
      </c>
      <c r="F13" s="498" t="str">
        <f t="array" ref="F13">XLOOKUP('Liquidacion Ag'!$A13,'Analisis comercial'!A:A,'Analisis comercial'!G:G)</f>
        <v>#N/A</v>
      </c>
      <c r="G13" s="288">
        <v>3.984</v>
      </c>
      <c r="H13" s="296"/>
      <c r="I13" s="295">
        <v>32.65</v>
      </c>
      <c r="J13" s="295"/>
      <c r="K13" s="296" t="str">
        <f>VLOOKUP('Liquidacion Ag'!$A13,'Analisis comercial'!$A$5:$AH$4015,21,FALSE)</f>
        <v>#N/A</v>
      </c>
      <c r="L13" s="297" t="str">
        <f t="array" ref="L13">XLOOKUP('Liquidacion Ag'!$A13,'Analisis comercial'!A:A,'Analisis comercial'!V:V)</f>
        <v>#N/A</v>
      </c>
      <c r="M13" s="295"/>
      <c r="N13" s="295">
        <f>+G13*0.35*(I13-5)</f>
        <v>38.55516</v>
      </c>
      <c r="O13" s="298" t="str">
        <f>+ROUND(N13,2)*ROUND(E13,3)</f>
        <v>#N/A</v>
      </c>
      <c r="P13" s="65"/>
      <c r="Q13" s="65"/>
      <c r="R13" s="65"/>
      <c r="S13" s="2"/>
      <c r="T13" s="2"/>
      <c r="U13" s="2"/>
      <c r="V13" s="2"/>
      <c r="W13" s="2"/>
      <c r="X13" s="2"/>
      <c r="Y13" s="2"/>
      <c r="Z13" s="2"/>
    </row>
    <row r="14" ht="15.0" customHeight="1">
      <c r="A14" s="499"/>
      <c r="B14" s="260"/>
      <c r="C14" s="305"/>
      <c r="D14" s="305"/>
      <c r="E14" s="305"/>
      <c r="F14" s="498"/>
      <c r="G14" s="288"/>
      <c r="H14" s="296"/>
      <c r="I14" s="295"/>
      <c r="J14" s="295"/>
      <c r="K14" s="296"/>
      <c r="L14" s="297"/>
      <c r="M14" s="295"/>
      <c r="N14" s="295"/>
      <c r="O14" s="298"/>
      <c r="P14" s="65"/>
      <c r="Q14" s="65"/>
      <c r="R14" s="2"/>
      <c r="S14" s="2"/>
      <c r="T14" s="2"/>
      <c r="U14" s="2"/>
      <c r="V14" s="2"/>
      <c r="W14" s="2"/>
      <c r="X14" s="2"/>
      <c r="Y14" s="2"/>
      <c r="Z14" s="2"/>
    </row>
    <row r="15">
      <c r="A15" s="499"/>
      <c r="B15" s="260"/>
      <c r="C15" s="305"/>
      <c r="D15" s="305"/>
      <c r="E15" s="305"/>
      <c r="F15" s="498"/>
      <c r="G15" s="288"/>
      <c r="H15" s="296"/>
      <c r="I15" s="295"/>
      <c r="J15" s="295"/>
      <c r="K15" s="296"/>
      <c r="L15" s="297"/>
      <c r="M15" s="295"/>
      <c r="N15" s="295"/>
      <c r="O15" s="298"/>
      <c r="P15" s="65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0" customHeight="1">
      <c r="A16" s="499"/>
      <c r="B16" s="260"/>
      <c r="C16" s="305"/>
      <c r="D16" s="305"/>
      <c r="E16" s="305"/>
      <c r="F16" s="498"/>
      <c r="G16" s="288"/>
      <c r="H16" s="296"/>
      <c r="I16" s="295"/>
      <c r="J16" s="295"/>
      <c r="K16" s="296"/>
      <c r="L16" s="297"/>
      <c r="M16" s="295"/>
      <c r="N16" s="295"/>
      <c r="O16" s="298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99"/>
      <c r="B17" s="260"/>
      <c r="C17" s="305"/>
      <c r="D17" s="305"/>
      <c r="E17" s="305"/>
      <c r="F17" s="498"/>
      <c r="G17" s="288"/>
      <c r="H17" s="296"/>
      <c r="I17" s="295"/>
      <c r="J17" s="295"/>
      <c r="K17" s="296"/>
      <c r="L17" s="297"/>
      <c r="M17" s="295"/>
      <c r="N17" s="295"/>
      <c r="O17" s="29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99"/>
      <c r="B18" s="260"/>
      <c r="C18" s="305"/>
      <c r="D18" s="305"/>
      <c r="E18" s="305"/>
      <c r="F18" s="498"/>
      <c r="G18" s="288"/>
      <c r="H18" s="296"/>
      <c r="I18" s="295"/>
      <c r="J18" s="295"/>
      <c r="K18" s="296"/>
      <c r="L18" s="297"/>
      <c r="M18" s="295"/>
      <c r="N18" s="295"/>
      <c r="O18" s="298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99"/>
      <c r="B19" s="260"/>
      <c r="C19" s="305"/>
      <c r="D19" s="305"/>
      <c r="E19" s="305"/>
      <c r="F19" s="498"/>
      <c r="G19" s="288"/>
      <c r="H19" s="296"/>
      <c r="I19" s="295"/>
      <c r="J19" s="295"/>
      <c r="K19" s="296"/>
      <c r="L19" s="297"/>
      <c r="M19" s="295"/>
      <c r="N19" s="295"/>
      <c r="O19" s="298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499"/>
      <c r="B20" s="260"/>
      <c r="C20" s="305"/>
      <c r="D20" s="305"/>
      <c r="E20" s="305"/>
      <c r="F20" s="498"/>
      <c r="G20" s="288"/>
      <c r="H20" s="296"/>
      <c r="I20" s="295"/>
      <c r="J20" s="295"/>
      <c r="K20" s="296"/>
      <c r="L20" s="297"/>
      <c r="M20" s="295"/>
      <c r="N20" s="295"/>
      <c r="O20" s="298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6.5" customHeight="1">
      <c r="A21" s="499"/>
      <c r="B21" s="260"/>
      <c r="C21" s="305"/>
      <c r="D21" s="305"/>
      <c r="E21" s="305"/>
      <c r="F21" s="498"/>
      <c r="G21" s="288"/>
      <c r="H21" s="296"/>
      <c r="I21" s="295"/>
      <c r="J21" s="295"/>
      <c r="K21" s="296"/>
      <c r="L21" s="297"/>
      <c r="M21" s="295"/>
      <c r="N21" s="295"/>
      <c r="O21" s="298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99"/>
      <c r="B22" s="260"/>
      <c r="C22" s="305"/>
      <c r="D22" s="305"/>
      <c r="E22" s="305"/>
      <c r="F22" s="498"/>
      <c r="G22" s="288"/>
      <c r="H22" s="296"/>
      <c r="I22" s="295"/>
      <c r="J22" s="295"/>
      <c r="K22" s="296"/>
      <c r="L22" s="297"/>
      <c r="M22" s="295"/>
      <c r="N22" s="295"/>
      <c r="O22" s="298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99"/>
      <c r="B23" s="260"/>
      <c r="C23" s="305"/>
      <c r="D23" s="305"/>
      <c r="E23" s="305"/>
      <c r="F23" s="498"/>
      <c r="G23" s="288"/>
      <c r="H23" s="296"/>
      <c r="I23" s="295"/>
      <c r="J23" s="295"/>
      <c r="K23" s="296"/>
      <c r="L23" s="297"/>
      <c r="M23" s="295"/>
      <c r="N23" s="295"/>
      <c r="O23" s="298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99"/>
      <c r="B24" s="260"/>
      <c r="C24" s="305"/>
      <c r="D24" s="305"/>
      <c r="E24" s="305"/>
      <c r="F24" s="498"/>
      <c r="G24" s="288"/>
      <c r="H24" s="296"/>
      <c r="I24" s="295"/>
      <c r="J24" s="295"/>
      <c r="K24" s="296"/>
      <c r="L24" s="297"/>
      <c r="M24" s="295"/>
      <c r="N24" s="295"/>
      <c r="O24" s="298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6.5" customHeight="1">
      <c r="A25" s="499"/>
      <c r="B25" s="260"/>
      <c r="C25" s="305"/>
      <c r="D25" s="305"/>
      <c r="E25" s="305"/>
      <c r="F25" s="498"/>
      <c r="G25" s="288"/>
      <c r="H25" s="296"/>
      <c r="I25" s="295"/>
      <c r="J25" s="295"/>
      <c r="K25" s="296"/>
      <c r="L25" s="297"/>
      <c r="M25" s="295"/>
      <c r="N25" s="295"/>
      <c r="O25" s="298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0.25" customHeight="1">
      <c r="A26" s="499"/>
      <c r="B26" s="322"/>
      <c r="C26" s="322"/>
      <c r="D26" s="500"/>
      <c r="E26" s="322"/>
      <c r="F26" s="2"/>
      <c r="G26" s="501"/>
      <c r="H26" s="2"/>
      <c r="I26" s="2"/>
      <c r="J26" s="2"/>
      <c r="K26" s="322"/>
      <c r="L26" s="322"/>
      <c r="M26" s="322"/>
      <c r="N26" s="324" t="s">
        <v>975</v>
      </c>
      <c r="O26" s="161" t="str">
        <f>SUM(O13:O25)</f>
        <v>#N/A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99"/>
      <c r="B27" s="322"/>
      <c r="C27" s="502"/>
      <c r="D27" s="321"/>
      <c r="E27" s="322"/>
      <c r="F27" s="322"/>
      <c r="G27" s="322"/>
      <c r="H27" s="322"/>
      <c r="I27" s="322"/>
      <c r="J27" s="323"/>
      <c r="K27" s="2"/>
      <c r="L27" s="2"/>
      <c r="M27" s="2"/>
      <c r="N27" s="324"/>
      <c r="O27" s="32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99"/>
      <c r="B28" s="322"/>
      <c r="C28" s="230"/>
      <c r="D28" s="321"/>
      <c r="E28" s="322"/>
      <c r="F28" s="266"/>
      <c r="G28" s="322"/>
      <c r="H28" s="322"/>
      <c r="I28" s="322"/>
      <c r="J28" s="322"/>
      <c r="K28" s="2"/>
      <c r="L28" s="2"/>
      <c r="M28" s="2"/>
      <c r="N28" s="324"/>
      <c r="O28" s="327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99"/>
      <c r="B29" s="503" t="s">
        <v>3741</v>
      </c>
      <c r="D29" s="321"/>
      <c r="E29" s="322"/>
      <c r="F29" s="266"/>
      <c r="G29" s="322"/>
      <c r="H29" s="322"/>
      <c r="I29" s="322"/>
      <c r="J29" s="322"/>
      <c r="K29" s="266"/>
      <c r="L29" s="266"/>
      <c r="M29" s="266"/>
      <c r="N29" s="324"/>
      <c r="O29" s="32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04"/>
      <c r="B30" s="505"/>
      <c r="C30" s="505"/>
      <c r="D30" s="505"/>
      <c r="E30" s="505"/>
      <c r="F30" s="170"/>
      <c r="G30" s="333"/>
      <c r="H30" s="334"/>
      <c r="I30" s="335"/>
      <c r="J30" s="336"/>
      <c r="K30" s="337"/>
      <c r="L30" s="337"/>
      <c r="M30" s="337"/>
      <c r="N30" s="338"/>
      <c r="O30" s="33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6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6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H9:I9"/>
  </mergeCells>
  <printOptions/>
  <pageMargins bottom="0.0" footer="0.0" header="0.0" left="0.31496062992125984" right="0.31496062992125984" top="0.35433070866141736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2023-11-28T21:11:49Z</dcterms:created>
  <dc:creator>ADMIN</dc:creator>
</cp:coreProperties>
</file>